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14"/>
  <workbookPr defaultThemeVersion="166925"/>
  <mc:AlternateContent xmlns:mc="http://schemas.openxmlformats.org/markup-compatibility/2006">
    <mc:Choice Requires="x15">
      <x15ac:absPath xmlns:x15ac="http://schemas.microsoft.com/office/spreadsheetml/2010/11/ac" url="https://catrockcap-my.sharepoint.com/personal/dberring_catrockcap_com/Documents/Documents/AI folder for models/9.30.24/"/>
    </mc:Choice>
  </mc:AlternateContent>
  <xr:revisionPtr revIDLastSave="6" documentId="8_{BC9BF24B-E103-431C-99D0-2A93E3D1C4A4}" xr6:coauthVersionLast="47" xr6:coauthVersionMax="47" xr10:uidLastSave="{6AE9A755-8A8E-46F7-8321-EC0EF10C7C64}"/>
  <bookViews>
    <workbookView xWindow="-110" yWindow="-110" windowWidth="19420" windowHeight="11500" tabRatio="756" firstSheet="2" activeTab="2" xr2:uid="{00000000-000D-0000-FFFF-FFFF00000000}"/>
  </bookViews>
  <sheets>
    <sheet name="__snloffice" sheetId="517" state="veryHidden" r:id="rId1"/>
    <sheet name="_CIQHiddenCacheSheet" sheetId="516" state="veryHidden" r:id="rId2"/>
    <sheet name="Base" sheetId="198" r:id="rId3"/>
    <sheet name="Simple - ROIC driven" sheetId="523" r:id="rId4"/>
    <sheet name="Case 2 - upside" sheetId="503" r:id="rId5"/>
    <sheet name="Case 3 - downside" sheetId="504" r:id="rId6"/>
    <sheet name="Historical Financials" sheetId="1" r:id="rId7"/>
    <sheet name="Azure" sheetId="468" r:id="rId8"/>
    <sheet name="Windows OEM" sheetId="359" r:id="rId9"/>
    <sheet name="Vs. Guidance" sheetId="276" r:id="rId10"/>
    <sheet name="EBIT growth" sheetId="267" r:id="rId11"/>
    <sheet name="D&amp;A forecast - Case 1" sheetId="519" r:id="rId12"/>
    <sheet name="D&amp;A forecast - Case 2" sheetId="521" r:id="rId13"/>
    <sheet name="D&amp;A forecast - Case 3" sheetId="520" r:id="rId14"/>
    <sheet name="Capex analysis" sheetId="522" r:id="rId15"/>
    <sheet name="Guidance Commentary" sheetId="518" r:id="rId16"/>
    <sheet name="VA segmentation" sheetId="447" r:id="rId17"/>
    <sheet name="Long Term Annuals" sheetId="298" r:id="rId18"/>
    <sheet name="D&amp;A Analysis" sheetId="313" r:id="rId19"/>
    <sheet name="Simple Model - Base Case" sheetId="3" r:id="rId20"/>
    <sheet name="ATVI" sheetId="293" r:id="rId21"/>
    <sheet name="Simple + ATVI" sheetId="292" r:id="rId22"/>
    <sheet name="Revenue Build" sheetId="51" r:id="rId23"/>
    <sheet name="Historical Financial Summary" sheetId="28" r:id="rId24"/>
    <sheet name="Commentary" sheetId="2" r:id="rId25"/>
    <sheet name="CapIQ" sheetId="110" r:id="rId26"/>
    <sheet name="Sheet2" sheetId="230" r:id="rId27"/>
  </sheets>
  <definedNames>
    <definedName name="_xlnm._FilterDatabase" localSheetId="8" hidden="1">'Windows OEM'!#REF!</definedName>
    <definedName name="CIQWBGuid" localSheetId="23" hidden="1">"be626fff-5df3-4ebc-86d6-85049b46fc58"</definedName>
    <definedName name="CIQWBGuid" hidden="1">"0f0d142a-0fb2-46fa-8a88-b633e8f8826a"</definedName>
    <definedName name="CIQWBInfo" hidden="1">"{ ""CIQVersion"":""9.45.614.5792""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44767.4675462963</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_xlnm.Print_Area" localSheetId="7">Azure!$A$1:$AY$83</definedName>
    <definedName name="_xlnm.Print_Area" localSheetId="2">Base!$A$1:$V$127</definedName>
    <definedName name="_xlnm.Print_Area" localSheetId="14">'Capex analysis'!$B$2:$AD$76</definedName>
    <definedName name="_xlnm.Print_Area" localSheetId="4">'Case 2 - upside'!$A$1:$V$125</definedName>
    <definedName name="_xlnm.Print_Area" localSheetId="5">'Case 3 - downside'!$A$1:$V$127</definedName>
    <definedName name="_xlnm.Print_Area" localSheetId="24">Commentary!$B$2:$D$174</definedName>
    <definedName name="_xlnm.Print_Area" localSheetId="18">'D&amp;A Analysis'!$A$1:$Y$161</definedName>
    <definedName name="_xlnm.Print_Area" localSheetId="11">'D&amp;A forecast - Case 1'!$A$1:$AG$211</definedName>
    <definedName name="_xlnm.Print_Area" localSheetId="12">'D&amp;A forecast - Case 2'!$A$1:$AG$210</definedName>
    <definedName name="_xlnm.Print_Area" localSheetId="13">'D&amp;A forecast - Case 3'!$A$1:$AG$210</definedName>
    <definedName name="_xlnm.Print_Area" localSheetId="10">'EBIT growth'!$A$1:$AC$38</definedName>
    <definedName name="_xlnm.Print_Area" localSheetId="23">'Historical Financial Summary'!$B$2:$AN$108</definedName>
    <definedName name="_xlnm.Print_Area" localSheetId="6">'Historical Financials'!$B$2:$BP$1048</definedName>
    <definedName name="_xlnm.Print_Area" localSheetId="17">'Long Term Annuals'!$B$2:$BF$723</definedName>
    <definedName name="_xlnm.Print_Area" localSheetId="22">'Revenue Build'!$B$2:$L$98</definedName>
    <definedName name="_xlnm.Print_Area" localSheetId="3">'Simple - ROIC driven'!$A$1:$V$126</definedName>
    <definedName name="_xlnm.Print_Area" localSheetId="21">'Simple + ATVI'!$A$1:$S$125</definedName>
    <definedName name="_xlnm.Print_Area" localSheetId="19">'Simple Model - Base Case'!$B$2:$R$108</definedName>
    <definedName name="_xlnm.Print_Area" localSheetId="9">'Vs. Guidance'!$A$1:$H$57</definedName>
    <definedName name="_xlnm.Print_Area" localSheetId="8">'Windows OEM'!$A$1:$AR$123</definedName>
    <definedName name="_xlnm.Print_Titles" localSheetId="2">Base!$1:$5</definedName>
    <definedName name="_xlnm.Print_Titles" localSheetId="24">Commentary!$2:$4</definedName>
    <definedName name="_xlnm.Print_Titles" localSheetId="18">'D&amp;A Analysis'!$1:$5</definedName>
    <definedName name="_xlnm.Print_Titles" localSheetId="6">'Historical Financials'!$2:$9</definedName>
    <definedName name="_xlnm.Print_Titles" localSheetId="17">'Long Term Annuals'!$2:$9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504" l="1"/>
  <c r="V1" i="504"/>
  <c r="K3" i="503"/>
  <c r="V1" i="503"/>
  <c r="K3" i="523"/>
  <c r="V1" i="523"/>
  <c r="V15" i="198"/>
  <c r="U15" i="198"/>
  <c r="T15" i="198"/>
  <c r="S15" i="198"/>
  <c r="R15" i="198"/>
  <c r="Q15" i="198"/>
  <c r="P15" i="198"/>
  <c r="O15" i="198"/>
  <c r="N15" i="198"/>
  <c r="M15" i="198"/>
  <c r="L15" i="198"/>
  <c r="J15" i="198"/>
  <c r="I15" i="198"/>
  <c r="H15" i="198"/>
  <c r="G15" i="198"/>
  <c r="F15" i="198"/>
  <c r="E15" i="198"/>
  <c r="D15" i="198"/>
  <c r="C15" i="198"/>
  <c r="K15" i="198"/>
  <c r="AR15" i="28"/>
  <c r="AS15" i="28"/>
  <c r="AT15" i="28"/>
  <c r="AU15" i="28"/>
  <c r="AV15" i="28"/>
  <c r="D71" i="28"/>
  <c r="E71" i="28"/>
  <c r="F71" i="28"/>
  <c r="G71" i="28"/>
  <c r="H71" i="28"/>
  <c r="I71" i="28"/>
  <c r="J71" i="28"/>
  <c r="K71" i="28"/>
  <c r="L71" i="28"/>
  <c r="M71" i="28"/>
  <c r="N71" i="28"/>
  <c r="O71" i="28"/>
  <c r="P71" i="28"/>
  <c r="Q71" i="28"/>
  <c r="R71" i="28"/>
  <c r="S71" i="28"/>
  <c r="T71" i="28"/>
  <c r="U71" i="28"/>
  <c r="V71" i="28"/>
  <c r="W71" i="28"/>
  <c r="X71" i="28"/>
  <c r="Y71" i="28"/>
  <c r="Z71" i="28"/>
  <c r="AA71" i="28"/>
  <c r="AB71" i="28"/>
  <c r="AC71" i="28"/>
  <c r="AD71" i="28"/>
  <c r="AE71" i="28"/>
  <c r="AF71" i="28"/>
  <c r="AG71" i="28"/>
  <c r="AH71" i="28"/>
  <c r="O89" i="28"/>
  <c r="P89" i="28"/>
  <c r="Q89" i="28"/>
  <c r="R89" i="28"/>
  <c r="S89" i="28"/>
  <c r="T89" i="28"/>
  <c r="U89" i="28"/>
  <c r="V89" i="28"/>
  <c r="W89" i="28"/>
  <c r="X89" i="28"/>
  <c r="Y89" i="28"/>
  <c r="Z89" i="28"/>
  <c r="AA89" i="28"/>
  <c r="AB89" i="28"/>
  <c r="AC89" i="28"/>
  <c r="AD89" i="28"/>
  <c r="AE89" i="28"/>
  <c r="AF89" i="28"/>
  <c r="AG89" i="28"/>
  <c r="AH89"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AG97" i="28"/>
  <c r="AH97"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AG101" i="28"/>
  <c r="AH101" i="28"/>
  <c r="G14" i="3"/>
  <c r="H14" i="3"/>
  <c r="G23" i="3"/>
  <c r="H23" i="3"/>
  <c r="G41" i="3"/>
  <c r="H41" i="3"/>
  <c r="G81" i="3"/>
  <c r="H81" i="3"/>
  <c r="D1035" i="1"/>
  <c r="E1035" i="1"/>
  <c r="F1035" i="1"/>
  <c r="G1035" i="1"/>
  <c r="H1035" i="1"/>
  <c r="I1035" i="1"/>
  <c r="J1035" i="1"/>
  <c r="K1035" i="1"/>
  <c r="L1035" i="1"/>
  <c r="M1035" i="1"/>
  <c r="N1035" i="1"/>
  <c r="O1035" i="1"/>
  <c r="P1035" i="1"/>
  <c r="Q1035" i="1"/>
  <c r="R1035" i="1"/>
  <c r="S1035" i="1"/>
  <c r="T1035" i="1"/>
  <c r="U1035" i="1"/>
  <c r="V1035" i="1"/>
  <c r="W1035" i="1"/>
  <c r="X1035" i="1"/>
  <c r="Y1035" i="1"/>
  <c r="Z1035" i="1"/>
  <c r="AA1035" i="1"/>
  <c r="AB1035" i="1"/>
  <c r="AC1035" i="1"/>
  <c r="AD1035" i="1"/>
  <c r="AE1035" i="1"/>
  <c r="AF1035" i="1"/>
  <c r="AG1035" i="1"/>
  <c r="AH1035" i="1"/>
  <c r="AI1035" i="1"/>
  <c r="AJ1035" i="1"/>
  <c r="AK1035" i="1"/>
  <c r="AL1035" i="1"/>
  <c r="AM1035" i="1"/>
  <c r="D1038" i="1"/>
  <c r="E1038" i="1"/>
  <c r="F1038" i="1"/>
  <c r="G1038" i="1"/>
  <c r="H1038" i="1"/>
  <c r="I1038" i="1"/>
  <c r="J1038" i="1"/>
  <c r="K1038" i="1"/>
  <c r="L1038" i="1"/>
  <c r="M1038" i="1"/>
  <c r="N1038" i="1"/>
  <c r="O1038" i="1"/>
  <c r="P1038" i="1"/>
  <c r="Q1038" i="1"/>
  <c r="R1038" i="1"/>
  <c r="S1038" i="1"/>
  <c r="T1038" i="1"/>
  <c r="U1038" i="1"/>
  <c r="V1038" i="1"/>
  <c r="W1038" i="1"/>
  <c r="X1038" i="1"/>
  <c r="Y1038" i="1"/>
  <c r="Z1038" i="1"/>
  <c r="AA1038" i="1"/>
  <c r="AB1038" i="1"/>
  <c r="AC1038" i="1"/>
  <c r="AD1038" i="1"/>
  <c r="AE1038" i="1"/>
  <c r="AF1038" i="1"/>
  <c r="AG1038" i="1"/>
  <c r="AH1038" i="1"/>
  <c r="AI1038" i="1"/>
  <c r="AJ1038" i="1"/>
  <c r="AK1038" i="1"/>
  <c r="AL1038" i="1"/>
  <c r="AM1038" i="1"/>
  <c r="D1041" i="1"/>
  <c r="E1041" i="1"/>
  <c r="F1041" i="1"/>
  <c r="G1041" i="1"/>
  <c r="H1041" i="1"/>
  <c r="I1041" i="1"/>
  <c r="J1041" i="1"/>
  <c r="K1041" i="1"/>
  <c r="L1041" i="1"/>
  <c r="M1041" i="1"/>
  <c r="N1041" i="1"/>
  <c r="O1041" i="1"/>
  <c r="P1041" i="1"/>
  <c r="Q1041" i="1"/>
  <c r="R1041" i="1"/>
  <c r="S1041" i="1"/>
  <c r="T1041" i="1"/>
  <c r="U1041" i="1"/>
  <c r="V1041" i="1"/>
  <c r="W1041" i="1"/>
  <c r="X1041" i="1"/>
  <c r="Y1041" i="1"/>
  <c r="Z1041" i="1"/>
  <c r="AA1041" i="1"/>
  <c r="AB1041" i="1"/>
  <c r="AC1041" i="1"/>
  <c r="AD1041" i="1"/>
  <c r="AE1041" i="1"/>
  <c r="AF1041" i="1"/>
  <c r="AG1041" i="1"/>
  <c r="AH1041" i="1"/>
  <c r="AI1041" i="1"/>
  <c r="AJ1041" i="1"/>
  <c r="AK1041" i="1"/>
  <c r="AL1041" i="1"/>
  <c r="AM1041" i="1"/>
  <c r="D1044" i="1"/>
  <c r="E1044" i="1"/>
  <c r="F1044" i="1"/>
  <c r="G1044" i="1"/>
  <c r="H1044" i="1"/>
  <c r="I1044" i="1"/>
  <c r="J1044" i="1"/>
  <c r="K1044" i="1"/>
  <c r="L1044" i="1"/>
  <c r="M1044" i="1"/>
  <c r="N1044" i="1"/>
  <c r="O1044" i="1"/>
  <c r="P1044" i="1"/>
  <c r="Q1044" i="1"/>
  <c r="R1044" i="1"/>
  <c r="S1044" i="1"/>
  <c r="T1044" i="1"/>
  <c r="U1044" i="1"/>
  <c r="V1044" i="1"/>
  <c r="W1044" i="1"/>
  <c r="X1044" i="1"/>
  <c r="Y1044" i="1"/>
  <c r="Z1044" i="1"/>
  <c r="AA1044" i="1"/>
  <c r="AB1044" i="1"/>
  <c r="AC1044" i="1"/>
  <c r="AD1044" i="1"/>
  <c r="AE1044" i="1"/>
  <c r="AF1044" i="1"/>
  <c r="AG1044" i="1"/>
  <c r="AH1044" i="1"/>
  <c r="AI1044" i="1"/>
  <c r="AJ1044" i="1"/>
  <c r="AK1044" i="1"/>
  <c r="AL1044" i="1"/>
  <c r="AM1044" i="1"/>
  <c r="D1047" i="1"/>
  <c r="E1047" i="1"/>
  <c r="F1047" i="1"/>
  <c r="G1047" i="1"/>
  <c r="H1047" i="1"/>
  <c r="I1047" i="1"/>
  <c r="J1047" i="1"/>
  <c r="K1047" i="1"/>
  <c r="L1047" i="1"/>
  <c r="M1047" i="1"/>
  <c r="N1047" i="1"/>
  <c r="O1047" i="1"/>
  <c r="P1047" i="1"/>
  <c r="Q1047" i="1"/>
  <c r="R1047" i="1"/>
  <c r="S1047" i="1"/>
  <c r="T1047" i="1"/>
  <c r="U1047" i="1"/>
  <c r="V1047" i="1"/>
  <c r="W1047" i="1"/>
  <c r="X1047" i="1"/>
  <c r="Y1047" i="1"/>
  <c r="Z1047" i="1"/>
  <c r="AA1047" i="1"/>
  <c r="AB1047" i="1"/>
  <c r="AC1047" i="1"/>
  <c r="AD1047" i="1"/>
  <c r="AE1047" i="1"/>
  <c r="AF1047" i="1"/>
  <c r="AG1047" i="1"/>
  <c r="AH1047" i="1"/>
  <c r="AI1047" i="1"/>
  <c r="AJ1047" i="1"/>
  <c r="AK1047" i="1"/>
  <c r="AL1047" i="1"/>
  <c r="AM1047" i="1"/>
  <c r="E100" i="198"/>
  <c r="AN1033" i="1"/>
  <c r="K3" i="198"/>
  <c r="Q385" i="1"/>
  <c r="M385" i="1" s="1"/>
  <c r="R385" i="1"/>
  <c r="N385" i="1" s="1"/>
  <c r="S385" i="1"/>
  <c r="S387" i="1" s="1"/>
  <c r="T385" i="1"/>
  <c r="P385" i="1" s="1"/>
  <c r="O386" i="1"/>
  <c r="Q386" i="1"/>
  <c r="M386" i="1" s="1"/>
  <c r="R386" i="1"/>
  <c r="N386" i="1" s="1"/>
  <c r="S386" i="1"/>
  <c r="T386" i="1"/>
  <c r="P386" i="1" s="1"/>
  <c r="L386" i="1" s="1"/>
  <c r="H388" i="1"/>
  <c r="L396" i="1" s="1"/>
  <c r="I388" i="1"/>
  <c r="J388" i="1"/>
  <c r="K388" i="1"/>
  <c r="L388" i="1"/>
  <c r="M388" i="1"/>
  <c r="M396" i="1" s="1"/>
  <c r="N388" i="1"/>
  <c r="O388" i="1"/>
  <c r="P388" i="1"/>
  <c r="T396" i="1" s="1"/>
  <c r="Q388" i="1"/>
  <c r="Q387" i="1" s="1"/>
  <c r="R388" i="1"/>
  <c r="S388" i="1"/>
  <c r="T388" i="1"/>
  <c r="T387" i="1" s="1"/>
  <c r="H389" i="1"/>
  <c r="I389" i="1"/>
  <c r="M397" i="1" s="1"/>
  <c r="J389" i="1"/>
  <c r="K389" i="1"/>
  <c r="K390" i="1" s="1"/>
  <c r="L389" i="1"/>
  <c r="M389" i="1"/>
  <c r="N389" i="1"/>
  <c r="O389" i="1"/>
  <c r="P389" i="1"/>
  <c r="T397" i="1" s="1"/>
  <c r="Q389" i="1"/>
  <c r="Q397" i="1" s="1"/>
  <c r="R389" i="1"/>
  <c r="S389" i="1"/>
  <c r="S397" i="1" s="1"/>
  <c r="T389" i="1"/>
  <c r="T390" i="1"/>
  <c r="H391" i="1"/>
  <c r="H390" i="1" s="1"/>
  <c r="I391" i="1"/>
  <c r="J391" i="1"/>
  <c r="J390" i="1" s="1"/>
  <c r="K391" i="1"/>
  <c r="L391" i="1"/>
  <c r="L390" i="1" s="1"/>
  <c r="M391" i="1"/>
  <c r="M390" i="1" s="1"/>
  <c r="N391" i="1"/>
  <c r="O391" i="1"/>
  <c r="O390" i="1" s="1"/>
  <c r="P391" i="1"/>
  <c r="P390" i="1" s="1"/>
  <c r="Q391" i="1"/>
  <c r="R391" i="1"/>
  <c r="R390" i="1" s="1"/>
  <c r="S391" i="1"/>
  <c r="T391" i="1"/>
  <c r="B394" i="1"/>
  <c r="B395" i="1"/>
  <c r="S395" i="1"/>
  <c r="B396" i="1"/>
  <c r="O396" i="1"/>
  <c r="S396" i="1"/>
  <c r="B397" i="1"/>
  <c r="N397" i="1"/>
  <c r="P397" i="1"/>
  <c r="R397" i="1"/>
  <c r="B398" i="1"/>
  <c r="B399" i="1"/>
  <c r="H449" i="1"/>
  <c r="I449" i="1"/>
  <c r="M450" i="1" s="1"/>
  <c r="J449" i="1"/>
  <c r="K449" i="1"/>
  <c r="L449" i="1"/>
  <c r="P450" i="1" s="1"/>
  <c r="M449" i="1"/>
  <c r="N449" i="1"/>
  <c r="O449" i="1"/>
  <c r="P449" i="1"/>
  <c r="Q449" i="1"/>
  <c r="U450" i="1" s="1"/>
  <c r="R449" i="1"/>
  <c r="R450" i="1" s="1"/>
  <c r="T449" i="1"/>
  <c r="X450" i="1" s="1"/>
  <c r="U449" i="1"/>
  <c r="V449" i="1"/>
  <c r="W449" i="1"/>
  <c r="X449" i="1"/>
  <c r="Y449" i="1"/>
  <c r="Y450" i="1" s="1"/>
  <c r="Z449" i="1"/>
  <c r="Z450" i="1" s="1"/>
  <c r="AA449" i="1"/>
  <c r="AB449" i="1"/>
  <c r="AC449" i="1"/>
  <c r="AD449" i="1"/>
  <c r="AE449" i="1"/>
  <c r="AI450" i="1" s="1"/>
  <c r="AF449" i="1"/>
  <c r="AG449" i="1"/>
  <c r="AK450" i="1" s="1"/>
  <c r="AH449" i="1"/>
  <c r="AI449" i="1"/>
  <c r="AJ449" i="1"/>
  <c r="AK449" i="1"/>
  <c r="AL449" i="1"/>
  <c r="AM449" i="1"/>
  <c r="AM450" i="1" s="1"/>
  <c r="BB449" i="1"/>
  <c r="BC449" i="1"/>
  <c r="BC450" i="1" s="1"/>
  <c r="BD449" i="1"/>
  <c r="BD450" i="1" s="1"/>
  <c r="BG450" i="1" s="1"/>
  <c r="BE449" i="1"/>
  <c r="BG449" i="1"/>
  <c r="BJ449" i="1"/>
  <c r="AA450" i="1"/>
  <c r="AF450" i="1"/>
  <c r="AH450" i="1"/>
  <c r="H453" i="1"/>
  <c r="I453" i="1"/>
  <c r="J453" i="1"/>
  <c r="J456" i="1" s="1"/>
  <c r="K453" i="1"/>
  <c r="L453" i="1"/>
  <c r="BJ455" i="1" s="1"/>
  <c r="M453" i="1"/>
  <c r="N453" i="1"/>
  <c r="O453" i="1"/>
  <c r="P453" i="1"/>
  <c r="Q453" i="1"/>
  <c r="BJ453" i="1" s="1"/>
  <c r="R453" i="1"/>
  <c r="R456" i="1" s="1"/>
  <c r="S453" i="1"/>
  <c r="T453" i="1"/>
  <c r="T456" i="1" s="1"/>
  <c r="U453" i="1"/>
  <c r="V453" i="1"/>
  <c r="W453" i="1"/>
  <c r="X453" i="1"/>
  <c r="Y453" i="1"/>
  <c r="BL453" i="1" s="1"/>
  <c r="Z453" i="1"/>
  <c r="AA453" i="1"/>
  <c r="AB453" i="1"/>
  <c r="AF453" i="1" s="1"/>
  <c r="AC453" i="1"/>
  <c r="AG453" i="1" s="1"/>
  <c r="AD453" i="1"/>
  <c r="AH453" i="1" s="1"/>
  <c r="AE453" i="1"/>
  <c r="AI453" i="1" s="1"/>
  <c r="BG453" i="1"/>
  <c r="BG456" i="1" s="1"/>
  <c r="BH453" i="1"/>
  <c r="BH454" i="1" s="1"/>
  <c r="BI453" i="1"/>
  <c r="BI454" i="1" s="1"/>
  <c r="H456" i="1"/>
  <c r="K456" i="1"/>
  <c r="M456" i="1"/>
  <c r="N456" i="1"/>
  <c r="P456" i="1"/>
  <c r="U456" i="1"/>
  <c r="V456" i="1"/>
  <c r="X456" i="1"/>
  <c r="Z456" i="1"/>
  <c r="AA456" i="1"/>
  <c r="AB456" i="1"/>
  <c r="AC456" i="1"/>
  <c r="AD456" i="1"/>
  <c r="BO382" i="1"/>
  <c r="BO373" i="1"/>
  <c r="BH367" i="1"/>
  <c r="BI367" i="1"/>
  <c r="BJ367" i="1"/>
  <c r="BK367" i="1"/>
  <c r="BL367" i="1"/>
  <c r="BM367" i="1"/>
  <c r="BN367" i="1"/>
  <c r="BO367" i="1"/>
  <c r="BH368" i="1"/>
  <c r="BI368" i="1"/>
  <c r="BJ368" i="1"/>
  <c r="BK368" i="1"/>
  <c r="BL368" i="1"/>
  <c r="BM368" i="1"/>
  <c r="BN368" i="1"/>
  <c r="BO368" i="1"/>
  <c r="BH369" i="1"/>
  <c r="BI369" i="1"/>
  <c r="BJ369" i="1"/>
  <c r="BK369" i="1"/>
  <c r="BL369" i="1"/>
  <c r="BM369" i="1"/>
  <c r="BN369" i="1"/>
  <c r="BO369" i="1"/>
  <c r="BJ370" i="1"/>
  <c r="BK370" i="1"/>
  <c r="BL370" i="1"/>
  <c r="BM370" i="1"/>
  <c r="BN370" i="1"/>
  <c r="BO370" i="1"/>
  <c r="BH371" i="1"/>
  <c r="BI371" i="1"/>
  <c r="BJ371" i="1"/>
  <c r="BK371" i="1"/>
  <c r="BL371" i="1"/>
  <c r="BM371" i="1"/>
  <c r="BN371" i="1"/>
  <c r="BO371" i="1"/>
  <c r="BO381" i="1"/>
  <c r="BN381" i="1"/>
  <c r="BM381" i="1"/>
  <c r="BL381" i="1"/>
  <c r="BK381" i="1"/>
  <c r="BJ381" i="1"/>
  <c r="BI381" i="1"/>
  <c r="BO380" i="1"/>
  <c r="BN380" i="1"/>
  <c r="BM380" i="1"/>
  <c r="BL380" i="1"/>
  <c r="BK380" i="1"/>
  <c r="BJ380" i="1"/>
  <c r="BI380" i="1"/>
  <c r="BH380" i="1"/>
  <c r="BO379" i="1"/>
  <c r="BN379" i="1"/>
  <c r="BM379" i="1"/>
  <c r="BL379" i="1"/>
  <c r="BK379" i="1"/>
  <c r="BJ379" i="1"/>
  <c r="BO378" i="1"/>
  <c r="BN378" i="1"/>
  <c r="BM378" i="1"/>
  <c r="BL378" i="1"/>
  <c r="BK378" i="1"/>
  <c r="BJ378" i="1"/>
  <c r="BI378" i="1"/>
  <c r="BH378" i="1"/>
  <c r="BO377" i="1"/>
  <c r="BN377" i="1"/>
  <c r="BM377" i="1"/>
  <c r="BL377" i="1"/>
  <c r="BK377" i="1"/>
  <c r="BJ377" i="1"/>
  <c r="BI377" i="1"/>
  <c r="BH377" i="1"/>
  <c r="BO376" i="1"/>
  <c r="BN376" i="1"/>
  <c r="BM376" i="1"/>
  <c r="BL376" i="1"/>
  <c r="BK376" i="1"/>
  <c r="BJ376" i="1"/>
  <c r="BI376" i="1"/>
  <c r="BH376" i="1"/>
  <c r="BO372" i="1"/>
  <c r="BN372" i="1"/>
  <c r="BM372" i="1"/>
  <c r="BL372" i="1"/>
  <c r="BK372" i="1"/>
  <c r="BJ372" i="1"/>
  <c r="BI372" i="1"/>
  <c r="AN1047" i="1"/>
  <c r="AN1044" i="1"/>
  <c r="AN1041" i="1"/>
  <c r="AN1038" i="1"/>
  <c r="AN1035" i="1"/>
  <c r="AO1033" i="1" l="1"/>
  <c r="AO1032" i="1" s="1"/>
  <c r="AM453" i="1"/>
  <c r="AM456" i="1" s="1"/>
  <c r="AI456" i="1"/>
  <c r="BJ454" i="1"/>
  <c r="BJ456" i="1"/>
  <c r="BK455" i="1"/>
  <c r="N387" i="1"/>
  <c r="BM455" i="1"/>
  <c r="BI455" i="1"/>
  <c r="BE450" i="1"/>
  <c r="Q390" i="1"/>
  <c r="Q398" i="1" s="1"/>
  <c r="I390" i="1"/>
  <c r="M398" i="1" s="1"/>
  <c r="L456" i="1"/>
  <c r="AJ450" i="1"/>
  <c r="AB450" i="1"/>
  <c r="T450" i="1"/>
  <c r="L450" i="1"/>
  <c r="R394" i="1"/>
  <c r="R399" i="1"/>
  <c r="N390" i="1"/>
  <c r="R398" i="1" s="1"/>
  <c r="AE456" i="1"/>
  <c r="W456" i="1"/>
  <c r="O456" i="1"/>
  <c r="T399" i="1"/>
  <c r="O385" i="1"/>
  <c r="P398" i="1"/>
  <c r="BM453" i="1"/>
  <c r="BK453" i="1"/>
  <c r="AL450" i="1"/>
  <c r="AD450" i="1"/>
  <c r="V450" i="1"/>
  <c r="N450" i="1"/>
  <c r="N399" i="1"/>
  <c r="L399" i="1"/>
  <c r="Q396" i="1"/>
  <c r="L385" i="1"/>
  <c r="T394" i="1"/>
  <c r="O398" i="1"/>
  <c r="N398" i="1"/>
  <c r="T398" i="1"/>
  <c r="AL453" i="1"/>
  <c r="AL456" i="1" s="1"/>
  <c r="AH456" i="1"/>
  <c r="BK454" i="1"/>
  <c r="BL454" i="1"/>
  <c r="L398" i="1"/>
  <c r="Q395" i="1"/>
  <c r="M387" i="1"/>
  <c r="BN453" i="1"/>
  <c r="BO455" i="1"/>
  <c r="AJ453" i="1"/>
  <c r="AF456" i="1"/>
  <c r="AG456" i="1"/>
  <c r="AK453" i="1"/>
  <c r="AK456" i="1" s="1"/>
  <c r="BO449" i="1"/>
  <c r="M399" i="1"/>
  <c r="R396" i="1"/>
  <c r="T395" i="1"/>
  <c r="BL455" i="1"/>
  <c r="BN449" i="1"/>
  <c r="S399" i="1"/>
  <c r="O397" i="1"/>
  <c r="P396" i="1"/>
  <c r="R395" i="1"/>
  <c r="S390" i="1"/>
  <c r="S398" i="1" s="1"/>
  <c r="R387" i="1"/>
  <c r="Q450" i="1"/>
  <c r="AE450" i="1"/>
  <c r="O450" i="1"/>
  <c r="S394" i="1"/>
  <c r="Y456" i="1"/>
  <c r="Q456" i="1"/>
  <c r="I456" i="1"/>
  <c r="Q399" i="1"/>
  <c r="N396" i="1"/>
  <c r="P395" i="1"/>
  <c r="P387" i="1"/>
  <c r="AG450" i="1"/>
  <c r="AC450" i="1"/>
  <c r="P399" i="1"/>
  <c r="Q394" i="1"/>
  <c r="O399" i="1"/>
  <c r="K12" i="523"/>
  <c r="K7" i="523"/>
  <c r="BF945" i="1"/>
  <c r="U198" i="520"/>
  <c r="T198" i="520"/>
  <c r="S198" i="520"/>
  <c r="R198" i="520"/>
  <c r="Q198" i="520"/>
  <c r="P198" i="520"/>
  <c r="O198" i="520"/>
  <c r="N198" i="520"/>
  <c r="M198" i="520"/>
  <c r="L198" i="520"/>
  <c r="K198" i="520"/>
  <c r="J198" i="520"/>
  <c r="I198" i="520"/>
  <c r="H198" i="520"/>
  <c r="G198" i="520"/>
  <c r="F198" i="520"/>
  <c r="E198" i="520"/>
  <c r="D198" i="520"/>
  <c r="C198" i="520"/>
  <c r="S197" i="520"/>
  <c r="P190" i="520"/>
  <c r="O190" i="520"/>
  <c r="N190" i="520"/>
  <c r="M190" i="520"/>
  <c r="L190" i="520"/>
  <c r="L213" i="520" s="1"/>
  <c r="K190" i="520"/>
  <c r="K213" i="520" s="1"/>
  <c r="K184" i="520" s="1"/>
  <c r="J190" i="520"/>
  <c r="J213" i="520" s="1"/>
  <c r="J184" i="520" s="1"/>
  <c r="J191" i="520" s="1"/>
  <c r="I190" i="520"/>
  <c r="I213" i="520" s="1"/>
  <c r="I184" i="520" s="1"/>
  <c r="H190" i="520"/>
  <c r="H213" i="520" s="1"/>
  <c r="H184" i="520" s="1"/>
  <c r="G190" i="520"/>
  <c r="G213" i="520" s="1"/>
  <c r="G184" i="520" s="1"/>
  <c r="F190" i="520"/>
  <c r="F213" i="520" s="1"/>
  <c r="F184" i="520" s="1"/>
  <c r="E190" i="520"/>
  <c r="E213" i="520" s="1"/>
  <c r="E184" i="520" s="1"/>
  <c r="D190" i="520"/>
  <c r="D213" i="520" s="1"/>
  <c r="U186" i="520"/>
  <c r="V183" i="520" s="1"/>
  <c r="T186" i="520"/>
  <c r="S186" i="520"/>
  <c r="R186" i="520"/>
  <c r="Q186" i="520"/>
  <c r="P186" i="520"/>
  <c r="O186" i="520"/>
  <c r="N186" i="520"/>
  <c r="O183" i="520" s="1"/>
  <c r="M186" i="520"/>
  <c r="N183" i="520" s="1"/>
  <c r="L186" i="520"/>
  <c r="M183" i="520" s="1"/>
  <c r="K186" i="520"/>
  <c r="L183" i="520" s="1"/>
  <c r="J186" i="520"/>
  <c r="K183" i="520" s="1"/>
  <c r="I186" i="520"/>
  <c r="J183" i="520" s="1"/>
  <c r="H186" i="520"/>
  <c r="I183" i="520" s="1"/>
  <c r="G186" i="520"/>
  <c r="H183" i="520" s="1"/>
  <c r="F186" i="520"/>
  <c r="G183" i="520" s="1"/>
  <c r="E186" i="520"/>
  <c r="F183" i="520" s="1"/>
  <c r="D186" i="520"/>
  <c r="E183" i="520" s="1"/>
  <c r="U184" i="520"/>
  <c r="T184" i="520"/>
  <c r="S184" i="520"/>
  <c r="S203" i="520" s="1"/>
  <c r="R184" i="520"/>
  <c r="R203" i="520" s="1"/>
  <c r="Q184" i="520"/>
  <c r="Q191" i="520" s="1"/>
  <c r="P184" i="520"/>
  <c r="P203" i="520" s="1"/>
  <c r="O184" i="520"/>
  <c r="O203" i="520" s="1"/>
  <c r="N184" i="520"/>
  <c r="N203" i="520" s="1"/>
  <c r="M184" i="520"/>
  <c r="M203" i="520" s="1"/>
  <c r="C184" i="520"/>
  <c r="C191" i="520" s="1"/>
  <c r="D183" i="520"/>
  <c r="U170" i="520"/>
  <c r="U197" i="520" s="1"/>
  <c r="T170" i="520"/>
  <c r="T197" i="520" s="1"/>
  <c r="T199" i="520" s="1"/>
  <c r="S170" i="520"/>
  <c r="S178" i="520" s="1"/>
  <c r="R170" i="520"/>
  <c r="R197" i="520" s="1"/>
  <c r="Q170" i="520"/>
  <c r="Q197" i="520" s="1"/>
  <c r="P170" i="520"/>
  <c r="O170" i="520"/>
  <c r="O197" i="520" s="1"/>
  <c r="N170" i="520"/>
  <c r="N197" i="520" s="1"/>
  <c r="M170" i="520"/>
  <c r="M197" i="520" s="1"/>
  <c r="L170" i="520"/>
  <c r="M175" i="520" s="1"/>
  <c r="K170" i="520"/>
  <c r="L175" i="520" s="1"/>
  <c r="J170" i="520"/>
  <c r="K16" i="520" s="1"/>
  <c r="I170" i="520"/>
  <c r="H170" i="520"/>
  <c r="I175" i="520" s="1"/>
  <c r="G170" i="520"/>
  <c r="H175" i="520" s="1"/>
  <c r="F170" i="520"/>
  <c r="F197" i="520" s="1"/>
  <c r="E170" i="520"/>
  <c r="D170" i="520"/>
  <c r="C170" i="520"/>
  <c r="C197" i="520" s="1"/>
  <c r="A97" i="520"/>
  <c r="A130" i="520" s="1"/>
  <c r="U57" i="520"/>
  <c r="T57" i="520"/>
  <c r="S57" i="520"/>
  <c r="R57" i="520"/>
  <c r="Q57" i="520"/>
  <c r="P57" i="520"/>
  <c r="O57" i="520"/>
  <c r="N57" i="520"/>
  <c r="M57" i="520"/>
  <c r="L53" i="520"/>
  <c r="K53" i="520"/>
  <c r="J53" i="520"/>
  <c r="I53" i="520"/>
  <c r="H53" i="520"/>
  <c r="G53" i="520"/>
  <c r="F53" i="520"/>
  <c r="E53" i="520"/>
  <c r="D53" i="520"/>
  <c r="C52" i="520"/>
  <c r="AA51" i="520"/>
  <c r="AB51" i="520" s="1"/>
  <c r="U51" i="520"/>
  <c r="T51" i="520"/>
  <c r="S51" i="520"/>
  <c r="R51" i="520"/>
  <c r="Q51" i="520"/>
  <c r="P51" i="520"/>
  <c r="O51" i="520"/>
  <c r="N51" i="520"/>
  <c r="M51" i="520"/>
  <c r="L51" i="520"/>
  <c r="K51" i="520"/>
  <c r="J51" i="520"/>
  <c r="I51" i="520"/>
  <c r="H51" i="520"/>
  <c r="G51" i="520"/>
  <c r="F51" i="520"/>
  <c r="E51" i="520"/>
  <c r="D51" i="520"/>
  <c r="A14" i="520"/>
  <c r="D4" i="520"/>
  <c r="M4" i="520" s="1"/>
  <c r="N4" i="520" s="1"/>
  <c r="AG1" i="520"/>
  <c r="R203" i="521"/>
  <c r="Q203" i="521"/>
  <c r="U198" i="521"/>
  <c r="T198" i="521"/>
  <c r="S198" i="521"/>
  <c r="R198" i="521"/>
  <c r="Q198" i="521"/>
  <c r="P198" i="521"/>
  <c r="O198" i="521"/>
  <c r="N198" i="521"/>
  <c r="M198" i="521"/>
  <c r="L198" i="521"/>
  <c r="K198" i="521"/>
  <c r="J198" i="521"/>
  <c r="I198" i="521"/>
  <c r="H198" i="521"/>
  <c r="G198" i="521"/>
  <c r="F198" i="521"/>
  <c r="E198" i="521"/>
  <c r="D198" i="521"/>
  <c r="C198" i="521"/>
  <c r="S197" i="521"/>
  <c r="P197" i="521"/>
  <c r="H197" i="521"/>
  <c r="H199" i="521" s="1"/>
  <c r="H205" i="521" s="1"/>
  <c r="G197" i="521"/>
  <c r="P190" i="521"/>
  <c r="O190" i="521"/>
  <c r="N190" i="521"/>
  <c r="M190" i="521"/>
  <c r="L190" i="521"/>
  <c r="L213" i="521" s="1"/>
  <c r="K190" i="521"/>
  <c r="K213" i="521" s="1"/>
  <c r="K57" i="521" s="1"/>
  <c r="J190" i="521"/>
  <c r="J213" i="521" s="1"/>
  <c r="I190" i="521"/>
  <c r="I213" i="521" s="1"/>
  <c r="H190" i="521"/>
  <c r="H213" i="521" s="1"/>
  <c r="H57" i="521" s="1"/>
  <c r="G190" i="521"/>
  <c r="G213" i="521" s="1"/>
  <c r="F190" i="521"/>
  <c r="F213" i="521" s="1"/>
  <c r="E190" i="521"/>
  <c r="E213" i="521" s="1"/>
  <c r="D190" i="521"/>
  <c r="D213" i="521" s="1"/>
  <c r="U186" i="521"/>
  <c r="V183" i="521" s="1"/>
  <c r="T186" i="521"/>
  <c r="S186" i="521"/>
  <c r="T183" i="521" s="1"/>
  <c r="R186" i="521"/>
  <c r="S183" i="521" s="1"/>
  <c r="Q186" i="521"/>
  <c r="R183" i="521" s="1"/>
  <c r="P186" i="521"/>
  <c r="Q183" i="521" s="1"/>
  <c r="O186" i="521"/>
  <c r="P183" i="521" s="1"/>
  <c r="N186" i="521"/>
  <c r="O183" i="521" s="1"/>
  <c r="M186" i="521"/>
  <c r="N183" i="521" s="1"/>
  <c r="L186" i="521"/>
  <c r="M183" i="521" s="1"/>
  <c r="K186" i="521"/>
  <c r="L183" i="521" s="1"/>
  <c r="J186" i="521"/>
  <c r="K183" i="521" s="1"/>
  <c r="I186" i="521"/>
  <c r="J183" i="521" s="1"/>
  <c r="H186" i="521"/>
  <c r="I183" i="521" s="1"/>
  <c r="G186" i="521"/>
  <c r="H183" i="521" s="1"/>
  <c r="F186" i="521"/>
  <c r="G183" i="521" s="1"/>
  <c r="E186" i="521"/>
  <c r="F183" i="521" s="1"/>
  <c r="D186" i="521"/>
  <c r="E183" i="521" s="1"/>
  <c r="U184" i="521"/>
  <c r="T184" i="521"/>
  <c r="S184" i="521"/>
  <c r="S203" i="521" s="1"/>
  <c r="R184" i="521"/>
  <c r="R191" i="521" s="1"/>
  <c r="Q184" i="521"/>
  <c r="Q191" i="521" s="1"/>
  <c r="P184" i="521"/>
  <c r="P191" i="521" s="1"/>
  <c r="O184" i="521"/>
  <c r="O191" i="521" s="1"/>
  <c r="N184" i="521"/>
  <c r="N191" i="521" s="1"/>
  <c r="M184" i="521"/>
  <c r="M191" i="521" s="1"/>
  <c r="C184" i="521"/>
  <c r="C191" i="521" s="1"/>
  <c r="D183" i="521"/>
  <c r="U170" i="521"/>
  <c r="T170" i="521"/>
  <c r="S170" i="521"/>
  <c r="R170" i="521"/>
  <c r="Q170" i="521"/>
  <c r="P170" i="521"/>
  <c r="Q175" i="521" s="1"/>
  <c r="O170" i="521"/>
  <c r="O178" i="521" s="1"/>
  <c r="N170" i="521"/>
  <c r="N197" i="521" s="1"/>
  <c r="N199" i="521" s="1"/>
  <c r="N205" i="521" s="1"/>
  <c r="M170" i="521"/>
  <c r="L170" i="521"/>
  <c r="L178" i="521" s="1"/>
  <c r="K170" i="521"/>
  <c r="L175" i="521" s="1"/>
  <c r="J170" i="521"/>
  <c r="K175" i="521" s="1"/>
  <c r="I170" i="521"/>
  <c r="J175" i="521" s="1"/>
  <c r="H170" i="521"/>
  <c r="H178" i="521" s="1"/>
  <c r="G170" i="521"/>
  <c r="H16" i="521" s="1"/>
  <c r="H68" i="521" s="1"/>
  <c r="F170" i="521"/>
  <c r="F197" i="521" s="1"/>
  <c r="E170" i="521"/>
  <c r="D170" i="521"/>
  <c r="D178" i="521" s="1"/>
  <c r="C170" i="521"/>
  <c r="C197" i="521" s="1"/>
  <c r="A97" i="521"/>
  <c r="A130" i="521" s="1"/>
  <c r="U57" i="521"/>
  <c r="T57" i="521"/>
  <c r="S57" i="521"/>
  <c r="R57" i="521"/>
  <c r="Q57" i="521"/>
  <c r="P57" i="521"/>
  <c r="O57" i="521"/>
  <c r="N57" i="521"/>
  <c r="M57" i="521"/>
  <c r="L53" i="521"/>
  <c r="K53" i="521"/>
  <c r="J53" i="521"/>
  <c r="I53" i="521"/>
  <c r="H53" i="521"/>
  <c r="G53" i="521"/>
  <c r="F53" i="521"/>
  <c r="E53" i="521"/>
  <c r="D53" i="521"/>
  <c r="C52" i="521"/>
  <c r="AA51" i="521"/>
  <c r="AB51" i="521" s="1"/>
  <c r="AC51" i="521" s="1"/>
  <c r="U51" i="521"/>
  <c r="T51" i="521"/>
  <c r="S51" i="521"/>
  <c r="R51" i="521"/>
  <c r="Q51" i="521"/>
  <c r="P51" i="521"/>
  <c r="O51" i="521"/>
  <c r="N51" i="521"/>
  <c r="M51" i="521"/>
  <c r="L51" i="521"/>
  <c r="K51" i="521"/>
  <c r="J51" i="521"/>
  <c r="I51" i="521"/>
  <c r="H51" i="521"/>
  <c r="G51" i="521"/>
  <c r="F51" i="521"/>
  <c r="E51" i="521"/>
  <c r="D51" i="521"/>
  <c r="A14" i="521"/>
  <c r="D4" i="521"/>
  <c r="M4" i="521" s="1"/>
  <c r="N4" i="521" s="1"/>
  <c r="AG1" i="521"/>
  <c r="AO1047" i="1"/>
  <c r="AO1044" i="1"/>
  <c r="AO1041" i="1"/>
  <c r="AO1038" i="1"/>
  <c r="AO1035" i="1"/>
  <c r="O387" i="1" l="1"/>
  <c r="BM454" i="1"/>
  <c r="BN455" i="1"/>
  <c r="BN454" i="1"/>
  <c r="BN456" i="1"/>
  <c r="BO451" i="1"/>
  <c r="L387" i="1"/>
  <c r="BO450" i="1"/>
  <c r="AJ456" i="1"/>
  <c r="BO453" i="1"/>
  <c r="P394" i="1"/>
  <c r="E57" i="520"/>
  <c r="S208" i="521"/>
  <c r="N185" i="521"/>
  <c r="S209" i="521"/>
  <c r="N185" i="520"/>
  <c r="H184" i="521"/>
  <c r="H203" i="521" s="1"/>
  <c r="O175" i="520"/>
  <c r="M191" i="520"/>
  <c r="D175" i="521"/>
  <c r="N175" i="520"/>
  <c r="N187" i="520" s="1"/>
  <c r="K178" i="520"/>
  <c r="M185" i="520"/>
  <c r="L178" i="520"/>
  <c r="M178" i="520"/>
  <c r="E16" i="520"/>
  <c r="E65" i="520" s="1"/>
  <c r="E64" i="520" s="1"/>
  <c r="H187" i="520"/>
  <c r="N191" i="520"/>
  <c r="N193" i="520" s="1"/>
  <c r="Q16" i="521"/>
  <c r="Q77" i="521" s="1"/>
  <c r="Q32" i="521" s="1"/>
  <c r="Q110" i="521" s="1"/>
  <c r="P209" i="520"/>
  <c r="N178" i="520"/>
  <c r="I197" i="521"/>
  <c r="I199" i="521" s="1"/>
  <c r="J201" i="521" s="1"/>
  <c r="P175" i="520"/>
  <c r="P187" i="520" s="1"/>
  <c r="F199" i="520"/>
  <c r="G201" i="520" s="1"/>
  <c r="C199" i="521"/>
  <c r="D201" i="521" s="1"/>
  <c r="I16" i="520"/>
  <c r="M203" i="521"/>
  <c r="F199" i="521"/>
  <c r="F205" i="521" s="1"/>
  <c r="N203" i="521"/>
  <c r="N209" i="521" s="1"/>
  <c r="M187" i="520"/>
  <c r="O203" i="521"/>
  <c r="O209" i="521" s="1"/>
  <c r="M199" i="520"/>
  <c r="M205" i="520" s="1"/>
  <c r="P203" i="521"/>
  <c r="P209" i="521" s="1"/>
  <c r="O197" i="521"/>
  <c r="O199" i="521" s="1"/>
  <c r="T16" i="520"/>
  <c r="T80" i="520" s="1"/>
  <c r="T35" i="520" s="1"/>
  <c r="T113" i="520" s="1"/>
  <c r="T146" i="520" s="1"/>
  <c r="M185" i="521"/>
  <c r="U16" i="520"/>
  <c r="U81" i="520" s="1"/>
  <c r="U147" i="520" s="1"/>
  <c r="H178" i="520"/>
  <c r="L16" i="521"/>
  <c r="L72" i="521" s="1"/>
  <c r="N178" i="521"/>
  <c r="O16" i="521"/>
  <c r="O75" i="521" s="1"/>
  <c r="P75" i="521" s="1"/>
  <c r="Q75" i="521" s="1"/>
  <c r="Q178" i="521"/>
  <c r="P16" i="521"/>
  <c r="P76" i="521" s="1"/>
  <c r="P31" i="521" s="1"/>
  <c r="P109" i="521" s="1"/>
  <c r="J197" i="521"/>
  <c r="J199" i="521" s="1"/>
  <c r="S16" i="520"/>
  <c r="S79" i="520" s="1"/>
  <c r="Q175" i="520"/>
  <c r="Q187" i="520" s="1"/>
  <c r="O178" i="520"/>
  <c r="P178" i="520"/>
  <c r="D16" i="520"/>
  <c r="T178" i="520"/>
  <c r="K197" i="521"/>
  <c r="K199" i="521" s="1"/>
  <c r="L197" i="521"/>
  <c r="L199" i="521" s="1"/>
  <c r="F178" i="520"/>
  <c r="G178" i="520"/>
  <c r="U178" i="520"/>
  <c r="V175" i="520" s="1"/>
  <c r="T205" i="520"/>
  <c r="U201" i="520"/>
  <c r="N208" i="520"/>
  <c r="N199" i="520"/>
  <c r="O201" i="520" s="1"/>
  <c r="O208" i="520"/>
  <c r="O199" i="520"/>
  <c r="P201" i="520" s="1"/>
  <c r="G16" i="521"/>
  <c r="G67" i="521" s="1"/>
  <c r="G22" i="521" s="1"/>
  <c r="G100" i="521" s="1"/>
  <c r="G133" i="521" s="1"/>
  <c r="F16" i="520"/>
  <c r="F66" i="520" s="1"/>
  <c r="P191" i="520"/>
  <c r="P193" i="520" s="1"/>
  <c r="R191" i="520"/>
  <c r="S191" i="520"/>
  <c r="G16" i="520"/>
  <c r="G67" i="520" s="1"/>
  <c r="H67" i="520" s="1"/>
  <c r="G175" i="521"/>
  <c r="H16" i="520"/>
  <c r="H68" i="520" s="1"/>
  <c r="I68" i="520" s="1"/>
  <c r="H197" i="520"/>
  <c r="H199" i="520" s="1"/>
  <c r="H205" i="520" s="1"/>
  <c r="H175" i="521"/>
  <c r="H187" i="521" s="1"/>
  <c r="I175" i="521"/>
  <c r="N16" i="520"/>
  <c r="N74" i="520" s="1"/>
  <c r="O175" i="521"/>
  <c r="O187" i="521" s="1"/>
  <c r="R185" i="521"/>
  <c r="S185" i="521"/>
  <c r="Q203" i="520"/>
  <c r="Q208" i="520" s="1"/>
  <c r="F178" i="521"/>
  <c r="F175" i="520"/>
  <c r="F187" i="520" s="1"/>
  <c r="G178" i="521"/>
  <c r="S191" i="521"/>
  <c r="G175" i="520"/>
  <c r="G187" i="520" s="1"/>
  <c r="N209" i="520"/>
  <c r="K185" i="520"/>
  <c r="O191" i="520"/>
  <c r="O193" i="520" s="1"/>
  <c r="G197" i="520"/>
  <c r="G199" i="520" s="1"/>
  <c r="H201" i="520" s="1"/>
  <c r="K197" i="520"/>
  <c r="K199" i="520" s="1"/>
  <c r="L201" i="520" s="1"/>
  <c r="L16" i="520"/>
  <c r="L197" i="520"/>
  <c r="L199" i="520" s="1"/>
  <c r="L205" i="520" s="1"/>
  <c r="M16" i="520"/>
  <c r="M73" i="520" s="1"/>
  <c r="M193" i="521"/>
  <c r="M194" i="521" s="1"/>
  <c r="L194" i="521" s="1"/>
  <c r="K194" i="521" s="1"/>
  <c r="J194" i="521" s="1"/>
  <c r="I194" i="521" s="1"/>
  <c r="H194" i="521" s="1"/>
  <c r="G194" i="521" s="1"/>
  <c r="F194" i="521" s="1"/>
  <c r="E194" i="521" s="1"/>
  <c r="D194" i="521" s="1"/>
  <c r="N193" i="521"/>
  <c r="N194" i="521" s="1"/>
  <c r="O16" i="520"/>
  <c r="O75" i="520" s="1"/>
  <c r="Q199" i="520"/>
  <c r="R201" i="520" s="1"/>
  <c r="M175" i="521"/>
  <c r="M187" i="521" s="1"/>
  <c r="O193" i="521"/>
  <c r="O194" i="521" s="1"/>
  <c r="P193" i="521"/>
  <c r="P194" i="521" s="1"/>
  <c r="D175" i="520"/>
  <c r="K178" i="521"/>
  <c r="I201" i="521"/>
  <c r="O209" i="520"/>
  <c r="O185" i="521"/>
  <c r="P197" i="520"/>
  <c r="P175" i="521"/>
  <c r="P187" i="521" s="1"/>
  <c r="F57" i="520"/>
  <c r="I57" i="520"/>
  <c r="K57" i="520"/>
  <c r="J57" i="520"/>
  <c r="H57" i="520"/>
  <c r="J185" i="520"/>
  <c r="G57" i="520"/>
  <c r="K71" i="520"/>
  <c r="S183" i="520"/>
  <c r="S185" i="520"/>
  <c r="T183" i="520"/>
  <c r="T185" i="520"/>
  <c r="U183" i="520"/>
  <c r="U185" i="520" s="1"/>
  <c r="V185" i="520" s="1"/>
  <c r="O187" i="520"/>
  <c r="P183" i="520"/>
  <c r="P185" i="520" s="1"/>
  <c r="O185" i="520"/>
  <c r="I69" i="520"/>
  <c r="J16" i="520"/>
  <c r="R183" i="520"/>
  <c r="R185" i="520" s="1"/>
  <c r="Q185" i="520"/>
  <c r="L72" i="520"/>
  <c r="I191" i="520"/>
  <c r="I203" i="520"/>
  <c r="R208" i="520"/>
  <c r="R199" i="520"/>
  <c r="U199" i="520"/>
  <c r="Q183" i="520"/>
  <c r="J178" i="520"/>
  <c r="J197" i="520"/>
  <c r="J199" i="520" s="1"/>
  <c r="K175" i="520"/>
  <c r="K187" i="520" s="1"/>
  <c r="T203" i="520"/>
  <c r="T209" i="520" s="1"/>
  <c r="T191" i="520"/>
  <c r="U203" i="520"/>
  <c r="U209" i="520" s="1"/>
  <c r="U191" i="520"/>
  <c r="K191" i="520"/>
  <c r="K203" i="520"/>
  <c r="L184" i="520"/>
  <c r="L187" i="520" s="1"/>
  <c r="L57" i="520"/>
  <c r="H185" i="520"/>
  <c r="M193" i="520"/>
  <c r="S208" i="520"/>
  <c r="S199" i="520"/>
  <c r="Q16" i="520"/>
  <c r="R175" i="520"/>
  <c r="R187" i="520" s="1"/>
  <c r="Q178" i="520"/>
  <c r="R16" i="520"/>
  <c r="S175" i="520"/>
  <c r="S187" i="520" s="1"/>
  <c r="R209" i="520"/>
  <c r="R178" i="520"/>
  <c r="J203" i="520"/>
  <c r="AC51" i="520"/>
  <c r="I185" i="520"/>
  <c r="D64" i="520"/>
  <c r="D197" i="520"/>
  <c r="D199" i="520" s="1"/>
  <c r="E175" i="520"/>
  <c r="E187" i="520" s="1"/>
  <c r="D184" i="520"/>
  <c r="D185" i="520" s="1"/>
  <c r="D57" i="520"/>
  <c r="E178" i="520"/>
  <c r="E197" i="520"/>
  <c r="E199" i="520" s="1"/>
  <c r="D178" i="520"/>
  <c r="E191" i="520"/>
  <c r="E203" i="520"/>
  <c r="F191" i="520"/>
  <c r="F203" i="520"/>
  <c r="G191" i="520"/>
  <c r="G203" i="520"/>
  <c r="I187" i="520"/>
  <c r="H191" i="520"/>
  <c r="H203" i="520"/>
  <c r="J175" i="520"/>
  <c r="J187" i="520" s="1"/>
  <c r="I178" i="520"/>
  <c r="I197" i="520"/>
  <c r="I199" i="520" s="1"/>
  <c r="C199" i="520"/>
  <c r="D201" i="520" s="1"/>
  <c r="T175" i="520"/>
  <c r="T187" i="520" s="1"/>
  <c r="S209" i="520"/>
  <c r="U175" i="520"/>
  <c r="E185" i="520"/>
  <c r="F185" i="520"/>
  <c r="G185" i="520"/>
  <c r="P16" i="520"/>
  <c r="E175" i="521"/>
  <c r="D16" i="521"/>
  <c r="D64" i="521"/>
  <c r="D197" i="521"/>
  <c r="D199" i="521" s="1"/>
  <c r="F175" i="521"/>
  <c r="E178" i="521"/>
  <c r="E16" i="521"/>
  <c r="E197" i="521"/>
  <c r="E199" i="521" s="1"/>
  <c r="AD51" i="521"/>
  <c r="E57" i="521"/>
  <c r="E184" i="521"/>
  <c r="F184" i="521"/>
  <c r="F57" i="521"/>
  <c r="H23" i="521"/>
  <c r="J184" i="521"/>
  <c r="J185" i="521" s="1"/>
  <c r="J57" i="521"/>
  <c r="L57" i="521"/>
  <c r="L184" i="521"/>
  <c r="G184" i="521"/>
  <c r="G185" i="521" s="1"/>
  <c r="G57" i="521"/>
  <c r="D184" i="521"/>
  <c r="D185" i="521" s="1"/>
  <c r="D57" i="521"/>
  <c r="M197" i="521"/>
  <c r="M199" i="521" s="1"/>
  <c r="N175" i="521"/>
  <c r="N16" i="521"/>
  <c r="M16" i="521"/>
  <c r="M178" i="521"/>
  <c r="I68" i="521"/>
  <c r="K184" i="521"/>
  <c r="K187" i="521" s="1"/>
  <c r="O201" i="521"/>
  <c r="I57" i="521"/>
  <c r="I184" i="521"/>
  <c r="T203" i="521"/>
  <c r="T209" i="521" s="1"/>
  <c r="T191" i="521"/>
  <c r="T197" i="521"/>
  <c r="U175" i="521"/>
  <c r="U187" i="521" s="1"/>
  <c r="T178" i="521"/>
  <c r="T16" i="521"/>
  <c r="U183" i="521"/>
  <c r="U185" i="521" s="1"/>
  <c r="V185" i="521" s="1"/>
  <c r="T185" i="521"/>
  <c r="U197" i="521"/>
  <c r="U178" i="521"/>
  <c r="U16" i="521"/>
  <c r="P185" i="521"/>
  <c r="G199" i="521"/>
  <c r="U203" i="521"/>
  <c r="U209" i="521" s="1"/>
  <c r="U191" i="521"/>
  <c r="Q185" i="521"/>
  <c r="S199" i="521"/>
  <c r="Q209" i="521"/>
  <c r="R175" i="521"/>
  <c r="R187" i="521" s="1"/>
  <c r="R209" i="521"/>
  <c r="S175" i="521"/>
  <c r="S187" i="521" s="1"/>
  <c r="R178" i="521"/>
  <c r="Q197" i="521"/>
  <c r="P199" i="521"/>
  <c r="R16" i="521"/>
  <c r="T175" i="521"/>
  <c r="T187" i="521" s="1"/>
  <c r="S16" i="521"/>
  <c r="S178" i="521"/>
  <c r="R197" i="521"/>
  <c r="F16" i="521"/>
  <c r="J178" i="521"/>
  <c r="J16" i="521"/>
  <c r="Q187" i="521"/>
  <c r="I178" i="521"/>
  <c r="I16" i="521"/>
  <c r="K16" i="521"/>
  <c r="P178" i="521"/>
  <c r="BO454" i="1" l="1"/>
  <c r="BO456" i="1"/>
  <c r="H185" i="521"/>
  <c r="H191" i="521"/>
  <c r="N201" i="520"/>
  <c r="K205" i="520"/>
  <c r="O208" i="521"/>
  <c r="R77" i="521"/>
  <c r="Q143" i="521"/>
  <c r="T208" i="520"/>
  <c r="N208" i="521"/>
  <c r="N210" i="521"/>
  <c r="P208" i="521"/>
  <c r="P142" i="521"/>
  <c r="F205" i="520"/>
  <c r="U80" i="520"/>
  <c r="U35" i="520" s="1"/>
  <c r="U113" i="520" s="1"/>
  <c r="U146" i="520" s="1"/>
  <c r="G205" i="520"/>
  <c r="N205" i="520"/>
  <c r="M201" i="520"/>
  <c r="H23" i="520"/>
  <c r="H101" i="520" s="1"/>
  <c r="H134" i="520" s="1"/>
  <c r="I23" i="520" s="1"/>
  <c r="Q76" i="521"/>
  <c r="R76" i="521" s="1"/>
  <c r="S76" i="521" s="1"/>
  <c r="T76" i="521" s="1"/>
  <c r="P53" i="521"/>
  <c r="U36" i="520"/>
  <c r="V81" i="520"/>
  <c r="M72" i="521"/>
  <c r="N72" i="521" s="1"/>
  <c r="O72" i="521" s="1"/>
  <c r="P72" i="521" s="1"/>
  <c r="Q72" i="521" s="1"/>
  <c r="Q205" i="520"/>
  <c r="Q210" i="520" s="1"/>
  <c r="L27" i="521"/>
  <c r="L105" i="521" s="1"/>
  <c r="L138" i="521" s="1"/>
  <c r="M27" i="521" s="1"/>
  <c r="M105" i="521" s="1"/>
  <c r="M138" i="521" s="1"/>
  <c r="N27" i="521" s="1"/>
  <c r="I205" i="521"/>
  <c r="G201" i="521"/>
  <c r="O205" i="520"/>
  <c r="O210" i="520" s="1"/>
  <c r="G22" i="520"/>
  <c r="G100" i="520" s="1"/>
  <c r="G133" i="520" s="1"/>
  <c r="H22" i="520" s="1"/>
  <c r="O30" i="521"/>
  <c r="O108" i="521" s="1"/>
  <c r="O141" i="521" s="1"/>
  <c r="P30" i="521" s="1"/>
  <c r="P194" i="520"/>
  <c r="P53" i="520"/>
  <c r="T210" i="520"/>
  <c r="Q209" i="520"/>
  <c r="G66" i="520"/>
  <c r="H66" i="520" s="1"/>
  <c r="I66" i="520" s="1"/>
  <c r="F21" i="520"/>
  <c r="F99" i="520" s="1"/>
  <c r="F132" i="520" s="1"/>
  <c r="G21" i="520" s="1"/>
  <c r="G99" i="520" s="1"/>
  <c r="G132" i="520" s="1"/>
  <c r="H21" i="520" s="1"/>
  <c r="M53" i="521"/>
  <c r="I187" i="521"/>
  <c r="I201" i="520"/>
  <c r="P208" i="520"/>
  <c r="P199" i="520"/>
  <c r="N53" i="521"/>
  <c r="H67" i="521"/>
  <c r="H22" i="521" s="1"/>
  <c r="H100" i="521" s="1"/>
  <c r="O53" i="521"/>
  <c r="I185" i="521"/>
  <c r="J187" i="521"/>
  <c r="E187" i="521"/>
  <c r="J70" i="520"/>
  <c r="M194" i="520"/>
  <c r="L194" i="520" s="1"/>
  <c r="K194" i="520" s="1"/>
  <c r="J194" i="520" s="1"/>
  <c r="I194" i="520" s="1"/>
  <c r="H194" i="520" s="1"/>
  <c r="G194" i="520" s="1"/>
  <c r="F194" i="520" s="1"/>
  <c r="E194" i="520" s="1"/>
  <c r="D194" i="520" s="1"/>
  <c r="M53" i="520"/>
  <c r="D205" i="520"/>
  <c r="E201" i="520"/>
  <c r="D19" i="520"/>
  <c r="J69" i="520"/>
  <c r="I24" i="520"/>
  <c r="T79" i="520"/>
  <c r="S34" i="520"/>
  <c r="M72" i="520"/>
  <c r="L27" i="520"/>
  <c r="U187" i="520"/>
  <c r="W81" i="520"/>
  <c r="V36" i="520"/>
  <c r="E205" i="520"/>
  <c r="F201" i="520"/>
  <c r="V80" i="520"/>
  <c r="K201" i="520"/>
  <c r="J205" i="520"/>
  <c r="M28" i="520"/>
  <c r="N73" i="520"/>
  <c r="U208" i="520"/>
  <c r="V201" i="520"/>
  <c r="U205" i="520"/>
  <c r="D191" i="520"/>
  <c r="D203" i="520"/>
  <c r="O194" i="520"/>
  <c r="O53" i="520"/>
  <c r="J68" i="520"/>
  <c r="I205" i="520"/>
  <c r="J201" i="520"/>
  <c r="O74" i="520"/>
  <c r="N29" i="520"/>
  <c r="S201" i="520"/>
  <c r="R205" i="520"/>
  <c r="Q77" i="520"/>
  <c r="N210" i="520"/>
  <c r="P75" i="520"/>
  <c r="O30" i="520"/>
  <c r="N194" i="520"/>
  <c r="N53" i="520"/>
  <c r="AD51" i="520"/>
  <c r="P76" i="520"/>
  <c r="I67" i="520"/>
  <c r="E20" i="520"/>
  <c r="F65" i="520"/>
  <c r="K26" i="520"/>
  <c r="L71" i="520"/>
  <c r="L203" i="520"/>
  <c r="L185" i="520"/>
  <c r="L191" i="520"/>
  <c r="D187" i="520"/>
  <c r="R78" i="520"/>
  <c r="T201" i="520"/>
  <c r="S205" i="520"/>
  <c r="T201" i="521"/>
  <c r="S205" i="521"/>
  <c r="G203" i="521"/>
  <c r="G191" i="521"/>
  <c r="L203" i="521"/>
  <c r="L191" i="521"/>
  <c r="F201" i="521"/>
  <c r="E205" i="521"/>
  <c r="J70" i="521"/>
  <c r="K203" i="521"/>
  <c r="K191" i="521"/>
  <c r="J68" i="521"/>
  <c r="U76" i="521"/>
  <c r="Q201" i="521"/>
  <c r="P205" i="521"/>
  <c r="M201" i="521"/>
  <c r="L205" i="521"/>
  <c r="J203" i="521"/>
  <c r="J191" i="521"/>
  <c r="E201" i="521"/>
  <c r="D205" i="521"/>
  <c r="F203" i="521"/>
  <c r="F185" i="521"/>
  <c r="F191" i="521"/>
  <c r="T80" i="521"/>
  <c r="E203" i="521"/>
  <c r="E185" i="521"/>
  <c r="E191" i="521"/>
  <c r="D187" i="521"/>
  <c r="V175" i="521"/>
  <c r="K71" i="521"/>
  <c r="I69" i="521"/>
  <c r="E65" i="521"/>
  <c r="L201" i="521"/>
  <c r="K205" i="521"/>
  <c r="K201" i="521"/>
  <c r="J205" i="521"/>
  <c r="S79" i="521"/>
  <c r="T199" i="521"/>
  <c r="T208" i="521"/>
  <c r="R32" i="521"/>
  <c r="I203" i="521"/>
  <c r="I191" i="521"/>
  <c r="Q208" i="521"/>
  <c r="Q199" i="521"/>
  <c r="M73" i="521"/>
  <c r="P201" i="521"/>
  <c r="O205" i="521"/>
  <c r="H101" i="521"/>
  <c r="H134" i="521" s="1"/>
  <c r="I23" i="521" s="1"/>
  <c r="G205" i="521"/>
  <c r="H201" i="521"/>
  <c r="F66" i="521"/>
  <c r="R208" i="521"/>
  <c r="R199" i="521"/>
  <c r="G187" i="521"/>
  <c r="U81" i="521"/>
  <c r="U199" i="521"/>
  <c r="U208" i="521"/>
  <c r="R75" i="521"/>
  <c r="K185" i="521"/>
  <c r="N74" i="521"/>
  <c r="AE51" i="521"/>
  <c r="N187" i="521"/>
  <c r="N201" i="521"/>
  <c r="M205" i="521"/>
  <c r="D203" i="521"/>
  <c r="D191" i="521"/>
  <c r="S77" i="521"/>
  <c r="L187" i="521"/>
  <c r="L185" i="521"/>
  <c r="F187" i="521"/>
  <c r="D19" i="521"/>
  <c r="R78" i="521"/>
  <c r="I101" i="520" l="1"/>
  <c r="I134" i="520" s="1"/>
  <c r="P108" i="521"/>
  <c r="P141" i="521" s="1"/>
  <c r="Q30" i="521" s="1"/>
  <c r="Q108" i="521" s="1"/>
  <c r="Q141" i="521" s="1"/>
  <c r="Q31" i="521"/>
  <c r="Q109" i="521" s="1"/>
  <c r="Q142" i="521" s="1"/>
  <c r="R31" i="521" s="1"/>
  <c r="R109" i="521" s="1"/>
  <c r="R142" i="521" s="1"/>
  <c r="S31" i="521" s="1"/>
  <c r="J23" i="520"/>
  <c r="I67" i="521"/>
  <c r="J67" i="521" s="1"/>
  <c r="Q201" i="520"/>
  <c r="P205" i="520"/>
  <c r="P210" i="520" s="1"/>
  <c r="N105" i="521"/>
  <c r="N138" i="521" s="1"/>
  <c r="O27" i="521" s="1"/>
  <c r="O105" i="521" s="1"/>
  <c r="O138" i="521" s="1"/>
  <c r="P27" i="521" s="1"/>
  <c r="H133" i="521"/>
  <c r="I22" i="521" s="1"/>
  <c r="J101" i="520"/>
  <c r="J134" i="520" s="1"/>
  <c r="K69" i="520"/>
  <c r="W80" i="520"/>
  <c r="N107" i="520"/>
  <c r="N140" i="520" s="1"/>
  <c r="O29" i="520" s="1"/>
  <c r="O107" i="520" s="1"/>
  <c r="O140" i="520" s="1"/>
  <c r="Q75" i="520"/>
  <c r="G65" i="520"/>
  <c r="F64" i="520"/>
  <c r="AE51" i="520"/>
  <c r="P74" i="520"/>
  <c r="R33" i="520"/>
  <c r="S78" i="520"/>
  <c r="E98" i="520"/>
  <c r="E131" i="520" s="1"/>
  <c r="F20" i="520" s="1"/>
  <c r="F98" i="520" s="1"/>
  <c r="F131" i="520" s="1"/>
  <c r="G20" i="520" s="1"/>
  <c r="J67" i="520"/>
  <c r="I133" i="520"/>
  <c r="D97" i="520"/>
  <c r="D130" i="520" s="1"/>
  <c r="E19" i="520" s="1"/>
  <c r="E50" i="520" s="1"/>
  <c r="D50" i="520"/>
  <c r="P31" i="520"/>
  <c r="Q76" i="520"/>
  <c r="S210" i="520"/>
  <c r="K70" i="520"/>
  <c r="J25" i="520"/>
  <c r="O108" i="520"/>
  <c r="O141" i="520" s="1"/>
  <c r="P30" i="520" s="1"/>
  <c r="K68" i="520"/>
  <c r="J66" i="520"/>
  <c r="H100" i="520"/>
  <c r="H133" i="520" s="1"/>
  <c r="I22" i="520" s="1"/>
  <c r="U210" i="520"/>
  <c r="O73" i="520"/>
  <c r="K104" i="520"/>
  <c r="K137" i="520" s="1"/>
  <c r="L26" i="520" s="1"/>
  <c r="S112" i="520"/>
  <c r="S145" i="520" s="1"/>
  <c r="T34" i="520" s="1"/>
  <c r="T112" i="520" s="1"/>
  <c r="T145" i="520" s="1"/>
  <c r="U79" i="520"/>
  <c r="V35" i="520"/>
  <c r="R77" i="520"/>
  <c r="Q32" i="520"/>
  <c r="R210" i="520"/>
  <c r="H99" i="520"/>
  <c r="H132" i="520" s="1"/>
  <c r="I21" i="520" s="1"/>
  <c r="I99" i="520" s="1"/>
  <c r="I132" i="520" s="1"/>
  <c r="X81" i="520"/>
  <c r="L105" i="520"/>
  <c r="L138" i="520" s="1"/>
  <c r="M27" i="520" s="1"/>
  <c r="N72" i="520"/>
  <c r="I100" i="520"/>
  <c r="V114" i="520"/>
  <c r="V147" i="520" s="1"/>
  <c r="W36" i="520" s="1"/>
  <c r="M71" i="520"/>
  <c r="M106" i="520"/>
  <c r="M139" i="520" s="1"/>
  <c r="N28" i="520" s="1"/>
  <c r="I102" i="520"/>
  <c r="I135" i="520" s="1"/>
  <c r="J24" i="520" s="1"/>
  <c r="J102" i="520" s="1"/>
  <c r="J135" i="520" s="1"/>
  <c r="K24" i="520" s="1"/>
  <c r="U147" i="521"/>
  <c r="V81" i="521"/>
  <c r="U36" i="521"/>
  <c r="I100" i="521"/>
  <c r="I133" i="521" s="1"/>
  <c r="R205" i="521"/>
  <c r="S201" i="521"/>
  <c r="G66" i="521"/>
  <c r="F21" i="521"/>
  <c r="R72" i="521"/>
  <c r="O210" i="521"/>
  <c r="O74" i="521"/>
  <c r="N29" i="521"/>
  <c r="S210" i="521"/>
  <c r="P210" i="521"/>
  <c r="K26" i="521"/>
  <c r="L71" i="521"/>
  <c r="V76" i="521"/>
  <c r="R201" i="521"/>
  <c r="Q205" i="521"/>
  <c r="S78" i="521"/>
  <c r="R33" i="521"/>
  <c r="K70" i="521"/>
  <c r="J25" i="521"/>
  <c r="R30" i="521"/>
  <c r="D50" i="521"/>
  <c r="D97" i="521"/>
  <c r="D130" i="521" s="1"/>
  <c r="F65" i="521"/>
  <c r="E20" i="521"/>
  <c r="E64" i="521"/>
  <c r="T77" i="521"/>
  <c r="J69" i="521"/>
  <c r="I24" i="521"/>
  <c r="M28" i="521"/>
  <c r="N73" i="521"/>
  <c r="AF51" i="521"/>
  <c r="K68" i="521"/>
  <c r="U80" i="521"/>
  <c r="T35" i="521"/>
  <c r="R110" i="521"/>
  <c r="R143" i="521" s="1"/>
  <c r="S32" i="521" s="1"/>
  <c r="S75" i="521"/>
  <c r="U201" i="521"/>
  <c r="T205" i="521"/>
  <c r="I101" i="521"/>
  <c r="I134" i="521" s="1"/>
  <c r="J23" i="521" s="1"/>
  <c r="S34" i="521"/>
  <c r="T79" i="521"/>
  <c r="V201" i="521"/>
  <c r="U205" i="521"/>
  <c r="J22" i="520" l="1"/>
  <c r="S109" i="521"/>
  <c r="S142" i="521" s="1"/>
  <c r="T31" i="521" s="1"/>
  <c r="T109" i="521" s="1"/>
  <c r="T142" i="521" s="1"/>
  <c r="U31" i="521" s="1"/>
  <c r="J21" i="520"/>
  <c r="J99" i="520" s="1"/>
  <c r="J132" i="520" s="1"/>
  <c r="P29" i="520"/>
  <c r="U34" i="520"/>
  <c r="U112" i="520" s="1"/>
  <c r="U145" i="520" s="1"/>
  <c r="G98" i="520"/>
  <c r="P107" i="520"/>
  <c r="T78" i="520"/>
  <c r="L70" i="520"/>
  <c r="AF51" i="520"/>
  <c r="Y81" i="520"/>
  <c r="J100" i="520"/>
  <c r="K66" i="520"/>
  <c r="R76" i="520"/>
  <c r="R75" i="520"/>
  <c r="D52" i="520"/>
  <c r="D54" i="520"/>
  <c r="D61" i="520"/>
  <c r="D58" i="520"/>
  <c r="D59" i="520"/>
  <c r="R111" i="520"/>
  <c r="R144" i="520" s="1"/>
  <c r="S33" i="520" s="1"/>
  <c r="N71" i="520"/>
  <c r="J103" i="520"/>
  <c r="J136" i="520" s="1"/>
  <c r="K25" i="520" s="1"/>
  <c r="V113" i="520"/>
  <c r="V146" i="520" s="1"/>
  <c r="W35" i="520" s="1"/>
  <c r="J133" i="520"/>
  <c r="K67" i="520"/>
  <c r="P140" i="520"/>
  <c r="Q74" i="520"/>
  <c r="O72" i="520"/>
  <c r="K102" i="520"/>
  <c r="K135" i="520" s="1"/>
  <c r="L24" i="520" s="1"/>
  <c r="K23" i="520"/>
  <c r="V79" i="520"/>
  <c r="L104" i="520"/>
  <c r="L137" i="520" s="1"/>
  <c r="M26" i="520" s="1"/>
  <c r="M104" i="520" s="1"/>
  <c r="M137" i="520" s="1"/>
  <c r="N106" i="520"/>
  <c r="N139" i="520" s="1"/>
  <c r="O28" i="520" s="1"/>
  <c r="P108" i="520"/>
  <c r="P141" i="520" s="1"/>
  <c r="Q30" i="520" s="1"/>
  <c r="P73" i="520"/>
  <c r="E52" i="520"/>
  <c r="E54" i="520"/>
  <c r="E61" i="520"/>
  <c r="E58" i="520"/>
  <c r="E59" i="520"/>
  <c r="Q110" i="520"/>
  <c r="Q143" i="520" s="1"/>
  <c r="R32" i="520" s="1"/>
  <c r="H65" i="520"/>
  <c r="G64" i="520"/>
  <c r="G131" i="520"/>
  <c r="H20" i="520" s="1"/>
  <c r="H98" i="520" s="1"/>
  <c r="X80" i="520"/>
  <c r="Q108" i="520"/>
  <c r="Q141" i="520" s="1"/>
  <c r="M105" i="520"/>
  <c r="M138" i="520" s="1"/>
  <c r="N27" i="520" s="1"/>
  <c r="L69" i="520"/>
  <c r="O106" i="520"/>
  <c r="O139" i="520" s="1"/>
  <c r="P28" i="520" s="1"/>
  <c r="P106" i="520" s="1"/>
  <c r="N105" i="520"/>
  <c r="N138" i="520" s="1"/>
  <c r="W114" i="520"/>
  <c r="W147" i="520" s="1"/>
  <c r="X36" i="520" s="1"/>
  <c r="X114" i="520" s="1"/>
  <c r="X147" i="520" s="1"/>
  <c r="Y36" i="520" s="1"/>
  <c r="E97" i="520"/>
  <c r="E130" i="520" s="1"/>
  <c r="F19" i="520" s="1"/>
  <c r="F97" i="520" s="1"/>
  <c r="F130" i="520" s="1"/>
  <c r="G19" i="520" s="1"/>
  <c r="S77" i="520"/>
  <c r="L68" i="520"/>
  <c r="P109" i="520"/>
  <c r="P142" i="520" s="1"/>
  <c r="Q31" i="520" s="1"/>
  <c r="Q109" i="520" s="1"/>
  <c r="Q142" i="520" s="1"/>
  <c r="R31" i="520" s="1"/>
  <c r="E98" i="521"/>
  <c r="E131" i="521" s="1"/>
  <c r="F20" i="521" s="1"/>
  <c r="Q210" i="521"/>
  <c r="K69" i="521"/>
  <c r="U77" i="521"/>
  <c r="K104" i="521"/>
  <c r="K137" i="521" s="1"/>
  <c r="L26" i="521" s="1"/>
  <c r="L104" i="521" s="1"/>
  <c r="L137" i="521" s="1"/>
  <c r="L68" i="521"/>
  <c r="K67" i="521"/>
  <c r="AG51" i="521"/>
  <c r="P105" i="521"/>
  <c r="P138" i="521" s="1"/>
  <c r="Q27" i="521" s="1"/>
  <c r="I102" i="521"/>
  <c r="I135" i="521" s="1"/>
  <c r="J24" i="521" s="1"/>
  <c r="M71" i="521"/>
  <c r="V80" i="521"/>
  <c r="S72" i="521"/>
  <c r="J22" i="521"/>
  <c r="R210" i="521"/>
  <c r="S110" i="521"/>
  <c r="S143" i="521" s="1"/>
  <c r="T32" i="521" s="1"/>
  <c r="U210" i="521"/>
  <c r="G65" i="521"/>
  <c r="F64" i="521"/>
  <c r="W76" i="521"/>
  <c r="T113" i="521"/>
  <c r="T146" i="521" s="1"/>
  <c r="U35" i="521" s="1"/>
  <c r="U79" i="521"/>
  <c r="J101" i="521"/>
  <c r="J134" i="521" s="1"/>
  <c r="K23" i="521" s="1"/>
  <c r="H66" i="521"/>
  <c r="T210" i="521"/>
  <c r="T75" i="521"/>
  <c r="V114" i="521"/>
  <c r="V147" i="521"/>
  <c r="W81" i="521"/>
  <c r="N107" i="521"/>
  <c r="N140" i="521" s="1"/>
  <c r="O29" i="521" s="1"/>
  <c r="O107" i="521" s="1"/>
  <c r="O140" i="521" s="1"/>
  <c r="P29" i="521" s="1"/>
  <c r="R111" i="521"/>
  <c r="R144" i="521" s="1"/>
  <c r="S33" i="521" s="1"/>
  <c r="S111" i="521"/>
  <c r="S144" i="521" s="1"/>
  <c r="T33" i="521" s="1"/>
  <c r="D61" i="521"/>
  <c r="D52" i="521"/>
  <c r="D54" i="521"/>
  <c r="D58" i="521"/>
  <c r="D59" i="521"/>
  <c r="E19" i="521"/>
  <c r="S112" i="521"/>
  <c r="S145" i="521" s="1"/>
  <c r="T34" i="521" s="1"/>
  <c r="T112" i="521" s="1"/>
  <c r="T145" i="521" s="1"/>
  <c r="F99" i="521"/>
  <c r="F132" i="521" s="1"/>
  <c r="G21" i="521" s="1"/>
  <c r="G99" i="521" s="1"/>
  <c r="G132" i="521" s="1"/>
  <c r="R108" i="521"/>
  <c r="R141" i="521" s="1"/>
  <c r="S30" i="521" s="1"/>
  <c r="S108" i="521"/>
  <c r="S141" i="521" s="1"/>
  <c r="J103" i="521"/>
  <c r="J136" i="521" s="1"/>
  <c r="K25" i="521" s="1"/>
  <c r="L70" i="521"/>
  <c r="V36" i="521"/>
  <c r="O73" i="521"/>
  <c r="P74" i="521"/>
  <c r="M106" i="521"/>
  <c r="M139" i="521" s="1"/>
  <c r="N28" i="521" s="1"/>
  <c r="T78" i="521"/>
  <c r="U109" i="521" l="1"/>
  <c r="U142" i="521" s="1"/>
  <c r="V31" i="521" s="1"/>
  <c r="V109" i="521" s="1"/>
  <c r="V142" i="521" s="1"/>
  <c r="W31" i="521" s="1"/>
  <c r="V34" i="520"/>
  <c r="V112" i="520" s="1"/>
  <c r="V145" i="520" s="1"/>
  <c r="U34" i="521"/>
  <c r="T30" i="521"/>
  <c r="M26" i="521"/>
  <c r="Q29" i="520"/>
  <c r="Q107" i="520" s="1"/>
  <c r="O27" i="520"/>
  <c r="H21" i="521"/>
  <c r="N26" i="520"/>
  <c r="N104" i="520" s="1"/>
  <c r="N137" i="520" s="1"/>
  <c r="K21" i="520"/>
  <c r="R109" i="520"/>
  <c r="G50" i="520"/>
  <c r="K99" i="520"/>
  <c r="K132" i="520" s="1"/>
  <c r="L67" i="520"/>
  <c r="F50" i="520"/>
  <c r="R110" i="520"/>
  <c r="R143" i="520" s="1"/>
  <c r="S32" i="520" s="1"/>
  <c r="W113" i="520"/>
  <c r="W146" i="520" s="1"/>
  <c r="X35" i="520" s="1"/>
  <c r="R142" i="520"/>
  <c r="S76" i="520"/>
  <c r="Q73" i="520"/>
  <c r="P139" i="520"/>
  <c r="Q28" i="520" s="1"/>
  <c r="K101" i="520"/>
  <c r="K134" i="520" s="1"/>
  <c r="L23" i="520" s="1"/>
  <c r="L66" i="520"/>
  <c r="K103" i="520"/>
  <c r="K136" i="520" s="1"/>
  <c r="L25" i="520" s="1"/>
  <c r="I65" i="520"/>
  <c r="H64" i="520"/>
  <c r="H131" i="520"/>
  <c r="Q106" i="520"/>
  <c r="S111" i="520"/>
  <c r="S144" i="520" s="1"/>
  <c r="T33" i="520" s="1"/>
  <c r="T111" i="520" s="1"/>
  <c r="T144" i="520" s="1"/>
  <c r="U33" i="520" s="1"/>
  <c r="AG51" i="520"/>
  <c r="L135" i="520"/>
  <c r="M69" i="520"/>
  <c r="Y80" i="520"/>
  <c r="Y114" i="520"/>
  <c r="U78" i="520"/>
  <c r="S75" i="520"/>
  <c r="R30" i="520"/>
  <c r="O71" i="520"/>
  <c r="P72" i="520"/>
  <c r="L102" i="520"/>
  <c r="O105" i="520"/>
  <c r="O138" i="520" s="1"/>
  <c r="P27" i="520" s="1"/>
  <c r="Y147" i="520"/>
  <c r="Z81" i="520"/>
  <c r="T77" i="520"/>
  <c r="M70" i="520"/>
  <c r="G97" i="520"/>
  <c r="G130" i="520" s="1"/>
  <c r="K22" i="520"/>
  <c r="W79" i="520"/>
  <c r="M68" i="520"/>
  <c r="R74" i="520"/>
  <c r="Q140" i="520"/>
  <c r="H99" i="521"/>
  <c r="H132" i="521" s="1"/>
  <c r="I21" i="521" s="1"/>
  <c r="U112" i="521"/>
  <c r="U145" i="521" s="1"/>
  <c r="V34" i="521" s="1"/>
  <c r="T108" i="521"/>
  <c r="T141" i="521" s="1"/>
  <c r="U30" i="521" s="1"/>
  <c r="U108" i="521" s="1"/>
  <c r="M104" i="521"/>
  <c r="M137" i="521" s="1"/>
  <c r="W109" i="521"/>
  <c r="W142" i="521" s="1"/>
  <c r="E50" i="521"/>
  <c r="E97" i="521"/>
  <c r="E130" i="521" s="1"/>
  <c r="F19" i="521" s="1"/>
  <c r="F50" i="521" s="1"/>
  <c r="T110" i="521"/>
  <c r="T143" i="521" s="1"/>
  <c r="U32" i="521" s="1"/>
  <c r="U110" i="521" s="1"/>
  <c r="U143" i="521" s="1"/>
  <c r="J102" i="521"/>
  <c r="J135" i="521" s="1"/>
  <c r="K24" i="521" s="1"/>
  <c r="K102" i="521" s="1"/>
  <c r="K135" i="521" s="1"/>
  <c r="M70" i="521"/>
  <c r="U78" i="521"/>
  <c r="H65" i="521"/>
  <c r="G64" i="521"/>
  <c r="J100" i="521"/>
  <c r="J133" i="521" s="1"/>
  <c r="K22" i="521" s="1"/>
  <c r="K100" i="521" s="1"/>
  <c r="K133" i="521" s="1"/>
  <c r="T72" i="521"/>
  <c r="U113" i="521"/>
  <c r="U146" i="521" s="1"/>
  <c r="V35" i="521" s="1"/>
  <c r="V113" i="521"/>
  <c r="V146" i="521" s="1"/>
  <c r="W80" i="521"/>
  <c r="I66" i="521"/>
  <c r="Q105" i="521"/>
  <c r="Q138" i="521" s="1"/>
  <c r="R27" i="521" s="1"/>
  <c r="U75" i="521"/>
  <c r="N71" i="521"/>
  <c r="K103" i="521"/>
  <c r="K136" i="521" s="1"/>
  <c r="L25" i="521" s="1"/>
  <c r="L103" i="521" s="1"/>
  <c r="L136" i="521" s="1"/>
  <c r="M68" i="521"/>
  <c r="L69" i="521"/>
  <c r="W36" i="521"/>
  <c r="L67" i="521"/>
  <c r="P107" i="521"/>
  <c r="P140" i="521" s="1"/>
  <c r="X81" i="521"/>
  <c r="V79" i="521"/>
  <c r="Q74" i="521"/>
  <c r="P73" i="521"/>
  <c r="T111" i="521"/>
  <c r="T144" i="521" s="1"/>
  <c r="N106" i="521"/>
  <c r="N139" i="521" s="1"/>
  <c r="O28" i="521" s="1"/>
  <c r="O106" i="521" s="1"/>
  <c r="O139" i="521" s="1"/>
  <c r="P28" i="521" s="1"/>
  <c r="K101" i="521"/>
  <c r="K134" i="521" s="1"/>
  <c r="L23" i="521" s="1"/>
  <c r="L101" i="521" s="1"/>
  <c r="L134" i="521" s="1"/>
  <c r="F98" i="521"/>
  <c r="F131" i="521" s="1"/>
  <c r="G20" i="521" s="1"/>
  <c r="V77" i="521"/>
  <c r="X76" i="521"/>
  <c r="V32" i="521" l="1"/>
  <c r="R29" i="520"/>
  <c r="R107" i="520" s="1"/>
  <c r="M25" i="521"/>
  <c r="Q29" i="521"/>
  <c r="L22" i="521"/>
  <c r="U111" i="520"/>
  <c r="U33" i="521"/>
  <c r="U111" i="521" s="1"/>
  <c r="U144" i="521" s="1"/>
  <c r="H19" i="520"/>
  <c r="I20" i="520"/>
  <c r="L21" i="520"/>
  <c r="L24" i="521"/>
  <c r="P105" i="520"/>
  <c r="H50" i="520"/>
  <c r="H97" i="520"/>
  <c r="H130" i="520" s="1"/>
  <c r="L99" i="520"/>
  <c r="L132" i="520" s="1"/>
  <c r="P71" i="520"/>
  <c r="V78" i="520"/>
  <c r="U144" i="520"/>
  <c r="AA81" i="520"/>
  <c r="O26" i="520"/>
  <c r="U77" i="520"/>
  <c r="S31" i="520"/>
  <c r="N69" i="520"/>
  <c r="N70" i="520"/>
  <c r="X79" i="520"/>
  <c r="W34" i="520"/>
  <c r="Z36" i="520"/>
  <c r="J65" i="520"/>
  <c r="I64" i="520"/>
  <c r="S74" i="520"/>
  <c r="R140" i="520"/>
  <c r="S29" i="520" s="1"/>
  <c r="L101" i="520"/>
  <c r="L134" i="520" s="1"/>
  <c r="M23" i="520" s="1"/>
  <c r="M101" i="520" s="1"/>
  <c r="M134" i="520" s="1"/>
  <c r="L103" i="520"/>
  <c r="L136" i="520" s="1"/>
  <c r="M25" i="520" s="1"/>
  <c r="M103" i="520" s="1"/>
  <c r="M136" i="520" s="1"/>
  <c r="N68" i="520"/>
  <c r="G54" i="520"/>
  <c r="G52" i="520"/>
  <c r="G61" i="520"/>
  <c r="G59" i="520"/>
  <c r="G58" i="520"/>
  <c r="X113" i="520"/>
  <c r="X146" i="520" s="1"/>
  <c r="Y35" i="520" s="1"/>
  <c r="Y113" i="520" s="1"/>
  <c r="S110" i="520"/>
  <c r="S143" i="520" s="1"/>
  <c r="T32" i="520" s="1"/>
  <c r="T75" i="520"/>
  <c r="Z80" i="520"/>
  <c r="Y146" i="520"/>
  <c r="Z35" i="520" s="1"/>
  <c r="Z113" i="520" s="1"/>
  <c r="F61" i="520"/>
  <c r="F52" i="520"/>
  <c r="F54" i="520"/>
  <c r="F59" i="520"/>
  <c r="F58" i="520"/>
  <c r="R108" i="520"/>
  <c r="R141" i="520" s="1"/>
  <c r="S30" i="520" s="1"/>
  <c r="S108" i="520" s="1"/>
  <c r="S141" i="520" s="1"/>
  <c r="T30" i="520" s="1"/>
  <c r="T76" i="520"/>
  <c r="K100" i="520"/>
  <c r="K133" i="520" s="1"/>
  <c r="L22" i="520" s="1"/>
  <c r="L100" i="520" s="1"/>
  <c r="L133" i="520" s="1"/>
  <c r="M24" i="520"/>
  <c r="M67" i="520"/>
  <c r="I98" i="520"/>
  <c r="I131" i="520" s="1"/>
  <c r="Q72" i="520"/>
  <c r="P138" i="520"/>
  <c r="Q27" i="520" s="1"/>
  <c r="M66" i="520"/>
  <c r="R73" i="520"/>
  <c r="Q139" i="520"/>
  <c r="R28" i="520" s="1"/>
  <c r="Q107" i="521"/>
  <c r="Q140" i="521" s="1"/>
  <c r="R29" i="521" s="1"/>
  <c r="L100" i="521"/>
  <c r="L133" i="521" s="1"/>
  <c r="M22" i="521" s="1"/>
  <c r="M100" i="521" s="1"/>
  <c r="V110" i="521"/>
  <c r="V143" i="521" s="1"/>
  <c r="W114" i="521"/>
  <c r="W147" i="521" s="1"/>
  <c r="X36" i="521" s="1"/>
  <c r="X31" i="521"/>
  <c r="M67" i="521"/>
  <c r="R74" i="521"/>
  <c r="O71" i="521"/>
  <c r="J66" i="521"/>
  <c r="M69" i="521"/>
  <c r="V75" i="521"/>
  <c r="U141" i="521"/>
  <c r="V30" i="521" s="1"/>
  <c r="V108" i="521" s="1"/>
  <c r="U72" i="521"/>
  <c r="W79" i="521"/>
  <c r="Y81" i="521"/>
  <c r="V112" i="521"/>
  <c r="V145" i="521" s="1"/>
  <c r="W34" i="521" s="1"/>
  <c r="G98" i="521"/>
  <c r="G131" i="521" s="1"/>
  <c r="H20" i="521" s="1"/>
  <c r="F97" i="521"/>
  <c r="F130" i="521" s="1"/>
  <c r="G19" i="521" s="1"/>
  <c r="G97" i="521" s="1"/>
  <c r="G130" i="521" s="1"/>
  <c r="H19" i="521" s="1"/>
  <c r="Y76" i="521"/>
  <c r="M23" i="521"/>
  <c r="X80" i="521"/>
  <c r="N26" i="521"/>
  <c r="I99" i="521"/>
  <c r="I132" i="521" s="1"/>
  <c r="J21" i="521" s="1"/>
  <c r="F61" i="521"/>
  <c r="F54" i="521"/>
  <c r="F52" i="521"/>
  <c r="F59" i="521"/>
  <c r="F58" i="521"/>
  <c r="N70" i="521"/>
  <c r="P106" i="521"/>
  <c r="Q73" i="521"/>
  <c r="P139" i="521"/>
  <c r="Q28" i="521" s="1"/>
  <c r="W35" i="521"/>
  <c r="E61" i="521"/>
  <c r="E54" i="521"/>
  <c r="E52" i="521"/>
  <c r="E59" i="521"/>
  <c r="E58" i="521"/>
  <c r="I65" i="521"/>
  <c r="H64" i="521"/>
  <c r="N68" i="521"/>
  <c r="W77" i="521"/>
  <c r="M103" i="521"/>
  <c r="M136" i="521" s="1"/>
  <c r="R105" i="521"/>
  <c r="R138" i="521" s="1"/>
  <c r="S27" i="521" s="1"/>
  <c r="V78" i="521"/>
  <c r="J20" i="520" l="1"/>
  <c r="M22" i="520"/>
  <c r="V33" i="520"/>
  <c r="N25" i="520"/>
  <c r="N23" i="520"/>
  <c r="V33" i="521"/>
  <c r="V111" i="521" s="1"/>
  <c r="L102" i="521"/>
  <c r="L135" i="521" s="1"/>
  <c r="M24" i="521" s="1"/>
  <c r="M102" i="521" s="1"/>
  <c r="M135" i="521" s="1"/>
  <c r="N25" i="521"/>
  <c r="M21" i="520"/>
  <c r="M99" i="520" s="1"/>
  <c r="M132" i="520" s="1"/>
  <c r="N21" i="520" s="1"/>
  <c r="N99" i="520" s="1"/>
  <c r="I19" i="520"/>
  <c r="W32" i="521"/>
  <c r="M100" i="520"/>
  <c r="N103" i="520"/>
  <c r="N136" i="520" s="1"/>
  <c r="O25" i="520" s="1"/>
  <c r="I50" i="520"/>
  <c r="I97" i="520"/>
  <c r="I130" i="520" s="1"/>
  <c r="V77" i="520"/>
  <c r="Y79" i="520"/>
  <c r="AA80" i="520"/>
  <c r="Z146" i="520"/>
  <c r="AA35" i="520" s="1"/>
  <c r="AA113" i="520" s="1"/>
  <c r="Z114" i="520"/>
  <c r="Z147" i="520" s="1"/>
  <c r="AA36" i="520" s="1"/>
  <c r="AA114" i="520"/>
  <c r="AA147" i="520" s="1"/>
  <c r="AB36" i="520" s="1"/>
  <c r="AB114" i="520" s="1"/>
  <c r="V111" i="520"/>
  <c r="K65" i="520"/>
  <c r="J64" i="520"/>
  <c r="Q71" i="520"/>
  <c r="M133" i="520"/>
  <c r="N67" i="520"/>
  <c r="S109" i="520"/>
  <c r="S142" i="520" s="1"/>
  <c r="T31" i="520" s="1"/>
  <c r="V144" i="520"/>
  <c r="W78" i="520"/>
  <c r="U75" i="520"/>
  <c r="W112" i="520"/>
  <c r="W145" i="520" s="1"/>
  <c r="X34" i="520" s="1"/>
  <c r="X112" i="520" s="1"/>
  <c r="X145" i="520" s="1"/>
  <c r="Y34" i="520" s="1"/>
  <c r="T110" i="520"/>
  <c r="T143" i="520" s="1"/>
  <c r="U32" i="520" s="1"/>
  <c r="O70" i="520"/>
  <c r="M102" i="520"/>
  <c r="M135" i="520" s="1"/>
  <c r="N24" i="520" s="1"/>
  <c r="N102" i="520" s="1"/>
  <c r="N135" i="520" s="1"/>
  <c r="O104" i="520"/>
  <c r="O137" i="520" s="1"/>
  <c r="P26" i="520" s="1"/>
  <c r="P104" i="520" s="1"/>
  <c r="P137" i="520" s="1"/>
  <c r="AB81" i="520"/>
  <c r="T108" i="520"/>
  <c r="T141" i="520" s="1"/>
  <c r="R106" i="520"/>
  <c r="R139" i="520" s="1"/>
  <c r="S73" i="520"/>
  <c r="N66" i="520"/>
  <c r="O68" i="520"/>
  <c r="N101" i="520"/>
  <c r="N134" i="520" s="1"/>
  <c r="O23" i="520" s="1"/>
  <c r="J98" i="520"/>
  <c r="J131" i="520" s="1"/>
  <c r="R72" i="520"/>
  <c r="H61" i="520"/>
  <c r="H52" i="520"/>
  <c r="H54" i="520"/>
  <c r="H58" i="520"/>
  <c r="H59" i="520"/>
  <c r="U76" i="520"/>
  <c r="O69" i="520"/>
  <c r="Q105" i="520"/>
  <c r="Q138" i="520" s="1"/>
  <c r="R27" i="520" s="1"/>
  <c r="R105" i="520" s="1"/>
  <c r="S107" i="520"/>
  <c r="T74" i="520"/>
  <c r="S140" i="520"/>
  <c r="J99" i="521"/>
  <c r="J132" i="521" s="1"/>
  <c r="K21" i="521" s="1"/>
  <c r="H50" i="521"/>
  <c r="N103" i="521"/>
  <c r="N136" i="521" s="1"/>
  <c r="O25" i="521" s="1"/>
  <c r="W110" i="521"/>
  <c r="W143" i="521" s="1"/>
  <c r="X32" i="521" s="1"/>
  <c r="X110" i="521" s="1"/>
  <c r="W112" i="521"/>
  <c r="W145" i="521" s="1"/>
  <c r="X34" i="521" s="1"/>
  <c r="R73" i="521"/>
  <c r="Z81" i="521"/>
  <c r="S74" i="521"/>
  <c r="X114" i="521"/>
  <c r="X147" i="521" s="1"/>
  <c r="Y36" i="521" s="1"/>
  <c r="M133" i="521"/>
  <c r="N67" i="521"/>
  <c r="G50" i="521"/>
  <c r="X79" i="521"/>
  <c r="J65" i="521"/>
  <c r="I64" i="521"/>
  <c r="X77" i="521"/>
  <c r="O68" i="521"/>
  <c r="N69" i="521"/>
  <c r="V72" i="521"/>
  <c r="M101" i="521"/>
  <c r="M134" i="521" s="1"/>
  <c r="N23" i="521" s="1"/>
  <c r="K66" i="521"/>
  <c r="X109" i="521"/>
  <c r="X142" i="521" s="1"/>
  <c r="Y31" i="521" s="1"/>
  <c r="Y109" i="521" s="1"/>
  <c r="Y142" i="521" s="1"/>
  <c r="Z31" i="521" s="1"/>
  <c r="Z109" i="521" s="1"/>
  <c r="Z76" i="521"/>
  <c r="V144" i="521"/>
  <c r="W78" i="521"/>
  <c r="W75" i="521"/>
  <c r="V141" i="521"/>
  <c r="W30" i="521" s="1"/>
  <c r="Y80" i="521"/>
  <c r="R107" i="521"/>
  <c r="R140" i="521" s="1"/>
  <c r="O70" i="521"/>
  <c r="H97" i="521"/>
  <c r="W113" i="521"/>
  <c r="W146" i="521" s="1"/>
  <c r="X35" i="521" s="1"/>
  <c r="H130" i="521"/>
  <c r="N104" i="521"/>
  <c r="N137" i="521" s="1"/>
  <c r="O26" i="521" s="1"/>
  <c r="S105" i="521"/>
  <c r="S138" i="521" s="1"/>
  <c r="T27" i="521" s="1"/>
  <c r="Q106" i="521"/>
  <c r="Q139" i="521" s="1"/>
  <c r="H98" i="521"/>
  <c r="H131" i="521" s="1"/>
  <c r="I20" i="521" s="1"/>
  <c r="P71" i="521"/>
  <c r="J19" i="520" l="1"/>
  <c r="J50" i="520" s="1"/>
  <c r="S28" i="520"/>
  <c r="S106" i="520" s="1"/>
  <c r="S139" i="520" s="1"/>
  <c r="S29" i="521"/>
  <c r="S107" i="521" s="1"/>
  <c r="S140" i="521" s="1"/>
  <c r="R28" i="521"/>
  <c r="N24" i="521"/>
  <c r="O24" i="520"/>
  <c r="T29" i="520"/>
  <c r="Q26" i="520"/>
  <c r="W33" i="520"/>
  <c r="K20" i="520"/>
  <c r="U30" i="520"/>
  <c r="O102" i="520"/>
  <c r="Y112" i="520"/>
  <c r="K98" i="520"/>
  <c r="O101" i="520"/>
  <c r="O134" i="520" s="1"/>
  <c r="P23" i="520" s="1"/>
  <c r="P101" i="520" s="1"/>
  <c r="U108" i="520"/>
  <c r="Q104" i="520"/>
  <c r="J61" i="520"/>
  <c r="J58" i="520"/>
  <c r="J59" i="520"/>
  <c r="J52" i="520"/>
  <c r="J54" i="520"/>
  <c r="Q137" i="520"/>
  <c r="R71" i="520"/>
  <c r="K131" i="520"/>
  <c r="L65" i="520"/>
  <c r="K64" i="520"/>
  <c r="T107" i="520"/>
  <c r="T140" i="520" s="1"/>
  <c r="O67" i="520"/>
  <c r="O103" i="520"/>
  <c r="O136" i="520" s="1"/>
  <c r="O135" i="520"/>
  <c r="P69" i="520"/>
  <c r="N22" i="520"/>
  <c r="P70" i="520"/>
  <c r="O66" i="520"/>
  <c r="N132" i="520"/>
  <c r="O21" i="520" s="1"/>
  <c r="O99" i="520" s="1"/>
  <c r="T73" i="520"/>
  <c r="W77" i="520"/>
  <c r="R138" i="520"/>
  <c r="S72" i="520"/>
  <c r="AB147" i="520"/>
  <c r="AC81" i="520"/>
  <c r="U110" i="520"/>
  <c r="U143" i="520" s="1"/>
  <c r="V32" i="520" s="1"/>
  <c r="V110" i="520" s="1"/>
  <c r="V143" i="520" s="1"/>
  <c r="U74" i="520"/>
  <c r="W111" i="520"/>
  <c r="W144" i="520" s="1"/>
  <c r="J97" i="520"/>
  <c r="J130" i="520" s="1"/>
  <c r="P68" i="520"/>
  <c r="I61" i="520"/>
  <c r="I58" i="520"/>
  <c r="I54" i="520"/>
  <c r="I52" i="520"/>
  <c r="I59" i="520"/>
  <c r="AA146" i="520"/>
  <c r="AB80" i="520"/>
  <c r="V76" i="520"/>
  <c r="V75" i="520"/>
  <c r="U141" i="520"/>
  <c r="V30" i="520" s="1"/>
  <c r="V108" i="520" s="1"/>
  <c r="Z79" i="520"/>
  <c r="Y145" i="520"/>
  <c r="T109" i="520"/>
  <c r="T142" i="520" s="1"/>
  <c r="U31" i="520" s="1"/>
  <c r="U109" i="520" s="1"/>
  <c r="U142" i="520" s="1"/>
  <c r="X78" i="520"/>
  <c r="R106" i="521"/>
  <c r="R139" i="521" s="1"/>
  <c r="X112" i="521"/>
  <c r="X145" i="521" s="1"/>
  <c r="K99" i="521"/>
  <c r="K132" i="521" s="1"/>
  <c r="X143" i="521"/>
  <c r="Y77" i="521"/>
  <c r="G61" i="521"/>
  <c r="G54" i="521"/>
  <c r="G52" i="521"/>
  <c r="G58" i="521"/>
  <c r="G59" i="521"/>
  <c r="Z80" i="521"/>
  <c r="X78" i="521"/>
  <c r="I98" i="521"/>
  <c r="I131" i="521" s="1"/>
  <c r="J20" i="521" s="1"/>
  <c r="J98" i="521"/>
  <c r="J131" i="521" s="1"/>
  <c r="K20" i="521" s="1"/>
  <c r="W72" i="521"/>
  <c r="Y79" i="521"/>
  <c r="H61" i="521"/>
  <c r="H54" i="521"/>
  <c r="H58" i="521"/>
  <c r="H52" i="521"/>
  <c r="H59" i="521"/>
  <c r="W108" i="521"/>
  <c r="W141" i="521" s="1"/>
  <c r="W33" i="521"/>
  <c r="AA76" i="521"/>
  <c r="Z142" i="521"/>
  <c r="AA31" i="521" s="1"/>
  <c r="AA109" i="521" s="1"/>
  <c r="S73" i="521"/>
  <c r="O67" i="521"/>
  <c r="N133" i="521"/>
  <c r="O22" i="521" s="1"/>
  <c r="O100" i="521" s="1"/>
  <c r="Y114" i="521"/>
  <c r="Y147" i="521" s="1"/>
  <c r="Z36" i="521" s="1"/>
  <c r="O104" i="521"/>
  <c r="O137" i="521" s="1"/>
  <c r="P26" i="521" s="1"/>
  <c r="T74" i="521"/>
  <c r="X113" i="521"/>
  <c r="X146" i="521" s="1"/>
  <c r="Y35" i="521" s="1"/>
  <c r="L66" i="521"/>
  <c r="I19" i="521"/>
  <c r="O69" i="521"/>
  <c r="O103" i="521"/>
  <c r="O136" i="521" s="1"/>
  <c r="P68" i="521"/>
  <c r="Q71" i="521"/>
  <c r="N101" i="521"/>
  <c r="N134" i="521" s="1"/>
  <c r="O23" i="521" s="1"/>
  <c r="O101" i="521" s="1"/>
  <c r="O134" i="521" s="1"/>
  <c r="P23" i="521" s="1"/>
  <c r="P101" i="521" s="1"/>
  <c r="N22" i="521"/>
  <c r="N100" i="521" s="1"/>
  <c r="T105" i="521"/>
  <c r="T138" i="521" s="1"/>
  <c r="U27" i="521" s="1"/>
  <c r="U105" i="521" s="1"/>
  <c r="U138" i="521" s="1"/>
  <c r="V27" i="521" s="1"/>
  <c r="V105" i="521" s="1"/>
  <c r="V138" i="521" s="1"/>
  <c r="W27" i="521" s="1"/>
  <c r="W105" i="521" s="1"/>
  <c r="K65" i="521"/>
  <c r="J64" i="521"/>
  <c r="X75" i="521"/>
  <c r="N102" i="521"/>
  <c r="N135" i="521" s="1"/>
  <c r="AA81" i="521"/>
  <c r="P70" i="521"/>
  <c r="T29" i="521" l="1"/>
  <c r="T107" i="521" s="1"/>
  <c r="L21" i="521"/>
  <c r="L99" i="521" s="1"/>
  <c r="Y34" i="521"/>
  <c r="Y112" i="521" s="1"/>
  <c r="S28" i="521"/>
  <c r="V31" i="520"/>
  <c r="Z34" i="520"/>
  <c r="Z112" i="520" s="1"/>
  <c r="T28" i="520"/>
  <c r="T106" i="520" s="1"/>
  <c r="P24" i="520"/>
  <c r="AB35" i="520"/>
  <c r="AB113" i="520" s="1"/>
  <c r="K19" i="520"/>
  <c r="X33" i="520"/>
  <c r="X111" i="520" s="1"/>
  <c r="X144" i="520" s="1"/>
  <c r="O24" i="521"/>
  <c r="W32" i="520"/>
  <c r="W110" i="520" s="1"/>
  <c r="W143" i="520" s="1"/>
  <c r="X32" i="520" s="1"/>
  <c r="X110" i="520" s="1"/>
  <c r="K50" i="520"/>
  <c r="K97" i="520"/>
  <c r="K130" i="520"/>
  <c r="L19" i="520" s="1"/>
  <c r="Q70" i="520"/>
  <c r="M65" i="520"/>
  <c r="L64" i="520"/>
  <c r="P25" i="520"/>
  <c r="L20" i="520"/>
  <c r="U29" i="520"/>
  <c r="AA79" i="520"/>
  <c r="Z145" i="520"/>
  <c r="AB146" i="520"/>
  <c r="AC80" i="520"/>
  <c r="V109" i="520"/>
  <c r="V142" i="520" s="1"/>
  <c r="P102" i="520"/>
  <c r="P135" i="520" s="1"/>
  <c r="Q24" i="520" s="1"/>
  <c r="W75" i="520"/>
  <c r="V141" i="520"/>
  <c r="P66" i="520"/>
  <c r="O132" i="520"/>
  <c r="P21" i="520" s="1"/>
  <c r="P99" i="520" s="1"/>
  <c r="N100" i="520"/>
  <c r="N133" i="520" s="1"/>
  <c r="O22" i="520" s="1"/>
  <c r="O100" i="520" s="1"/>
  <c r="O133" i="520" s="1"/>
  <c r="P22" i="520" s="1"/>
  <c r="P100" i="520" s="1"/>
  <c r="S27" i="520"/>
  <c r="S105" i="520" s="1"/>
  <c r="S138" i="520" s="1"/>
  <c r="T27" i="520" s="1"/>
  <c r="T105" i="520" s="1"/>
  <c r="Y78" i="520"/>
  <c r="Q69" i="520"/>
  <c r="R26" i="520"/>
  <c r="R104" i="520" s="1"/>
  <c r="X77" i="520"/>
  <c r="P67" i="520"/>
  <c r="U73" i="520"/>
  <c r="T139" i="520"/>
  <c r="U28" i="520" s="1"/>
  <c r="V74" i="520"/>
  <c r="W76" i="520"/>
  <c r="Q68" i="520"/>
  <c r="P134" i="520"/>
  <c r="Q23" i="520" s="1"/>
  <c r="Q101" i="520" s="1"/>
  <c r="R137" i="520"/>
  <c r="S26" i="520" s="1"/>
  <c r="S104" i="520" s="1"/>
  <c r="S71" i="520"/>
  <c r="AD81" i="520"/>
  <c r="AC36" i="520"/>
  <c r="AC114" i="520" s="1"/>
  <c r="AC147" i="520" s="1"/>
  <c r="T72" i="520"/>
  <c r="O102" i="521"/>
  <c r="O135" i="521" s="1"/>
  <c r="K98" i="521"/>
  <c r="K131" i="521" s="1"/>
  <c r="Z79" i="521"/>
  <c r="Y145" i="521"/>
  <c r="W138" i="521"/>
  <c r="X27" i="521" s="1"/>
  <c r="X105" i="521" s="1"/>
  <c r="X72" i="521"/>
  <c r="L65" i="521"/>
  <c r="K64" i="521"/>
  <c r="Z77" i="521"/>
  <c r="P134" i="521"/>
  <c r="Q23" i="521" s="1"/>
  <c r="Q101" i="521" s="1"/>
  <c r="Q68" i="521"/>
  <c r="Y113" i="521"/>
  <c r="Y146" i="521" s="1"/>
  <c r="Z35" i="521" s="1"/>
  <c r="Y32" i="521"/>
  <c r="Y110" i="521" s="1"/>
  <c r="Y143" i="521" s="1"/>
  <c r="Z32" i="521" s="1"/>
  <c r="Z110" i="521" s="1"/>
  <c r="I50" i="521"/>
  <c r="I97" i="521"/>
  <c r="I130" i="521" s="1"/>
  <c r="J19" i="521" s="1"/>
  <c r="J50" i="521" s="1"/>
  <c r="P25" i="521"/>
  <c r="M66" i="521"/>
  <c r="L132" i="521"/>
  <c r="R71" i="521"/>
  <c r="W111" i="521"/>
  <c r="W144" i="521" s="1"/>
  <c r="X33" i="521" s="1"/>
  <c r="X111" i="521" s="1"/>
  <c r="X144" i="521" s="1"/>
  <c r="Q70" i="521"/>
  <c r="AA80" i="521"/>
  <c r="X30" i="521"/>
  <c r="X108" i="521" s="1"/>
  <c r="X141" i="521" s="1"/>
  <c r="Y30" i="521" s="1"/>
  <c r="Y108" i="521" s="1"/>
  <c r="T73" i="521"/>
  <c r="Y75" i="521"/>
  <c r="AB76" i="521"/>
  <c r="AA142" i="521"/>
  <c r="AB31" i="521" s="1"/>
  <c r="AB109" i="521" s="1"/>
  <c r="Y78" i="521"/>
  <c r="U74" i="521"/>
  <c r="T140" i="521"/>
  <c r="S106" i="521"/>
  <c r="S139" i="521" s="1"/>
  <c r="T28" i="521" s="1"/>
  <c r="T106" i="521" s="1"/>
  <c r="P69" i="521"/>
  <c r="Z114" i="521"/>
  <c r="Z147" i="521" s="1"/>
  <c r="AA36" i="521" s="1"/>
  <c r="AA114" i="521" s="1"/>
  <c r="AA147" i="521" s="1"/>
  <c r="P67" i="521"/>
  <c r="O133" i="521"/>
  <c r="P22" i="521" s="1"/>
  <c r="P100" i="521" s="1"/>
  <c r="AB81" i="521"/>
  <c r="P104" i="521"/>
  <c r="P137" i="521" s="1"/>
  <c r="Q26" i="521" s="1"/>
  <c r="Z34" i="521" l="1"/>
  <c r="Z112" i="521" s="1"/>
  <c r="AA34" i="520"/>
  <c r="AA112" i="520" s="1"/>
  <c r="AA145" i="520" s="1"/>
  <c r="U29" i="521"/>
  <c r="U107" i="521" s="1"/>
  <c r="AD36" i="520"/>
  <c r="AD114" i="520" s="1"/>
  <c r="Y33" i="521"/>
  <c r="L20" i="521"/>
  <c r="AB36" i="521"/>
  <c r="M21" i="521"/>
  <c r="M99" i="521" s="1"/>
  <c r="N65" i="520"/>
  <c r="M64" i="520"/>
  <c r="R70" i="520"/>
  <c r="L98" i="520"/>
  <c r="L131" i="520" s="1"/>
  <c r="M20" i="520" s="1"/>
  <c r="M98" i="520" s="1"/>
  <c r="M131" i="520" s="1"/>
  <c r="N20" i="520" s="1"/>
  <c r="N98" i="520" s="1"/>
  <c r="Z78" i="520"/>
  <c r="L50" i="520"/>
  <c r="L97" i="520"/>
  <c r="X76" i="520"/>
  <c r="W31" i="520"/>
  <c r="Y33" i="520"/>
  <c r="V73" i="520"/>
  <c r="U139" i="520"/>
  <c r="V28" i="520" s="1"/>
  <c r="L130" i="520"/>
  <c r="M19" i="520" s="1"/>
  <c r="X143" i="520"/>
  <c r="Y77" i="520"/>
  <c r="W30" i="520"/>
  <c r="W108" i="520" s="1"/>
  <c r="W141" i="520" s="1"/>
  <c r="P103" i="520"/>
  <c r="P136" i="520" s="1"/>
  <c r="Q25" i="520" s="1"/>
  <c r="Q103" i="520" s="1"/>
  <c r="Q136" i="520" s="1"/>
  <c r="R25" i="520" s="1"/>
  <c r="R103" i="520" s="1"/>
  <c r="X75" i="520"/>
  <c r="W74" i="520"/>
  <c r="Q102" i="520"/>
  <c r="Q135" i="520" s="1"/>
  <c r="R24" i="520" s="1"/>
  <c r="R102" i="520" s="1"/>
  <c r="Q134" i="520"/>
  <c r="R23" i="520" s="1"/>
  <c r="R101" i="520" s="1"/>
  <c r="R68" i="520"/>
  <c r="Q67" i="520"/>
  <c r="P133" i="520"/>
  <c r="Q22" i="520" s="1"/>
  <c r="Q100" i="520" s="1"/>
  <c r="AB79" i="520"/>
  <c r="AD80" i="520"/>
  <c r="U107" i="520"/>
  <c r="U140" i="520" s="1"/>
  <c r="V29" i="520" s="1"/>
  <c r="V107" i="520" s="1"/>
  <c r="V140" i="520" s="1"/>
  <c r="W29" i="520" s="1"/>
  <c r="W107" i="520" s="1"/>
  <c r="U106" i="520"/>
  <c r="Q66" i="520"/>
  <c r="P132" i="520"/>
  <c r="Q21" i="520" s="1"/>
  <c r="Q99" i="520" s="1"/>
  <c r="AC35" i="520"/>
  <c r="AC113" i="520" s="1"/>
  <c r="AC146" i="520" s="1"/>
  <c r="AE81" i="520"/>
  <c r="AD147" i="520"/>
  <c r="K61" i="520"/>
  <c r="K59" i="520"/>
  <c r="K52" i="520"/>
  <c r="K54" i="520"/>
  <c r="K58" i="520"/>
  <c r="T138" i="520"/>
  <c r="U27" i="520" s="1"/>
  <c r="U105" i="520" s="1"/>
  <c r="U72" i="520"/>
  <c r="S137" i="520"/>
  <c r="T26" i="520" s="1"/>
  <c r="T104" i="520" s="1"/>
  <c r="T71" i="520"/>
  <c r="R69" i="520"/>
  <c r="Y111" i="521"/>
  <c r="L98" i="521"/>
  <c r="L131" i="521" s="1"/>
  <c r="M20" i="521" s="1"/>
  <c r="M98" i="521" s="1"/>
  <c r="Q69" i="521"/>
  <c r="Z78" i="521"/>
  <c r="Y144" i="521"/>
  <c r="Z33" i="521" s="1"/>
  <c r="M132" i="521"/>
  <c r="N21" i="521" s="1"/>
  <c r="N99" i="521" s="1"/>
  <c r="N66" i="521"/>
  <c r="P103" i="521"/>
  <c r="P136" i="521" s="1"/>
  <c r="Q25" i="521" s="1"/>
  <c r="Q103" i="521" s="1"/>
  <c r="U140" i="521"/>
  <c r="V74" i="521"/>
  <c r="R68" i="521"/>
  <c r="Q134" i="521"/>
  <c r="R23" i="521" s="1"/>
  <c r="R101" i="521" s="1"/>
  <c r="AB142" i="521"/>
  <c r="AC31" i="521" s="1"/>
  <c r="AC109" i="521" s="1"/>
  <c r="AC76" i="521"/>
  <c r="Z75" i="521"/>
  <c r="Y141" i="521"/>
  <c r="Z30" i="521" s="1"/>
  <c r="Z108" i="521" s="1"/>
  <c r="I61" i="521"/>
  <c r="I54" i="521"/>
  <c r="I52" i="521"/>
  <c r="I59" i="521"/>
  <c r="I58" i="521"/>
  <c r="AC81" i="521"/>
  <c r="Z113" i="521"/>
  <c r="Z146" i="521" s="1"/>
  <c r="AA35" i="521" s="1"/>
  <c r="AA113" i="521" s="1"/>
  <c r="AA146" i="521" s="1"/>
  <c r="AB80" i="521"/>
  <c r="Y72" i="521"/>
  <c r="X138" i="521"/>
  <c r="Y27" i="521" s="1"/>
  <c r="Y105" i="521" s="1"/>
  <c r="AA77" i="521"/>
  <c r="Z143" i="521"/>
  <c r="AA32" i="521" s="1"/>
  <c r="AA110" i="521" s="1"/>
  <c r="Q104" i="521"/>
  <c r="Q137" i="521" s="1"/>
  <c r="R26" i="521" s="1"/>
  <c r="R104" i="521" s="1"/>
  <c r="R137" i="521" s="1"/>
  <c r="S26" i="521" s="1"/>
  <c r="S104" i="521" s="1"/>
  <c r="S71" i="521"/>
  <c r="AB114" i="521"/>
  <c r="AB147" i="521" s="1"/>
  <c r="AC36" i="521" s="1"/>
  <c r="AC114" i="521" s="1"/>
  <c r="Q67" i="521"/>
  <c r="P133" i="521"/>
  <c r="Q22" i="521" s="1"/>
  <c r="Q100" i="521" s="1"/>
  <c r="J52" i="521"/>
  <c r="J61" i="521"/>
  <c r="J54" i="521"/>
  <c r="J58" i="521"/>
  <c r="J59" i="521"/>
  <c r="T139" i="521"/>
  <c r="U73" i="521"/>
  <c r="R70" i="521"/>
  <c r="Q136" i="521"/>
  <c r="R25" i="521" s="1"/>
  <c r="R103" i="521" s="1"/>
  <c r="J97" i="521"/>
  <c r="J130" i="521" s="1"/>
  <c r="K19" i="521" s="1"/>
  <c r="M65" i="521"/>
  <c r="L64" i="521"/>
  <c r="Z145" i="521"/>
  <c r="AA79" i="521"/>
  <c r="P24" i="521"/>
  <c r="AE36" i="520" l="1"/>
  <c r="AE114" i="520" s="1"/>
  <c r="AB35" i="521"/>
  <c r="AB113" i="521" s="1"/>
  <c r="X30" i="520"/>
  <c r="X108" i="520" s="1"/>
  <c r="X141" i="520" s="1"/>
  <c r="Y30" i="520" s="1"/>
  <c r="Y108" i="520" s="1"/>
  <c r="AE80" i="520"/>
  <c r="AD35" i="520"/>
  <c r="AD113" i="520" s="1"/>
  <c r="AD146" i="520" s="1"/>
  <c r="AE35" i="520" s="1"/>
  <c r="AE113" i="520" s="1"/>
  <c r="Z77" i="520"/>
  <c r="AC79" i="520"/>
  <c r="Y32" i="520"/>
  <c r="Y110" i="520" s="1"/>
  <c r="Y143" i="520" s="1"/>
  <c r="Z32" i="520" s="1"/>
  <c r="Z110" i="520" s="1"/>
  <c r="AB34" i="520"/>
  <c r="AB112" i="520" s="1"/>
  <c r="AB145" i="520" s="1"/>
  <c r="AC34" i="520" s="1"/>
  <c r="AC112" i="520" s="1"/>
  <c r="M50" i="520"/>
  <c r="M97" i="520"/>
  <c r="M130" i="520" s="1"/>
  <c r="N19" i="520" s="1"/>
  <c r="V106" i="520"/>
  <c r="V139" i="520" s="1"/>
  <c r="W28" i="520" s="1"/>
  <c r="W106" i="520" s="1"/>
  <c r="W73" i="520"/>
  <c r="W109" i="520"/>
  <c r="W142" i="520" s="1"/>
  <c r="X31" i="520" s="1"/>
  <c r="X109" i="520" s="1"/>
  <c r="X142" i="520" s="1"/>
  <c r="R135" i="520"/>
  <c r="S24" i="520" s="1"/>
  <c r="S102" i="520" s="1"/>
  <c r="S69" i="520"/>
  <c r="Y111" i="520"/>
  <c r="Y144" i="520" s="1"/>
  <c r="Z33" i="520" s="1"/>
  <c r="Z111" i="520" s="1"/>
  <c r="Z144" i="520" s="1"/>
  <c r="T137" i="520"/>
  <c r="U26" i="520" s="1"/>
  <c r="U104" i="520" s="1"/>
  <c r="U71" i="520"/>
  <c r="Y76" i="520"/>
  <c r="U138" i="520"/>
  <c r="V27" i="520" s="1"/>
  <c r="V105" i="520" s="1"/>
  <c r="V72" i="520"/>
  <c r="W140" i="520"/>
  <c r="X29" i="520" s="1"/>
  <c r="X107" i="520" s="1"/>
  <c r="X74" i="520"/>
  <c r="L61" i="520"/>
  <c r="L52" i="520"/>
  <c r="L54" i="520"/>
  <c r="L59" i="520"/>
  <c r="L58" i="520"/>
  <c r="AA78" i="520"/>
  <c r="R67" i="520"/>
  <c r="Q133" i="520"/>
  <c r="R22" i="520" s="1"/>
  <c r="R100" i="520" s="1"/>
  <c r="Y75" i="520"/>
  <c r="AF81" i="520"/>
  <c r="AE147" i="520"/>
  <c r="AF36" i="520" s="1"/>
  <c r="AF114" i="520" s="1"/>
  <c r="R134" i="520"/>
  <c r="S23" i="520" s="1"/>
  <c r="S101" i="520" s="1"/>
  <c r="S68" i="520"/>
  <c r="S70" i="520"/>
  <c r="R136" i="520"/>
  <c r="S25" i="520" s="1"/>
  <c r="S103" i="520" s="1"/>
  <c r="Q132" i="520"/>
  <c r="R21" i="520" s="1"/>
  <c r="R99" i="520" s="1"/>
  <c r="R66" i="520"/>
  <c r="O65" i="520"/>
  <c r="N131" i="520"/>
  <c r="O20" i="520" s="1"/>
  <c r="O98" i="520" s="1"/>
  <c r="N64" i="520"/>
  <c r="S70" i="521"/>
  <c r="R136" i="521"/>
  <c r="S25" i="521" s="1"/>
  <c r="S103" i="521" s="1"/>
  <c r="U28" i="521"/>
  <c r="U106" i="521" s="1"/>
  <c r="AB77" i="521"/>
  <c r="AA143" i="521"/>
  <c r="AB32" i="521" s="1"/>
  <c r="AB110" i="521" s="1"/>
  <c r="V73" i="521"/>
  <c r="U139" i="521"/>
  <c r="V28" i="521" s="1"/>
  <c r="V106" i="521" s="1"/>
  <c r="Y138" i="521"/>
  <c r="Z27" i="521" s="1"/>
  <c r="Z105" i="521" s="1"/>
  <c r="Z72" i="521"/>
  <c r="AC80" i="521"/>
  <c r="AB146" i="521"/>
  <c r="AC35" i="521" s="1"/>
  <c r="AC113" i="521" s="1"/>
  <c r="R67" i="521"/>
  <c r="Q133" i="521"/>
  <c r="R22" i="521" s="1"/>
  <c r="R100" i="521" s="1"/>
  <c r="N132" i="521"/>
  <c r="O21" i="521" s="1"/>
  <c r="O99" i="521" s="1"/>
  <c r="O66" i="521"/>
  <c r="R69" i="521"/>
  <c r="Z141" i="521"/>
  <c r="AA30" i="521" s="1"/>
  <c r="AA108" i="521" s="1"/>
  <c r="AA75" i="521"/>
  <c r="P102" i="521"/>
  <c r="P135" i="521" s="1"/>
  <c r="Q24" i="521" s="1"/>
  <c r="Q102" i="521" s="1"/>
  <c r="Q135" i="521" s="1"/>
  <c r="R24" i="521" s="1"/>
  <c r="R102" i="521" s="1"/>
  <c r="AB79" i="521"/>
  <c r="AC142" i="521"/>
  <c r="AD31" i="521" s="1"/>
  <c r="AD109" i="521" s="1"/>
  <c r="AD76" i="521"/>
  <c r="AA78" i="521"/>
  <c r="AA34" i="521"/>
  <c r="AA112" i="521" s="1"/>
  <c r="AA145" i="521" s="1"/>
  <c r="S137" i="521"/>
  <c r="T26" i="521" s="1"/>
  <c r="T104" i="521" s="1"/>
  <c r="T71" i="521"/>
  <c r="Z111" i="521"/>
  <c r="Z144" i="521" s="1"/>
  <c r="AA33" i="521" s="1"/>
  <c r="AA111" i="521" s="1"/>
  <c r="N65" i="521"/>
  <c r="M131" i="521"/>
  <c r="N20" i="521" s="1"/>
  <c r="N98" i="521" s="1"/>
  <c r="M64" i="521"/>
  <c r="S68" i="521"/>
  <c r="R134" i="521"/>
  <c r="S23" i="521" s="1"/>
  <c r="S101" i="521" s="1"/>
  <c r="K50" i="521"/>
  <c r="K97" i="521"/>
  <c r="K130" i="521" s="1"/>
  <c r="L19" i="521" s="1"/>
  <c r="W74" i="521"/>
  <c r="AC147" i="521"/>
  <c r="AD81" i="521"/>
  <c r="V29" i="521"/>
  <c r="V107" i="521" s="1"/>
  <c r="V140" i="521" s="1"/>
  <c r="W29" i="521" s="1"/>
  <c r="W107" i="521" s="1"/>
  <c r="AA33" i="520" l="1"/>
  <c r="AA111" i="520" s="1"/>
  <c r="AB34" i="521"/>
  <c r="AB112" i="521" s="1"/>
  <c r="Y31" i="520"/>
  <c r="Y109" i="520" s="1"/>
  <c r="S66" i="520"/>
  <c r="R132" i="520"/>
  <c r="S21" i="520" s="1"/>
  <c r="S99" i="520" s="1"/>
  <c r="N50" i="520"/>
  <c r="N97" i="520"/>
  <c r="N130" i="520" s="1"/>
  <c r="O19" i="520" s="1"/>
  <c r="S135" i="520"/>
  <c r="T24" i="520" s="1"/>
  <c r="T102" i="520" s="1"/>
  <c r="T69" i="520"/>
  <c r="T70" i="520"/>
  <c r="S136" i="520"/>
  <c r="T25" i="520" s="1"/>
  <c r="T103" i="520" s="1"/>
  <c r="S134" i="520"/>
  <c r="T23" i="520" s="1"/>
  <c r="T101" i="520" s="1"/>
  <c r="T68" i="520"/>
  <c r="AG81" i="520"/>
  <c r="AF147" i="520"/>
  <c r="AG36" i="520" s="1"/>
  <c r="AG114" i="520" s="1"/>
  <c r="Z75" i="520"/>
  <c r="Y141" i="520"/>
  <c r="Z30" i="520" s="1"/>
  <c r="Z108" i="520" s="1"/>
  <c r="W139" i="520"/>
  <c r="X28" i="520" s="1"/>
  <c r="X106" i="520" s="1"/>
  <c r="X73" i="520"/>
  <c r="S67" i="520"/>
  <c r="R133" i="520"/>
  <c r="S22" i="520" s="1"/>
  <c r="S100" i="520" s="1"/>
  <c r="AA144" i="520"/>
  <c r="AB78" i="520"/>
  <c r="M61" i="520"/>
  <c r="M58" i="520"/>
  <c r="M59" i="520"/>
  <c r="M52" i="520"/>
  <c r="M54" i="520"/>
  <c r="P65" i="520"/>
  <c r="O131" i="520"/>
  <c r="P20" i="520" s="1"/>
  <c r="P98" i="520" s="1"/>
  <c r="O64" i="520"/>
  <c r="X140" i="520"/>
  <c r="Y29" i="520" s="1"/>
  <c r="Y107" i="520" s="1"/>
  <c r="Y74" i="520"/>
  <c r="AC145" i="520"/>
  <c r="AD34" i="520" s="1"/>
  <c r="AD112" i="520" s="1"/>
  <c r="AD79" i="520"/>
  <c r="V138" i="520"/>
  <c r="W27" i="520" s="1"/>
  <c r="W105" i="520" s="1"/>
  <c r="W72" i="520"/>
  <c r="Z143" i="520"/>
  <c r="AA77" i="520"/>
  <c r="Y142" i="520"/>
  <c r="Z31" i="520" s="1"/>
  <c r="Z109" i="520" s="1"/>
  <c r="Z76" i="520"/>
  <c r="AE146" i="520"/>
  <c r="AF35" i="520" s="1"/>
  <c r="AF113" i="520" s="1"/>
  <c r="AF80" i="520"/>
  <c r="U137" i="520"/>
  <c r="V26" i="520" s="1"/>
  <c r="V104" i="520" s="1"/>
  <c r="V71" i="520"/>
  <c r="AE81" i="521"/>
  <c r="AD36" i="521"/>
  <c r="AD114" i="521" s="1"/>
  <c r="AD147" i="521" s="1"/>
  <c r="L50" i="521"/>
  <c r="L97" i="521"/>
  <c r="L130" i="521" s="1"/>
  <c r="M19" i="521" s="1"/>
  <c r="AA141" i="521"/>
  <c r="AB30" i="521" s="1"/>
  <c r="AB108" i="521" s="1"/>
  <c r="AB75" i="521"/>
  <c r="R135" i="521"/>
  <c r="S24" i="521" s="1"/>
  <c r="S102" i="521" s="1"/>
  <c r="S69" i="521"/>
  <c r="S67" i="521"/>
  <c r="R133" i="521"/>
  <c r="S22" i="521" s="1"/>
  <c r="S100" i="521" s="1"/>
  <c r="K61" i="521"/>
  <c r="K52" i="521"/>
  <c r="K59" i="521"/>
  <c r="K54" i="521"/>
  <c r="K58" i="521"/>
  <c r="T68" i="521"/>
  <c r="S134" i="521"/>
  <c r="T23" i="521" s="1"/>
  <c r="T101" i="521" s="1"/>
  <c r="AD80" i="521"/>
  <c r="AC146" i="521"/>
  <c r="O65" i="521"/>
  <c r="N64" i="521"/>
  <c r="N131" i="521"/>
  <c r="O20" i="521" s="1"/>
  <c r="O98" i="521" s="1"/>
  <c r="T137" i="521"/>
  <c r="U26" i="521" s="1"/>
  <c r="U104" i="521" s="1"/>
  <c r="U71" i="521"/>
  <c r="O132" i="521"/>
  <c r="P21" i="521" s="1"/>
  <c r="P99" i="521" s="1"/>
  <c r="P66" i="521"/>
  <c r="W73" i="521"/>
  <c r="V139" i="521"/>
  <c r="W28" i="521" s="1"/>
  <c r="W106" i="521" s="1"/>
  <c r="AC77" i="521"/>
  <c r="AB143" i="521"/>
  <c r="AC32" i="521" s="1"/>
  <c r="AC110" i="521" s="1"/>
  <c r="W140" i="521"/>
  <c r="X29" i="521" s="1"/>
  <c r="X107" i="521" s="1"/>
  <c r="X74" i="521"/>
  <c r="Z138" i="521"/>
  <c r="AA27" i="521" s="1"/>
  <c r="AA105" i="521" s="1"/>
  <c r="AA72" i="521"/>
  <c r="AB78" i="521"/>
  <c r="AA144" i="521"/>
  <c r="AD142" i="521"/>
  <c r="AE31" i="521" s="1"/>
  <c r="AE109" i="521" s="1"/>
  <c r="AE76" i="521"/>
  <c r="T70" i="521"/>
  <c r="S136" i="521"/>
  <c r="T25" i="521" s="1"/>
  <c r="T103" i="521" s="1"/>
  <c r="AB145" i="521"/>
  <c r="AC79" i="521"/>
  <c r="AE36" i="521" l="1"/>
  <c r="AE114" i="521" s="1"/>
  <c r="AD35" i="521"/>
  <c r="AD113" i="521" s="1"/>
  <c r="AD146" i="521" s="1"/>
  <c r="AE35" i="521" s="1"/>
  <c r="AE113" i="521" s="1"/>
  <c r="AB33" i="521"/>
  <c r="AB111" i="521" s="1"/>
  <c r="AA32" i="520"/>
  <c r="AA110" i="520" s="1"/>
  <c r="O50" i="520"/>
  <c r="O97" i="520"/>
  <c r="O130" i="520"/>
  <c r="P19" i="520" s="1"/>
  <c r="T67" i="520"/>
  <c r="S133" i="520"/>
  <c r="T22" i="520" s="1"/>
  <c r="T100" i="520" s="1"/>
  <c r="X139" i="520"/>
  <c r="Y28" i="520" s="1"/>
  <c r="Y106" i="520" s="1"/>
  <c r="Y73" i="520"/>
  <c r="V137" i="520"/>
  <c r="W26" i="520" s="1"/>
  <c r="W104" i="520" s="1"/>
  <c r="W71" i="520"/>
  <c r="AA75" i="520"/>
  <c r="Z141" i="520"/>
  <c r="AA30" i="520" s="1"/>
  <c r="AA108" i="520" s="1"/>
  <c r="Z142" i="520"/>
  <c r="AA31" i="520" s="1"/>
  <c r="AA109" i="520" s="1"/>
  <c r="AA76" i="520"/>
  <c r="T134" i="520"/>
  <c r="U23" i="520" s="1"/>
  <c r="U101" i="520" s="1"/>
  <c r="U68" i="520"/>
  <c r="AG147" i="520"/>
  <c r="AA143" i="520"/>
  <c r="AB32" i="520" s="1"/>
  <c r="AB110" i="520" s="1"/>
  <c r="AB77" i="520"/>
  <c r="T136" i="520"/>
  <c r="U25" i="520" s="1"/>
  <c r="U103" i="520" s="1"/>
  <c r="U70" i="520"/>
  <c r="AC78" i="520"/>
  <c r="U69" i="520"/>
  <c r="T135" i="520"/>
  <c r="U24" i="520" s="1"/>
  <c r="U102" i="520" s="1"/>
  <c r="AB33" i="520"/>
  <c r="AB111" i="520" s="1"/>
  <c r="AB144" i="520" s="1"/>
  <c r="AC33" i="520" s="1"/>
  <c r="AC111" i="520" s="1"/>
  <c r="N61" i="520"/>
  <c r="N58" i="520"/>
  <c r="N52" i="520"/>
  <c r="N59" i="520"/>
  <c r="N54" i="520"/>
  <c r="P131" i="520"/>
  <c r="Q20" i="520" s="1"/>
  <c r="Q98" i="520" s="1"/>
  <c r="Q65" i="520"/>
  <c r="P64" i="520"/>
  <c r="AF146" i="520"/>
  <c r="AG35" i="520" s="1"/>
  <c r="AG113" i="520" s="1"/>
  <c r="AG80" i="520"/>
  <c r="AD145" i="520"/>
  <c r="AE34" i="520" s="1"/>
  <c r="AE112" i="520" s="1"/>
  <c r="AE79" i="520"/>
  <c r="Y140" i="520"/>
  <c r="Z29" i="520" s="1"/>
  <c r="Z107" i="520" s="1"/>
  <c r="Z74" i="520"/>
  <c r="T66" i="520"/>
  <c r="S132" i="520"/>
  <c r="T21" i="520" s="1"/>
  <c r="T99" i="520" s="1"/>
  <c r="X72" i="520"/>
  <c r="W138" i="520"/>
  <c r="X27" i="520" s="1"/>
  <c r="X105" i="520" s="1"/>
  <c r="AF76" i="521"/>
  <c r="AE142" i="521"/>
  <c r="AF31" i="521" s="1"/>
  <c r="AF109" i="521" s="1"/>
  <c r="T67" i="521"/>
  <c r="S133" i="521"/>
  <c r="T22" i="521" s="1"/>
  <c r="T100" i="521" s="1"/>
  <c r="AB144" i="521"/>
  <c r="AC33" i="521" s="1"/>
  <c r="AC111" i="521" s="1"/>
  <c r="AC78" i="521"/>
  <c r="U68" i="521"/>
  <c r="T134" i="521"/>
  <c r="U23" i="521" s="1"/>
  <c r="U101" i="521" s="1"/>
  <c r="AA138" i="521"/>
  <c r="AB27" i="521" s="1"/>
  <c r="AB105" i="521" s="1"/>
  <c r="AB72" i="521"/>
  <c r="AC34" i="521"/>
  <c r="AC112" i="521" s="1"/>
  <c r="AC145" i="521" s="1"/>
  <c r="AD34" i="521" s="1"/>
  <c r="AD112" i="521" s="1"/>
  <c r="U70" i="521"/>
  <c r="T136" i="521"/>
  <c r="U25" i="521" s="1"/>
  <c r="U103" i="521" s="1"/>
  <c r="X140" i="521"/>
  <c r="Y29" i="521" s="1"/>
  <c r="Y107" i="521" s="1"/>
  <c r="Y74" i="521"/>
  <c r="U137" i="521"/>
  <c r="V26" i="521" s="1"/>
  <c r="V104" i="521" s="1"/>
  <c r="V71" i="521"/>
  <c r="AE80" i="521"/>
  <c r="AD79" i="521"/>
  <c r="T69" i="521"/>
  <c r="S135" i="521"/>
  <c r="T24" i="521" s="1"/>
  <c r="T102" i="521" s="1"/>
  <c r="AD77" i="521"/>
  <c r="AC143" i="521"/>
  <c r="AD32" i="521" s="1"/>
  <c r="AD110" i="521" s="1"/>
  <c r="M50" i="521"/>
  <c r="M97" i="521"/>
  <c r="M130" i="521" s="1"/>
  <c r="N19" i="521" s="1"/>
  <c r="L61" i="521"/>
  <c r="L52" i="521"/>
  <c r="L54" i="521"/>
  <c r="L59" i="521"/>
  <c r="L58" i="521"/>
  <c r="W139" i="521"/>
  <c r="X28" i="521" s="1"/>
  <c r="X106" i="521" s="1"/>
  <c r="X73" i="521"/>
  <c r="P65" i="521"/>
  <c r="O131" i="521"/>
  <c r="P20" i="521" s="1"/>
  <c r="P98" i="521" s="1"/>
  <c r="O64" i="521"/>
  <c r="P132" i="521"/>
  <c r="Q21" i="521" s="1"/>
  <c r="Q99" i="521" s="1"/>
  <c r="Q66" i="521"/>
  <c r="AB141" i="521"/>
  <c r="AC30" i="521" s="1"/>
  <c r="AC108" i="521" s="1"/>
  <c r="AC75" i="521"/>
  <c r="AE147" i="521"/>
  <c r="AF36" i="521" s="1"/>
  <c r="AF114" i="521" s="1"/>
  <c r="AF81" i="521"/>
  <c r="AG146" i="520" l="1"/>
  <c r="V69" i="520"/>
  <c r="U135" i="520"/>
  <c r="V24" i="520" s="1"/>
  <c r="V102" i="520" s="1"/>
  <c r="AC144" i="520"/>
  <c r="AD33" i="520" s="1"/>
  <c r="AD111" i="520" s="1"/>
  <c r="AD78" i="520"/>
  <c r="AA142" i="520"/>
  <c r="AB31" i="520" s="1"/>
  <c r="AB109" i="520" s="1"/>
  <c r="AB76" i="520"/>
  <c r="Y72" i="520"/>
  <c r="X138" i="520"/>
  <c r="Y27" i="520" s="1"/>
  <c r="Y105" i="520" s="1"/>
  <c r="U66" i="520"/>
  <c r="T132" i="520"/>
  <c r="U21" i="520" s="1"/>
  <c r="U99" i="520" s="1"/>
  <c r="AB75" i="520"/>
  <c r="AA141" i="520"/>
  <c r="AB30" i="520" s="1"/>
  <c r="AB108" i="520" s="1"/>
  <c r="AE145" i="520"/>
  <c r="AF34" i="520" s="1"/>
  <c r="AF112" i="520" s="1"/>
  <c r="AF79" i="520"/>
  <c r="Y139" i="520"/>
  <c r="Z28" i="520" s="1"/>
  <c r="Z106" i="520" s="1"/>
  <c r="Z73" i="520"/>
  <c r="U136" i="520"/>
  <c r="V25" i="520" s="1"/>
  <c r="V103" i="520" s="1"/>
  <c r="V70" i="520"/>
  <c r="U134" i="520"/>
  <c r="V23" i="520" s="1"/>
  <c r="V101" i="520" s="1"/>
  <c r="V68" i="520"/>
  <c r="U67" i="520"/>
  <c r="T133" i="520"/>
  <c r="U22" i="520" s="1"/>
  <c r="U100" i="520" s="1"/>
  <c r="P50" i="520"/>
  <c r="P97" i="520"/>
  <c r="P130" i="520" s="1"/>
  <c r="Q19" i="520" s="1"/>
  <c r="AC77" i="520"/>
  <c r="AB143" i="520"/>
  <c r="AC32" i="520" s="1"/>
  <c r="AC110" i="520" s="1"/>
  <c r="Z140" i="520"/>
  <c r="AA29" i="520" s="1"/>
  <c r="AA107" i="520" s="1"/>
  <c r="AA74" i="520"/>
  <c r="Q131" i="520"/>
  <c r="R20" i="520" s="1"/>
  <c r="R98" i="520" s="1"/>
  <c r="R65" i="520"/>
  <c r="Q64" i="520"/>
  <c r="W137" i="520"/>
  <c r="X26" i="520" s="1"/>
  <c r="X104" i="520" s="1"/>
  <c r="X71" i="520"/>
  <c r="O59" i="520"/>
  <c r="O61" i="520"/>
  <c r="O58" i="520"/>
  <c r="O52" i="520"/>
  <c r="O54" i="520"/>
  <c r="U69" i="521"/>
  <c r="T135" i="521"/>
  <c r="U24" i="521" s="1"/>
  <c r="U102" i="521" s="1"/>
  <c r="M61" i="521"/>
  <c r="M52" i="521"/>
  <c r="M59" i="521"/>
  <c r="M58" i="521"/>
  <c r="M54" i="521"/>
  <c r="Y140" i="521"/>
  <c r="Z29" i="521" s="1"/>
  <c r="Z107" i="521" s="1"/>
  <c r="Z74" i="521"/>
  <c r="AF147" i="521"/>
  <c r="AG36" i="521" s="1"/>
  <c r="AG114" i="521" s="1"/>
  <c r="AG81" i="521"/>
  <c r="Q132" i="521"/>
  <c r="R21" i="521" s="1"/>
  <c r="R99" i="521" s="1"/>
  <c r="R66" i="521"/>
  <c r="V68" i="521"/>
  <c r="U134" i="521"/>
  <c r="V23" i="521" s="1"/>
  <c r="V101" i="521" s="1"/>
  <c r="AD143" i="521"/>
  <c r="AE32" i="521" s="1"/>
  <c r="AE110" i="521" s="1"/>
  <c r="AE77" i="521"/>
  <c r="V137" i="521"/>
  <c r="W26" i="521" s="1"/>
  <c r="W104" i="521" s="1"/>
  <c r="W71" i="521"/>
  <c r="Y73" i="521"/>
  <c r="X139" i="521"/>
  <c r="Y28" i="521" s="1"/>
  <c r="Y106" i="521" s="1"/>
  <c r="AD145" i="521"/>
  <c r="AE34" i="521" s="1"/>
  <c r="AE112" i="521" s="1"/>
  <c r="AE79" i="521"/>
  <c r="T133" i="521"/>
  <c r="U22" i="521" s="1"/>
  <c r="U100" i="521" s="1"/>
  <c r="U67" i="521"/>
  <c r="P131" i="521"/>
  <c r="Q20" i="521" s="1"/>
  <c r="Q98" i="521" s="1"/>
  <c r="Q65" i="521"/>
  <c r="P64" i="521"/>
  <c r="U136" i="521"/>
  <c r="V25" i="521" s="1"/>
  <c r="V103" i="521" s="1"/>
  <c r="V70" i="521"/>
  <c r="N50" i="521"/>
  <c r="N97" i="521"/>
  <c r="N130" i="521" s="1"/>
  <c r="O19" i="521" s="1"/>
  <c r="AF80" i="521"/>
  <c r="AE146" i="521"/>
  <c r="AF35" i="521" s="1"/>
  <c r="AF113" i="521" s="1"/>
  <c r="AC141" i="521"/>
  <c r="AD30" i="521" s="1"/>
  <c r="AD108" i="521" s="1"/>
  <c r="AD75" i="521"/>
  <c r="AC144" i="521"/>
  <c r="AD33" i="521" s="1"/>
  <c r="AD111" i="521" s="1"/>
  <c r="AD78" i="521"/>
  <c r="AF142" i="521"/>
  <c r="AG31" i="521" s="1"/>
  <c r="AG109" i="521" s="1"/>
  <c r="AG76" i="521"/>
  <c r="AB138" i="521"/>
  <c r="AC27" i="521" s="1"/>
  <c r="AC105" i="521" s="1"/>
  <c r="AC72" i="521"/>
  <c r="AG142" i="521" l="1"/>
  <c r="Q50" i="520"/>
  <c r="Q97" i="520"/>
  <c r="Q130" i="520" s="1"/>
  <c r="R19" i="520" s="1"/>
  <c r="AD77" i="520"/>
  <c r="AC143" i="520"/>
  <c r="AD32" i="520" s="1"/>
  <c r="AD110" i="520" s="1"/>
  <c r="P59" i="520"/>
  <c r="P58" i="520"/>
  <c r="P61" i="520"/>
  <c r="P52" i="520"/>
  <c r="P54" i="520"/>
  <c r="AA140" i="520"/>
  <c r="AB29" i="520" s="1"/>
  <c r="AB107" i="520" s="1"/>
  <c r="AB74" i="520"/>
  <c r="AF145" i="520"/>
  <c r="AG34" i="520" s="1"/>
  <c r="AG112" i="520" s="1"/>
  <c r="AG79" i="520"/>
  <c r="AC75" i="520"/>
  <c r="AB141" i="520"/>
  <c r="AC30" i="520" s="1"/>
  <c r="AC108" i="520" s="1"/>
  <c r="V67" i="520"/>
  <c r="U133" i="520"/>
  <c r="V22" i="520" s="1"/>
  <c r="V100" i="520" s="1"/>
  <c r="V134" i="520"/>
  <c r="W23" i="520" s="1"/>
  <c r="W101" i="520" s="1"/>
  <c r="W68" i="520"/>
  <c r="V136" i="520"/>
  <c r="W25" i="520" s="1"/>
  <c r="W103" i="520" s="1"/>
  <c r="W70" i="520"/>
  <c r="Z72" i="520"/>
  <c r="Y138" i="520"/>
  <c r="Z27" i="520" s="1"/>
  <c r="Z105" i="520" s="1"/>
  <c r="AB142" i="520"/>
  <c r="AC31" i="520" s="1"/>
  <c r="AC109" i="520" s="1"/>
  <c r="AC76" i="520"/>
  <c r="AA73" i="520"/>
  <c r="Z139" i="520"/>
  <c r="AA28" i="520" s="1"/>
  <c r="AA106" i="520" s="1"/>
  <c r="V66" i="520"/>
  <c r="U132" i="520"/>
  <c r="V21" i="520" s="1"/>
  <c r="V99" i="520" s="1"/>
  <c r="AD144" i="520"/>
  <c r="AE33" i="520" s="1"/>
  <c r="AE111" i="520" s="1"/>
  <c r="AE78" i="520"/>
  <c r="X137" i="520"/>
  <c r="Y26" i="520" s="1"/>
  <c r="Y104" i="520" s="1"/>
  <c r="Y71" i="520"/>
  <c r="S65" i="520"/>
  <c r="R131" i="520"/>
  <c r="S20" i="520" s="1"/>
  <c r="S98" i="520" s="1"/>
  <c r="R64" i="520"/>
  <c r="V135" i="520"/>
  <c r="W24" i="520" s="1"/>
  <c r="W102" i="520" s="1"/>
  <c r="W69" i="520"/>
  <c r="Q131" i="521"/>
  <c r="R20" i="521" s="1"/>
  <c r="R98" i="521" s="1"/>
  <c r="R65" i="521"/>
  <c r="Q64" i="521"/>
  <c r="AE145" i="521"/>
  <c r="AF34" i="521" s="1"/>
  <c r="AF112" i="521" s="1"/>
  <c r="AF79" i="521"/>
  <c r="Z73" i="521"/>
  <c r="Y139" i="521"/>
  <c r="Z28" i="521" s="1"/>
  <c r="Z106" i="521" s="1"/>
  <c r="AF77" i="521"/>
  <c r="AE143" i="521"/>
  <c r="AF32" i="521" s="1"/>
  <c r="AF110" i="521" s="1"/>
  <c r="AG147" i="521"/>
  <c r="W137" i="521"/>
  <c r="X26" i="521" s="1"/>
  <c r="X104" i="521" s="1"/>
  <c r="X71" i="521"/>
  <c r="U133" i="521"/>
  <c r="V22" i="521" s="1"/>
  <c r="V100" i="521" s="1"/>
  <c r="V67" i="521"/>
  <c r="W68" i="521"/>
  <c r="V134" i="521"/>
  <c r="W23" i="521" s="1"/>
  <c r="W101" i="521" s="1"/>
  <c r="S66" i="521"/>
  <c r="R132" i="521"/>
  <c r="S21" i="521" s="1"/>
  <c r="S99" i="521" s="1"/>
  <c r="Z140" i="521"/>
  <c r="AA29" i="521" s="1"/>
  <c r="AA107" i="521" s="1"/>
  <c r="AA74" i="521"/>
  <c r="AD141" i="521"/>
  <c r="AE30" i="521" s="1"/>
  <c r="AE108" i="521" s="1"/>
  <c r="AE75" i="521"/>
  <c r="AD144" i="521"/>
  <c r="AE33" i="521" s="1"/>
  <c r="AE111" i="521" s="1"/>
  <c r="AE78" i="521"/>
  <c r="AG80" i="521"/>
  <c r="AF146" i="521"/>
  <c r="AG35" i="521" s="1"/>
  <c r="AG113" i="521" s="1"/>
  <c r="AC138" i="521"/>
  <c r="AD27" i="521" s="1"/>
  <c r="AD105" i="521" s="1"/>
  <c r="AD72" i="521"/>
  <c r="O50" i="521"/>
  <c r="O97" i="521"/>
  <c r="O130" i="521" s="1"/>
  <c r="P19" i="521" s="1"/>
  <c r="N52" i="521"/>
  <c r="N61" i="521"/>
  <c r="N59" i="521"/>
  <c r="N58" i="521"/>
  <c r="N54" i="521"/>
  <c r="V136" i="521"/>
  <c r="W25" i="521" s="1"/>
  <c r="W103" i="521" s="1"/>
  <c r="W70" i="521"/>
  <c r="U135" i="521"/>
  <c r="V24" i="521" s="1"/>
  <c r="V102" i="521" s="1"/>
  <c r="V69" i="521"/>
  <c r="AG145" i="520" l="1"/>
  <c r="R50" i="520"/>
  <c r="R97" i="520"/>
  <c r="W136" i="520"/>
  <c r="X25" i="520" s="1"/>
  <c r="X103" i="520" s="1"/>
  <c r="X70" i="520"/>
  <c r="AC142" i="520"/>
  <c r="AD31" i="520" s="1"/>
  <c r="AD109" i="520" s="1"/>
  <c r="AD76" i="520"/>
  <c r="W66" i="520"/>
  <c r="V132" i="520"/>
  <c r="W21" i="520" s="1"/>
  <c r="W99" i="520" s="1"/>
  <c r="AB73" i="520"/>
  <c r="AA139" i="520"/>
  <c r="AB28" i="520" s="1"/>
  <c r="AB106" i="520" s="1"/>
  <c r="X68" i="520"/>
  <c r="W134" i="520"/>
  <c r="X23" i="520" s="1"/>
  <c r="X101" i="520" s="1"/>
  <c r="AC74" i="520"/>
  <c r="AB140" i="520"/>
  <c r="AC29" i="520" s="1"/>
  <c r="AC107" i="520" s="1"/>
  <c r="Z138" i="520"/>
  <c r="AA27" i="520" s="1"/>
  <c r="AA105" i="520" s="1"/>
  <c r="AA72" i="520"/>
  <c r="AE144" i="520"/>
  <c r="AF33" i="520" s="1"/>
  <c r="AF111" i="520" s="1"/>
  <c r="AF78" i="520"/>
  <c r="R130" i="520"/>
  <c r="S19" i="520" s="1"/>
  <c r="W67" i="520"/>
  <c r="V133" i="520"/>
  <c r="W22" i="520" s="1"/>
  <c r="W100" i="520" s="1"/>
  <c r="AD75" i="520"/>
  <c r="AC141" i="520"/>
  <c r="AD30" i="520" s="1"/>
  <c r="AD108" i="520" s="1"/>
  <c r="W135" i="520"/>
  <c r="X24" i="520" s="1"/>
  <c r="X102" i="520" s="1"/>
  <c r="X69" i="520"/>
  <c r="S131" i="520"/>
  <c r="T20" i="520" s="1"/>
  <c r="T98" i="520" s="1"/>
  <c r="T65" i="520"/>
  <c r="S64" i="520"/>
  <c r="Z71" i="520"/>
  <c r="Y137" i="520"/>
  <c r="Z26" i="520" s="1"/>
  <c r="Z104" i="520" s="1"/>
  <c r="AE77" i="520"/>
  <c r="AD143" i="520"/>
  <c r="AE32" i="520" s="1"/>
  <c r="AE110" i="520" s="1"/>
  <c r="Q59" i="520"/>
  <c r="Q58" i="520"/>
  <c r="Q61" i="520"/>
  <c r="Q52" i="520"/>
  <c r="AE144" i="521"/>
  <c r="AF33" i="521" s="1"/>
  <c r="AF111" i="521" s="1"/>
  <c r="AF78" i="521"/>
  <c r="P50" i="521"/>
  <c r="P97" i="521"/>
  <c r="P130" i="521" s="1"/>
  <c r="Q19" i="521" s="1"/>
  <c r="X68" i="521"/>
  <c r="W134" i="521"/>
  <c r="X23" i="521" s="1"/>
  <c r="X101" i="521" s="1"/>
  <c r="V135" i="521"/>
  <c r="W24" i="521" s="1"/>
  <c r="W102" i="521" s="1"/>
  <c r="W69" i="521"/>
  <c r="AG77" i="521"/>
  <c r="AF143" i="521"/>
  <c r="AG32" i="521" s="1"/>
  <c r="AG110" i="521" s="1"/>
  <c r="AB74" i="521"/>
  <c r="AA140" i="521"/>
  <c r="AB29" i="521" s="1"/>
  <c r="AB107" i="521" s="1"/>
  <c r="V133" i="521"/>
  <c r="W22" i="521" s="1"/>
  <c r="W100" i="521" s="1"/>
  <c r="W67" i="521"/>
  <c r="AA73" i="521"/>
  <c r="Z139" i="521"/>
  <c r="AA28" i="521" s="1"/>
  <c r="AA106" i="521" s="1"/>
  <c r="O61" i="521"/>
  <c r="O52" i="521"/>
  <c r="O59" i="521"/>
  <c r="O58" i="521"/>
  <c r="O54" i="521"/>
  <c r="X137" i="521"/>
  <c r="Y26" i="521" s="1"/>
  <c r="Y104" i="521" s="1"/>
  <c r="Y71" i="521"/>
  <c r="X70" i="521"/>
  <c r="W136" i="521"/>
  <c r="X25" i="521" s="1"/>
  <c r="X103" i="521" s="1"/>
  <c r="AF145" i="521"/>
  <c r="AG34" i="521" s="1"/>
  <c r="AG112" i="521" s="1"/>
  <c r="AG79" i="521"/>
  <c r="AE72" i="521"/>
  <c r="AD138" i="521"/>
  <c r="AE27" i="521" s="1"/>
  <c r="AE105" i="521" s="1"/>
  <c r="AG146" i="521"/>
  <c r="S65" i="521"/>
  <c r="R64" i="521"/>
  <c r="R131" i="521"/>
  <c r="S20" i="521" s="1"/>
  <c r="S98" i="521" s="1"/>
  <c r="AE141" i="521"/>
  <c r="AF30" i="521" s="1"/>
  <c r="AF108" i="521" s="1"/>
  <c r="AF75" i="521"/>
  <c r="T66" i="521"/>
  <c r="S132" i="521"/>
  <c r="T21" i="521" s="1"/>
  <c r="T99" i="521" s="1"/>
  <c r="AF77" i="520" l="1"/>
  <c r="AE143" i="520"/>
  <c r="AF32" i="520" s="1"/>
  <c r="AF110" i="520" s="1"/>
  <c r="AE75" i="520"/>
  <c r="AD141" i="520"/>
  <c r="AE30" i="520" s="1"/>
  <c r="AE108" i="520" s="1"/>
  <c r="X135" i="520"/>
  <c r="Y24" i="520" s="1"/>
  <c r="Y102" i="520" s="1"/>
  <c r="Y69" i="520"/>
  <c r="AC73" i="520"/>
  <c r="AB139" i="520"/>
  <c r="AC28" i="520" s="1"/>
  <c r="AC106" i="520" s="1"/>
  <c r="X67" i="520"/>
  <c r="W133" i="520"/>
  <c r="X22" i="520" s="1"/>
  <c r="X100" i="520" s="1"/>
  <c r="AG78" i="520"/>
  <c r="AF144" i="520"/>
  <c r="AG33" i="520" s="1"/>
  <c r="AG111" i="520" s="1"/>
  <c r="AA71" i="520"/>
  <c r="Z137" i="520"/>
  <c r="AA26" i="520" s="1"/>
  <c r="AA104" i="520" s="1"/>
  <c r="X66" i="520"/>
  <c r="W132" i="520"/>
  <c r="X21" i="520" s="1"/>
  <c r="X99" i="520" s="1"/>
  <c r="S50" i="520"/>
  <c r="S97" i="520"/>
  <c r="S130" i="520" s="1"/>
  <c r="T19" i="520" s="1"/>
  <c r="AA138" i="520"/>
  <c r="AB27" i="520" s="1"/>
  <c r="AB105" i="520" s="1"/>
  <c r="AB72" i="520"/>
  <c r="AC140" i="520"/>
  <c r="AD29" i="520" s="1"/>
  <c r="AD107" i="520" s="1"/>
  <c r="AD74" i="520"/>
  <c r="Y68" i="520"/>
  <c r="X134" i="520"/>
  <c r="Y23" i="520" s="1"/>
  <c r="Y101" i="520" s="1"/>
  <c r="AD142" i="520"/>
  <c r="AE31" i="520" s="1"/>
  <c r="AE109" i="520" s="1"/>
  <c r="AE76" i="520"/>
  <c r="Y70" i="520"/>
  <c r="X136" i="520"/>
  <c r="Y25" i="520" s="1"/>
  <c r="Y103" i="520" s="1"/>
  <c r="U65" i="520"/>
  <c r="T64" i="520"/>
  <c r="T131" i="520"/>
  <c r="U20" i="520" s="1"/>
  <c r="U98" i="520" s="1"/>
  <c r="R58" i="520"/>
  <c r="R59" i="520"/>
  <c r="R61" i="520"/>
  <c r="R52" i="520"/>
  <c r="T65" i="521"/>
  <c r="S131" i="521"/>
  <c r="T20" i="521" s="1"/>
  <c r="T98" i="521" s="1"/>
  <c r="S64" i="521"/>
  <c r="AF72" i="521"/>
  <c r="AE138" i="521"/>
  <c r="AF27" i="521" s="1"/>
  <c r="AF105" i="521" s="1"/>
  <c r="Z71" i="521"/>
  <c r="Y137" i="521"/>
  <c r="Z26" i="521" s="1"/>
  <c r="Z104" i="521" s="1"/>
  <c r="AG145" i="521"/>
  <c r="X67" i="521"/>
  <c r="W133" i="521"/>
  <c r="X22" i="521" s="1"/>
  <c r="X100" i="521" s="1"/>
  <c r="AB73" i="521"/>
  <c r="AA139" i="521"/>
  <c r="AB28" i="521" s="1"/>
  <c r="AB106" i="521" s="1"/>
  <c r="Y68" i="521"/>
  <c r="X134" i="521"/>
  <c r="Y23" i="521" s="1"/>
  <c r="Y101" i="521" s="1"/>
  <c r="Y70" i="521"/>
  <c r="X136" i="521"/>
  <c r="Y25" i="521" s="1"/>
  <c r="Y103" i="521" s="1"/>
  <c r="W135" i="521"/>
  <c r="X24" i="521" s="1"/>
  <c r="X102" i="521" s="1"/>
  <c r="X69" i="521"/>
  <c r="T132" i="521"/>
  <c r="U21" i="521" s="1"/>
  <c r="U99" i="521" s="1"/>
  <c r="U66" i="521"/>
  <c r="Q50" i="521"/>
  <c r="Q97" i="521"/>
  <c r="Q130" i="521" s="1"/>
  <c r="R19" i="521" s="1"/>
  <c r="AF141" i="521"/>
  <c r="AG30" i="521" s="1"/>
  <c r="AG108" i="521" s="1"/>
  <c r="AG75" i="521"/>
  <c r="P61" i="521"/>
  <c r="P59" i="521"/>
  <c r="P52" i="521"/>
  <c r="P58" i="521"/>
  <c r="P54" i="521"/>
  <c r="AF144" i="521"/>
  <c r="AG33" i="521" s="1"/>
  <c r="AG111" i="521" s="1"/>
  <c r="AG78" i="521"/>
  <c r="AG144" i="521" s="1"/>
  <c r="AB140" i="521"/>
  <c r="AC29" i="521" s="1"/>
  <c r="AC107" i="521" s="1"/>
  <c r="AC74" i="521"/>
  <c r="AG143" i="521"/>
  <c r="T50" i="520" l="1"/>
  <c r="T97" i="520"/>
  <c r="T130" i="520" s="1"/>
  <c r="U19" i="520" s="1"/>
  <c r="Y136" i="520"/>
  <c r="Z25" i="520" s="1"/>
  <c r="Z103" i="520" s="1"/>
  <c r="Z70" i="520"/>
  <c r="AE142" i="520"/>
  <c r="AF31" i="520" s="1"/>
  <c r="AF109" i="520" s="1"/>
  <c r="AF76" i="520"/>
  <c r="U64" i="520"/>
  <c r="V65" i="520"/>
  <c r="U131" i="520"/>
  <c r="V20" i="520" s="1"/>
  <c r="V98" i="520" s="1"/>
  <c r="AD140" i="520"/>
  <c r="AE29" i="520" s="1"/>
  <c r="AE107" i="520" s="1"/>
  <c r="AE74" i="520"/>
  <c r="AC139" i="520"/>
  <c r="AD28" i="520" s="1"/>
  <c r="AD106" i="520" s="1"/>
  <c r="AD73" i="520"/>
  <c r="Y134" i="520"/>
  <c r="Z23" i="520" s="1"/>
  <c r="Z101" i="520" s="1"/>
  <c r="Z68" i="520"/>
  <c r="S61" i="520"/>
  <c r="S52" i="520"/>
  <c r="S58" i="520"/>
  <c r="S59" i="520"/>
  <c r="Y66" i="520"/>
  <c r="X132" i="520"/>
  <c r="Y21" i="520" s="1"/>
  <c r="Y99" i="520" s="1"/>
  <c r="Y67" i="520"/>
  <c r="X133" i="520"/>
  <c r="Y22" i="520" s="1"/>
  <c r="Y100" i="520" s="1"/>
  <c r="Z69" i="520"/>
  <c r="Y135" i="520"/>
  <c r="Z24" i="520" s="1"/>
  <c r="Z102" i="520" s="1"/>
  <c r="AB138" i="520"/>
  <c r="AC27" i="520" s="1"/>
  <c r="AC105" i="520" s="1"/>
  <c r="AC72" i="520"/>
  <c r="AA137" i="520"/>
  <c r="AB26" i="520" s="1"/>
  <c r="AB104" i="520" s="1"/>
  <c r="AB71" i="520"/>
  <c r="AG144" i="520"/>
  <c r="AE141" i="520"/>
  <c r="AF30" i="520" s="1"/>
  <c r="AF108" i="520" s="1"/>
  <c r="AF75" i="520"/>
  <c r="AG77" i="520"/>
  <c r="AF143" i="520"/>
  <c r="AG32" i="520" s="1"/>
  <c r="AG110" i="520" s="1"/>
  <c r="Q61" i="521"/>
  <c r="Q59" i="521"/>
  <c r="Q52" i="521"/>
  <c r="Q58" i="521"/>
  <c r="X135" i="521"/>
  <c r="Y24" i="521" s="1"/>
  <c r="Y102" i="521" s="1"/>
  <c r="Y69" i="521"/>
  <c r="AC73" i="521"/>
  <c r="AB139" i="521"/>
  <c r="AC28" i="521" s="1"/>
  <c r="AC106" i="521" s="1"/>
  <c r="Y67" i="521"/>
  <c r="X133" i="521"/>
  <c r="Y22" i="521" s="1"/>
  <c r="Y100" i="521" s="1"/>
  <c r="AA71" i="521"/>
  <c r="Z137" i="521"/>
  <c r="AA26" i="521" s="1"/>
  <c r="AA104" i="521" s="1"/>
  <c r="AG141" i="521"/>
  <c r="R50" i="521"/>
  <c r="R97" i="521"/>
  <c r="R130" i="521" s="1"/>
  <c r="S19" i="521" s="1"/>
  <c r="AD74" i="521"/>
  <c r="AC140" i="521"/>
  <c r="AD29" i="521" s="1"/>
  <c r="AD107" i="521" s="1"/>
  <c r="U65" i="521"/>
  <c r="T131" i="521"/>
  <c r="U20" i="521" s="1"/>
  <c r="U98" i="521" s="1"/>
  <c r="T64" i="521"/>
  <c r="U132" i="521"/>
  <c r="V21" i="521" s="1"/>
  <c r="V99" i="521" s="1"/>
  <c r="V66" i="521"/>
  <c r="Y136" i="521"/>
  <c r="Z25" i="521" s="1"/>
  <c r="Z103" i="521" s="1"/>
  <c r="Z70" i="521"/>
  <c r="Z68" i="521"/>
  <c r="Y134" i="521"/>
  <c r="Z23" i="521" s="1"/>
  <c r="Z101" i="521" s="1"/>
  <c r="AG72" i="521"/>
  <c r="AF138" i="521"/>
  <c r="AG27" i="521" s="1"/>
  <c r="AG105" i="521" s="1"/>
  <c r="V131" i="520" l="1"/>
  <c r="W20" i="520" s="1"/>
  <c r="W98" i="520" s="1"/>
  <c r="W65" i="520"/>
  <c r="Z136" i="520"/>
  <c r="AA25" i="520" s="1"/>
  <c r="AA103" i="520" s="1"/>
  <c r="AA70" i="520"/>
  <c r="AC71" i="520"/>
  <c r="AB137" i="520"/>
  <c r="AC26" i="520" s="1"/>
  <c r="AC104" i="520" s="1"/>
  <c r="AC138" i="520"/>
  <c r="AD27" i="520" s="1"/>
  <c r="AD105" i="520" s="1"/>
  <c r="AD72" i="520"/>
  <c r="AD139" i="520"/>
  <c r="AE28" i="520" s="1"/>
  <c r="AE106" i="520" s="1"/>
  <c r="AE73" i="520"/>
  <c r="AE140" i="520"/>
  <c r="AF29" i="520" s="1"/>
  <c r="AF107" i="520" s="1"/>
  <c r="AF74" i="520"/>
  <c r="V64" i="520"/>
  <c r="AG143" i="520"/>
  <c r="U50" i="520"/>
  <c r="U97" i="520"/>
  <c r="U130" i="520" s="1"/>
  <c r="V19" i="520" s="1"/>
  <c r="AA68" i="520"/>
  <c r="Z134" i="520"/>
  <c r="AA23" i="520" s="1"/>
  <c r="AA101" i="520" s="1"/>
  <c r="AF142" i="520"/>
  <c r="AG31" i="520" s="1"/>
  <c r="AG109" i="520" s="1"/>
  <c r="AG76" i="520"/>
  <c r="AF141" i="520"/>
  <c r="AG30" i="520" s="1"/>
  <c r="AG108" i="520" s="1"/>
  <c r="AG75" i="520"/>
  <c r="AA69" i="520"/>
  <c r="Z135" i="520"/>
  <c r="AA24" i="520" s="1"/>
  <c r="AA102" i="520" s="1"/>
  <c r="Y133" i="520"/>
  <c r="Z22" i="520" s="1"/>
  <c r="Z100" i="520" s="1"/>
  <c r="Z67" i="520"/>
  <c r="Z66" i="520"/>
  <c r="Y132" i="520"/>
  <c r="Z21" i="520" s="1"/>
  <c r="Z99" i="520" s="1"/>
  <c r="T61" i="520"/>
  <c r="T58" i="520"/>
  <c r="T59" i="520"/>
  <c r="T52" i="520"/>
  <c r="AE74" i="521"/>
  <c r="AD140" i="521"/>
  <c r="AE29" i="521" s="1"/>
  <c r="AE107" i="521" s="1"/>
  <c r="S50" i="521"/>
  <c r="S97" i="521"/>
  <c r="S130" i="521" s="1"/>
  <c r="T19" i="521" s="1"/>
  <c r="AA137" i="521"/>
  <c r="AB26" i="521" s="1"/>
  <c r="AB104" i="521" s="1"/>
  <c r="AB71" i="521"/>
  <c r="Y133" i="521"/>
  <c r="Z22" i="521" s="1"/>
  <c r="Z100" i="521" s="1"/>
  <c r="Z67" i="521"/>
  <c r="V132" i="521"/>
  <c r="W21" i="521" s="1"/>
  <c r="W99" i="521" s="1"/>
  <c r="W66" i="521"/>
  <c r="AA70" i="521"/>
  <c r="Z136" i="521"/>
  <c r="AA25" i="521" s="1"/>
  <c r="AA103" i="521" s="1"/>
  <c r="R61" i="521"/>
  <c r="R59" i="521"/>
  <c r="R52" i="521"/>
  <c r="R58" i="521"/>
  <c r="AG138" i="521"/>
  <c r="AA68" i="521"/>
  <c r="Z134" i="521"/>
  <c r="AA23" i="521" s="1"/>
  <c r="AA101" i="521" s="1"/>
  <c r="V65" i="521"/>
  <c r="U131" i="521"/>
  <c r="V20" i="521" s="1"/>
  <c r="V98" i="521" s="1"/>
  <c r="U64" i="521"/>
  <c r="AD73" i="521"/>
  <c r="AC139" i="521"/>
  <c r="AD28" i="521" s="1"/>
  <c r="AD106" i="521" s="1"/>
  <c r="Y135" i="521"/>
  <c r="Z24" i="521" s="1"/>
  <c r="Z102" i="521" s="1"/>
  <c r="Z69" i="521"/>
  <c r="AG141" i="520" l="1"/>
  <c r="V97" i="520"/>
  <c r="Z133" i="520"/>
  <c r="AA22" i="520" s="1"/>
  <c r="AA100" i="520" s="1"/>
  <c r="AA67" i="520"/>
  <c r="U61" i="520"/>
  <c r="U58" i="520"/>
  <c r="U59" i="520"/>
  <c r="U52" i="520"/>
  <c r="V130" i="520"/>
  <c r="W19" i="520" s="1"/>
  <c r="W64" i="520"/>
  <c r="AA135" i="520"/>
  <c r="AB24" i="520" s="1"/>
  <c r="AB102" i="520" s="1"/>
  <c r="AB69" i="520"/>
  <c r="AG142" i="520"/>
  <c r="Z132" i="520"/>
  <c r="AA21" i="520" s="1"/>
  <c r="AA99" i="520" s="1"/>
  <c r="AA66" i="520"/>
  <c r="AB68" i="520"/>
  <c r="AA134" i="520"/>
  <c r="AB23" i="520" s="1"/>
  <c r="AB101" i="520" s="1"/>
  <c r="AE139" i="520"/>
  <c r="AF28" i="520" s="1"/>
  <c r="AF106" i="520" s="1"/>
  <c r="AF73" i="520"/>
  <c r="AD138" i="520"/>
  <c r="AE27" i="520" s="1"/>
  <c r="AE105" i="520" s="1"/>
  <c r="AE72" i="520"/>
  <c r="W131" i="520"/>
  <c r="X20" i="520" s="1"/>
  <c r="X98" i="520" s="1"/>
  <c r="X65" i="520"/>
  <c r="AF140" i="520"/>
  <c r="AG29" i="520" s="1"/>
  <c r="AG107" i="520" s="1"/>
  <c r="AG74" i="520"/>
  <c r="AD71" i="520"/>
  <c r="AC137" i="520"/>
  <c r="AD26" i="520" s="1"/>
  <c r="AD104" i="520" s="1"/>
  <c r="AA136" i="520"/>
  <c r="AB25" i="520" s="1"/>
  <c r="AB103" i="520" s="1"/>
  <c r="AB70" i="520"/>
  <c r="AD139" i="521"/>
  <c r="AE28" i="521" s="1"/>
  <c r="AE106" i="521" s="1"/>
  <c r="AE73" i="521"/>
  <c r="T50" i="521"/>
  <c r="T97" i="521"/>
  <c r="T130" i="521" s="1"/>
  <c r="U19" i="521" s="1"/>
  <c r="V64" i="521"/>
  <c r="V131" i="521"/>
  <c r="W20" i="521" s="1"/>
  <c r="W98" i="521" s="1"/>
  <c r="W65" i="521"/>
  <c r="X66" i="521"/>
  <c r="W132" i="521"/>
  <c r="X21" i="521" s="1"/>
  <c r="X99" i="521" s="1"/>
  <c r="AB137" i="521"/>
  <c r="AC26" i="521" s="1"/>
  <c r="AC104" i="521" s="1"/>
  <c r="AC71" i="521"/>
  <c r="S61" i="521"/>
  <c r="S52" i="521"/>
  <c r="S58" i="521"/>
  <c r="S59" i="521"/>
  <c r="AA69" i="521"/>
  <c r="Z135" i="521"/>
  <c r="AA24" i="521" s="1"/>
  <c r="AA102" i="521" s="1"/>
  <c r="AB70" i="521"/>
  <c r="AA136" i="521"/>
  <c r="AB25" i="521" s="1"/>
  <c r="AB103" i="521" s="1"/>
  <c r="AB68" i="521"/>
  <c r="AA134" i="521"/>
  <c r="AB23" i="521" s="1"/>
  <c r="AB101" i="521" s="1"/>
  <c r="Z133" i="521"/>
  <c r="AA22" i="521" s="1"/>
  <c r="AA100" i="521" s="1"/>
  <c r="AA67" i="521"/>
  <c r="AF74" i="521"/>
  <c r="AE140" i="521"/>
  <c r="AF29" i="521" s="1"/>
  <c r="AF107" i="521" s="1"/>
  <c r="AG140" i="520" l="1"/>
  <c r="AE71" i="520"/>
  <c r="AD137" i="520"/>
  <c r="AE26" i="520" s="1"/>
  <c r="AE104" i="520" s="1"/>
  <c r="X131" i="520"/>
  <c r="Y20" i="520" s="1"/>
  <c r="Y98" i="520" s="1"/>
  <c r="Y65" i="520"/>
  <c r="AE138" i="520"/>
  <c r="AF27" i="520" s="1"/>
  <c r="AF105" i="520" s="1"/>
  <c r="AF72" i="520"/>
  <c r="AC70" i="520"/>
  <c r="AB136" i="520"/>
  <c r="AC25" i="520" s="1"/>
  <c r="AC103" i="520" s="1"/>
  <c r="AF139" i="520"/>
  <c r="AG28" i="520" s="1"/>
  <c r="AG106" i="520" s="1"/>
  <c r="AG73" i="520"/>
  <c r="AB135" i="520"/>
  <c r="AC24" i="520" s="1"/>
  <c r="AC102" i="520" s="1"/>
  <c r="AC69" i="520"/>
  <c r="X64" i="520"/>
  <c r="AC68" i="520"/>
  <c r="AB134" i="520"/>
  <c r="AC23" i="520" s="1"/>
  <c r="AC101" i="520" s="1"/>
  <c r="AA132" i="520"/>
  <c r="AB21" i="520" s="1"/>
  <c r="AB99" i="520" s="1"/>
  <c r="AB66" i="520"/>
  <c r="W97" i="520"/>
  <c r="W130" i="520" s="1"/>
  <c r="X19" i="520" s="1"/>
  <c r="AA133" i="520"/>
  <c r="AB22" i="520" s="1"/>
  <c r="AB100" i="520" s="1"/>
  <c r="AB67" i="520"/>
  <c r="AB134" i="521"/>
  <c r="AC23" i="521" s="1"/>
  <c r="AC101" i="521" s="1"/>
  <c r="AC68" i="521"/>
  <c r="AD71" i="521"/>
  <c r="AC137" i="521"/>
  <c r="AD26" i="521" s="1"/>
  <c r="AD104" i="521" s="1"/>
  <c r="X65" i="521"/>
  <c r="W131" i="521"/>
  <c r="X20" i="521" s="1"/>
  <c r="X98" i="521" s="1"/>
  <c r="AB67" i="521"/>
  <c r="AA133" i="521"/>
  <c r="AB22" i="521" s="1"/>
  <c r="AB100" i="521" s="1"/>
  <c r="AC70" i="521"/>
  <c r="AB136" i="521"/>
  <c r="AC25" i="521" s="1"/>
  <c r="AC103" i="521" s="1"/>
  <c r="AB69" i="521"/>
  <c r="AA135" i="521"/>
  <c r="AB24" i="521" s="1"/>
  <c r="AB102" i="521" s="1"/>
  <c r="U50" i="521"/>
  <c r="U97" i="521"/>
  <c r="U130" i="521" s="1"/>
  <c r="V19" i="521" s="1"/>
  <c r="AE139" i="521"/>
  <c r="AF28" i="521" s="1"/>
  <c r="AF106" i="521" s="1"/>
  <c r="AF73" i="521"/>
  <c r="AF140" i="521"/>
  <c r="AG29" i="521" s="1"/>
  <c r="AG107" i="521" s="1"/>
  <c r="AG74" i="521"/>
  <c r="X132" i="521"/>
  <c r="Y21" i="521" s="1"/>
  <c r="Y99" i="521" s="1"/>
  <c r="Y66" i="521"/>
  <c r="W64" i="521"/>
  <c r="T61" i="521"/>
  <c r="T52" i="521"/>
  <c r="T58" i="521"/>
  <c r="T59" i="521"/>
  <c r="AG139" i="520" l="1"/>
  <c r="X97" i="520"/>
  <c r="AB132" i="520"/>
  <c r="AC21" i="520" s="1"/>
  <c r="AC99" i="520" s="1"/>
  <c r="AC66" i="520"/>
  <c r="AB133" i="520"/>
  <c r="AC22" i="520" s="1"/>
  <c r="AC100" i="520" s="1"/>
  <c r="AC67" i="520"/>
  <c r="AC134" i="520"/>
  <c r="AD23" i="520" s="1"/>
  <c r="AD101" i="520" s="1"/>
  <c r="AD68" i="520"/>
  <c r="X130" i="520"/>
  <c r="Y19" i="520" s="1"/>
  <c r="Y64" i="520"/>
  <c r="AC135" i="520"/>
  <c r="AD24" i="520" s="1"/>
  <c r="AD102" i="520" s="1"/>
  <c r="AD69" i="520"/>
  <c r="AD70" i="520"/>
  <c r="AC136" i="520"/>
  <c r="AD25" i="520" s="1"/>
  <c r="AD103" i="520" s="1"/>
  <c r="AF138" i="520"/>
  <c r="AG27" i="520" s="1"/>
  <c r="AG105" i="520" s="1"/>
  <c r="AG72" i="520"/>
  <c r="Y131" i="520"/>
  <c r="Z20" i="520" s="1"/>
  <c r="Z98" i="520" s="1"/>
  <c r="Z65" i="520"/>
  <c r="AF71" i="520"/>
  <c r="AE137" i="520"/>
  <c r="AF26" i="520" s="1"/>
  <c r="AF104" i="520" s="1"/>
  <c r="V97" i="521"/>
  <c r="V130" i="521" s="1"/>
  <c r="W19" i="521" s="1"/>
  <c r="AG73" i="521"/>
  <c r="AF139" i="521"/>
  <c r="AG28" i="521" s="1"/>
  <c r="AG106" i="521" s="1"/>
  <c r="AC69" i="521"/>
  <c r="AB135" i="521"/>
  <c r="AC24" i="521" s="1"/>
  <c r="AC102" i="521" s="1"/>
  <c r="AD137" i="521"/>
  <c r="AE26" i="521" s="1"/>
  <c r="AE104" i="521" s="1"/>
  <c r="AE71" i="521"/>
  <c r="X64" i="521"/>
  <c r="Y132" i="521"/>
  <c r="Z21" i="521" s="1"/>
  <c r="Z99" i="521" s="1"/>
  <c r="Z66" i="521"/>
  <c r="U61" i="521"/>
  <c r="U52" i="521"/>
  <c r="U59" i="521"/>
  <c r="U58" i="521"/>
  <c r="AC136" i="521"/>
  <c r="AD25" i="521" s="1"/>
  <c r="AD103" i="521" s="1"/>
  <c r="AD70" i="521"/>
  <c r="AC67" i="521"/>
  <c r="AB133" i="521"/>
  <c r="AC22" i="521" s="1"/>
  <c r="AC100" i="521" s="1"/>
  <c r="X131" i="521"/>
  <c r="Y20" i="521" s="1"/>
  <c r="Y98" i="521" s="1"/>
  <c r="Y65" i="521"/>
  <c r="AC134" i="521"/>
  <c r="AD23" i="521" s="1"/>
  <c r="AD101" i="521" s="1"/>
  <c r="AD68" i="521"/>
  <c r="AG140" i="521"/>
  <c r="AG138" i="520" l="1"/>
  <c r="Z131" i="520"/>
  <c r="AA20" i="520" s="1"/>
  <c r="AA98" i="520" s="1"/>
  <c r="AA65" i="520"/>
  <c r="AE70" i="520"/>
  <c r="AD136" i="520"/>
  <c r="AE25" i="520" s="1"/>
  <c r="AE103" i="520" s="1"/>
  <c r="AD135" i="520"/>
  <c r="AE24" i="520" s="1"/>
  <c r="AE102" i="520" s="1"/>
  <c r="AE69" i="520"/>
  <c r="AF137" i="520"/>
  <c r="AG26" i="520" s="1"/>
  <c r="AG104" i="520" s="1"/>
  <c r="AG71" i="520"/>
  <c r="Y97" i="520"/>
  <c r="Y130" i="520" s="1"/>
  <c r="Z19" i="520" s="1"/>
  <c r="Z64" i="520"/>
  <c r="AE68" i="520"/>
  <c r="AD134" i="520"/>
  <c r="AE23" i="520" s="1"/>
  <c r="AE101" i="520" s="1"/>
  <c r="AC133" i="520"/>
  <c r="AD22" i="520" s="1"/>
  <c r="AD100" i="520" s="1"/>
  <c r="AD67" i="520"/>
  <c r="AC132" i="520"/>
  <c r="AD21" i="520" s="1"/>
  <c r="AD99" i="520" s="1"/>
  <c r="AD66" i="520"/>
  <c r="AC133" i="521"/>
  <c r="AD22" i="521" s="1"/>
  <c r="AD100" i="521" s="1"/>
  <c r="AD67" i="521"/>
  <c r="AD134" i="521"/>
  <c r="AE23" i="521" s="1"/>
  <c r="AE101" i="521" s="1"/>
  <c r="AE68" i="521"/>
  <c r="AE70" i="521"/>
  <c r="AD136" i="521"/>
  <c r="AE25" i="521" s="1"/>
  <c r="AE103" i="521" s="1"/>
  <c r="AG139" i="521"/>
  <c r="Z132" i="521"/>
  <c r="AA21" i="521" s="1"/>
  <c r="AA99" i="521" s="1"/>
  <c r="AA66" i="521"/>
  <c r="Y64" i="521"/>
  <c r="AE137" i="521"/>
  <c r="AF26" i="521" s="1"/>
  <c r="AF104" i="521" s="1"/>
  <c r="AF71" i="521"/>
  <c r="W97" i="521"/>
  <c r="W130" i="521" s="1"/>
  <c r="X19" i="521" s="1"/>
  <c r="Y131" i="521"/>
  <c r="Z20" i="521" s="1"/>
  <c r="Z98" i="521" s="1"/>
  <c r="Z65" i="521"/>
  <c r="AD69" i="521"/>
  <c r="AC135" i="521"/>
  <c r="AD24" i="521" s="1"/>
  <c r="AD102" i="521" s="1"/>
  <c r="AD132" i="520" l="1"/>
  <c r="AE21" i="520" s="1"/>
  <c r="AE99" i="520" s="1"/>
  <c r="AE66" i="520"/>
  <c r="AD133" i="520"/>
  <c r="AE22" i="520" s="1"/>
  <c r="AE100" i="520" s="1"/>
  <c r="AE67" i="520"/>
  <c r="AF68" i="520"/>
  <c r="AE134" i="520"/>
  <c r="AF23" i="520" s="1"/>
  <c r="AF101" i="520" s="1"/>
  <c r="AA64" i="520"/>
  <c r="AE135" i="520"/>
  <c r="AF24" i="520" s="1"/>
  <c r="AF102" i="520" s="1"/>
  <c r="AF69" i="520"/>
  <c r="AA131" i="520"/>
  <c r="AB20" i="520" s="1"/>
  <c r="AB98" i="520" s="1"/>
  <c r="AB65" i="520"/>
  <c r="Z97" i="520"/>
  <c r="Z130" i="520" s="1"/>
  <c r="AA19" i="520" s="1"/>
  <c r="AG137" i="520"/>
  <c r="AE136" i="520"/>
  <c r="AF25" i="520" s="1"/>
  <c r="AF103" i="520" s="1"/>
  <c r="AF70" i="520"/>
  <c r="Z131" i="521"/>
  <c r="AA20" i="521" s="1"/>
  <c r="AA98" i="521" s="1"/>
  <c r="AA65" i="521"/>
  <c r="AE136" i="521"/>
  <c r="AF25" i="521" s="1"/>
  <c r="AF103" i="521" s="1"/>
  <c r="AF70" i="521"/>
  <c r="Z64" i="521"/>
  <c r="AE134" i="521"/>
  <c r="AF23" i="521" s="1"/>
  <c r="AF101" i="521" s="1"/>
  <c r="AF68" i="521"/>
  <c r="AE69" i="521"/>
  <c r="AD135" i="521"/>
  <c r="AE24" i="521" s="1"/>
  <c r="AE102" i="521" s="1"/>
  <c r="X97" i="521"/>
  <c r="X130" i="521" s="1"/>
  <c r="Y19" i="521" s="1"/>
  <c r="AB66" i="521"/>
  <c r="AA132" i="521"/>
  <c r="AB21" i="521" s="1"/>
  <c r="AB99" i="521" s="1"/>
  <c r="AD133" i="521"/>
  <c r="AE22" i="521" s="1"/>
  <c r="AE100" i="521" s="1"/>
  <c r="AE67" i="521"/>
  <c r="AF137" i="521"/>
  <c r="AG26" i="521" s="1"/>
  <c r="AG104" i="521" s="1"/>
  <c r="AG71" i="521"/>
  <c r="AG137" i="521" l="1"/>
  <c r="AA97" i="520"/>
  <c r="AF136" i="520"/>
  <c r="AG25" i="520" s="1"/>
  <c r="AG103" i="520" s="1"/>
  <c r="AG70" i="520"/>
  <c r="AG136" i="520" s="1"/>
  <c r="AB131" i="520"/>
  <c r="AC20" i="520" s="1"/>
  <c r="AC98" i="520" s="1"/>
  <c r="AC65" i="520"/>
  <c r="AB64" i="520"/>
  <c r="AA130" i="520"/>
  <c r="AB19" i="520" s="1"/>
  <c r="AG68" i="520"/>
  <c r="AF134" i="520"/>
  <c r="AG23" i="520" s="1"/>
  <c r="AG101" i="520" s="1"/>
  <c r="AE133" i="520"/>
  <c r="AF22" i="520" s="1"/>
  <c r="AF100" i="520" s="1"/>
  <c r="AF67" i="520"/>
  <c r="AF135" i="520"/>
  <c r="AG24" i="520" s="1"/>
  <c r="AG102" i="520" s="1"/>
  <c r="AG69" i="520"/>
  <c r="AE132" i="520"/>
  <c r="AF21" i="520" s="1"/>
  <c r="AF99" i="520" s="1"/>
  <c r="AF66" i="520"/>
  <c r="Y97" i="521"/>
  <c r="Y130" i="521" s="1"/>
  <c r="Z19" i="521" s="1"/>
  <c r="AF134" i="521"/>
  <c r="AG23" i="521" s="1"/>
  <c r="AG101" i="521" s="1"/>
  <c r="AG68" i="521"/>
  <c r="AA131" i="521"/>
  <c r="AB20" i="521" s="1"/>
  <c r="AB98" i="521" s="1"/>
  <c r="AB65" i="521"/>
  <c r="AC66" i="521"/>
  <c r="AB132" i="521"/>
  <c r="AC21" i="521" s="1"/>
  <c r="AC99" i="521" s="1"/>
  <c r="AF69" i="521"/>
  <c r="AE135" i="521"/>
  <c r="AF24" i="521" s="1"/>
  <c r="AF102" i="521" s="1"/>
  <c r="AA64" i="521"/>
  <c r="AF67" i="521"/>
  <c r="AE133" i="521"/>
  <c r="AF22" i="521" s="1"/>
  <c r="AF100" i="521" s="1"/>
  <c r="AF136" i="521"/>
  <c r="AG25" i="521" s="1"/>
  <c r="AG103" i="521" s="1"/>
  <c r="AG70" i="521"/>
  <c r="AG134" i="521" l="1"/>
  <c r="AG135" i="520"/>
  <c r="AF132" i="520"/>
  <c r="AG21" i="520" s="1"/>
  <c r="AG99" i="520" s="1"/>
  <c r="AG66" i="520"/>
  <c r="AG132" i="520" s="1"/>
  <c r="AG134" i="520"/>
  <c r="AG67" i="520"/>
  <c r="AF133" i="520"/>
  <c r="AG22" i="520" s="1"/>
  <c r="AG100" i="520" s="1"/>
  <c r="AB97" i="520"/>
  <c r="AC131" i="520"/>
  <c r="AD20" i="520" s="1"/>
  <c r="AD98" i="520" s="1"/>
  <c r="AD65" i="520"/>
  <c r="AC64" i="520"/>
  <c r="AB130" i="520"/>
  <c r="AC19" i="520" s="1"/>
  <c r="AG67" i="521"/>
  <c r="AF133" i="521"/>
  <c r="AG22" i="521" s="1"/>
  <c r="AG100" i="521" s="1"/>
  <c r="AB64" i="521"/>
  <c r="AG69" i="521"/>
  <c r="AF135" i="521"/>
  <c r="AG24" i="521" s="1"/>
  <c r="AG102" i="521" s="1"/>
  <c r="AD66" i="521"/>
  <c r="AC132" i="521"/>
  <c r="AD21" i="521" s="1"/>
  <c r="AD99" i="521" s="1"/>
  <c r="AB131" i="521"/>
  <c r="AC20" i="521" s="1"/>
  <c r="AC98" i="521" s="1"/>
  <c r="AC65" i="521"/>
  <c r="Z97" i="521"/>
  <c r="Z130" i="521" s="1"/>
  <c r="AA19" i="521" s="1"/>
  <c r="AG136" i="521"/>
  <c r="AC97" i="520" l="1"/>
  <c r="AG133" i="520"/>
  <c r="AC130" i="520"/>
  <c r="AD19" i="520" s="1"/>
  <c r="AD64" i="520"/>
  <c r="AE65" i="520"/>
  <c r="AD131" i="520"/>
  <c r="AE20" i="520" s="1"/>
  <c r="AE98" i="520" s="1"/>
  <c r="AC131" i="521"/>
  <c r="AD20" i="521" s="1"/>
  <c r="AD98" i="521" s="1"/>
  <c r="AD65" i="521"/>
  <c r="AA97" i="521"/>
  <c r="AA130" i="521" s="1"/>
  <c r="AB19" i="521" s="1"/>
  <c r="AG135" i="521"/>
  <c r="AG133" i="521"/>
  <c r="AE66" i="521"/>
  <c r="AD132" i="521"/>
  <c r="AE21" i="521" s="1"/>
  <c r="AE99" i="521" s="1"/>
  <c r="AC64" i="521"/>
  <c r="AF65" i="520" l="1"/>
  <c r="AE131" i="520"/>
  <c r="AF20" i="520" s="1"/>
  <c r="AF98" i="520" s="1"/>
  <c r="AE64" i="520"/>
  <c r="AD97" i="520"/>
  <c r="AD130" i="520" s="1"/>
  <c r="AE19" i="520" s="1"/>
  <c r="AF66" i="521"/>
  <c r="AE132" i="521"/>
  <c r="AF21" i="521" s="1"/>
  <c r="AF99" i="521" s="1"/>
  <c r="AB97" i="521"/>
  <c r="AB130" i="521" s="1"/>
  <c r="AC19" i="521" s="1"/>
  <c r="AD131" i="521"/>
  <c r="AE20" i="521" s="1"/>
  <c r="AE98" i="521" s="1"/>
  <c r="AE65" i="521"/>
  <c r="AD64" i="521"/>
  <c r="AE97" i="520" l="1"/>
  <c r="AE130" i="520"/>
  <c r="AF19" i="520" s="1"/>
  <c r="AF64" i="520"/>
  <c r="AF131" i="520"/>
  <c r="AG20" i="520" s="1"/>
  <c r="AG98" i="520" s="1"/>
  <c r="AG65" i="520"/>
  <c r="AC97" i="521"/>
  <c r="AC130" i="521" s="1"/>
  <c r="AD19" i="521" s="1"/>
  <c r="AE64" i="521"/>
  <c r="AE131" i="521"/>
  <c r="AF20" i="521" s="1"/>
  <c r="AF98" i="521" s="1"/>
  <c r="AF65" i="521"/>
  <c r="AG66" i="521"/>
  <c r="AF132" i="521"/>
  <c r="AG21" i="521" s="1"/>
  <c r="AG99" i="521" s="1"/>
  <c r="AG131" i="520" l="1"/>
  <c r="AG64" i="520"/>
  <c r="AF97" i="520"/>
  <c r="AF130" i="520" s="1"/>
  <c r="AG19" i="520" s="1"/>
  <c r="AG132" i="521"/>
  <c r="AF131" i="521"/>
  <c r="AG20" i="521" s="1"/>
  <c r="AG98" i="521" s="1"/>
  <c r="AG65" i="521"/>
  <c r="AF64" i="521"/>
  <c r="AD97" i="521"/>
  <c r="AD130" i="521" s="1"/>
  <c r="AE19" i="521" s="1"/>
  <c r="AG131" i="521" l="1"/>
  <c r="AG97" i="520"/>
  <c r="AG130" i="520" s="1"/>
  <c r="AE97" i="521"/>
  <c r="AE130" i="521" s="1"/>
  <c r="AF19" i="521" s="1"/>
  <c r="AG64" i="521"/>
  <c r="AF97" i="521" l="1"/>
  <c r="AF130" i="521" s="1"/>
  <c r="AG19" i="521" s="1"/>
  <c r="AG97" i="521" l="1"/>
  <c r="AG130" i="521" s="1"/>
  <c r="A14" i="519" l="1"/>
  <c r="AA51" i="519" l="1"/>
  <c r="AB51" i="519" s="1"/>
  <c r="AC51" i="519" s="1"/>
  <c r="AD51" i="519" s="1"/>
  <c r="AE51" i="519" s="1"/>
  <c r="AF51" i="519" s="1"/>
  <c r="AG51" i="519" s="1"/>
  <c r="L53" i="519"/>
  <c r="K53" i="519"/>
  <c r="J53" i="519"/>
  <c r="I53" i="519"/>
  <c r="H53" i="519"/>
  <c r="G53" i="519"/>
  <c r="F53" i="519"/>
  <c r="E53" i="519"/>
  <c r="D53" i="519"/>
  <c r="M51" i="519"/>
  <c r="L51" i="519"/>
  <c r="K51" i="519"/>
  <c r="J51" i="519"/>
  <c r="I51" i="519"/>
  <c r="H51" i="519"/>
  <c r="G51" i="519"/>
  <c r="F51" i="519"/>
  <c r="E51" i="519"/>
  <c r="D51" i="519"/>
  <c r="T51" i="519"/>
  <c r="S51" i="519"/>
  <c r="R51" i="519"/>
  <c r="Q51" i="519"/>
  <c r="P51" i="519"/>
  <c r="O51" i="519"/>
  <c r="N51" i="519"/>
  <c r="U51" i="519"/>
  <c r="AM937" i="1" l="1"/>
  <c r="AL937" i="1"/>
  <c r="AK937" i="1"/>
  <c r="AJ937" i="1"/>
  <c r="AI937" i="1"/>
  <c r="AH937" i="1"/>
  <c r="AG937" i="1"/>
  <c r="AF937" i="1"/>
  <c r="AE937" i="1"/>
  <c r="AD937" i="1"/>
  <c r="AC937" i="1"/>
  <c r="AB937" i="1"/>
  <c r="AA937" i="1"/>
  <c r="Z937" i="1"/>
  <c r="Y937" i="1"/>
  <c r="X937" i="1"/>
  <c r="W937" i="1"/>
  <c r="V937" i="1"/>
  <c r="U937" i="1"/>
  <c r="T937" i="1"/>
  <c r="R937" i="1"/>
  <c r="Q937" i="1"/>
  <c r="P937" i="1"/>
  <c r="O937" i="1"/>
  <c r="N937" i="1"/>
  <c r="M937" i="1"/>
  <c r="L937" i="1"/>
  <c r="K937" i="1"/>
  <c r="J937" i="1"/>
  <c r="I937" i="1"/>
  <c r="H937" i="1"/>
  <c r="G937" i="1"/>
  <c r="F937" i="1"/>
  <c r="E937" i="1"/>
  <c r="D937" i="1"/>
  <c r="BJ937" i="1"/>
  <c r="BI937" i="1"/>
  <c r="D107" i="504" s="1"/>
  <c r="Y110" i="198"/>
  <c r="BV146" i="1"/>
  <c r="BU146" i="1"/>
  <c r="BX145" i="1"/>
  <c r="BY145" i="1" s="1"/>
  <c r="M162" i="523"/>
  <c r="L162" i="523"/>
  <c r="J162" i="523"/>
  <c r="J161" i="523"/>
  <c r="J154" i="523"/>
  <c r="J153" i="523"/>
  <c r="P150" i="523"/>
  <c r="O150" i="523"/>
  <c r="N150" i="523"/>
  <c r="M150" i="523"/>
  <c r="M154" i="523" s="1"/>
  <c r="L150" i="523"/>
  <c r="L154" i="523" s="1"/>
  <c r="M146" i="523"/>
  <c r="J146" i="523"/>
  <c r="J145" i="523"/>
  <c r="N142" i="523"/>
  <c r="O142" i="523" s="1"/>
  <c r="E117" i="523"/>
  <c r="D117" i="523"/>
  <c r="C117" i="523"/>
  <c r="K116" i="523"/>
  <c r="L116" i="523" s="1"/>
  <c r="M116" i="523" s="1"/>
  <c r="N116" i="523" s="1"/>
  <c r="O116" i="523" s="1"/>
  <c r="P116" i="523" s="1"/>
  <c r="Q116" i="523" s="1"/>
  <c r="R116" i="523" s="1"/>
  <c r="S116" i="523" s="1"/>
  <c r="T116" i="523" s="1"/>
  <c r="U116" i="523" s="1"/>
  <c r="V116" i="523" s="1"/>
  <c r="E115" i="523"/>
  <c r="D115" i="523"/>
  <c r="C115" i="523"/>
  <c r="E113" i="523"/>
  <c r="D113" i="523"/>
  <c r="C113" i="523"/>
  <c r="E112" i="523"/>
  <c r="D112" i="523"/>
  <c r="C112" i="523"/>
  <c r="E111" i="523"/>
  <c r="D111" i="523"/>
  <c r="C111" i="523"/>
  <c r="M75" i="523"/>
  <c r="N75" i="523" s="1"/>
  <c r="Z70" i="523"/>
  <c r="AC65" i="523"/>
  <c r="AB65" i="523"/>
  <c r="AA65" i="523"/>
  <c r="Z65" i="523"/>
  <c r="A65" i="523"/>
  <c r="A64" i="523"/>
  <c r="K59" i="523"/>
  <c r="L59" i="523" s="1"/>
  <c r="M59" i="523" s="1"/>
  <c r="N59" i="523" s="1"/>
  <c r="O59" i="523" s="1"/>
  <c r="P59" i="523" s="1"/>
  <c r="Q59" i="523" s="1"/>
  <c r="R59" i="523" s="1"/>
  <c r="S59" i="523" s="1"/>
  <c r="T59" i="523" s="1"/>
  <c r="U59" i="523" s="1"/>
  <c r="V59" i="523" s="1"/>
  <c r="D59" i="523"/>
  <c r="D56" i="523"/>
  <c r="E56" i="523" s="1"/>
  <c r="F56" i="523" s="1"/>
  <c r="G56" i="523" s="1"/>
  <c r="H56" i="523" s="1"/>
  <c r="I56" i="523" s="1"/>
  <c r="J56" i="523" s="1"/>
  <c r="K56" i="523" s="1"/>
  <c r="L56" i="523" s="1"/>
  <c r="M56" i="523" s="1"/>
  <c r="N56" i="523" s="1"/>
  <c r="O56" i="523" s="1"/>
  <c r="P56" i="523" s="1"/>
  <c r="Q56" i="523" s="1"/>
  <c r="R56" i="523" s="1"/>
  <c r="S56" i="523" s="1"/>
  <c r="T56" i="523" s="1"/>
  <c r="U56" i="523" s="1"/>
  <c r="V56" i="523" s="1"/>
  <c r="S49" i="523"/>
  <c r="V38" i="523"/>
  <c r="AA30" i="523"/>
  <c r="D4" i="523"/>
  <c r="K138" i="523" s="1"/>
  <c r="E117" i="504"/>
  <c r="D117" i="504"/>
  <c r="C117" i="504"/>
  <c r="K116" i="504"/>
  <c r="L116" i="504" s="1"/>
  <c r="M116" i="504" s="1"/>
  <c r="N116" i="504" s="1"/>
  <c r="O116" i="504" s="1"/>
  <c r="P116" i="504" s="1"/>
  <c r="Q116" i="504" s="1"/>
  <c r="R116" i="504" s="1"/>
  <c r="S116" i="504" s="1"/>
  <c r="T116" i="504" s="1"/>
  <c r="U116" i="504" s="1"/>
  <c r="V116" i="504" s="1"/>
  <c r="E115" i="504"/>
  <c r="D115" i="504"/>
  <c r="C115" i="504"/>
  <c r="E113" i="504"/>
  <c r="D113" i="504"/>
  <c r="C113" i="504"/>
  <c r="E112" i="504"/>
  <c r="D112" i="504"/>
  <c r="C112" i="504"/>
  <c r="E111" i="504"/>
  <c r="D111" i="504"/>
  <c r="C111" i="504"/>
  <c r="E117" i="503"/>
  <c r="D117" i="503"/>
  <c r="C117" i="503"/>
  <c r="K116" i="503"/>
  <c r="L116" i="503" s="1"/>
  <c r="M116" i="503" s="1"/>
  <c r="N116" i="503" s="1"/>
  <c r="O116" i="503" s="1"/>
  <c r="P116" i="503" s="1"/>
  <c r="Q116" i="503" s="1"/>
  <c r="R116" i="503" s="1"/>
  <c r="S116" i="503" s="1"/>
  <c r="T116" i="503" s="1"/>
  <c r="U116" i="503" s="1"/>
  <c r="V116" i="503" s="1"/>
  <c r="E115" i="503"/>
  <c r="D115" i="503"/>
  <c r="C115" i="503"/>
  <c r="E113" i="503"/>
  <c r="D113" i="503"/>
  <c r="C113" i="503"/>
  <c r="E112" i="503"/>
  <c r="D112" i="503"/>
  <c r="C112" i="503"/>
  <c r="E111" i="503"/>
  <c r="D111" i="503"/>
  <c r="C111" i="503"/>
  <c r="S50" i="198"/>
  <c r="T50" i="198" s="1"/>
  <c r="U50" i="198" s="1"/>
  <c r="V50" i="198" s="1"/>
  <c r="K117" i="198"/>
  <c r="L117" i="198" s="1"/>
  <c r="M117" i="198" s="1"/>
  <c r="N117" i="198" s="1"/>
  <c r="O117" i="198" s="1"/>
  <c r="P117" i="198" s="1"/>
  <c r="Q117" i="198" s="1"/>
  <c r="R117" i="198" s="1"/>
  <c r="S117" i="198" s="1"/>
  <c r="T117" i="198" s="1"/>
  <c r="U117" i="198" s="1"/>
  <c r="V117" i="198" s="1"/>
  <c r="E114" i="198"/>
  <c r="D114" i="198"/>
  <c r="C114" i="198"/>
  <c r="BJ938" i="1"/>
  <c r="BI938" i="1"/>
  <c r="BH938" i="1"/>
  <c r="BF938" i="1"/>
  <c r="BE938" i="1"/>
  <c r="BD938" i="1"/>
  <c r="BC938" i="1"/>
  <c r="BB938" i="1"/>
  <c r="BA938" i="1"/>
  <c r="AZ938" i="1"/>
  <c r="AY938" i="1"/>
  <c r="AX938" i="1"/>
  <c r="AW938" i="1"/>
  <c r="AV938" i="1"/>
  <c r="AU938" i="1"/>
  <c r="AT938" i="1"/>
  <c r="AS938" i="1"/>
  <c r="AL938" i="1"/>
  <c r="AK938" i="1"/>
  <c r="AJ938" i="1"/>
  <c r="AI938" i="1"/>
  <c r="AH938" i="1"/>
  <c r="AG938" i="1"/>
  <c r="AF938" i="1"/>
  <c r="AE938" i="1"/>
  <c r="AD938" i="1"/>
  <c r="AC938" i="1"/>
  <c r="AB938" i="1"/>
  <c r="AA938" i="1"/>
  <c r="Z938" i="1"/>
  <c r="Y938" i="1"/>
  <c r="X938" i="1"/>
  <c r="W938" i="1"/>
  <c r="V938" i="1"/>
  <c r="U938" i="1"/>
  <c r="T938" i="1"/>
  <c r="R938" i="1"/>
  <c r="Q938" i="1"/>
  <c r="P938" i="1"/>
  <c r="O938" i="1"/>
  <c r="N938" i="1"/>
  <c r="M938" i="1"/>
  <c r="L938" i="1"/>
  <c r="K938" i="1"/>
  <c r="J938" i="1"/>
  <c r="I938" i="1"/>
  <c r="H938" i="1"/>
  <c r="G938" i="1"/>
  <c r="F938" i="1"/>
  <c r="E938" i="1"/>
  <c r="D938" i="1"/>
  <c r="AM938" i="1"/>
  <c r="BF937" i="1"/>
  <c r="AS937" i="1"/>
  <c r="U186" i="519"/>
  <c r="U184" i="519"/>
  <c r="U191" i="519" s="1"/>
  <c r="U170" i="519"/>
  <c r="U178" i="519" s="1"/>
  <c r="U57" i="519"/>
  <c r="E116" i="198"/>
  <c r="D116" i="198"/>
  <c r="C116" i="198"/>
  <c r="E113" i="198"/>
  <c r="D113" i="198"/>
  <c r="C113" i="198"/>
  <c r="E112" i="198"/>
  <c r="D112" i="198"/>
  <c r="C112" i="198"/>
  <c r="E118" i="198"/>
  <c r="D118" i="198"/>
  <c r="C118" i="198"/>
  <c r="BF941" i="1"/>
  <c r="N154" i="523" l="1"/>
  <c r="C114" i="504"/>
  <c r="C118" i="504" s="1"/>
  <c r="O154" i="523"/>
  <c r="D114" i="503"/>
  <c r="D118" i="503" s="1"/>
  <c r="E115" i="198"/>
  <c r="E119" i="198" s="1"/>
  <c r="AS939" i="1"/>
  <c r="E114" i="503"/>
  <c r="E118" i="503" s="1"/>
  <c r="E114" i="504"/>
  <c r="E118" i="504" s="1"/>
  <c r="D108" i="198"/>
  <c r="C114" i="523"/>
  <c r="C118" i="523" s="1"/>
  <c r="D114" i="523"/>
  <c r="D118" i="523" s="1"/>
  <c r="E114" i="523"/>
  <c r="E118" i="523" s="1"/>
  <c r="C114" i="503"/>
  <c r="C118" i="503" s="1"/>
  <c r="D114" i="504"/>
  <c r="D118" i="504" s="1"/>
  <c r="D121" i="504" s="1"/>
  <c r="D107" i="503"/>
  <c r="D107" i="523"/>
  <c r="T49" i="523"/>
  <c r="O75" i="523"/>
  <c r="P142" i="523"/>
  <c r="O162" i="523"/>
  <c r="N162" i="523"/>
  <c r="C115" i="198"/>
  <c r="C119" i="198" s="1"/>
  <c r="D115" i="198"/>
  <c r="D119" i="198" s="1"/>
  <c r="BF939" i="1"/>
  <c r="BI939" i="1"/>
  <c r="D121" i="503" l="1"/>
  <c r="D121" i="523"/>
  <c r="P75" i="523"/>
  <c r="P162" i="523"/>
  <c r="P154" i="523"/>
  <c r="U49" i="523"/>
  <c r="BO128" i="1"/>
  <c r="V49" i="523" l="1"/>
  <c r="Q75" i="523"/>
  <c r="S28" i="522"/>
  <c r="S60" i="522" s="1"/>
  <c r="S25" i="522"/>
  <c r="S14" i="522"/>
  <c r="S13" i="522"/>
  <c r="S12" i="522"/>
  <c r="S11" i="522"/>
  <c r="S10" i="522"/>
  <c r="AB15" i="522"/>
  <c r="M75" i="504"/>
  <c r="N75" i="504" s="1"/>
  <c r="O75" i="504" s="1"/>
  <c r="P75" i="504" s="1"/>
  <c r="Q75" i="504" s="1"/>
  <c r="A65" i="504"/>
  <c r="A64" i="504"/>
  <c r="L59" i="504"/>
  <c r="M59" i="504" s="1"/>
  <c r="N59" i="504" s="1"/>
  <c r="O59" i="504" s="1"/>
  <c r="P59" i="504" s="1"/>
  <c r="Q59" i="504" s="1"/>
  <c r="R59" i="504" s="1"/>
  <c r="S59" i="504" s="1"/>
  <c r="T59" i="504" s="1"/>
  <c r="U59" i="504" s="1"/>
  <c r="V59" i="504" s="1"/>
  <c r="D59" i="504"/>
  <c r="D56" i="504"/>
  <c r="E56" i="504" s="1"/>
  <c r="F56" i="504" s="1"/>
  <c r="G56" i="504" s="1"/>
  <c r="H56" i="504" s="1"/>
  <c r="I56" i="504" s="1"/>
  <c r="J56" i="504" s="1"/>
  <c r="K56" i="504" s="1"/>
  <c r="L56" i="504" s="1"/>
  <c r="M56" i="504" s="1"/>
  <c r="N56" i="504" s="1"/>
  <c r="O56" i="504" s="1"/>
  <c r="P56" i="504" s="1"/>
  <c r="Q56" i="504" s="1"/>
  <c r="R56" i="504" s="1"/>
  <c r="S56" i="504" s="1"/>
  <c r="T56" i="504" s="1"/>
  <c r="U56" i="504" s="1"/>
  <c r="V56" i="504" s="1"/>
  <c r="V38" i="504"/>
  <c r="AA30" i="504"/>
  <c r="K12" i="504"/>
  <c r="L10" i="504"/>
  <c r="M9" i="504"/>
  <c r="M10" i="504" s="1"/>
  <c r="K7" i="504"/>
  <c r="D4" i="504"/>
  <c r="M75" i="503"/>
  <c r="A70" i="503"/>
  <c r="A70" i="504" s="1"/>
  <c r="A65" i="503"/>
  <c r="A64" i="503"/>
  <c r="L59" i="503"/>
  <c r="M59" i="503" s="1"/>
  <c r="N59" i="503" s="1"/>
  <c r="O59" i="503" s="1"/>
  <c r="P59" i="503" s="1"/>
  <c r="Q59" i="503" s="1"/>
  <c r="R59" i="503" s="1"/>
  <c r="S59" i="503" s="1"/>
  <c r="T59" i="503" s="1"/>
  <c r="U59" i="503" s="1"/>
  <c r="V59" i="503" s="1"/>
  <c r="D59" i="503"/>
  <c r="D56" i="503"/>
  <c r="E56" i="503" s="1"/>
  <c r="F56" i="503" s="1"/>
  <c r="G56" i="503" s="1"/>
  <c r="H56" i="503" s="1"/>
  <c r="I56" i="503" s="1"/>
  <c r="J56" i="503" s="1"/>
  <c r="K56" i="503" s="1"/>
  <c r="L56" i="503" s="1"/>
  <c r="M56" i="503" s="1"/>
  <c r="N56" i="503" s="1"/>
  <c r="O56" i="503" s="1"/>
  <c r="P56" i="503" s="1"/>
  <c r="Q56" i="503" s="1"/>
  <c r="R56" i="503" s="1"/>
  <c r="S56" i="503" s="1"/>
  <c r="T56" i="503" s="1"/>
  <c r="U56" i="503" s="1"/>
  <c r="V56" i="503" s="1"/>
  <c r="V38" i="503"/>
  <c r="AA30" i="503"/>
  <c r="K12" i="503"/>
  <c r="L10" i="503"/>
  <c r="M9" i="503"/>
  <c r="M10" i="503" s="1"/>
  <c r="K7" i="503"/>
  <c r="D4" i="503"/>
  <c r="AG1" i="519"/>
  <c r="V39" i="198"/>
  <c r="BO247" i="1"/>
  <c r="BO245" i="1"/>
  <c r="BO244" i="1"/>
  <c r="BO213" i="1"/>
  <c r="BO555" i="1"/>
  <c r="BO554" i="1"/>
  <c r="BO551" i="1"/>
  <c r="BO550" i="1"/>
  <c r="BO549" i="1"/>
  <c r="AM652" i="1"/>
  <c r="AM651" i="1"/>
  <c r="AM650" i="1"/>
  <c r="AM649" i="1"/>
  <c r="AM640" i="1"/>
  <c r="AM639" i="1"/>
  <c r="BO645" i="1"/>
  <c r="BO644" i="1"/>
  <c r="BO641" i="1"/>
  <c r="AM641" i="1" s="1"/>
  <c r="BO659" i="1"/>
  <c r="BO658" i="1"/>
  <c r="BO657" i="1"/>
  <c r="BO656" i="1"/>
  <c r="BO653" i="1"/>
  <c r="AM653" i="1" s="1"/>
  <c r="BO760" i="1"/>
  <c r="BO758" i="1"/>
  <c r="BO756" i="1"/>
  <c r="BO755" i="1"/>
  <c r="BO754" i="1"/>
  <c r="BO753" i="1"/>
  <c r="BO741" i="1"/>
  <c r="BO740" i="1"/>
  <c r="BO731" i="1"/>
  <c r="BO730" i="1"/>
  <c r="BO873" i="1"/>
  <c r="BO856" i="1"/>
  <c r="BO853" i="1"/>
  <c r="BO852" i="1"/>
  <c r="BO851" i="1"/>
  <c r="BO850" i="1"/>
  <c r="BO849" i="1"/>
  <c r="BO848" i="1"/>
  <c r="BO847" i="1"/>
  <c r="BO846" i="1"/>
  <c r="BO845" i="1"/>
  <c r="BO844" i="1"/>
  <c r="BO840" i="1"/>
  <c r="BO839" i="1"/>
  <c r="BO838" i="1"/>
  <c r="BO837" i="1"/>
  <c r="BO836" i="1"/>
  <c r="BO835" i="1"/>
  <c r="BO831" i="1"/>
  <c r="BO830" i="1"/>
  <c r="BO829" i="1"/>
  <c r="BO828" i="1"/>
  <c r="BO827" i="1"/>
  <c r="BO826" i="1"/>
  <c r="BO825" i="1"/>
  <c r="BO824" i="1"/>
  <c r="BO823" i="1"/>
  <c r="BO822" i="1"/>
  <c r="BO821" i="1"/>
  <c r="BO820" i="1"/>
  <c r="BO819" i="1"/>
  <c r="BO865" i="1" s="1"/>
  <c r="BO818" i="1"/>
  <c r="BO817" i="1"/>
  <c r="BO816" i="1"/>
  <c r="BO815" i="1"/>
  <c r="BO920" i="1"/>
  <c r="BO919" i="1"/>
  <c r="BO918" i="1"/>
  <c r="BO914" i="1"/>
  <c r="BO913" i="1"/>
  <c r="BO912" i="1"/>
  <c r="BO911" i="1"/>
  <c r="BO910" i="1"/>
  <c r="BO909" i="1"/>
  <c r="BO907" i="1"/>
  <c r="BO906" i="1"/>
  <c r="BO905" i="1"/>
  <c r="BO904" i="1"/>
  <c r="BO903" i="1"/>
  <c r="BO902" i="1"/>
  <c r="BO901" i="1"/>
  <c r="BO900" i="1"/>
  <c r="BO896" i="1"/>
  <c r="BO895" i="1"/>
  <c r="BO894" i="1"/>
  <c r="BO893" i="1"/>
  <c r="BO892" i="1"/>
  <c r="BO891" i="1"/>
  <c r="BO890" i="1"/>
  <c r="BO888" i="1"/>
  <c r="BO887" i="1"/>
  <c r="BO886" i="1"/>
  <c r="BO885" i="1"/>
  <c r="BO884" i="1"/>
  <c r="BO883" i="1"/>
  <c r="BO952" i="1"/>
  <c r="BO951" i="1"/>
  <c r="BO950" i="1"/>
  <c r="BO933" i="1"/>
  <c r="AM929" i="1"/>
  <c r="BO926" i="1"/>
  <c r="BO925" i="1"/>
  <c r="AM927" i="1"/>
  <c r="AM134" i="1" s="1"/>
  <c r="BO480" i="1"/>
  <c r="BO479" i="1"/>
  <c r="BO478" i="1"/>
  <c r="BO477" i="1"/>
  <c r="BO474" i="1"/>
  <c r="BO473" i="1"/>
  <c r="BO472" i="1"/>
  <c r="BO471" i="1"/>
  <c r="BO315" i="1"/>
  <c r="BO300" i="1"/>
  <c r="BO297" i="1"/>
  <c r="BO296" i="1"/>
  <c r="BO295" i="1"/>
  <c r="BO294" i="1"/>
  <c r="BO293" i="1"/>
  <c r="BO292" i="1"/>
  <c r="BO289" i="1"/>
  <c r="BO288" i="1"/>
  <c r="BO287" i="1"/>
  <c r="BO286" i="1"/>
  <c r="BO285" i="1"/>
  <c r="BO284" i="1"/>
  <c r="BO127" i="1"/>
  <c r="BO120" i="1"/>
  <c r="AM795" i="1"/>
  <c r="AM794" i="1"/>
  <c r="AM793" i="1"/>
  <c r="AM792" i="1"/>
  <c r="AM791" i="1"/>
  <c r="AM65" i="1" s="1"/>
  <c r="AM796" i="1"/>
  <c r="BO797" i="1"/>
  <c r="BO688" i="1"/>
  <c r="BO687" i="1"/>
  <c r="BO686" i="1"/>
  <c r="BO685" i="1"/>
  <c r="BO684" i="1"/>
  <c r="BO683" i="1"/>
  <c r="BO682" i="1"/>
  <c r="BO681" i="1"/>
  <c r="AM676" i="1"/>
  <c r="AM675" i="1"/>
  <c r="AM674" i="1"/>
  <c r="AM673" i="1"/>
  <c r="AM672" i="1"/>
  <c r="AM671" i="1"/>
  <c r="AM670" i="1"/>
  <c r="AM669" i="1"/>
  <c r="AM135" i="1"/>
  <c r="BO135" i="1" s="1"/>
  <c r="AM131" i="1"/>
  <c r="AM130" i="1"/>
  <c r="AM129" i="1"/>
  <c r="AM126" i="1"/>
  <c r="AM118" i="1"/>
  <c r="AM111" i="1"/>
  <c r="AM85" i="1"/>
  <c r="S27" i="522" s="1"/>
  <c r="AM72" i="1"/>
  <c r="E103" i="198" s="1"/>
  <c r="E102" i="523" s="1"/>
  <c r="AM68" i="1"/>
  <c r="AM31" i="1"/>
  <c r="AM625" i="1" s="1"/>
  <c r="AM30" i="1"/>
  <c r="AM624" i="1" s="1"/>
  <c r="AM29" i="1"/>
  <c r="AM623" i="1" s="1"/>
  <c r="AM579" i="1"/>
  <c r="AM576" i="1"/>
  <c r="AM575" i="1"/>
  <c r="AM536" i="1"/>
  <c r="AM535" i="1"/>
  <c r="AM534" i="1"/>
  <c r="AM526" i="1"/>
  <c r="AM517" i="1"/>
  <c r="AM510" i="1"/>
  <c r="AM509" i="1"/>
  <c r="AU25" i="468"/>
  <c r="AM494" i="1"/>
  <c r="AM492" i="1"/>
  <c r="AM463" i="1"/>
  <c r="AM349" i="1"/>
  <c r="AM347" i="1"/>
  <c r="AM346" i="1"/>
  <c r="AM301" i="1"/>
  <c r="BO301" i="1" s="1"/>
  <c r="AM270" i="1"/>
  <c r="AM251" i="1"/>
  <c r="AM228" i="1"/>
  <c r="AM218" i="1"/>
  <c r="AM205" i="1"/>
  <c r="AM204" i="1"/>
  <c r="AQ204" i="1" s="1"/>
  <c r="AM783" i="1"/>
  <c r="AM182" i="1"/>
  <c r="AM537" i="1" s="1"/>
  <c r="AM872" i="1"/>
  <c r="AM871" i="1" s="1"/>
  <c r="S23" i="522" s="1"/>
  <c r="S55" i="522" s="1"/>
  <c r="AM970" i="1"/>
  <c r="AM969" i="1"/>
  <c r="AM968" i="1"/>
  <c r="AM964" i="1"/>
  <c r="AM963" i="1"/>
  <c r="AM962" i="1"/>
  <c r="AM958" i="1"/>
  <c r="AM957" i="1"/>
  <c r="AM956" i="1"/>
  <c r="AM953" i="1"/>
  <c r="AM865" i="1"/>
  <c r="AM841" i="1"/>
  <c r="AM854" i="1"/>
  <c r="AM832" i="1"/>
  <c r="AM921" i="1"/>
  <c r="AM908" i="1"/>
  <c r="BO908" i="1" s="1"/>
  <c r="AM889" i="1"/>
  <c r="AM745" i="1"/>
  <c r="AM750" i="1" s="1"/>
  <c r="AM744" i="1"/>
  <c r="AM749" i="1" s="1"/>
  <c r="AM742" i="1"/>
  <c r="AM736" i="1"/>
  <c r="AM735" i="1"/>
  <c r="E99" i="523" l="1"/>
  <c r="E99" i="503"/>
  <c r="J87" i="503" s="1"/>
  <c r="E99" i="504"/>
  <c r="I87" i="504" s="1"/>
  <c r="D99" i="523"/>
  <c r="U176" i="520"/>
  <c r="U176" i="521"/>
  <c r="U190" i="521"/>
  <c r="U193" i="521" s="1"/>
  <c r="U190" i="520"/>
  <c r="U193" i="520" s="1"/>
  <c r="AB25" i="522"/>
  <c r="U176" i="519"/>
  <c r="BO937" i="1"/>
  <c r="J115" i="523"/>
  <c r="K115" i="523" s="1"/>
  <c r="L115" i="523" s="1"/>
  <c r="M115" i="523" s="1"/>
  <c r="N115" i="523" s="1"/>
  <c r="O115" i="523" s="1"/>
  <c r="P115" i="523" s="1"/>
  <c r="Q115" i="523" s="1"/>
  <c r="R115" i="523" s="1"/>
  <c r="S115" i="523" s="1"/>
  <c r="T115" i="523" s="1"/>
  <c r="U115" i="523" s="1"/>
  <c r="V115" i="523" s="1"/>
  <c r="J116" i="198"/>
  <c r="K116" i="198" s="1"/>
  <c r="L116" i="198" s="1"/>
  <c r="M116" i="198" s="1"/>
  <c r="N116" i="198" s="1"/>
  <c r="O116" i="198" s="1"/>
  <c r="P116" i="198" s="1"/>
  <c r="Q116" i="198" s="1"/>
  <c r="R116" i="198" s="1"/>
  <c r="S116" i="198" s="1"/>
  <c r="T116" i="198" s="1"/>
  <c r="U116" i="198" s="1"/>
  <c r="V116" i="198" s="1"/>
  <c r="J115" i="504"/>
  <c r="K115" i="504" s="1"/>
  <c r="L115" i="504" s="1"/>
  <c r="M115" i="504" s="1"/>
  <c r="N115" i="504" s="1"/>
  <c r="O115" i="504" s="1"/>
  <c r="P115" i="504" s="1"/>
  <c r="Q115" i="504" s="1"/>
  <c r="R115" i="504" s="1"/>
  <c r="S115" i="504" s="1"/>
  <c r="T115" i="504" s="1"/>
  <c r="U115" i="504" s="1"/>
  <c r="V115" i="504" s="1"/>
  <c r="J115" i="503"/>
  <c r="K115" i="503" s="1"/>
  <c r="L115" i="503" s="1"/>
  <c r="M115" i="503" s="1"/>
  <c r="N115" i="503" s="1"/>
  <c r="O115" i="503" s="1"/>
  <c r="P115" i="503" s="1"/>
  <c r="Q115" i="503" s="1"/>
  <c r="R115" i="503" s="1"/>
  <c r="S115" i="503" s="1"/>
  <c r="T115" i="503" s="1"/>
  <c r="U115" i="503" s="1"/>
  <c r="V115" i="503" s="1"/>
  <c r="J111" i="504"/>
  <c r="J111" i="523"/>
  <c r="J111" i="503"/>
  <c r="J112" i="198"/>
  <c r="J113" i="504"/>
  <c r="J113" i="523"/>
  <c r="J113" i="503"/>
  <c r="J114" i="198"/>
  <c r="K94" i="523"/>
  <c r="J112" i="504"/>
  <c r="J112" i="523"/>
  <c r="J112" i="503"/>
  <c r="J113" i="198"/>
  <c r="AM939" i="1"/>
  <c r="BO938" i="1"/>
  <c r="J117" i="503"/>
  <c r="J117" i="504"/>
  <c r="J117" i="523"/>
  <c r="J118" i="198"/>
  <c r="AB28" i="522"/>
  <c r="U190" i="519"/>
  <c r="U193" i="519" s="1"/>
  <c r="R75" i="523"/>
  <c r="J87" i="504"/>
  <c r="BO889" i="1"/>
  <c r="AM508" i="1"/>
  <c r="AM541" i="1"/>
  <c r="S15" i="522"/>
  <c r="AM136" i="1"/>
  <c r="AM932" i="1"/>
  <c r="BO646" i="1"/>
  <c r="BO634" i="1" s="1"/>
  <c r="AM933" i="1"/>
  <c r="AM66" i="1"/>
  <c r="AM67" i="1" s="1"/>
  <c r="BO927" i="1"/>
  <c r="AM976" i="1"/>
  <c r="AM975" i="1"/>
  <c r="S59" i="522"/>
  <c r="S41" i="522"/>
  <c r="AM343" i="1"/>
  <c r="AM897" i="1"/>
  <c r="BO897" i="1" s="1"/>
  <c r="AM797" i="1"/>
  <c r="AM915" i="1"/>
  <c r="BO915" i="1" s="1"/>
  <c r="BO921" i="1"/>
  <c r="AM125" i="1"/>
  <c r="AM122" i="1" s="1"/>
  <c r="AM868" i="1"/>
  <c r="AM488" i="1"/>
  <c r="E102" i="504"/>
  <c r="D99" i="504" s="1"/>
  <c r="E102" i="503"/>
  <c r="AM572" i="1"/>
  <c r="S24" i="522"/>
  <c r="S56" i="522" s="1"/>
  <c r="AM206" i="1"/>
  <c r="S57" i="522"/>
  <c r="S19" i="522"/>
  <c r="AM857" i="1"/>
  <c r="AM466" i="1"/>
  <c r="BO872" i="1"/>
  <c r="AM533" i="1"/>
  <c r="AM273" i="1"/>
  <c r="AM971" i="1"/>
  <c r="N9" i="504"/>
  <c r="R75" i="504"/>
  <c r="N9" i="503"/>
  <c r="N75" i="503"/>
  <c r="BO134" i="1"/>
  <c r="AM32" i="1"/>
  <c r="AM626" i="1"/>
  <c r="AM974" i="1"/>
  <c r="H87" i="504" l="1"/>
  <c r="I87" i="503"/>
  <c r="H87" i="503"/>
  <c r="H87" i="523"/>
  <c r="I87" i="523"/>
  <c r="J87" i="523"/>
  <c r="D101" i="198"/>
  <c r="D100" i="523" s="1"/>
  <c r="E100" i="523" s="1"/>
  <c r="AM945" i="1"/>
  <c r="U194" i="521"/>
  <c r="U53" i="521"/>
  <c r="U53" i="520"/>
  <c r="U194" i="520"/>
  <c r="U202" i="521"/>
  <c r="U204" i="521" s="1"/>
  <c r="U14" i="521"/>
  <c r="U15" i="521" s="1"/>
  <c r="U177" i="521"/>
  <c r="U202" i="520"/>
  <c r="U204" i="520" s="1"/>
  <c r="U14" i="520"/>
  <c r="U15" i="520" s="1"/>
  <c r="U177" i="520"/>
  <c r="U194" i="519"/>
  <c r="U53" i="519"/>
  <c r="S21" i="522"/>
  <c r="S47" i="522"/>
  <c r="J115" i="198"/>
  <c r="J119" i="198" s="1"/>
  <c r="J108" i="198"/>
  <c r="J107" i="503"/>
  <c r="J107" i="504"/>
  <c r="J107" i="523"/>
  <c r="J114" i="503"/>
  <c r="J114" i="523"/>
  <c r="J114" i="504"/>
  <c r="S75" i="523"/>
  <c r="BO939" i="1"/>
  <c r="AM922" i="1"/>
  <c r="BO922" i="1" s="1"/>
  <c r="BO932" i="1"/>
  <c r="D99" i="503"/>
  <c r="D100" i="504"/>
  <c r="E100" i="504" s="1"/>
  <c r="D100" i="503"/>
  <c r="E100" i="503" s="1"/>
  <c r="BO871" i="1"/>
  <c r="AB24" i="522"/>
  <c r="K94" i="504"/>
  <c r="N10" i="504"/>
  <c r="O9" i="504"/>
  <c r="S75" i="504"/>
  <c r="O9" i="503"/>
  <c r="N10" i="503"/>
  <c r="O75" i="503"/>
  <c r="AM195" i="1"/>
  <c r="D101" i="523" l="1"/>
  <c r="E101" i="523" s="1"/>
  <c r="V53" i="521"/>
  <c r="U54" i="521"/>
  <c r="V53" i="520"/>
  <c r="U54" i="520"/>
  <c r="V53" i="519"/>
  <c r="J38" i="523"/>
  <c r="J70" i="523"/>
  <c r="J118" i="523"/>
  <c r="J121" i="523" s="1"/>
  <c r="J38" i="503"/>
  <c r="J118" i="503"/>
  <c r="J121" i="503" s="1"/>
  <c r="J38" i="504"/>
  <c r="J118" i="504"/>
  <c r="J121" i="504" s="1"/>
  <c r="T75" i="523"/>
  <c r="D101" i="503"/>
  <c r="E101" i="503" s="1"/>
  <c r="K94" i="503"/>
  <c r="D101" i="504"/>
  <c r="E101" i="504" s="1"/>
  <c r="AB23" i="522"/>
  <c r="T75" i="504"/>
  <c r="P9" i="504"/>
  <c r="O10" i="504"/>
  <c r="P9" i="503"/>
  <c r="O10" i="503"/>
  <c r="P75" i="503"/>
  <c r="Z71" i="198"/>
  <c r="W53" i="520" l="1"/>
  <c r="K70" i="504"/>
  <c r="W53" i="521"/>
  <c r="K70" i="503"/>
  <c r="W53" i="519"/>
  <c r="L71" i="198" s="1"/>
  <c r="K38" i="523"/>
  <c r="K70" i="523"/>
  <c r="U75" i="523"/>
  <c r="Q9" i="504"/>
  <c r="P10" i="504"/>
  <c r="U75" i="504"/>
  <c r="Q75" i="503"/>
  <c r="Q9" i="503"/>
  <c r="P10" i="503"/>
  <c r="BH91" i="1"/>
  <c r="BE91" i="1"/>
  <c r="BD91" i="1"/>
  <c r="BG91" i="1" s="1"/>
  <c r="BC91" i="1"/>
  <c r="BB91" i="1"/>
  <c r="BA91" i="1"/>
  <c r="AZ91" i="1"/>
  <c r="AY91" i="1"/>
  <c r="AX91" i="1"/>
  <c r="AW91" i="1"/>
  <c r="AV91" i="1"/>
  <c r="AU91" i="1"/>
  <c r="AT91" i="1"/>
  <c r="C52" i="519"/>
  <c r="K71" i="198"/>
  <c r="BP119" i="1" s="1"/>
  <c r="S57" i="519"/>
  <c r="R57" i="519"/>
  <c r="Q57" i="519"/>
  <c r="P57" i="519"/>
  <c r="O57" i="519"/>
  <c r="N57" i="519"/>
  <c r="M57" i="519"/>
  <c r="T57" i="519"/>
  <c r="S184" i="519"/>
  <c r="S191" i="519" s="1"/>
  <c r="R184" i="519"/>
  <c r="R191" i="519" s="1"/>
  <c r="Q184" i="519"/>
  <c r="Q191" i="519" s="1"/>
  <c r="P184" i="519"/>
  <c r="P191" i="519" s="1"/>
  <c r="O184" i="519"/>
  <c r="O191" i="519" s="1"/>
  <c r="N184" i="519"/>
  <c r="N191" i="519" s="1"/>
  <c r="M184" i="519"/>
  <c r="M191" i="519" s="1"/>
  <c r="C184" i="519"/>
  <c r="C191" i="519" s="1"/>
  <c r="T184" i="519"/>
  <c r="T191" i="519" s="1"/>
  <c r="T186" i="519"/>
  <c r="U183" i="519" s="1"/>
  <c r="U185" i="519" s="1"/>
  <c r="AO571" i="1"/>
  <c r="AO509" i="1" s="1"/>
  <c r="X53" i="521" l="1"/>
  <c r="L70" i="503"/>
  <c r="X53" i="520"/>
  <c r="L70" i="504"/>
  <c r="X53" i="519"/>
  <c r="L38" i="523"/>
  <c r="L70" i="523"/>
  <c r="V75" i="523"/>
  <c r="AQ119" i="1"/>
  <c r="AO119" i="1"/>
  <c r="AP119" i="1"/>
  <c r="AN119" i="1"/>
  <c r="K38" i="504"/>
  <c r="K38" i="503"/>
  <c r="V75" i="504"/>
  <c r="Q10" i="504"/>
  <c r="R9" i="504"/>
  <c r="Q10" i="503"/>
  <c r="R9" i="503"/>
  <c r="R75" i="503"/>
  <c r="AQ205" i="1"/>
  <c r="K186" i="519"/>
  <c r="K190" i="519"/>
  <c r="J190" i="519"/>
  <c r="I190" i="519"/>
  <c r="H190" i="519"/>
  <c r="G190" i="519"/>
  <c r="F190" i="519"/>
  <c r="E190" i="519"/>
  <c r="D190" i="519"/>
  <c r="L190" i="519"/>
  <c r="P190" i="519"/>
  <c r="P193" i="519" s="1"/>
  <c r="O190" i="519"/>
  <c r="O193" i="519" s="1"/>
  <c r="N190" i="519"/>
  <c r="N193" i="519" s="1"/>
  <c r="M190" i="519"/>
  <c r="M193" i="519" s="1"/>
  <c r="Y53" i="520" l="1"/>
  <c r="M70" i="504"/>
  <c r="Y53" i="521"/>
  <c r="M70" i="503"/>
  <c r="M194" i="519"/>
  <c r="L194" i="519" s="1"/>
  <c r="K194" i="519" s="1"/>
  <c r="J194" i="519" s="1"/>
  <c r="I194" i="519" s="1"/>
  <c r="H194" i="519" s="1"/>
  <c r="G194" i="519" s="1"/>
  <c r="F194" i="519" s="1"/>
  <c r="E194" i="519" s="1"/>
  <c r="D194" i="519" s="1"/>
  <c r="M53" i="519"/>
  <c r="N194" i="519"/>
  <c r="N53" i="519"/>
  <c r="O194" i="519"/>
  <c r="O53" i="519"/>
  <c r="P194" i="519"/>
  <c r="P53" i="519"/>
  <c r="Y53" i="519"/>
  <c r="M38" i="523"/>
  <c r="M70" i="523"/>
  <c r="M71" i="198"/>
  <c r="L38" i="503"/>
  <c r="L38" i="504"/>
  <c r="R10" i="504"/>
  <c r="S9" i="504"/>
  <c r="S75" i="503"/>
  <c r="R10" i="503"/>
  <c r="S9" i="503"/>
  <c r="BI84" i="1"/>
  <c r="BJ84" i="1"/>
  <c r="BK84" i="1"/>
  <c r="BL84" i="1"/>
  <c r="BM84" i="1"/>
  <c r="BN84" i="1"/>
  <c r="AJ84" i="1"/>
  <c r="AK84" i="1" s="1"/>
  <c r="Z53" i="521" l="1"/>
  <c r="N70" i="503"/>
  <c r="Z53" i="520"/>
  <c r="N70" i="504"/>
  <c r="Z53" i="519"/>
  <c r="N38" i="523"/>
  <c r="N70" i="523"/>
  <c r="N71" i="198"/>
  <c r="M38" i="503"/>
  <c r="M38" i="504"/>
  <c r="S10" i="504"/>
  <c r="T9" i="504"/>
  <c r="S10" i="503"/>
  <c r="T9" i="503"/>
  <c r="T75" i="503"/>
  <c r="AL84" i="1"/>
  <c r="AM84" i="1" s="1"/>
  <c r="AA53" i="520" l="1"/>
  <c r="O70" i="504"/>
  <c r="AA53" i="521"/>
  <c r="O70" i="503"/>
  <c r="AA53" i="519"/>
  <c r="O38" i="523"/>
  <c r="O70" i="523"/>
  <c r="O71" i="198"/>
  <c r="N38" i="504"/>
  <c r="N38" i="503"/>
  <c r="T10" i="504"/>
  <c r="U9" i="504"/>
  <c r="U75" i="503"/>
  <c r="T10" i="503"/>
  <c r="U9" i="503"/>
  <c r="BO84" i="1"/>
  <c r="AN84" i="1"/>
  <c r="AB53" i="521" l="1"/>
  <c r="P70" i="503"/>
  <c r="AB53" i="520"/>
  <c r="P70" i="504"/>
  <c r="AB53" i="519"/>
  <c r="P38" i="523"/>
  <c r="P70" i="523"/>
  <c r="P71" i="198"/>
  <c r="O38" i="503"/>
  <c r="O38" i="504"/>
  <c r="U10" i="504"/>
  <c r="V9" i="504"/>
  <c r="V10" i="504" s="1"/>
  <c r="U10" i="503"/>
  <c r="V9" i="503"/>
  <c r="V10" i="503" s="1"/>
  <c r="V75" i="503"/>
  <c r="AO84" i="1"/>
  <c r="AC53" i="520" l="1"/>
  <c r="Q70" i="504"/>
  <c r="AC53" i="521"/>
  <c r="Q70" i="503"/>
  <c r="AC53" i="519"/>
  <c r="Q38" i="523"/>
  <c r="Q70" i="523"/>
  <c r="Q71" i="198"/>
  <c r="P38" i="504"/>
  <c r="P38" i="503"/>
  <c r="AP84" i="1"/>
  <c r="AD53" i="521" l="1"/>
  <c r="R70" i="503"/>
  <c r="AD53" i="520"/>
  <c r="R70" i="504"/>
  <c r="AD53" i="519"/>
  <c r="R38" i="523"/>
  <c r="R70" i="523"/>
  <c r="R71" i="198"/>
  <c r="Q38" i="503"/>
  <c r="Q38" i="504"/>
  <c r="AQ84" i="1"/>
  <c r="BP84" i="1" s="1"/>
  <c r="AE53" i="520" l="1"/>
  <c r="S70" i="504"/>
  <c r="AE53" i="521"/>
  <c r="S70" i="503"/>
  <c r="AE53" i="519"/>
  <c r="S70" i="523"/>
  <c r="S38" i="523"/>
  <c r="S71" i="198"/>
  <c r="R38" i="504"/>
  <c r="R38" i="503"/>
  <c r="BF90" i="1"/>
  <c r="BF93" i="1" s="1"/>
  <c r="AF53" i="521" l="1"/>
  <c r="T70" i="503"/>
  <c r="AF53" i="520"/>
  <c r="T70" i="504"/>
  <c r="AF53" i="519"/>
  <c r="T38" i="523"/>
  <c r="T70" i="523"/>
  <c r="T71" i="198"/>
  <c r="S38" i="503"/>
  <c r="S38" i="504"/>
  <c r="A97" i="519"/>
  <c r="A130" i="519" s="1"/>
  <c r="AG53" i="520" l="1"/>
  <c r="V70" i="504" s="1"/>
  <c r="U70" i="504"/>
  <c r="AG53" i="521"/>
  <c r="V70" i="503" s="1"/>
  <c r="U70" i="503"/>
  <c r="AG53" i="519"/>
  <c r="U38" i="523"/>
  <c r="U70" i="523"/>
  <c r="U71" i="198"/>
  <c r="T38" i="504"/>
  <c r="T38" i="503"/>
  <c r="AD57" i="522"/>
  <c r="AC57" i="522"/>
  <c r="O35" i="522"/>
  <c r="O67" i="522" s="1"/>
  <c r="O75" i="522" s="1"/>
  <c r="P72" i="522" s="1"/>
  <c r="O34" i="522"/>
  <c r="K35" i="522"/>
  <c r="K34" i="522"/>
  <c r="G35" i="522"/>
  <c r="D35" i="522" s="1"/>
  <c r="G34" i="522"/>
  <c r="D34" i="522" s="1"/>
  <c r="E34" i="522" s="1"/>
  <c r="F34" i="522" s="1"/>
  <c r="G14" i="522"/>
  <c r="D14" i="522" s="1"/>
  <c r="G13" i="522"/>
  <c r="G12" i="522"/>
  <c r="D12" i="522" s="1"/>
  <c r="E12" i="522" s="1"/>
  <c r="F12" i="522" s="1"/>
  <c r="G11" i="522"/>
  <c r="D11" i="522" s="1"/>
  <c r="G10" i="522"/>
  <c r="D10" i="522" s="1"/>
  <c r="K14" i="522"/>
  <c r="K13" i="522"/>
  <c r="K12" i="522"/>
  <c r="K11" i="522"/>
  <c r="K10" i="522"/>
  <c r="O14" i="522"/>
  <c r="O13" i="522"/>
  <c r="O12" i="522"/>
  <c r="O11" i="522"/>
  <c r="O10" i="522"/>
  <c r="S51" i="522"/>
  <c r="B57" i="522"/>
  <c r="W28" i="522"/>
  <c r="W60" i="522" s="1"/>
  <c r="V28" i="522"/>
  <c r="V60" i="522" s="1"/>
  <c r="U36" i="522"/>
  <c r="U37" i="522" s="1"/>
  <c r="Q28" i="522"/>
  <c r="Q60" i="522" s="1"/>
  <c r="P28" i="522"/>
  <c r="P60" i="522" s="1"/>
  <c r="O28" i="522"/>
  <c r="O60" i="522" s="1"/>
  <c r="N28" i="522"/>
  <c r="N60" i="522" s="1"/>
  <c r="M28" i="522"/>
  <c r="M60" i="522" s="1"/>
  <c r="L28" i="522"/>
  <c r="L60" i="522" s="1"/>
  <c r="K28" i="522"/>
  <c r="K60" i="522" s="1"/>
  <c r="J28" i="522"/>
  <c r="J60" i="522" s="1"/>
  <c r="I28" i="522"/>
  <c r="I60" i="522" s="1"/>
  <c r="H28" i="522"/>
  <c r="H60" i="522" s="1"/>
  <c r="G28" i="522"/>
  <c r="G60" i="522" s="1"/>
  <c r="F28" i="522"/>
  <c r="F60" i="522" s="1"/>
  <c r="E28" i="522"/>
  <c r="E60" i="522" s="1"/>
  <c r="D28" i="522"/>
  <c r="D60" i="522" s="1"/>
  <c r="R28" i="522"/>
  <c r="R60" i="522" s="1"/>
  <c r="Q25" i="522"/>
  <c r="Q57" i="522" s="1"/>
  <c r="Q51" i="522" s="1"/>
  <c r="P25" i="522"/>
  <c r="P19" i="522" s="1"/>
  <c r="O25" i="522"/>
  <c r="O57" i="522" s="1"/>
  <c r="O51" i="522" s="1"/>
  <c r="N25" i="522"/>
  <c r="N57" i="522" s="1"/>
  <c r="M25" i="522"/>
  <c r="M19" i="522" s="1"/>
  <c r="L25" i="522"/>
  <c r="L19" i="522" s="1"/>
  <c r="K25" i="522"/>
  <c r="K57" i="522" s="1"/>
  <c r="J25" i="522"/>
  <c r="J19" i="522" s="1"/>
  <c r="I25" i="522"/>
  <c r="I19" i="522" s="1"/>
  <c r="H25" i="522"/>
  <c r="H19" i="522" s="1"/>
  <c r="G25" i="522"/>
  <c r="G19" i="522" s="1"/>
  <c r="F25" i="522"/>
  <c r="F19" i="522" s="1"/>
  <c r="E25" i="522"/>
  <c r="E19" i="522" s="1"/>
  <c r="D25" i="522"/>
  <c r="D19" i="522" s="1"/>
  <c r="R25" i="522"/>
  <c r="R19" i="522" s="1"/>
  <c r="B24" i="522"/>
  <c r="B56" i="522" s="1"/>
  <c r="AA67" i="522"/>
  <c r="AA75" i="522" s="1"/>
  <c r="AB72" i="522" s="1"/>
  <c r="Z67" i="522"/>
  <c r="Z75" i="522" s="1"/>
  <c r="Y67" i="522"/>
  <c r="Y75" i="522" s="1"/>
  <c r="Z72" i="522" s="1"/>
  <c r="X67" i="522"/>
  <c r="D72" i="522" s="1"/>
  <c r="W67" i="522"/>
  <c r="W75" i="522" s="1"/>
  <c r="X72" i="522" s="1"/>
  <c r="V67" i="522"/>
  <c r="V75" i="522" s="1"/>
  <c r="W72" i="522" s="1"/>
  <c r="V72" i="522"/>
  <c r="V50" i="522"/>
  <c r="AA43" i="522"/>
  <c r="Z43" i="522"/>
  <c r="Y43" i="522"/>
  <c r="X43" i="522"/>
  <c r="W43" i="522"/>
  <c r="X40" i="522" s="1"/>
  <c r="V43" i="522"/>
  <c r="V40" i="522"/>
  <c r="D40" i="522"/>
  <c r="AA36" i="522"/>
  <c r="Z36" i="522"/>
  <c r="Y36" i="522"/>
  <c r="X36" i="522"/>
  <c r="W36" i="522"/>
  <c r="V36" i="522"/>
  <c r="AD2" i="522"/>
  <c r="V70" i="523" l="1"/>
  <c r="V71" i="198"/>
  <c r="U38" i="503"/>
  <c r="U38" i="504"/>
  <c r="L35" i="522"/>
  <c r="L67" i="522" s="1"/>
  <c r="L75" i="522" s="1"/>
  <c r="M72" i="522" s="1"/>
  <c r="H12" i="522"/>
  <c r="I12" i="522" s="1"/>
  <c r="J12" i="522" s="1"/>
  <c r="G43" i="522"/>
  <c r="H40" i="522" s="1"/>
  <c r="G67" i="522"/>
  <c r="G75" i="522" s="1"/>
  <c r="H72" i="522" s="1"/>
  <c r="H11" i="522"/>
  <c r="I11" i="522" s="1"/>
  <c r="J11" i="522" s="1"/>
  <c r="H10" i="522"/>
  <c r="I10" i="522" s="1"/>
  <c r="J10" i="522" s="1"/>
  <c r="L34" i="522"/>
  <c r="M34" i="522" s="1"/>
  <c r="N34" i="522" s="1"/>
  <c r="E10" i="522"/>
  <c r="K67" i="522"/>
  <c r="K75" i="522" s="1"/>
  <c r="L72" i="522" s="1"/>
  <c r="L13" i="522"/>
  <c r="M13" i="522" s="1"/>
  <c r="N13" i="522" s="1"/>
  <c r="E11" i="522"/>
  <c r="F11" i="522" s="1"/>
  <c r="L12" i="522"/>
  <c r="M12" i="522" s="1"/>
  <c r="N12" i="522" s="1"/>
  <c r="L14" i="522"/>
  <c r="M14" i="522" s="1"/>
  <c r="N14" i="522" s="1"/>
  <c r="H13" i="522"/>
  <c r="I13" i="522" s="1"/>
  <c r="J13" i="522" s="1"/>
  <c r="L11" i="522"/>
  <c r="M11" i="522" s="1"/>
  <c r="N11" i="522" s="1"/>
  <c r="H34" i="522"/>
  <c r="I34" i="522" s="1"/>
  <c r="J34" i="522" s="1"/>
  <c r="E35" i="522"/>
  <c r="E43" i="522" s="1"/>
  <c r="F40" i="522" s="1"/>
  <c r="D67" i="522"/>
  <c r="D75" i="522" s="1"/>
  <c r="E72" i="522" s="1"/>
  <c r="H14" i="522"/>
  <c r="I14" i="522" s="1"/>
  <c r="J14" i="522" s="1"/>
  <c r="D13" i="522"/>
  <c r="E13" i="522" s="1"/>
  <c r="F13" i="522" s="1"/>
  <c r="L10" i="522"/>
  <c r="K43" i="522"/>
  <c r="L40" i="522" s="1"/>
  <c r="H35" i="522"/>
  <c r="E14" i="522"/>
  <c r="F14" i="522" s="1"/>
  <c r="O43" i="522"/>
  <c r="P40" i="522" s="1"/>
  <c r="D43" i="522"/>
  <c r="E40" i="522" s="1"/>
  <c r="R57" i="522"/>
  <c r="R51" i="522" s="1"/>
  <c r="Y15" i="522"/>
  <c r="Y47" i="522" s="1"/>
  <c r="Y66" i="522" s="1"/>
  <c r="Y68" i="522" s="1"/>
  <c r="Q19" i="522"/>
  <c r="Z15" i="522"/>
  <c r="Z21" i="522" s="1"/>
  <c r="AA18" i="522" s="1"/>
  <c r="O15" i="522"/>
  <c r="U15" i="522"/>
  <c r="V18" i="522" s="1"/>
  <c r="AA15" i="522"/>
  <c r="AA21" i="522" s="1"/>
  <c r="AB18" i="522" s="1"/>
  <c r="G57" i="522"/>
  <c r="G51" i="522" s="1"/>
  <c r="J57" i="522"/>
  <c r="F57" i="522"/>
  <c r="F51" i="522" s="1"/>
  <c r="H57" i="522"/>
  <c r="H51" i="522" s="1"/>
  <c r="I57" i="522"/>
  <c r="W15" i="522"/>
  <c r="X15" i="522"/>
  <c r="V15" i="522"/>
  <c r="K15" i="522"/>
  <c r="G15" i="522"/>
  <c r="G36" i="522" s="1"/>
  <c r="D57" i="522"/>
  <c r="E57" i="522"/>
  <c r="L57" i="522"/>
  <c r="M57" i="522"/>
  <c r="M51" i="522" s="1"/>
  <c r="P57" i="522"/>
  <c r="K19" i="522"/>
  <c r="N19" i="522"/>
  <c r="O19" i="522"/>
  <c r="K51" i="522"/>
  <c r="N51" i="522"/>
  <c r="X75" i="522"/>
  <c r="Y72" i="522" s="1"/>
  <c r="AD51" i="522"/>
  <c r="AC51" i="522"/>
  <c r="Y40" i="522"/>
  <c r="AA40" i="522"/>
  <c r="AB40" i="522"/>
  <c r="W40" i="522"/>
  <c r="Z40" i="522"/>
  <c r="AA72" i="522"/>
  <c r="N143" i="198"/>
  <c r="N163" i="198" s="1"/>
  <c r="M147" i="198"/>
  <c r="J147" i="198"/>
  <c r="J146" i="198"/>
  <c r="P151" i="198"/>
  <c r="O151" i="198"/>
  <c r="N151" i="198"/>
  <c r="M151" i="198"/>
  <c r="M155" i="198" s="1"/>
  <c r="L151" i="198"/>
  <c r="L155" i="198" s="1"/>
  <c r="L163" i="198"/>
  <c r="M163" i="198"/>
  <c r="J163" i="198"/>
  <c r="J162" i="198"/>
  <c r="J155" i="198"/>
  <c r="J154" i="198"/>
  <c r="L43" i="522" l="1"/>
  <c r="M40" i="522" s="1"/>
  <c r="M35" i="522"/>
  <c r="F35" i="522"/>
  <c r="F43" i="522" s="1"/>
  <c r="G40" i="522" s="1"/>
  <c r="J15" i="522"/>
  <c r="J47" i="522" s="1"/>
  <c r="H15" i="522"/>
  <c r="H36" i="522" s="1"/>
  <c r="E67" i="522"/>
  <c r="E75" i="522" s="1"/>
  <c r="F72" i="522" s="1"/>
  <c r="I15" i="522"/>
  <c r="I21" i="522" s="1"/>
  <c r="J18" i="522" s="1"/>
  <c r="I35" i="522"/>
  <c r="I36" i="522" s="1"/>
  <c r="H67" i="522"/>
  <c r="H75" i="522" s="1"/>
  <c r="I72" i="522" s="1"/>
  <c r="H43" i="522"/>
  <c r="I40" i="522" s="1"/>
  <c r="N155" i="198"/>
  <c r="P51" i="522"/>
  <c r="AB57" i="522"/>
  <c r="AB51" i="522" s="1"/>
  <c r="K47" i="522"/>
  <c r="K53" i="522" s="1"/>
  <c r="L50" i="522" s="1"/>
  <c r="K36" i="522"/>
  <c r="Y21" i="522"/>
  <c r="Z18" i="522" s="1"/>
  <c r="O47" i="522"/>
  <c r="O36" i="522"/>
  <c r="Z47" i="522"/>
  <c r="AA47" i="522"/>
  <c r="AA66" i="522" s="1"/>
  <c r="AA68" i="522" s="1"/>
  <c r="O21" i="522"/>
  <c r="P18" i="522" s="1"/>
  <c r="E51" i="522"/>
  <c r="Y53" i="522"/>
  <c r="Z50" i="522" s="1"/>
  <c r="I51" i="522"/>
  <c r="J51" i="522"/>
  <c r="K21" i="522"/>
  <c r="L18" i="522" s="1"/>
  <c r="W47" i="522"/>
  <c r="W21" i="522"/>
  <c r="V21" i="522"/>
  <c r="V47" i="522"/>
  <c r="D18" i="522"/>
  <c r="X47" i="522"/>
  <c r="X21" i="522"/>
  <c r="D51" i="522"/>
  <c r="G21" i="522"/>
  <c r="G47" i="522"/>
  <c r="L51" i="522"/>
  <c r="O143" i="198"/>
  <c r="J21" i="522" l="1"/>
  <c r="K18" i="522" s="1"/>
  <c r="K20" i="522" s="1"/>
  <c r="M67" i="522"/>
  <c r="M75" i="522" s="1"/>
  <c r="N72" i="522" s="1"/>
  <c r="N35" i="522"/>
  <c r="M43" i="522"/>
  <c r="N40" i="522" s="1"/>
  <c r="F67" i="522"/>
  <c r="F75" i="522" s="1"/>
  <c r="G72" i="522" s="1"/>
  <c r="K66" i="522"/>
  <c r="K68" i="522" s="1"/>
  <c r="H21" i="522"/>
  <c r="I18" i="522" s="1"/>
  <c r="I20" i="522" s="1"/>
  <c r="H47" i="522"/>
  <c r="H66" i="522" s="1"/>
  <c r="H68" i="522" s="1"/>
  <c r="I47" i="522"/>
  <c r="I66" i="522" s="1"/>
  <c r="I43" i="522"/>
  <c r="J40" i="522" s="1"/>
  <c r="I67" i="522"/>
  <c r="I75" i="522" s="1"/>
  <c r="J72" i="522" s="1"/>
  <c r="J35" i="522"/>
  <c r="O66" i="522"/>
  <c r="O68" i="522" s="1"/>
  <c r="AA53" i="522"/>
  <c r="AB50" i="522" s="1"/>
  <c r="Z66" i="522"/>
  <c r="Z68" i="522" s="1"/>
  <c r="O53" i="522"/>
  <c r="P50" i="522" s="1"/>
  <c r="Z53" i="522"/>
  <c r="AA50" i="522" s="1"/>
  <c r="Y18" i="522"/>
  <c r="W66" i="522"/>
  <c r="W68" i="522" s="1"/>
  <c r="W53" i="522"/>
  <c r="X66" i="522"/>
  <c r="X68" i="522" s="1"/>
  <c r="D50" i="522"/>
  <c r="X53" i="522"/>
  <c r="V53" i="522"/>
  <c r="V66" i="522"/>
  <c r="V68" i="522" s="1"/>
  <c r="W18" i="522"/>
  <c r="X18" i="522"/>
  <c r="G53" i="522"/>
  <c r="G66" i="522"/>
  <c r="G68" i="522" s="1"/>
  <c r="H18" i="522"/>
  <c r="J66" i="522"/>
  <c r="J53" i="522"/>
  <c r="P143" i="198"/>
  <c r="O163" i="198"/>
  <c r="O155" i="198"/>
  <c r="BO611" i="1"/>
  <c r="BN611" i="1"/>
  <c r="BM611" i="1"/>
  <c r="BL611" i="1"/>
  <c r="BK611" i="1"/>
  <c r="BJ611" i="1"/>
  <c r="AM602" i="1"/>
  <c r="AM604" i="1" s="1"/>
  <c r="AM607" i="1" s="1"/>
  <c r="AL602" i="1"/>
  <c r="AL604" i="1" s="1"/>
  <c r="AK602" i="1"/>
  <c r="AK604" i="1" s="1"/>
  <c r="AJ602" i="1"/>
  <c r="AJ604" i="1" s="1"/>
  <c r="AI602" i="1"/>
  <c r="AI604" i="1" s="1"/>
  <c r="AH602" i="1"/>
  <c r="AH612" i="1" s="1"/>
  <c r="AH613" i="1" s="1"/>
  <c r="AG602" i="1"/>
  <c r="AG612" i="1" s="1"/>
  <c r="AG613" i="1" s="1"/>
  <c r="AF602" i="1"/>
  <c r="AF612" i="1" s="1"/>
  <c r="AF613" i="1" s="1"/>
  <c r="AE602" i="1"/>
  <c r="AE604" i="1" s="1"/>
  <c r="AD602" i="1"/>
  <c r="AD604" i="1" s="1"/>
  <c r="AC602" i="1"/>
  <c r="AC604" i="1" s="1"/>
  <c r="AB602" i="1"/>
  <c r="AB604" i="1" s="1"/>
  <c r="AA602" i="1"/>
  <c r="AA604" i="1" s="1"/>
  <c r="Z602" i="1"/>
  <c r="Z604" i="1" s="1"/>
  <c r="Y602" i="1"/>
  <c r="Y604" i="1" s="1"/>
  <c r="X602" i="1"/>
  <c r="X604" i="1" s="1"/>
  <c r="W602" i="1"/>
  <c r="W604" i="1" s="1"/>
  <c r="V602" i="1"/>
  <c r="V604" i="1" s="1"/>
  <c r="U602" i="1"/>
  <c r="U604" i="1" s="1"/>
  <c r="T602" i="1"/>
  <c r="T604" i="1" s="1"/>
  <c r="S602" i="1"/>
  <c r="S604" i="1" s="1"/>
  <c r="R602" i="1"/>
  <c r="R604" i="1" s="1"/>
  <c r="Q602" i="1"/>
  <c r="Q604" i="1" s="1"/>
  <c r="P602" i="1"/>
  <c r="P604" i="1" s="1"/>
  <c r="BO601" i="1"/>
  <c r="BN601" i="1"/>
  <c r="BM601" i="1"/>
  <c r="BL601" i="1"/>
  <c r="BK601" i="1"/>
  <c r="BJ601" i="1"/>
  <c r="J20" i="522" l="1"/>
  <c r="N43" i="522"/>
  <c r="O40" i="522" s="1"/>
  <c r="N67" i="522"/>
  <c r="N75" i="522" s="1"/>
  <c r="O72" i="522" s="1"/>
  <c r="H53" i="522"/>
  <c r="I50" i="522" s="1"/>
  <c r="T612" i="1"/>
  <c r="T613" i="1" s="1"/>
  <c r="I53" i="522"/>
  <c r="J50" i="522" s="1"/>
  <c r="J52" i="522" s="1"/>
  <c r="H20" i="522"/>
  <c r="J67" i="522"/>
  <c r="J75" i="522" s="1"/>
  <c r="J36" i="522"/>
  <c r="J43" i="522"/>
  <c r="I68" i="522"/>
  <c r="P612" i="1"/>
  <c r="P613" i="1" s="1"/>
  <c r="Q612" i="1"/>
  <c r="Q613" i="1" s="1"/>
  <c r="W50" i="522"/>
  <c r="Y50" i="522"/>
  <c r="X50" i="522"/>
  <c r="K50" i="522"/>
  <c r="K52" i="522" s="1"/>
  <c r="H50" i="522"/>
  <c r="AF604" i="1"/>
  <c r="P163" i="198"/>
  <c r="P155" i="198"/>
  <c r="AJ612" i="1"/>
  <c r="AJ613" i="1" s="1"/>
  <c r="AG604" i="1"/>
  <c r="W612" i="1"/>
  <c r="W613" i="1" s="1"/>
  <c r="X612" i="1"/>
  <c r="X613" i="1" s="1"/>
  <c r="Y612" i="1"/>
  <c r="Y613" i="1" s="1"/>
  <c r="AI612" i="1"/>
  <c r="AI613" i="1" s="1"/>
  <c r="BN613" i="1" s="1"/>
  <c r="AH604" i="1"/>
  <c r="AK612" i="1"/>
  <c r="AK613" i="1" s="1"/>
  <c r="R612" i="1"/>
  <c r="R613" i="1" s="1"/>
  <c r="Z612" i="1"/>
  <c r="Z613" i="1" s="1"/>
  <c r="AL612" i="1"/>
  <c r="AL613" i="1" s="1"/>
  <c r="S612" i="1"/>
  <c r="S613" i="1" s="1"/>
  <c r="AA612" i="1"/>
  <c r="AA613" i="1" s="1"/>
  <c r="AM612" i="1"/>
  <c r="AM613" i="1" s="1"/>
  <c r="U612" i="1"/>
  <c r="U613" i="1" s="1"/>
  <c r="V612" i="1"/>
  <c r="V613" i="1" s="1"/>
  <c r="AB612" i="1"/>
  <c r="AB613" i="1" s="1"/>
  <c r="AC612" i="1"/>
  <c r="AC613" i="1" s="1"/>
  <c r="AD612" i="1"/>
  <c r="AD613" i="1" s="1"/>
  <c r="AE612" i="1"/>
  <c r="AE613" i="1" s="1"/>
  <c r="H52" i="522" l="1"/>
  <c r="I52" i="522"/>
  <c r="J68" i="522"/>
  <c r="BJ613" i="1"/>
  <c r="K72" i="522"/>
  <c r="K40" i="522"/>
  <c r="BK613" i="1"/>
  <c r="BL613" i="1"/>
  <c r="BO613" i="1"/>
  <c r="BM613" i="1"/>
  <c r="AJ196" i="1"/>
  <c r="AI196" i="1"/>
  <c r="AH196" i="1"/>
  <c r="AF196" i="1"/>
  <c r="AE196" i="1"/>
  <c r="AD196" i="1"/>
  <c r="AC196" i="1"/>
  <c r="AB196" i="1"/>
  <c r="AA196" i="1"/>
  <c r="Z196" i="1"/>
  <c r="Y196" i="1"/>
  <c r="X196" i="1"/>
  <c r="W196" i="1"/>
  <c r="V196" i="1"/>
  <c r="U196" i="1"/>
  <c r="T196" i="1"/>
  <c r="S196" i="1"/>
  <c r="R196" i="1"/>
  <c r="Q196" i="1"/>
  <c r="P196" i="1"/>
  <c r="O196" i="1"/>
  <c r="N196" i="1"/>
  <c r="M196" i="1"/>
  <c r="L196" i="1"/>
  <c r="AJ195" i="1"/>
  <c r="AI195" i="1"/>
  <c r="AH195" i="1"/>
  <c r="AF195" i="1"/>
  <c r="AE195" i="1"/>
  <c r="AD195" i="1"/>
  <c r="AC195" i="1"/>
  <c r="AB195" i="1"/>
  <c r="AA195" i="1"/>
  <c r="Z195" i="1"/>
  <c r="Y195" i="1"/>
  <c r="X195" i="1"/>
  <c r="W195" i="1"/>
  <c r="V195" i="1"/>
  <c r="U195" i="1"/>
  <c r="T195" i="1"/>
  <c r="S195" i="1"/>
  <c r="R195" i="1"/>
  <c r="Q195" i="1"/>
  <c r="P195" i="1"/>
  <c r="O195" i="1"/>
  <c r="N195" i="1"/>
  <c r="M195" i="1"/>
  <c r="L195" i="1"/>
  <c r="AJ194" i="1"/>
  <c r="AI194" i="1"/>
  <c r="AH194" i="1"/>
  <c r="AF194" i="1"/>
  <c r="AE194" i="1"/>
  <c r="AD194" i="1"/>
  <c r="AC194" i="1"/>
  <c r="AB194" i="1"/>
  <c r="AA194" i="1"/>
  <c r="Z194" i="1"/>
  <c r="Y194" i="1"/>
  <c r="X194" i="1"/>
  <c r="W194" i="1"/>
  <c r="V194" i="1"/>
  <c r="U194" i="1"/>
  <c r="T194" i="1"/>
  <c r="S194" i="1"/>
  <c r="R194" i="1"/>
  <c r="Q194" i="1"/>
  <c r="P194" i="1"/>
  <c r="O194" i="1"/>
  <c r="N194" i="1"/>
  <c r="M194" i="1"/>
  <c r="L194" i="1"/>
  <c r="AK933" i="1"/>
  <c r="AJ933" i="1"/>
  <c r="AI933" i="1"/>
  <c r="AH933" i="1"/>
  <c r="AG933" i="1"/>
  <c r="AF933" i="1"/>
  <c r="AE933" i="1"/>
  <c r="AD933" i="1"/>
  <c r="AC933" i="1"/>
  <c r="AB933" i="1"/>
  <c r="AA933" i="1"/>
  <c r="Z933" i="1"/>
  <c r="Y933" i="1"/>
  <c r="X933" i="1"/>
  <c r="W933" i="1"/>
  <c r="V933" i="1"/>
  <c r="U933" i="1"/>
  <c r="T933" i="1"/>
  <c r="S933" i="1"/>
  <c r="R933" i="1"/>
  <c r="Q933" i="1"/>
  <c r="P933" i="1"/>
  <c r="O933" i="1"/>
  <c r="N933" i="1"/>
  <c r="M933" i="1"/>
  <c r="L933" i="1"/>
  <c r="K933" i="1"/>
  <c r="J933" i="1"/>
  <c r="I933" i="1"/>
  <c r="H933" i="1"/>
  <c r="G933" i="1"/>
  <c r="F933" i="1"/>
  <c r="E933" i="1"/>
  <c r="D933" i="1"/>
  <c r="AL933" i="1"/>
  <c r="BN66" i="1"/>
  <c r="BM66" i="1"/>
  <c r="BL66" i="1"/>
  <c r="BK66" i="1"/>
  <c r="BJ66" i="1"/>
  <c r="BI66" i="1"/>
  <c r="BH66" i="1"/>
  <c r="BG66" i="1"/>
  <c r="BF66" i="1"/>
  <c r="BE66" i="1"/>
  <c r="BD66" i="1"/>
  <c r="BC66" i="1"/>
  <c r="BB66" i="1"/>
  <c r="BN65" i="1"/>
  <c r="BM65" i="1"/>
  <c r="BL65" i="1"/>
  <c r="BK65" i="1"/>
  <c r="BJ65" i="1"/>
  <c r="BI65" i="1"/>
  <c r="BH65" i="1"/>
  <c r="BG65" i="1"/>
  <c r="BF65" i="1"/>
  <c r="BE65" i="1"/>
  <c r="BD65" i="1"/>
  <c r="BC65" i="1"/>
  <c r="BB65" i="1"/>
  <c r="BA66" i="1"/>
  <c r="BA65"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B66" i="1"/>
  <c r="B65" i="1"/>
  <c r="AL797" i="1"/>
  <c r="AK797" i="1"/>
  <c r="AJ797" i="1"/>
  <c r="AI797" i="1"/>
  <c r="AH797" i="1"/>
  <c r="AG797" i="1"/>
  <c r="AF797" i="1"/>
  <c r="AE797" i="1"/>
  <c r="AD797" i="1"/>
  <c r="AC797" i="1"/>
  <c r="AB797" i="1"/>
  <c r="AA797" i="1"/>
  <c r="Z797" i="1"/>
  <c r="Y797" i="1"/>
  <c r="X797" i="1"/>
  <c r="W797" i="1"/>
  <c r="V797" i="1"/>
  <c r="U797" i="1"/>
  <c r="T797" i="1"/>
  <c r="S797" i="1"/>
  <c r="R797" i="1"/>
  <c r="Q797" i="1"/>
  <c r="P797" i="1"/>
  <c r="O797" i="1"/>
  <c r="N797" i="1"/>
  <c r="M797" i="1"/>
  <c r="L797" i="1"/>
  <c r="K797" i="1"/>
  <c r="J797" i="1"/>
  <c r="I797" i="1"/>
  <c r="H797" i="1"/>
  <c r="G797" i="1"/>
  <c r="F797" i="1"/>
  <c r="E797" i="1"/>
  <c r="D797" i="1"/>
  <c r="BF134" i="1"/>
  <c r="BE134" i="1"/>
  <c r="BD134" i="1"/>
  <c r="BC134" i="1"/>
  <c r="BB134" i="1"/>
  <c r="BA134" i="1"/>
  <c r="AZ134" i="1"/>
  <c r="AY134" i="1"/>
  <c r="AX134" i="1"/>
  <c r="AW134" i="1"/>
  <c r="AV134" i="1"/>
  <c r="AU134" i="1"/>
  <c r="AT134" i="1"/>
  <c r="AS134" i="1"/>
  <c r="L134" i="1"/>
  <c r="L932" i="1" s="1"/>
  <c r="J134" i="1"/>
  <c r="J932" i="1" s="1"/>
  <c r="I134" i="1"/>
  <c r="I932" i="1" s="1"/>
  <c r="H134" i="1"/>
  <c r="H932" i="1" s="1"/>
  <c r="G134" i="1"/>
  <c r="G932" i="1" s="1"/>
  <c r="F134" i="1"/>
  <c r="F932" i="1" s="1"/>
  <c r="E134" i="1"/>
  <c r="E932" i="1" s="1"/>
  <c r="D134" i="1"/>
  <c r="D932" i="1" s="1"/>
  <c r="K927" i="1"/>
  <c r="K134" i="1" s="1"/>
  <c r="K932" i="1" s="1"/>
  <c r="AL927" i="1"/>
  <c r="AK927" i="1"/>
  <c r="AJ927" i="1"/>
  <c r="AI927" i="1"/>
  <c r="AI134" i="1" s="1"/>
  <c r="AI932" i="1" s="1"/>
  <c r="AH927" i="1"/>
  <c r="AH134" i="1" s="1"/>
  <c r="AH932" i="1" s="1"/>
  <c r="AG927" i="1"/>
  <c r="AG134" i="1" s="1"/>
  <c r="AG932" i="1" s="1"/>
  <c r="AF927" i="1"/>
  <c r="AF134" i="1" s="1"/>
  <c r="AF932" i="1" s="1"/>
  <c r="AE927" i="1"/>
  <c r="AE134" i="1" s="1"/>
  <c r="AE932" i="1" s="1"/>
  <c r="AD927" i="1"/>
  <c r="AD134" i="1" s="1"/>
  <c r="AD932" i="1" s="1"/>
  <c r="AC927" i="1"/>
  <c r="AB927" i="1"/>
  <c r="AA927" i="1"/>
  <c r="AA134" i="1" s="1"/>
  <c r="AA932" i="1" s="1"/>
  <c r="Z927" i="1"/>
  <c r="Z134" i="1" s="1"/>
  <c r="Z932" i="1" s="1"/>
  <c r="Y927" i="1"/>
  <c r="Y134" i="1" s="1"/>
  <c r="Y932" i="1" s="1"/>
  <c r="X927" i="1"/>
  <c r="X134" i="1" s="1"/>
  <c r="X932" i="1" s="1"/>
  <c r="W927" i="1"/>
  <c r="W134" i="1" s="1"/>
  <c r="W932" i="1" s="1"/>
  <c r="V927" i="1"/>
  <c r="V134" i="1" s="1"/>
  <c r="V932" i="1" s="1"/>
  <c r="U927" i="1"/>
  <c r="T927" i="1"/>
  <c r="S927" i="1"/>
  <c r="R927" i="1"/>
  <c r="R134" i="1" s="1"/>
  <c r="R932" i="1" s="1"/>
  <c r="Q927" i="1"/>
  <c r="Q134" i="1" s="1"/>
  <c r="Q932" i="1" s="1"/>
  <c r="P927" i="1"/>
  <c r="P134" i="1" s="1"/>
  <c r="P932" i="1" s="1"/>
  <c r="O927" i="1"/>
  <c r="O134" i="1" s="1"/>
  <c r="O932" i="1" s="1"/>
  <c r="N927" i="1"/>
  <c r="N134" i="1" s="1"/>
  <c r="N932" i="1" s="1"/>
  <c r="M927" i="1"/>
  <c r="BH929" i="1"/>
  <c r="BH933" i="1" s="1"/>
  <c r="BI929" i="1"/>
  <c r="BI933" i="1" s="1"/>
  <c r="BJ929" i="1"/>
  <c r="BJ933" i="1" s="1"/>
  <c r="BN929" i="1"/>
  <c r="BN933" i="1" s="1"/>
  <c r="BM929" i="1"/>
  <c r="BM933" i="1" s="1"/>
  <c r="BL929" i="1"/>
  <c r="BL933" i="1" s="1"/>
  <c r="BK929" i="1"/>
  <c r="BK933" i="1" s="1"/>
  <c r="BN926" i="1"/>
  <c r="BM926" i="1"/>
  <c r="BL926" i="1"/>
  <c r="BK926" i="1"/>
  <c r="BJ926" i="1"/>
  <c r="BI926" i="1"/>
  <c r="BH926" i="1"/>
  <c r="BN925" i="1"/>
  <c r="BM925" i="1"/>
  <c r="BL925" i="1"/>
  <c r="BK925" i="1"/>
  <c r="BJ925" i="1"/>
  <c r="BI925" i="1"/>
  <c r="BH925" i="1"/>
  <c r="AC1" i="267"/>
  <c r="AL182" i="1"/>
  <c r="AQ111" i="1"/>
  <c r="AP111" i="1"/>
  <c r="AO111" i="1"/>
  <c r="AN111" i="1"/>
  <c r="AL31" i="1"/>
  <c r="BO65" i="1" l="1"/>
  <c r="BO66" i="1"/>
  <c r="AL134" i="1"/>
  <c r="AL932" i="1" s="1"/>
  <c r="AM934" i="1" s="1"/>
  <c r="AM930" i="1"/>
  <c r="L934" i="1"/>
  <c r="F934" i="1"/>
  <c r="G934" i="1"/>
  <c r="P934" i="1"/>
  <c r="X934" i="1"/>
  <c r="AF934" i="1"/>
  <c r="O934" i="1"/>
  <c r="W934" i="1"/>
  <c r="AE934" i="1"/>
  <c r="H934" i="1"/>
  <c r="I934" i="1"/>
  <c r="Q934" i="1"/>
  <c r="Y934" i="1"/>
  <c r="AG934" i="1"/>
  <c r="J934" i="1"/>
  <c r="R934" i="1"/>
  <c r="Z934" i="1"/>
  <c r="AH934" i="1"/>
  <c r="K934" i="1"/>
  <c r="AA934" i="1"/>
  <c r="AI934" i="1"/>
  <c r="E934" i="1"/>
  <c r="BJ927" i="1"/>
  <c r="BJ134" i="1" s="1"/>
  <c r="BJ932" i="1" s="1"/>
  <c r="BF67" i="1"/>
  <c r="BL927" i="1"/>
  <c r="BM927" i="1"/>
  <c r="BK927" i="1"/>
  <c r="BH927" i="1"/>
  <c r="BH134" i="1" s="1"/>
  <c r="BH932" i="1" s="1"/>
  <c r="U930" i="1"/>
  <c r="AC930" i="1"/>
  <c r="AK930" i="1"/>
  <c r="N930" i="1"/>
  <c r="V930" i="1"/>
  <c r="AD930" i="1"/>
  <c r="AL930" i="1"/>
  <c r="BI927" i="1"/>
  <c r="BI134" i="1" s="1"/>
  <c r="BI932" i="1" s="1"/>
  <c r="AB134" i="1"/>
  <c r="AB932" i="1" s="1"/>
  <c r="AJ134" i="1"/>
  <c r="AJ932" i="1" s="1"/>
  <c r="AJ934" i="1" s="1"/>
  <c r="O930" i="1"/>
  <c r="W930" i="1"/>
  <c r="BN927" i="1"/>
  <c r="BO930" i="1" s="1"/>
  <c r="AE930" i="1"/>
  <c r="T930" i="1"/>
  <c r="T134" i="1"/>
  <c r="T932" i="1" s="1"/>
  <c r="P930" i="1"/>
  <c r="X930" i="1"/>
  <c r="AF930" i="1"/>
  <c r="M134" i="1"/>
  <c r="M932" i="1" s="1"/>
  <c r="M934" i="1" s="1"/>
  <c r="U134" i="1"/>
  <c r="U932" i="1" s="1"/>
  <c r="V934" i="1" s="1"/>
  <c r="AC134" i="1"/>
  <c r="AC932" i="1" s="1"/>
  <c r="AD934" i="1" s="1"/>
  <c r="AK134" i="1"/>
  <c r="AK932" i="1" s="1"/>
  <c r="Q930" i="1"/>
  <c r="Y930" i="1"/>
  <c r="AG930" i="1"/>
  <c r="R930" i="1"/>
  <c r="Z930" i="1"/>
  <c r="AH930" i="1"/>
  <c r="S930" i="1"/>
  <c r="AA930" i="1"/>
  <c r="AI930" i="1"/>
  <c r="AB930" i="1"/>
  <c r="AJ930" i="1"/>
  <c r="AT25" i="468"/>
  <c r="AL135" i="1"/>
  <c r="AL131" i="1"/>
  <c r="AL130" i="1"/>
  <c r="AL129" i="1"/>
  <c r="AL126" i="1"/>
  <c r="AL118" i="1"/>
  <c r="AL111" i="1"/>
  <c r="AL97" i="1" s="1"/>
  <c r="AL85" i="1"/>
  <c r="AL72" i="1"/>
  <c r="AL68" i="1"/>
  <c r="AL625" i="1"/>
  <c r="AL30" i="1"/>
  <c r="AL624" i="1" s="1"/>
  <c r="AL29" i="1"/>
  <c r="AL623" i="1" s="1"/>
  <c r="AL136" i="1" l="1"/>
  <c r="AL934" i="1"/>
  <c r="R27" i="522"/>
  <c r="R41" i="522" s="1"/>
  <c r="AL83" i="1"/>
  <c r="AC934" i="1"/>
  <c r="BI934" i="1"/>
  <c r="U934" i="1"/>
  <c r="BJ934" i="1"/>
  <c r="AB934" i="1"/>
  <c r="BN930" i="1"/>
  <c r="BM930" i="1"/>
  <c r="AK934" i="1"/>
  <c r="N934" i="1"/>
  <c r="BL930" i="1"/>
  <c r="AL112" i="1"/>
  <c r="AL67" i="1"/>
  <c r="BI930" i="1"/>
  <c r="BK930" i="1"/>
  <c r="BJ930" i="1"/>
  <c r="AL626" i="1"/>
  <c r="AL32" i="1"/>
  <c r="AL688" i="1"/>
  <c r="AL687" i="1"/>
  <c r="AL686" i="1"/>
  <c r="AL685" i="1"/>
  <c r="AL684" i="1"/>
  <c r="AL683" i="1"/>
  <c r="AL682" i="1"/>
  <c r="AL681" i="1"/>
  <c r="AL970" i="1"/>
  <c r="AL969" i="1"/>
  <c r="AL968" i="1"/>
  <c r="AL964" i="1"/>
  <c r="AL963" i="1"/>
  <c r="AL962" i="1"/>
  <c r="AL958" i="1"/>
  <c r="AL957" i="1"/>
  <c r="AL956" i="1"/>
  <c r="AL953" i="1"/>
  <c r="AM965" i="1" s="1"/>
  <c r="AM977" i="1" s="1"/>
  <c r="AL921" i="1"/>
  <c r="AL908" i="1"/>
  <c r="AL915" i="1" s="1"/>
  <c r="AL889" i="1"/>
  <c r="AL872" i="1"/>
  <c r="AL865" i="1"/>
  <c r="AL841" i="1"/>
  <c r="AL854" i="1"/>
  <c r="AL832" i="1"/>
  <c r="AL783" i="1"/>
  <c r="AL745" i="1"/>
  <c r="AL750" i="1" s="1"/>
  <c r="AL744" i="1"/>
  <c r="AL749" i="1" s="1"/>
  <c r="AL742" i="1"/>
  <c r="AL736" i="1"/>
  <c r="AL735" i="1"/>
  <c r="AL579" i="1"/>
  <c r="AL576" i="1"/>
  <c r="AL575" i="1"/>
  <c r="AL536" i="1"/>
  <c r="AL537" i="1"/>
  <c r="AL535" i="1"/>
  <c r="AL534" i="1"/>
  <c r="AL517" i="1"/>
  <c r="AL510" i="1"/>
  <c r="AL572" i="1" s="1"/>
  <c r="AL509" i="1"/>
  <c r="AL494" i="1"/>
  <c r="AL492" i="1"/>
  <c r="AL463" i="1"/>
  <c r="AL488" i="1"/>
  <c r="AL349" i="1"/>
  <c r="AL347" i="1"/>
  <c r="AL346" i="1"/>
  <c r="AL301" i="1"/>
  <c r="AL270" i="1"/>
  <c r="AL251" i="1"/>
  <c r="AL343" i="1" s="1"/>
  <c r="AL228" i="1"/>
  <c r="AL218" i="1"/>
  <c r="AL206" i="1"/>
  <c r="AL205" i="1"/>
  <c r="AP205" i="1" s="1"/>
  <c r="AL204" i="1"/>
  <c r="AP204" i="1" s="1"/>
  <c r="AL189" i="1"/>
  <c r="AL188" i="1"/>
  <c r="AL187" i="1"/>
  <c r="AL945" i="1" l="1"/>
  <c r="AL939" i="1"/>
  <c r="AM940" i="1" s="1"/>
  <c r="AL897" i="1"/>
  <c r="R59" i="522"/>
  <c r="R73" i="522" s="1"/>
  <c r="AL871" i="1"/>
  <c r="R23" i="522" s="1"/>
  <c r="R55" i="522" s="1"/>
  <c r="R24" i="522"/>
  <c r="R56" i="522" s="1"/>
  <c r="AL508" i="1"/>
  <c r="AL971" i="1"/>
  <c r="AL975" i="1"/>
  <c r="AL868" i="1"/>
  <c r="AL125" i="1"/>
  <c r="AL122" i="1" s="1"/>
  <c r="AL976" i="1"/>
  <c r="AL857" i="1"/>
  <c r="AL273" i="1"/>
  <c r="AL922" i="1"/>
  <c r="AL974" i="1"/>
  <c r="AL544" i="1"/>
  <c r="AL541" i="1"/>
  <c r="AL466" i="1"/>
  <c r="AL533" i="1"/>
  <c r="AR136" i="359"/>
  <c r="AR141" i="359" s="1"/>
  <c r="AQ136" i="359"/>
  <c r="AQ141" i="359" s="1"/>
  <c r="AP136" i="359"/>
  <c r="AP141" i="359" s="1"/>
  <c r="AO136" i="359"/>
  <c r="AO141" i="359" s="1"/>
  <c r="AA15" i="1"/>
  <c r="Z15" i="1"/>
  <c r="Y15" i="1"/>
  <c r="X15" i="1"/>
  <c r="W15" i="1"/>
  <c r="V15" i="1"/>
  <c r="U15" i="1"/>
  <c r="T15" i="1"/>
  <c r="S15" i="1"/>
  <c r="R15" i="1"/>
  <c r="Q15" i="1"/>
  <c r="P15" i="1"/>
  <c r="O15" i="1"/>
  <c r="N15" i="1"/>
  <c r="M15" i="1"/>
  <c r="L15" i="1"/>
  <c r="K15" i="1"/>
  <c r="J15" i="1"/>
  <c r="I15" i="1"/>
  <c r="H15" i="1"/>
  <c r="G15" i="1"/>
  <c r="F15" i="1"/>
  <c r="E15" i="1"/>
  <c r="D15" i="1"/>
  <c r="BP77" i="1"/>
  <c r="K60" i="198"/>
  <c r="L60" i="198" s="1"/>
  <c r="M60" i="198" s="1"/>
  <c r="N60" i="198" s="1"/>
  <c r="O60" i="198" s="1"/>
  <c r="P60" i="198" s="1"/>
  <c r="Q60" i="198" s="1"/>
  <c r="R60" i="198" s="1"/>
  <c r="S60" i="198" s="1"/>
  <c r="T60" i="198" s="1"/>
  <c r="U60" i="198" s="1"/>
  <c r="V60" i="198" s="1"/>
  <c r="U39" i="198"/>
  <c r="T39" i="198"/>
  <c r="S39" i="198"/>
  <c r="R39" i="198"/>
  <c r="Q39" i="198"/>
  <c r="P39" i="198"/>
  <c r="O39" i="198"/>
  <c r="N39" i="198"/>
  <c r="M39" i="198"/>
  <c r="L39" i="198"/>
  <c r="K39" i="198"/>
  <c r="BP95" i="1" s="1"/>
  <c r="BP783" i="1"/>
  <c r="BP782" i="1"/>
  <c r="BP780" i="1"/>
  <c r="BP774" i="1"/>
  <c r="BP773" i="1"/>
  <c r="BP535" i="1"/>
  <c r="BP525" i="1"/>
  <c r="BP516" i="1"/>
  <c r="BP339" i="1"/>
  <c r="BP151" i="1"/>
  <c r="AK85" i="1"/>
  <c r="BP120" i="1"/>
  <c r="BP118" i="1"/>
  <c r="BP68" i="1"/>
  <c r="K55" i="523" s="1"/>
  <c r="BP18" i="1"/>
  <c r="AQ112" i="1"/>
  <c r="AP112" i="1"/>
  <c r="AO112" i="1"/>
  <c r="AN112" i="1"/>
  <c r="AQ158" i="1"/>
  <c r="AP158" i="1"/>
  <c r="AO158" i="1"/>
  <c r="AN158" i="1"/>
  <c r="AQ357" i="1"/>
  <c r="AP357" i="1"/>
  <c r="AQ355" i="1"/>
  <c r="AP355" i="1"/>
  <c r="AQ354" i="1"/>
  <c r="AP354" i="1"/>
  <c r="AQ502" i="1"/>
  <c r="AP502" i="1"/>
  <c r="AY1" i="468"/>
  <c r="AY46" i="468"/>
  <c r="AX46" i="468"/>
  <c r="AW46" i="468"/>
  <c r="AV46" i="468"/>
  <c r="AY44" i="468"/>
  <c r="AX44" i="468"/>
  <c r="AW44" i="468"/>
  <c r="AV44" i="468"/>
  <c r="AY30" i="468"/>
  <c r="AX30" i="468"/>
  <c r="AY6" i="468"/>
  <c r="AX6" i="468"/>
  <c r="AW6" i="468"/>
  <c r="AV6" i="468"/>
  <c r="AY5" i="468"/>
  <c r="AX5" i="468"/>
  <c r="AW5" i="468"/>
  <c r="AV5" i="468"/>
  <c r="AR1" i="359"/>
  <c r="AR35" i="359"/>
  <c r="AQ35" i="359"/>
  <c r="AP35" i="359"/>
  <c r="AO35" i="359"/>
  <c r="AQ590" i="1"/>
  <c r="AP590" i="1"/>
  <c r="AQ587" i="1"/>
  <c r="AP587" i="1"/>
  <c r="AQ534" i="1"/>
  <c r="AP534" i="1"/>
  <c r="AO534" i="1"/>
  <c r="AN534" i="1"/>
  <c r="AQ784" i="1"/>
  <c r="AP784" i="1"/>
  <c r="AO784" i="1"/>
  <c r="AN784" i="1"/>
  <c r="AQ781" i="1"/>
  <c r="AP781" i="1"/>
  <c r="AO781" i="1"/>
  <c r="AN781" i="1"/>
  <c r="AQ779" i="1"/>
  <c r="AP779" i="1"/>
  <c r="AO779" i="1"/>
  <c r="AN779" i="1"/>
  <c r="AQ758" i="1"/>
  <c r="AP758" i="1"/>
  <c r="AO758" i="1"/>
  <c r="AN758" i="1"/>
  <c r="K55" i="503" l="1"/>
  <c r="K55" i="504"/>
  <c r="AB60" i="522"/>
  <c r="Q27" i="522"/>
  <c r="Q59" i="522" s="1"/>
  <c r="Q73" i="522" s="1"/>
  <c r="AK83" i="1"/>
  <c r="BP784" i="1"/>
  <c r="AL543" i="1"/>
  <c r="BP534" i="1"/>
  <c r="BP779" i="1"/>
  <c r="AY56" i="468"/>
  <c r="BP758" i="1"/>
  <c r="AY54" i="468"/>
  <c r="AR56" i="359"/>
  <c r="AR137" i="359" s="1"/>
  <c r="K56" i="198"/>
  <c r="BP781" i="1"/>
  <c r="AQ95" i="1"/>
  <c r="AO95" i="1"/>
  <c r="AN95" i="1"/>
  <c r="AM95" i="1" s="1"/>
  <c r="AP95" i="1"/>
  <c r="BP112" i="1"/>
  <c r="AR44" i="359"/>
  <c r="AR51" i="359"/>
  <c r="AP51" i="359"/>
  <c r="AQ51" i="359"/>
  <c r="AO44" i="359"/>
  <c r="AP44" i="359"/>
  <c r="AQ44" i="359"/>
  <c r="BP2" i="1"/>
  <c r="T170" i="519"/>
  <c r="U175" i="519" s="1"/>
  <c r="S170" i="519"/>
  <c r="R170" i="519"/>
  <c r="Q170" i="519"/>
  <c r="P170" i="519"/>
  <c r="O170" i="519"/>
  <c r="N170" i="519"/>
  <c r="M170" i="519"/>
  <c r="L170" i="519"/>
  <c r="K170" i="519"/>
  <c r="J170" i="519"/>
  <c r="I170" i="519"/>
  <c r="H170" i="519"/>
  <c r="G170" i="519"/>
  <c r="F170" i="519"/>
  <c r="E170" i="519"/>
  <c r="D170" i="519"/>
  <c r="C170" i="519"/>
  <c r="D175" i="519" s="1"/>
  <c r="P203" i="519"/>
  <c r="N203" i="519"/>
  <c r="M203" i="519"/>
  <c r="D4" i="519"/>
  <c r="M4" i="519" s="1"/>
  <c r="N4" i="519" s="1"/>
  <c r="T198" i="519"/>
  <c r="S198" i="519"/>
  <c r="R198" i="519"/>
  <c r="Q198" i="519"/>
  <c r="P198" i="519"/>
  <c r="O198" i="519"/>
  <c r="N198" i="519"/>
  <c r="M198" i="519"/>
  <c r="L198" i="519"/>
  <c r="K198" i="519"/>
  <c r="J198" i="519"/>
  <c r="I198" i="519"/>
  <c r="H198" i="519"/>
  <c r="G198" i="519"/>
  <c r="F198" i="519"/>
  <c r="E198" i="519"/>
  <c r="D198" i="519"/>
  <c r="C198" i="519"/>
  <c r="S186" i="519"/>
  <c r="R186" i="519"/>
  <c r="Q186" i="519"/>
  <c r="P186" i="519"/>
  <c r="Q183" i="519" s="1"/>
  <c r="O186" i="519"/>
  <c r="N186" i="519"/>
  <c r="M186" i="519"/>
  <c r="N183" i="519" s="1"/>
  <c r="L186" i="519"/>
  <c r="M183" i="519" s="1"/>
  <c r="L183" i="519"/>
  <c r="J186" i="519"/>
  <c r="K183" i="519" s="1"/>
  <c r="I186" i="519"/>
  <c r="H186" i="519"/>
  <c r="G186" i="519"/>
  <c r="F186" i="519"/>
  <c r="E186" i="519"/>
  <c r="D186" i="519"/>
  <c r="D183" i="519"/>
  <c r="U187" i="519" l="1"/>
  <c r="U177" i="519"/>
  <c r="N209" i="519"/>
  <c r="P209" i="519"/>
  <c r="BO95" i="1"/>
  <c r="J70" i="504" s="1"/>
  <c r="S73" i="522"/>
  <c r="Q41" i="522"/>
  <c r="K16" i="519"/>
  <c r="S16" i="519"/>
  <c r="R16" i="519"/>
  <c r="R78" i="519" s="1"/>
  <c r="Q16" i="519"/>
  <c r="Q77" i="519" s="1"/>
  <c r="Q32" i="519" s="1"/>
  <c r="J16" i="519"/>
  <c r="O16" i="519"/>
  <c r="O75" i="519" s="1"/>
  <c r="H16" i="519"/>
  <c r="P16" i="519"/>
  <c r="I16" i="519"/>
  <c r="M16" i="519"/>
  <c r="F16" i="519"/>
  <c r="N16" i="519"/>
  <c r="T16" i="519"/>
  <c r="G16" i="519"/>
  <c r="L16" i="519"/>
  <c r="D16" i="519"/>
  <c r="E16" i="519"/>
  <c r="H178" i="519"/>
  <c r="K178" i="519"/>
  <c r="I178" i="519"/>
  <c r="D178" i="519"/>
  <c r="D64" i="519"/>
  <c r="E178" i="519"/>
  <c r="F178" i="519"/>
  <c r="J178" i="519"/>
  <c r="L178" i="519"/>
  <c r="M178" i="519"/>
  <c r="G178" i="519"/>
  <c r="O203" i="519"/>
  <c r="O209" i="519" s="1"/>
  <c r="M185" i="519"/>
  <c r="K175" i="519"/>
  <c r="L175" i="519"/>
  <c r="D197" i="519"/>
  <c r="D199" i="519" s="1"/>
  <c r="E201" i="519" s="1"/>
  <c r="F175" i="519"/>
  <c r="G197" i="519"/>
  <c r="G199" i="519" s="1"/>
  <c r="F197" i="519"/>
  <c r="F199" i="519" s="1"/>
  <c r="H197" i="519"/>
  <c r="H199" i="519" s="1"/>
  <c r="I201" i="519" s="1"/>
  <c r="J175" i="519"/>
  <c r="I197" i="519"/>
  <c r="I199" i="519" s="1"/>
  <c r="K197" i="519"/>
  <c r="K199" i="519" s="1"/>
  <c r="K205" i="519" s="1"/>
  <c r="L197" i="519"/>
  <c r="L199" i="519" s="1"/>
  <c r="L205" i="519" s="1"/>
  <c r="E197" i="519"/>
  <c r="E199" i="519" s="1"/>
  <c r="F201" i="519" s="1"/>
  <c r="J197" i="519"/>
  <c r="J199" i="519" s="1"/>
  <c r="I175" i="519"/>
  <c r="H175" i="519"/>
  <c r="C197" i="519"/>
  <c r="C199" i="519" s="1"/>
  <c r="D201" i="519" s="1"/>
  <c r="S183" i="519"/>
  <c r="T183" i="519"/>
  <c r="N197" i="519"/>
  <c r="N199" i="519" s="1"/>
  <c r="O175" i="519"/>
  <c r="O187" i="519" s="1"/>
  <c r="N178" i="519"/>
  <c r="F183" i="519"/>
  <c r="G183" i="519"/>
  <c r="I183" i="519"/>
  <c r="P178" i="519"/>
  <c r="Q175" i="519"/>
  <c r="P197" i="519"/>
  <c r="P199" i="519" s="1"/>
  <c r="H183" i="519"/>
  <c r="R183" i="519"/>
  <c r="O178" i="519"/>
  <c r="P175" i="519"/>
  <c r="P187" i="519" s="1"/>
  <c r="O197" i="519"/>
  <c r="O199" i="519" s="1"/>
  <c r="E183" i="519"/>
  <c r="N185" i="519"/>
  <c r="O183" i="519"/>
  <c r="O185" i="519" s="1"/>
  <c r="P183" i="519"/>
  <c r="P185" i="519" s="1"/>
  <c r="J183" i="519"/>
  <c r="G175" i="519"/>
  <c r="M175" i="519"/>
  <c r="M187" i="519" s="1"/>
  <c r="M197" i="519"/>
  <c r="M199" i="519" s="1"/>
  <c r="N175" i="519"/>
  <c r="N187" i="519" s="1"/>
  <c r="Q197" i="519"/>
  <c r="Q199" i="519" s="1"/>
  <c r="Q178" i="519"/>
  <c r="R175" i="519"/>
  <c r="E175" i="519"/>
  <c r="J71" i="198" l="1"/>
  <c r="J70" i="503"/>
  <c r="P208" i="519"/>
  <c r="O208" i="519"/>
  <c r="N208" i="519"/>
  <c r="P76" i="519"/>
  <c r="N74" i="519"/>
  <c r="N29" i="519" s="1"/>
  <c r="D19" i="519"/>
  <c r="E65" i="519"/>
  <c r="D205" i="519"/>
  <c r="M201" i="519"/>
  <c r="H205" i="519"/>
  <c r="L201" i="519"/>
  <c r="I205" i="519"/>
  <c r="J201" i="519"/>
  <c r="E205" i="519"/>
  <c r="J205" i="519"/>
  <c r="K201" i="519"/>
  <c r="N201" i="519"/>
  <c r="M205" i="519"/>
  <c r="M73" i="519"/>
  <c r="L72" i="519"/>
  <c r="H68" i="519"/>
  <c r="O205" i="519"/>
  <c r="O210" i="519" s="1"/>
  <c r="P201" i="519"/>
  <c r="G67" i="519"/>
  <c r="Q201" i="519"/>
  <c r="P205" i="519"/>
  <c r="P210" i="519" s="1"/>
  <c r="G201" i="519"/>
  <c r="F205" i="519"/>
  <c r="J70" i="519"/>
  <c r="I69" i="519"/>
  <c r="F66" i="519"/>
  <c r="H201" i="519"/>
  <c r="G205" i="519"/>
  <c r="O201" i="519"/>
  <c r="N205" i="519"/>
  <c r="N210" i="519" s="1"/>
  <c r="Q205" i="519"/>
  <c r="R201" i="519"/>
  <c r="K71" i="519"/>
  <c r="J39" i="198" l="1"/>
  <c r="E20" i="519"/>
  <c r="E98" i="519" s="1"/>
  <c r="E131" i="519" s="1"/>
  <c r="E64" i="519"/>
  <c r="F65" i="519"/>
  <c r="G66" i="519"/>
  <c r="F21" i="519"/>
  <c r="H23" i="519"/>
  <c r="I68" i="519"/>
  <c r="D97" i="519"/>
  <c r="I24" i="519"/>
  <c r="J69" i="519"/>
  <c r="G22" i="519"/>
  <c r="H67" i="519"/>
  <c r="O74" i="519"/>
  <c r="P75" i="519"/>
  <c r="O30" i="519"/>
  <c r="K70" i="519"/>
  <c r="J25" i="519"/>
  <c r="M72" i="519"/>
  <c r="L27" i="519"/>
  <c r="R77" i="519"/>
  <c r="N73" i="519"/>
  <c r="M28" i="519"/>
  <c r="L71" i="519"/>
  <c r="K26" i="519"/>
  <c r="Q76" i="519"/>
  <c r="P31" i="519"/>
  <c r="G65" i="519" l="1"/>
  <c r="G64" i="519" s="1"/>
  <c r="F64" i="519"/>
  <c r="F20" i="519"/>
  <c r="F98" i="519" s="1"/>
  <c r="F131" i="519" s="1"/>
  <c r="S77" i="519"/>
  <c r="K69" i="519"/>
  <c r="N72" i="519"/>
  <c r="J103" i="519"/>
  <c r="J136" i="519" s="1"/>
  <c r="K25" i="519" s="1"/>
  <c r="L70" i="519"/>
  <c r="D50" i="519"/>
  <c r="D130" i="519"/>
  <c r="Q75" i="519"/>
  <c r="F99" i="519"/>
  <c r="F132" i="519" s="1"/>
  <c r="G21" i="519" s="1"/>
  <c r="G99" i="519" s="1"/>
  <c r="G132" i="519" s="1"/>
  <c r="O108" i="519"/>
  <c r="O141" i="519" s="1"/>
  <c r="P30" i="519" s="1"/>
  <c r="G100" i="519"/>
  <c r="G133" i="519" s="1"/>
  <c r="H22" i="519" s="1"/>
  <c r="H100" i="519" s="1"/>
  <c r="H133" i="519" s="1"/>
  <c r="J68" i="519"/>
  <c r="H101" i="519"/>
  <c r="H134" i="519" s="1"/>
  <c r="I23" i="519" s="1"/>
  <c r="I101" i="519" s="1"/>
  <c r="I134" i="519" s="1"/>
  <c r="Q110" i="519"/>
  <c r="Q143" i="519" s="1"/>
  <c r="R32" i="519" s="1"/>
  <c r="H66" i="519"/>
  <c r="L105" i="519"/>
  <c r="L138" i="519" s="1"/>
  <c r="M27" i="519" s="1"/>
  <c r="P109" i="519"/>
  <c r="N107" i="519"/>
  <c r="N140" i="519" s="1"/>
  <c r="O29" i="519" s="1"/>
  <c r="R76" i="519"/>
  <c r="I102" i="519"/>
  <c r="I135" i="519" s="1"/>
  <c r="J24" i="519" s="1"/>
  <c r="I67" i="519"/>
  <c r="M106" i="519"/>
  <c r="M139" i="519" s="1"/>
  <c r="N28" i="519" s="1"/>
  <c r="N106" i="519" s="1"/>
  <c r="N139" i="519" s="1"/>
  <c r="P74" i="519"/>
  <c r="K104" i="519"/>
  <c r="K137" i="519" s="1"/>
  <c r="L26" i="519" s="1"/>
  <c r="L104" i="519" s="1"/>
  <c r="L137" i="519" s="1"/>
  <c r="M71" i="519"/>
  <c r="O73" i="519"/>
  <c r="H65" i="519" l="1"/>
  <c r="H64" i="519" s="1"/>
  <c r="G20" i="519"/>
  <c r="G98" i="519" s="1"/>
  <c r="G131" i="519" s="1"/>
  <c r="O28" i="519"/>
  <c r="P142" i="519"/>
  <c r="Q31" i="519" s="1"/>
  <c r="Q109" i="519" s="1"/>
  <c r="Q142" i="519" s="1"/>
  <c r="D61" i="519"/>
  <c r="E19" i="519"/>
  <c r="E50" i="519" s="1"/>
  <c r="J23" i="519"/>
  <c r="J101" i="519" s="1"/>
  <c r="J134" i="519" s="1"/>
  <c r="I22" i="519"/>
  <c r="I100" i="519" s="1"/>
  <c r="I133" i="519" s="1"/>
  <c r="H21" i="519"/>
  <c r="H99" i="519" s="1"/>
  <c r="H132" i="519" s="1"/>
  <c r="M26" i="519"/>
  <c r="M104" i="519" s="1"/>
  <c r="M137" i="519" s="1"/>
  <c r="M70" i="519"/>
  <c r="M105" i="519"/>
  <c r="M138" i="519" s="1"/>
  <c r="N27" i="519" s="1"/>
  <c r="N105" i="519" s="1"/>
  <c r="N138" i="519" s="1"/>
  <c r="I66" i="519"/>
  <c r="J102" i="519"/>
  <c r="J135" i="519" s="1"/>
  <c r="K24" i="519" s="1"/>
  <c r="K102" i="519" s="1"/>
  <c r="K135" i="519" s="1"/>
  <c r="S76" i="519"/>
  <c r="L69" i="519"/>
  <c r="P73" i="519"/>
  <c r="T77" i="519"/>
  <c r="U77" i="519" s="1"/>
  <c r="Q74" i="519"/>
  <c r="R75" i="519"/>
  <c r="O72" i="519"/>
  <c r="N71" i="519"/>
  <c r="O107" i="519"/>
  <c r="O140" i="519" s="1"/>
  <c r="P29" i="519" s="1"/>
  <c r="P108" i="519"/>
  <c r="P141" i="519" s="1"/>
  <c r="Q30" i="519" s="1"/>
  <c r="Q108" i="519" s="1"/>
  <c r="Q141" i="519" s="1"/>
  <c r="R110" i="519"/>
  <c r="R143" i="519" s="1"/>
  <c r="S32" i="519" s="1"/>
  <c r="K103" i="519"/>
  <c r="K136" i="519" s="1"/>
  <c r="L25" i="519" s="1"/>
  <c r="J67" i="519"/>
  <c r="K68" i="519"/>
  <c r="H20" i="519" l="1"/>
  <c r="H98" i="519" s="1"/>
  <c r="H131" i="519" s="1"/>
  <c r="R30" i="519"/>
  <c r="R108" i="519" s="1"/>
  <c r="R141" i="519" s="1"/>
  <c r="I65" i="519"/>
  <c r="J65" i="519" s="1"/>
  <c r="E97" i="519"/>
  <c r="E130" i="519" s="1"/>
  <c r="F19" i="519" s="1"/>
  <c r="F50" i="519" s="1"/>
  <c r="R31" i="519"/>
  <c r="R109" i="519" s="1"/>
  <c r="R142" i="519" s="1"/>
  <c r="S31" i="519" s="1"/>
  <c r="S109" i="519" s="1"/>
  <c r="S142" i="519" s="1"/>
  <c r="E61" i="519"/>
  <c r="N26" i="519"/>
  <c r="N104" i="519" s="1"/>
  <c r="N137" i="519" s="1"/>
  <c r="L24" i="519"/>
  <c r="L102" i="519" s="1"/>
  <c r="L135" i="519" s="1"/>
  <c r="O27" i="519"/>
  <c r="O105" i="519" s="1"/>
  <c r="O138" i="519" s="1"/>
  <c r="O106" i="519"/>
  <c r="O139" i="519" s="1"/>
  <c r="P28" i="519" s="1"/>
  <c r="P106" i="519" s="1"/>
  <c r="P139" i="519" s="1"/>
  <c r="I21" i="519"/>
  <c r="I99" i="519" s="1"/>
  <c r="I132" i="519" s="1"/>
  <c r="J22" i="519"/>
  <c r="J100" i="519" s="1"/>
  <c r="J133" i="519" s="1"/>
  <c r="S110" i="519"/>
  <c r="S143" i="519" s="1"/>
  <c r="T32" i="519" s="1"/>
  <c r="P72" i="519"/>
  <c r="L103" i="519"/>
  <c r="L136" i="519" s="1"/>
  <c r="M25" i="519" s="1"/>
  <c r="N70" i="519"/>
  <c r="Q73" i="519"/>
  <c r="M69" i="519"/>
  <c r="P107" i="519"/>
  <c r="P140" i="519" s="1"/>
  <c r="Q29" i="519" s="1"/>
  <c r="Q107" i="519" s="1"/>
  <c r="Q140" i="519" s="1"/>
  <c r="T76" i="519"/>
  <c r="U76" i="519" s="1"/>
  <c r="O71" i="519"/>
  <c r="K67" i="519"/>
  <c r="J66" i="519"/>
  <c r="L68" i="519"/>
  <c r="S75" i="519"/>
  <c r="K23" i="519"/>
  <c r="R74" i="519"/>
  <c r="I20" i="519" l="1"/>
  <c r="I98" i="519" s="1"/>
  <c r="I131" i="519" s="1"/>
  <c r="J20" i="519" s="1"/>
  <c r="J98" i="519" s="1"/>
  <c r="J131" i="519" s="1"/>
  <c r="R29" i="519"/>
  <c r="F61" i="519"/>
  <c r="I64" i="519"/>
  <c r="T31" i="519"/>
  <c r="J64" i="519"/>
  <c r="S30" i="519"/>
  <c r="S108" i="519" s="1"/>
  <c r="S141" i="519" s="1"/>
  <c r="F97" i="519"/>
  <c r="F130" i="519" s="1"/>
  <c r="G19" i="519" s="1"/>
  <c r="G50" i="519" s="1"/>
  <c r="T110" i="519"/>
  <c r="T143" i="519" s="1"/>
  <c r="M24" i="519"/>
  <c r="M102" i="519" s="1"/>
  <c r="M135" i="519" s="1"/>
  <c r="J21" i="519"/>
  <c r="J99" i="519" s="1"/>
  <c r="J132" i="519" s="1"/>
  <c r="K22" i="519"/>
  <c r="K100" i="519" s="1"/>
  <c r="K133" i="519" s="1"/>
  <c r="P27" i="519"/>
  <c r="P105" i="519" s="1"/>
  <c r="P138" i="519" s="1"/>
  <c r="O26" i="519"/>
  <c r="O104" i="519" s="1"/>
  <c r="O137" i="519" s="1"/>
  <c r="M68" i="519"/>
  <c r="V77" i="519"/>
  <c r="K66" i="519"/>
  <c r="Q28" i="519"/>
  <c r="S74" i="519"/>
  <c r="O70" i="519"/>
  <c r="P71" i="519"/>
  <c r="R73" i="519"/>
  <c r="K101" i="519"/>
  <c r="K134" i="519" s="1"/>
  <c r="L23" i="519" s="1"/>
  <c r="M103" i="519"/>
  <c r="M136" i="519" s="1"/>
  <c r="N25" i="519" s="1"/>
  <c r="K65" i="519"/>
  <c r="T75" i="519"/>
  <c r="U75" i="519" s="1"/>
  <c r="Q72" i="519"/>
  <c r="L67" i="519"/>
  <c r="N69" i="519"/>
  <c r="K20" i="519" l="1"/>
  <c r="K98" i="519" s="1"/>
  <c r="K131" i="519" s="1"/>
  <c r="T30" i="519"/>
  <c r="K64" i="519"/>
  <c r="G97" i="519"/>
  <c r="G130" i="519" s="1"/>
  <c r="H19" i="519" s="1"/>
  <c r="H50" i="519" s="1"/>
  <c r="U32" i="519"/>
  <c r="G61" i="519"/>
  <c r="Q27" i="519"/>
  <c r="Q105" i="519" s="1"/>
  <c r="Q138" i="519" s="1"/>
  <c r="L22" i="519"/>
  <c r="L100" i="519" s="1"/>
  <c r="L133" i="519" s="1"/>
  <c r="L101" i="519"/>
  <c r="L134" i="519" s="1"/>
  <c r="M23" i="519" s="1"/>
  <c r="M101" i="519" s="1"/>
  <c r="M134" i="519" s="1"/>
  <c r="N24" i="519"/>
  <c r="N102" i="519" s="1"/>
  <c r="N135" i="519" s="1"/>
  <c r="K21" i="519"/>
  <c r="K99" i="519" s="1"/>
  <c r="K132" i="519" s="1"/>
  <c r="N103" i="519"/>
  <c r="N136" i="519" s="1"/>
  <c r="O25" i="519" s="1"/>
  <c r="T109" i="519"/>
  <c r="T142" i="519" s="1"/>
  <c r="Q71" i="519"/>
  <c r="P26" i="519"/>
  <c r="O69" i="519"/>
  <c r="V76" i="519"/>
  <c r="P70" i="519"/>
  <c r="R72" i="519"/>
  <c r="W77" i="519"/>
  <c r="M67" i="519"/>
  <c r="S73" i="519"/>
  <c r="Q106" i="519"/>
  <c r="Q139" i="519" s="1"/>
  <c r="R28" i="519" s="1"/>
  <c r="N68" i="519"/>
  <c r="T74" i="519"/>
  <c r="U74" i="519" s="1"/>
  <c r="L65" i="519"/>
  <c r="L66" i="519"/>
  <c r="M22" i="519" l="1"/>
  <c r="M100" i="519" s="1"/>
  <c r="T108" i="519"/>
  <c r="T141" i="519" s="1"/>
  <c r="U30" i="519" s="1"/>
  <c r="U108" i="519" s="1"/>
  <c r="U141" i="519" s="1"/>
  <c r="U110" i="519"/>
  <c r="U143" i="519" s="1"/>
  <c r="V32" i="519" s="1"/>
  <c r="V110" i="519" s="1"/>
  <c r="V143" i="519" s="1"/>
  <c r="W32" i="519" s="1"/>
  <c r="W110" i="519" s="1"/>
  <c r="W143" i="519" s="1"/>
  <c r="N23" i="519"/>
  <c r="N101" i="519" s="1"/>
  <c r="N134" i="519" s="1"/>
  <c r="L20" i="519"/>
  <c r="L98" i="519" s="1"/>
  <c r="L131" i="519" s="1"/>
  <c r="M20" i="519" s="1"/>
  <c r="M98" i="519" s="1"/>
  <c r="L21" i="519"/>
  <c r="L99" i="519" s="1"/>
  <c r="L132" i="519" s="1"/>
  <c r="O24" i="519"/>
  <c r="O102" i="519" s="1"/>
  <c r="O135" i="519" s="1"/>
  <c r="H61" i="519"/>
  <c r="L64" i="519"/>
  <c r="H97" i="519"/>
  <c r="H130" i="519" s="1"/>
  <c r="I19" i="519" s="1"/>
  <c r="I50" i="519" s="1"/>
  <c r="U31" i="519"/>
  <c r="R27" i="519"/>
  <c r="R105" i="519" s="1"/>
  <c r="R138" i="519" s="1"/>
  <c r="W76" i="519"/>
  <c r="T73" i="519"/>
  <c r="U73" i="519" s="1"/>
  <c r="M66" i="519"/>
  <c r="M65" i="519"/>
  <c r="P104" i="519"/>
  <c r="P137" i="519" s="1"/>
  <c r="Q26" i="519" s="1"/>
  <c r="Q104" i="519" s="1"/>
  <c r="Q137" i="519" s="1"/>
  <c r="M133" i="519"/>
  <c r="N67" i="519"/>
  <c r="O68" i="519"/>
  <c r="V75" i="519"/>
  <c r="Q70" i="519"/>
  <c r="P69" i="519"/>
  <c r="S72" i="519"/>
  <c r="O103" i="519"/>
  <c r="O136" i="519" s="1"/>
  <c r="P25" i="519" s="1"/>
  <c r="R106" i="519"/>
  <c r="R139" i="519" s="1"/>
  <c r="S28" i="519" s="1"/>
  <c r="X77" i="519"/>
  <c r="R71" i="519"/>
  <c r="U109" i="519" l="1"/>
  <c r="U142" i="519" s="1"/>
  <c r="V31" i="519" s="1"/>
  <c r="V109" i="519" s="1"/>
  <c r="V142" i="519" s="1"/>
  <c r="W31" i="519" s="1"/>
  <c r="W109" i="519" s="1"/>
  <c r="W142" i="519" s="1"/>
  <c r="R26" i="519"/>
  <c r="R104" i="519" s="1"/>
  <c r="R137" i="519" s="1"/>
  <c r="M21" i="519"/>
  <c r="M99" i="519" s="1"/>
  <c r="M132" i="519" s="1"/>
  <c r="N21" i="519" s="1"/>
  <c r="N99" i="519" s="1"/>
  <c r="N22" i="519"/>
  <c r="N100" i="519" s="1"/>
  <c r="O23" i="519"/>
  <c r="P24" i="519"/>
  <c r="P102" i="519" s="1"/>
  <c r="P135" i="519" s="1"/>
  <c r="Q24" i="519" s="1"/>
  <c r="Q102" i="519" s="1"/>
  <c r="X32" i="519"/>
  <c r="X110" i="519" s="1"/>
  <c r="X143" i="519" s="1"/>
  <c r="M64" i="519"/>
  <c r="I97" i="519"/>
  <c r="I130" i="519" s="1"/>
  <c r="J19" i="519" s="1"/>
  <c r="J50" i="519" s="1"/>
  <c r="I61" i="519"/>
  <c r="V30" i="519"/>
  <c r="V108" i="519" s="1"/>
  <c r="V141" i="519" s="1"/>
  <c r="S27" i="519"/>
  <c r="S105" i="519" s="1"/>
  <c r="S138" i="519" s="1"/>
  <c r="N66" i="519"/>
  <c r="X76" i="519"/>
  <c r="S106" i="519"/>
  <c r="S139" i="519" s="1"/>
  <c r="O101" i="519"/>
  <c r="O134" i="519" s="1"/>
  <c r="P23" i="519" s="1"/>
  <c r="P101" i="519" s="1"/>
  <c r="N133" i="519"/>
  <c r="O22" i="519" s="1"/>
  <c r="O100" i="519" s="1"/>
  <c r="O67" i="519"/>
  <c r="Q69" i="519"/>
  <c r="W75" i="519"/>
  <c r="S71" i="519"/>
  <c r="R70" i="519"/>
  <c r="T72" i="519"/>
  <c r="U72" i="519" s="1"/>
  <c r="V74" i="519"/>
  <c r="P103" i="519"/>
  <c r="P136" i="519" s="1"/>
  <c r="Q25" i="519" s="1"/>
  <c r="Q103" i="519" s="1"/>
  <c r="Q136" i="519" s="1"/>
  <c r="R25" i="519" s="1"/>
  <c r="M131" i="519"/>
  <c r="N20" i="519" s="1"/>
  <c r="N98" i="519" s="1"/>
  <c r="N65" i="519"/>
  <c r="Y77" i="519"/>
  <c r="P68" i="519"/>
  <c r="X31" i="519" l="1"/>
  <c r="X109" i="519" s="1"/>
  <c r="X142" i="519" s="1"/>
  <c r="W30" i="519"/>
  <c r="W108" i="519" s="1"/>
  <c r="W141" i="519" s="1"/>
  <c r="Y32" i="519"/>
  <c r="Y110" i="519" s="1"/>
  <c r="Y143" i="519" s="1"/>
  <c r="J61" i="519"/>
  <c r="J97" i="519"/>
  <c r="J130" i="519" s="1"/>
  <c r="K19" i="519" s="1"/>
  <c r="K97" i="519" s="1"/>
  <c r="K130" i="519" s="1"/>
  <c r="L19" i="519" s="1"/>
  <c r="L50" i="519" s="1"/>
  <c r="N64" i="519"/>
  <c r="T27" i="519"/>
  <c r="S26" i="519"/>
  <c r="S104" i="519" s="1"/>
  <c r="S137" i="519" s="1"/>
  <c r="T28" i="519"/>
  <c r="Q68" i="519"/>
  <c r="P134" i="519"/>
  <c r="Q23" i="519" s="1"/>
  <c r="Q101" i="519" s="1"/>
  <c r="Z77" i="519"/>
  <c r="V73" i="519"/>
  <c r="Y76" i="519"/>
  <c r="T71" i="519"/>
  <c r="U71" i="519" s="1"/>
  <c r="R103" i="519"/>
  <c r="R136" i="519" s="1"/>
  <c r="S70" i="519"/>
  <c r="R69" i="519"/>
  <c r="Q135" i="519"/>
  <c r="X75" i="519"/>
  <c r="O133" i="519"/>
  <c r="P22" i="519" s="1"/>
  <c r="P100" i="519" s="1"/>
  <c r="P67" i="519"/>
  <c r="O65" i="519"/>
  <c r="N131" i="519"/>
  <c r="O20" i="519" s="1"/>
  <c r="O98" i="519" s="1"/>
  <c r="N132" i="519"/>
  <c r="O21" i="519" s="1"/>
  <c r="O99" i="519" s="1"/>
  <c r="O66" i="519"/>
  <c r="W74" i="519"/>
  <c r="X30" i="519" l="1"/>
  <c r="X108" i="519" s="1"/>
  <c r="X141" i="519" s="1"/>
  <c r="Y30" i="519" s="1"/>
  <c r="Y108" i="519" s="1"/>
  <c r="T106" i="519"/>
  <c r="T139" i="519" s="1"/>
  <c r="U28" i="519" s="1"/>
  <c r="U106" i="519" s="1"/>
  <c r="U139" i="519" s="1"/>
  <c r="T105" i="519"/>
  <c r="T138" i="519" s="1"/>
  <c r="U27" i="519" s="1"/>
  <c r="U105" i="519" s="1"/>
  <c r="U138" i="519" s="1"/>
  <c r="Y31" i="519"/>
  <c r="Y109" i="519" s="1"/>
  <c r="Y142" i="519" s="1"/>
  <c r="Z31" i="519" s="1"/>
  <c r="Z109" i="519" s="1"/>
  <c r="Z32" i="519"/>
  <c r="Z110" i="519" s="1"/>
  <c r="Z143" i="519" s="1"/>
  <c r="L97" i="519"/>
  <c r="L130" i="519" s="1"/>
  <c r="M19" i="519" s="1"/>
  <c r="M50" i="519" s="1"/>
  <c r="K50" i="519"/>
  <c r="O64" i="519"/>
  <c r="T26" i="519"/>
  <c r="S25" i="519"/>
  <c r="S103" i="519" s="1"/>
  <c r="S136" i="519" s="1"/>
  <c r="R24" i="519"/>
  <c r="R102" i="519" s="1"/>
  <c r="R135" i="519" s="1"/>
  <c r="L61" i="519"/>
  <c r="V72" i="519"/>
  <c r="P65" i="519"/>
  <c r="O131" i="519"/>
  <c r="P20" i="519" s="1"/>
  <c r="P98" i="519" s="1"/>
  <c r="Z76" i="519"/>
  <c r="W73" i="519"/>
  <c r="Q134" i="519"/>
  <c r="R68" i="519"/>
  <c r="S69" i="519"/>
  <c r="T70" i="519"/>
  <c r="U70" i="519" s="1"/>
  <c r="AA77" i="519"/>
  <c r="P133" i="519"/>
  <c r="Q22" i="519" s="1"/>
  <c r="Q100" i="519" s="1"/>
  <c r="Q67" i="519"/>
  <c r="Y75" i="519"/>
  <c r="X74" i="519"/>
  <c r="P66" i="519"/>
  <c r="O132" i="519"/>
  <c r="P21" i="519" s="1"/>
  <c r="P99" i="519" s="1"/>
  <c r="T104" i="519" l="1"/>
  <c r="T137" i="519" s="1"/>
  <c r="U26" i="519" s="1"/>
  <c r="U104" i="519" s="1"/>
  <c r="U137" i="519" s="1"/>
  <c r="AA32" i="519"/>
  <c r="AA110" i="519" s="1"/>
  <c r="AA143" i="519" s="1"/>
  <c r="AB32" i="519" s="1"/>
  <c r="AB110" i="519" s="1"/>
  <c r="M97" i="519"/>
  <c r="M130" i="519" s="1"/>
  <c r="N19" i="519" s="1"/>
  <c r="N97" i="519" s="1"/>
  <c r="N130" i="519" s="1"/>
  <c r="O19" i="519" s="1"/>
  <c r="M54" i="519"/>
  <c r="M52" i="519"/>
  <c r="P64" i="519"/>
  <c r="K61" i="519"/>
  <c r="V27" i="519"/>
  <c r="V105" i="519" s="1"/>
  <c r="V138" i="519" s="1"/>
  <c r="W27" i="519" s="1"/>
  <c r="W105" i="519" s="1"/>
  <c r="V28" i="519"/>
  <c r="V106" i="519" s="1"/>
  <c r="V139" i="519" s="1"/>
  <c r="W28" i="519" s="1"/>
  <c r="W106" i="519" s="1"/>
  <c r="W139" i="519" s="1"/>
  <c r="X28" i="519" s="1"/>
  <c r="X106" i="519" s="1"/>
  <c r="S24" i="519"/>
  <c r="S102" i="519" s="1"/>
  <c r="S135" i="519" s="1"/>
  <c r="T25" i="519"/>
  <c r="R23" i="519"/>
  <c r="R101" i="519" s="1"/>
  <c r="R134" i="519" s="1"/>
  <c r="M61" i="519"/>
  <c r="X73" i="519"/>
  <c r="Y141" i="519"/>
  <c r="Z30" i="519" s="1"/>
  <c r="Z108" i="519" s="1"/>
  <c r="Z75" i="519"/>
  <c r="R67" i="519"/>
  <c r="Q133" i="519"/>
  <c r="S68" i="519"/>
  <c r="W72" i="519"/>
  <c r="P131" i="519"/>
  <c r="Q20" i="519" s="1"/>
  <c r="Q98" i="519" s="1"/>
  <c r="Q65" i="519"/>
  <c r="T69" i="519"/>
  <c r="U69" i="519" s="1"/>
  <c r="Z142" i="519"/>
  <c r="AA31" i="519" s="1"/>
  <c r="AA109" i="519" s="1"/>
  <c r="AA76" i="519"/>
  <c r="P132" i="519"/>
  <c r="Q21" i="519" s="1"/>
  <c r="Q99" i="519" s="1"/>
  <c r="Q66" i="519"/>
  <c r="Y74" i="519"/>
  <c r="V71" i="519"/>
  <c r="AB77" i="519"/>
  <c r="M58" i="519"/>
  <c r="M59" i="519"/>
  <c r="T103" i="519" l="1"/>
  <c r="T136" i="519" s="1"/>
  <c r="U25" i="519" s="1"/>
  <c r="U103" i="519" s="1"/>
  <c r="U136" i="519" s="1"/>
  <c r="N50" i="519"/>
  <c r="N54" i="519" s="1"/>
  <c r="Q64" i="519"/>
  <c r="V26" i="519"/>
  <c r="V104" i="519" s="1"/>
  <c r="V137" i="519" s="1"/>
  <c r="W26" i="519" s="1"/>
  <c r="W104" i="519" s="1"/>
  <c r="S23" i="519"/>
  <c r="S101" i="519" s="1"/>
  <c r="S134" i="519" s="1"/>
  <c r="T24" i="519"/>
  <c r="R22" i="519"/>
  <c r="R100" i="519" s="1"/>
  <c r="R133" i="519" s="1"/>
  <c r="Q131" i="519"/>
  <c r="R65" i="519"/>
  <c r="T68" i="519"/>
  <c r="U68" i="519" s="1"/>
  <c r="W71" i="519"/>
  <c r="O50" i="519"/>
  <c r="O97" i="519"/>
  <c r="O130" i="519" s="1"/>
  <c r="P19" i="519" s="1"/>
  <c r="Z141" i="519"/>
  <c r="AA30" i="519" s="1"/>
  <c r="AA108" i="519" s="1"/>
  <c r="AA75" i="519"/>
  <c r="W138" i="519"/>
  <c r="X27" i="519" s="1"/>
  <c r="X105" i="519" s="1"/>
  <c r="X72" i="519"/>
  <c r="Y73" i="519"/>
  <c r="X139" i="519"/>
  <c r="Y28" i="519" s="1"/>
  <c r="Y106" i="519" s="1"/>
  <c r="Z74" i="519"/>
  <c r="R66" i="519"/>
  <c r="Q132" i="519"/>
  <c r="AA142" i="519"/>
  <c r="AB31" i="519" s="1"/>
  <c r="AB109" i="519" s="1"/>
  <c r="AB76" i="519"/>
  <c r="S67" i="519"/>
  <c r="AC77" i="519"/>
  <c r="AB143" i="519"/>
  <c r="AC32" i="519" s="1"/>
  <c r="AC110" i="519" s="1"/>
  <c r="V70" i="519"/>
  <c r="T102" i="519" l="1"/>
  <c r="T135" i="519" s="1"/>
  <c r="U24" i="519" s="1"/>
  <c r="U102" i="519" s="1"/>
  <c r="U135" i="519" s="1"/>
  <c r="N52" i="519"/>
  <c r="N59" i="519"/>
  <c r="N58" i="519"/>
  <c r="N61" i="519"/>
  <c r="O54" i="519"/>
  <c r="O52" i="519"/>
  <c r="R64" i="519"/>
  <c r="V25" i="519"/>
  <c r="V103" i="519" s="1"/>
  <c r="V136" i="519" s="1"/>
  <c r="W25" i="519" s="1"/>
  <c r="W103" i="519" s="1"/>
  <c r="S22" i="519"/>
  <c r="S100" i="519" s="1"/>
  <c r="S133" i="519" s="1"/>
  <c r="T23" i="519"/>
  <c r="R21" i="519"/>
  <c r="R99" i="519" s="1"/>
  <c r="R132" i="519" s="1"/>
  <c r="R20" i="519"/>
  <c r="R98" i="519" s="1"/>
  <c r="R131" i="519" s="1"/>
  <c r="O61" i="519"/>
  <c r="S66" i="519"/>
  <c r="X71" i="519"/>
  <c r="W137" i="519"/>
  <c r="X26" i="519" s="1"/>
  <c r="X104" i="519" s="1"/>
  <c r="Y72" i="519"/>
  <c r="X138" i="519"/>
  <c r="Y27" i="519" s="1"/>
  <c r="Y105" i="519" s="1"/>
  <c r="AC143" i="519"/>
  <c r="AD32" i="519" s="1"/>
  <c r="AD110" i="519" s="1"/>
  <c r="AD77" i="519"/>
  <c r="AC76" i="519"/>
  <c r="AB142" i="519"/>
  <c r="AC31" i="519" s="1"/>
  <c r="AC109" i="519" s="1"/>
  <c r="AA74" i="519"/>
  <c r="Y139" i="519"/>
  <c r="Z28" i="519" s="1"/>
  <c r="Z106" i="519" s="1"/>
  <c r="Z73" i="519"/>
  <c r="V69" i="519"/>
  <c r="O59" i="519"/>
  <c r="O58" i="519"/>
  <c r="T67" i="519"/>
  <c r="U67" i="519" s="1"/>
  <c r="S65" i="519"/>
  <c r="AB75" i="519"/>
  <c r="AA141" i="519"/>
  <c r="AB30" i="519" s="1"/>
  <c r="AB108" i="519" s="1"/>
  <c r="P50" i="519"/>
  <c r="P97" i="519"/>
  <c r="W70" i="519"/>
  <c r="T101" i="519" l="1"/>
  <c r="T134" i="519" s="1"/>
  <c r="U23" i="519" s="1"/>
  <c r="U101" i="519" s="1"/>
  <c r="U134" i="519" s="1"/>
  <c r="P54" i="519"/>
  <c r="P52" i="519"/>
  <c r="P130" i="519"/>
  <c r="Q19" i="519" s="1"/>
  <c r="V24" i="519"/>
  <c r="V102" i="519" s="1"/>
  <c r="V135" i="519" s="1"/>
  <c r="W24" i="519" s="1"/>
  <c r="W102" i="519" s="1"/>
  <c r="S20" i="519"/>
  <c r="S98" i="519" s="1"/>
  <c r="S131" i="519" s="1"/>
  <c r="S21" i="519"/>
  <c r="S99" i="519" s="1"/>
  <c r="S132" i="519" s="1"/>
  <c r="T22" i="519"/>
  <c r="P61" i="519"/>
  <c r="P59" i="519"/>
  <c r="P58" i="519"/>
  <c r="AB141" i="519"/>
  <c r="AC30" i="519" s="1"/>
  <c r="AC108" i="519" s="1"/>
  <c r="AC75" i="519"/>
  <c r="T65" i="519"/>
  <c r="U65" i="519" s="1"/>
  <c r="AB74" i="519"/>
  <c r="Y138" i="519"/>
  <c r="Z27" i="519" s="1"/>
  <c r="Z105" i="519" s="1"/>
  <c r="Z72" i="519"/>
  <c r="W136" i="519"/>
  <c r="X25" i="519" s="1"/>
  <c r="X103" i="519" s="1"/>
  <c r="X70" i="519"/>
  <c r="W69" i="519"/>
  <c r="Z139" i="519"/>
  <c r="AA28" i="519" s="1"/>
  <c r="AA106" i="519" s="1"/>
  <c r="AA73" i="519"/>
  <c r="AD143" i="519"/>
  <c r="AE32" i="519" s="1"/>
  <c r="AE110" i="519" s="1"/>
  <c r="AE77" i="519"/>
  <c r="Y71" i="519"/>
  <c r="X137" i="519"/>
  <c r="Y26" i="519" s="1"/>
  <c r="Y104" i="519" s="1"/>
  <c r="AC142" i="519"/>
  <c r="AD31" i="519" s="1"/>
  <c r="AD109" i="519" s="1"/>
  <c r="AD76" i="519"/>
  <c r="V68" i="519"/>
  <c r="T66" i="519"/>
  <c r="U66" i="519" s="1"/>
  <c r="T100" i="519" l="1"/>
  <c r="T133" i="519" s="1"/>
  <c r="U22" i="519" s="1"/>
  <c r="U100" i="519" s="1"/>
  <c r="U133" i="519" s="1"/>
  <c r="Q50" i="519"/>
  <c r="Q61" i="519" s="1"/>
  <c r="Q97" i="519"/>
  <c r="Q130" i="519" s="1"/>
  <c r="R19" i="519" s="1"/>
  <c r="R97" i="519" s="1"/>
  <c r="V23" i="519"/>
  <c r="V101" i="519" s="1"/>
  <c r="V134" i="519" s="1"/>
  <c r="W23" i="519" s="1"/>
  <c r="W101" i="519" s="1"/>
  <c r="T21" i="519"/>
  <c r="T20" i="519"/>
  <c r="Y137" i="519"/>
  <c r="Z26" i="519" s="1"/>
  <c r="Z104" i="519" s="1"/>
  <c r="Z71" i="519"/>
  <c r="W68" i="519"/>
  <c r="X136" i="519"/>
  <c r="Y25" i="519" s="1"/>
  <c r="Y103" i="519" s="1"/>
  <c r="Y70" i="519"/>
  <c r="AE143" i="519"/>
  <c r="AF32" i="519" s="1"/>
  <c r="AF77" i="519"/>
  <c r="AG77" i="519" s="1"/>
  <c r="AA139" i="519"/>
  <c r="AB28" i="519" s="1"/>
  <c r="AB106" i="519" s="1"/>
  <c r="AB73" i="519"/>
  <c r="AC141" i="519"/>
  <c r="AD30" i="519" s="1"/>
  <c r="AD108" i="519" s="1"/>
  <c r="AD75" i="519"/>
  <c r="AD142" i="519"/>
  <c r="AE31" i="519" s="1"/>
  <c r="AE109" i="519" s="1"/>
  <c r="AE76" i="519"/>
  <c r="W135" i="519"/>
  <c r="X24" i="519" s="1"/>
  <c r="X102" i="519" s="1"/>
  <c r="X69" i="519"/>
  <c r="Z138" i="519"/>
  <c r="AA27" i="519" s="1"/>
  <c r="AA105" i="519" s="1"/>
  <c r="AA72" i="519"/>
  <c r="AC74" i="519"/>
  <c r="V67" i="519"/>
  <c r="T98" i="519" l="1"/>
  <c r="T131" i="519" s="1"/>
  <c r="U20" i="519" s="1"/>
  <c r="U98" i="519" s="1"/>
  <c r="U131" i="519" s="1"/>
  <c r="T99" i="519"/>
  <c r="T132" i="519" s="1"/>
  <c r="U21" i="519" s="1"/>
  <c r="U99" i="519" s="1"/>
  <c r="U132" i="519" s="1"/>
  <c r="AF110" i="519"/>
  <c r="AF143" i="519" s="1"/>
  <c r="AG32" i="519" s="1"/>
  <c r="AG110" i="519" s="1"/>
  <c r="AG143" i="519" s="1"/>
  <c r="V22" i="519"/>
  <c r="V100" i="519" s="1"/>
  <c r="V133" i="519" s="1"/>
  <c r="W22" i="519" s="1"/>
  <c r="W100" i="519" s="1"/>
  <c r="X135" i="519"/>
  <c r="Y24" i="519" s="1"/>
  <c r="Y102" i="519" s="1"/>
  <c r="Y69" i="519"/>
  <c r="V65" i="519"/>
  <c r="AA138" i="519"/>
  <c r="AB27" i="519" s="1"/>
  <c r="AB105" i="519" s="1"/>
  <c r="AB72" i="519"/>
  <c r="AC73" i="519"/>
  <c r="AB139" i="519"/>
  <c r="AC28" i="519" s="1"/>
  <c r="AC106" i="519" s="1"/>
  <c r="V66" i="519"/>
  <c r="Z137" i="519"/>
  <c r="AA26" i="519" s="1"/>
  <c r="AA104" i="519" s="1"/>
  <c r="AA71" i="519"/>
  <c r="AD74" i="519"/>
  <c r="AF76" i="519"/>
  <c r="AG76" i="519" s="1"/>
  <c r="AE142" i="519"/>
  <c r="AF31" i="519" s="1"/>
  <c r="AD141" i="519"/>
  <c r="AE30" i="519" s="1"/>
  <c r="AE108" i="519" s="1"/>
  <c r="AE75" i="519"/>
  <c r="Z70" i="519"/>
  <c r="Y136" i="519"/>
  <c r="Z25" i="519" s="1"/>
  <c r="Z103" i="519" s="1"/>
  <c r="W134" i="519"/>
  <c r="X23" i="519" s="1"/>
  <c r="X101" i="519" s="1"/>
  <c r="X68" i="519"/>
  <c r="W67" i="519"/>
  <c r="AF109" i="519" l="1"/>
  <c r="AF142" i="519" s="1"/>
  <c r="AG31" i="519" s="1"/>
  <c r="AG109" i="519" s="1"/>
  <c r="AG142" i="519" s="1"/>
  <c r="V20" i="519"/>
  <c r="V98" i="519" s="1"/>
  <c r="V131" i="519" s="1"/>
  <c r="W20" i="519" s="1"/>
  <c r="W98" i="519" s="1"/>
  <c r="V21" i="519"/>
  <c r="V99" i="519" s="1"/>
  <c r="V132" i="519" s="1"/>
  <c r="W21" i="519" s="1"/>
  <c r="W99" i="519" s="1"/>
  <c r="AE141" i="519"/>
  <c r="AF30" i="519" s="1"/>
  <c r="AF75" i="519"/>
  <c r="AG75" i="519" s="1"/>
  <c r="W65" i="519"/>
  <c r="W133" i="519"/>
  <c r="X22" i="519" s="1"/>
  <c r="X100" i="519" s="1"/>
  <c r="X67" i="519"/>
  <c r="Y68" i="519"/>
  <c r="X134" i="519"/>
  <c r="Y23" i="519" s="1"/>
  <c r="Y101" i="519" s="1"/>
  <c r="AA137" i="519"/>
  <c r="AB26" i="519" s="1"/>
  <c r="AB104" i="519" s="1"/>
  <c r="AB71" i="519"/>
  <c r="W66" i="519"/>
  <c r="AC139" i="519"/>
  <c r="AD28" i="519" s="1"/>
  <c r="AD106" i="519" s="1"/>
  <c r="AD73" i="519"/>
  <c r="Y135" i="519"/>
  <c r="Z24" i="519" s="1"/>
  <c r="Z102" i="519" s="1"/>
  <c r="Z69" i="519"/>
  <c r="AA70" i="519"/>
  <c r="Z136" i="519"/>
  <c r="AA25" i="519" s="1"/>
  <c r="AA103" i="519" s="1"/>
  <c r="AE74" i="519"/>
  <c r="AC72" i="519"/>
  <c r="AB138" i="519"/>
  <c r="AC27" i="519" s="1"/>
  <c r="AC105" i="519" s="1"/>
  <c r="AF108" i="519" l="1"/>
  <c r="AF141" i="519" s="1"/>
  <c r="AG30" i="519" s="1"/>
  <c r="AG108" i="519" s="1"/>
  <c r="AG141" i="519" s="1"/>
  <c r="AB70" i="519"/>
  <c r="AA136" i="519"/>
  <c r="AB25" i="519" s="1"/>
  <c r="AB103" i="519" s="1"/>
  <c r="AB137" i="519"/>
  <c r="AC26" i="519" s="1"/>
  <c r="AC104" i="519" s="1"/>
  <c r="AC71" i="519"/>
  <c r="Z135" i="519"/>
  <c r="AA24" i="519" s="1"/>
  <c r="AA102" i="519" s="1"/>
  <c r="AA69" i="519"/>
  <c r="AE73" i="519"/>
  <c r="AD139" i="519"/>
  <c r="AE28" i="519" s="1"/>
  <c r="AE106" i="519" s="1"/>
  <c r="X66" i="519"/>
  <c r="W132" i="519"/>
  <c r="X21" i="519" s="1"/>
  <c r="X99" i="519" s="1"/>
  <c r="AD72" i="519"/>
  <c r="AC138" i="519"/>
  <c r="AD27" i="519" s="1"/>
  <c r="AD105" i="519" s="1"/>
  <c r="Y134" i="519"/>
  <c r="Z23" i="519" s="1"/>
  <c r="Z101" i="519" s="1"/>
  <c r="Z68" i="519"/>
  <c r="AF74" i="519"/>
  <c r="AG74" i="519" s="1"/>
  <c r="X133" i="519"/>
  <c r="Y22" i="519" s="1"/>
  <c r="Y100" i="519" s="1"/>
  <c r="Y67" i="519"/>
  <c r="W131" i="519"/>
  <c r="X20" i="519" s="1"/>
  <c r="X98" i="519" s="1"/>
  <c r="X65" i="519"/>
  <c r="AA68" i="519" l="1"/>
  <c r="Z134" i="519"/>
  <c r="AA23" i="519" s="1"/>
  <c r="AA101" i="519" s="1"/>
  <c r="X131" i="519"/>
  <c r="Y20" i="519" s="1"/>
  <c r="Y98" i="519" s="1"/>
  <c r="Y65" i="519"/>
  <c r="Y133" i="519"/>
  <c r="Z22" i="519" s="1"/>
  <c r="Z100" i="519" s="1"/>
  <c r="Z67" i="519"/>
  <c r="AE72" i="519"/>
  <c r="AD138" i="519"/>
  <c r="AE27" i="519" s="1"/>
  <c r="AE105" i="519" s="1"/>
  <c r="AA135" i="519"/>
  <c r="AB24" i="519" s="1"/>
  <c r="AB102" i="519" s="1"/>
  <c r="AB69" i="519"/>
  <c r="Y66" i="519"/>
  <c r="X132" i="519"/>
  <c r="Y21" i="519" s="1"/>
  <c r="Y99" i="519" s="1"/>
  <c r="AE139" i="519"/>
  <c r="AF28" i="519" s="1"/>
  <c r="AF73" i="519"/>
  <c r="AG73" i="519" s="1"/>
  <c r="AD71" i="519"/>
  <c r="AC137" i="519"/>
  <c r="AD26" i="519" s="1"/>
  <c r="AD104" i="519" s="1"/>
  <c r="AC70" i="519"/>
  <c r="AB136" i="519"/>
  <c r="AC25" i="519" s="1"/>
  <c r="AC103" i="519" s="1"/>
  <c r="AF106" i="519" l="1"/>
  <c r="AF139" i="519" s="1"/>
  <c r="AG28" i="519" s="1"/>
  <c r="AG106" i="519" s="1"/>
  <c r="AG139" i="519" s="1"/>
  <c r="AD70" i="519"/>
  <c r="AC136" i="519"/>
  <c r="AD25" i="519" s="1"/>
  <c r="AD103" i="519" s="1"/>
  <c r="Z133" i="519"/>
  <c r="AA22" i="519" s="1"/>
  <c r="AA100" i="519" s="1"/>
  <c r="AA67" i="519"/>
  <c r="Z66" i="519"/>
  <c r="Y132" i="519"/>
  <c r="Z21" i="519" s="1"/>
  <c r="Z99" i="519" s="1"/>
  <c r="Y131" i="519"/>
  <c r="Z20" i="519" s="1"/>
  <c r="Z98" i="519" s="1"/>
  <c r="Z65" i="519"/>
  <c r="AB68" i="519"/>
  <c r="AA134" i="519"/>
  <c r="AB23" i="519" s="1"/>
  <c r="AB101" i="519" s="1"/>
  <c r="AE71" i="519"/>
  <c r="AD137" i="519"/>
  <c r="AE26" i="519" s="1"/>
  <c r="AE104" i="519" s="1"/>
  <c r="AC69" i="519"/>
  <c r="AB135" i="519"/>
  <c r="AC24" i="519" s="1"/>
  <c r="AC102" i="519" s="1"/>
  <c r="AE138" i="519"/>
  <c r="AF27" i="519" s="1"/>
  <c r="AF72" i="519"/>
  <c r="AG72" i="519" s="1"/>
  <c r="AF105" i="519" l="1"/>
  <c r="AF138" i="519" s="1"/>
  <c r="AG27" i="519" s="1"/>
  <c r="AG105" i="519" s="1"/>
  <c r="AG138" i="519" s="1"/>
  <c r="AE137" i="519"/>
  <c r="AF26" i="519" s="1"/>
  <c r="AF71" i="519"/>
  <c r="AG71" i="519" s="1"/>
  <c r="AB134" i="519"/>
  <c r="AC23" i="519" s="1"/>
  <c r="AC101" i="519" s="1"/>
  <c r="AC68" i="519"/>
  <c r="Z131" i="519"/>
  <c r="AA20" i="519" s="1"/>
  <c r="AA98" i="519" s="1"/>
  <c r="AA65" i="519"/>
  <c r="AA133" i="519"/>
  <c r="AB22" i="519" s="1"/>
  <c r="AB100" i="519" s="1"/>
  <c r="AB67" i="519"/>
  <c r="AC135" i="519"/>
  <c r="AD24" i="519" s="1"/>
  <c r="AD102" i="519" s="1"/>
  <c r="AD69" i="519"/>
  <c r="AA66" i="519"/>
  <c r="Z132" i="519"/>
  <c r="AA21" i="519" s="1"/>
  <c r="AA99" i="519" s="1"/>
  <c r="AD136" i="519"/>
  <c r="AE25" i="519" s="1"/>
  <c r="AE103" i="519" s="1"/>
  <c r="AE70" i="519"/>
  <c r="AF104" i="519" l="1"/>
  <c r="AF137" i="519" s="1"/>
  <c r="AG26" i="519" s="1"/>
  <c r="AG104" i="519" s="1"/>
  <c r="AG137" i="519" s="1"/>
  <c r="AB133" i="519"/>
  <c r="AC22" i="519" s="1"/>
  <c r="AC100" i="519" s="1"/>
  <c r="AC67" i="519"/>
  <c r="AE69" i="519"/>
  <c r="AD135" i="519"/>
  <c r="AE24" i="519" s="1"/>
  <c r="AE102" i="519" s="1"/>
  <c r="AA131" i="519"/>
  <c r="AB20" i="519" s="1"/>
  <c r="AB98" i="519" s="1"/>
  <c r="AB65" i="519"/>
  <c r="AC134" i="519"/>
  <c r="AD23" i="519" s="1"/>
  <c r="AD101" i="519" s="1"/>
  <c r="AD68" i="519"/>
  <c r="AE136" i="519"/>
  <c r="AF25" i="519" s="1"/>
  <c r="AF70" i="519"/>
  <c r="AG70" i="519" s="1"/>
  <c r="AB66" i="519"/>
  <c r="AA132" i="519"/>
  <c r="AB21" i="519" s="1"/>
  <c r="AB99" i="519" s="1"/>
  <c r="AF103" i="519" l="1"/>
  <c r="AF136" i="519" s="1"/>
  <c r="AG25" i="519" s="1"/>
  <c r="AG103" i="519" s="1"/>
  <c r="AG136" i="519" s="1"/>
  <c r="AC66" i="519"/>
  <c r="AB132" i="519"/>
  <c r="AC21" i="519" s="1"/>
  <c r="AC99" i="519" s="1"/>
  <c r="AB131" i="519"/>
  <c r="AC20" i="519" s="1"/>
  <c r="AC98" i="519" s="1"/>
  <c r="AC65" i="519"/>
  <c r="AD67" i="519"/>
  <c r="AC133" i="519"/>
  <c r="AD22" i="519" s="1"/>
  <c r="AD100" i="519" s="1"/>
  <c r="AD134" i="519"/>
  <c r="AE23" i="519" s="1"/>
  <c r="AE101" i="519" s="1"/>
  <c r="AE68" i="519"/>
  <c r="AE135" i="519"/>
  <c r="AF24" i="519" s="1"/>
  <c r="AF69" i="519"/>
  <c r="AG69" i="519" s="1"/>
  <c r="AF102" i="519" l="1"/>
  <c r="AF135" i="519" s="1"/>
  <c r="AG24" i="519" s="1"/>
  <c r="AG102" i="519" s="1"/>
  <c r="AG135" i="519" s="1"/>
  <c r="AE134" i="519"/>
  <c r="AF23" i="519" s="1"/>
  <c r="AF68" i="519"/>
  <c r="AG68" i="519" s="1"/>
  <c r="AE67" i="519"/>
  <c r="AD133" i="519"/>
  <c r="AE22" i="519" s="1"/>
  <c r="AE100" i="519" s="1"/>
  <c r="AC131" i="519"/>
  <c r="AD20" i="519" s="1"/>
  <c r="AD98" i="519" s="1"/>
  <c r="AD65" i="519"/>
  <c r="AD66" i="519"/>
  <c r="AC132" i="519"/>
  <c r="AD21" i="519" s="1"/>
  <c r="AD99" i="519" s="1"/>
  <c r="AF101" i="519" l="1"/>
  <c r="AF134" i="519" s="1"/>
  <c r="AG23" i="519" s="1"/>
  <c r="AG101" i="519" s="1"/>
  <c r="AG134" i="519" s="1"/>
  <c r="AF67" i="519"/>
  <c r="AG67" i="519" s="1"/>
  <c r="AE133" i="519"/>
  <c r="AF22" i="519" s="1"/>
  <c r="AD132" i="519"/>
  <c r="AE21" i="519" s="1"/>
  <c r="AE99" i="519" s="1"/>
  <c r="AE66" i="519"/>
  <c r="AD131" i="519"/>
  <c r="AE20" i="519" s="1"/>
  <c r="AE98" i="519" s="1"/>
  <c r="AE65" i="519"/>
  <c r="AF100" i="519" l="1"/>
  <c r="AF133" i="519" s="1"/>
  <c r="AG22" i="519" s="1"/>
  <c r="AG100" i="519" s="1"/>
  <c r="AG133" i="519" s="1"/>
  <c r="AE131" i="519"/>
  <c r="AF20" i="519" s="1"/>
  <c r="AF65" i="519"/>
  <c r="AG65" i="519" s="1"/>
  <c r="AF66" i="519"/>
  <c r="AG66" i="519" s="1"/>
  <c r="AE132" i="519"/>
  <c r="AF21" i="519" s="1"/>
  <c r="AF99" i="519" l="1"/>
  <c r="AF132" i="519" s="1"/>
  <c r="AG21" i="519" s="1"/>
  <c r="AG99" i="519" s="1"/>
  <c r="AG132" i="519" s="1"/>
  <c r="AF98" i="519"/>
  <c r="AF131" i="519" s="1"/>
  <c r="AG20" i="519" s="1"/>
  <c r="AG98" i="519" s="1"/>
  <c r="AG131" i="519" s="1"/>
  <c r="BF174" i="1" l="1"/>
  <c r="BG920" i="1"/>
  <c r="BG919" i="1"/>
  <c r="BG918" i="1"/>
  <c r="BG917" i="1"/>
  <c r="BG916" i="1"/>
  <c r="BG914" i="1"/>
  <c r="BG913" i="1"/>
  <c r="BG912" i="1"/>
  <c r="BG911" i="1"/>
  <c r="BG910" i="1"/>
  <c r="BG909" i="1"/>
  <c r="BG907" i="1"/>
  <c r="BG906" i="1"/>
  <c r="BG905" i="1"/>
  <c r="BG904" i="1"/>
  <c r="BG903" i="1"/>
  <c r="BG902" i="1"/>
  <c r="BG901" i="1"/>
  <c r="BG900" i="1"/>
  <c r="BG896" i="1"/>
  <c r="BG895" i="1"/>
  <c r="BG894" i="1"/>
  <c r="BG893" i="1"/>
  <c r="BG892" i="1"/>
  <c r="BG891" i="1"/>
  <c r="BG890" i="1"/>
  <c r="BG888" i="1"/>
  <c r="BG887" i="1"/>
  <c r="BG886" i="1"/>
  <c r="BG885" i="1"/>
  <c r="BG884" i="1"/>
  <c r="BG883" i="1"/>
  <c r="BG166" i="1"/>
  <c r="BG158" i="1"/>
  <c r="BG40" i="1"/>
  <c r="BG39" i="1"/>
  <c r="BG24" i="1"/>
  <c r="K51" i="1"/>
  <c r="J51" i="1"/>
  <c r="I51" i="1"/>
  <c r="H51" i="1"/>
  <c r="AA25" i="1"/>
  <c r="Z25" i="1"/>
  <c r="Y25" i="1"/>
  <c r="X25" i="1"/>
  <c r="W25" i="1"/>
  <c r="V25" i="1"/>
  <c r="U25" i="1"/>
  <c r="T25" i="1"/>
  <c r="S25" i="1"/>
  <c r="R25" i="1"/>
  <c r="Q25" i="1"/>
  <c r="P25" i="1"/>
  <c r="O25" i="1"/>
  <c r="N25" i="1"/>
  <c r="M25" i="1"/>
  <c r="L25" i="1"/>
  <c r="K25" i="1"/>
  <c r="J25" i="1"/>
  <c r="I25" i="1"/>
  <c r="H25" i="1"/>
  <c r="AB25" i="1"/>
  <c r="AZ15" i="1"/>
  <c r="AY15" i="1"/>
  <c r="AX15" i="1"/>
  <c r="AZ50" i="1"/>
  <c r="AZ51" i="1" s="1"/>
  <c r="AY50" i="1"/>
  <c r="AY51" i="1" s="1"/>
  <c r="AX50" i="1"/>
  <c r="AX51" i="1" s="1"/>
  <c r="BH25" i="1"/>
  <c r="BF25" i="1"/>
  <c r="BE25" i="1"/>
  <c r="BD25" i="1"/>
  <c r="BG25" i="1" s="1"/>
  <c r="BC25" i="1"/>
  <c r="BB25" i="1"/>
  <c r="BA25" i="1"/>
  <c r="AZ25" i="1"/>
  <c r="AY25" i="1"/>
  <c r="AX25" i="1"/>
  <c r="AJ25" i="1"/>
  <c r="AI25" i="1"/>
  <c r="AC25" i="1"/>
  <c r="BG938" i="1" l="1"/>
  <c r="BG134" i="1"/>
  <c r="AN35" i="359"/>
  <c r="AR39" i="359" s="1"/>
  <c r="AL35" i="359"/>
  <c r="AK72" i="1"/>
  <c r="AG181" i="1"/>
  <c r="AG180" i="1"/>
  <c r="AG182" i="1"/>
  <c r="AH85" i="1"/>
  <c r="AJ85" i="1"/>
  <c r="AR41" i="359" l="1"/>
  <c r="AR40" i="359" s="1"/>
  <c r="P27" i="522"/>
  <c r="P59" i="522" s="1"/>
  <c r="AJ83" i="1"/>
  <c r="N27" i="522"/>
  <c r="N59" i="522" s="1"/>
  <c r="N73" i="522" s="1"/>
  <c r="N74" i="522" s="1"/>
  <c r="AH83" i="1"/>
  <c r="AP39" i="359"/>
  <c r="AQ56" i="359"/>
  <c r="AO51" i="359"/>
  <c r="AP41" i="359" l="1"/>
  <c r="AP40" i="359" s="1"/>
  <c r="N41" i="522"/>
  <c r="N42" i="522" s="1"/>
  <c r="P41" i="522"/>
  <c r="P73" i="522"/>
  <c r="AB59" i="522"/>
  <c r="AR72" i="359"/>
  <c r="AQ137" i="359"/>
  <c r="AS25" i="468"/>
  <c r="AW30" i="468" s="1"/>
  <c r="AC59" i="522" l="1"/>
  <c r="AC73" i="522" s="1"/>
  <c r="AB73" i="522"/>
  <c r="AK688" i="1"/>
  <c r="AK687" i="1"/>
  <c r="AK686" i="1"/>
  <c r="AK685" i="1"/>
  <c r="AK684" i="1"/>
  <c r="AK683" i="1"/>
  <c r="AK682" i="1"/>
  <c r="AK681" i="1"/>
  <c r="AK182" i="1"/>
  <c r="AK537" i="1" s="1"/>
  <c r="AK536" i="1"/>
  <c r="AK31" i="1"/>
  <c r="AK625" i="1" s="1"/>
  <c r="AK517" i="1"/>
  <c r="AK783" i="1"/>
  <c r="BO783" i="1" s="1"/>
  <c r="AK568" i="1"/>
  <c r="AK579" i="1"/>
  <c r="AK576" i="1"/>
  <c r="AO587" i="1" s="1"/>
  <c r="AK575" i="1"/>
  <c r="AK494" i="1"/>
  <c r="AO502" i="1" s="1"/>
  <c r="AK492" i="1"/>
  <c r="AK483" i="1"/>
  <c r="AK463" i="1"/>
  <c r="AK488" i="1"/>
  <c r="AK349" i="1"/>
  <c r="AO357" i="1" s="1"/>
  <c r="AK347" i="1"/>
  <c r="AO355" i="1" s="1"/>
  <c r="AK346" i="1"/>
  <c r="AO354" i="1" s="1"/>
  <c r="AK302" i="1"/>
  <c r="AK270" i="1"/>
  <c r="AK251" i="1"/>
  <c r="AK343" i="1" s="1"/>
  <c r="AK228" i="1"/>
  <c r="AK150" i="1"/>
  <c r="AK510" i="1" s="1"/>
  <c r="AK218" i="1"/>
  <c r="AK135" i="1"/>
  <c r="AK131" i="1"/>
  <c r="AK130" i="1"/>
  <c r="AK129" i="1"/>
  <c r="AK126" i="1"/>
  <c r="AK118" i="1"/>
  <c r="AK111" i="1"/>
  <c r="AK97" i="1" s="1"/>
  <c r="AK68" i="1"/>
  <c r="AK30" i="1"/>
  <c r="AK624" i="1" s="1"/>
  <c r="AK29" i="1"/>
  <c r="AK623" i="1" s="1"/>
  <c r="AK205" i="1"/>
  <c r="AO205" i="1" s="1"/>
  <c r="AK204" i="1"/>
  <c r="AO204" i="1" s="1"/>
  <c r="AK188" i="1"/>
  <c r="AK187" i="1"/>
  <c r="AK969" i="1"/>
  <c r="AK968" i="1"/>
  <c r="AK964" i="1"/>
  <c r="AK963" i="1"/>
  <c r="AK962" i="1"/>
  <c r="AK958" i="1"/>
  <c r="AK957" i="1"/>
  <c r="AK956" i="1"/>
  <c r="AK953" i="1"/>
  <c r="AL965" i="1" s="1"/>
  <c r="AL977" i="1" s="1"/>
  <c r="AK921" i="1"/>
  <c r="AK908" i="1"/>
  <c r="AK897" i="1"/>
  <c r="AK872" i="1"/>
  <c r="AK865" i="1"/>
  <c r="AK841" i="1"/>
  <c r="AK854" i="1"/>
  <c r="AK832" i="1"/>
  <c r="AK125" i="1" s="1"/>
  <c r="BN783" i="1"/>
  <c r="AK745" i="1"/>
  <c r="AK750" i="1" s="1"/>
  <c r="AK744" i="1"/>
  <c r="AK749" i="1" s="1"/>
  <c r="AK742" i="1"/>
  <c r="AK736" i="1"/>
  <c r="AK735" i="1"/>
  <c r="AK915" i="1" l="1"/>
  <c r="AK922" i="1" s="1"/>
  <c r="AK939" i="1"/>
  <c r="AL940" i="1" s="1"/>
  <c r="AK871" i="1"/>
  <c r="Q23" i="522" s="1"/>
  <c r="Q55" i="522" s="1"/>
  <c r="Q24" i="522"/>
  <c r="Q56" i="522" s="1"/>
  <c r="AD59" i="522"/>
  <c r="AD73" i="522" s="1"/>
  <c r="AK112" i="1"/>
  <c r="AK67" i="1"/>
  <c r="AK569" i="1"/>
  <c r="AO569" i="1" s="1"/>
  <c r="AO590" i="1"/>
  <c r="AK578" i="1"/>
  <c r="AO589" i="1" s="1"/>
  <c r="AO568" i="1"/>
  <c r="AK533" i="1"/>
  <c r="AK189" i="1"/>
  <c r="AK466" i="1"/>
  <c r="AK206" i="1"/>
  <c r="AK122" i="1"/>
  <c r="AK491" i="1"/>
  <c r="AS10" i="468"/>
  <c r="AK136" i="1"/>
  <c r="AK945" i="1" s="1"/>
  <c r="AK857" i="1"/>
  <c r="AK32" i="1"/>
  <c r="AK868" i="1"/>
  <c r="AK273" i="1"/>
  <c r="AK974" i="1"/>
  <c r="AK626" i="1"/>
  <c r="AK970" i="1"/>
  <c r="AK976" i="1" s="1"/>
  <c r="AK975" i="1"/>
  <c r="AK971" i="1" l="1"/>
  <c r="AM618" i="1"/>
  <c r="AL618" i="1"/>
  <c r="AK618" i="1"/>
  <c r="AJ618" i="1"/>
  <c r="AI618" i="1"/>
  <c r="AH618" i="1"/>
  <c r="AG618" i="1"/>
  <c r="AF618" i="1"/>
  <c r="AE618" i="1"/>
  <c r="AD618" i="1"/>
  <c r="AC618" i="1"/>
  <c r="AB618" i="1"/>
  <c r="AA618" i="1"/>
  <c r="Z618" i="1"/>
  <c r="Y618" i="1"/>
  <c r="X618" i="1"/>
  <c r="W618" i="1"/>
  <c r="V618" i="1"/>
  <c r="U618" i="1"/>
  <c r="T618" i="1"/>
  <c r="S618" i="1"/>
  <c r="R618" i="1"/>
  <c r="Q618" i="1"/>
  <c r="P618" i="1"/>
  <c r="BO603" i="1"/>
  <c r="BN603" i="1"/>
  <c r="BM603" i="1"/>
  <c r="BL603" i="1"/>
  <c r="BK603" i="1"/>
  <c r="BJ603" i="1"/>
  <c r="BO614" i="1"/>
  <c r="BN614" i="1"/>
  <c r="BM614" i="1"/>
  <c r="BL614" i="1"/>
  <c r="BK614" i="1"/>
  <c r="BJ614" i="1"/>
  <c r="BN612" i="1" l="1"/>
  <c r="BO602" i="1"/>
  <c r="BM602" i="1"/>
  <c r="BN602" i="1"/>
  <c r="BJ602" i="1"/>
  <c r="BK612" i="1"/>
  <c r="BL612" i="1"/>
  <c r="BO612" i="1"/>
  <c r="BL602" i="1"/>
  <c r="BM612" i="1"/>
  <c r="BK602" i="1"/>
  <c r="BJ612" i="1"/>
  <c r="BO615" i="1"/>
  <c r="BN615" i="1"/>
  <c r="BM615" i="1"/>
  <c r="BL615" i="1"/>
  <c r="BK615" i="1"/>
  <c r="BJ615" i="1"/>
  <c r="BO604" i="1"/>
  <c r="BN604" i="1"/>
  <c r="BM604" i="1"/>
  <c r="BL604" i="1"/>
  <c r="BK604" i="1"/>
  <c r="BJ604" i="1"/>
  <c r="BJ597" i="1"/>
  <c r="BK597" i="1"/>
  <c r="BL597" i="1"/>
  <c r="BM597" i="1"/>
  <c r="BN597" i="1"/>
  <c r="BO597" i="1"/>
  <c r="BM618" i="1" l="1"/>
  <c r="BK618" i="1"/>
  <c r="BL618" i="1"/>
  <c r="BN618" i="1"/>
  <c r="BO618" i="1"/>
  <c r="BJ618" i="1"/>
  <c r="BO617" i="1"/>
  <c r="BJ605" i="1"/>
  <c r="BN605" i="1"/>
  <c r="BM605" i="1"/>
  <c r="BL605" i="1"/>
  <c r="BK605" i="1"/>
  <c r="BM617" i="1"/>
  <c r="BO605" i="1"/>
  <c r="BL598" i="1"/>
  <c r="BM598" i="1"/>
  <c r="BL617" i="1"/>
  <c r="BK598" i="1"/>
  <c r="BJ617" i="1"/>
  <c r="BO598" i="1"/>
  <c r="BN617" i="1"/>
  <c r="BN598" i="1"/>
  <c r="BK616" i="1"/>
  <c r="BL616" i="1"/>
  <c r="BM616" i="1"/>
  <c r="BN616" i="1"/>
  <c r="BO616" i="1"/>
  <c r="BK617" i="1"/>
  <c r="S617" i="1" l="1"/>
  <c r="R617" i="1"/>
  <c r="Q617" i="1"/>
  <c r="P617" i="1"/>
  <c r="AA616" i="1"/>
  <c r="Z616" i="1"/>
  <c r="Y616" i="1"/>
  <c r="X616" i="1"/>
  <c r="W616" i="1"/>
  <c r="V616" i="1"/>
  <c r="U616" i="1"/>
  <c r="T616" i="1"/>
  <c r="W607" i="1"/>
  <c r="W609" i="1" s="1"/>
  <c r="V607" i="1"/>
  <c r="V609" i="1" s="1"/>
  <c r="U607" i="1"/>
  <c r="T607" i="1"/>
  <c r="S607" i="1"/>
  <c r="R607" i="1"/>
  <c r="R609" i="1" s="1"/>
  <c r="Q607" i="1"/>
  <c r="Q609" i="1" s="1"/>
  <c r="P607" i="1"/>
  <c r="P609" i="1" s="1"/>
  <c r="W598" i="1"/>
  <c r="V598" i="1"/>
  <c r="U598" i="1"/>
  <c r="T598" i="1"/>
  <c r="S605" i="1"/>
  <c r="R605" i="1"/>
  <c r="Q605" i="1"/>
  <c r="P605" i="1"/>
  <c r="W617" i="1"/>
  <c r="V617" i="1"/>
  <c r="U617" i="1"/>
  <c r="T617" i="1"/>
  <c r="AA598" i="1"/>
  <c r="Z598" i="1"/>
  <c r="Y598" i="1"/>
  <c r="X598" i="1"/>
  <c r="W605" i="1"/>
  <c r="V605" i="1"/>
  <c r="U605" i="1"/>
  <c r="T605" i="1"/>
  <c r="AM617" i="1"/>
  <c r="AL617" i="1"/>
  <c r="AK617" i="1"/>
  <c r="AJ617" i="1"/>
  <c r="AI617" i="1"/>
  <c r="AH617" i="1"/>
  <c r="AG617" i="1"/>
  <c r="AF617" i="1"/>
  <c r="AE617" i="1"/>
  <c r="AD617" i="1"/>
  <c r="AC617" i="1"/>
  <c r="AB617" i="1"/>
  <c r="AA617" i="1"/>
  <c r="Z617" i="1"/>
  <c r="Y617" i="1"/>
  <c r="X617" i="1"/>
  <c r="AM616" i="1"/>
  <c r="AL616" i="1"/>
  <c r="AK616" i="1"/>
  <c r="AJ616" i="1"/>
  <c r="AI616" i="1"/>
  <c r="AH616" i="1"/>
  <c r="AG616" i="1"/>
  <c r="AF616" i="1"/>
  <c r="AE616" i="1"/>
  <c r="AD616" i="1"/>
  <c r="AC616" i="1"/>
  <c r="AB616" i="1"/>
  <c r="AL607" i="1"/>
  <c r="AK607" i="1"/>
  <c r="AJ607" i="1"/>
  <c r="AI607" i="1"/>
  <c r="AI609" i="1" s="1"/>
  <c r="AH607" i="1"/>
  <c r="AH609" i="1" s="1"/>
  <c r="AG607" i="1"/>
  <c r="AG609" i="1" s="1"/>
  <c r="AF607" i="1"/>
  <c r="AE607" i="1"/>
  <c r="AE609" i="1" s="1"/>
  <c r="AD607" i="1"/>
  <c r="AD609" i="1" s="1"/>
  <c r="AC607" i="1"/>
  <c r="AC609" i="1" s="1"/>
  <c r="AB607" i="1"/>
  <c r="AA607" i="1"/>
  <c r="AA609" i="1" s="1"/>
  <c r="Z607" i="1"/>
  <c r="Z609" i="1" s="1"/>
  <c r="Y607" i="1"/>
  <c r="Y609" i="1" s="1"/>
  <c r="X607" i="1"/>
  <c r="AM605" i="1"/>
  <c r="AL605" i="1"/>
  <c r="AK605" i="1"/>
  <c r="AJ605" i="1"/>
  <c r="AI605" i="1"/>
  <c r="AH605" i="1"/>
  <c r="AG605" i="1"/>
  <c r="AF605" i="1"/>
  <c r="AE605" i="1"/>
  <c r="AD605" i="1"/>
  <c r="AC605" i="1"/>
  <c r="AB605" i="1"/>
  <c r="AA605" i="1"/>
  <c r="Z605" i="1"/>
  <c r="Y605" i="1"/>
  <c r="X605" i="1"/>
  <c r="AM598" i="1"/>
  <c r="AL598" i="1"/>
  <c r="AK598" i="1"/>
  <c r="AJ598" i="1"/>
  <c r="AI598" i="1"/>
  <c r="AH598" i="1"/>
  <c r="AG598" i="1"/>
  <c r="AF598" i="1"/>
  <c r="AE598" i="1"/>
  <c r="AD598" i="1"/>
  <c r="AC598" i="1"/>
  <c r="AB598" i="1"/>
  <c r="AK609" i="1" l="1"/>
  <c r="AL609" i="1"/>
  <c r="AM609" i="1"/>
  <c r="W608" i="1"/>
  <c r="BK607" i="1"/>
  <c r="BK609" i="1" s="1"/>
  <c r="AJ609" i="1"/>
  <c r="BO607" i="1"/>
  <c r="BO609" i="1" s="1"/>
  <c r="AG608" i="1"/>
  <c r="AK608" i="1"/>
  <c r="X608" i="1"/>
  <c r="AI608" i="1"/>
  <c r="AJ608" i="1"/>
  <c r="AL608" i="1"/>
  <c r="BM607" i="1"/>
  <c r="BM609" i="1" s="1"/>
  <c r="AH608" i="1"/>
  <c r="U608" i="1"/>
  <c r="AM608" i="1"/>
  <c r="T608" i="1"/>
  <c r="Y608" i="1"/>
  <c r="AA608" i="1"/>
  <c r="AC608" i="1"/>
  <c r="U609" i="1"/>
  <c r="AD608" i="1"/>
  <c r="T609" i="1"/>
  <c r="AF609" i="1"/>
  <c r="BN607" i="1"/>
  <c r="AE608" i="1"/>
  <c r="BJ607" i="1"/>
  <c r="BJ609" i="1" s="1"/>
  <c r="X609" i="1"/>
  <c r="BL607" i="1"/>
  <c r="Z608" i="1"/>
  <c r="AB609" i="1"/>
  <c r="AB608" i="1"/>
  <c r="AF608" i="1"/>
  <c r="S609" i="1"/>
  <c r="V608" i="1"/>
  <c r="BM608" i="1" l="1"/>
  <c r="BL608" i="1"/>
  <c r="BL609" i="1"/>
  <c r="BO608" i="1"/>
  <c r="BN608" i="1"/>
  <c r="BN609" i="1"/>
  <c r="BK608" i="1"/>
  <c r="M7" i="230" l="1"/>
  <c r="G10" i="230"/>
  <c r="G11" i="230" s="1"/>
  <c r="M10" i="230"/>
  <c r="M11" i="230" s="1"/>
  <c r="C11" i="230"/>
  <c r="D11" i="230"/>
  <c r="F11" i="230"/>
  <c r="H11" i="230"/>
  <c r="J11" i="230"/>
  <c r="K11" i="230"/>
  <c r="G13" i="230"/>
  <c r="G14" i="230" s="1"/>
  <c r="M13" i="230"/>
  <c r="M14" i="230" s="1"/>
  <c r="C14" i="230"/>
  <c r="D14" i="230"/>
  <c r="F14" i="230"/>
  <c r="H14" i="230"/>
  <c r="J14" i="230"/>
  <c r="K14" i="230"/>
  <c r="G16" i="230"/>
  <c r="G17" i="230" s="1"/>
  <c r="M16" i="230"/>
  <c r="M17" i="230" s="1"/>
  <c r="C17" i="230"/>
  <c r="D17" i="230"/>
  <c r="F17" i="230"/>
  <c r="H17" i="230"/>
  <c r="J17" i="230"/>
  <c r="K17" i="230"/>
  <c r="C19" i="230"/>
  <c r="D19" i="230"/>
  <c r="F19" i="230"/>
  <c r="F24" i="230" s="1"/>
  <c r="H19" i="230"/>
  <c r="H24" i="230" s="1"/>
  <c r="J19" i="230"/>
  <c r="J24" i="230" s="1"/>
  <c r="K19" i="230"/>
  <c r="K24" i="230" s="1"/>
  <c r="AN2" i="28"/>
  <c r="E13" i="28"/>
  <c r="F13" i="28"/>
  <c r="G13" i="28"/>
  <c r="H13" i="28"/>
  <c r="I13" i="28"/>
  <c r="J13" i="28"/>
  <c r="K13" i="28"/>
  <c r="L13" i="28"/>
  <c r="M13" i="28"/>
  <c r="N13" i="28"/>
  <c r="O13" i="28"/>
  <c r="P13" i="28"/>
  <c r="Q13" i="28"/>
  <c r="R13" i="28"/>
  <c r="S13" i="28"/>
  <c r="T13" i="28"/>
  <c r="U13" i="28"/>
  <c r="V13" i="28"/>
  <c r="W13" i="28"/>
  <c r="X13" i="28"/>
  <c r="Y13" i="28"/>
  <c r="Z13" i="28"/>
  <c r="AA13" i="28"/>
  <c r="AB13" i="28"/>
  <c r="AC13" i="28"/>
  <c r="AD13" i="28"/>
  <c r="AE13" i="28"/>
  <c r="AV13" i="28"/>
  <c r="D15" i="28"/>
  <c r="E15" i="28"/>
  <c r="F15" i="28"/>
  <c r="G15" i="28"/>
  <c r="H15" i="28"/>
  <c r="I15" i="28"/>
  <c r="J15" i="28"/>
  <c r="K15" i="28"/>
  <c r="L15" i="28"/>
  <c r="M15" i="28"/>
  <c r="N15" i="28"/>
  <c r="O15" i="28"/>
  <c r="P15" i="28"/>
  <c r="Q15" i="28"/>
  <c r="R15" i="28"/>
  <c r="S15" i="28"/>
  <c r="T15" i="28"/>
  <c r="U15" i="28"/>
  <c r="V15" i="28"/>
  <c r="W15" i="28"/>
  <c r="X15" i="28"/>
  <c r="Y15" i="28"/>
  <c r="Z15" i="28"/>
  <c r="AA15" i="28"/>
  <c r="AB15" i="28"/>
  <c r="AC15" i="28"/>
  <c r="AD15" i="28"/>
  <c r="AE15" i="28"/>
  <c r="D17" i="28"/>
  <c r="E17" i="28"/>
  <c r="F17" i="28"/>
  <c r="G17" i="28"/>
  <c r="H17" i="28"/>
  <c r="I17" i="28"/>
  <c r="J17" i="28"/>
  <c r="K17" i="28"/>
  <c r="L17" i="28"/>
  <c r="M17" i="28"/>
  <c r="N17" i="28"/>
  <c r="O17" i="28"/>
  <c r="P17" i="28"/>
  <c r="Q17" i="28"/>
  <c r="R17" i="28"/>
  <c r="S17" i="28"/>
  <c r="T17" i="28"/>
  <c r="U17" i="28"/>
  <c r="V17" i="28"/>
  <c r="W17" i="28"/>
  <c r="X17" i="28"/>
  <c r="Y17" i="28"/>
  <c r="Z17" i="28"/>
  <c r="AA17" i="28"/>
  <c r="AB17" i="28"/>
  <c r="AC17" i="28"/>
  <c r="AD17" i="28"/>
  <c r="AE17" i="28"/>
  <c r="AR17" i="28"/>
  <c r="AS17" i="28"/>
  <c r="AT17" i="28"/>
  <c r="AU17" i="28"/>
  <c r="AV17" i="28"/>
  <c r="D18" i="28"/>
  <c r="D20" i="28" s="1"/>
  <c r="E18" i="28"/>
  <c r="F18" i="28"/>
  <c r="F31" i="28" s="1"/>
  <c r="G18" i="28"/>
  <c r="H18" i="28"/>
  <c r="I18" i="28"/>
  <c r="J18" i="28"/>
  <c r="J20" i="28" s="1"/>
  <c r="K18" i="28"/>
  <c r="K31" i="28" s="1"/>
  <c r="L18" i="28"/>
  <c r="L31" i="28" s="1"/>
  <c r="M18" i="28"/>
  <c r="N18" i="28"/>
  <c r="O18" i="28"/>
  <c r="P18" i="28"/>
  <c r="P22" i="28" s="1"/>
  <c r="Q18" i="28"/>
  <c r="Q20" i="28" s="1"/>
  <c r="R18" i="28"/>
  <c r="S18" i="28"/>
  <c r="S20" i="28" s="1"/>
  <c r="T18" i="28"/>
  <c r="T20" i="28" s="1"/>
  <c r="U18" i="28"/>
  <c r="U22" i="28" s="1"/>
  <c r="U23" i="28" s="1"/>
  <c r="U24" i="28" s="1"/>
  <c r="V18" i="28"/>
  <c r="W18" i="28"/>
  <c r="X18" i="28"/>
  <c r="X31" i="28" s="1"/>
  <c r="Y18" i="28"/>
  <c r="Y20" i="28" s="1"/>
  <c r="Z18" i="28"/>
  <c r="Z31" i="28" s="1"/>
  <c r="Z33" i="28" s="1"/>
  <c r="AA18" i="28"/>
  <c r="AA31" i="28" s="1"/>
  <c r="AB18" i="28"/>
  <c r="AB31" i="28" s="1"/>
  <c r="AC18" i="28"/>
  <c r="AD18" i="28"/>
  <c r="AE18" i="28"/>
  <c r="AR18" i="28"/>
  <c r="AR20" i="28" s="1"/>
  <c r="AS18" i="28"/>
  <c r="AS20" i="28" s="1"/>
  <c r="AT18" i="28"/>
  <c r="AT20" i="28" s="1"/>
  <c r="AU18" i="28"/>
  <c r="AU20" i="28" s="1"/>
  <c r="AV18" i="28"/>
  <c r="Y21" i="28"/>
  <c r="Z21" i="28"/>
  <c r="AA21" i="28"/>
  <c r="AB21" i="28"/>
  <c r="AC21" i="28"/>
  <c r="AG21" i="28"/>
  <c r="K22" i="28"/>
  <c r="L22" i="28"/>
  <c r="AG26" i="28"/>
  <c r="AG72" i="28" s="1"/>
  <c r="AH26" i="28"/>
  <c r="AJ26" i="28" s="1"/>
  <c r="D38" i="28"/>
  <c r="E38" i="28"/>
  <c r="F38" i="28"/>
  <c r="G38" i="28"/>
  <c r="H38" i="28"/>
  <c r="I38" i="28"/>
  <c r="J38" i="28"/>
  <c r="K38" i="28"/>
  <c r="L38" i="28"/>
  <c r="M38" i="28"/>
  <c r="N38" i="28"/>
  <c r="O38" i="28"/>
  <c r="P38" i="28"/>
  <c r="Q38" i="28"/>
  <c r="R38" i="28"/>
  <c r="S38" i="28"/>
  <c r="T38" i="28"/>
  <c r="U38" i="28"/>
  <c r="V38" i="28"/>
  <c r="W38" i="28"/>
  <c r="X38" i="28"/>
  <c r="Y38" i="28"/>
  <c r="Z38" i="28"/>
  <c r="AA38" i="28"/>
  <c r="AB38" i="28"/>
  <c r="AC38" i="28"/>
  <c r="AD38" i="28"/>
  <c r="D40" i="28"/>
  <c r="E40" i="28"/>
  <c r="F40" i="28"/>
  <c r="G40" i="28"/>
  <c r="H40" i="28"/>
  <c r="I40" i="28"/>
  <c r="J40" i="28"/>
  <c r="K40" i="28"/>
  <c r="L40" i="28"/>
  <c r="M40" i="28"/>
  <c r="N40" i="28"/>
  <c r="O40" i="28"/>
  <c r="P40" i="28"/>
  <c r="Q40" i="28"/>
  <c r="R40" i="28"/>
  <c r="S40" i="28"/>
  <c r="T40" i="28"/>
  <c r="U40" i="28"/>
  <c r="V40" i="28"/>
  <c r="W40" i="28"/>
  <c r="X40" i="28"/>
  <c r="Y40" i="28"/>
  <c r="Z40" i="28"/>
  <c r="AA40" i="28"/>
  <c r="AB40" i="28"/>
  <c r="AC40" i="28"/>
  <c r="AD40" i="28"/>
  <c r="AE40" i="28"/>
  <c r="E58" i="28"/>
  <c r="F58" i="28"/>
  <c r="F74" i="28" s="1"/>
  <c r="G58" i="28"/>
  <c r="G64" i="28" s="1"/>
  <c r="H58" i="28"/>
  <c r="H74" i="28" s="1"/>
  <c r="I58" i="28"/>
  <c r="I74" i="28" s="1"/>
  <c r="J58" i="28"/>
  <c r="J64" i="28" s="1"/>
  <c r="K58" i="28"/>
  <c r="K74" i="28" s="1"/>
  <c r="L58" i="28"/>
  <c r="L74" i="28" s="1"/>
  <c r="M58" i="28"/>
  <c r="N58" i="28"/>
  <c r="O58" i="28"/>
  <c r="P58" i="28"/>
  <c r="Q58" i="28"/>
  <c r="R58" i="28"/>
  <c r="R74" i="28" s="1"/>
  <c r="S58" i="28"/>
  <c r="T58" i="28"/>
  <c r="T74" i="28" s="1"/>
  <c r="U58" i="28"/>
  <c r="V58" i="28"/>
  <c r="V64" i="28" s="1"/>
  <c r="W58" i="28"/>
  <c r="X58" i="28"/>
  <c r="X64" i="28" s="1"/>
  <c r="Y58" i="28"/>
  <c r="Z58" i="28"/>
  <c r="Z64" i="28" s="1"/>
  <c r="AA58" i="28"/>
  <c r="AA64" i="28" s="1"/>
  <c r="AB58" i="28"/>
  <c r="AB64" i="28" s="1"/>
  <c r="AC58" i="28"/>
  <c r="AD58" i="28"/>
  <c r="AD64" i="28" s="1"/>
  <c r="AE58" i="28"/>
  <c r="D72" i="28"/>
  <c r="E72" i="28"/>
  <c r="F72" i="28"/>
  <c r="G72" i="28"/>
  <c r="H72" i="28"/>
  <c r="I72" i="28"/>
  <c r="J72" i="28"/>
  <c r="K72" i="28"/>
  <c r="L72" i="28"/>
  <c r="M72" i="28"/>
  <c r="N72" i="28"/>
  <c r="O72" i="28"/>
  <c r="P72" i="28"/>
  <c r="Q72" i="28"/>
  <c r="R72" i="28"/>
  <c r="S72" i="28"/>
  <c r="T72" i="28"/>
  <c r="U72" i="28"/>
  <c r="V72" i="28"/>
  <c r="W72" i="28"/>
  <c r="X72" i="28"/>
  <c r="Y72" i="28"/>
  <c r="Z72" i="28"/>
  <c r="AA72" i="28"/>
  <c r="AB72" i="28"/>
  <c r="AC72" i="28"/>
  <c r="AD72" i="28"/>
  <c r="AE72" i="28"/>
  <c r="D74" i="28"/>
  <c r="L2" i="51"/>
  <c r="F7" i="51"/>
  <c r="G7" i="51" s="1"/>
  <c r="H7" i="51" s="1"/>
  <c r="H9" i="51" s="1"/>
  <c r="E14" i="51"/>
  <c r="F14" i="51"/>
  <c r="G14" i="51"/>
  <c r="H14" i="51"/>
  <c r="I14" i="51"/>
  <c r="J14" i="51"/>
  <c r="D16" i="51"/>
  <c r="E16" i="51"/>
  <c r="F16" i="51"/>
  <c r="G16" i="51"/>
  <c r="I16" i="51"/>
  <c r="D21" i="51"/>
  <c r="E21" i="51"/>
  <c r="F21" i="51"/>
  <c r="G21" i="51"/>
  <c r="H21" i="51"/>
  <c r="F26" i="51"/>
  <c r="F30" i="51"/>
  <c r="G30" i="51" s="1"/>
  <c r="G31" i="51" s="1"/>
  <c r="H40" i="51"/>
  <c r="I40" i="51"/>
  <c r="J40" i="51"/>
  <c r="E31" i="51"/>
  <c r="E32" i="51"/>
  <c r="E41" i="51"/>
  <c r="F41" i="51"/>
  <c r="G41" i="51"/>
  <c r="F43" i="51"/>
  <c r="I51" i="51"/>
  <c r="H51" i="51" s="1"/>
  <c r="E48" i="51"/>
  <c r="E49" i="51"/>
  <c r="F62" i="51"/>
  <c r="G62" i="51"/>
  <c r="H62" i="51"/>
  <c r="I62" i="51"/>
  <c r="D69" i="51"/>
  <c r="E69" i="51"/>
  <c r="F69" i="51"/>
  <c r="G69" i="51"/>
  <c r="H69" i="51"/>
  <c r="I69" i="51"/>
  <c r="J69" i="51"/>
  <c r="H74" i="51"/>
  <c r="I74" i="51"/>
  <c r="J74" i="51"/>
  <c r="I79" i="51"/>
  <c r="H79" i="51" s="1"/>
  <c r="G79" i="51" s="1"/>
  <c r="F79" i="51" s="1"/>
  <c r="E80" i="51"/>
  <c r="E81" i="51"/>
  <c r="S1" i="292"/>
  <c r="H3" i="292"/>
  <c r="D4" i="292"/>
  <c r="C7" i="292"/>
  <c r="D7" i="292"/>
  <c r="E7" i="292"/>
  <c r="F7" i="292"/>
  <c r="G7" i="292"/>
  <c r="H7" i="292"/>
  <c r="V7" i="292"/>
  <c r="L123" i="292"/>
  <c r="L124" i="292"/>
  <c r="E122" i="292"/>
  <c r="H109" i="292" s="1"/>
  <c r="H57" i="292"/>
  <c r="F77" i="292"/>
  <c r="G77" i="292" s="1"/>
  <c r="H77" i="292" s="1"/>
  <c r="I77" i="292" s="1"/>
  <c r="J77" i="292" s="1"/>
  <c r="K77" i="292" s="1"/>
  <c r="L77" i="292" s="1"/>
  <c r="M77" i="292" s="1"/>
  <c r="N77" i="292" s="1"/>
  <c r="O77" i="292" s="1"/>
  <c r="P77" i="292" s="1"/>
  <c r="Q77" i="292" s="1"/>
  <c r="R77" i="292" s="1"/>
  <c r="S77" i="292" s="1"/>
  <c r="V11" i="292"/>
  <c r="H94" i="292"/>
  <c r="H87" i="292"/>
  <c r="H90" i="292"/>
  <c r="A12" i="292"/>
  <c r="A13" i="292"/>
  <c r="A14" i="292"/>
  <c r="V15" i="292"/>
  <c r="A22" i="292"/>
  <c r="A27" i="292" s="1"/>
  <c r="A32" i="292" s="1"/>
  <c r="A23" i="292"/>
  <c r="A28" i="292" s="1"/>
  <c r="A33" i="292" s="1"/>
  <c r="A24" i="292"/>
  <c r="A29" i="292" s="1"/>
  <c r="A34" i="292" s="1"/>
  <c r="C57" i="292"/>
  <c r="D57" i="292"/>
  <c r="E57" i="292"/>
  <c r="F57" i="292"/>
  <c r="G57" i="292"/>
  <c r="I67" i="292"/>
  <c r="J67" i="292"/>
  <c r="K67" i="292"/>
  <c r="L67" i="292"/>
  <c r="M67" i="292"/>
  <c r="N67" i="292"/>
  <c r="O67" i="292"/>
  <c r="P67" i="292"/>
  <c r="Q67" i="292"/>
  <c r="R67" i="292"/>
  <c r="S67" i="292"/>
  <c r="I68" i="292"/>
  <c r="J68" i="292"/>
  <c r="K68" i="292"/>
  <c r="L68" i="292"/>
  <c r="M68" i="292"/>
  <c r="N68" i="292"/>
  <c r="O68" i="292"/>
  <c r="P68" i="292"/>
  <c r="Q68" i="292"/>
  <c r="R68" i="292"/>
  <c r="S68" i="292"/>
  <c r="D74" i="292"/>
  <c r="E74" i="292" s="1"/>
  <c r="F74" i="292" s="1"/>
  <c r="G74" i="292" s="1"/>
  <c r="H74" i="292" s="1"/>
  <c r="I74" i="292" s="1"/>
  <c r="J74" i="292" s="1"/>
  <c r="K74" i="292" s="1"/>
  <c r="L74" i="292" s="1"/>
  <c r="M74" i="292" s="1"/>
  <c r="N74" i="292" s="1"/>
  <c r="O74" i="292" s="1"/>
  <c r="P74" i="292" s="1"/>
  <c r="Q74" i="292" s="1"/>
  <c r="R74" i="292" s="1"/>
  <c r="S74" i="292" s="1"/>
  <c r="D77" i="292"/>
  <c r="A82" i="292"/>
  <c r="A83" i="292"/>
  <c r="C87" i="292"/>
  <c r="D87" i="292"/>
  <c r="E87" i="292"/>
  <c r="F87" i="292"/>
  <c r="G87" i="292"/>
  <c r="C90" i="292"/>
  <c r="D90" i="292"/>
  <c r="E90" i="292"/>
  <c r="F90" i="292"/>
  <c r="G90" i="292"/>
  <c r="C94" i="292"/>
  <c r="D94" i="292"/>
  <c r="E94" i="292"/>
  <c r="F94" i="292"/>
  <c r="G94" i="292"/>
  <c r="J98" i="292"/>
  <c r="K98" i="292" s="1"/>
  <c r="L98" i="292" s="1"/>
  <c r="M98" i="292" s="1"/>
  <c r="N98" i="292" s="1"/>
  <c r="O98" i="292" s="1"/>
  <c r="BV83" i="293"/>
  <c r="BW83" i="293"/>
  <c r="BX83" i="293"/>
  <c r="BY83" i="293"/>
  <c r="BZ83" i="293"/>
  <c r="CA83" i="293"/>
  <c r="CB83" i="293"/>
  <c r="CC83" i="293"/>
  <c r="CD83" i="293"/>
  <c r="CE83" i="293"/>
  <c r="CF83" i="293"/>
  <c r="CG83" i="293"/>
  <c r="CH83" i="293"/>
  <c r="CI83" i="293"/>
  <c r="CJ83" i="293"/>
  <c r="CK83" i="293"/>
  <c r="CL83" i="293"/>
  <c r="CM83" i="293"/>
  <c r="CN83" i="293"/>
  <c r="CO83" i="293"/>
  <c r="CP83" i="293"/>
  <c r="CQ83" i="293"/>
  <c r="CR84" i="293"/>
  <c r="CR85" i="293"/>
  <c r="CS83" i="293"/>
  <c r="CT83" i="293"/>
  <c r="CU83" i="293"/>
  <c r="CV83" i="293"/>
  <c r="CW83" i="293"/>
  <c r="BV84" i="293"/>
  <c r="BW84" i="293"/>
  <c r="BX84" i="293"/>
  <c r="BY84" i="293"/>
  <c r="BZ84" i="293"/>
  <c r="CA84" i="293"/>
  <c r="CB84" i="293"/>
  <c r="CC84" i="293"/>
  <c r="CD84" i="293"/>
  <c r="CE84" i="293"/>
  <c r="CF84" i="293"/>
  <c r="CG84" i="293"/>
  <c r="CH84" i="293"/>
  <c r="CI84" i="293"/>
  <c r="CJ84" i="293"/>
  <c r="CK84" i="293"/>
  <c r="CL84" i="293"/>
  <c r="CM84" i="293"/>
  <c r="CN84" i="293"/>
  <c r="CO84" i="293"/>
  <c r="CP84" i="293"/>
  <c r="CQ84" i="293"/>
  <c r="CS84" i="293"/>
  <c r="CT84" i="293"/>
  <c r="CU84" i="293"/>
  <c r="CV84" i="293"/>
  <c r="CW84" i="293"/>
  <c r="J85" i="293"/>
  <c r="K85" i="293"/>
  <c r="L85" i="293"/>
  <c r="M85" i="293"/>
  <c r="N85" i="293"/>
  <c r="O85" i="293"/>
  <c r="P85" i="293"/>
  <c r="Q85" i="293"/>
  <c r="R85" i="293"/>
  <c r="S85" i="293"/>
  <c r="T85" i="293"/>
  <c r="U85" i="293"/>
  <c r="V85" i="293"/>
  <c r="W85" i="293"/>
  <c r="X85" i="293"/>
  <c r="Y85" i="293"/>
  <c r="Z85" i="293"/>
  <c r="AA85" i="293"/>
  <c r="AB85" i="293"/>
  <c r="AC85" i="293"/>
  <c r="AD85" i="293"/>
  <c r="AE85" i="293"/>
  <c r="AF85" i="293"/>
  <c r="AG85" i="293"/>
  <c r="AH85" i="293"/>
  <c r="AI85" i="293"/>
  <c r="AJ85" i="293"/>
  <c r="AK85" i="293"/>
  <c r="AL85" i="293"/>
  <c r="AM85" i="293"/>
  <c r="AN85" i="293"/>
  <c r="AO85" i="293"/>
  <c r="AP85" i="293"/>
  <c r="AQ85" i="293"/>
  <c r="AR85" i="293"/>
  <c r="AS85" i="293"/>
  <c r="AT85" i="293"/>
  <c r="AU85" i="293"/>
  <c r="AV85" i="293"/>
  <c r="AW85" i="293"/>
  <c r="AX85" i="293"/>
  <c r="AY85" i="293"/>
  <c r="AZ85" i="293"/>
  <c r="BA85" i="293"/>
  <c r="BB85" i="293"/>
  <c r="BC85" i="293"/>
  <c r="BD85" i="293"/>
  <c r="BE85" i="293"/>
  <c r="BF85" i="293"/>
  <c r="BG85" i="293"/>
  <c r="BH85" i="293"/>
  <c r="BI85" i="293"/>
  <c r="BJ85" i="293"/>
  <c r="BK85" i="293"/>
  <c r="BL85" i="293"/>
  <c r="BM85" i="293"/>
  <c r="BN85" i="293"/>
  <c r="BO85" i="293"/>
  <c r="BP85" i="293"/>
  <c r="BQ85" i="293"/>
  <c r="BR85" i="293"/>
  <c r="BS85" i="293"/>
  <c r="BT85" i="293"/>
  <c r="BU85" i="293"/>
  <c r="CW85" i="293"/>
  <c r="R2" i="3"/>
  <c r="T2" i="3"/>
  <c r="G5" i="3"/>
  <c r="F8" i="3"/>
  <c r="I10" i="3"/>
  <c r="J10" i="3" s="1"/>
  <c r="K10" i="3" s="1"/>
  <c r="L10" i="3" s="1"/>
  <c r="M10" i="3" s="1"/>
  <c r="N10" i="3" s="1"/>
  <c r="O10" i="3" s="1"/>
  <c r="P10" i="3" s="1"/>
  <c r="Q10" i="3" s="1"/>
  <c r="E11" i="3"/>
  <c r="F11" i="3"/>
  <c r="I20" i="3"/>
  <c r="J20" i="3" s="1"/>
  <c r="K20" i="3" s="1"/>
  <c r="L20" i="3" s="1"/>
  <c r="M20" i="3" s="1"/>
  <c r="N20" i="3" s="1"/>
  <c r="O20" i="3" s="1"/>
  <c r="P20" i="3" s="1"/>
  <c r="Q20" i="3" s="1"/>
  <c r="H57" i="3"/>
  <c r="I57" i="3" s="1"/>
  <c r="J57" i="3" s="1"/>
  <c r="H38" i="3"/>
  <c r="I38" i="3" s="1"/>
  <c r="J38" i="3" s="1"/>
  <c r="H66" i="3"/>
  <c r="K49" i="3"/>
  <c r="L49" i="3" s="1"/>
  <c r="M49" i="3" s="1"/>
  <c r="N49" i="3" s="1"/>
  <c r="O49" i="3" s="1"/>
  <c r="P49" i="3" s="1"/>
  <c r="E52" i="3"/>
  <c r="F52" i="3" s="1"/>
  <c r="G52" i="3" s="1"/>
  <c r="H52" i="3" s="1"/>
  <c r="I52" i="3" s="1"/>
  <c r="J52" i="3" s="1"/>
  <c r="K52" i="3" s="1"/>
  <c r="L52" i="3" s="1"/>
  <c r="M52" i="3" s="1"/>
  <c r="N52" i="3" s="1"/>
  <c r="O52" i="3" s="1"/>
  <c r="P52" i="3" s="1"/>
  <c r="Q52" i="3" s="1"/>
  <c r="G62" i="3"/>
  <c r="H62" i="3"/>
  <c r="I62" i="3"/>
  <c r="J62" i="3"/>
  <c r="K62" i="3"/>
  <c r="L62" i="3"/>
  <c r="M62" i="3"/>
  <c r="N62" i="3"/>
  <c r="Y1" i="313"/>
  <c r="O29" i="313"/>
  <c r="Q29" i="313" s="1"/>
  <c r="Y29" i="313"/>
  <c r="C144" i="313"/>
  <c r="D144" i="313" s="1"/>
  <c r="I144" i="313"/>
  <c r="J144" i="313" s="1"/>
  <c r="K144" i="313" s="1"/>
  <c r="E146" i="313"/>
  <c r="E147" i="313"/>
  <c r="F147" i="313" s="1"/>
  <c r="G147" i="313" s="1"/>
  <c r="H147" i="313" s="1"/>
  <c r="I147" i="313" s="1"/>
  <c r="G148" i="313"/>
  <c r="H148" i="313" s="1"/>
  <c r="I148" i="313" s="1"/>
  <c r="J148" i="313" s="1"/>
  <c r="G149" i="313"/>
  <c r="H149" i="313" s="1"/>
  <c r="I149" i="313" s="1"/>
  <c r="J149" i="313" s="1"/>
  <c r="K149" i="313" s="1"/>
  <c r="K157" i="313" s="1"/>
  <c r="D157" i="313"/>
  <c r="L157" i="313"/>
  <c r="M157" i="313"/>
  <c r="BF2" i="298"/>
  <c r="BK127" i="298"/>
  <c r="BK130" i="298" s="1"/>
  <c r="BL127" i="298"/>
  <c r="BL130" i="298" s="1"/>
  <c r="D505" i="298"/>
  <c r="D12" i="298" s="1"/>
  <c r="D640" i="298" s="1"/>
  <c r="E505" i="298"/>
  <c r="E12" i="298" s="1"/>
  <c r="E640" i="298" s="1"/>
  <c r="F505" i="298"/>
  <c r="F12" i="298" s="1"/>
  <c r="G505" i="298"/>
  <c r="G545" i="298" s="1"/>
  <c r="G548" i="298" s="1"/>
  <c r="H505" i="298"/>
  <c r="I505" i="298"/>
  <c r="J505" i="298"/>
  <c r="J545" i="298" s="1"/>
  <c r="J548" i="298" s="1"/>
  <c r="K505" i="298"/>
  <c r="K545" i="298" s="1"/>
  <c r="K548" i="298" s="1"/>
  <c r="L505" i="298"/>
  <c r="L545" i="298" s="1"/>
  <c r="L548" i="298" s="1"/>
  <c r="M505" i="298"/>
  <c r="M12" i="298" s="1"/>
  <c r="M640" i="298" s="1"/>
  <c r="N505" i="298"/>
  <c r="N12" i="298" s="1"/>
  <c r="N640" i="298" s="1"/>
  <c r="O505" i="298"/>
  <c r="O545" i="298" s="1"/>
  <c r="O548" i="298" s="1"/>
  <c r="P505" i="298"/>
  <c r="P545" i="298" s="1"/>
  <c r="P548" i="298" s="1"/>
  <c r="Q505" i="298"/>
  <c r="R505" i="298"/>
  <c r="R12" i="298" s="1"/>
  <c r="R640" i="298" s="1"/>
  <c r="S505" i="298"/>
  <c r="S12" i="298" s="1"/>
  <c r="S640" i="298" s="1"/>
  <c r="T505" i="298"/>
  <c r="T12" i="298" s="1"/>
  <c r="T640" i="298" s="1"/>
  <c r="U505" i="298"/>
  <c r="U12" i="298" s="1"/>
  <c r="U640" i="298" s="1"/>
  <c r="V505" i="298"/>
  <c r="V12" i="298" s="1"/>
  <c r="V640" i="298" s="1"/>
  <c r="W118" i="298"/>
  <c r="W159" i="298" s="1"/>
  <c r="X118" i="298"/>
  <c r="Y118" i="298"/>
  <c r="Y159" i="298" s="1"/>
  <c r="Z118" i="298"/>
  <c r="Z159" i="298" s="1"/>
  <c r="AA118" i="298"/>
  <c r="AA12" i="298" s="1"/>
  <c r="AA640" i="298" s="1"/>
  <c r="AB118" i="298"/>
  <c r="AB12" i="298" s="1"/>
  <c r="AC118" i="298"/>
  <c r="AC159" i="298" s="1"/>
  <c r="AD118" i="298"/>
  <c r="AE118" i="298"/>
  <c r="AE167" i="298" s="1"/>
  <c r="AF118" i="298"/>
  <c r="AG114" i="298"/>
  <c r="AF122" i="298"/>
  <c r="AB122" i="298"/>
  <c r="X122" i="298"/>
  <c r="AC122" i="298"/>
  <c r="Y122" i="298"/>
  <c r="AG116" i="298"/>
  <c r="AC121" i="298"/>
  <c r="Y121" i="298"/>
  <c r="AD121" i="298"/>
  <c r="AD129" i="298" s="1"/>
  <c r="Z121" i="298"/>
  <c r="AD122" i="298"/>
  <c r="AD130" i="298" s="1"/>
  <c r="Z122" i="298"/>
  <c r="AC123" i="298"/>
  <c r="Y123" i="298"/>
  <c r="AD123" i="298"/>
  <c r="AD131" i="298" s="1"/>
  <c r="Z123" i="298"/>
  <c r="AE121" i="298"/>
  <c r="AA121" i="298"/>
  <c r="AE122" i="298"/>
  <c r="AA122" i="298"/>
  <c r="AE123" i="298"/>
  <c r="AA123" i="298"/>
  <c r="AK12" i="298"/>
  <c r="AL12" i="298"/>
  <c r="AM12" i="298"/>
  <c r="AM710" i="298" s="1"/>
  <c r="AN12" i="298"/>
  <c r="AN167" i="298" s="1"/>
  <c r="AO12" i="298"/>
  <c r="AO710" i="298" s="1"/>
  <c r="AP12" i="298"/>
  <c r="AP710" i="298" s="1"/>
  <c r="AQ12" i="298"/>
  <c r="AQ710" i="298" s="1"/>
  <c r="AR12" i="298"/>
  <c r="AR167" i="298" s="1"/>
  <c r="AS12" i="298"/>
  <c r="AT505" i="298"/>
  <c r="AT510" i="298" s="1"/>
  <c r="AU505" i="298"/>
  <c r="AU545" i="298" s="1"/>
  <c r="AU548" i="298" s="1"/>
  <c r="AV505" i="298"/>
  <c r="AW505" i="298"/>
  <c r="AW545" i="298" s="1"/>
  <c r="AW548" i="298" s="1"/>
  <c r="BB505" i="298"/>
  <c r="BB12" i="298" s="1"/>
  <c r="R14" i="298"/>
  <c r="R177" i="298" s="1"/>
  <c r="AU118" i="298"/>
  <c r="AU159" i="298" s="1"/>
  <c r="AT118" i="298"/>
  <c r="AT159" i="298" s="1"/>
  <c r="AV118" i="298"/>
  <c r="AV167" i="298" s="1"/>
  <c r="AV166" i="298" s="1"/>
  <c r="AW118" i="298"/>
  <c r="AW159" i="298" s="1"/>
  <c r="AZ159" i="298" s="1"/>
  <c r="BN129" i="298"/>
  <c r="D17" i="298"/>
  <c r="D68" i="298" s="1"/>
  <c r="E17" i="298"/>
  <c r="E68" i="298" s="1"/>
  <c r="F17" i="298"/>
  <c r="F68" i="298" s="1"/>
  <c r="G17" i="298"/>
  <c r="G68" i="298" s="1"/>
  <c r="H17" i="298"/>
  <c r="H68" i="298" s="1"/>
  <c r="I17" i="298"/>
  <c r="I68" i="298" s="1"/>
  <c r="J17" i="298"/>
  <c r="J68" i="298" s="1"/>
  <c r="K17" i="298"/>
  <c r="K68" i="298" s="1"/>
  <c r="L17" i="298"/>
  <c r="L68" i="298" s="1"/>
  <c r="M17" i="298"/>
  <c r="M68" i="298" s="1"/>
  <c r="N17" i="298"/>
  <c r="N68" i="298" s="1"/>
  <c r="O17" i="298"/>
  <c r="O68" i="298" s="1"/>
  <c r="P17" i="298"/>
  <c r="P68" i="298" s="1"/>
  <c r="Q17" i="298"/>
  <c r="Q68" i="298" s="1"/>
  <c r="R17" i="298"/>
  <c r="R68" i="298" s="1"/>
  <c r="S17" i="298"/>
  <c r="S68" i="298" s="1"/>
  <c r="T17" i="298"/>
  <c r="T68" i="298" s="1"/>
  <c r="U17" i="298"/>
  <c r="U68" i="298" s="1"/>
  <c r="V17" i="298"/>
  <c r="V68" i="298" s="1"/>
  <c r="AK17" i="298"/>
  <c r="AL17" i="298"/>
  <c r="AL68" i="298" s="1"/>
  <c r="AM17" i="298"/>
  <c r="AM68" i="298" s="1"/>
  <c r="AN17" i="298"/>
  <c r="AN328" i="298" s="1"/>
  <c r="AO17" i="298"/>
  <c r="AO68" i="298" s="1"/>
  <c r="AP17" i="298"/>
  <c r="AP328" i="298" s="1"/>
  <c r="AQ17" i="298"/>
  <c r="AQ328" i="298" s="1"/>
  <c r="AR17" i="298"/>
  <c r="AR68" i="298" s="1"/>
  <c r="AS17" i="298"/>
  <c r="AS68" i="298" s="1"/>
  <c r="AT17" i="298"/>
  <c r="AT328" i="298" s="1"/>
  <c r="AU17" i="298"/>
  <c r="AU328" i="298" s="1"/>
  <c r="AV17" i="298"/>
  <c r="AV68" i="298" s="1"/>
  <c r="AW17" i="298"/>
  <c r="AY17" i="298"/>
  <c r="AY68" i="298" s="1"/>
  <c r="AZ17" i="298"/>
  <c r="AZ68" i="298" s="1"/>
  <c r="BA17" i="298"/>
  <c r="BA68" i="298" s="1"/>
  <c r="BB17" i="298"/>
  <c r="BB68" i="298" s="1"/>
  <c r="BD17" i="298"/>
  <c r="BE17" i="298"/>
  <c r="BF17" i="298"/>
  <c r="D515" i="298"/>
  <c r="E515" i="298"/>
  <c r="F515" i="298"/>
  <c r="G515" i="298"/>
  <c r="H515" i="298"/>
  <c r="I515" i="298"/>
  <c r="J515" i="298"/>
  <c r="K515" i="298"/>
  <c r="L515" i="298"/>
  <c r="M515" i="298"/>
  <c r="N515" i="298"/>
  <c r="O515" i="298"/>
  <c r="P515" i="298"/>
  <c r="Q515" i="298"/>
  <c r="R515" i="298"/>
  <c r="S515" i="298"/>
  <c r="T515" i="298"/>
  <c r="U515" i="298"/>
  <c r="V515" i="298"/>
  <c r="W505" i="298"/>
  <c r="W545" i="298" s="1"/>
  <c r="W548" i="298" s="1"/>
  <c r="W515" i="298"/>
  <c r="X505" i="298"/>
  <c r="X545" i="298" s="1"/>
  <c r="X548" i="298" s="1"/>
  <c r="X515" i="298"/>
  <c r="Y515" i="298"/>
  <c r="Z515" i="298"/>
  <c r="AA515" i="298"/>
  <c r="AB515" i="298"/>
  <c r="AC515" i="298"/>
  <c r="AD515" i="298"/>
  <c r="AE515" i="298"/>
  <c r="AF515" i="298"/>
  <c r="AK519" i="298"/>
  <c r="AK524" i="298" s="1"/>
  <c r="AL519" i="298"/>
  <c r="AL524" i="298" s="1"/>
  <c r="AM519" i="298"/>
  <c r="AM21" i="298" s="1"/>
  <c r="AN519" i="298"/>
  <c r="AN21" i="298" s="1"/>
  <c r="AO519" i="298"/>
  <c r="AO21" i="298" s="1"/>
  <c r="AP519" i="298"/>
  <c r="AP524" i="298" s="1"/>
  <c r="AQ519" i="298"/>
  <c r="AQ21" i="298" s="1"/>
  <c r="AR519" i="298"/>
  <c r="AR21" i="298" s="1"/>
  <c r="AS519" i="298"/>
  <c r="AS524" i="298" s="1"/>
  <c r="AT515" i="298"/>
  <c r="AU515" i="298"/>
  <c r="AV515" i="298"/>
  <c r="AW515" i="298"/>
  <c r="BB515" i="298"/>
  <c r="AY23" i="298"/>
  <c r="AZ23" i="298"/>
  <c r="BN132" i="298"/>
  <c r="AG26" i="298" s="1"/>
  <c r="D27" i="298"/>
  <c r="E27" i="298"/>
  <c r="F27" i="298"/>
  <c r="G27" i="298"/>
  <c r="H27" i="298"/>
  <c r="I27" i="298"/>
  <c r="J27" i="298"/>
  <c r="K27" i="298"/>
  <c r="L27" i="298"/>
  <c r="M27" i="298"/>
  <c r="N27" i="298"/>
  <c r="O27" i="298"/>
  <c r="P27" i="298"/>
  <c r="Q27" i="298"/>
  <c r="R27" i="298"/>
  <c r="S27" i="298"/>
  <c r="T27" i="298"/>
  <c r="U27" i="298"/>
  <c r="V27" i="298"/>
  <c r="W27" i="298"/>
  <c r="X27" i="298"/>
  <c r="Y27" i="298"/>
  <c r="Z27" i="298"/>
  <c r="AA27" i="298"/>
  <c r="AB27" i="298"/>
  <c r="AC27" i="298"/>
  <c r="AD27" i="298"/>
  <c r="AE27" i="298"/>
  <c r="AF27" i="298"/>
  <c r="AK27" i="298"/>
  <c r="AL27" i="298"/>
  <c r="AM27" i="298"/>
  <c r="AN27" i="298"/>
  <c r="AO27" i="298"/>
  <c r="AP27" i="298"/>
  <c r="AQ27" i="298"/>
  <c r="AR27" i="298"/>
  <c r="AS27" i="298"/>
  <c r="AT27" i="298"/>
  <c r="AU27" i="298"/>
  <c r="AV27" i="298"/>
  <c r="AW27" i="298"/>
  <c r="AY526" i="298"/>
  <c r="AY27" i="298" s="1"/>
  <c r="AZ526" i="298"/>
  <c r="AZ27" i="298" s="1"/>
  <c r="BA526" i="298"/>
  <c r="BA27" i="298" s="1"/>
  <c r="BB27" i="298"/>
  <c r="BC526" i="298"/>
  <c r="BC27" i="298" s="1"/>
  <c r="D28" i="298"/>
  <c r="E28" i="298"/>
  <c r="F28" i="298"/>
  <c r="G28" i="298"/>
  <c r="H28" i="298"/>
  <c r="I28" i="298"/>
  <c r="J28" i="298"/>
  <c r="K28" i="298"/>
  <c r="L28" i="298"/>
  <c r="M28" i="298"/>
  <c r="N28" i="298"/>
  <c r="O28" i="298"/>
  <c r="P28" i="298"/>
  <c r="Q28" i="298"/>
  <c r="R28" i="298"/>
  <c r="S28" i="298"/>
  <c r="T28" i="298"/>
  <c r="U28" i="298"/>
  <c r="V28" i="298"/>
  <c r="W28" i="298"/>
  <c r="X28" i="298"/>
  <c r="Y28" i="298"/>
  <c r="Z28" i="298"/>
  <c r="AA28" i="298"/>
  <c r="AB28" i="298"/>
  <c r="AC28" i="298"/>
  <c r="AD28" i="298"/>
  <c r="AE28" i="298"/>
  <c r="AF28" i="298"/>
  <c r="AK28" i="298"/>
  <c r="AL28" i="298"/>
  <c r="AM28" i="298"/>
  <c r="AN28" i="298"/>
  <c r="AO28" i="298"/>
  <c r="AP28" i="298"/>
  <c r="AQ28" i="298"/>
  <c r="AR28" i="298"/>
  <c r="AS28" i="298"/>
  <c r="AT28" i="298"/>
  <c r="AU28" i="298"/>
  <c r="AV28" i="298"/>
  <c r="AW28" i="298"/>
  <c r="AY527" i="298"/>
  <c r="AY28" i="298" s="1"/>
  <c r="AZ527" i="298"/>
  <c r="AZ28" i="298" s="1"/>
  <c r="BA527" i="298"/>
  <c r="BA28" i="298" s="1"/>
  <c r="BB28" i="298"/>
  <c r="BC527" i="298"/>
  <c r="BC28" i="298" s="1"/>
  <c r="D29" i="298"/>
  <c r="E29" i="298"/>
  <c r="F29" i="298"/>
  <c r="G29" i="298"/>
  <c r="H29" i="298"/>
  <c r="I29" i="298"/>
  <c r="J29" i="298"/>
  <c r="K29" i="298"/>
  <c r="L29" i="298"/>
  <c r="M29" i="298"/>
  <c r="N29" i="298"/>
  <c r="O29" i="298"/>
  <c r="P29" i="298"/>
  <c r="Q29" i="298"/>
  <c r="R29" i="298"/>
  <c r="S29" i="298"/>
  <c r="T29" i="298"/>
  <c r="U29" i="298"/>
  <c r="V29" i="298"/>
  <c r="W29" i="298"/>
  <c r="X29" i="298"/>
  <c r="Y29" i="298"/>
  <c r="Z29" i="298"/>
  <c r="AA29" i="298"/>
  <c r="AB29" i="298"/>
  <c r="AC29" i="298"/>
  <c r="AD29" i="298"/>
  <c r="AE29" i="298"/>
  <c r="AF29" i="298"/>
  <c r="AK29" i="298"/>
  <c r="AL29" i="298"/>
  <c r="AM29" i="298"/>
  <c r="AN29" i="298"/>
  <c r="AO29" i="298"/>
  <c r="AP29" i="298"/>
  <c r="AQ29" i="298"/>
  <c r="AR29" i="298"/>
  <c r="AS29" i="298"/>
  <c r="AT29" i="298"/>
  <c r="AU29" i="298"/>
  <c r="AV29" i="298"/>
  <c r="AW29" i="298"/>
  <c r="AY528" i="298"/>
  <c r="AY29" i="298" s="1"/>
  <c r="AZ528" i="298"/>
  <c r="AZ29" i="298" s="1"/>
  <c r="BA528" i="298"/>
  <c r="BA29" i="298" s="1"/>
  <c r="BB29" i="298"/>
  <c r="BC528" i="298"/>
  <c r="BC29" i="298" s="1"/>
  <c r="AF156" i="298"/>
  <c r="AC156" i="298"/>
  <c r="AB156" i="298"/>
  <c r="AF157" i="298"/>
  <c r="AC157" i="298"/>
  <c r="AB157" i="298"/>
  <c r="AF158" i="298"/>
  <c r="AC158" i="298"/>
  <c r="AB158" i="298"/>
  <c r="AG145" i="298"/>
  <c r="AG152" i="298" s="1"/>
  <c r="AD156" i="298"/>
  <c r="AD157" i="298"/>
  <c r="AD158" i="298"/>
  <c r="AE156" i="298"/>
  <c r="AE157" i="298"/>
  <c r="AE158" i="298"/>
  <c r="B33" i="298"/>
  <c r="B34" i="298"/>
  <c r="B35" i="298"/>
  <c r="B36" i="298"/>
  <c r="B39" i="298"/>
  <c r="B40" i="298"/>
  <c r="B41" i="298"/>
  <c r="B42" i="298"/>
  <c r="Z146" i="298"/>
  <c r="Z44" i="298" s="1"/>
  <c r="Z530" i="298" s="1"/>
  <c r="AA146" i="298"/>
  <c r="AB146" i="298"/>
  <c r="AB44" i="298" s="1"/>
  <c r="AB530" i="298" s="1"/>
  <c r="AC146" i="298"/>
  <c r="AC44" i="298" s="1"/>
  <c r="AC530" i="298" s="1"/>
  <c r="AC532" i="298" s="1"/>
  <c r="AC534" i="298" s="1"/>
  <c r="AD146" i="298"/>
  <c r="AD44" i="298" s="1"/>
  <c r="AD530" i="298" s="1"/>
  <c r="AD532" i="298" s="1"/>
  <c r="AD534" i="298" s="1"/>
  <c r="AE146" i="298"/>
  <c r="AE44" i="298" s="1"/>
  <c r="AE69" i="298" s="1"/>
  <c r="AF146" i="298"/>
  <c r="AF44" i="298" s="1"/>
  <c r="AF530" i="298" s="1"/>
  <c r="L54" i="298"/>
  <c r="M54" i="298"/>
  <c r="N54" i="298"/>
  <c r="O54" i="298"/>
  <c r="P54" i="298"/>
  <c r="Q54" i="298"/>
  <c r="Q55" i="298" s="1"/>
  <c r="R54" i="298"/>
  <c r="R55" i="298" s="1"/>
  <c r="S54" i="298"/>
  <c r="S55" i="298" s="1"/>
  <c r="T54" i="298"/>
  <c r="T55" i="298" s="1"/>
  <c r="U54" i="298"/>
  <c r="U55" i="298" s="1"/>
  <c r="V54" i="298"/>
  <c r="V55" i="298" s="1"/>
  <c r="W552" i="298"/>
  <c r="W554" i="298"/>
  <c r="W556" i="298"/>
  <c r="S552" i="298"/>
  <c r="S554" i="298"/>
  <c r="S556" i="298"/>
  <c r="X54" i="298"/>
  <c r="Y54" i="298"/>
  <c r="Z54" i="298"/>
  <c r="AA54" i="298"/>
  <c r="AB54" i="298"/>
  <c r="AC54" i="298"/>
  <c r="AD54" i="298"/>
  <c r="AF54" i="298"/>
  <c r="P552" i="298"/>
  <c r="P554" i="298"/>
  <c r="P556" i="298"/>
  <c r="Q552" i="298"/>
  <c r="Q554" i="298"/>
  <c r="Q556" i="298"/>
  <c r="R552" i="298"/>
  <c r="R554" i="298"/>
  <c r="R556" i="298"/>
  <c r="BB552" i="298"/>
  <c r="BB554" i="298"/>
  <c r="BB556" i="298"/>
  <c r="AE54" i="298"/>
  <c r="AS54" i="298"/>
  <c r="AS55" i="298" s="1"/>
  <c r="AT54" i="298"/>
  <c r="AT55" i="298" s="1"/>
  <c r="AU54" i="298"/>
  <c r="AU55" i="298" s="1"/>
  <c r="AV54" i="298"/>
  <c r="AV55" i="298" s="1"/>
  <c r="AW54" i="298"/>
  <c r="AW55" i="298" s="1"/>
  <c r="AY54" i="298"/>
  <c r="AY55" i="298" s="1"/>
  <c r="AZ54" i="298"/>
  <c r="AZ55" i="298" s="1"/>
  <c r="AM55" i="298"/>
  <c r="AN55" i="298"/>
  <c r="AO55" i="298"/>
  <c r="AP55" i="298"/>
  <c r="AQ55" i="298"/>
  <c r="AR55" i="298"/>
  <c r="D59" i="298"/>
  <c r="D85" i="298" s="1"/>
  <c r="E59" i="298"/>
  <c r="E85" i="298" s="1"/>
  <c r="F59" i="298"/>
  <c r="F85" i="298" s="1"/>
  <c r="G59" i="298"/>
  <c r="G85" i="298" s="1"/>
  <c r="H59" i="298"/>
  <c r="H85" i="298" s="1"/>
  <c r="I59" i="298"/>
  <c r="I85" i="298" s="1"/>
  <c r="J59" i="298"/>
  <c r="J85" i="298" s="1"/>
  <c r="K59" i="298"/>
  <c r="K85" i="298" s="1"/>
  <c r="L59" i="298"/>
  <c r="L85" i="298" s="1"/>
  <c r="M59" i="298"/>
  <c r="M85" i="298" s="1"/>
  <c r="N59" i="298"/>
  <c r="N85" i="298" s="1"/>
  <c r="O59" i="298"/>
  <c r="O85" i="298" s="1"/>
  <c r="P59" i="298"/>
  <c r="P85" i="298" s="1"/>
  <c r="Q59" i="298"/>
  <c r="Q85" i="298" s="1"/>
  <c r="R59" i="298"/>
  <c r="R85" i="298" s="1"/>
  <c r="S531" i="298"/>
  <c r="S59" i="298" s="1"/>
  <c r="S85" i="298" s="1"/>
  <c r="T59" i="298"/>
  <c r="T85" i="298" s="1"/>
  <c r="U59" i="298"/>
  <c r="U85" i="298" s="1"/>
  <c r="V59" i="298"/>
  <c r="V85" i="298" s="1"/>
  <c r="W59" i="298"/>
  <c r="X59" i="298"/>
  <c r="X85" i="298" s="1"/>
  <c r="Y59" i="298"/>
  <c r="Y85" i="298" s="1"/>
  <c r="Z59" i="298"/>
  <c r="Z85" i="298" s="1"/>
  <c r="AA59" i="298"/>
  <c r="AA85" i="298" s="1"/>
  <c r="AB59" i="298"/>
  <c r="AB85" i="298" s="1"/>
  <c r="AC59" i="298"/>
  <c r="AC85" i="298" s="1"/>
  <c r="AD59" i="298"/>
  <c r="AD85" i="298" s="1"/>
  <c r="AE59" i="298"/>
  <c r="AE85" i="298" s="1"/>
  <c r="AF59" i="298"/>
  <c r="BF59" i="298" s="1"/>
  <c r="BF85" i="298" s="1"/>
  <c r="AK59" i="298"/>
  <c r="AK85" i="298" s="1"/>
  <c r="AL59" i="298"/>
  <c r="AL85" i="298" s="1"/>
  <c r="AM59" i="298"/>
  <c r="AM85" i="298" s="1"/>
  <c r="AN59" i="298"/>
  <c r="AN85" i="298" s="1"/>
  <c r="AO59" i="298"/>
  <c r="AO85" i="298" s="1"/>
  <c r="AP59" i="298"/>
  <c r="AP85" i="298" s="1"/>
  <c r="AQ59" i="298"/>
  <c r="AQ85" i="298" s="1"/>
  <c r="AR59" i="298"/>
  <c r="AR85" i="298" s="1"/>
  <c r="AS59" i="298"/>
  <c r="AS85" i="298" s="1"/>
  <c r="AT59" i="298"/>
  <c r="AT85" i="298" s="1"/>
  <c r="AU59" i="298"/>
  <c r="AU85" i="298" s="1"/>
  <c r="AV59" i="298"/>
  <c r="AV85" i="298" s="1"/>
  <c r="AW59" i="298"/>
  <c r="AW85" i="298" s="1"/>
  <c r="AY531" i="298"/>
  <c r="AY59" i="298" s="1"/>
  <c r="AY85" i="298" s="1"/>
  <c r="AZ531" i="298"/>
  <c r="AZ59" i="298" s="1"/>
  <c r="AZ85" i="298" s="1"/>
  <c r="BA531" i="298"/>
  <c r="BA59" i="298" s="1"/>
  <c r="BA85" i="298" s="1"/>
  <c r="BB59" i="298"/>
  <c r="BB85" i="298" s="1"/>
  <c r="D63" i="298"/>
  <c r="E63" i="298"/>
  <c r="F63" i="298"/>
  <c r="G63" i="298"/>
  <c r="H63" i="298"/>
  <c r="I63" i="298"/>
  <c r="J63" i="298"/>
  <c r="K63" i="298"/>
  <c r="L63" i="298"/>
  <c r="M63" i="298"/>
  <c r="N63" i="298"/>
  <c r="O63" i="298"/>
  <c r="P63" i="298"/>
  <c r="Q63" i="298"/>
  <c r="R63" i="298"/>
  <c r="S538" i="298"/>
  <c r="S63" i="298" s="1"/>
  <c r="T63" i="298"/>
  <c r="V63" i="298"/>
  <c r="W63" i="298"/>
  <c r="X63" i="298"/>
  <c r="Y63" i="298"/>
  <c r="Z63" i="298"/>
  <c r="AA63" i="298"/>
  <c r="AB63" i="298"/>
  <c r="AC63" i="298"/>
  <c r="AD63" i="298"/>
  <c r="AE63" i="298"/>
  <c r="AF63" i="298"/>
  <c r="AG63" i="298" s="1"/>
  <c r="AH63" i="298" s="1"/>
  <c r="AI63" i="298" s="1"/>
  <c r="AK63" i="298"/>
  <c r="AL63" i="298"/>
  <c r="AM63" i="298"/>
  <c r="AN63" i="298"/>
  <c r="AO63" i="298"/>
  <c r="AP63" i="298"/>
  <c r="AQ63" i="298"/>
  <c r="AR63" i="298"/>
  <c r="AS63" i="298"/>
  <c r="AT63" i="298"/>
  <c r="AU63" i="298"/>
  <c r="AV63" i="298"/>
  <c r="AW63" i="298"/>
  <c r="AY538" i="298"/>
  <c r="AY63" i="298" s="1"/>
  <c r="AZ538" i="298"/>
  <c r="AZ63" i="298" s="1"/>
  <c r="BA538" i="298"/>
  <c r="BA63" i="298" s="1"/>
  <c r="BB63" i="298"/>
  <c r="W68" i="298"/>
  <c r="X68" i="298"/>
  <c r="Y68" i="298"/>
  <c r="BE68" i="298"/>
  <c r="BF68" i="298"/>
  <c r="D73" i="298"/>
  <c r="E73" i="298"/>
  <c r="F73" i="298"/>
  <c r="G73" i="298"/>
  <c r="H73" i="298"/>
  <c r="I73" i="298"/>
  <c r="J73" i="298"/>
  <c r="K579" i="298"/>
  <c r="K73" i="298" s="1"/>
  <c r="L73" i="298"/>
  <c r="M73" i="298"/>
  <c r="N73" i="298"/>
  <c r="O73" i="298"/>
  <c r="P73" i="298"/>
  <c r="Q73" i="298"/>
  <c r="R73" i="298"/>
  <c r="S579" i="298"/>
  <c r="S73" i="298" s="1"/>
  <c r="T73" i="298"/>
  <c r="U73" i="298"/>
  <c r="V73" i="298"/>
  <c r="W73" i="298"/>
  <c r="X73" i="298"/>
  <c r="Y73" i="298"/>
  <c r="Z73" i="298"/>
  <c r="AA73" i="298"/>
  <c r="AB73" i="298"/>
  <c r="AC73" i="298"/>
  <c r="AD73" i="298"/>
  <c r="AE73" i="298"/>
  <c r="AF73" i="298"/>
  <c r="AK73" i="298"/>
  <c r="AL73" i="298"/>
  <c r="AM73" i="298"/>
  <c r="AN73" i="298"/>
  <c r="AO73" i="298"/>
  <c r="AP73" i="298"/>
  <c r="AQ73" i="298"/>
  <c r="AR73" i="298"/>
  <c r="AS73" i="298"/>
  <c r="AT73" i="298"/>
  <c r="AU73" i="298"/>
  <c r="AV73" i="298"/>
  <c r="AY73" i="298" s="1"/>
  <c r="AW73" i="298"/>
  <c r="AZ73" i="298"/>
  <c r="BA73" i="298"/>
  <c r="BB73" i="298"/>
  <c r="D84" i="298"/>
  <c r="E84" i="298"/>
  <c r="F84" i="298"/>
  <c r="G84" i="298"/>
  <c r="H84" i="298"/>
  <c r="I84" i="298"/>
  <c r="J84" i="298"/>
  <c r="K84" i="298"/>
  <c r="L84" i="298"/>
  <c r="M84" i="298"/>
  <c r="N84" i="298"/>
  <c r="O84" i="298"/>
  <c r="P84" i="298"/>
  <c r="Q84" i="298"/>
  <c r="R84" i="298"/>
  <c r="S84" i="298"/>
  <c r="T84" i="298"/>
  <c r="U84" i="298"/>
  <c r="V84" i="298"/>
  <c r="W84" i="298"/>
  <c r="X84" i="298"/>
  <c r="Y84" i="298"/>
  <c r="Z84" i="298"/>
  <c r="AA84" i="298"/>
  <c r="AB84" i="298"/>
  <c r="AC84" i="298"/>
  <c r="AD84" i="298"/>
  <c r="AE84" i="298"/>
  <c r="AF84" i="298"/>
  <c r="AK635" i="298"/>
  <c r="AL635" i="298"/>
  <c r="AM635" i="298"/>
  <c r="AM84" i="298" s="1"/>
  <c r="AN635" i="298"/>
  <c r="AN84" i="298" s="1"/>
  <c r="AO635" i="298"/>
  <c r="AO84" i="298" s="1"/>
  <c r="AP635" i="298"/>
  <c r="AP84" i="298" s="1"/>
  <c r="AQ635" i="298"/>
  <c r="AQ84" i="298" s="1"/>
  <c r="AR635" i="298"/>
  <c r="AR84" i="298" s="1"/>
  <c r="AS635" i="298"/>
  <c r="AS84" i="298" s="1"/>
  <c r="AT635" i="298"/>
  <c r="AU635" i="298"/>
  <c r="AU84" i="298" s="1"/>
  <c r="AV635" i="298"/>
  <c r="AV84" i="298" s="1"/>
  <c r="AW635" i="298"/>
  <c r="AW84" i="298" s="1"/>
  <c r="BA635" i="298"/>
  <c r="BA84" i="298" s="1"/>
  <c r="BB635" i="298"/>
  <c r="BB84" i="298" s="1"/>
  <c r="AZ635" i="298"/>
  <c r="AZ634" i="298" s="1"/>
  <c r="B85" i="298"/>
  <c r="AG85" i="298"/>
  <c r="AH85" i="298"/>
  <c r="AI85" i="298"/>
  <c r="D91" i="298"/>
  <c r="E91" i="298"/>
  <c r="F91" i="298"/>
  <c r="G91" i="298"/>
  <c r="H91" i="298"/>
  <c r="I91" i="298"/>
  <c r="J91" i="298"/>
  <c r="K582" i="298"/>
  <c r="K91" i="298" s="1"/>
  <c r="L91" i="298"/>
  <c r="M91" i="298"/>
  <c r="N91" i="298"/>
  <c r="O91" i="298"/>
  <c r="P91" i="298"/>
  <c r="Q91" i="298"/>
  <c r="R91" i="298"/>
  <c r="S582" i="298"/>
  <c r="T91" i="298"/>
  <c r="U91" i="298"/>
  <c r="V91" i="298"/>
  <c r="W91" i="298"/>
  <c r="X91" i="298"/>
  <c r="Y91" i="298"/>
  <c r="Z91" i="298"/>
  <c r="AA91" i="298"/>
  <c r="AB91" i="298"/>
  <c r="AC91" i="298"/>
  <c r="AD91" i="298"/>
  <c r="AE91" i="298"/>
  <c r="AF91" i="298"/>
  <c r="BF91" i="298" s="1"/>
  <c r="AK91" i="298"/>
  <c r="AL91" i="298"/>
  <c r="AM91" i="298"/>
  <c r="AN91" i="298"/>
  <c r="AO91" i="298"/>
  <c r="AP91" i="298"/>
  <c r="AQ91" i="298"/>
  <c r="AR91" i="298"/>
  <c r="AS91" i="298"/>
  <c r="AT91" i="298"/>
  <c r="AU91" i="298"/>
  <c r="AV91" i="298"/>
  <c r="AW91" i="298"/>
  <c r="AZ91" i="298"/>
  <c r="BA91" i="298"/>
  <c r="BB91" i="298"/>
  <c r="BC582" i="298"/>
  <c r="AY623" i="298"/>
  <c r="AY100" i="298" s="1"/>
  <c r="AZ623" i="298"/>
  <c r="AZ100" i="298" s="1"/>
  <c r="BF92" i="298"/>
  <c r="D595" i="298"/>
  <c r="D97" i="298" s="1"/>
  <c r="E595" i="298"/>
  <c r="E97" i="298" s="1"/>
  <c r="F595" i="298"/>
  <c r="F97" i="298" s="1"/>
  <c r="G595" i="298"/>
  <c r="G97" i="298" s="1"/>
  <c r="H595" i="298"/>
  <c r="I595" i="298"/>
  <c r="I97" i="298" s="1"/>
  <c r="J595" i="298"/>
  <c r="J97" i="298" s="1"/>
  <c r="K578" i="298"/>
  <c r="K580" i="298"/>
  <c r="K581" i="298"/>
  <c r="K583" i="298"/>
  <c r="K584" i="298"/>
  <c r="K585" i="298"/>
  <c r="K586" i="298"/>
  <c r="K587" i="298"/>
  <c r="K588" i="298"/>
  <c r="K589" i="298"/>
  <c r="K590" i="298"/>
  <c r="K591" i="298"/>
  <c r="K592" i="298"/>
  <c r="K593" i="298"/>
  <c r="K594" i="298"/>
  <c r="L595" i="298"/>
  <c r="L97" i="298" s="1"/>
  <c r="M595" i="298"/>
  <c r="M97" i="298" s="1"/>
  <c r="N595" i="298"/>
  <c r="N97" i="298" s="1"/>
  <c r="O595" i="298"/>
  <c r="O630" i="298" s="1"/>
  <c r="P595" i="298"/>
  <c r="P97" i="298" s="1"/>
  <c r="Q595" i="298"/>
  <c r="R595" i="298"/>
  <c r="S578" i="298"/>
  <c r="S580" i="298"/>
  <c r="S581" i="298"/>
  <c r="S583" i="298"/>
  <c r="S584" i="298"/>
  <c r="S585" i="298"/>
  <c r="S586" i="298"/>
  <c r="S587" i="298"/>
  <c r="S588" i="298"/>
  <c r="S589" i="298"/>
  <c r="S590" i="298"/>
  <c r="S591" i="298"/>
  <c r="S592" i="298"/>
  <c r="S593" i="298"/>
  <c r="S594" i="298"/>
  <c r="T595" i="298"/>
  <c r="U595" i="298"/>
  <c r="U97" i="298" s="1"/>
  <c r="V595" i="298"/>
  <c r="V630" i="298" s="1"/>
  <c r="W595" i="298"/>
  <c r="W97" i="298" s="1"/>
  <c r="X595" i="298"/>
  <c r="X630" i="298" s="1"/>
  <c r="Y595" i="298"/>
  <c r="Y97" i="298" s="1"/>
  <c r="Z595" i="298"/>
  <c r="Z97" i="298" s="1"/>
  <c r="AA595" i="298"/>
  <c r="AA97" i="298" s="1"/>
  <c r="AB595" i="298"/>
  <c r="AB97" i="298" s="1"/>
  <c r="AC595" i="298"/>
  <c r="AC97" i="298" s="1"/>
  <c r="AD595" i="298"/>
  <c r="AE595" i="298"/>
  <c r="AE97" i="298" s="1"/>
  <c r="AF595" i="298"/>
  <c r="AF630" i="298" s="1"/>
  <c r="AK595" i="298"/>
  <c r="AK97" i="298" s="1"/>
  <c r="AL595" i="298"/>
  <c r="AL97" i="298" s="1"/>
  <c r="AM595" i="298"/>
  <c r="AM97" i="298" s="1"/>
  <c r="AN595" i="298"/>
  <c r="AN97" i="298" s="1"/>
  <c r="AO595" i="298"/>
  <c r="AP595" i="298"/>
  <c r="AQ595" i="298"/>
  <c r="AQ97" i="298" s="1"/>
  <c r="AR595" i="298"/>
  <c r="AR97" i="298" s="1"/>
  <c r="AS595" i="298"/>
  <c r="AT595" i="298"/>
  <c r="AU595" i="298"/>
  <c r="AU97" i="298" s="1"/>
  <c r="AV595" i="298"/>
  <c r="AV97" i="298" s="1"/>
  <c r="AW595" i="298"/>
  <c r="AW97" i="298" s="1"/>
  <c r="AY595" i="298"/>
  <c r="AY97" i="298" s="1"/>
  <c r="AZ595" i="298"/>
  <c r="AZ97" i="298" s="1"/>
  <c r="BA595" i="298"/>
  <c r="BA97" i="298" s="1"/>
  <c r="BB595" i="298"/>
  <c r="BB97" i="298" s="1"/>
  <c r="BC578" i="298"/>
  <c r="BC579" i="298"/>
  <c r="BC580" i="298"/>
  <c r="BC581" i="298"/>
  <c r="BC583" i="298"/>
  <c r="BC584" i="298"/>
  <c r="BC585" i="298"/>
  <c r="BC586" i="298"/>
  <c r="BC587" i="298"/>
  <c r="BC588" i="298"/>
  <c r="BC589" i="298"/>
  <c r="BC590" i="298"/>
  <c r="BC591" i="298"/>
  <c r="BC592" i="298"/>
  <c r="BC593" i="298"/>
  <c r="BC594" i="298"/>
  <c r="D98" i="298"/>
  <c r="E98" i="298"/>
  <c r="F98" i="298"/>
  <c r="G98" i="298"/>
  <c r="H98" i="298"/>
  <c r="I98" i="298"/>
  <c r="J98" i="298"/>
  <c r="K98" i="298"/>
  <c r="L98" i="298"/>
  <c r="M98" i="298"/>
  <c r="N98" i="298"/>
  <c r="O98" i="298"/>
  <c r="P98" i="298"/>
  <c r="Q98" i="298"/>
  <c r="R98" i="298"/>
  <c r="S599" i="298"/>
  <c r="S98" i="298" s="1"/>
  <c r="T98" i="298"/>
  <c r="U98" i="298"/>
  <c r="V98" i="298"/>
  <c r="W98" i="298"/>
  <c r="X98" i="298"/>
  <c r="Y98" i="298"/>
  <c r="Z98" i="298"/>
  <c r="AA98" i="298"/>
  <c r="AB98" i="298"/>
  <c r="AC98" i="298"/>
  <c r="AD98" i="298"/>
  <c r="AE98" i="298"/>
  <c r="AF98" i="298"/>
  <c r="BF98" i="298" s="1"/>
  <c r="AK98" i="298"/>
  <c r="AL98" i="298"/>
  <c r="AM98" i="298"/>
  <c r="AN98" i="298"/>
  <c r="AO98" i="298"/>
  <c r="AP98" i="298"/>
  <c r="AQ98" i="298"/>
  <c r="AR98" i="298"/>
  <c r="AS98" i="298"/>
  <c r="AT98" i="298"/>
  <c r="AU98" i="298"/>
  <c r="AV98" i="298"/>
  <c r="AW98" i="298"/>
  <c r="AZ98" i="298"/>
  <c r="BA98" i="298"/>
  <c r="BB98" i="298"/>
  <c r="BC599" i="298"/>
  <c r="BC98" i="298" s="1"/>
  <c r="D99" i="298"/>
  <c r="E99" i="298"/>
  <c r="F99" i="298"/>
  <c r="G99" i="298"/>
  <c r="H99" i="298"/>
  <c r="I99" i="298"/>
  <c r="J99" i="298"/>
  <c r="K99" i="298"/>
  <c r="L99" i="298"/>
  <c r="M99" i="298"/>
  <c r="N99" i="298"/>
  <c r="O99" i="298"/>
  <c r="P99" i="298"/>
  <c r="Q99" i="298"/>
  <c r="R99" i="298"/>
  <c r="S99" i="298"/>
  <c r="T99" i="298"/>
  <c r="U99" i="298"/>
  <c r="V99" i="298"/>
  <c r="AK99" i="298"/>
  <c r="AL99" i="298"/>
  <c r="AM99" i="298"/>
  <c r="AN99" i="298"/>
  <c r="AO99" i="298"/>
  <c r="AP99" i="298"/>
  <c r="AQ99" i="298"/>
  <c r="AR99" i="298"/>
  <c r="AS99" i="298"/>
  <c r="AT99" i="298"/>
  <c r="AU99" i="298"/>
  <c r="AV99" i="298"/>
  <c r="AW99" i="298"/>
  <c r="AY99" i="298"/>
  <c r="AZ99" i="298"/>
  <c r="BA99" i="298"/>
  <c r="BB99" i="298"/>
  <c r="BC99" i="298"/>
  <c r="BD99" i="298"/>
  <c r="BE99" i="298"/>
  <c r="BF99" i="298"/>
  <c r="AK100" i="298"/>
  <c r="AL100" i="298"/>
  <c r="AM100" i="298"/>
  <c r="AN100" i="298"/>
  <c r="AO100" i="298"/>
  <c r="AP100" i="298"/>
  <c r="AQ100" i="298"/>
  <c r="AR100" i="298"/>
  <c r="AS100" i="298"/>
  <c r="AT100" i="298"/>
  <c r="AU100" i="298"/>
  <c r="AV100" i="298"/>
  <c r="AW100" i="298"/>
  <c r="BA100" i="298"/>
  <c r="BB100" i="298"/>
  <c r="BC100" i="298"/>
  <c r="BD100" i="298"/>
  <c r="BE100" i="298"/>
  <c r="D101" i="298"/>
  <c r="E101" i="298"/>
  <c r="F101" i="298"/>
  <c r="G101" i="298"/>
  <c r="H101" i="298"/>
  <c r="I101" i="298"/>
  <c r="J101" i="298"/>
  <c r="K101" i="298"/>
  <c r="L101" i="298"/>
  <c r="M101" i="298"/>
  <c r="N101" i="298"/>
  <c r="O101" i="298"/>
  <c r="P101" i="298"/>
  <c r="Q101" i="298"/>
  <c r="R101" i="298"/>
  <c r="S611" i="298"/>
  <c r="S101" i="298" s="1"/>
  <c r="T101" i="298"/>
  <c r="U101" i="298"/>
  <c r="V101" i="298"/>
  <c r="W101" i="298"/>
  <c r="X101" i="298"/>
  <c r="Y101" i="298"/>
  <c r="Z101" i="298"/>
  <c r="AA101" i="298"/>
  <c r="AB101" i="298"/>
  <c r="AC101" i="298"/>
  <c r="AD101" i="298"/>
  <c r="AE101" i="298"/>
  <c r="AF101" i="298"/>
  <c r="BF101" i="298" s="1"/>
  <c r="AK101" i="298"/>
  <c r="AL101" i="298"/>
  <c r="AM101" i="298"/>
  <c r="AN101" i="298"/>
  <c r="AO101" i="298"/>
  <c r="AP101" i="298"/>
  <c r="AQ101" i="298"/>
  <c r="AR101" i="298"/>
  <c r="AS101" i="298"/>
  <c r="AT101" i="298"/>
  <c r="AU101" i="298"/>
  <c r="AV101" i="298"/>
  <c r="AW101" i="298"/>
  <c r="AZ101" i="298"/>
  <c r="BA101" i="298"/>
  <c r="BB101" i="298"/>
  <c r="BC611" i="298"/>
  <c r="BC101" i="298" s="1"/>
  <c r="D102" i="298"/>
  <c r="E102" i="298"/>
  <c r="F102" i="298"/>
  <c r="G102" i="298"/>
  <c r="H102" i="298"/>
  <c r="I102" i="298"/>
  <c r="J102" i="298"/>
  <c r="K102" i="298"/>
  <c r="L102" i="298"/>
  <c r="M102" i="298"/>
  <c r="N102" i="298"/>
  <c r="O102" i="298"/>
  <c r="P102" i="298"/>
  <c r="Q102" i="298"/>
  <c r="R102" i="298"/>
  <c r="S612" i="298"/>
  <c r="S102" i="298" s="1"/>
  <c r="T102" i="298"/>
  <c r="U102" i="298"/>
  <c r="V102" i="298"/>
  <c r="W102" i="298"/>
  <c r="X102" i="298"/>
  <c r="Y102" i="298"/>
  <c r="Z102" i="298"/>
  <c r="AA102" i="298"/>
  <c r="AB102" i="298"/>
  <c r="AC102" i="298"/>
  <c r="AD102" i="298"/>
  <c r="AE102" i="298"/>
  <c r="AF102" i="298"/>
  <c r="BF102" i="298" s="1"/>
  <c r="AK102" i="298"/>
  <c r="AL102" i="298"/>
  <c r="AM102" i="298"/>
  <c r="AN102" i="298"/>
  <c r="AO102" i="298"/>
  <c r="AP102" i="298"/>
  <c r="AQ102" i="298"/>
  <c r="AR102" i="298"/>
  <c r="AS102" i="298"/>
  <c r="AT102" i="298"/>
  <c r="AU102" i="298"/>
  <c r="AV102" i="298"/>
  <c r="AW102" i="298"/>
  <c r="AZ102" i="298"/>
  <c r="BA102" i="298"/>
  <c r="BB102" i="298"/>
  <c r="BC612" i="298"/>
  <c r="BC102" i="298" s="1"/>
  <c r="D103" i="298"/>
  <c r="E103" i="298"/>
  <c r="F103" i="298"/>
  <c r="G103" i="298"/>
  <c r="H103" i="298"/>
  <c r="I103" i="298"/>
  <c r="J103" i="298"/>
  <c r="K103" i="298"/>
  <c r="L103" i="298"/>
  <c r="M103" i="298"/>
  <c r="N103" i="298"/>
  <c r="O103" i="298"/>
  <c r="P103" i="298"/>
  <c r="Q103" i="298"/>
  <c r="R103" i="298"/>
  <c r="S613" i="298"/>
  <c r="S103" i="298" s="1"/>
  <c r="T103" i="298"/>
  <c r="U103" i="298"/>
  <c r="V103" i="298"/>
  <c r="W103" i="298"/>
  <c r="X103" i="298"/>
  <c r="Y103" i="298"/>
  <c r="Z103" i="298"/>
  <c r="AA103" i="298"/>
  <c r="AB103" i="298"/>
  <c r="AC103" i="298"/>
  <c r="AD103" i="298"/>
  <c r="AE103" i="298"/>
  <c r="AF103" i="298"/>
  <c r="BF103" i="298" s="1"/>
  <c r="AK103" i="298"/>
  <c r="AL103" i="298"/>
  <c r="AM103" i="298"/>
  <c r="AN103" i="298"/>
  <c r="AO103" i="298"/>
  <c r="AP103" i="298"/>
  <c r="AQ103" i="298"/>
  <c r="AR103" i="298"/>
  <c r="AS103" i="298"/>
  <c r="AT103" i="298"/>
  <c r="AU103" i="298"/>
  <c r="AV103" i="298"/>
  <c r="AW103" i="298"/>
  <c r="AZ103" i="298"/>
  <c r="BA103" i="298"/>
  <c r="BB103" i="298"/>
  <c r="BC613" i="298"/>
  <c r="BC103" i="298" s="1"/>
  <c r="D106" i="298"/>
  <c r="E106" i="298"/>
  <c r="F106" i="298"/>
  <c r="G106" i="298"/>
  <c r="H106" i="298"/>
  <c r="I106" i="298"/>
  <c r="J106" i="298"/>
  <c r="K106" i="298"/>
  <c r="L106" i="298"/>
  <c r="M106" i="298"/>
  <c r="N106" i="298"/>
  <c r="O106" i="298"/>
  <c r="P106" i="298"/>
  <c r="Q106" i="298"/>
  <c r="R106" i="298"/>
  <c r="S664" i="298"/>
  <c r="S665" i="298"/>
  <c r="S671" i="298"/>
  <c r="S672" i="298"/>
  <c r="T106" i="298"/>
  <c r="U106" i="298"/>
  <c r="V106" i="298"/>
  <c r="W106" i="298"/>
  <c r="X106" i="298"/>
  <c r="Y106" i="298"/>
  <c r="Z106" i="298"/>
  <c r="AA106" i="298"/>
  <c r="AB106" i="298"/>
  <c r="AC106" i="298"/>
  <c r="AD106" i="298"/>
  <c r="AE106" i="298"/>
  <c r="AF106" i="298"/>
  <c r="AK106" i="298"/>
  <c r="AL106" i="298"/>
  <c r="AM106" i="298"/>
  <c r="AN106" i="298"/>
  <c r="AO106" i="298"/>
  <c r="AP106" i="298"/>
  <c r="AQ106" i="298"/>
  <c r="AR106" i="298"/>
  <c r="AS106" i="298"/>
  <c r="AT106" i="298"/>
  <c r="AU106" i="298"/>
  <c r="AV106" i="298"/>
  <c r="AW106" i="298"/>
  <c r="AZ106" i="298"/>
  <c r="BA106" i="298"/>
  <c r="BB106" i="298"/>
  <c r="BC664" i="298"/>
  <c r="BC665" i="298"/>
  <c r="BC671" i="298"/>
  <c r="BC672" i="298"/>
  <c r="BD664" i="298"/>
  <c r="BD665" i="298"/>
  <c r="BD671" i="298"/>
  <c r="BD672" i="298"/>
  <c r="BE664" i="298"/>
  <c r="BE665" i="298"/>
  <c r="BE671" i="298"/>
  <c r="BE672" i="298"/>
  <c r="D107" i="298"/>
  <c r="E107" i="298"/>
  <c r="F107" i="298"/>
  <c r="G107" i="298"/>
  <c r="AY107" i="298" s="1"/>
  <c r="H107" i="298"/>
  <c r="I107" i="298"/>
  <c r="J107" i="298"/>
  <c r="K107" i="298"/>
  <c r="L107" i="298"/>
  <c r="M107" i="298"/>
  <c r="N107" i="298"/>
  <c r="O107" i="298"/>
  <c r="P107" i="298"/>
  <c r="Q107" i="298"/>
  <c r="R107" i="298"/>
  <c r="S645" i="298"/>
  <c r="S646" i="298"/>
  <c r="T107" i="298"/>
  <c r="U107" i="298"/>
  <c r="V107" i="298"/>
  <c r="W107" i="298"/>
  <c r="X107" i="298"/>
  <c r="Y107" i="298"/>
  <c r="Z107" i="298"/>
  <c r="AA107" i="298"/>
  <c r="AB107" i="298"/>
  <c r="AC107" i="298"/>
  <c r="AD107" i="298"/>
  <c r="AE107" i="298"/>
  <c r="AF107" i="298"/>
  <c r="AK107" i="298"/>
  <c r="AL107" i="298"/>
  <c r="AM107" i="298"/>
  <c r="AN107" i="298"/>
  <c r="AO107" i="298"/>
  <c r="AP107" i="298"/>
  <c r="AQ107" i="298"/>
  <c r="AR107" i="298"/>
  <c r="AS107" i="298"/>
  <c r="AT107" i="298"/>
  <c r="AU107" i="298"/>
  <c r="AV107" i="298"/>
  <c r="AW107" i="298"/>
  <c r="AZ107" i="298"/>
  <c r="BA107" i="298"/>
  <c r="BB107" i="298"/>
  <c r="BC645" i="298"/>
  <c r="BC646" i="298"/>
  <c r="BD645" i="298"/>
  <c r="BD646" i="298"/>
  <c r="BE645" i="298"/>
  <c r="BE646" i="298"/>
  <c r="S114" i="298"/>
  <c r="S121" i="298" s="1"/>
  <c r="AZ114" i="298"/>
  <c r="AZ707" i="298" s="1"/>
  <c r="BA114" i="298"/>
  <c r="BB121" i="298" s="1"/>
  <c r="BC114" i="298"/>
  <c r="BC707" i="298" s="1"/>
  <c r="BD114" i="298"/>
  <c r="BD707" i="298" s="1"/>
  <c r="BE114" i="298"/>
  <c r="BE707" i="298" s="1"/>
  <c r="S115" i="298"/>
  <c r="AZ115" i="298"/>
  <c r="AZ438" i="298" s="1"/>
  <c r="BA115" i="298"/>
  <c r="BA438" i="298" s="1"/>
  <c r="BC115" i="298"/>
  <c r="BC708" i="298" s="1"/>
  <c r="BD115" i="298"/>
  <c r="BD438" i="298" s="1"/>
  <c r="BE115" i="298"/>
  <c r="S116" i="298"/>
  <c r="AZ116" i="298"/>
  <c r="AZ709" i="298" s="1"/>
  <c r="BA116" i="298"/>
  <c r="BC116" i="298"/>
  <c r="BC123" i="298" s="1"/>
  <c r="BD116" i="298"/>
  <c r="BD466" i="298" s="1"/>
  <c r="BE116" i="298"/>
  <c r="BE709" i="298" s="1"/>
  <c r="S117" i="298"/>
  <c r="W124" i="298" s="1"/>
  <c r="AZ117" i="298"/>
  <c r="BA117" i="298"/>
  <c r="BC117" i="298"/>
  <c r="BD117" i="298"/>
  <c r="BE117" i="298"/>
  <c r="BF117" i="298"/>
  <c r="H118" i="298"/>
  <c r="H159" i="298" s="1"/>
  <c r="I118" i="298"/>
  <c r="I159" i="298" s="1"/>
  <c r="J118" i="298"/>
  <c r="K118" i="298"/>
  <c r="L118" i="298"/>
  <c r="M118" i="298"/>
  <c r="N118" i="298"/>
  <c r="N159" i="298" s="1"/>
  <c r="O118" i="298"/>
  <c r="O159" i="298" s="1"/>
  <c r="P118" i="298"/>
  <c r="Q118" i="298"/>
  <c r="Q167" i="298" s="1"/>
  <c r="Q166" i="298" s="1"/>
  <c r="R118" i="298"/>
  <c r="R159" i="298" s="1"/>
  <c r="T118" i="298"/>
  <c r="U118" i="298"/>
  <c r="U159" i="298" s="1"/>
  <c r="V118" i="298"/>
  <c r="AY118" i="298"/>
  <c r="AY167" i="298" s="1"/>
  <c r="BB118" i="298"/>
  <c r="BB159" i="298" s="1"/>
  <c r="B121" i="298"/>
  <c r="L121" i="298"/>
  <c r="M121" i="298"/>
  <c r="N121" i="298"/>
  <c r="O121" i="298"/>
  <c r="P121" i="298"/>
  <c r="Q121" i="298"/>
  <c r="R121" i="298"/>
  <c r="T121" i="298"/>
  <c r="U121" i="298"/>
  <c r="V121" i="298"/>
  <c r="X121" i="298"/>
  <c r="AB121" i="298"/>
  <c r="AF121" i="298"/>
  <c r="AU121" i="298"/>
  <c r="AU129" i="298" s="1"/>
  <c r="AV121" i="298"/>
  <c r="AW121" i="298"/>
  <c r="AZ121" i="298" s="1"/>
  <c r="B122" i="298"/>
  <c r="L122" i="298"/>
  <c r="M122" i="298"/>
  <c r="N122" i="298"/>
  <c r="O122" i="298"/>
  <c r="P122" i="298"/>
  <c r="Q122" i="298"/>
  <c r="R122" i="298"/>
  <c r="T122" i="298"/>
  <c r="U122" i="298"/>
  <c r="V122" i="298"/>
  <c r="AU122" i="298"/>
  <c r="AU130" i="298" s="1"/>
  <c r="AV122" i="298"/>
  <c r="AW122" i="298"/>
  <c r="AZ122" i="298" s="1"/>
  <c r="B123" i="298"/>
  <c r="L123" i="298"/>
  <c r="M123" i="298"/>
  <c r="N123" i="298"/>
  <c r="O123" i="298"/>
  <c r="P123" i="298"/>
  <c r="Q123" i="298"/>
  <c r="R123" i="298"/>
  <c r="T123" i="298"/>
  <c r="U123" i="298"/>
  <c r="V123" i="298"/>
  <c r="X123" i="298"/>
  <c r="AB123" i="298"/>
  <c r="AF123" i="298"/>
  <c r="AU123" i="298"/>
  <c r="AU131" i="298" s="1"/>
  <c r="AV123" i="298"/>
  <c r="AW123" i="298"/>
  <c r="BM123" i="298"/>
  <c r="BN123" i="298"/>
  <c r="BO123" i="298" s="1"/>
  <c r="B124" i="298"/>
  <c r="L124" i="298"/>
  <c r="M124" i="298"/>
  <c r="N124" i="298"/>
  <c r="O124" i="298"/>
  <c r="P124" i="298"/>
  <c r="Q124" i="298"/>
  <c r="R124" i="298"/>
  <c r="T124" i="298"/>
  <c r="U124" i="298"/>
  <c r="V124" i="298"/>
  <c r="X124" i="298"/>
  <c r="Y124" i="298"/>
  <c r="Z124" i="298"/>
  <c r="AA124" i="298"/>
  <c r="AB124" i="298"/>
  <c r="AC124" i="298"/>
  <c r="AD124" i="298"/>
  <c r="AE124" i="298"/>
  <c r="AF124" i="298"/>
  <c r="AG124" i="298"/>
  <c r="AH124" i="298"/>
  <c r="AI124" i="298"/>
  <c r="AU124" i="298"/>
  <c r="AW124" i="298"/>
  <c r="AZ124" i="298" s="1"/>
  <c r="AY124" i="298"/>
  <c r="BM124" i="298"/>
  <c r="BN124" i="298"/>
  <c r="BO124" i="298" s="1"/>
  <c r="B125" i="298"/>
  <c r="B133" i="298" s="1"/>
  <c r="B139" i="298" s="1"/>
  <c r="BM125" i="298"/>
  <c r="BN125" i="298"/>
  <c r="BO125" i="298" s="1"/>
  <c r="L129" i="298"/>
  <c r="M129" i="298"/>
  <c r="N129" i="298"/>
  <c r="O129" i="298"/>
  <c r="P129" i="298"/>
  <c r="Q129" i="298"/>
  <c r="R129" i="298"/>
  <c r="S129" i="298"/>
  <c r="T129" i="298"/>
  <c r="U129" i="298"/>
  <c r="V129" i="298"/>
  <c r="W129" i="298"/>
  <c r="X129" i="298"/>
  <c r="Y129" i="298"/>
  <c r="Z129" i="298"/>
  <c r="AA129" i="298"/>
  <c r="L130" i="298"/>
  <c r="M130" i="298"/>
  <c r="N130" i="298"/>
  <c r="O130" i="298"/>
  <c r="P130" i="298"/>
  <c r="Q130" i="298"/>
  <c r="R130" i="298"/>
  <c r="S130" i="298"/>
  <c r="T130" i="298"/>
  <c r="U130" i="298"/>
  <c r="V130" i="298"/>
  <c r="W130" i="298"/>
  <c r="X130" i="298"/>
  <c r="Y130" i="298"/>
  <c r="Z130" i="298"/>
  <c r="AA130" i="298"/>
  <c r="L131" i="298"/>
  <c r="M131" i="298"/>
  <c r="N131" i="298"/>
  <c r="O131" i="298"/>
  <c r="P131" i="298"/>
  <c r="Q131" i="298"/>
  <c r="R131" i="298"/>
  <c r="S131" i="298"/>
  <c r="T131" i="298"/>
  <c r="U131" i="298"/>
  <c r="V131" i="298"/>
  <c r="W131" i="298"/>
  <c r="X131" i="298"/>
  <c r="Y131" i="298"/>
  <c r="Z131" i="298"/>
  <c r="AA131" i="298"/>
  <c r="AY132" i="298"/>
  <c r="AZ132" i="298"/>
  <c r="B136" i="298"/>
  <c r="B137" i="298"/>
  <c r="B138" i="298"/>
  <c r="S142" i="298"/>
  <c r="S149" i="298" s="1"/>
  <c r="AZ142" i="298"/>
  <c r="BA142" i="298"/>
  <c r="BB149" i="298" s="1"/>
  <c r="BC142" i="298"/>
  <c r="BD142" i="298"/>
  <c r="BD363" i="298" s="1"/>
  <c r="BE142" i="298"/>
  <c r="S143" i="298"/>
  <c r="S445" i="298" s="1"/>
  <c r="AZ143" i="298"/>
  <c r="BA143" i="298"/>
  <c r="BA445" i="298" s="1"/>
  <c r="BC143" i="298"/>
  <c r="BC150" i="298" s="1"/>
  <c r="BD143" i="298"/>
  <c r="BD445" i="298" s="1"/>
  <c r="BE143" i="298"/>
  <c r="S144" i="298"/>
  <c r="AZ144" i="298"/>
  <c r="AZ473" i="298" s="1"/>
  <c r="BA144" i="298"/>
  <c r="BB151" i="298" s="1"/>
  <c r="BC144" i="298"/>
  <c r="BD144" i="298"/>
  <c r="BD473" i="298" s="1"/>
  <c r="BE144" i="298"/>
  <c r="S145" i="298"/>
  <c r="S152" i="298" s="1"/>
  <c r="AZ145" i="298"/>
  <c r="BA145" i="298"/>
  <c r="BC145" i="298"/>
  <c r="BC152" i="298" s="1"/>
  <c r="BD145" i="298"/>
  <c r="BE145" i="298"/>
  <c r="H146" i="298"/>
  <c r="I146" i="298"/>
  <c r="J146" i="298"/>
  <c r="K146" i="298"/>
  <c r="L146" i="298"/>
  <c r="M146" i="298"/>
  <c r="N146" i="298"/>
  <c r="O146" i="298"/>
  <c r="P146" i="298"/>
  <c r="Q146" i="298"/>
  <c r="R146" i="298"/>
  <c r="T146" i="298"/>
  <c r="U146" i="298"/>
  <c r="V146" i="298"/>
  <c r="W146" i="298"/>
  <c r="X146" i="298"/>
  <c r="Y146" i="298"/>
  <c r="AT146" i="298"/>
  <c r="AU146" i="298"/>
  <c r="AV146" i="298"/>
  <c r="AW146" i="298"/>
  <c r="AY146" i="298"/>
  <c r="BB146" i="298"/>
  <c r="B149" i="298"/>
  <c r="L149" i="298"/>
  <c r="M149" i="298"/>
  <c r="N149" i="298"/>
  <c r="O149" i="298"/>
  <c r="P149" i="298"/>
  <c r="Q149" i="298"/>
  <c r="R149" i="298"/>
  <c r="T149" i="298"/>
  <c r="U149" i="298"/>
  <c r="V149" i="298"/>
  <c r="X149" i="298"/>
  <c r="Y149" i="298"/>
  <c r="Z149" i="298"/>
  <c r="AA149" i="298"/>
  <c r="AB149" i="298"/>
  <c r="AC149" i="298"/>
  <c r="AD149" i="298"/>
  <c r="AE149" i="298"/>
  <c r="AF149" i="298"/>
  <c r="AU149" i="298"/>
  <c r="AV149" i="298"/>
  <c r="AY149" i="298" s="1"/>
  <c r="AW149" i="298"/>
  <c r="AZ149" i="298" s="1"/>
  <c r="B150" i="298"/>
  <c r="L150" i="298"/>
  <c r="M150" i="298"/>
  <c r="N150" i="298"/>
  <c r="O150" i="298"/>
  <c r="P150" i="298"/>
  <c r="Q150" i="298"/>
  <c r="R150" i="298"/>
  <c r="T150" i="298"/>
  <c r="U150" i="298"/>
  <c r="V150" i="298"/>
  <c r="X150" i="298"/>
  <c r="Y150" i="298"/>
  <c r="Z150" i="298"/>
  <c r="AA150" i="298"/>
  <c r="AB150" i="298"/>
  <c r="AC150" i="298"/>
  <c r="AD150" i="298"/>
  <c r="AE150" i="298"/>
  <c r="AF150" i="298"/>
  <c r="AU150" i="298"/>
  <c r="AV150" i="298"/>
  <c r="AY150" i="298" s="1"/>
  <c r="AW150" i="298"/>
  <c r="AZ150" i="298" s="1"/>
  <c r="B151" i="298"/>
  <c r="L151" i="298"/>
  <c r="M151" i="298"/>
  <c r="N151" i="298"/>
  <c r="O151" i="298"/>
  <c r="P151" i="298"/>
  <c r="Q151" i="298"/>
  <c r="R151" i="298"/>
  <c r="T151" i="298"/>
  <c r="U151" i="298"/>
  <c r="V151" i="298"/>
  <c r="X151" i="298"/>
  <c r="Y151" i="298"/>
  <c r="Z151" i="298"/>
  <c r="AA151" i="298"/>
  <c r="AB151" i="298"/>
  <c r="AC151" i="298"/>
  <c r="AD151" i="298"/>
  <c r="AE151" i="298"/>
  <c r="AF151" i="298"/>
  <c r="AU151" i="298"/>
  <c r="AV151" i="298"/>
  <c r="AY151" i="298" s="1"/>
  <c r="AW151" i="298"/>
  <c r="AZ151" i="298" s="1"/>
  <c r="B152" i="298"/>
  <c r="L152" i="298"/>
  <c r="M152" i="298"/>
  <c r="N152" i="298"/>
  <c r="O152" i="298"/>
  <c r="P152" i="298"/>
  <c r="Q152" i="298"/>
  <c r="R152" i="298"/>
  <c r="T152" i="298"/>
  <c r="U152" i="298"/>
  <c r="V152" i="298"/>
  <c r="X152" i="298"/>
  <c r="Y152" i="298"/>
  <c r="Z152" i="298"/>
  <c r="AA152" i="298"/>
  <c r="AB152" i="298"/>
  <c r="AC152" i="298"/>
  <c r="AD152" i="298"/>
  <c r="AE152" i="298"/>
  <c r="AF152" i="298"/>
  <c r="AU152" i="298"/>
  <c r="AV152" i="298"/>
  <c r="AY152" i="298" s="1"/>
  <c r="AW152" i="298"/>
  <c r="AZ152" i="298" s="1"/>
  <c r="B153" i="298"/>
  <c r="B156" i="298"/>
  <c r="H156" i="298"/>
  <c r="I156" i="298"/>
  <c r="J156" i="298"/>
  <c r="K156" i="298"/>
  <c r="L156" i="298"/>
  <c r="M156" i="298"/>
  <c r="N156" i="298"/>
  <c r="O156" i="298"/>
  <c r="P156" i="298"/>
  <c r="Q156" i="298"/>
  <c r="R156" i="298"/>
  <c r="T156" i="298"/>
  <c r="U156" i="298"/>
  <c r="V156" i="298"/>
  <c r="W156" i="298"/>
  <c r="X156" i="298"/>
  <c r="Y156" i="298"/>
  <c r="Z156" i="298"/>
  <c r="AA156" i="298"/>
  <c r="AT156" i="298"/>
  <c r="AU156" i="298"/>
  <c r="AV156" i="298"/>
  <c r="AY156" i="298" s="1"/>
  <c r="AW156" i="298"/>
  <c r="AZ156" i="298" s="1"/>
  <c r="BB156" i="298"/>
  <c r="B157" i="298"/>
  <c r="H157" i="298"/>
  <c r="I157" i="298"/>
  <c r="J157" i="298"/>
  <c r="K157" i="298"/>
  <c r="L157" i="298"/>
  <c r="M157" i="298"/>
  <c r="N157" i="298"/>
  <c r="O157" i="298"/>
  <c r="P157" i="298"/>
  <c r="Q157" i="298"/>
  <c r="R157" i="298"/>
  <c r="T157" i="298"/>
  <c r="U157" i="298"/>
  <c r="V157" i="298"/>
  <c r="W157" i="298"/>
  <c r="X157" i="298"/>
  <c r="Y157" i="298"/>
  <c r="Z157" i="298"/>
  <c r="AA157" i="298"/>
  <c r="AT157" i="298"/>
  <c r="AU157" i="298"/>
  <c r="AV157" i="298"/>
  <c r="AY157" i="298" s="1"/>
  <c r="AW157" i="298"/>
  <c r="AZ157" i="298" s="1"/>
  <c r="BB157" i="298"/>
  <c r="B158" i="298"/>
  <c r="H158" i="298"/>
  <c r="I158" i="298"/>
  <c r="J158" i="298"/>
  <c r="K158" i="298"/>
  <c r="L158" i="298"/>
  <c r="M158" i="298"/>
  <c r="N158" i="298"/>
  <c r="O158" i="298"/>
  <c r="P158" i="298"/>
  <c r="Q158" i="298"/>
  <c r="R158" i="298"/>
  <c r="T158" i="298"/>
  <c r="U158" i="298"/>
  <c r="V158" i="298"/>
  <c r="W158" i="298"/>
  <c r="X158" i="298"/>
  <c r="Y158" i="298"/>
  <c r="Z158" i="298"/>
  <c r="AA158" i="298"/>
  <c r="AT158" i="298"/>
  <c r="AU158" i="298"/>
  <c r="AV158" i="298"/>
  <c r="AY158" i="298" s="1"/>
  <c r="AW158" i="298"/>
  <c r="AZ158" i="298" s="1"/>
  <c r="BB158" i="298"/>
  <c r="B159" i="298"/>
  <c r="B160" i="298"/>
  <c r="BA165" i="298"/>
  <c r="BA170" i="298" s="1"/>
  <c r="BC165" i="298"/>
  <c r="BC170" i="298" s="1"/>
  <c r="BD165" i="298"/>
  <c r="BE165" i="298"/>
  <c r="B170" i="298"/>
  <c r="B175" i="298" s="1"/>
  <c r="P170" i="298"/>
  <c r="Q170" i="298"/>
  <c r="R170" i="298"/>
  <c r="S170" i="298"/>
  <c r="T170" i="298"/>
  <c r="U170" i="298"/>
  <c r="V170" i="298"/>
  <c r="W170" i="298"/>
  <c r="X170" i="298"/>
  <c r="Y170" i="298"/>
  <c r="Z170" i="298"/>
  <c r="AA170" i="298"/>
  <c r="AB170" i="298"/>
  <c r="AC170" i="298"/>
  <c r="AD170" i="298"/>
  <c r="AE170" i="298"/>
  <c r="AF170" i="298"/>
  <c r="AU170" i="298"/>
  <c r="AV170" i="298"/>
  <c r="AY170" i="298" s="1"/>
  <c r="AW170" i="298"/>
  <c r="AZ170" i="298" s="1"/>
  <c r="B171" i="298"/>
  <c r="B176" i="298" s="1"/>
  <c r="B172" i="298"/>
  <c r="B177" i="298" s="1"/>
  <c r="B174" i="298"/>
  <c r="BC175" i="298"/>
  <c r="L180" i="298"/>
  <c r="M180" i="298"/>
  <c r="N180" i="298"/>
  <c r="O180" i="298"/>
  <c r="P180" i="298"/>
  <c r="Q180" i="298"/>
  <c r="R180" i="298"/>
  <c r="S180" i="298"/>
  <c r="T180" i="298"/>
  <c r="U180" i="298"/>
  <c r="V180" i="298"/>
  <c r="W180" i="298"/>
  <c r="X180" i="298"/>
  <c r="Y180" i="298"/>
  <c r="Z180" i="298"/>
  <c r="AA180" i="298"/>
  <c r="AB180" i="298"/>
  <c r="AC180" i="298"/>
  <c r="AD180" i="298"/>
  <c r="AE180" i="298"/>
  <c r="AF180" i="298"/>
  <c r="AT180" i="298"/>
  <c r="AU180" i="298"/>
  <c r="AV180" i="298"/>
  <c r="AW180" i="298"/>
  <c r="BC503" i="298"/>
  <c r="BC508" i="298" s="1"/>
  <c r="BC504" i="298"/>
  <c r="BC509" i="298" s="1"/>
  <c r="BC513" i="298"/>
  <c r="BC514" i="298"/>
  <c r="AX182" i="298"/>
  <c r="B185" i="298"/>
  <c r="B190" i="298" s="1"/>
  <c r="BA185" i="298"/>
  <c r="B186" i="298"/>
  <c r="B191" i="298" s="1"/>
  <c r="BA186" i="298"/>
  <c r="B187" i="298"/>
  <c r="B192" i="298" s="1"/>
  <c r="AY190" i="298"/>
  <c r="AZ190" i="298"/>
  <c r="AZ196" i="298"/>
  <c r="BA196" i="298"/>
  <c r="BB196" i="298"/>
  <c r="BC196" i="298"/>
  <c r="BD196" i="298"/>
  <c r="BE196" i="298"/>
  <c r="AZ197" i="298"/>
  <c r="BA197" i="298"/>
  <c r="BB197" i="298"/>
  <c r="BC197" i="298"/>
  <c r="BD197" i="298"/>
  <c r="BE197" i="298"/>
  <c r="AZ199" i="298"/>
  <c r="BA199" i="298"/>
  <c r="BB199" i="298"/>
  <c r="BC199" i="298"/>
  <c r="BD199" i="298"/>
  <c r="BE199" i="298"/>
  <c r="AR207" i="298"/>
  <c r="AR209" i="298" s="1"/>
  <c r="AS207" i="298"/>
  <c r="AT207" i="298"/>
  <c r="AU207" i="298"/>
  <c r="AU209" i="298" s="1"/>
  <c r="AR212" i="298"/>
  <c r="AR282" i="298" s="1"/>
  <c r="AS212" i="298"/>
  <c r="AS282" i="298" s="1"/>
  <c r="AT212" i="298"/>
  <c r="AT282" i="298" s="1"/>
  <c r="AU212" i="298"/>
  <c r="AU282" i="298" s="1"/>
  <c r="AS217" i="298"/>
  <c r="AT217" i="298"/>
  <c r="AU217" i="298"/>
  <c r="AS218" i="298"/>
  <c r="AT218" i="298"/>
  <c r="AU218" i="298"/>
  <c r="AS219" i="298"/>
  <c r="AT219" i="298"/>
  <c r="AU219" i="298"/>
  <c r="AS221" i="298"/>
  <c r="AT221" i="298"/>
  <c r="AU221" i="298"/>
  <c r="AS223" i="298"/>
  <c r="AT223" i="298"/>
  <c r="AU223" i="298"/>
  <c r="AS224" i="298"/>
  <c r="AT224" i="298"/>
  <c r="AU224" i="298"/>
  <c r="AS226" i="298"/>
  <c r="AT226" i="298"/>
  <c r="AU226" i="298"/>
  <c r="AR233" i="298"/>
  <c r="AS233" i="298"/>
  <c r="AT233" i="298"/>
  <c r="AT235" i="298" s="1"/>
  <c r="AU233" i="298"/>
  <c r="AU235" i="298" s="1"/>
  <c r="AR238" i="298"/>
  <c r="AS238" i="298"/>
  <c r="AT238" i="298"/>
  <c r="AU238" i="298"/>
  <c r="AS243" i="298"/>
  <c r="AT243" i="298"/>
  <c r="AU243" i="298"/>
  <c r="AS244" i="298"/>
  <c r="AT244" i="298"/>
  <c r="AU244" i="298"/>
  <c r="AS245" i="298"/>
  <c r="AT245" i="298"/>
  <c r="AU245" i="298"/>
  <c r="AS247" i="298"/>
  <c r="AT247" i="298"/>
  <c r="AU247" i="298"/>
  <c r="AS249" i="298"/>
  <c r="AT249" i="298"/>
  <c r="AU249" i="298"/>
  <c r="AS250" i="298"/>
  <c r="AT250" i="298"/>
  <c r="AU250" i="298"/>
  <c r="AS252" i="298"/>
  <c r="AT252" i="298"/>
  <c r="AU252" i="298"/>
  <c r="AR256" i="298"/>
  <c r="AS256" i="298"/>
  <c r="AT256" i="298"/>
  <c r="AU256" i="298"/>
  <c r="AR257" i="298"/>
  <c r="AS257" i="298"/>
  <c r="AT257" i="298"/>
  <c r="AU257" i="298"/>
  <c r="AR258" i="298"/>
  <c r="AS258" i="298"/>
  <c r="AT258" i="298"/>
  <c r="AU258" i="298"/>
  <c r="AR260" i="298"/>
  <c r="AS260" i="298"/>
  <c r="AT260" i="298"/>
  <c r="AU260" i="298"/>
  <c r="AR262" i="298"/>
  <c r="AS262" i="298"/>
  <c r="AT262" i="298"/>
  <c r="AU262" i="298"/>
  <c r="AR263" i="298"/>
  <c r="AS263" i="298"/>
  <c r="AT263" i="298"/>
  <c r="AU263" i="298"/>
  <c r="AR265" i="298"/>
  <c r="AS265" i="298"/>
  <c r="AT265" i="298"/>
  <c r="AU265" i="298"/>
  <c r="AR272" i="298"/>
  <c r="AS272" i="298"/>
  <c r="AT272" i="298"/>
  <c r="AU272" i="298"/>
  <c r="AS275" i="298"/>
  <c r="AT275" i="298"/>
  <c r="AU275" i="298"/>
  <c r="AS276" i="298"/>
  <c r="AT276" i="298"/>
  <c r="AU276" i="298"/>
  <c r="AS277" i="298"/>
  <c r="AT277" i="298"/>
  <c r="AU277" i="298"/>
  <c r="K289" i="298"/>
  <c r="O289" i="298"/>
  <c r="S289" i="298"/>
  <c r="W289" i="298"/>
  <c r="AA289" i="298"/>
  <c r="AB289" i="298"/>
  <c r="K290" i="298"/>
  <c r="O290" i="298"/>
  <c r="S290" i="298"/>
  <c r="W290" i="298"/>
  <c r="AA290" i="298"/>
  <c r="AB290" i="298"/>
  <c r="AB302" i="298" s="1"/>
  <c r="K291" i="298"/>
  <c r="O291" i="298"/>
  <c r="S291" i="298"/>
  <c r="W291" i="298"/>
  <c r="AA291" i="298"/>
  <c r="AB291" i="298"/>
  <c r="AE291" i="298" s="1"/>
  <c r="K292" i="298"/>
  <c r="O292" i="298"/>
  <c r="S292" i="298"/>
  <c r="W292" i="298"/>
  <c r="AA292" i="298"/>
  <c r="AB292" i="298"/>
  <c r="K293" i="298"/>
  <c r="O293" i="298"/>
  <c r="S293" i="298"/>
  <c r="W293" i="298"/>
  <c r="AA293" i="298"/>
  <c r="AB293" i="298"/>
  <c r="AB305" i="298" s="1"/>
  <c r="K294" i="298"/>
  <c r="O294" i="298"/>
  <c r="S294" i="298"/>
  <c r="W294" i="298"/>
  <c r="AA294" i="298"/>
  <c r="AB294" i="298"/>
  <c r="K295" i="298"/>
  <c r="O295" i="298"/>
  <c r="S295" i="298"/>
  <c r="W295" i="298"/>
  <c r="AA295" i="298"/>
  <c r="AB295" i="298"/>
  <c r="AB307" i="298" s="1"/>
  <c r="AR295" i="298"/>
  <c r="AR307" i="298" s="1"/>
  <c r="AS295" i="298"/>
  <c r="AS298" i="298" s="1"/>
  <c r="AS314" i="298" s="1"/>
  <c r="AT295" i="298"/>
  <c r="K296" i="298"/>
  <c r="O296" i="298"/>
  <c r="S296" i="298"/>
  <c r="W296" i="298"/>
  <c r="AA296" i="298"/>
  <c r="AB296" i="298"/>
  <c r="AB308" i="298" s="1"/>
  <c r="K297" i="298"/>
  <c r="O297" i="298"/>
  <c r="S297" i="298"/>
  <c r="W297" i="298"/>
  <c r="AA297" i="298"/>
  <c r="AB297" i="298"/>
  <c r="H298" i="298"/>
  <c r="H315" i="298" s="1"/>
  <c r="I298" i="298"/>
  <c r="J298" i="298"/>
  <c r="J314" i="298" s="1"/>
  <c r="L298" i="298"/>
  <c r="L319" i="298" s="1"/>
  <c r="M298" i="298"/>
  <c r="M319" i="298" s="1"/>
  <c r="N298" i="298"/>
  <c r="N313" i="298" s="1"/>
  <c r="P298" i="298"/>
  <c r="P319" i="298" s="1"/>
  <c r="Q298" i="298"/>
  <c r="Q322" i="298" s="1"/>
  <c r="R298" i="298"/>
  <c r="R319" i="298" s="1"/>
  <c r="T298" i="298"/>
  <c r="T317" i="298" s="1"/>
  <c r="U298" i="298"/>
  <c r="U317" i="298" s="1"/>
  <c r="V298" i="298"/>
  <c r="V313" i="298" s="1"/>
  <c r="X298" i="298"/>
  <c r="X318" i="298" s="1"/>
  <c r="Y298" i="298"/>
  <c r="Z298" i="298"/>
  <c r="Z314" i="298" s="1"/>
  <c r="AC298" i="298"/>
  <c r="AD298" i="298"/>
  <c r="AD319" i="298" s="1"/>
  <c r="AF298" i="298"/>
  <c r="AF322" i="298" s="1"/>
  <c r="AN298" i="298"/>
  <c r="AN318" i="298" s="1"/>
  <c r="AO298" i="298"/>
  <c r="AO316" i="298" s="1"/>
  <c r="AP298" i="298"/>
  <c r="AP313" i="298" s="1"/>
  <c r="AQ298" i="298"/>
  <c r="AQ314" i="298" s="1"/>
  <c r="AU298" i="298"/>
  <c r="AU320" i="298" s="1"/>
  <c r="AV298" i="298"/>
  <c r="AV322" i="298" s="1"/>
  <c r="AW298" i="298"/>
  <c r="AW322" i="298" s="1"/>
  <c r="AY298" i="298"/>
  <c r="AY313" i="298" s="1"/>
  <c r="AZ298" i="298"/>
  <c r="AZ320" i="298" s="1"/>
  <c r="BA298" i="298"/>
  <c r="BA313" i="298" s="1"/>
  <c r="BB298" i="298"/>
  <c r="BB317" i="298" s="1"/>
  <c r="BC298" i="298"/>
  <c r="BC319" i="298" s="1"/>
  <c r="BD298" i="298"/>
  <c r="BD314" i="298" s="1"/>
  <c r="BE298" i="298"/>
  <c r="BE317" i="298" s="1"/>
  <c r="B301" i="298"/>
  <c r="L301" i="298"/>
  <c r="M301" i="298"/>
  <c r="N301" i="298"/>
  <c r="P301" i="298"/>
  <c r="Q301" i="298"/>
  <c r="R301" i="298"/>
  <c r="T301" i="298"/>
  <c r="U301" i="298"/>
  <c r="V301" i="298"/>
  <c r="X301" i="298"/>
  <c r="Y301" i="298"/>
  <c r="Z301" i="298"/>
  <c r="AC301" i="298"/>
  <c r="AD301" i="298"/>
  <c r="AO301" i="298"/>
  <c r="AP301" i="298"/>
  <c r="AQ301" i="298"/>
  <c r="AR301" i="298"/>
  <c r="AS301" i="298"/>
  <c r="AT301" i="298"/>
  <c r="AU301" i="298"/>
  <c r="AV301" i="298"/>
  <c r="AY301" i="298" s="1"/>
  <c r="AW301" i="298"/>
  <c r="AZ301" i="298" s="1"/>
  <c r="BA301" i="298"/>
  <c r="BB301" i="298"/>
  <c r="BC301" i="298"/>
  <c r="BD301" i="298"/>
  <c r="BE301" i="298"/>
  <c r="B302" i="298"/>
  <c r="L302" i="298"/>
  <c r="M302" i="298"/>
  <c r="N302" i="298"/>
  <c r="P302" i="298"/>
  <c r="Q302" i="298"/>
  <c r="R302" i="298"/>
  <c r="T302" i="298"/>
  <c r="U302" i="298"/>
  <c r="V302" i="298"/>
  <c r="X302" i="298"/>
  <c r="Y302" i="298"/>
  <c r="Z302" i="298"/>
  <c r="AC302" i="298"/>
  <c r="AD302" i="298"/>
  <c r="AO302" i="298"/>
  <c r="AP302" i="298"/>
  <c r="AQ302" i="298"/>
  <c r="AR302" i="298"/>
  <c r="AS302" i="298"/>
  <c r="AT302" i="298"/>
  <c r="AU302" i="298"/>
  <c r="AV302" i="298"/>
  <c r="AY302" i="298" s="1"/>
  <c r="AW302" i="298"/>
  <c r="AZ302" i="298" s="1"/>
  <c r="BA302" i="298"/>
  <c r="BB302" i="298"/>
  <c r="BC302" i="298"/>
  <c r="BD302" i="298"/>
  <c r="BE302" i="298"/>
  <c r="B303" i="298"/>
  <c r="L303" i="298"/>
  <c r="M303" i="298"/>
  <c r="N303" i="298"/>
  <c r="P303" i="298"/>
  <c r="Q303" i="298"/>
  <c r="R303" i="298"/>
  <c r="T303" i="298"/>
  <c r="U303" i="298"/>
  <c r="V303" i="298"/>
  <c r="X303" i="298"/>
  <c r="Y303" i="298"/>
  <c r="Z303" i="298"/>
  <c r="AC303" i="298"/>
  <c r="AD303" i="298"/>
  <c r="AO303" i="298"/>
  <c r="AP303" i="298"/>
  <c r="AQ303" i="298"/>
  <c r="AR303" i="298"/>
  <c r="AS303" i="298"/>
  <c r="AT303" i="298"/>
  <c r="AU303" i="298"/>
  <c r="AV303" i="298"/>
  <c r="AY303" i="298" s="1"/>
  <c r="AW303" i="298"/>
  <c r="AZ303" i="298" s="1"/>
  <c r="BA303" i="298"/>
  <c r="BB303" i="298"/>
  <c r="BC303" i="298"/>
  <c r="BD303" i="298"/>
  <c r="BE303" i="298"/>
  <c r="B304" i="298"/>
  <c r="L304" i="298"/>
  <c r="M304" i="298"/>
  <c r="N304" i="298"/>
  <c r="P304" i="298"/>
  <c r="Q304" i="298"/>
  <c r="R304" i="298"/>
  <c r="T304" i="298"/>
  <c r="U304" i="298"/>
  <c r="V304" i="298"/>
  <c r="X304" i="298"/>
  <c r="Y304" i="298"/>
  <c r="Z304" i="298"/>
  <c r="AC304" i="298"/>
  <c r="AD304" i="298"/>
  <c r="AO304" i="298"/>
  <c r="AP304" i="298"/>
  <c r="AQ304" i="298"/>
  <c r="AR304" i="298"/>
  <c r="AS304" i="298"/>
  <c r="AT304" i="298"/>
  <c r="AU304" i="298"/>
  <c r="AV304" i="298"/>
  <c r="AY304" i="298" s="1"/>
  <c r="AW304" i="298"/>
  <c r="AZ304" i="298" s="1"/>
  <c r="BA304" i="298"/>
  <c r="BB304" i="298"/>
  <c r="BC304" i="298"/>
  <c r="BD304" i="298"/>
  <c r="BE304" i="298"/>
  <c r="B305" i="298"/>
  <c r="L305" i="298"/>
  <c r="M305" i="298"/>
  <c r="N305" i="298"/>
  <c r="P305" i="298"/>
  <c r="Q305" i="298"/>
  <c r="R305" i="298"/>
  <c r="T305" i="298"/>
  <c r="U305" i="298"/>
  <c r="V305" i="298"/>
  <c r="X305" i="298"/>
  <c r="Y305" i="298"/>
  <c r="Z305" i="298"/>
  <c r="AC305" i="298"/>
  <c r="AD305" i="298"/>
  <c r="AO305" i="298"/>
  <c r="AP305" i="298"/>
  <c r="AQ305" i="298"/>
  <c r="AR305" i="298"/>
  <c r="AS305" i="298"/>
  <c r="AT305" i="298"/>
  <c r="AU305" i="298"/>
  <c r="AV305" i="298"/>
  <c r="AY305" i="298" s="1"/>
  <c r="AW305" i="298"/>
  <c r="AZ305" i="298" s="1"/>
  <c r="BA305" i="298"/>
  <c r="BB305" i="298"/>
  <c r="BC305" i="298"/>
  <c r="BD305" i="298"/>
  <c r="BE305" i="298"/>
  <c r="B306" i="298"/>
  <c r="L306" i="298"/>
  <c r="M306" i="298"/>
  <c r="N306" i="298"/>
  <c r="P306" i="298"/>
  <c r="Q306" i="298"/>
  <c r="R306" i="298"/>
  <c r="T306" i="298"/>
  <c r="U306" i="298"/>
  <c r="V306" i="298"/>
  <c r="X306" i="298"/>
  <c r="Y306" i="298"/>
  <c r="Z306" i="298"/>
  <c r="AC306" i="298"/>
  <c r="AD306" i="298"/>
  <c r="AO306" i="298"/>
  <c r="AP306" i="298"/>
  <c r="AQ306" i="298"/>
  <c r="AR306" i="298"/>
  <c r="AS306" i="298"/>
  <c r="AT306" i="298"/>
  <c r="AU306" i="298"/>
  <c r="AV306" i="298"/>
  <c r="AY306" i="298" s="1"/>
  <c r="AW306" i="298"/>
  <c r="AZ306" i="298" s="1"/>
  <c r="BA306" i="298"/>
  <c r="BB306" i="298"/>
  <c r="BC306" i="298"/>
  <c r="BD306" i="298"/>
  <c r="BE306" i="298"/>
  <c r="B307" i="298"/>
  <c r="L307" i="298"/>
  <c r="M307" i="298"/>
  <c r="N307" i="298"/>
  <c r="P307" i="298"/>
  <c r="Q307" i="298"/>
  <c r="R307" i="298"/>
  <c r="T307" i="298"/>
  <c r="U307" i="298"/>
  <c r="V307" i="298"/>
  <c r="X307" i="298"/>
  <c r="Y307" i="298"/>
  <c r="Z307" i="298"/>
  <c r="AC307" i="298"/>
  <c r="AD307" i="298"/>
  <c r="AO307" i="298"/>
  <c r="AP307" i="298"/>
  <c r="AQ307" i="298"/>
  <c r="AV307" i="298"/>
  <c r="AY307" i="298" s="1"/>
  <c r="AW307" i="298"/>
  <c r="AZ307" i="298" s="1"/>
  <c r="BA307" i="298"/>
  <c r="BB307" i="298"/>
  <c r="BC307" i="298"/>
  <c r="BD307" i="298"/>
  <c r="BE307" i="298"/>
  <c r="B308" i="298"/>
  <c r="L308" i="298"/>
  <c r="M308" i="298"/>
  <c r="N308" i="298"/>
  <c r="P308" i="298"/>
  <c r="Q308" i="298"/>
  <c r="R308" i="298"/>
  <c r="T308" i="298"/>
  <c r="U308" i="298"/>
  <c r="V308" i="298"/>
  <c r="X308" i="298"/>
  <c r="Y308" i="298"/>
  <c r="Z308" i="298"/>
  <c r="AC308" i="298"/>
  <c r="AD308" i="298"/>
  <c r="AO308" i="298"/>
  <c r="AP308" i="298"/>
  <c r="AQ308" i="298"/>
  <c r="AR308" i="298"/>
  <c r="AS308" i="298"/>
  <c r="AT308" i="298"/>
  <c r="AU308" i="298"/>
  <c r="AV308" i="298"/>
  <c r="AY308" i="298" s="1"/>
  <c r="AW308" i="298"/>
  <c r="AZ308" i="298" s="1"/>
  <c r="BA308" i="298"/>
  <c r="BB308" i="298"/>
  <c r="BC308" i="298"/>
  <c r="BD308" i="298"/>
  <c r="BE308" i="298"/>
  <c r="B309" i="298"/>
  <c r="L309" i="298"/>
  <c r="M309" i="298"/>
  <c r="N309" i="298"/>
  <c r="P309" i="298"/>
  <c r="Q309" i="298"/>
  <c r="R309" i="298"/>
  <c r="T309" i="298"/>
  <c r="U309" i="298"/>
  <c r="V309" i="298"/>
  <c r="X309" i="298"/>
  <c r="Y309" i="298"/>
  <c r="Z309" i="298"/>
  <c r="AC309" i="298"/>
  <c r="AD309" i="298"/>
  <c r="AO309" i="298"/>
  <c r="AP309" i="298"/>
  <c r="AQ309" i="298"/>
  <c r="AR309" i="298"/>
  <c r="AS309" i="298"/>
  <c r="AT309" i="298"/>
  <c r="AU309" i="298"/>
  <c r="AV309" i="298"/>
  <c r="AY309" i="298" s="1"/>
  <c r="AW309" i="298"/>
  <c r="AZ309" i="298" s="1"/>
  <c r="BA309" i="298"/>
  <c r="BB309" i="298"/>
  <c r="BC309" i="298"/>
  <c r="BD309" i="298"/>
  <c r="BE309" i="298"/>
  <c r="B310" i="298"/>
  <c r="AO327" i="298"/>
  <c r="AP327" i="298"/>
  <c r="AQ327" i="298"/>
  <c r="AR327" i="298"/>
  <c r="AS327" i="298"/>
  <c r="AT327" i="298"/>
  <c r="AU327" i="298"/>
  <c r="AV327" i="298"/>
  <c r="AW327" i="298"/>
  <c r="B327" i="298"/>
  <c r="AN327" i="298"/>
  <c r="AR333" i="298"/>
  <c r="AN337" i="298"/>
  <c r="AO337" i="298"/>
  <c r="AP337" i="298"/>
  <c r="AQ337" i="298"/>
  <c r="AR337" i="298"/>
  <c r="AS337" i="298"/>
  <c r="AT337" i="298"/>
  <c r="AU337" i="298"/>
  <c r="AV337" i="298"/>
  <c r="AW337" i="298"/>
  <c r="H351" i="298"/>
  <c r="I351" i="298"/>
  <c r="J351" i="298"/>
  <c r="K351" i="298"/>
  <c r="L351" i="298"/>
  <c r="M351" i="298"/>
  <c r="N351" i="298"/>
  <c r="O351" i="298"/>
  <c r="P351" i="298"/>
  <c r="Q351" i="298"/>
  <c r="R351" i="298"/>
  <c r="T351" i="298"/>
  <c r="U351" i="298"/>
  <c r="V351" i="298"/>
  <c r="W351" i="298"/>
  <c r="X351" i="298"/>
  <c r="Y351" i="298"/>
  <c r="Z351" i="298"/>
  <c r="AA351" i="298"/>
  <c r="AB351" i="298"/>
  <c r="AC351" i="298"/>
  <c r="AD351" i="298"/>
  <c r="AE351" i="298"/>
  <c r="AF351" i="298"/>
  <c r="AT351" i="298"/>
  <c r="AU351" i="298"/>
  <c r="AV351" i="298"/>
  <c r="AW351" i="298"/>
  <c r="BB351" i="298"/>
  <c r="P412" i="298"/>
  <c r="Q412" i="298"/>
  <c r="Q413" i="298" s="1"/>
  <c r="R412" i="298"/>
  <c r="T412" i="298"/>
  <c r="U412" i="298"/>
  <c r="V412" i="298"/>
  <c r="Z412" i="298" s="1"/>
  <c r="AD412" i="298" s="1"/>
  <c r="W413" i="298"/>
  <c r="X413" i="298"/>
  <c r="AZ412" i="298"/>
  <c r="BA412" i="298"/>
  <c r="N414" i="298"/>
  <c r="O414" i="298"/>
  <c r="P414" i="298"/>
  <c r="Q414" i="298"/>
  <c r="R414" i="298"/>
  <c r="S414" i="298"/>
  <c r="T414" i="298"/>
  <c r="U414" i="298"/>
  <c r="V414" i="298"/>
  <c r="W414" i="298"/>
  <c r="X414" i="298"/>
  <c r="BA360" i="298"/>
  <c r="BB360" i="298"/>
  <c r="BC360" i="298"/>
  <c r="BD360" i="298"/>
  <c r="BE360" i="298"/>
  <c r="BA361" i="298"/>
  <c r="BB361" i="298"/>
  <c r="BC361" i="298"/>
  <c r="BD361" i="298"/>
  <c r="BE361" i="298"/>
  <c r="H363" i="298"/>
  <c r="H369" i="298" s="1"/>
  <c r="I363" i="298"/>
  <c r="J363" i="298"/>
  <c r="K363" i="298"/>
  <c r="L363" i="298"/>
  <c r="M363" i="298"/>
  <c r="N363" i="298"/>
  <c r="O363" i="298"/>
  <c r="P363" i="298"/>
  <c r="Q363" i="298"/>
  <c r="R363" i="298"/>
  <c r="T363" i="298"/>
  <c r="U363" i="298"/>
  <c r="V363" i="298"/>
  <c r="W363" i="298"/>
  <c r="X363" i="298"/>
  <c r="Y363" i="298"/>
  <c r="Z363" i="298"/>
  <c r="AA363" i="298"/>
  <c r="AB363" i="298"/>
  <c r="AC363" i="298"/>
  <c r="AD363" i="298"/>
  <c r="AE363" i="298"/>
  <c r="AF363" i="298"/>
  <c r="AT363" i="298"/>
  <c r="AU363" i="298"/>
  <c r="AV363" i="298"/>
  <c r="AW363" i="298"/>
  <c r="BB363" i="298"/>
  <c r="I418" i="298"/>
  <c r="I428" i="298"/>
  <c r="J418" i="298"/>
  <c r="J420" i="298" s="1"/>
  <c r="J421" i="298" s="1"/>
  <c r="J428" i="298"/>
  <c r="K418" i="298"/>
  <c r="K420" i="298" s="1"/>
  <c r="K421" i="298" s="1"/>
  <c r="K428" i="298"/>
  <c r="L418" i="298"/>
  <c r="L420" i="298" s="1"/>
  <c r="L428" i="298"/>
  <c r="M418" i="298"/>
  <c r="M420" i="298" s="1"/>
  <c r="M421" i="298" s="1"/>
  <c r="M428" i="298"/>
  <c r="N418" i="298"/>
  <c r="N420" i="298" s="1"/>
  <c r="N421" i="298" s="1"/>
  <c r="N428" i="298"/>
  <c r="O418" i="298"/>
  <c r="O420" i="298" s="1"/>
  <c r="O421" i="298" s="1"/>
  <c r="O428" i="298"/>
  <c r="AZ377" i="298"/>
  <c r="BA377" i="298"/>
  <c r="BB377" i="298"/>
  <c r="BC377" i="298"/>
  <c r="BD377" i="298"/>
  <c r="BE377" i="298"/>
  <c r="AZ378" i="298"/>
  <c r="BA378" i="298"/>
  <c r="BB378" i="298"/>
  <c r="BC378" i="298"/>
  <c r="BD378" i="298"/>
  <c r="BE378" i="298"/>
  <c r="AZ380" i="298"/>
  <c r="BA380" i="298"/>
  <c r="BB380" i="298"/>
  <c r="BC380" i="298"/>
  <c r="BD380" i="298"/>
  <c r="BE380" i="298"/>
  <c r="AZ381" i="298"/>
  <c r="BA381" i="298"/>
  <c r="BB381" i="298"/>
  <c r="BC381" i="298"/>
  <c r="BD381" i="298"/>
  <c r="BE381" i="298"/>
  <c r="AZ383" i="298"/>
  <c r="BA383" i="298"/>
  <c r="BB383" i="298"/>
  <c r="BC383" i="298"/>
  <c r="BD383" i="298"/>
  <c r="BE383" i="298"/>
  <c r="S384" i="298"/>
  <c r="BB384" i="298" s="1"/>
  <c r="AZ384" i="298"/>
  <c r="BA384" i="298"/>
  <c r="BC384" i="298"/>
  <c r="BD384" i="298"/>
  <c r="BE384" i="298"/>
  <c r="R386" i="298"/>
  <c r="AZ387" i="298"/>
  <c r="BA387" i="298"/>
  <c r="BB387" i="298"/>
  <c r="BC387" i="298"/>
  <c r="BD387" i="298"/>
  <c r="BE387" i="298"/>
  <c r="AZ390" i="298"/>
  <c r="BA390" i="298"/>
  <c r="BB390" i="298"/>
  <c r="BC390" i="298"/>
  <c r="BD390" i="298"/>
  <c r="BE390" i="298"/>
  <c r="AZ391" i="298"/>
  <c r="BA391" i="298"/>
  <c r="BB391" i="298"/>
  <c r="BC391" i="298"/>
  <c r="BD391" i="298"/>
  <c r="BE391" i="298"/>
  <c r="AY393" i="298"/>
  <c r="AZ393" i="298"/>
  <c r="BA393" i="298"/>
  <c r="BB393" i="298"/>
  <c r="BC393" i="298"/>
  <c r="BD393" i="298"/>
  <c r="BE393" i="298"/>
  <c r="H394" i="298"/>
  <c r="I394" i="298"/>
  <c r="J394" i="298"/>
  <c r="K394" i="298"/>
  <c r="L394" i="298"/>
  <c r="M394" i="298"/>
  <c r="N394" i="298"/>
  <c r="O394" i="298"/>
  <c r="P394" i="298"/>
  <c r="Q394" i="298"/>
  <c r="R394" i="298"/>
  <c r="S394" i="298"/>
  <c r="T394" i="298"/>
  <c r="U394" i="298"/>
  <c r="V394" i="298"/>
  <c r="W394" i="298"/>
  <c r="X394" i="298"/>
  <c r="Y394" i="298"/>
  <c r="Z394" i="298"/>
  <c r="AA394" i="298"/>
  <c r="AB394" i="298"/>
  <c r="AC394" i="298"/>
  <c r="AD394" i="298"/>
  <c r="AE394" i="298"/>
  <c r="AF394" i="298"/>
  <c r="BB397" i="298"/>
  <c r="BC397" i="298"/>
  <c r="BD397" i="298"/>
  <c r="BE397" i="298"/>
  <c r="BB398" i="298"/>
  <c r="BC398" i="298"/>
  <c r="BD398" i="298"/>
  <c r="BE398" i="298"/>
  <c r="BB400" i="298"/>
  <c r="BC400" i="298"/>
  <c r="BD400" i="298"/>
  <c r="BE400" i="298"/>
  <c r="AZ403" i="298"/>
  <c r="BA403" i="298"/>
  <c r="BB403" i="298"/>
  <c r="BC403" i="298"/>
  <c r="BD403" i="298"/>
  <c r="BE403" i="298"/>
  <c r="AZ404" i="298"/>
  <c r="BA404" i="298"/>
  <c r="BB404" i="298"/>
  <c r="BC404" i="298"/>
  <c r="BD404" i="298"/>
  <c r="BE404" i="298"/>
  <c r="BA406" i="298"/>
  <c r="BB406" i="298"/>
  <c r="BC406" i="298"/>
  <c r="BD406" i="298"/>
  <c r="BE406" i="298"/>
  <c r="BA407" i="298"/>
  <c r="BB407" i="298"/>
  <c r="BC407" i="298"/>
  <c r="BD407" i="298"/>
  <c r="BE407" i="298"/>
  <c r="N413" i="298"/>
  <c r="O413" i="298"/>
  <c r="AZ416" i="298"/>
  <c r="BA416" i="298"/>
  <c r="AZ417" i="298"/>
  <c r="BA417" i="298"/>
  <c r="I423" i="298"/>
  <c r="J423" i="298"/>
  <c r="J424" i="298" s="1"/>
  <c r="K423" i="298"/>
  <c r="K424" i="298" s="1"/>
  <c r="L423" i="298"/>
  <c r="L424" i="298" s="1"/>
  <c r="M423" i="298"/>
  <c r="M424" i="298" s="1"/>
  <c r="N423" i="298"/>
  <c r="N424" i="298" s="1"/>
  <c r="O423" i="298"/>
  <c r="O424" i="298" s="1"/>
  <c r="AZ426" i="298"/>
  <c r="BA426" i="298"/>
  <c r="AZ427" i="298"/>
  <c r="BA427" i="298"/>
  <c r="I433" i="298"/>
  <c r="I434" i="298" s="1"/>
  <c r="J433" i="298"/>
  <c r="J434" i="298" s="1"/>
  <c r="K433" i="298"/>
  <c r="K434" i="298" s="1"/>
  <c r="L433" i="298"/>
  <c r="L434" i="298" s="1"/>
  <c r="M433" i="298"/>
  <c r="M434" i="298" s="1"/>
  <c r="N433" i="298"/>
  <c r="O433" i="298"/>
  <c r="O434" i="298" s="1"/>
  <c r="H438" i="298"/>
  <c r="I438" i="298"/>
  <c r="J438" i="298"/>
  <c r="K438" i="298"/>
  <c r="L438" i="298"/>
  <c r="M438" i="298"/>
  <c r="N438" i="298"/>
  <c r="O438" i="298"/>
  <c r="P438" i="298"/>
  <c r="Q438" i="298"/>
  <c r="R438" i="298"/>
  <c r="T438" i="298"/>
  <c r="U438" i="298"/>
  <c r="V438" i="298"/>
  <c r="W438" i="298"/>
  <c r="X438" i="298"/>
  <c r="Y438" i="298"/>
  <c r="Z438" i="298"/>
  <c r="AA438" i="298"/>
  <c r="AB438" i="298"/>
  <c r="AC438" i="298"/>
  <c r="AD438" i="298"/>
  <c r="AE438" i="298"/>
  <c r="AF438" i="298"/>
  <c r="AT438" i="298"/>
  <c r="AU438" i="298"/>
  <c r="AV438" i="298"/>
  <c r="AW438" i="298"/>
  <c r="BB438" i="298"/>
  <c r="BA442" i="298"/>
  <c r="BB442" i="298"/>
  <c r="BC442" i="298"/>
  <c r="BD442" i="298"/>
  <c r="BE442" i="298"/>
  <c r="BA443" i="298"/>
  <c r="BB443" i="298"/>
  <c r="BC443" i="298"/>
  <c r="BD443" i="298"/>
  <c r="BE443" i="298"/>
  <c r="H445" i="298"/>
  <c r="I445" i="298"/>
  <c r="J445" i="298"/>
  <c r="K445" i="298"/>
  <c r="L445" i="298"/>
  <c r="M445" i="298"/>
  <c r="N445" i="298"/>
  <c r="O445" i="298"/>
  <c r="P445" i="298"/>
  <c r="Q445" i="298"/>
  <c r="R445" i="298"/>
  <c r="T445" i="298"/>
  <c r="U445" i="298"/>
  <c r="V445" i="298"/>
  <c r="W445" i="298"/>
  <c r="X445" i="298"/>
  <c r="Y445" i="298"/>
  <c r="Z445" i="298"/>
  <c r="AA445" i="298"/>
  <c r="AB445" i="298"/>
  <c r="AC445" i="298"/>
  <c r="AD445" i="298"/>
  <c r="AE445" i="298"/>
  <c r="AF445" i="298"/>
  <c r="AT445" i="298"/>
  <c r="AU445" i="298"/>
  <c r="AV445" i="298"/>
  <c r="AW445" i="298"/>
  <c r="BB445" i="298"/>
  <c r="AZ452" i="298"/>
  <c r="BA452" i="298"/>
  <c r="BB452" i="298"/>
  <c r="BC452" i="298"/>
  <c r="BD452" i="298"/>
  <c r="BE452" i="298"/>
  <c r="AZ453" i="298"/>
  <c r="BA453" i="298"/>
  <c r="BB453" i="298"/>
  <c r="BC453" i="298"/>
  <c r="BD453" i="298"/>
  <c r="BE453" i="298"/>
  <c r="AZ455" i="298"/>
  <c r="BA455" i="298"/>
  <c r="BB455" i="298"/>
  <c r="BC455" i="298"/>
  <c r="BD455" i="298"/>
  <c r="BE455" i="298"/>
  <c r="AZ456" i="298"/>
  <c r="BA456" i="298"/>
  <c r="BB456" i="298"/>
  <c r="BC456" i="298"/>
  <c r="BD456" i="298"/>
  <c r="BE456" i="298"/>
  <c r="AZ458" i="298"/>
  <c r="BA458" i="298"/>
  <c r="BB458" i="298"/>
  <c r="BC458" i="298"/>
  <c r="BD458" i="298"/>
  <c r="BE458" i="298"/>
  <c r="AZ459" i="298"/>
  <c r="BA459" i="298"/>
  <c r="BB459" i="298"/>
  <c r="BC459" i="298"/>
  <c r="BD459" i="298"/>
  <c r="BE459" i="298"/>
  <c r="AZ461" i="298"/>
  <c r="BA461" i="298"/>
  <c r="BB461" i="298"/>
  <c r="BC461" i="298"/>
  <c r="BD461" i="298"/>
  <c r="BE461" i="298"/>
  <c r="AZ462" i="298"/>
  <c r="BA462" i="298"/>
  <c r="BB462" i="298"/>
  <c r="BC462" i="298"/>
  <c r="BD462" i="298"/>
  <c r="BE462" i="298"/>
  <c r="H466" i="298"/>
  <c r="I466" i="298"/>
  <c r="J466" i="298"/>
  <c r="K466" i="298"/>
  <c r="L466" i="298"/>
  <c r="M466" i="298"/>
  <c r="N466" i="298"/>
  <c r="O466" i="298"/>
  <c r="P466" i="298"/>
  <c r="Q466" i="298"/>
  <c r="R466" i="298"/>
  <c r="T466" i="298"/>
  <c r="U466" i="298"/>
  <c r="V466" i="298"/>
  <c r="W466" i="298"/>
  <c r="X466" i="298"/>
  <c r="Y466" i="298"/>
  <c r="Z466" i="298"/>
  <c r="AA466" i="298"/>
  <c r="AB466" i="298"/>
  <c r="AC466" i="298"/>
  <c r="AD466" i="298"/>
  <c r="AE466" i="298"/>
  <c r="AF466" i="298"/>
  <c r="AT466" i="298"/>
  <c r="AU466" i="298"/>
  <c r="AV466" i="298"/>
  <c r="AW466" i="298"/>
  <c r="BB466" i="298"/>
  <c r="H473" i="298"/>
  <c r="I473" i="298"/>
  <c r="J473" i="298"/>
  <c r="K473" i="298"/>
  <c r="L473" i="298"/>
  <c r="M473" i="298"/>
  <c r="N473" i="298"/>
  <c r="O473" i="298"/>
  <c r="P473" i="298"/>
  <c r="Q473" i="298"/>
  <c r="R473" i="298"/>
  <c r="T473" i="298"/>
  <c r="U473" i="298"/>
  <c r="V473" i="298"/>
  <c r="W473" i="298"/>
  <c r="X473" i="298"/>
  <c r="Y473" i="298"/>
  <c r="Z473" i="298"/>
  <c r="AA473" i="298"/>
  <c r="AB473" i="298"/>
  <c r="AC473" i="298"/>
  <c r="AD473" i="298"/>
  <c r="AE473" i="298"/>
  <c r="AF473" i="298"/>
  <c r="AT473" i="298"/>
  <c r="AU473" i="298"/>
  <c r="AV473" i="298"/>
  <c r="AW473" i="298"/>
  <c r="BB473" i="298"/>
  <c r="BD480" i="298"/>
  <c r="BE480" i="298"/>
  <c r="AZ481" i="298"/>
  <c r="BA481" i="298"/>
  <c r="BB481" i="298"/>
  <c r="BC481" i="298"/>
  <c r="BD481" i="298"/>
  <c r="AZ482" i="298"/>
  <c r="BA482" i="298"/>
  <c r="BB482" i="298"/>
  <c r="BC482" i="298"/>
  <c r="BD482" i="298"/>
  <c r="AZ484" i="298"/>
  <c r="BA484" i="298"/>
  <c r="BB484" i="298"/>
  <c r="BC484" i="298"/>
  <c r="BD484" i="298"/>
  <c r="BE484" i="298"/>
  <c r="AZ485" i="298"/>
  <c r="BA485" i="298"/>
  <c r="BB485" i="298"/>
  <c r="BC485" i="298"/>
  <c r="BD485" i="298"/>
  <c r="BE485" i="298"/>
  <c r="AA487" i="298"/>
  <c r="AB487" i="298"/>
  <c r="AF487" i="298" s="1"/>
  <c r="AC487" i="298"/>
  <c r="AD487" i="298"/>
  <c r="AZ487" i="298"/>
  <c r="BA487" i="298"/>
  <c r="BB487" i="298"/>
  <c r="BC487" i="298"/>
  <c r="H488" i="298"/>
  <c r="I488" i="298"/>
  <c r="J488" i="298"/>
  <c r="K488" i="298"/>
  <c r="L488" i="298"/>
  <c r="M488" i="298"/>
  <c r="N488" i="298"/>
  <c r="O488" i="298"/>
  <c r="P488" i="298"/>
  <c r="Q488" i="298"/>
  <c r="R488" i="298"/>
  <c r="S488" i="298"/>
  <c r="T488" i="298"/>
  <c r="U488" i="298"/>
  <c r="V488" i="298"/>
  <c r="W488" i="298"/>
  <c r="X488" i="298"/>
  <c r="Y488" i="298"/>
  <c r="Z488" i="298"/>
  <c r="AZ490" i="298"/>
  <c r="BA490" i="298"/>
  <c r="BB490" i="298"/>
  <c r="H491" i="298"/>
  <c r="I491" i="298"/>
  <c r="J491" i="298"/>
  <c r="K491" i="298"/>
  <c r="L491" i="298"/>
  <c r="M491" i="298"/>
  <c r="N491" i="298"/>
  <c r="O491" i="298"/>
  <c r="P491" i="298"/>
  <c r="Q491" i="298"/>
  <c r="R491" i="298"/>
  <c r="S491" i="298"/>
  <c r="P493" i="298"/>
  <c r="T493" i="298" s="1"/>
  <c r="X493" i="298" s="1"/>
  <c r="Q493" i="298"/>
  <c r="R493" i="298"/>
  <c r="V493" i="298" s="1"/>
  <c r="Z493" i="298" s="1"/>
  <c r="AD493" i="298" s="1"/>
  <c r="S493" i="298"/>
  <c r="W493" i="298" s="1"/>
  <c r="AA493" i="298" s="1"/>
  <c r="AE493" i="298" s="1"/>
  <c r="AZ493" i="298"/>
  <c r="BA493" i="298"/>
  <c r="L494" i="298"/>
  <c r="M494" i="298"/>
  <c r="N494" i="298"/>
  <c r="O494" i="298"/>
  <c r="AZ497" i="298"/>
  <c r="BA497" i="298"/>
  <c r="BB497" i="298"/>
  <c r="BC497" i="298"/>
  <c r="BE497" i="298"/>
  <c r="AZ498" i="298"/>
  <c r="BA498" i="298"/>
  <c r="BB498" i="298"/>
  <c r="BC498" i="298"/>
  <c r="BE498" i="298"/>
  <c r="AY503" i="298"/>
  <c r="AZ503" i="298"/>
  <c r="BA503" i="298"/>
  <c r="BD503" i="298"/>
  <c r="BE503" i="298"/>
  <c r="AY504" i="298"/>
  <c r="AZ504" i="298"/>
  <c r="BA504" i="298"/>
  <c r="BD504" i="298"/>
  <c r="BE504" i="298"/>
  <c r="B508" i="298"/>
  <c r="H508" i="298"/>
  <c r="I508" i="298"/>
  <c r="J508" i="298"/>
  <c r="K508" i="298"/>
  <c r="L508" i="298"/>
  <c r="M508" i="298"/>
  <c r="N508" i="298"/>
  <c r="O508" i="298"/>
  <c r="P508" i="298"/>
  <c r="Q508" i="298"/>
  <c r="R508" i="298"/>
  <c r="S508" i="298"/>
  <c r="T508" i="298"/>
  <c r="U508" i="298"/>
  <c r="V508" i="298"/>
  <c r="W508" i="298"/>
  <c r="X508" i="298"/>
  <c r="Y508" i="298"/>
  <c r="Z508" i="298"/>
  <c r="AA508" i="298"/>
  <c r="AB508" i="298"/>
  <c r="AC508" i="298"/>
  <c r="AD508" i="298"/>
  <c r="AE508" i="298"/>
  <c r="AF508" i="298"/>
  <c r="AU508" i="298"/>
  <c r="AV508" i="298"/>
  <c r="AY508" i="298" s="1"/>
  <c r="AW508" i="298"/>
  <c r="AZ508" i="298" s="1"/>
  <c r="B509" i="298"/>
  <c r="H509" i="298"/>
  <c r="I509" i="298"/>
  <c r="J509" i="298"/>
  <c r="K509" i="298"/>
  <c r="L509" i="298"/>
  <c r="M509" i="298"/>
  <c r="N509" i="298"/>
  <c r="O509" i="298"/>
  <c r="P509" i="298"/>
  <c r="Q509" i="298"/>
  <c r="R509" i="298"/>
  <c r="S509" i="298"/>
  <c r="T509" i="298"/>
  <c r="U509" i="298"/>
  <c r="V509" i="298"/>
  <c r="W509" i="298"/>
  <c r="X509" i="298"/>
  <c r="Y509" i="298"/>
  <c r="Z509" i="298"/>
  <c r="AA509" i="298"/>
  <c r="AB509" i="298"/>
  <c r="AC509" i="298"/>
  <c r="AD509" i="298"/>
  <c r="AE509" i="298"/>
  <c r="AF509" i="298"/>
  <c r="AU509" i="298"/>
  <c r="AV509" i="298"/>
  <c r="AY509" i="298" s="1"/>
  <c r="AW509" i="298"/>
  <c r="AZ509" i="298" s="1"/>
  <c r="B510" i="298"/>
  <c r="AL510" i="298"/>
  <c r="AM510" i="298"/>
  <c r="AN510" i="298"/>
  <c r="AO510" i="298"/>
  <c r="AP510" i="298"/>
  <c r="AQ510" i="298"/>
  <c r="AR510" i="298"/>
  <c r="AS510" i="298"/>
  <c r="AY513" i="298"/>
  <c r="AZ513" i="298"/>
  <c r="BA513" i="298"/>
  <c r="BD513" i="298"/>
  <c r="BE513" i="298"/>
  <c r="AY514" i="298"/>
  <c r="AZ514" i="298"/>
  <c r="BA514" i="298"/>
  <c r="BD514" i="298"/>
  <c r="BE514" i="298"/>
  <c r="D517" i="298"/>
  <c r="E517" i="298"/>
  <c r="F517" i="298"/>
  <c r="G517" i="298"/>
  <c r="H517" i="298"/>
  <c r="H522" i="298" s="1"/>
  <c r="I517" i="298"/>
  <c r="I522" i="298" s="1"/>
  <c r="J517" i="298"/>
  <c r="J522" i="298" s="1"/>
  <c r="K517" i="298"/>
  <c r="K522" i="298" s="1"/>
  <c r="L517" i="298"/>
  <c r="L522" i="298" s="1"/>
  <c r="M517" i="298"/>
  <c r="M522" i="298" s="1"/>
  <c r="N517" i="298"/>
  <c r="N522" i="298" s="1"/>
  <c r="O517" i="298"/>
  <c r="O522" i="298" s="1"/>
  <c r="P517" i="298"/>
  <c r="P522" i="298" s="1"/>
  <c r="Q517" i="298"/>
  <c r="Q522" i="298" s="1"/>
  <c r="R517" i="298"/>
  <c r="R522" i="298" s="1"/>
  <c r="S517" i="298"/>
  <c r="S522" i="298" s="1"/>
  <c r="T517" i="298"/>
  <c r="T522" i="298" s="1"/>
  <c r="U517" i="298"/>
  <c r="U522" i="298" s="1"/>
  <c r="V517" i="298"/>
  <c r="V522" i="298" s="1"/>
  <c r="W517" i="298"/>
  <c r="W522" i="298" s="1"/>
  <c r="X517" i="298"/>
  <c r="X522" i="298" s="1"/>
  <c r="Y517" i="298"/>
  <c r="Y522" i="298" s="1"/>
  <c r="Z517" i="298"/>
  <c r="Z522" i="298" s="1"/>
  <c r="AA517" i="298"/>
  <c r="AA522" i="298" s="1"/>
  <c r="AB517" i="298"/>
  <c r="AB522" i="298" s="1"/>
  <c r="AC517" i="298"/>
  <c r="AC522" i="298" s="1"/>
  <c r="AD517" i="298"/>
  <c r="AD522" i="298" s="1"/>
  <c r="AE517" i="298"/>
  <c r="AE522" i="298" s="1"/>
  <c r="AF517" i="298"/>
  <c r="AF522" i="298" s="1"/>
  <c r="AT517" i="298"/>
  <c r="AT522" i="298" s="1"/>
  <c r="AU517" i="298"/>
  <c r="AU522" i="298" s="1"/>
  <c r="AV517" i="298"/>
  <c r="AV522" i="298" s="1"/>
  <c r="AW517" i="298"/>
  <c r="AW522" i="298" s="1"/>
  <c r="BB517" i="298"/>
  <c r="BB522" i="298" s="1"/>
  <c r="D518" i="298"/>
  <c r="E518" i="298"/>
  <c r="F518" i="298"/>
  <c r="G518" i="298"/>
  <c r="H518" i="298"/>
  <c r="H523" i="298" s="1"/>
  <c r="I518" i="298"/>
  <c r="I523" i="298" s="1"/>
  <c r="J518" i="298"/>
  <c r="J523" i="298" s="1"/>
  <c r="K518" i="298"/>
  <c r="K523" i="298" s="1"/>
  <c r="L518" i="298"/>
  <c r="L523" i="298" s="1"/>
  <c r="M518" i="298"/>
  <c r="M523" i="298" s="1"/>
  <c r="N518" i="298"/>
  <c r="N523" i="298" s="1"/>
  <c r="O518" i="298"/>
  <c r="O523" i="298" s="1"/>
  <c r="P518" i="298"/>
  <c r="P523" i="298" s="1"/>
  <c r="Q518" i="298"/>
  <c r="Q523" i="298" s="1"/>
  <c r="R518" i="298"/>
  <c r="R523" i="298" s="1"/>
  <c r="S518" i="298"/>
  <c r="S523" i="298" s="1"/>
  <c r="T518" i="298"/>
  <c r="T523" i="298" s="1"/>
  <c r="U518" i="298"/>
  <c r="U523" i="298" s="1"/>
  <c r="V518" i="298"/>
  <c r="V523" i="298" s="1"/>
  <c r="W518" i="298"/>
  <c r="W523" i="298" s="1"/>
  <c r="X518" i="298"/>
  <c r="X523" i="298" s="1"/>
  <c r="Y518" i="298"/>
  <c r="Y523" i="298" s="1"/>
  <c r="Z518" i="298"/>
  <c r="Z523" i="298" s="1"/>
  <c r="AA518" i="298"/>
  <c r="AA523" i="298" s="1"/>
  <c r="AB518" i="298"/>
  <c r="AB523" i="298" s="1"/>
  <c r="AC518" i="298"/>
  <c r="AC523" i="298" s="1"/>
  <c r="AD518" i="298"/>
  <c r="AD523" i="298" s="1"/>
  <c r="AE518" i="298"/>
  <c r="AE523" i="298" s="1"/>
  <c r="AF518" i="298"/>
  <c r="AF523" i="298" s="1"/>
  <c r="AT518" i="298"/>
  <c r="AT523" i="298" s="1"/>
  <c r="AU518" i="298"/>
  <c r="AU523" i="298" s="1"/>
  <c r="AV518" i="298"/>
  <c r="AV523" i="298" s="1"/>
  <c r="AW518" i="298"/>
  <c r="AW523" i="298" s="1"/>
  <c r="BB518" i="298"/>
  <c r="BB523" i="298" s="1"/>
  <c r="B522" i="298"/>
  <c r="B523" i="298"/>
  <c r="B524" i="298"/>
  <c r="BD526" i="298"/>
  <c r="BE526" i="298"/>
  <c r="BD527" i="298"/>
  <c r="BE527" i="298"/>
  <c r="BD528" i="298"/>
  <c r="BE528" i="298"/>
  <c r="AY529" i="298"/>
  <c r="AY556" i="298" s="1"/>
  <c r="AZ529" i="298"/>
  <c r="AZ556" i="298" s="1"/>
  <c r="BA529" i="298"/>
  <c r="BA556" i="298" s="1"/>
  <c r="BC529" i="298"/>
  <c r="BD529" i="298"/>
  <c r="BD556" i="298" s="1"/>
  <c r="BE529" i="298"/>
  <c r="BE556" i="298" s="1"/>
  <c r="AG531" i="298"/>
  <c r="AH531" i="298"/>
  <c r="AI531" i="298"/>
  <c r="BC531" i="298"/>
  <c r="BD531" i="298"/>
  <c r="BE531" i="298"/>
  <c r="S533" i="298"/>
  <c r="AY533" i="298"/>
  <c r="AZ533" i="298"/>
  <c r="BA533" i="298"/>
  <c r="BC533" i="298"/>
  <c r="BD533" i="298"/>
  <c r="BE533" i="298"/>
  <c r="S537" i="298"/>
  <c r="AY537" i="298"/>
  <c r="AZ537" i="298"/>
  <c r="BA537" i="298"/>
  <c r="BD537" i="298"/>
  <c r="BD538" i="298"/>
  <c r="AQ545" i="298"/>
  <c r="AQ548" i="298" s="1"/>
  <c r="AR545" i="298"/>
  <c r="AR548" i="298" s="1"/>
  <c r="AS545" i="298"/>
  <c r="AS548" i="298" s="1"/>
  <c r="BF546" i="298"/>
  <c r="BF547" i="298"/>
  <c r="D552" i="298"/>
  <c r="E552" i="298"/>
  <c r="F552" i="298"/>
  <c r="G552" i="298"/>
  <c r="H552" i="298"/>
  <c r="I552" i="298"/>
  <c r="J552" i="298"/>
  <c r="K552" i="298"/>
  <c r="L552" i="298"/>
  <c r="M552" i="298"/>
  <c r="N552" i="298"/>
  <c r="O552" i="298"/>
  <c r="T552" i="298"/>
  <c r="U552" i="298"/>
  <c r="V552" i="298"/>
  <c r="X552" i="298"/>
  <c r="Y552" i="298"/>
  <c r="Z552" i="298"/>
  <c r="AA552" i="298"/>
  <c r="AB552" i="298"/>
  <c r="AC552" i="298"/>
  <c r="AD552" i="298"/>
  <c r="AE552" i="298"/>
  <c r="AF552" i="298"/>
  <c r="AG552" i="298"/>
  <c r="AH552" i="298"/>
  <c r="AI552" i="298"/>
  <c r="AQ552" i="298"/>
  <c r="AR552" i="298"/>
  <c r="AS552" i="298"/>
  <c r="AT552" i="298"/>
  <c r="AU552" i="298"/>
  <c r="AV552" i="298"/>
  <c r="AW552" i="298"/>
  <c r="AY552" i="298"/>
  <c r="AZ552" i="298"/>
  <c r="BA552" i="298"/>
  <c r="BC552" i="298"/>
  <c r="BD552" i="298"/>
  <c r="BE552" i="298"/>
  <c r="BC553" i="298"/>
  <c r="BF553" i="298"/>
  <c r="D554" i="298"/>
  <c r="E554" i="298"/>
  <c r="F554" i="298"/>
  <c r="G554" i="298"/>
  <c r="H554" i="298"/>
  <c r="I554" i="298"/>
  <c r="J554" i="298"/>
  <c r="K554" i="298"/>
  <c r="L554" i="298"/>
  <c r="M554" i="298"/>
  <c r="N554" i="298"/>
  <c r="O554" i="298"/>
  <c r="T554" i="298"/>
  <c r="U554" i="298"/>
  <c r="V554" i="298"/>
  <c r="X554" i="298"/>
  <c r="Y554" i="298"/>
  <c r="Z554" i="298"/>
  <c r="AA554" i="298"/>
  <c r="AB554" i="298"/>
  <c r="AC554" i="298"/>
  <c r="AD554" i="298"/>
  <c r="AE554" i="298"/>
  <c r="AF554" i="298"/>
  <c r="AG554" i="298"/>
  <c r="AH554" i="298"/>
  <c r="AI554" i="298"/>
  <c r="AQ554" i="298"/>
  <c r="AR554" i="298"/>
  <c r="AS554" i="298"/>
  <c r="AT554" i="298"/>
  <c r="AU554" i="298"/>
  <c r="AV554" i="298"/>
  <c r="AW554" i="298"/>
  <c r="AY554" i="298"/>
  <c r="AZ554" i="298"/>
  <c r="BA554" i="298"/>
  <c r="BC554" i="298"/>
  <c r="BD554" i="298"/>
  <c r="BE554" i="298"/>
  <c r="BF555" i="298"/>
  <c r="D556" i="298"/>
  <c r="E556" i="298"/>
  <c r="F556" i="298"/>
  <c r="G556" i="298"/>
  <c r="H556" i="298"/>
  <c r="I556" i="298"/>
  <c r="J556" i="298"/>
  <c r="K556" i="298"/>
  <c r="L556" i="298"/>
  <c r="M556" i="298"/>
  <c r="N556" i="298"/>
  <c r="O556" i="298"/>
  <c r="T556" i="298"/>
  <c r="U556" i="298"/>
  <c r="V556" i="298"/>
  <c r="X556" i="298"/>
  <c r="Y556" i="298"/>
  <c r="Z556" i="298"/>
  <c r="AA556" i="298"/>
  <c r="AB556" i="298"/>
  <c r="AC556" i="298"/>
  <c r="AD556" i="298"/>
  <c r="AE556" i="298"/>
  <c r="AF556" i="298"/>
  <c r="AG556" i="298"/>
  <c r="AH556" i="298"/>
  <c r="AI556" i="298"/>
  <c r="AQ556" i="298"/>
  <c r="AR556" i="298"/>
  <c r="AS556" i="298"/>
  <c r="AT556" i="298"/>
  <c r="AU556" i="298"/>
  <c r="AV556" i="298"/>
  <c r="AW556" i="298"/>
  <c r="BD578" i="298"/>
  <c r="BE578" i="298"/>
  <c r="BD579" i="298"/>
  <c r="BE579" i="298"/>
  <c r="BD580" i="298"/>
  <c r="BE580" i="298"/>
  <c r="BD581" i="298"/>
  <c r="BE581" i="298"/>
  <c r="BD582" i="298"/>
  <c r="BD627" i="298" s="1"/>
  <c r="BE582" i="298"/>
  <c r="BE627" i="298" s="1"/>
  <c r="BD583" i="298"/>
  <c r="BE583" i="298"/>
  <c r="BD584" i="298"/>
  <c r="BE584" i="298"/>
  <c r="BD585" i="298"/>
  <c r="BE585" i="298"/>
  <c r="BD586" i="298"/>
  <c r="BE586" i="298"/>
  <c r="BD587" i="298"/>
  <c r="BE587" i="298"/>
  <c r="BD588" i="298"/>
  <c r="BE588" i="298"/>
  <c r="BD589" i="298"/>
  <c r="BE589" i="298"/>
  <c r="BD590" i="298"/>
  <c r="BE590" i="298"/>
  <c r="BD591" i="298"/>
  <c r="BE591" i="298"/>
  <c r="BD592" i="298"/>
  <c r="BE592" i="298"/>
  <c r="BD593" i="298"/>
  <c r="BE593" i="298"/>
  <c r="BD594" i="298"/>
  <c r="BE594" i="298"/>
  <c r="S598" i="298"/>
  <c r="BC598" i="298"/>
  <c r="BD598" i="298"/>
  <c r="BE598" i="298"/>
  <c r="BD599" i="298"/>
  <c r="BE599" i="298"/>
  <c r="S600" i="298"/>
  <c r="BC600" i="298"/>
  <c r="BD600" i="298"/>
  <c r="BE600" i="298"/>
  <c r="S601" i="298"/>
  <c r="BC601" i="298"/>
  <c r="BD601" i="298"/>
  <c r="BE601" i="298"/>
  <c r="S602" i="298"/>
  <c r="BC602" i="298"/>
  <c r="BD602" i="298"/>
  <c r="BE602" i="298"/>
  <c r="S603" i="298"/>
  <c r="BC603" i="298"/>
  <c r="BD603" i="298"/>
  <c r="BE603" i="298"/>
  <c r="D604" i="298"/>
  <c r="E604" i="298"/>
  <c r="F604" i="298"/>
  <c r="G604" i="298"/>
  <c r="H604" i="298"/>
  <c r="I604" i="298"/>
  <c r="J604" i="298"/>
  <c r="K604" i="298"/>
  <c r="L604" i="298"/>
  <c r="M604" i="298"/>
  <c r="N604" i="298"/>
  <c r="O604" i="298"/>
  <c r="P604" i="298"/>
  <c r="Q604" i="298"/>
  <c r="R604" i="298"/>
  <c r="T604" i="298"/>
  <c r="U604" i="298"/>
  <c r="V604" i="298"/>
  <c r="W604" i="298"/>
  <c r="X604" i="298"/>
  <c r="Y604" i="298"/>
  <c r="Z604" i="298"/>
  <c r="AA604" i="298"/>
  <c r="AB604" i="298"/>
  <c r="AC604" i="298"/>
  <c r="AD604" i="298"/>
  <c r="AE604" i="298"/>
  <c r="AF604" i="298"/>
  <c r="AK604" i="298"/>
  <c r="AL604" i="298"/>
  <c r="AM604" i="298"/>
  <c r="AN604" i="298"/>
  <c r="AO604" i="298"/>
  <c r="AP604" i="298"/>
  <c r="AQ604" i="298"/>
  <c r="AR604" i="298"/>
  <c r="AS604" i="298"/>
  <c r="AT604" i="298"/>
  <c r="AU604" i="298"/>
  <c r="AV604" i="298"/>
  <c r="AW604" i="298"/>
  <c r="AY604" i="298"/>
  <c r="AZ604" i="298"/>
  <c r="BA604" i="298"/>
  <c r="BB604" i="298"/>
  <c r="S607" i="298"/>
  <c r="BC607" i="298"/>
  <c r="BD607" i="298"/>
  <c r="BE607" i="298"/>
  <c r="BC608" i="298"/>
  <c r="BD608" i="298"/>
  <c r="BE608" i="298"/>
  <c r="S609" i="298"/>
  <c r="BC609" i="298"/>
  <c r="BD609" i="298"/>
  <c r="BE609" i="298"/>
  <c r="S610" i="298"/>
  <c r="BC610" i="298"/>
  <c r="BD610" i="298"/>
  <c r="BE610" i="298"/>
  <c r="BD611" i="298"/>
  <c r="BE611" i="298"/>
  <c r="BD612" i="298"/>
  <c r="BE612" i="298"/>
  <c r="BD613" i="298"/>
  <c r="BE613" i="298"/>
  <c r="S614" i="298"/>
  <c r="BC614" i="298"/>
  <c r="BD614" i="298"/>
  <c r="BE614" i="298"/>
  <c r="S615" i="298"/>
  <c r="BC615" i="298"/>
  <c r="BD615" i="298"/>
  <c r="BE615" i="298"/>
  <c r="D616" i="298"/>
  <c r="E616" i="298"/>
  <c r="F616" i="298"/>
  <c r="G616" i="298"/>
  <c r="H616" i="298"/>
  <c r="I616" i="298"/>
  <c r="J616" i="298"/>
  <c r="K616" i="298"/>
  <c r="L616" i="298"/>
  <c r="M616" i="298"/>
  <c r="N616" i="298"/>
  <c r="O616" i="298"/>
  <c r="P616" i="298"/>
  <c r="Q616" i="298"/>
  <c r="R616" i="298"/>
  <c r="T616" i="298"/>
  <c r="U616" i="298"/>
  <c r="V616" i="298"/>
  <c r="W616" i="298"/>
  <c r="X616" i="298"/>
  <c r="Y616" i="298"/>
  <c r="Z616" i="298"/>
  <c r="AA616" i="298"/>
  <c r="AB616" i="298"/>
  <c r="AC616" i="298"/>
  <c r="AD616" i="298"/>
  <c r="AE616" i="298"/>
  <c r="AF616" i="298"/>
  <c r="AK616" i="298"/>
  <c r="AL616" i="298"/>
  <c r="AM616" i="298"/>
  <c r="AN616" i="298"/>
  <c r="AO616" i="298"/>
  <c r="AP616" i="298"/>
  <c r="AQ616" i="298"/>
  <c r="AR616" i="298"/>
  <c r="AS616" i="298"/>
  <c r="AT616" i="298"/>
  <c r="AU616" i="298"/>
  <c r="AV616" i="298"/>
  <c r="AW616" i="298"/>
  <c r="AY616" i="298"/>
  <c r="AZ616" i="298"/>
  <c r="BA616" i="298"/>
  <c r="BB616" i="298"/>
  <c r="S618" i="298"/>
  <c r="U618" i="298"/>
  <c r="BC618" i="298" s="1"/>
  <c r="BD618" i="298"/>
  <c r="BE618" i="298"/>
  <c r="AY622" i="298"/>
  <c r="AZ622" i="298"/>
  <c r="H627" i="298"/>
  <c r="I627" i="298"/>
  <c r="J627" i="298"/>
  <c r="L627" i="298"/>
  <c r="M627" i="298"/>
  <c r="N627" i="298"/>
  <c r="O627" i="298"/>
  <c r="P627" i="298"/>
  <c r="Q627" i="298"/>
  <c r="R627" i="298"/>
  <c r="T627" i="298"/>
  <c r="U627" i="298"/>
  <c r="V627" i="298"/>
  <c r="W627" i="298"/>
  <c r="X627" i="298"/>
  <c r="Y627" i="298"/>
  <c r="Z627" i="298"/>
  <c r="AA627" i="298"/>
  <c r="AB627" i="298"/>
  <c r="AC627" i="298"/>
  <c r="AD627" i="298"/>
  <c r="AE627" i="298"/>
  <c r="AF627" i="298"/>
  <c r="AM627" i="298"/>
  <c r="AN627" i="298"/>
  <c r="AO627" i="298"/>
  <c r="AP627" i="298"/>
  <c r="AQ627" i="298"/>
  <c r="AR627" i="298"/>
  <c r="AS627" i="298"/>
  <c r="AT627" i="298"/>
  <c r="AU627" i="298"/>
  <c r="AV627" i="298"/>
  <c r="AW627" i="298"/>
  <c r="AY627" i="298"/>
  <c r="AZ627" i="298"/>
  <c r="BA627" i="298"/>
  <c r="BB627" i="298"/>
  <c r="BC635" i="298"/>
  <c r="BD635" i="298"/>
  <c r="BE635" i="298"/>
  <c r="B633" i="298"/>
  <c r="B638" i="298" s="1"/>
  <c r="D634" i="298"/>
  <c r="E634" i="298"/>
  <c r="E633" i="298" s="1"/>
  <c r="F634" i="298"/>
  <c r="F633" i="298" s="1"/>
  <c r="G634" i="298"/>
  <c r="G633" i="298" s="1"/>
  <c r="H634" i="298"/>
  <c r="H633" i="298" s="1"/>
  <c r="I634" i="298"/>
  <c r="I633" i="298" s="1"/>
  <c r="J634" i="298"/>
  <c r="K634" i="298"/>
  <c r="K633" i="298" s="1"/>
  <c r="L634" i="298"/>
  <c r="L633" i="298" s="1"/>
  <c r="M634" i="298"/>
  <c r="N634" i="298"/>
  <c r="N633" i="298" s="1"/>
  <c r="O634" i="298"/>
  <c r="O633" i="298" s="1"/>
  <c r="P634" i="298"/>
  <c r="P633" i="298" s="1"/>
  <c r="Q634" i="298"/>
  <c r="Q633" i="298" s="1"/>
  <c r="R634" i="298"/>
  <c r="R633" i="298" s="1"/>
  <c r="T634" i="298"/>
  <c r="U634" i="298"/>
  <c r="V634" i="298"/>
  <c r="W634" i="298"/>
  <c r="W633" i="298" s="1"/>
  <c r="X634" i="298"/>
  <c r="X633" i="298" s="1"/>
  <c r="Y634" i="298"/>
  <c r="Y633" i="298" s="1"/>
  <c r="Z634" i="298"/>
  <c r="AA634" i="298"/>
  <c r="AA633" i="298" s="1"/>
  <c r="AB634" i="298"/>
  <c r="AB633" i="298" s="1"/>
  <c r="AC634" i="298"/>
  <c r="AC633" i="298" s="1"/>
  <c r="AD634" i="298"/>
  <c r="AD633" i="298" s="1"/>
  <c r="AE634" i="298"/>
  <c r="AE633" i="298" s="1"/>
  <c r="AF634" i="298"/>
  <c r="AF633" i="298" s="1"/>
  <c r="B639" i="298"/>
  <c r="B640" i="298"/>
  <c r="AB640" i="298"/>
  <c r="S647" i="298"/>
  <c r="BC647" i="298"/>
  <c r="BD647" i="298"/>
  <c r="BE647" i="298"/>
  <c r="S648" i="298"/>
  <c r="BC648" i="298"/>
  <c r="BD648" i="298"/>
  <c r="BE648" i="298"/>
  <c r="S649" i="298"/>
  <c r="BC649" i="298"/>
  <c r="BD649" i="298"/>
  <c r="BE649" i="298"/>
  <c r="S650" i="298"/>
  <c r="BC650" i="298"/>
  <c r="BD650" i="298"/>
  <c r="BE650" i="298"/>
  <c r="D651" i="298"/>
  <c r="D659" i="298" s="1"/>
  <c r="E651" i="298"/>
  <c r="E659" i="298" s="1"/>
  <c r="F651" i="298"/>
  <c r="F659" i="298" s="1"/>
  <c r="G651" i="298"/>
  <c r="G659" i="298" s="1"/>
  <c r="H651" i="298"/>
  <c r="H659" i="298" s="1"/>
  <c r="I651" i="298"/>
  <c r="I659" i="298" s="1"/>
  <c r="J651" i="298"/>
  <c r="J659" i="298" s="1"/>
  <c r="K651" i="298"/>
  <c r="K659" i="298" s="1"/>
  <c r="L651" i="298"/>
  <c r="L659" i="298" s="1"/>
  <c r="M651" i="298"/>
  <c r="M659" i="298" s="1"/>
  <c r="N651" i="298"/>
  <c r="N659" i="298" s="1"/>
  <c r="O651" i="298"/>
  <c r="O659" i="298" s="1"/>
  <c r="P651" i="298"/>
  <c r="P659" i="298" s="1"/>
  <c r="Q651" i="298"/>
  <c r="Q659" i="298" s="1"/>
  <c r="R651" i="298"/>
  <c r="R659" i="298" s="1"/>
  <c r="T651" i="298"/>
  <c r="T659" i="298" s="1"/>
  <c r="U651" i="298"/>
  <c r="U659" i="298" s="1"/>
  <c r="V651" i="298"/>
  <c r="V659" i="298" s="1"/>
  <c r="W651" i="298"/>
  <c r="W659" i="298" s="1"/>
  <c r="X651" i="298"/>
  <c r="X659" i="298" s="1"/>
  <c r="Y651" i="298"/>
  <c r="Y659" i="298" s="1"/>
  <c r="Z651" i="298"/>
  <c r="Z659" i="298" s="1"/>
  <c r="AA651" i="298"/>
  <c r="AB651" i="298"/>
  <c r="AB659" i="298" s="1"/>
  <c r="AC651" i="298"/>
  <c r="AC659" i="298" s="1"/>
  <c r="AD651" i="298"/>
  <c r="AD659" i="298" s="1"/>
  <c r="AE651" i="298"/>
  <c r="AF651" i="298"/>
  <c r="AF659" i="298" s="1"/>
  <c r="AK651" i="298"/>
  <c r="AK659" i="298" s="1"/>
  <c r="AL651" i="298"/>
  <c r="AL659" i="298" s="1"/>
  <c r="AM651" i="298"/>
  <c r="AM659" i="298" s="1"/>
  <c r="AN651" i="298"/>
  <c r="AN659" i="298" s="1"/>
  <c r="AO651" i="298"/>
  <c r="AO659" i="298" s="1"/>
  <c r="AP651" i="298"/>
  <c r="AP659" i="298" s="1"/>
  <c r="AQ651" i="298"/>
  <c r="AQ659" i="298" s="1"/>
  <c r="AR651" i="298"/>
  <c r="AR659" i="298" s="1"/>
  <c r="AS651" i="298"/>
  <c r="AS659" i="298" s="1"/>
  <c r="AT651" i="298"/>
  <c r="AT659" i="298" s="1"/>
  <c r="AU651" i="298"/>
  <c r="AU659" i="298" s="1"/>
  <c r="AV651" i="298"/>
  <c r="AV659" i="298" s="1"/>
  <c r="AW651" i="298"/>
  <c r="AW659" i="298" s="1"/>
  <c r="AZ651" i="298"/>
  <c r="AZ659" i="298" s="1"/>
  <c r="BB651" i="298"/>
  <c r="BB659" i="298" s="1"/>
  <c r="S652" i="298"/>
  <c r="BC652" i="298"/>
  <c r="BD652" i="298"/>
  <c r="BE652" i="298"/>
  <c r="S653" i="298"/>
  <c r="BC653" i="298"/>
  <c r="BD653" i="298"/>
  <c r="BE653" i="298"/>
  <c r="S654" i="298"/>
  <c r="BC654" i="298"/>
  <c r="BD654" i="298"/>
  <c r="BE654" i="298"/>
  <c r="S655" i="298"/>
  <c r="BC655" i="298"/>
  <c r="BD655" i="298"/>
  <c r="BE655" i="298"/>
  <c r="S656" i="298"/>
  <c r="BC656" i="298"/>
  <c r="BD656" i="298"/>
  <c r="BE656" i="298"/>
  <c r="S657" i="298"/>
  <c r="BC657" i="298"/>
  <c r="BD657" i="298"/>
  <c r="BE657" i="298"/>
  <c r="S658" i="298"/>
  <c r="BC658" i="298"/>
  <c r="BD658" i="298"/>
  <c r="BE658" i="298"/>
  <c r="S662" i="298"/>
  <c r="BC662" i="298"/>
  <c r="BD662" i="298"/>
  <c r="BE662" i="298"/>
  <c r="S663" i="298"/>
  <c r="BC663" i="298"/>
  <c r="BD663" i="298"/>
  <c r="BE663" i="298"/>
  <c r="S666" i="298"/>
  <c r="BC666" i="298"/>
  <c r="BD666" i="298"/>
  <c r="BE666" i="298"/>
  <c r="S667" i="298"/>
  <c r="BC667" i="298"/>
  <c r="BD667" i="298"/>
  <c r="BE667" i="298"/>
  <c r="S668" i="298"/>
  <c r="BC668" i="298"/>
  <c r="BD668" i="298"/>
  <c r="BE668" i="298"/>
  <c r="S669" i="298"/>
  <c r="BC669" i="298"/>
  <c r="BD669" i="298"/>
  <c r="BE669" i="298"/>
  <c r="D670" i="298"/>
  <c r="D677" i="298" s="1"/>
  <c r="E670" i="298"/>
  <c r="E677" i="298" s="1"/>
  <c r="F670" i="298"/>
  <c r="F677" i="298" s="1"/>
  <c r="G670" i="298"/>
  <c r="G677" i="298" s="1"/>
  <c r="H670" i="298"/>
  <c r="H677" i="298" s="1"/>
  <c r="I670" i="298"/>
  <c r="I677" i="298" s="1"/>
  <c r="J670" i="298"/>
  <c r="J677" i="298" s="1"/>
  <c r="K670" i="298"/>
  <c r="K677" i="298" s="1"/>
  <c r="L670" i="298"/>
  <c r="L677" i="298" s="1"/>
  <c r="M670" i="298"/>
  <c r="M677" i="298" s="1"/>
  <c r="N670" i="298"/>
  <c r="N677" i="298" s="1"/>
  <c r="O670" i="298"/>
  <c r="O677" i="298" s="1"/>
  <c r="P670" i="298"/>
  <c r="P677" i="298" s="1"/>
  <c r="Q670" i="298"/>
  <c r="Q677" i="298" s="1"/>
  <c r="R670" i="298"/>
  <c r="R677" i="298" s="1"/>
  <c r="T670" i="298"/>
  <c r="T677" i="298" s="1"/>
  <c r="U670" i="298"/>
  <c r="U677" i="298" s="1"/>
  <c r="V670" i="298"/>
  <c r="V677" i="298" s="1"/>
  <c r="W670" i="298"/>
  <c r="W677" i="298" s="1"/>
  <c r="X670" i="298"/>
  <c r="X677" i="298" s="1"/>
  <c r="Y670" i="298"/>
  <c r="Y677" i="298" s="1"/>
  <c r="Z670" i="298"/>
  <c r="Z677" i="298" s="1"/>
  <c r="AA670" i="298"/>
  <c r="AA677" i="298" s="1"/>
  <c r="AB670" i="298"/>
  <c r="AB677" i="298" s="1"/>
  <c r="AC670" i="298"/>
  <c r="AC677" i="298" s="1"/>
  <c r="AD670" i="298"/>
  <c r="AD677" i="298" s="1"/>
  <c r="AE670" i="298"/>
  <c r="AE677" i="298" s="1"/>
  <c r="AF670" i="298"/>
  <c r="AF677" i="298" s="1"/>
  <c r="AK670" i="298"/>
  <c r="AK677" i="298" s="1"/>
  <c r="AL670" i="298"/>
  <c r="AL677" i="298" s="1"/>
  <c r="AM670" i="298"/>
  <c r="AM677" i="298" s="1"/>
  <c r="AN670" i="298"/>
  <c r="AN677" i="298" s="1"/>
  <c r="AO670" i="298"/>
  <c r="AO677" i="298" s="1"/>
  <c r="AP670" i="298"/>
  <c r="AP677" i="298" s="1"/>
  <c r="AQ670" i="298"/>
  <c r="AQ677" i="298" s="1"/>
  <c r="AR670" i="298"/>
  <c r="AR677" i="298" s="1"/>
  <c r="AS670" i="298"/>
  <c r="AS677" i="298" s="1"/>
  <c r="AT670" i="298"/>
  <c r="AT677" i="298" s="1"/>
  <c r="AU670" i="298"/>
  <c r="AU677" i="298" s="1"/>
  <c r="AV670" i="298"/>
  <c r="AV677" i="298" s="1"/>
  <c r="AW670" i="298"/>
  <c r="AW677" i="298" s="1"/>
  <c r="AZ670" i="298"/>
  <c r="AZ677" i="298" s="1"/>
  <c r="BB670" i="298"/>
  <c r="BB677" i="298" s="1"/>
  <c r="S673" i="298"/>
  <c r="BC673" i="298"/>
  <c r="BD673" i="298"/>
  <c r="BE673" i="298"/>
  <c r="S674" i="298"/>
  <c r="BC674" i="298"/>
  <c r="BD674" i="298"/>
  <c r="BE674" i="298"/>
  <c r="S675" i="298"/>
  <c r="BC675" i="298"/>
  <c r="BD675" i="298"/>
  <c r="BE675" i="298"/>
  <c r="S676" i="298"/>
  <c r="BC676" i="298"/>
  <c r="BD676" i="298"/>
  <c r="BE676" i="298"/>
  <c r="BA677" i="298"/>
  <c r="S680" i="298"/>
  <c r="BC680" i="298"/>
  <c r="BD680" i="298"/>
  <c r="BE680" i="298"/>
  <c r="S681" i="298"/>
  <c r="BC681" i="298"/>
  <c r="BD681" i="298"/>
  <c r="BE681" i="298"/>
  <c r="S682" i="298"/>
  <c r="BC682" i="298"/>
  <c r="BD682" i="298"/>
  <c r="BE682" i="298"/>
  <c r="D683" i="298"/>
  <c r="E683" i="298"/>
  <c r="F683" i="298"/>
  <c r="G683" i="298"/>
  <c r="H683" i="298"/>
  <c r="I683" i="298"/>
  <c r="J683" i="298"/>
  <c r="K683" i="298"/>
  <c r="L683" i="298"/>
  <c r="M683" i="298"/>
  <c r="N683" i="298"/>
  <c r="O683" i="298"/>
  <c r="P683" i="298"/>
  <c r="Q683" i="298"/>
  <c r="R683" i="298"/>
  <c r="T683" i="298"/>
  <c r="U683" i="298"/>
  <c r="V683" i="298"/>
  <c r="W683" i="298"/>
  <c r="X683" i="298"/>
  <c r="Y683" i="298"/>
  <c r="Z683" i="298"/>
  <c r="AA683" i="298"/>
  <c r="BD683" i="298" s="1"/>
  <c r="AB683" i="298"/>
  <c r="AC683" i="298"/>
  <c r="AD683" i="298"/>
  <c r="AE683" i="298"/>
  <c r="BE683" i="298" s="1"/>
  <c r="AF683" i="298"/>
  <c r="AK683" i="298"/>
  <c r="AL683" i="298"/>
  <c r="AM683" i="298"/>
  <c r="AN683" i="298"/>
  <c r="AO683" i="298"/>
  <c r="AP683" i="298"/>
  <c r="AQ683" i="298"/>
  <c r="AR683" i="298"/>
  <c r="AS683" i="298"/>
  <c r="AT683" i="298"/>
  <c r="AU683" i="298"/>
  <c r="AV683" i="298"/>
  <c r="AW683" i="298"/>
  <c r="AZ683" i="298"/>
  <c r="BA683" i="298"/>
  <c r="BB683" i="298"/>
  <c r="AY689" i="298"/>
  <c r="AZ689" i="298"/>
  <c r="BA689" i="298"/>
  <c r="BB689" i="298"/>
  <c r="BC689" i="298"/>
  <c r="BD689" i="298"/>
  <c r="BE689" i="298"/>
  <c r="AY690" i="298"/>
  <c r="AZ690" i="298"/>
  <c r="BA690" i="298"/>
  <c r="BB690" i="298"/>
  <c r="BC690" i="298"/>
  <c r="BD690" i="298"/>
  <c r="BE690" i="298"/>
  <c r="AY691" i="298"/>
  <c r="AZ691" i="298"/>
  <c r="BA691" i="298"/>
  <c r="BB691" i="298"/>
  <c r="BC691" i="298"/>
  <c r="BD691" i="298"/>
  <c r="BE691" i="298"/>
  <c r="D692" i="298"/>
  <c r="E692" i="298"/>
  <c r="F692" i="298"/>
  <c r="G692" i="298"/>
  <c r="AY692" i="298" s="1"/>
  <c r="H692" i="298"/>
  <c r="I692" i="298"/>
  <c r="J692" i="298"/>
  <c r="K692" i="298"/>
  <c r="L692" i="298"/>
  <c r="M692" i="298"/>
  <c r="N692" i="298"/>
  <c r="O692" i="298"/>
  <c r="P692" i="298"/>
  <c r="Q692" i="298"/>
  <c r="R692" i="298"/>
  <c r="S692" i="298"/>
  <c r="BB692" i="298" s="1"/>
  <c r="T692" i="298"/>
  <c r="U692" i="298"/>
  <c r="V692" i="298"/>
  <c r="W692" i="298"/>
  <c r="X692" i="298"/>
  <c r="Y692" i="298"/>
  <c r="Z692" i="298"/>
  <c r="AA692" i="298"/>
  <c r="BD692" i="298" s="1"/>
  <c r="AB692" i="298"/>
  <c r="AC692" i="298"/>
  <c r="AD692" i="298"/>
  <c r="AE692" i="298"/>
  <c r="AF692" i="298"/>
  <c r="AK692" i="298"/>
  <c r="AL692" i="298"/>
  <c r="AM692" i="298"/>
  <c r="AN692" i="298"/>
  <c r="AO692" i="298"/>
  <c r="AP692" i="298"/>
  <c r="AQ692" i="298"/>
  <c r="AR692" i="298"/>
  <c r="AV704" i="298" s="1"/>
  <c r="AS692" i="298"/>
  <c r="AW704" i="298" s="1"/>
  <c r="AT692" i="298"/>
  <c r="AU692" i="298"/>
  <c r="B695" i="298"/>
  <c r="H695" i="298"/>
  <c r="I695" i="298"/>
  <c r="J695" i="298"/>
  <c r="K695" i="298"/>
  <c r="L695" i="298"/>
  <c r="M695" i="298"/>
  <c r="N695" i="298"/>
  <c r="O695" i="298"/>
  <c r="P695" i="298"/>
  <c r="Q695" i="298"/>
  <c r="R695" i="298"/>
  <c r="S695" i="298"/>
  <c r="T695" i="298"/>
  <c r="U695" i="298"/>
  <c r="V695" i="298"/>
  <c r="W695" i="298"/>
  <c r="X695" i="298"/>
  <c r="Y695" i="298"/>
  <c r="Z695" i="298"/>
  <c r="AA695" i="298"/>
  <c r="AB695" i="298"/>
  <c r="AC695" i="298"/>
  <c r="AD695" i="298"/>
  <c r="AE695" i="298"/>
  <c r="AF695" i="298"/>
  <c r="B696" i="298"/>
  <c r="H696" i="298"/>
  <c r="I696" i="298"/>
  <c r="J696" i="298"/>
  <c r="K696" i="298"/>
  <c r="L696" i="298"/>
  <c r="M696" i="298"/>
  <c r="N696" i="298"/>
  <c r="O696" i="298"/>
  <c r="P696" i="298"/>
  <c r="Q696" i="298"/>
  <c r="R696" i="298"/>
  <c r="S696" i="298"/>
  <c r="T696" i="298"/>
  <c r="U696" i="298"/>
  <c r="V696" i="298"/>
  <c r="W696" i="298"/>
  <c r="X696" i="298"/>
  <c r="Y696" i="298"/>
  <c r="Z696" i="298"/>
  <c r="AA696" i="298"/>
  <c r="AB696" i="298"/>
  <c r="AC696" i="298"/>
  <c r="AD696" i="298"/>
  <c r="AE696" i="298"/>
  <c r="AF696" i="298"/>
  <c r="B697" i="298"/>
  <c r="H697" i="298"/>
  <c r="I697" i="298"/>
  <c r="J697" i="298"/>
  <c r="K697" i="298"/>
  <c r="L697" i="298"/>
  <c r="M697" i="298"/>
  <c r="N697" i="298"/>
  <c r="O697" i="298"/>
  <c r="P697" i="298"/>
  <c r="Q697" i="298"/>
  <c r="R697" i="298"/>
  <c r="S697" i="298"/>
  <c r="T697" i="298"/>
  <c r="U697" i="298"/>
  <c r="V697" i="298"/>
  <c r="W697" i="298"/>
  <c r="X697" i="298"/>
  <c r="Y697" i="298"/>
  <c r="Z697" i="298"/>
  <c r="AA697" i="298"/>
  <c r="AB697" i="298"/>
  <c r="AC697" i="298"/>
  <c r="AD697" i="298"/>
  <c r="AE697" i="298"/>
  <c r="AF697" i="298"/>
  <c r="B698" i="298"/>
  <c r="AW698" i="298"/>
  <c r="AX698" i="298"/>
  <c r="H701" i="298"/>
  <c r="I701" i="298"/>
  <c r="J701" i="298"/>
  <c r="K701" i="298"/>
  <c r="L701" i="298"/>
  <c r="M701" i="298"/>
  <c r="N701" i="298"/>
  <c r="O701" i="298"/>
  <c r="P701" i="298"/>
  <c r="Q701" i="298"/>
  <c r="R701" i="298"/>
  <c r="S701" i="298"/>
  <c r="T701" i="298"/>
  <c r="U701" i="298"/>
  <c r="V701" i="298"/>
  <c r="W701" i="298"/>
  <c r="X701" i="298"/>
  <c r="Y701" i="298"/>
  <c r="Z701" i="298"/>
  <c r="AA701" i="298"/>
  <c r="AB701" i="298"/>
  <c r="AC701" i="298"/>
  <c r="AD701" i="298"/>
  <c r="AE701" i="298"/>
  <c r="AF701" i="298"/>
  <c r="H702" i="298"/>
  <c r="I702" i="298"/>
  <c r="J702" i="298"/>
  <c r="K702" i="298"/>
  <c r="L702" i="298"/>
  <c r="M702" i="298"/>
  <c r="N702" i="298"/>
  <c r="O702" i="298"/>
  <c r="P702" i="298"/>
  <c r="Q702" i="298"/>
  <c r="R702" i="298"/>
  <c r="S702" i="298"/>
  <c r="T702" i="298"/>
  <c r="U702" i="298"/>
  <c r="V702" i="298"/>
  <c r="W702" i="298"/>
  <c r="X702" i="298"/>
  <c r="Y702" i="298"/>
  <c r="Z702" i="298"/>
  <c r="AA702" i="298"/>
  <c r="AB702" i="298"/>
  <c r="AC702" i="298"/>
  <c r="AD702" i="298"/>
  <c r="AE702" i="298"/>
  <c r="AF702" i="298"/>
  <c r="H703" i="298"/>
  <c r="I703" i="298"/>
  <c r="J703" i="298"/>
  <c r="K703" i="298"/>
  <c r="L703" i="298"/>
  <c r="M703" i="298"/>
  <c r="N703" i="298"/>
  <c r="O703" i="298"/>
  <c r="P703" i="298"/>
  <c r="Q703" i="298"/>
  <c r="R703" i="298"/>
  <c r="S703" i="298"/>
  <c r="T703" i="298"/>
  <c r="U703" i="298"/>
  <c r="V703" i="298"/>
  <c r="W703" i="298"/>
  <c r="X703" i="298"/>
  <c r="Y703" i="298"/>
  <c r="Z703" i="298"/>
  <c r="AA703" i="298"/>
  <c r="AB703" i="298"/>
  <c r="AC703" i="298"/>
  <c r="AD703" i="298"/>
  <c r="AE703" i="298"/>
  <c r="AF703" i="298"/>
  <c r="H707" i="298"/>
  <c r="I707" i="298"/>
  <c r="J707" i="298"/>
  <c r="K707" i="298"/>
  <c r="L707" i="298"/>
  <c r="M707" i="298"/>
  <c r="N707" i="298"/>
  <c r="O707" i="298"/>
  <c r="P707" i="298"/>
  <c r="Q707" i="298"/>
  <c r="R707" i="298"/>
  <c r="T707" i="298"/>
  <c r="U707" i="298"/>
  <c r="V707" i="298"/>
  <c r="W707" i="298"/>
  <c r="X707" i="298"/>
  <c r="Y707" i="298"/>
  <c r="Z707" i="298"/>
  <c r="AA707" i="298"/>
  <c r="AB707" i="298"/>
  <c r="AC707" i="298"/>
  <c r="AD707" i="298"/>
  <c r="AE707" i="298"/>
  <c r="AF707" i="298"/>
  <c r="BB707" i="298"/>
  <c r="H708" i="298"/>
  <c r="I708" i="298"/>
  <c r="J708" i="298"/>
  <c r="K708" i="298"/>
  <c r="L708" i="298"/>
  <c r="M708" i="298"/>
  <c r="N708" i="298"/>
  <c r="O708" i="298"/>
  <c r="P708" i="298"/>
  <c r="Q708" i="298"/>
  <c r="R708" i="298"/>
  <c r="T708" i="298"/>
  <c r="U708" i="298"/>
  <c r="V708" i="298"/>
  <c r="W708" i="298"/>
  <c r="X708" i="298"/>
  <c r="Y708" i="298"/>
  <c r="Z708" i="298"/>
  <c r="AA708" i="298"/>
  <c r="AB708" i="298"/>
  <c r="AC708" i="298"/>
  <c r="AD708" i="298"/>
  <c r="AE708" i="298"/>
  <c r="AF708" i="298"/>
  <c r="BB708" i="298"/>
  <c r="H709" i="298"/>
  <c r="I709" i="298"/>
  <c r="J709" i="298"/>
  <c r="K709" i="298"/>
  <c r="L709" i="298"/>
  <c r="M709" i="298"/>
  <c r="N709" i="298"/>
  <c r="O709" i="298"/>
  <c r="P709" i="298"/>
  <c r="Q709" i="298"/>
  <c r="R709" i="298"/>
  <c r="T709" i="298"/>
  <c r="U709" i="298"/>
  <c r="V709" i="298"/>
  <c r="W709" i="298"/>
  <c r="X709" i="298"/>
  <c r="Y709" i="298"/>
  <c r="Z709" i="298"/>
  <c r="AA709" i="298"/>
  <c r="AB709" i="298"/>
  <c r="AC709" i="298"/>
  <c r="AD709" i="298"/>
  <c r="AE709" i="298"/>
  <c r="AF709" i="298"/>
  <c r="BB709" i="298"/>
  <c r="AX710" i="298"/>
  <c r="B719" i="298"/>
  <c r="B720" i="298"/>
  <c r="B721" i="298"/>
  <c r="B722" i="298"/>
  <c r="H1" i="518"/>
  <c r="H1" i="276"/>
  <c r="C10" i="276"/>
  <c r="C11" i="276"/>
  <c r="C12" i="276"/>
  <c r="C13" i="276"/>
  <c r="C14" i="276"/>
  <c r="C15" i="276"/>
  <c r="C16" i="276"/>
  <c r="B17" i="276"/>
  <c r="D17" i="276"/>
  <c r="C18" i="276"/>
  <c r="G18" i="276" s="1"/>
  <c r="F18" i="276"/>
  <c r="H18" i="276"/>
  <c r="C19" i="276"/>
  <c r="G19" i="276" s="1"/>
  <c r="F19" i="276"/>
  <c r="H19" i="276"/>
  <c r="C20" i="276"/>
  <c r="G20" i="276" s="1"/>
  <c r="F20" i="276"/>
  <c r="H20" i="276"/>
  <c r="C21" i="276"/>
  <c r="G21" i="276" s="1"/>
  <c r="F21" i="276"/>
  <c r="H21" i="276"/>
  <c r="C22" i="276"/>
  <c r="G22" i="276" s="1"/>
  <c r="F22" i="276"/>
  <c r="H22" i="276"/>
  <c r="C23" i="276"/>
  <c r="G23" i="276" s="1"/>
  <c r="F23" i="276"/>
  <c r="H23" i="276"/>
  <c r="C24" i="276"/>
  <c r="G24" i="276" s="1"/>
  <c r="F24" i="276"/>
  <c r="H24" i="276"/>
  <c r="C25" i="276"/>
  <c r="G25" i="276" s="1"/>
  <c r="F25" i="276"/>
  <c r="H25" i="276"/>
  <c r="B26" i="276"/>
  <c r="D26" i="276"/>
  <c r="C37" i="276"/>
  <c r="C38" i="276"/>
  <c r="C39" i="276"/>
  <c r="C40" i="276"/>
  <c r="C41" i="276"/>
  <c r="C42" i="276"/>
  <c r="C43" i="276"/>
  <c r="C44" i="276"/>
  <c r="B45" i="276"/>
  <c r="D45" i="276"/>
  <c r="B46" i="276"/>
  <c r="D46" i="276"/>
  <c r="B47" i="276"/>
  <c r="D47" i="276"/>
  <c r="B48" i="276"/>
  <c r="D48" i="276"/>
  <c r="B49" i="276"/>
  <c r="D49" i="276"/>
  <c r="B50" i="276"/>
  <c r="D50" i="276"/>
  <c r="B51" i="276"/>
  <c r="D51" i="276"/>
  <c r="B52" i="276"/>
  <c r="D52" i="276"/>
  <c r="AK35" i="359"/>
  <c r="AM35" i="359"/>
  <c r="I36" i="359"/>
  <c r="J36" i="359"/>
  <c r="K36" i="359"/>
  <c r="L36" i="359"/>
  <c r="M36" i="359"/>
  <c r="N36" i="359"/>
  <c r="O36" i="359"/>
  <c r="P36" i="359"/>
  <c r="Q36" i="359"/>
  <c r="R36" i="359"/>
  <c r="S36" i="359"/>
  <c r="T36" i="359"/>
  <c r="U36" i="359"/>
  <c r="V36" i="359"/>
  <c r="W36" i="359"/>
  <c r="X36" i="359"/>
  <c r="Y36" i="359"/>
  <c r="Z36" i="359"/>
  <c r="AA36" i="359"/>
  <c r="AB36" i="359"/>
  <c r="AC36" i="359"/>
  <c r="AD36" i="359"/>
  <c r="AE36" i="359"/>
  <c r="AF36" i="359"/>
  <c r="AG36" i="359"/>
  <c r="AH36" i="359"/>
  <c r="A39" i="359"/>
  <c r="A51" i="359" s="1"/>
  <c r="M39" i="359"/>
  <c r="N39" i="359"/>
  <c r="O39" i="359"/>
  <c r="P39" i="359"/>
  <c r="Q39" i="359"/>
  <c r="R39" i="359"/>
  <c r="S39" i="359"/>
  <c r="T39" i="359"/>
  <c r="U39" i="359"/>
  <c r="V39" i="359"/>
  <c r="W39" i="359"/>
  <c r="X39" i="359"/>
  <c r="Y39" i="359"/>
  <c r="Z39" i="359"/>
  <c r="AA39" i="359"/>
  <c r="AB39" i="359"/>
  <c r="AC39" i="359"/>
  <c r="AD39" i="359"/>
  <c r="AE39" i="359"/>
  <c r="AF39" i="359"/>
  <c r="AG39" i="359"/>
  <c r="AH39" i="359"/>
  <c r="AI39" i="359"/>
  <c r="AJ39" i="359"/>
  <c r="A40" i="359"/>
  <c r="A52" i="359" s="1"/>
  <c r="C44" i="359"/>
  <c r="D44" i="359"/>
  <c r="E44" i="359"/>
  <c r="F44" i="359"/>
  <c r="G44" i="359"/>
  <c r="H44" i="359"/>
  <c r="I44" i="359"/>
  <c r="J44" i="359"/>
  <c r="K44" i="359"/>
  <c r="L44" i="359"/>
  <c r="M44" i="359"/>
  <c r="N44" i="359"/>
  <c r="O44" i="359"/>
  <c r="P44" i="359"/>
  <c r="Q44" i="359"/>
  <c r="R44" i="359"/>
  <c r="S44" i="359"/>
  <c r="T44" i="359"/>
  <c r="U44" i="359"/>
  <c r="V44" i="359"/>
  <c r="W44" i="359"/>
  <c r="X44" i="359"/>
  <c r="Y44" i="359"/>
  <c r="Z44" i="359"/>
  <c r="AA44" i="359"/>
  <c r="AB44" i="359"/>
  <c r="AC44" i="359"/>
  <c r="AD44" i="359"/>
  <c r="AE44" i="359"/>
  <c r="AF44" i="359"/>
  <c r="AG44" i="359"/>
  <c r="AH44" i="359"/>
  <c r="AI44" i="359"/>
  <c r="AJ44" i="359"/>
  <c r="Y48" i="359"/>
  <c r="Z48" i="359"/>
  <c r="AA48" i="359"/>
  <c r="AB48" i="359"/>
  <c r="AC48" i="359"/>
  <c r="AD48" i="359"/>
  <c r="AE48" i="359"/>
  <c r="AF48" i="359"/>
  <c r="AG48" i="359"/>
  <c r="AH48" i="359"/>
  <c r="J51" i="359"/>
  <c r="K51" i="359"/>
  <c r="L51" i="359"/>
  <c r="M51" i="359"/>
  <c r="N51" i="359"/>
  <c r="O51" i="359"/>
  <c r="P51" i="359"/>
  <c r="Q51" i="359"/>
  <c r="R51" i="359"/>
  <c r="S51" i="359"/>
  <c r="T51" i="359"/>
  <c r="U51" i="359"/>
  <c r="V51" i="359"/>
  <c r="W51" i="359"/>
  <c r="X51" i="359"/>
  <c r="Y51" i="359"/>
  <c r="Z51" i="359"/>
  <c r="AA51" i="359"/>
  <c r="AB51" i="359"/>
  <c r="AC51" i="359"/>
  <c r="AD51" i="359"/>
  <c r="AE51" i="359"/>
  <c r="AF51" i="359"/>
  <c r="AG51" i="359"/>
  <c r="AH51" i="359"/>
  <c r="AI51" i="359"/>
  <c r="AJ51" i="359"/>
  <c r="L56" i="359"/>
  <c r="M56" i="359"/>
  <c r="N56" i="359"/>
  <c r="O56" i="359"/>
  <c r="O137" i="359" s="1"/>
  <c r="P56" i="359"/>
  <c r="P137" i="359" s="1"/>
  <c r="Q56" i="359"/>
  <c r="R56" i="359"/>
  <c r="R137" i="359" s="1"/>
  <c r="S56" i="359"/>
  <c r="S137" i="359" s="1"/>
  <c r="T56" i="359"/>
  <c r="U56" i="359"/>
  <c r="U137" i="359" s="1"/>
  <c r="V56" i="359"/>
  <c r="V137" i="359" s="1"/>
  <c r="W56" i="359"/>
  <c r="X56" i="359"/>
  <c r="Y56" i="359"/>
  <c r="Y137" i="359" s="1"/>
  <c r="Z56" i="359"/>
  <c r="Z137" i="359" s="1"/>
  <c r="AA56" i="359"/>
  <c r="AB56" i="359"/>
  <c r="AC56" i="359"/>
  <c r="AD56" i="359"/>
  <c r="AE56" i="359"/>
  <c r="AE137" i="359" s="1"/>
  <c r="AF56" i="359"/>
  <c r="AF137" i="359" s="1"/>
  <c r="AG56" i="359"/>
  <c r="AH56" i="359"/>
  <c r="AI56" i="359"/>
  <c r="AJ56" i="359"/>
  <c r="A57" i="359"/>
  <c r="A61" i="359" s="1"/>
  <c r="A73" i="359" s="1"/>
  <c r="A60" i="359"/>
  <c r="A72" i="359" s="1"/>
  <c r="AI136" i="359"/>
  <c r="AI141" i="359" s="1"/>
  <c r="AJ136" i="359"/>
  <c r="AJ141" i="359" s="1"/>
  <c r="AK136" i="359"/>
  <c r="AK141" i="359" s="1"/>
  <c r="AL136" i="359"/>
  <c r="AL141" i="359" s="1"/>
  <c r="AM136" i="359"/>
  <c r="AM141" i="359" s="1"/>
  <c r="AN136" i="359"/>
  <c r="AN141" i="359" s="1"/>
  <c r="A143" i="359"/>
  <c r="A5" i="468"/>
  <c r="R5" i="468"/>
  <c r="S5" i="468"/>
  <c r="T5" i="468"/>
  <c r="U5" i="468"/>
  <c r="V5" i="468"/>
  <c r="W5" i="468"/>
  <c r="X5" i="468"/>
  <c r="Y5" i="468"/>
  <c r="Z5" i="468"/>
  <c r="AA5" i="468"/>
  <c r="AB5" i="468"/>
  <c r="AC5" i="468"/>
  <c r="AD5" i="468"/>
  <c r="AE5" i="468"/>
  <c r="AF5" i="468"/>
  <c r="AG5" i="468"/>
  <c r="AH5" i="468"/>
  <c r="AI5" i="468"/>
  <c r="AJ5" i="468"/>
  <c r="AK5" i="468"/>
  <c r="AL5" i="468"/>
  <c r="AM5" i="468"/>
  <c r="AN5" i="468"/>
  <c r="AO5" i="468"/>
  <c r="AP5" i="468"/>
  <c r="AQ5" i="468"/>
  <c r="AR5" i="468"/>
  <c r="AS5" i="468"/>
  <c r="AT5" i="468"/>
  <c r="AU5" i="468"/>
  <c r="A6" i="468"/>
  <c r="R6" i="468"/>
  <c r="S6" i="468"/>
  <c r="T6" i="468"/>
  <c r="U6" i="468"/>
  <c r="V6" i="468"/>
  <c r="W6" i="468"/>
  <c r="X6" i="468"/>
  <c r="Y6" i="468"/>
  <c r="Z6" i="468"/>
  <c r="AA6" i="468"/>
  <c r="AB6" i="468"/>
  <c r="AC6" i="468"/>
  <c r="AD6" i="468"/>
  <c r="AE6" i="468"/>
  <c r="AF6" i="468"/>
  <c r="AG6" i="468"/>
  <c r="AH6" i="468"/>
  <c r="AI6" i="468"/>
  <c r="AJ6" i="468"/>
  <c r="AK6" i="468"/>
  <c r="AL6" i="468"/>
  <c r="AM6" i="468"/>
  <c r="AN6" i="468"/>
  <c r="AO6" i="468"/>
  <c r="AP6" i="468"/>
  <c r="AQ6" i="468"/>
  <c r="AR6" i="468"/>
  <c r="AS6" i="468"/>
  <c r="AT6" i="468"/>
  <c r="AU6" i="468"/>
  <c r="BO9" i="468"/>
  <c r="BO58" i="468" s="1"/>
  <c r="BP9" i="468"/>
  <c r="BQ9" i="468"/>
  <c r="BR9" i="468"/>
  <c r="BS9" i="468"/>
  <c r="BT9" i="468"/>
  <c r="BU9" i="468"/>
  <c r="BV9" i="468"/>
  <c r="BW9" i="468"/>
  <c r="BX9" i="468"/>
  <c r="BY9" i="468"/>
  <c r="BZ9" i="468"/>
  <c r="CA9" i="468"/>
  <c r="CB9" i="468"/>
  <c r="CC9" i="468"/>
  <c r="AN10" i="468"/>
  <c r="AN98" i="468" s="1"/>
  <c r="AO10" i="468"/>
  <c r="AS15" i="468" s="1"/>
  <c r="BP10" i="468"/>
  <c r="BQ10" i="468"/>
  <c r="CB10" i="468"/>
  <c r="BT11" i="468"/>
  <c r="BU11" i="468"/>
  <c r="BV11" i="468"/>
  <c r="BW11" i="468"/>
  <c r="BX11" i="468"/>
  <c r="BY11" i="468"/>
  <c r="BZ11" i="468"/>
  <c r="CA11" i="468"/>
  <c r="CB11" i="468"/>
  <c r="CC11" i="468"/>
  <c r="A14" i="468"/>
  <c r="A19" i="468" s="1"/>
  <c r="F14" i="468"/>
  <c r="F19" i="468" s="1"/>
  <c r="G14" i="468"/>
  <c r="G19" i="468" s="1"/>
  <c r="H14" i="468"/>
  <c r="H19" i="468" s="1"/>
  <c r="I14" i="468"/>
  <c r="I19" i="468" s="1"/>
  <c r="J14" i="468"/>
  <c r="K14" i="468"/>
  <c r="L14" i="468"/>
  <c r="M14" i="468"/>
  <c r="N14" i="468"/>
  <c r="O14" i="468"/>
  <c r="P14" i="468"/>
  <c r="Q14" i="468"/>
  <c r="R14" i="468"/>
  <c r="S14" i="468"/>
  <c r="T14" i="468"/>
  <c r="U14" i="468"/>
  <c r="V14" i="468"/>
  <c r="W14" i="468"/>
  <c r="X14" i="468"/>
  <c r="Y14" i="468"/>
  <c r="Z14" i="468"/>
  <c r="AA14" i="468"/>
  <c r="AB14" i="468"/>
  <c r="AC14" i="468"/>
  <c r="AD14" i="468"/>
  <c r="AE14" i="468"/>
  <c r="AF14" i="468"/>
  <c r="AG14" i="468"/>
  <c r="AH14" i="468"/>
  <c r="AI14" i="468"/>
  <c r="AJ14" i="468"/>
  <c r="AK14" i="468"/>
  <c r="AL14" i="468"/>
  <c r="AM14" i="468"/>
  <c r="AN14" i="468"/>
  <c r="AO14" i="468"/>
  <c r="AP14" i="468"/>
  <c r="AP24" i="468" s="1"/>
  <c r="AQ14" i="468"/>
  <c r="AQ24" i="468" s="1"/>
  <c r="AQ29" i="468" s="1"/>
  <c r="AR14" i="468"/>
  <c r="AR24" i="468" s="1"/>
  <c r="AR29" i="468" s="1"/>
  <c r="AS14" i="468"/>
  <c r="AT14" i="468"/>
  <c r="AT24" i="468" s="1"/>
  <c r="AU14" i="468"/>
  <c r="AU24" i="468" s="1"/>
  <c r="AV14" i="468"/>
  <c r="AW14" i="468"/>
  <c r="AX14" i="468"/>
  <c r="AY14" i="468"/>
  <c r="AZ14" i="468"/>
  <c r="BA14" i="468"/>
  <c r="BB14" i="468"/>
  <c r="BC14" i="468"/>
  <c r="BD14" i="468"/>
  <c r="BE14" i="468"/>
  <c r="BF14" i="468"/>
  <c r="BG14" i="468"/>
  <c r="BH14" i="468"/>
  <c r="BI14" i="468"/>
  <c r="A15" i="468"/>
  <c r="A20" i="468" s="1"/>
  <c r="A55" i="468" s="1"/>
  <c r="A16" i="468"/>
  <c r="A21" i="468" s="1"/>
  <c r="A56" i="468" s="1"/>
  <c r="AC16" i="468"/>
  <c r="AD16" i="468"/>
  <c r="AE16" i="468"/>
  <c r="AF16" i="468"/>
  <c r="AG16" i="468"/>
  <c r="AH16" i="468"/>
  <c r="AI16" i="468"/>
  <c r="AJ16" i="468"/>
  <c r="AK16" i="468"/>
  <c r="AL16" i="468"/>
  <c r="AM16" i="468"/>
  <c r="AN16" i="468"/>
  <c r="AO16" i="468"/>
  <c r="AP16" i="468"/>
  <c r="AQ16" i="468"/>
  <c r="AR16" i="468"/>
  <c r="AS16" i="468"/>
  <c r="AT16" i="468"/>
  <c r="AU16" i="468"/>
  <c r="AV16" i="468"/>
  <c r="AW16" i="468"/>
  <c r="AX16" i="468"/>
  <c r="AY16" i="468"/>
  <c r="AZ16" i="468"/>
  <c r="BA16" i="468"/>
  <c r="BB16" i="468"/>
  <c r="BC16" i="468"/>
  <c r="BD16" i="468"/>
  <c r="BE16" i="468"/>
  <c r="BF16" i="468"/>
  <c r="BG16" i="468"/>
  <c r="BH16" i="468"/>
  <c r="BI16" i="468"/>
  <c r="A24" i="468"/>
  <c r="A29" i="468" s="1"/>
  <c r="R25" i="468"/>
  <c r="S25" i="468"/>
  <c r="T25" i="468"/>
  <c r="T99" i="468" s="1"/>
  <c r="U25" i="468"/>
  <c r="U99" i="468" s="1"/>
  <c r="V25" i="468"/>
  <c r="W25" i="468"/>
  <c r="W99" i="468" s="1"/>
  <c r="X25" i="468"/>
  <c r="X99" i="468" s="1"/>
  <c r="Y25" i="468"/>
  <c r="Y99" i="468" s="1"/>
  <c r="Z25" i="468"/>
  <c r="Z99" i="468" s="1"/>
  <c r="AA25" i="468"/>
  <c r="AB25" i="468"/>
  <c r="AB99" i="468" s="1"/>
  <c r="AC25" i="468"/>
  <c r="AD25" i="468"/>
  <c r="AE25" i="468"/>
  <c r="AE99" i="468" s="1"/>
  <c r="AF25" i="468"/>
  <c r="AF99" i="468" s="1"/>
  <c r="AG25" i="468"/>
  <c r="AH25" i="468"/>
  <c r="AI25" i="468"/>
  <c r="AJ25" i="468"/>
  <c r="AK25" i="468"/>
  <c r="AK99" i="468" s="1"/>
  <c r="AL25" i="468"/>
  <c r="AL99" i="468" s="1"/>
  <c r="AM25" i="468"/>
  <c r="AM99" i="468" s="1"/>
  <c r="AN25" i="468"/>
  <c r="AN99" i="468" s="1"/>
  <c r="AO25" i="468"/>
  <c r="AO99" i="468" s="1"/>
  <c r="AP25" i="468"/>
  <c r="AP99" i="468" s="1"/>
  <c r="AQ25" i="468"/>
  <c r="AR25" i="468"/>
  <c r="A26" i="468"/>
  <c r="F29" i="468"/>
  <c r="G29" i="468"/>
  <c r="H29" i="468"/>
  <c r="I29" i="468"/>
  <c r="J29" i="468"/>
  <c r="K29" i="468"/>
  <c r="L29" i="468"/>
  <c r="M29" i="468"/>
  <c r="N29" i="468"/>
  <c r="O29" i="468"/>
  <c r="P29" i="468"/>
  <c r="Q29" i="468"/>
  <c r="V29" i="468"/>
  <c r="W29" i="468"/>
  <c r="X29" i="468"/>
  <c r="Y29" i="468"/>
  <c r="Z29" i="468"/>
  <c r="AA29" i="468"/>
  <c r="AB29" i="468"/>
  <c r="AC29" i="468"/>
  <c r="AD29" i="468"/>
  <c r="AE29" i="468"/>
  <c r="AF29" i="468"/>
  <c r="AG29" i="468"/>
  <c r="AH29" i="468"/>
  <c r="AI29" i="468"/>
  <c r="AJ29" i="468"/>
  <c r="AK29" i="468"/>
  <c r="AL29" i="468"/>
  <c r="AM29" i="468"/>
  <c r="AN29" i="468"/>
  <c r="AO29" i="468"/>
  <c r="BP29" i="468"/>
  <c r="BQ29" i="468"/>
  <c r="BR29" i="468"/>
  <c r="BS29" i="468"/>
  <c r="BT29" i="468"/>
  <c r="BU29" i="468"/>
  <c r="BV29" i="468"/>
  <c r="BW29" i="468"/>
  <c r="BX29" i="468"/>
  <c r="BY29" i="468"/>
  <c r="BZ29" i="468"/>
  <c r="CA29" i="468"/>
  <c r="CB29" i="468"/>
  <c r="CC29" i="468"/>
  <c r="A46" i="468"/>
  <c r="A36" i="468" s="1"/>
  <c r="A51" i="468" s="1"/>
  <c r="C44" i="468"/>
  <c r="D44" i="468"/>
  <c r="E44" i="468"/>
  <c r="F44" i="468"/>
  <c r="G44" i="468"/>
  <c r="H44" i="468"/>
  <c r="I44" i="468"/>
  <c r="J44" i="468"/>
  <c r="K44" i="468"/>
  <c r="L44" i="468"/>
  <c r="M44" i="468"/>
  <c r="N44" i="468"/>
  <c r="O44" i="468"/>
  <c r="P44" i="468"/>
  <c r="Q44" i="468"/>
  <c r="R44" i="468"/>
  <c r="S44" i="468"/>
  <c r="T44" i="468"/>
  <c r="U44" i="468"/>
  <c r="V44" i="468"/>
  <c r="W44" i="468"/>
  <c r="X44" i="468"/>
  <c r="Y44" i="468"/>
  <c r="Z44" i="468"/>
  <c r="AA44" i="468"/>
  <c r="AB44" i="468"/>
  <c r="AC44" i="468"/>
  <c r="AD44" i="468"/>
  <c r="AE44" i="468"/>
  <c r="AF44" i="468"/>
  <c r="AG44" i="468"/>
  <c r="AH44" i="468"/>
  <c r="AI44" i="468"/>
  <c r="AJ44" i="468"/>
  <c r="AK44" i="468"/>
  <c r="AL44" i="468"/>
  <c r="AM44" i="468"/>
  <c r="AN44" i="468"/>
  <c r="AO44" i="468"/>
  <c r="AP44" i="468"/>
  <c r="AQ44" i="468"/>
  <c r="AR44" i="468"/>
  <c r="AS44" i="468"/>
  <c r="AT44" i="468"/>
  <c r="AU44" i="468"/>
  <c r="AX54" i="468" s="1"/>
  <c r="AZ44" i="468"/>
  <c r="BA44" i="468"/>
  <c r="BB44" i="468"/>
  <c r="BC44" i="468"/>
  <c r="BD44" i="468"/>
  <c r="BE44" i="468"/>
  <c r="BF44" i="468"/>
  <c r="BG44" i="468"/>
  <c r="BH44" i="468"/>
  <c r="BI44" i="468"/>
  <c r="A45" i="468"/>
  <c r="A50" i="468" s="1"/>
  <c r="M45" i="468"/>
  <c r="N45" i="468"/>
  <c r="O45" i="468"/>
  <c r="BA45" i="468"/>
  <c r="BB45" i="468"/>
  <c r="BC45" i="468"/>
  <c r="BD45" i="468"/>
  <c r="BE45" i="468"/>
  <c r="BF45" i="468"/>
  <c r="BG45" i="468"/>
  <c r="BN45" i="468"/>
  <c r="Z46" i="468"/>
  <c r="AA46" i="468"/>
  <c r="AB46" i="468"/>
  <c r="AC46" i="468"/>
  <c r="AD46" i="468"/>
  <c r="AE46" i="468"/>
  <c r="AF46" i="468"/>
  <c r="AG46" i="468"/>
  <c r="AH46" i="468"/>
  <c r="AI46" i="468"/>
  <c r="AJ46" i="468"/>
  <c r="AK46" i="468"/>
  <c r="AL46" i="468"/>
  <c r="AM46" i="468"/>
  <c r="AN46" i="468"/>
  <c r="AO46" i="468"/>
  <c r="AP46" i="468"/>
  <c r="AQ46" i="468"/>
  <c r="AR46" i="468"/>
  <c r="AS46" i="468"/>
  <c r="AT46" i="468"/>
  <c r="AU46" i="468"/>
  <c r="AX56" i="468" s="1"/>
  <c r="AZ46" i="468"/>
  <c r="BA46" i="468"/>
  <c r="BB46" i="468"/>
  <c r="BC46" i="468"/>
  <c r="BD46" i="468"/>
  <c r="BE46" i="468"/>
  <c r="BF46" i="468"/>
  <c r="BG46" i="468"/>
  <c r="BH46" i="468"/>
  <c r="BI46" i="468"/>
  <c r="BN46" i="468"/>
  <c r="BN55" i="468"/>
  <c r="BQ55" i="468"/>
  <c r="BR55" i="468"/>
  <c r="BS55" i="468"/>
  <c r="BT55" i="468"/>
  <c r="BU55" i="468"/>
  <c r="BV55" i="468"/>
  <c r="BW55" i="468"/>
  <c r="BX55" i="468"/>
  <c r="BY55" i="468"/>
  <c r="BZ55" i="468"/>
  <c r="CA55" i="468"/>
  <c r="CB55" i="468"/>
  <c r="BN56" i="468"/>
  <c r="AZ58" i="468"/>
  <c r="BA58" i="468"/>
  <c r="BB58" i="468"/>
  <c r="BC58" i="468"/>
  <c r="BD58" i="468"/>
  <c r="BE58" i="468"/>
  <c r="BF58" i="468"/>
  <c r="BG58" i="468"/>
  <c r="B90" i="468"/>
  <c r="C90" i="468"/>
  <c r="D90" i="468"/>
  <c r="E90" i="468"/>
  <c r="F90" i="468"/>
  <c r="G90" i="468"/>
  <c r="H90" i="468"/>
  <c r="I90" i="468"/>
  <c r="J90" i="468"/>
  <c r="K90" i="468"/>
  <c r="L90" i="468"/>
  <c r="M90" i="468"/>
  <c r="N90" i="468"/>
  <c r="O90" i="468"/>
  <c r="P90" i="468"/>
  <c r="Q90" i="468"/>
  <c r="R90" i="468"/>
  <c r="S90" i="468"/>
  <c r="T90" i="468"/>
  <c r="U90" i="468"/>
  <c r="V90" i="468"/>
  <c r="W90" i="468"/>
  <c r="X90" i="468"/>
  <c r="Y90" i="468"/>
  <c r="Z90" i="468"/>
  <c r="AA90" i="468"/>
  <c r="AB90" i="468"/>
  <c r="AC90" i="468"/>
  <c r="AD90" i="468"/>
  <c r="AE90" i="468"/>
  <c r="AF90" i="468"/>
  <c r="AG90" i="468"/>
  <c r="AH90" i="468"/>
  <c r="AI90" i="468"/>
  <c r="AJ90" i="468"/>
  <c r="AK90" i="468"/>
  <c r="AL90" i="468"/>
  <c r="AM90" i="468"/>
  <c r="AN90" i="468"/>
  <c r="AO90" i="468"/>
  <c r="AP90" i="468"/>
  <c r="AQ90" i="468"/>
  <c r="AR90" i="468"/>
  <c r="AS90" i="468"/>
  <c r="AT90" i="468"/>
  <c r="AU90" i="468"/>
  <c r="AV90" i="468"/>
  <c r="AW90" i="468"/>
  <c r="AX90" i="468"/>
  <c r="AY90" i="468"/>
  <c r="AZ90" i="468"/>
  <c r="BA90" i="468"/>
  <c r="BB90" i="468"/>
  <c r="BC90" i="468"/>
  <c r="BD90" i="468"/>
  <c r="BE90" i="468"/>
  <c r="BF90" i="468"/>
  <c r="BG90" i="468"/>
  <c r="BH90" i="468"/>
  <c r="BI90" i="468"/>
  <c r="AK92" i="468"/>
  <c r="AL92" i="468"/>
  <c r="AL93" i="468" s="1"/>
  <c r="AM92" i="468"/>
  <c r="AM93" i="468" s="1"/>
  <c r="AN92" i="468"/>
  <c r="AO92" i="468"/>
  <c r="AO95" i="468" s="1"/>
  <c r="AP92" i="468"/>
  <c r="AP95" i="468" s="1"/>
  <c r="AQ92" i="468"/>
  <c r="AQ95" i="468" s="1"/>
  <c r="AR92" i="468"/>
  <c r="AR95" i="468" s="1"/>
  <c r="AS92" i="468"/>
  <c r="AS95" i="468" s="1"/>
  <c r="AT92" i="468"/>
  <c r="AT95" i="468" s="1"/>
  <c r="AU92" i="468"/>
  <c r="AV92" i="468"/>
  <c r="AW92" i="468"/>
  <c r="AW95" i="468" s="1"/>
  <c r="AX92" i="468"/>
  <c r="AY92" i="468"/>
  <c r="AY95" i="468" s="1"/>
  <c r="AZ92" i="468"/>
  <c r="AZ95" i="468" s="1"/>
  <c r="BA92" i="468"/>
  <c r="BB92" i="468"/>
  <c r="BC92" i="468"/>
  <c r="BC95" i="468" s="1"/>
  <c r="BD92" i="468"/>
  <c r="BE92" i="468"/>
  <c r="BE95" i="468" s="1"/>
  <c r="BF92" i="468"/>
  <c r="BG92" i="468"/>
  <c r="BH92" i="468"/>
  <c r="BH95" i="468" s="1"/>
  <c r="BI92" i="468"/>
  <c r="BI95" i="468" s="1"/>
  <c r="BO92" i="468"/>
  <c r="BO109" i="468" s="1"/>
  <c r="BP92" i="468"/>
  <c r="BQ92" i="468"/>
  <c r="BR92" i="468"/>
  <c r="BS92" i="468"/>
  <c r="BT92" i="468"/>
  <c r="BU92" i="468"/>
  <c r="BV92" i="468"/>
  <c r="F93" i="468"/>
  <c r="G93" i="468"/>
  <c r="H93" i="468"/>
  <c r="I93" i="468"/>
  <c r="J93" i="468"/>
  <c r="K93" i="468"/>
  <c r="L93" i="468"/>
  <c r="M93" i="468"/>
  <c r="N93" i="468"/>
  <c r="O93" i="468"/>
  <c r="P93" i="468"/>
  <c r="Q93" i="468"/>
  <c r="R93" i="468"/>
  <c r="S93" i="468"/>
  <c r="T93" i="468"/>
  <c r="U93" i="468"/>
  <c r="V93" i="468"/>
  <c r="W93" i="468"/>
  <c r="X93" i="468"/>
  <c r="Y93" i="468"/>
  <c r="Z93" i="468"/>
  <c r="AA93" i="468"/>
  <c r="AB93" i="468"/>
  <c r="AC93" i="468"/>
  <c r="AD93" i="468"/>
  <c r="AE93" i="468"/>
  <c r="AF93" i="468"/>
  <c r="AG93" i="468"/>
  <c r="AH93" i="468"/>
  <c r="AI93" i="468"/>
  <c r="AJ93" i="468"/>
  <c r="BN94" i="468"/>
  <c r="BO94" i="468"/>
  <c r="BP94" i="468"/>
  <c r="BQ94" i="468"/>
  <c r="BR94" i="468"/>
  <c r="BS94" i="468"/>
  <c r="BT94" i="468"/>
  <c r="BU94" i="468"/>
  <c r="BV94" i="468"/>
  <c r="BW94" i="468"/>
  <c r="BX94" i="468"/>
  <c r="BY94" i="468"/>
  <c r="BZ94" i="468"/>
  <c r="CA94" i="468"/>
  <c r="CB94" i="468"/>
  <c r="CC94" i="468"/>
  <c r="B95" i="468"/>
  <c r="C95" i="468"/>
  <c r="D95" i="468"/>
  <c r="E95" i="468"/>
  <c r="F95" i="468"/>
  <c r="G95" i="468"/>
  <c r="H95" i="468"/>
  <c r="I95" i="468"/>
  <c r="J95" i="468"/>
  <c r="K95" i="468"/>
  <c r="L95" i="468"/>
  <c r="M95" i="468"/>
  <c r="N95" i="468"/>
  <c r="O95" i="468"/>
  <c r="P95" i="468"/>
  <c r="Q95" i="468"/>
  <c r="R95" i="468"/>
  <c r="S95" i="468"/>
  <c r="T95" i="468"/>
  <c r="U95" i="468"/>
  <c r="V95" i="468"/>
  <c r="W95" i="468"/>
  <c r="X95" i="468"/>
  <c r="Y95" i="468"/>
  <c r="Z95" i="468"/>
  <c r="AA95" i="468"/>
  <c r="AB95" i="468"/>
  <c r="AC95" i="468"/>
  <c r="AD95" i="468"/>
  <c r="AE95" i="468"/>
  <c r="AF95" i="468"/>
  <c r="AG95" i="468"/>
  <c r="AH95" i="468"/>
  <c r="AI95" i="468"/>
  <c r="AJ95" i="468"/>
  <c r="L98" i="468"/>
  <c r="L101" i="468" s="1"/>
  <c r="M98" i="468"/>
  <c r="M101" i="468" s="1"/>
  <c r="N98" i="468"/>
  <c r="O98" i="468"/>
  <c r="O101" i="468" s="1"/>
  <c r="AZ98" i="468"/>
  <c r="AZ101" i="468" s="1"/>
  <c r="BA98" i="468"/>
  <c r="BB98" i="468"/>
  <c r="BC98" i="468"/>
  <c r="BC101" i="468" s="1"/>
  <c r="BD98" i="468"/>
  <c r="BD101" i="468" s="1"/>
  <c r="BE98" i="468"/>
  <c r="BE101" i="468" s="1"/>
  <c r="BF98" i="468"/>
  <c r="BF101" i="468" s="1"/>
  <c r="BG98" i="468"/>
  <c r="BG101" i="468" s="1"/>
  <c r="BP98" i="468"/>
  <c r="P99" i="468"/>
  <c r="Q99" i="468"/>
  <c r="AS99" i="468"/>
  <c r="AT99" i="468"/>
  <c r="AU99" i="468"/>
  <c r="AV99" i="468"/>
  <c r="AW99" i="468"/>
  <c r="AX99" i="468"/>
  <c r="AY99" i="468"/>
  <c r="AZ99" i="468"/>
  <c r="BA99" i="468"/>
  <c r="BB99" i="468"/>
  <c r="BC99" i="468"/>
  <c r="BD99" i="468"/>
  <c r="BE99" i="468"/>
  <c r="BF99" i="468"/>
  <c r="BG99" i="468"/>
  <c r="BN100" i="468"/>
  <c r="BO100" i="468"/>
  <c r="BP100" i="468"/>
  <c r="BQ100" i="468"/>
  <c r="BR100" i="468"/>
  <c r="BS100" i="468"/>
  <c r="BT100" i="468"/>
  <c r="BU100" i="468"/>
  <c r="BV100" i="468"/>
  <c r="BW100" i="468"/>
  <c r="BX100" i="468"/>
  <c r="BY100" i="468"/>
  <c r="BZ100" i="468"/>
  <c r="CA100" i="468"/>
  <c r="CB100" i="468"/>
  <c r="CC100" i="468"/>
  <c r="Y104" i="468"/>
  <c r="BT104" i="468" s="1"/>
  <c r="AL104" i="468"/>
  <c r="AL105" i="468" s="1"/>
  <c r="AM104" i="468"/>
  <c r="AM105" i="468" s="1"/>
  <c r="AN104" i="468"/>
  <c r="AN107" i="468" s="1"/>
  <c r="AO104" i="468"/>
  <c r="AO107" i="468" s="1"/>
  <c r="AP104" i="468"/>
  <c r="AQ104" i="468"/>
  <c r="AQ107" i="468" s="1"/>
  <c r="AR104" i="468"/>
  <c r="AR107" i="468" s="1"/>
  <c r="AS104" i="468"/>
  <c r="AS107" i="468" s="1"/>
  <c r="AT104" i="468"/>
  <c r="AT107" i="468" s="1"/>
  <c r="AU104" i="468"/>
  <c r="AV104" i="468"/>
  <c r="AV107" i="468" s="1"/>
  <c r="AW104" i="468"/>
  <c r="AX104" i="468"/>
  <c r="AY104" i="468"/>
  <c r="AZ104" i="468"/>
  <c r="BA104" i="468"/>
  <c r="BB104" i="468"/>
  <c r="BB107" i="468" s="1"/>
  <c r="BC104" i="468"/>
  <c r="BD104" i="468"/>
  <c r="BD107" i="468" s="1"/>
  <c r="BE104" i="468"/>
  <c r="BF104" i="468"/>
  <c r="BF107" i="468" s="1"/>
  <c r="BG104" i="468"/>
  <c r="BH104" i="468"/>
  <c r="BH107" i="468" s="1"/>
  <c r="BI104" i="468"/>
  <c r="BI107" i="468" s="1"/>
  <c r="BU104" i="468"/>
  <c r="BV104" i="468"/>
  <c r="BW104" i="468"/>
  <c r="AD105" i="468"/>
  <c r="AE105" i="468"/>
  <c r="AF105" i="468"/>
  <c r="AG105" i="468"/>
  <c r="AH105" i="468"/>
  <c r="AI105" i="468"/>
  <c r="AJ105" i="468"/>
  <c r="AK105" i="468"/>
  <c r="BN106" i="468"/>
  <c r="BO106" i="468"/>
  <c r="BP106" i="468"/>
  <c r="BQ106" i="468"/>
  <c r="BR106" i="468"/>
  <c r="BS106" i="468"/>
  <c r="BT106" i="468"/>
  <c r="BU106" i="468"/>
  <c r="BV106" i="468"/>
  <c r="BW106" i="468"/>
  <c r="BX106" i="468"/>
  <c r="BY106" i="468"/>
  <c r="BZ106" i="468"/>
  <c r="CA106" i="468"/>
  <c r="CB106" i="468"/>
  <c r="CC106" i="468"/>
  <c r="Z107" i="468"/>
  <c r="AA107" i="468"/>
  <c r="AB107" i="468"/>
  <c r="AC107" i="468"/>
  <c r="AD107" i="468"/>
  <c r="AE107" i="468"/>
  <c r="AF107" i="468"/>
  <c r="AG107" i="468"/>
  <c r="AH107" i="468"/>
  <c r="AI107" i="468"/>
  <c r="AJ107" i="468"/>
  <c r="AK107" i="468"/>
  <c r="B6" i="276"/>
  <c r="D6" i="276"/>
  <c r="D732" i="1"/>
  <c r="D12" i="1" s="1"/>
  <c r="E732" i="1"/>
  <c r="F732" i="1"/>
  <c r="F12" i="1" s="1"/>
  <c r="G732" i="1"/>
  <c r="G772" i="1" s="1"/>
  <c r="G775" i="1" s="1"/>
  <c r="H732" i="1"/>
  <c r="H772" i="1" s="1"/>
  <c r="H775" i="1" s="1"/>
  <c r="I732" i="1"/>
  <c r="I772" i="1" s="1"/>
  <c r="I775" i="1" s="1"/>
  <c r="J732" i="1"/>
  <c r="K732" i="1"/>
  <c r="K12" i="1" s="1"/>
  <c r="L732" i="1"/>
  <c r="L12" i="1" s="1"/>
  <c r="M732" i="1"/>
  <c r="M12" i="1" s="1"/>
  <c r="N732" i="1"/>
  <c r="N772" i="1" s="1"/>
  <c r="N775" i="1" s="1"/>
  <c r="O732" i="1"/>
  <c r="P732" i="1"/>
  <c r="Q732" i="1"/>
  <c r="Q12" i="1" s="1"/>
  <c r="R732" i="1"/>
  <c r="R772" i="1" s="1"/>
  <c r="R775" i="1" s="1"/>
  <c r="S732" i="1"/>
  <c r="T732" i="1"/>
  <c r="T772" i="1" s="1"/>
  <c r="T775" i="1" s="1"/>
  <c r="U732" i="1"/>
  <c r="V732" i="1"/>
  <c r="V12" i="1" s="1"/>
  <c r="W152" i="1"/>
  <c r="X152" i="1"/>
  <c r="X207" i="1" s="1"/>
  <c r="Y152" i="1"/>
  <c r="Y215" i="1" s="1"/>
  <c r="Z152" i="1"/>
  <c r="Z207" i="1" s="1"/>
  <c r="AA152" i="1"/>
  <c r="AE167" i="1" s="1"/>
  <c r="AB152" i="1"/>
  <c r="AB12" i="1" s="1"/>
  <c r="AC152" i="1"/>
  <c r="AC215" i="1" s="1"/>
  <c r="AC214" i="1" s="1"/>
  <c r="AD152" i="1"/>
  <c r="AD12" i="1" s="1"/>
  <c r="AE152" i="1"/>
  <c r="AE215" i="1" s="1"/>
  <c r="AE214" i="1" s="1"/>
  <c r="AF152" i="1"/>
  <c r="AG152" i="1"/>
  <c r="AH152" i="1"/>
  <c r="AH207" i="1" s="1"/>
  <c r="AI152" i="1"/>
  <c r="AI12" i="1" s="1"/>
  <c r="AJ152" i="1"/>
  <c r="AJ12" i="1" s="1"/>
  <c r="AG337" i="1"/>
  <c r="AG340" i="1"/>
  <c r="AG341" i="1"/>
  <c r="AK341" i="1" s="1"/>
  <c r="AO341" i="1" s="1"/>
  <c r="AG251" i="1"/>
  <c r="AJ251" i="1"/>
  <c r="AJ343" i="1" s="1"/>
  <c r="AF341" i="1"/>
  <c r="AF311" i="1" s="1"/>
  <c r="AJ349" i="1"/>
  <c r="AN357" i="1" s="1"/>
  <c r="AF337" i="1"/>
  <c r="AB337" i="1" s="1"/>
  <c r="X337" i="1" s="1"/>
  <c r="AJ346" i="1"/>
  <c r="AN354" i="1" s="1"/>
  <c r="AF340" i="1"/>
  <c r="AJ347" i="1"/>
  <c r="AN355" i="1" s="1"/>
  <c r="AF251" i="1"/>
  <c r="AB251" i="1"/>
  <c r="AB343" i="1" s="1"/>
  <c r="AB341" i="1"/>
  <c r="AB311" i="1" s="1"/>
  <c r="AB340" i="1"/>
  <c r="AC251" i="1"/>
  <c r="AC341" i="1"/>
  <c r="AC311" i="1" s="1"/>
  <c r="AC340" i="1"/>
  <c r="AD337" i="1"/>
  <c r="AH346" i="1"/>
  <c r="AL354" i="1" s="1"/>
  <c r="AD340" i="1"/>
  <c r="AH347" i="1"/>
  <c r="AL355" i="1" s="1"/>
  <c r="AD341" i="1"/>
  <c r="AH251" i="1"/>
  <c r="AD251" i="1"/>
  <c r="AD343" i="1" s="1"/>
  <c r="AE337" i="1"/>
  <c r="AA337" i="1" s="1"/>
  <c r="W337" i="1" s="1"/>
  <c r="AI346" i="1"/>
  <c r="AM354" i="1" s="1"/>
  <c r="AE340" i="1"/>
  <c r="AI347" i="1"/>
  <c r="AM355" i="1" s="1"/>
  <c r="AE341" i="1"/>
  <c r="AI349" i="1"/>
  <c r="AM357" i="1" s="1"/>
  <c r="AI251" i="1"/>
  <c r="AE251" i="1"/>
  <c r="AE343" i="1" s="1"/>
  <c r="AS12" i="1"/>
  <c r="AT12" i="1"/>
  <c r="AU12" i="1"/>
  <c r="AV12" i="1"/>
  <c r="AW12" i="1"/>
  <c r="AX12" i="1"/>
  <c r="AY12" i="1"/>
  <c r="AZ12" i="1"/>
  <c r="BA12" i="1"/>
  <c r="BB732" i="1"/>
  <c r="BB12" i="1" s="1"/>
  <c r="BC732" i="1"/>
  <c r="BC12" i="1" s="1"/>
  <c r="BD732" i="1"/>
  <c r="BE732" i="1"/>
  <c r="BE12" i="1" s="1"/>
  <c r="BJ732" i="1"/>
  <c r="BJ12" i="1" s="1"/>
  <c r="E8" i="523" s="1"/>
  <c r="R14" i="1"/>
  <c r="BC152" i="1"/>
  <c r="BC207" i="1" s="1"/>
  <c r="BB152" i="1"/>
  <c r="BB215" i="1" s="1"/>
  <c r="BB214" i="1" s="1"/>
  <c r="BD152" i="1"/>
  <c r="BD215" i="1" s="1"/>
  <c r="BD214" i="1" s="1"/>
  <c r="BE152" i="1"/>
  <c r="BE215" i="1" s="1"/>
  <c r="BX148" i="1"/>
  <c r="D18" i="1"/>
  <c r="D77" i="1" s="1"/>
  <c r="E18" i="1"/>
  <c r="E77" i="1" s="1"/>
  <c r="F18" i="1"/>
  <c r="F77" i="1" s="1"/>
  <c r="G18" i="1"/>
  <c r="G77" i="1" s="1"/>
  <c r="H18" i="1"/>
  <c r="H77" i="1" s="1"/>
  <c r="I18" i="1"/>
  <c r="J18" i="1"/>
  <c r="J77" i="1" s="1"/>
  <c r="K18" i="1"/>
  <c r="K77" i="1" s="1"/>
  <c r="L18" i="1"/>
  <c r="M18" i="1"/>
  <c r="M77" i="1" s="1"/>
  <c r="N18" i="1"/>
  <c r="N77" i="1" s="1"/>
  <c r="O18" i="1"/>
  <c r="O77" i="1" s="1"/>
  <c r="P18" i="1"/>
  <c r="P77" i="1" s="1"/>
  <c r="Q18" i="1"/>
  <c r="R18" i="1"/>
  <c r="R77" i="1" s="1"/>
  <c r="S18" i="1"/>
  <c r="S77" i="1" s="1"/>
  <c r="T18" i="1"/>
  <c r="U18" i="1"/>
  <c r="U77" i="1" s="1"/>
  <c r="V18" i="1"/>
  <c r="V77" i="1" s="1"/>
  <c r="AS18" i="1"/>
  <c r="AS77" i="1" s="1"/>
  <c r="AT18" i="1"/>
  <c r="AT77" i="1" s="1"/>
  <c r="AU18" i="1"/>
  <c r="AU77" i="1" s="1"/>
  <c r="AV18" i="1"/>
  <c r="AV77" i="1" s="1"/>
  <c r="AW18" i="1"/>
  <c r="AW708" i="1" s="1"/>
  <c r="AX18" i="1"/>
  <c r="AX77" i="1" s="1"/>
  <c r="AY18" i="1"/>
  <c r="AY708" i="1" s="1"/>
  <c r="AZ18" i="1"/>
  <c r="AZ708" i="1" s="1"/>
  <c r="BA18" i="1"/>
  <c r="BA77" i="1" s="1"/>
  <c r="BB18" i="1"/>
  <c r="BB77" i="1" s="1"/>
  <c r="BC18" i="1"/>
  <c r="BC77" i="1" s="1"/>
  <c r="BD18" i="1"/>
  <c r="BE18" i="1"/>
  <c r="BG18" i="1"/>
  <c r="BG77" i="1" s="1"/>
  <c r="BH18" i="1"/>
  <c r="BH77" i="1" s="1"/>
  <c r="BI18" i="1"/>
  <c r="BI77" i="1" s="1"/>
  <c r="BJ18" i="1"/>
  <c r="BJ77" i="1" s="1"/>
  <c r="BL18" i="1"/>
  <c r="BM18" i="1"/>
  <c r="BN18" i="1"/>
  <c r="BO18" i="1"/>
  <c r="D742" i="1"/>
  <c r="E742" i="1"/>
  <c r="F742" i="1"/>
  <c r="G742" i="1"/>
  <c r="H742" i="1"/>
  <c r="I742" i="1"/>
  <c r="J742" i="1"/>
  <c r="K742" i="1"/>
  <c r="L742" i="1"/>
  <c r="M742" i="1"/>
  <c r="N742" i="1"/>
  <c r="O742" i="1"/>
  <c r="P742" i="1"/>
  <c r="Q742" i="1"/>
  <c r="R742" i="1"/>
  <c r="S742" i="1"/>
  <c r="T742" i="1"/>
  <c r="U742" i="1"/>
  <c r="V742" i="1"/>
  <c r="W732" i="1"/>
  <c r="W772" i="1" s="1"/>
  <c r="W775" i="1" s="1"/>
  <c r="W742" i="1"/>
  <c r="X732" i="1"/>
  <c r="X742" i="1"/>
  <c r="Y742" i="1"/>
  <c r="Z742" i="1"/>
  <c r="AA742" i="1"/>
  <c r="AB742" i="1"/>
  <c r="AC742" i="1"/>
  <c r="AD742" i="1"/>
  <c r="AE742" i="1"/>
  <c r="AF742" i="1"/>
  <c r="AG742" i="1"/>
  <c r="AH742" i="1"/>
  <c r="AI742" i="1"/>
  <c r="AJ742" i="1"/>
  <c r="BO742" i="1" s="1"/>
  <c r="AS746" i="1"/>
  <c r="AS751" i="1" s="1"/>
  <c r="AT746" i="1"/>
  <c r="AT22" i="1" s="1"/>
  <c r="AU746" i="1"/>
  <c r="AV746" i="1"/>
  <c r="AV751" i="1" s="1"/>
  <c r="AW746" i="1"/>
  <c r="AW230" i="1" s="1"/>
  <c r="AX746" i="1"/>
  <c r="AY746" i="1"/>
  <c r="AY751" i="1" s="1"/>
  <c r="AZ746" i="1"/>
  <c r="AZ22" i="1" s="1"/>
  <c r="BA746" i="1"/>
  <c r="BA22" i="1" s="1"/>
  <c r="BB742" i="1"/>
  <c r="BC742" i="1"/>
  <c r="BD742" i="1"/>
  <c r="BE742" i="1"/>
  <c r="BJ742" i="1"/>
  <c r="BX152" i="1"/>
  <c r="D29" i="1"/>
  <c r="E29" i="1"/>
  <c r="E623" i="1" s="1"/>
  <c r="F29" i="1"/>
  <c r="F623" i="1" s="1"/>
  <c r="G29" i="1"/>
  <c r="H29" i="1"/>
  <c r="H623" i="1" s="1"/>
  <c r="I29" i="1"/>
  <c r="I623" i="1" s="1"/>
  <c r="J29" i="1"/>
  <c r="J623" i="1" s="1"/>
  <c r="K29" i="1"/>
  <c r="K623" i="1" s="1"/>
  <c r="L29" i="1"/>
  <c r="L623" i="1" s="1"/>
  <c r="M29" i="1"/>
  <c r="N29" i="1"/>
  <c r="O29" i="1"/>
  <c r="O623" i="1" s="1"/>
  <c r="P29" i="1"/>
  <c r="Q29" i="1"/>
  <c r="R29" i="1"/>
  <c r="R623" i="1" s="1"/>
  <c r="S29" i="1"/>
  <c r="T29" i="1"/>
  <c r="T623" i="1" s="1"/>
  <c r="U29" i="1"/>
  <c r="U623" i="1" s="1"/>
  <c r="V29" i="1"/>
  <c r="W29" i="1"/>
  <c r="X29" i="1"/>
  <c r="Y29" i="1"/>
  <c r="Y623" i="1" s="1"/>
  <c r="Z29" i="1"/>
  <c r="Z623" i="1" s="1"/>
  <c r="AA29" i="1"/>
  <c r="AA623" i="1" s="1"/>
  <c r="AB29" i="1"/>
  <c r="AB623" i="1" s="1"/>
  <c r="AC29" i="1"/>
  <c r="AD29" i="1"/>
  <c r="AD623" i="1" s="1"/>
  <c r="AE29" i="1"/>
  <c r="AE623" i="1" s="1"/>
  <c r="AF29" i="1"/>
  <c r="AF623" i="1" s="1"/>
  <c r="AG29" i="1"/>
  <c r="AK35" i="1" s="1"/>
  <c r="AH29" i="1"/>
  <c r="AI29" i="1"/>
  <c r="AM35" i="1" s="1"/>
  <c r="AJ29" i="1"/>
  <c r="BO29" i="1" s="1"/>
  <c r="AS29" i="1"/>
  <c r="AT29" i="1"/>
  <c r="AU29" i="1"/>
  <c r="AV29" i="1"/>
  <c r="AW29" i="1"/>
  <c r="AX29" i="1"/>
  <c r="AY29" i="1"/>
  <c r="AZ29" i="1"/>
  <c r="BA29" i="1"/>
  <c r="BB29" i="1"/>
  <c r="BC29" i="1"/>
  <c r="BD29" i="1"/>
  <c r="BE29" i="1"/>
  <c r="BG753" i="1"/>
  <c r="BG29" i="1" s="1"/>
  <c r="BG623" i="1" s="1"/>
  <c r="BH753" i="1"/>
  <c r="BH29" i="1" s="1"/>
  <c r="BH623" i="1" s="1"/>
  <c r="BI753" i="1"/>
  <c r="BI29" i="1" s="1"/>
  <c r="BJ29" i="1"/>
  <c r="BJ623" i="1" s="1"/>
  <c r="BK753" i="1"/>
  <c r="BK29" i="1" s="1"/>
  <c r="D30" i="1"/>
  <c r="D624" i="1" s="1"/>
  <c r="E30" i="1"/>
  <c r="E624" i="1" s="1"/>
  <c r="F30" i="1"/>
  <c r="F624" i="1" s="1"/>
  <c r="G30" i="1"/>
  <c r="G624" i="1" s="1"/>
  <c r="H30" i="1"/>
  <c r="H624" i="1" s="1"/>
  <c r="I30" i="1"/>
  <c r="J30" i="1"/>
  <c r="J624" i="1" s="1"/>
  <c r="K30" i="1"/>
  <c r="K624" i="1" s="1"/>
  <c r="L30" i="1"/>
  <c r="L624" i="1" s="1"/>
  <c r="M30" i="1"/>
  <c r="N30" i="1"/>
  <c r="N624" i="1" s="1"/>
  <c r="O30" i="1"/>
  <c r="O624" i="1" s="1"/>
  <c r="P30" i="1"/>
  <c r="Q30" i="1"/>
  <c r="R30" i="1"/>
  <c r="R624" i="1" s="1"/>
  <c r="S30" i="1"/>
  <c r="S624" i="1" s="1"/>
  <c r="T30" i="1"/>
  <c r="T624" i="1" s="1"/>
  <c r="U30" i="1"/>
  <c r="U624" i="1" s="1"/>
  <c r="V30" i="1"/>
  <c r="V624" i="1" s="1"/>
  <c r="W30" i="1"/>
  <c r="W624" i="1" s="1"/>
  <c r="X30" i="1"/>
  <c r="Y30" i="1"/>
  <c r="Y624" i="1" s="1"/>
  <c r="Z30" i="1"/>
  <c r="AA30" i="1"/>
  <c r="AB30" i="1"/>
  <c r="AC30" i="1"/>
  <c r="AC624" i="1" s="1"/>
  <c r="AD30" i="1"/>
  <c r="AD624" i="1" s="1"/>
  <c r="AE30" i="1"/>
  <c r="AF30" i="1"/>
  <c r="AF624" i="1" s="1"/>
  <c r="AG30" i="1"/>
  <c r="AH30" i="1"/>
  <c r="AI30" i="1"/>
  <c r="AJ30" i="1"/>
  <c r="BO30" i="1" s="1"/>
  <c r="AS30" i="1"/>
  <c r="AT30" i="1"/>
  <c r="AU30" i="1"/>
  <c r="AV30" i="1"/>
  <c r="AW30" i="1"/>
  <c r="AX30" i="1"/>
  <c r="AY30" i="1"/>
  <c r="AZ30" i="1"/>
  <c r="BA30" i="1"/>
  <c r="BB30" i="1"/>
  <c r="BC30" i="1"/>
  <c r="BD30" i="1"/>
  <c r="BE30" i="1"/>
  <c r="BG754" i="1"/>
  <c r="BG30" i="1" s="1"/>
  <c r="BG624" i="1" s="1"/>
  <c r="BH754" i="1"/>
  <c r="BH30" i="1" s="1"/>
  <c r="BH624" i="1" s="1"/>
  <c r="BI754" i="1"/>
  <c r="BI30" i="1" s="1"/>
  <c r="BI624" i="1" s="1"/>
  <c r="BJ30" i="1"/>
  <c r="BJ624" i="1" s="1"/>
  <c r="BK754" i="1"/>
  <c r="BK30" i="1" s="1"/>
  <c r="D31" i="1"/>
  <c r="D625" i="1" s="1"/>
  <c r="E31" i="1"/>
  <c r="E625" i="1" s="1"/>
  <c r="F31" i="1"/>
  <c r="F625" i="1" s="1"/>
  <c r="G31" i="1"/>
  <c r="G625" i="1" s="1"/>
  <c r="H31" i="1"/>
  <c r="H625" i="1" s="1"/>
  <c r="I31" i="1"/>
  <c r="J31" i="1"/>
  <c r="K31" i="1"/>
  <c r="K625" i="1" s="1"/>
  <c r="L31" i="1"/>
  <c r="L625" i="1" s="1"/>
  <c r="M31" i="1"/>
  <c r="M625" i="1" s="1"/>
  <c r="N31" i="1"/>
  <c r="N625" i="1" s="1"/>
  <c r="O31" i="1"/>
  <c r="P31" i="1"/>
  <c r="P625" i="1" s="1"/>
  <c r="Q31" i="1"/>
  <c r="R31" i="1"/>
  <c r="R625" i="1" s="1"/>
  <c r="S31" i="1"/>
  <c r="S625" i="1" s="1"/>
  <c r="T31" i="1"/>
  <c r="T625" i="1" s="1"/>
  <c r="U31" i="1"/>
  <c r="V31" i="1"/>
  <c r="V625" i="1" s="1"/>
  <c r="W31" i="1"/>
  <c r="X31" i="1"/>
  <c r="Y31" i="1"/>
  <c r="Y625" i="1" s="1"/>
  <c r="Z31" i="1"/>
  <c r="Z625" i="1" s="1"/>
  <c r="AA31" i="1"/>
  <c r="AA625" i="1" s="1"/>
  <c r="AB31" i="1"/>
  <c r="AC31" i="1"/>
  <c r="AC625" i="1" s="1"/>
  <c r="AD31" i="1"/>
  <c r="AD625" i="1" s="1"/>
  <c r="AE31" i="1"/>
  <c r="AE625" i="1" s="1"/>
  <c r="AF31" i="1"/>
  <c r="AF625" i="1" s="1"/>
  <c r="AG31" i="1"/>
  <c r="AH784" i="1"/>
  <c r="AH31" i="1" s="1"/>
  <c r="AL37" i="1" s="1"/>
  <c r="AI784" i="1"/>
  <c r="AI31" i="1" s="1"/>
  <c r="AJ784" i="1"/>
  <c r="AJ31" i="1" s="1"/>
  <c r="AS31" i="1"/>
  <c r="AT31" i="1"/>
  <c r="AU31" i="1"/>
  <c r="AV31" i="1"/>
  <c r="AW31" i="1"/>
  <c r="AX31" i="1"/>
  <c r="AY31" i="1"/>
  <c r="AZ31" i="1"/>
  <c r="BA31" i="1"/>
  <c r="BB31" i="1"/>
  <c r="BC31" i="1"/>
  <c r="BD31" i="1"/>
  <c r="BE31" i="1"/>
  <c r="BG755" i="1"/>
  <c r="BG31" i="1" s="1"/>
  <c r="BG625" i="1" s="1"/>
  <c r="BH755" i="1"/>
  <c r="BH31" i="1" s="1"/>
  <c r="BH625" i="1" s="1"/>
  <c r="BI755" i="1"/>
  <c r="BI31" i="1" s="1"/>
  <c r="BI625" i="1" s="1"/>
  <c r="BJ31" i="1"/>
  <c r="BJ625" i="1" s="1"/>
  <c r="BK755" i="1"/>
  <c r="BK31" i="1" s="1"/>
  <c r="BK625" i="1" s="1"/>
  <c r="AH204" i="1"/>
  <c r="AI204" i="1"/>
  <c r="B35" i="1"/>
  <c r="B36" i="1"/>
  <c r="B37" i="1"/>
  <c r="B38" i="1"/>
  <c r="H260" i="1"/>
  <c r="H270" i="1"/>
  <c r="H463" i="1"/>
  <c r="H537" i="1"/>
  <c r="I260" i="1"/>
  <c r="I270" i="1"/>
  <c r="I463" i="1"/>
  <c r="I537" i="1"/>
  <c r="J260" i="1"/>
  <c r="J270" i="1"/>
  <c r="J463" i="1"/>
  <c r="J537" i="1"/>
  <c r="K260" i="1"/>
  <c r="K270" i="1"/>
  <c r="K463" i="1"/>
  <c r="K537" i="1"/>
  <c r="L260" i="1"/>
  <c r="L270" i="1"/>
  <c r="L463" i="1"/>
  <c r="L537" i="1"/>
  <c r="M260" i="1"/>
  <c r="M270" i="1"/>
  <c r="M463" i="1"/>
  <c r="M537" i="1"/>
  <c r="N260" i="1"/>
  <c r="N270" i="1"/>
  <c r="N463" i="1"/>
  <c r="N537" i="1"/>
  <c r="O260" i="1"/>
  <c r="O270" i="1"/>
  <c r="O463" i="1"/>
  <c r="O537" i="1"/>
  <c r="P260" i="1"/>
  <c r="P270" i="1"/>
  <c r="P463" i="1"/>
  <c r="P537" i="1"/>
  <c r="Q260" i="1"/>
  <c r="Q270" i="1"/>
  <c r="Q463" i="1"/>
  <c r="Q537" i="1"/>
  <c r="R260" i="1"/>
  <c r="R270" i="1"/>
  <c r="R463" i="1"/>
  <c r="R537" i="1"/>
  <c r="S260" i="1"/>
  <c r="S180" i="1"/>
  <c r="W187" i="1" s="1"/>
  <c r="S181" i="1"/>
  <c r="S188" i="1" s="1"/>
  <c r="S182" i="1"/>
  <c r="S189" i="1" s="1"/>
  <c r="T260" i="1"/>
  <c r="T270" i="1"/>
  <c r="T463" i="1"/>
  <c r="T537" i="1"/>
  <c r="U260" i="1"/>
  <c r="U270" i="1"/>
  <c r="U463" i="1"/>
  <c r="U537" i="1"/>
  <c r="V260" i="1"/>
  <c r="V270" i="1"/>
  <c r="V463" i="1"/>
  <c r="V537" i="1"/>
  <c r="W260" i="1"/>
  <c r="W270" i="1"/>
  <c r="W463" i="1"/>
  <c r="W537" i="1"/>
  <c r="W533" i="1" s="1"/>
  <c r="X260" i="1"/>
  <c r="X270" i="1"/>
  <c r="X463" i="1"/>
  <c r="X537" i="1"/>
  <c r="Y260" i="1"/>
  <c r="Y270" i="1"/>
  <c r="Y463" i="1"/>
  <c r="Y537" i="1"/>
  <c r="AC540" i="1" s="1"/>
  <c r="AC201" i="1" s="1"/>
  <c r="Z260" i="1"/>
  <c r="Z270" i="1"/>
  <c r="Z463" i="1"/>
  <c r="Z537" i="1"/>
  <c r="AD540" i="1" s="1"/>
  <c r="AD201" i="1" s="1"/>
  <c r="AA260" i="1"/>
  <c r="AA270" i="1"/>
  <c r="AA463" i="1"/>
  <c r="AA537" i="1"/>
  <c r="AB260" i="1"/>
  <c r="AB270" i="1"/>
  <c r="AB463" i="1"/>
  <c r="AB537" i="1"/>
  <c r="AF540" i="1" s="1"/>
  <c r="AF201" i="1" s="1"/>
  <c r="AC260" i="1"/>
  <c r="AC270" i="1"/>
  <c r="AC463" i="1"/>
  <c r="AC537" i="1"/>
  <c r="AC533" i="1" s="1"/>
  <c r="AD260" i="1"/>
  <c r="AD270" i="1"/>
  <c r="AD463" i="1"/>
  <c r="AD537" i="1"/>
  <c r="AE260" i="1"/>
  <c r="AE270" i="1"/>
  <c r="AE463" i="1"/>
  <c r="AE537" i="1"/>
  <c r="AI540" i="1" s="1"/>
  <c r="AI201" i="1" s="1"/>
  <c r="AF270" i="1"/>
  <c r="AF463" i="1"/>
  <c r="AF537" i="1"/>
  <c r="AJ540" i="1" s="1"/>
  <c r="AJ201" i="1" s="1"/>
  <c r="B43" i="1"/>
  <c r="B44" i="1"/>
  <c r="B45" i="1"/>
  <c r="B46" i="1"/>
  <c r="Z184" i="1"/>
  <c r="AA184" i="1"/>
  <c r="AA48" i="1" s="1"/>
  <c r="AB184" i="1"/>
  <c r="AB48" i="1" s="1"/>
  <c r="AB941" i="1" s="1"/>
  <c r="AC184" i="1"/>
  <c r="AD184" i="1"/>
  <c r="AD48" i="1" s="1"/>
  <c r="AE184" i="1"/>
  <c r="AF184" i="1"/>
  <c r="AF48" i="1" s="1"/>
  <c r="AF941" i="1" s="1"/>
  <c r="AG184" i="1"/>
  <c r="AG779" i="1"/>
  <c r="AG781" i="1"/>
  <c r="AH184" i="1"/>
  <c r="AH779" i="1"/>
  <c r="AH781" i="1"/>
  <c r="AI184" i="1"/>
  <c r="AI779" i="1"/>
  <c r="AI781" i="1"/>
  <c r="AK534" i="1"/>
  <c r="AK535" i="1"/>
  <c r="BO535" i="1" s="1"/>
  <c r="AK509" i="1"/>
  <c r="AH578" i="1"/>
  <c r="AI578" i="1"/>
  <c r="AI568" i="1" s="1"/>
  <c r="AM568" i="1" s="1"/>
  <c r="AM578" i="1" s="1"/>
  <c r="L60" i="1"/>
  <c r="L50" i="1" s="1"/>
  <c r="M60" i="1"/>
  <c r="M50" i="1" s="1"/>
  <c r="N60" i="1"/>
  <c r="N50" i="1" s="1"/>
  <c r="O60" i="1"/>
  <c r="O50" i="1" s="1"/>
  <c r="P60" i="1"/>
  <c r="P50" i="1" s="1"/>
  <c r="Q60" i="1"/>
  <c r="Q50" i="1" s="1"/>
  <c r="R60" i="1"/>
  <c r="S60" i="1"/>
  <c r="T60" i="1"/>
  <c r="U60" i="1"/>
  <c r="V60" i="1"/>
  <c r="W779" i="1"/>
  <c r="W781" i="1"/>
  <c r="W784" i="1"/>
  <c r="S779" i="1"/>
  <c r="S781" i="1"/>
  <c r="S784" i="1"/>
  <c r="X60" i="1"/>
  <c r="X50" i="1" s="1"/>
  <c r="Y60" i="1"/>
  <c r="Y50" i="1" s="1"/>
  <c r="Z60" i="1"/>
  <c r="Z50" i="1" s="1"/>
  <c r="AA60" i="1"/>
  <c r="AA50" i="1" s="1"/>
  <c r="AB60" i="1"/>
  <c r="AB50" i="1" s="1"/>
  <c r="AC60" i="1"/>
  <c r="AC50" i="1" s="1"/>
  <c r="AD60" i="1"/>
  <c r="AD50" i="1" s="1"/>
  <c r="AF60" i="1"/>
  <c r="AF50" i="1" s="1"/>
  <c r="AG60" i="1"/>
  <c r="AH60" i="1"/>
  <c r="AH50" i="1" s="1"/>
  <c r="AI60" i="1"/>
  <c r="AI50" i="1" s="1"/>
  <c r="AJ60" i="1"/>
  <c r="P779" i="1"/>
  <c r="P781" i="1"/>
  <c r="P784" i="1"/>
  <c r="Q779" i="1"/>
  <c r="Q781" i="1"/>
  <c r="Q784" i="1"/>
  <c r="R779" i="1"/>
  <c r="R781" i="1"/>
  <c r="R784" i="1"/>
  <c r="BJ779" i="1"/>
  <c r="BJ781" i="1"/>
  <c r="BJ784" i="1"/>
  <c r="AE60" i="1"/>
  <c r="AE50" i="1" s="1"/>
  <c r="BA60" i="1"/>
  <c r="BB60" i="1"/>
  <c r="BC60" i="1"/>
  <c r="BD60" i="1"/>
  <c r="BE60" i="1"/>
  <c r="BG60" i="1"/>
  <c r="BH60" i="1"/>
  <c r="AU61" i="1"/>
  <c r="AV61" i="1"/>
  <c r="AW61" i="1"/>
  <c r="AX61" i="1"/>
  <c r="AY61" i="1"/>
  <c r="AZ61" i="1"/>
  <c r="D68" i="1"/>
  <c r="E68" i="1"/>
  <c r="F68" i="1"/>
  <c r="G68" i="1"/>
  <c r="H68" i="1"/>
  <c r="I68" i="1"/>
  <c r="J68" i="1"/>
  <c r="K68" i="1"/>
  <c r="L68" i="1"/>
  <c r="M68" i="1"/>
  <c r="N68" i="1"/>
  <c r="O68" i="1"/>
  <c r="P68" i="1"/>
  <c r="Q68" i="1"/>
  <c r="R68" i="1"/>
  <c r="S758" i="1"/>
  <c r="S68" i="1" s="1"/>
  <c r="T68" i="1"/>
  <c r="T67" i="1" s="1"/>
  <c r="U68" i="1"/>
  <c r="V68" i="1"/>
  <c r="W68" i="1"/>
  <c r="X68" i="1"/>
  <c r="Y68" i="1"/>
  <c r="Z68" i="1"/>
  <c r="Z67" i="1" s="1"/>
  <c r="AA68" i="1"/>
  <c r="AA67" i="1" s="1"/>
  <c r="AB68" i="1"/>
  <c r="AC68" i="1"/>
  <c r="AD68" i="1"/>
  <c r="AE68" i="1"/>
  <c r="AF68" i="1"/>
  <c r="AG68" i="1"/>
  <c r="AH68" i="1"/>
  <c r="AI68" i="1"/>
  <c r="AJ68" i="1"/>
  <c r="AS68" i="1"/>
  <c r="AS112" i="1" s="1"/>
  <c r="AT68" i="1"/>
  <c r="AT112" i="1" s="1"/>
  <c r="AU68" i="1"/>
  <c r="AU112" i="1" s="1"/>
  <c r="AV68" i="1"/>
  <c r="AV112" i="1" s="1"/>
  <c r="AW68" i="1"/>
  <c r="AW112" i="1" s="1"/>
  <c r="AX68" i="1"/>
  <c r="AX112" i="1" s="1"/>
  <c r="AY68" i="1"/>
  <c r="AY112" i="1" s="1"/>
  <c r="AZ68" i="1"/>
  <c r="AZ112" i="1" s="1"/>
  <c r="BA68" i="1"/>
  <c r="BB68" i="1"/>
  <c r="BC68" i="1"/>
  <c r="BD68" i="1"/>
  <c r="BE68" i="1"/>
  <c r="BG758" i="1"/>
  <c r="BH758" i="1"/>
  <c r="BI758" i="1"/>
  <c r="AF21" i="28" s="1"/>
  <c r="BJ68" i="1"/>
  <c r="E55" i="523" s="1"/>
  <c r="D72" i="1"/>
  <c r="E72" i="1"/>
  <c r="F72" i="1"/>
  <c r="G72" i="1"/>
  <c r="H72" i="1"/>
  <c r="I72" i="1"/>
  <c r="J72" i="1"/>
  <c r="K72" i="1"/>
  <c r="L72" i="1"/>
  <c r="M72" i="1"/>
  <c r="N72" i="1"/>
  <c r="O72" i="1"/>
  <c r="E108" i="3" s="1"/>
  <c r="D104" i="3" s="1"/>
  <c r="P72" i="1"/>
  <c r="Q72" i="1"/>
  <c r="R72" i="1"/>
  <c r="S765" i="1"/>
  <c r="S72" i="1" s="1"/>
  <c r="T72" i="1"/>
  <c r="V72" i="1"/>
  <c r="W72" i="1"/>
  <c r="X72" i="1"/>
  <c r="Y72" i="1"/>
  <c r="Z72" i="1"/>
  <c r="AA72" i="1"/>
  <c r="AB72" i="1"/>
  <c r="AC72" i="1"/>
  <c r="AD72" i="1"/>
  <c r="AE72" i="1"/>
  <c r="AF72" i="1"/>
  <c r="AG72" i="1"/>
  <c r="AH72" i="1"/>
  <c r="AI72" i="1"/>
  <c r="AJ72" i="1"/>
  <c r="AS72" i="1"/>
  <c r="AT72" i="1"/>
  <c r="AU72" i="1"/>
  <c r="AV72" i="1"/>
  <c r="AW72" i="1"/>
  <c r="AX72" i="1"/>
  <c r="AY72" i="1"/>
  <c r="AZ72" i="1"/>
  <c r="BA72" i="1"/>
  <c r="BB72" i="1"/>
  <c r="BC72" i="1"/>
  <c r="BD72" i="1"/>
  <c r="BE72" i="1"/>
  <c r="BG765" i="1"/>
  <c r="BG72" i="1" s="1"/>
  <c r="BH765" i="1"/>
  <c r="BH72" i="1" s="1"/>
  <c r="BI765" i="1"/>
  <c r="AF26" i="28" s="1"/>
  <c r="AF72" i="28" s="1"/>
  <c r="BJ72" i="1"/>
  <c r="W77" i="1"/>
  <c r="X77" i="1"/>
  <c r="Y77" i="1"/>
  <c r="BM77" i="1"/>
  <c r="BN77" i="1"/>
  <c r="BO77" i="1"/>
  <c r="D85" i="1"/>
  <c r="D83" i="1" s="1"/>
  <c r="E85" i="1"/>
  <c r="E83" i="1" s="1"/>
  <c r="F85" i="1"/>
  <c r="F83" i="1" s="1"/>
  <c r="G85" i="1"/>
  <c r="G83" i="1" s="1"/>
  <c r="H85" i="1"/>
  <c r="H83" i="1" s="1"/>
  <c r="I85" i="1"/>
  <c r="I83" i="1" s="1"/>
  <c r="J85" i="1"/>
  <c r="J83" i="1" s="1"/>
  <c r="K816" i="1"/>
  <c r="K85" i="1" s="1"/>
  <c r="K83" i="1" s="1"/>
  <c r="L85" i="1"/>
  <c r="M85" i="1"/>
  <c r="N85" i="1"/>
  <c r="O85" i="1"/>
  <c r="P85" i="1"/>
  <c r="Q85" i="1"/>
  <c r="R85" i="1"/>
  <c r="S816" i="1"/>
  <c r="S85" i="1" s="1"/>
  <c r="T85" i="1"/>
  <c r="U85" i="1"/>
  <c r="V85" i="1"/>
  <c r="V83" i="1" s="1"/>
  <c r="W85" i="1"/>
  <c r="X85" i="1"/>
  <c r="Y85" i="1"/>
  <c r="Y83" i="1" s="1"/>
  <c r="Z85" i="1"/>
  <c r="Z83" i="1" s="1"/>
  <c r="AA85" i="1"/>
  <c r="AA83" i="1" s="1"/>
  <c r="AB85" i="1"/>
  <c r="AB83" i="1" s="1"/>
  <c r="AC85" i="1"/>
  <c r="AC83" i="1" s="1"/>
  <c r="AD85" i="1"/>
  <c r="AD83" i="1" s="1"/>
  <c r="AE85" i="1"/>
  <c r="AE83" i="1" s="1"/>
  <c r="AF85" i="1"/>
  <c r="AG85" i="1"/>
  <c r="AG83" i="1" s="1"/>
  <c r="X19" i="313"/>
  <c r="X28" i="313" s="1"/>
  <c r="AI85" i="1"/>
  <c r="AS85" i="1"/>
  <c r="AT85" i="1"/>
  <c r="AU85" i="1"/>
  <c r="AV85" i="1"/>
  <c r="AW85" i="1"/>
  <c r="AX85" i="1"/>
  <c r="AY85" i="1"/>
  <c r="AZ85" i="1"/>
  <c r="BA85" i="1"/>
  <c r="BB85" i="1"/>
  <c r="BC85" i="1"/>
  <c r="BD85" i="1"/>
  <c r="BG85" i="1" s="1"/>
  <c r="D55" i="3" s="1"/>
  <c r="BE85" i="1"/>
  <c r="BH85" i="1"/>
  <c r="C28" i="523" s="1"/>
  <c r="BI85" i="1"/>
  <c r="D28" i="523" s="1"/>
  <c r="BJ85" i="1"/>
  <c r="E28" i="523" s="1"/>
  <c r="D111" i="1"/>
  <c r="D97" i="1" s="1"/>
  <c r="E111" i="1"/>
  <c r="E97" i="1" s="1"/>
  <c r="F111" i="1"/>
  <c r="F97" i="1" s="1"/>
  <c r="G111" i="1"/>
  <c r="G97" i="1" s="1"/>
  <c r="H111" i="1"/>
  <c r="H97" i="1" s="1"/>
  <c r="I111" i="1"/>
  <c r="I97" i="1" s="1"/>
  <c r="J111" i="1"/>
  <c r="J97" i="1" s="1"/>
  <c r="K111" i="1"/>
  <c r="K97" i="1" s="1"/>
  <c r="L111" i="1"/>
  <c r="L97" i="1" s="1"/>
  <c r="M111" i="1"/>
  <c r="M97" i="1" s="1"/>
  <c r="N111" i="1"/>
  <c r="N97" i="1" s="1"/>
  <c r="O111" i="1"/>
  <c r="O97" i="1" s="1"/>
  <c r="P111" i="1"/>
  <c r="P97" i="1" s="1"/>
  <c r="Q111" i="1"/>
  <c r="Q97" i="1" s="1"/>
  <c r="R111" i="1"/>
  <c r="R97" i="1" s="1"/>
  <c r="S111" i="1"/>
  <c r="S97" i="1" s="1"/>
  <c r="T111" i="1"/>
  <c r="T97" i="1" s="1"/>
  <c r="U111" i="1"/>
  <c r="U97" i="1" s="1"/>
  <c r="V111" i="1"/>
  <c r="W111" i="1"/>
  <c r="W97" i="1" s="1"/>
  <c r="X111" i="1"/>
  <c r="X97" i="1" s="1"/>
  <c r="Y111" i="1"/>
  <c r="Y97" i="1" s="1"/>
  <c r="Z111" i="1"/>
  <c r="AA111" i="1"/>
  <c r="AA97" i="1" s="1"/>
  <c r="AB111" i="1"/>
  <c r="AB97" i="1" s="1"/>
  <c r="AC111" i="1"/>
  <c r="AC97" i="1" s="1"/>
  <c r="AD111" i="1"/>
  <c r="AE111" i="1"/>
  <c r="AE97" i="1" s="1"/>
  <c r="AF111" i="1"/>
  <c r="AF97" i="1" s="1"/>
  <c r="AG111" i="1"/>
  <c r="AG97" i="1" s="1"/>
  <c r="AH111" i="1"/>
  <c r="AI111" i="1"/>
  <c r="AI97" i="1" s="1"/>
  <c r="AJ111" i="1"/>
  <c r="AJ97" i="1" s="1"/>
  <c r="AS873" i="1"/>
  <c r="AT873" i="1"/>
  <c r="AT872" i="1" s="1"/>
  <c r="AT871" i="1" s="1"/>
  <c r="AU873" i="1"/>
  <c r="AV873" i="1"/>
  <c r="AW873" i="1"/>
  <c r="AX873" i="1"/>
  <c r="AY873" i="1"/>
  <c r="AZ873" i="1"/>
  <c r="BA873" i="1"/>
  <c r="BB873" i="1"/>
  <c r="BC873" i="1"/>
  <c r="BD873" i="1"/>
  <c r="BE873" i="1"/>
  <c r="BH873" i="1"/>
  <c r="BI873" i="1"/>
  <c r="BJ873" i="1"/>
  <c r="B112" i="1"/>
  <c r="AM112" i="1"/>
  <c r="D118" i="1"/>
  <c r="E118" i="1"/>
  <c r="F118" i="1"/>
  <c r="G118" i="1"/>
  <c r="H118" i="1"/>
  <c r="I118" i="1"/>
  <c r="J118" i="1"/>
  <c r="K819" i="1"/>
  <c r="L118" i="1"/>
  <c r="M118" i="1"/>
  <c r="N118" i="1"/>
  <c r="O118" i="1"/>
  <c r="P118" i="1"/>
  <c r="Q118" i="1"/>
  <c r="R118" i="1"/>
  <c r="S819" i="1"/>
  <c r="S865" i="1" s="1"/>
  <c r="T118" i="1"/>
  <c r="U118" i="1"/>
  <c r="V118" i="1"/>
  <c r="W118" i="1"/>
  <c r="X118" i="1"/>
  <c r="Y118" i="1"/>
  <c r="Z118" i="1"/>
  <c r="AA118" i="1"/>
  <c r="AB118" i="1"/>
  <c r="AC118" i="1"/>
  <c r="AD118" i="1"/>
  <c r="AE118" i="1"/>
  <c r="AF118" i="1"/>
  <c r="AG118" i="1"/>
  <c r="AH118" i="1"/>
  <c r="AI118" i="1"/>
  <c r="AJ118" i="1"/>
  <c r="BO118" i="1" s="1"/>
  <c r="AS118" i="1"/>
  <c r="AT118" i="1"/>
  <c r="AU118" i="1"/>
  <c r="AV118" i="1"/>
  <c r="AW118" i="1"/>
  <c r="AX118" i="1"/>
  <c r="AY118" i="1"/>
  <c r="AZ118" i="1"/>
  <c r="BA118" i="1"/>
  <c r="BB118" i="1"/>
  <c r="BC118" i="1"/>
  <c r="BD118" i="1"/>
  <c r="BE118" i="1"/>
  <c r="BH118" i="1"/>
  <c r="C69" i="523" s="1"/>
  <c r="BI118" i="1"/>
  <c r="D69" i="523" s="1"/>
  <c r="BJ118" i="1"/>
  <c r="E69" i="523" s="1"/>
  <c r="BK819" i="1"/>
  <c r="BK865" i="1" s="1"/>
  <c r="BG861" i="1"/>
  <c r="BG128" i="1" s="1"/>
  <c r="BH861" i="1"/>
  <c r="BH128" i="1" s="1"/>
  <c r="D832" i="1"/>
  <c r="D125" i="1" s="1"/>
  <c r="E832" i="1"/>
  <c r="E125" i="1" s="1"/>
  <c r="F832" i="1"/>
  <c r="F125" i="1" s="1"/>
  <c r="G832" i="1"/>
  <c r="G125" i="1" s="1"/>
  <c r="H832" i="1"/>
  <c r="H125" i="1" s="1"/>
  <c r="I832" i="1"/>
  <c r="I125" i="1" s="1"/>
  <c r="J832" i="1"/>
  <c r="J868" i="1" s="1"/>
  <c r="K815" i="1"/>
  <c r="K817" i="1"/>
  <c r="K818" i="1"/>
  <c r="K820" i="1"/>
  <c r="K821" i="1"/>
  <c r="K822" i="1"/>
  <c r="K823" i="1"/>
  <c r="K824" i="1"/>
  <c r="K825" i="1"/>
  <c r="K826" i="1"/>
  <c r="K827" i="1"/>
  <c r="K828" i="1"/>
  <c r="K829" i="1"/>
  <c r="K830" i="1"/>
  <c r="K831" i="1"/>
  <c r="L832" i="1"/>
  <c r="L868" i="1" s="1"/>
  <c r="M832" i="1"/>
  <c r="N832" i="1"/>
  <c r="O832" i="1"/>
  <c r="O125" i="1" s="1"/>
  <c r="P832" i="1"/>
  <c r="P125" i="1" s="1"/>
  <c r="Q832" i="1"/>
  <c r="Q125" i="1" s="1"/>
  <c r="R832" i="1"/>
  <c r="R125" i="1" s="1"/>
  <c r="S815" i="1"/>
  <c r="S817" i="1"/>
  <c r="S818" i="1"/>
  <c r="S820" i="1"/>
  <c r="S821" i="1"/>
  <c r="S822" i="1"/>
  <c r="S823" i="1"/>
  <c r="S824" i="1"/>
  <c r="S825" i="1"/>
  <c r="S826" i="1"/>
  <c r="S827" i="1"/>
  <c r="S828" i="1"/>
  <c r="S829" i="1"/>
  <c r="S830" i="1"/>
  <c r="S831" i="1"/>
  <c r="T832" i="1"/>
  <c r="T125" i="1" s="1"/>
  <c r="U832" i="1"/>
  <c r="U125" i="1" s="1"/>
  <c r="V832" i="1"/>
  <c r="V125" i="1" s="1"/>
  <c r="W832" i="1"/>
  <c r="W868" i="1" s="1"/>
  <c r="X832" i="1"/>
  <c r="X868" i="1" s="1"/>
  <c r="Y832" i="1"/>
  <c r="Y125" i="1" s="1"/>
  <c r="Z832" i="1"/>
  <c r="AA832" i="1"/>
  <c r="AA125" i="1" s="1"/>
  <c r="AB832" i="1"/>
  <c r="AC832" i="1"/>
  <c r="AD832" i="1"/>
  <c r="AD125" i="1" s="1"/>
  <c r="AE832" i="1"/>
  <c r="AE125" i="1" s="1"/>
  <c r="AF832" i="1"/>
  <c r="AF125" i="1" s="1"/>
  <c r="AG832" i="1"/>
  <c r="AG125" i="1" s="1"/>
  <c r="AH832" i="1"/>
  <c r="AH868" i="1" s="1"/>
  <c r="AI832" i="1"/>
  <c r="AI125" i="1" s="1"/>
  <c r="AJ832" i="1"/>
  <c r="AS832" i="1"/>
  <c r="AS125" i="1" s="1"/>
  <c r="AT832" i="1"/>
  <c r="AT125" i="1" s="1"/>
  <c r="AU832" i="1"/>
  <c r="AU125" i="1" s="1"/>
  <c r="AV832" i="1"/>
  <c r="AV125" i="1" s="1"/>
  <c r="AW832" i="1"/>
  <c r="AX832" i="1"/>
  <c r="AY832" i="1"/>
  <c r="AY125" i="1" s="1"/>
  <c r="AZ832" i="1"/>
  <c r="AZ125" i="1" s="1"/>
  <c r="BA832" i="1"/>
  <c r="BA125" i="1" s="1"/>
  <c r="BB832" i="1"/>
  <c r="BC832" i="1"/>
  <c r="BC125" i="1" s="1"/>
  <c r="BD832" i="1"/>
  <c r="BD125" i="1" s="1"/>
  <c r="BE832" i="1"/>
  <c r="BE125" i="1" s="1"/>
  <c r="BG832" i="1"/>
  <c r="BG125" i="1" s="1"/>
  <c r="BH832" i="1"/>
  <c r="BH125" i="1" s="1"/>
  <c r="BI832" i="1"/>
  <c r="BJ832" i="1"/>
  <c r="BK815" i="1"/>
  <c r="BK816" i="1"/>
  <c r="BK817" i="1"/>
  <c r="BK818" i="1"/>
  <c r="BK820" i="1"/>
  <c r="BK821" i="1"/>
  <c r="BK822" i="1"/>
  <c r="BK823" i="1"/>
  <c r="BK824" i="1"/>
  <c r="BK825" i="1"/>
  <c r="BK826" i="1"/>
  <c r="BK827" i="1"/>
  <c r="BK828" i="1"/>
  <c r="BK829" i="1"/>
  <c r="BK830" i="1"/>
  <c r="BK831" i="1"/>
  <c r="D126" i="1"/>
  <c r="E126" i="1"/>
  <c r="F126" i="1"/>
  <c r="G126" i="1"/>
  <c r="H126" i="1"/>
  <c r="I126" i="1"/>
  <c r="J126" i="1"/>
  <c r="K126" i="1"/>
  <c r="L126" i="1"/>
  <c r="M126" i="1"/>
  <c r="N126" i="1"/>
  <c r="O126" i="1"/>
  <c r="P126" i="1"/>
  <c r="Q126" i="1"/>
  <c r="R126" i="1"/>
  <c r="S836" i="1"/>
  <c r="S126" i="1" s="1"/>
  <c r="T126" i="1"/>
  <c r="U126" i="1"/>
  <c r="V126" i="1"/>
  <c r="W126" i="1"/>
  <c r="X126" i="1"/>
  <c r="Y126" i="1"/>
  <c r="Z126" i="1"/>
  <c r="AA126" i="1"/>
  <c r="AB126" i="1"/>
  <c r="AC126" i="1"/>
  <c r="AD126" i="1"/>
  <c r="AE126" i="1"/>
  <c r="AF126" i="1"/>
  <c r="AG126" i="1"/>
  <c r="AH126" i="1"/>
  <c r="AI126" i="1"/>
  <c r="AJ126" i="1"/>
  <c r="BO126" i="1" s="1"/>
  <c r="AS126" i="1"/>
  <c r="AT126" i="1"/>
  <c r="AU126" i="1"/>
  <c r="AV126" i="1"/>
  <c r="AW126" i="1"/>
  <c r="AX126" i="1"/>
  <c r="AY126" i="1"/>
  <c r="AZ126" i="1"/>
  <c r="BA126" i="1"/>
  <c r="BB126" i="1"/>
  <c r="BC126" i="1"/>
  <c r="BD126" i="1"/>
  <c r="BE126" i="1"/>
  <c r="BH126" i="1"/>
  <c r="BI126" i="1"/>
  <c r="AF50" i="28" s="1"/>
  <c r="BJ126" i="1"/>
  <c r="AG50" i="28" s="1"/>
  <c r="BK836" i="1"/>
  <c r="BK126" i="1" s="1"/>
  <c r="AH50" i="28" s="1"/>
  <c r="D127" i="1"/>
  <c r="E127" i="1"/>
  <c r="F127" i="1"/>
  <c r="G127" i="1"/>
  <c r="H127" i="1"/>
  <c r="I127" i="1"/>
  <c r="J127" i="1"/>
  <c r="K127" i="1"/>
  <c r="L127" i="1"/>
  <c r="M127" i="1"/>
  <c r="N127" i="1"/>
  <c r="O127" i="1"/>
  <c r="P127" i="1"/>
  <c r="Q127" i="1"/>
  <c r="R127" i="1"/>
  <c r="S127" i="1"/>
  <c r="T127" i="1"/>
  <c r="U127" i="1"/>
  <c r="V127" i="1"/>
  <c r="AS127" i="1"/>
  <c r="AT127" i="1"/>
  <c r="AU127" i="1"/>
  <c r="AV127" i="1"/>
  <c r="AW127" i="1"/>
  <c r="AX127" i="1"/>
  <c r="AY127" i="1"/>
  <c r="AZ127" i="1"/>
  <c r="BA127" i="1"/>
  <c r="BB127" i="1"/>
  <c r="BC127" i="1"/>
  <c r="BD127" i="1"/>
  <c r="BE127" i="1"/>
  <c r="BG127" i="1"/>
  <c r="BH127" i="1"/>
  <c r="BI127" i="1"/>
  <c r="BJ127" i="1"/>
  <c r="BK127" i="1"/>
  <c r="BL127" i="1"/>
  <c r="BM127" i="1"/>
  <c r="BN127" i="1"/>
  <c r="AS128" i="1"/>
  <c r="AT128" i="1"/>
  <c r="AU128" i="1"/>
  <c r="AV128" i="1"/>
  <c r="AW128" i="1"/>
  <c r="AX128" i="1"/>
  <c r="AY128" i="1"/>
  <c r="AZ128" i="1"/>
  <c r="BA128" i="1"/>
  <c r="BB128" i="1"/>
  <c r="BC128" i="1"/>
  <c r="BD128" i="1"/>
  <c r="BE128" i="1"/>
  <c r="BI128" i="1"/>
  <c r="BJ128" i="1"/>
  <c r="BK128" i="1"/>
  <c r="BL128" i="1"/>
  <c r="BM128" i="1"/>
  <c r="BN128" i="1"/>
  <c r="D129" i="1"/>
  <c r="E129" i="1"/>
  <c r="F129" i="1"/>
  <c r="G129" i="1"/>
  <c r="H129" i="1"/>
  <c r="I129" i="1"/>
  <c r="J129" i="1"/>
  <c r="K129" i="1"/>
  <c r="L129" i="1"/>
  <c r="M129" i="1"/>
  <c r="N129" i="1"/>
  <c r="O129" i="1"/>
  <c r="P129" i="1"/>
  <c r="Q129" i="1"/>
  <c r="R129" i="1"/>
  <c r="S849" i="1"/>
  <c r="S129" i="1" s="1"/>
  <c r="T129" i="1"/>
  <c r="U129" i="1"/>
  <c r="V129" i="1"/>
  <c r="W129" i="1"/>
  <c r="X129" i="1"/>
  <c r="Y129" i="1"/>
  <c r="Z129" i="1"/>
  <c r="AA129" i="1"/>
  <c r="AB129" i="1"/>
  <c r="AC129" i="1"/>
  <c r="AD129" i="1"/>
  <c r="AE129" i="1"/>
  <c r="AF129" i="1"/>
  <c r="AG129" i="1"/>
  <c r="AH129" i="1"/>
  <c r="AI129" i="1"/>
  <c r="AJ129" i="1"/>
  <c r="BO129" i="1" s="1"/>
  <c r="AS129" i="1"/>
  <c r="AT129" i="1"/>
  <c r="AU129" i="1"/>
  <c r="AV129" i="1"/>
  <c r="AW129" i="1"/>
  <c r="AX129" i="1"/>
  <c r="AY129" i="1"/>
  <c r="AZ129" i="1"/>
  <c r="BA129" i="1"/>
  <c r="BB129" i="1"/>
  <c r="BC129" i="1"/>
  <c r="BD129" i="1"/>
  <c r="BE129" i="1"/>
  <c r="BH129" i="1"/>
  <c r="BI129" i="1"/>
  <c r="AF52" i="28" s="1"/>
  <c r="BJ129" i="1"/>
  <c r="AG52" i="28" s="1"/>
  <c r="BK849" i="1"/>
  <c r="BK129" i="1" s="1"/>
  <c r="AH52" i="28" s="1"/>
  <c r="D130" i="1"/>
  <c r="E130" i="1"/>
  <c r="F130" i="1"/>
  <c r="G130" i="1"/>
  <c r="H130" i="1"/>
  <c r="I130" i="1"/>
  <c r="J130" i="1"/>
  <c r="K130" i="1"/>
  <c r="L130" i="1"/>
  <c r="M130" i="1"/>
  <c r="N130" i="1"/>
  <c r="O130" i="1"/>
  <c r="P130" i="1"/>
  <c r="Q130" i="1"/>
  <c r="R130" i="1"/>
  <c r="S850" i="1"/>
  <c r="S130" i="1" s="1"/>
  <c r="T130" i="1"/>
  <c r="U130" i="1"/>
  <c r="V130" i="1"/>
  <c r="W130" i="1"/>
  <c r="X130" i="1"/>
  <c r="Y130" i="1"/>
  <c r="Z130" i="1"/>
  <c r="AA130" i="1"/>
  <c r="AB130" i="1"/>
  <c r="AC130" i="1"/>
  <c r="AD130" i="1"/>
  <c r="AE130" i="1"/>
  <c r="AF130" i="1"/>
  <c r="AG130" i="1"/>
  <c r="AH130" i="1"/>
  <c r="AI130" i="1"/>
  <c r="AJ130" i="1"/>
  <c r="BO130" i="1" s="1"/>
  <c r="AS130" i="1"/>
  <c r="AT130" i="1"/>
  <c r="AU130" i="1"/>
  <c r="AV130" i="1"/>
  <c r="AW130" i="1"/>
  <c r="AX130" i="1"/>
  <c r="AY130" i="1"/>
  <c r="AZ130" i="1"/>
  <c r="BA130" i="1"/>
  <c r="BB130" i="1"/>
  <c r="BC130" i="1"/>
  <c r="BD130" i="1"/>
  <c r="BE130" i="1"/>
  <c r="BH130" i="1"/>
  <c r="BI130" i="1"/>
  <c r="AF53" i="28" s="1"/>
  <c r="BJ130" i="1"/>
  <c r="AG53" i="28" s="1"/>
  <c r="BK850" i="1"/>
  <c r="BK130" i="1" s="1"/>
  <c r="AH53" i="28" s="1"/>
  <c r="D131" i="1"/>
  <c r="E131" i="1"/>
  <c r="F131" i="1"/>
  <c r="G131" i="1"/>
  <c r="H131" i="1"/>
  <c r="I131" i="1"/>
  <c r="J131" i="1"/>
  <c r="K131" i="1"/>
  <c r="L131" i="1"/>
  <c r="M131" i="1"/>
  <c r="N131" i="1"/>
  <c r="O131" i="1"/>
  <c r="P131" i="1"/>
  <c r="Q131" i="1"/>
  <c r="R131" i="1"/>
  <c r="S851" i="1"/>
  <c r="S131" i="1" s="1"/>
  <c r="T131" i="1"/>
  <c r="U131" i="1"/>
  <c r="V131" i="1"/>
  <c r="W131" i="1"/>
  <c r="X131" i="1"/>
  <c r="Y131" i="1"/>
  <c r="Z131" i="1"/>
  <c r="AA131" i="1"/>
  <c r="AB131" i="1"/>
  <c r="AC131" i="1"/>
  <c r="AD131" i="1"/>
  <c r="AE131" i="1"/>
  <c r="AF131" i="1"/>
  <c r="AG131" i="1"/>
  <c r="AH131" i="1"/>
  <c r="AI131" i="1"/>
  <c r="AJ131" i="1"/>
  <c r="BO131" i="1" s="1"/>
  <c r="AS131" i="1"/>
  <c r="AT131" i="1"/>
  <c r="AU131" i="1"/>
  <c r="AV131" i="1"/>
  <c r="AW131" i="1"/>
  <c r="AX131" i="1"/>
  <c r="AY131" i="1"/>
  <c r="AZ131" i="1"/>
  <c r="BA131" i="1"/>
  <c r="BB131" i="1"/>
  <c r="BC131" i="1"/>
  <c r="BD131" i="1"/>
  <c r="BE131" i="1"/>
  <c r="BH131" i="1"/>
  <c r="BI131" i="1"/>
  <c r="AF51" i="28" s="1"/>
  <c r="BJ131" i="1"/>
  <c r="AG51" i="28" s="1"/>
  <c r="BK851" i="1"/>
  <c r="BK131" i="1" s="1"/>
  <c r="AH51" i="28" s="1"/>
  <c r="S902" i="1"/>
  <c r="S903" i="1"/>
  <c r="S909" i="1"/>
  <c r="S910" i="1"/>
  <c r="AF56" i="28"/>
  <c r="AG56" i="28"/>
  <c r="BK902" i="1"/>
  <c r="BK903" i="1"/>
  <c r="BK909" i="1"/>
  <c r="BK910" i="1"/>
  <c r="BL902" i="1"/>
  <c r="BL903" i="1"/>
  <c r="BL909" i="1"/>
  <c r="BL910" i="1"/>
  <c r="BM902" i="1"/>
  <c r="BM903" i="1"/>
  <c r="BM909" i="1"/>
  <c r="BM910" i="1"/>
  <c r="BN902" i="1"/>
  <c r="BN903" i="1"/>
  <c r="BN909" i="1"/>
  <c r="BN910" i="1"/>
  <c r="D135" i="1"/>
  <c r="E135" i="1"/>
  <c r="F135" i="1"/>
  <c r="G135" i="1"/>
  <c r="BG135" i="1" s="1"/>
  <c r="H135" i="1"/>
  <c r="I135" i="1"/>
  <c r="J135" i="1"/>
  <c r="K135" i="1"/>
  <c r="L135" i="1"/>
  <c r="M135" i="1"/>
  <c r="N135" i="1"/>
  <c r="O135" i="1"/>
  <c r="P135" i="1"/>
  <c r="Q135" i="1"/>
  <c r="R135" i="1"/>
  <c r="S883" i="1"/>
  <c r="S884" i="1"/>
  <c r="T135" i="1"/>
  <c r="U135" i="1"/>
  <c r="V135" i="1"/>
  <c r="W135" i="1"/>
  <c r="X135" i="1"/>
  <c r="Y135" i="1"/>
  <c r="Z135" i="1"/>
  <c r="AA135" i="1"/>
  <c r="AB135" i="1"/>
  <c r="AC135" i="1"/>
  <c r="AD135" i="1"/>
  <c r="AE135" i="1"/>
  <c r="AF135" i="1"/>
  <c r="AG135" i="1"/>
  <c r="AH135" i="1"/>
  <c r="AI135" i="1"/>
  <c r="AJ135" i="1"/>
  <c r="AS135" i="1"/>
  <c r="AT135" i="1"/>
  <c r="AU135" i="1"/>
  <c r="AV135" i="1"/>
  <c r="AW135" i="1"/>
  <c r="AX135" i="1"/>
  <c r="AY135" i="1"/>
  <c r="AZ135" i="1"/>
  <c r="BA135" i="1"/>
  <c r="BB135" i="1"/>
  <c r="BC135" i="1"/>
  <c r="BD135" i="1"/>
  <c r="BE135" i="1"/>
  <c r="BH135" i="1"/>
  <c r="BI135" i="1"/>
  <c r="AF57" i="28" s="1"/>
  <c r="BJ135" i="1"/>
  <c r="AG57" i="28" s="1"/>
  <c r="BK883" i="1"/>
  <c r="BK884" i="1"/>
  <c r="BL883" i="1"/>
  <c r="BL884" i="1"/>
  <c r="BM883" i="1"/>
  <c r="BM884" i="1"/>
  <c r="BN883" i="1"/>
  <c r="BN884" i="1"/>
  <c r="U141" i="1"/>
  <c r="BX143" i="1"/>
  <c r="BY143" i="1" s="1"/>
  <c r="BX144" i="1"/>
  <c r="BY144" i="1" s="1"/>
  <c r="S148" i="1"/>
  <c r="S251" i="1" s="1"/>
  <c r="BH148" i="1"/>
  <c r="BH155" i="1" s="1"/>
  <c r="BI148" i="1"/>
  <c r="BI251" i="1" s="1"/>
  <c r="BK148" i="1"/>
  <c r="BK251" i="1" s="1"/>
  <c r="BL148" i="1"/>
  <c r="BL251" i="1" s="1"/>
  <c r="BM148" i="1"/>
  <c r="BM968" i="1" s="1"/>
  <c r="BN148" i="1"/>
  <c r="BN968" i="1" s="1"/>
  <c r="S149" i="1"/>
  <c r="S449" i="1" s="1"/>
  <c r="BH149" i="1"/>
  <c r="BH449" i="1" s="1"/>
  <c r="BI149" i="1"/>
  <c r="BI449" i="1" s="1"/>
  <c r="BK149" i="1"/>
  <c r="BK449" i="1" s="1"/>
  <c r="BL149" i="1"/>
  <c r="BM149" i="1"/>
  <c r="BN149" i="1"/>
  <c r="BN969" i="1" s="1"/>
  <c r="S150" i="1"/>
  <c r="S970" i="1" s="1"/>
  <c r="AG566" i="1"/>
  <c r="AK566" i="1" s="1"/>
  <c r="AO566" i="1" s="1"/>
  <c r="AG510" i="1"/>
  <c r="AD566" i="1"/>
  <c r="AH576" i="1"/>
  <c r="AL587" i="1" s="1"/>
  <c r="AC566" i="1"/>
  <c r="AH579" i="1"/>
  <c r="AL590" i="1" s="1"/>
  <c r="AH510" i="1"/>
  <c r="AH575" i="1"/>
  <c r="AE566" i="1"/>
  <c r="AI576" i="1"/>
  <c r="AM587" i="1" s="1"/>
  <c r="AI579" i="1"/>
  <c r="AM590" i="1" s="1"/>
  <c r="AI510" i="1"/>
  <c r="AI575" i="1"/>
  <c r="BH150" i="1"/>
  <c r="BI150" i="1"/>
  <c r="BK150" i="1"/>
  <c r="BK157" i="1" s="1"/>
  <c r="BL150" i="1"/>
  <c r="BL970" i="1" s="1"/>
  <c r="BM150" i="1"/>
  <c r="BN150" i="1"/>
  <c r="BN970" i="1" s="1"/>
  <c r="S151" i="1"/>
  <c r="BH151" i="1"/>
  <c r="BI151" i="1"/>
  <c r="BK151" i="1"/>
  <c r="BL151" i="1"/>
  <c r="BM151" i="1"/>
  <c r="BN151" i="1"/>
  <c r="BO151" i="1"/>
  <c r="H152" i="1"/>
  <c r="H207" i="1" s="1"/>
  <c r="I152" i="1"/>
  <c r="I207" i="1" s="1"/>
  <c r="J152" i="1"/>
  <c r="J207" i="1" s="1"/>
  <c r="K152" i="1"/>
  <c r="L152" i="1"/>
  <c r="M152" i="1"/>
  <c r="N152" i="1"/>
  <c r="N207" i="1" s="1"/>
  <c r="O152" i="1"/>
  <c r="O207" i="1" s="1"/>
  <c r="P152" i="1"/>
  <c r="P215" i="1" s="1"/>
  <c r="P214" i="1" s="1"/>
  <c r="Q152" i="1"/>
  <c r="Q207" i="1" s="1"/>
  <c r="R152" i="1"/>
  <c r="R215" i="1" s="1"/>
  <c r="T152" i="1"/>
  <c r="U152" i="1"/>
  <c r="U215" i="1" s="1"/>
  <c r="V152" i="1"/>
  <c r="V207" i="1" s="1"/>
  <c r="BG152" i="1"/>
  <c r="BG207" i="1" s="1"/>
  <c r="BJ152" i="1"/>
  <c r="BJ215" i="1" s="1"/>
  <c r="B155" i="1"/>
  <c r="L155" i="1"/>
  <c r="M155" i="1"/>
  <c r="N155" i="1"/>
  <c r="O155" i="1"/>
  <c r="P155" i="1"/>
  <c r="Q155" i="1"/>
  <c r="R155" i="1"/>
  <c r="T155" i="1"/>
  <c r="U155" i="1"/>
  <c r="V155" i="1"/>
  <c r="X155" i="1"/>
  <c r="Y155" i="1"/>
  <c r="Z155" i="1"/>
  <c r="AA155" i="1"/>
  <c r="AB155" i="1"/>
  <c r="AC155" i="1"/>
  <c r="AD155" i="1"/>
  <c r="AE155" i="1"/>
  <c r="AF155" i="1"/>
  <c r="AG155" i="1"/>
  <c r="AH155" i="1"/>
  <c r="AI155" i="1"/>
  <c r="AJ155" i="1"/>
  <c r="BC155" i="1"/>
  <c r="BC163" i="1" s="1"/>
  <c r="BD155" i="1"/>
  <c r="BE155" i="1"/>
  <c r="BE163" i="1" s="1"/>
  <c r="B156" i="1"/>
  <c r="L156" i="1"/>
  <c r="M156" i="1"/>
  <c r="N156" i="1"/>
  <c r="O156" i="1"/>
  <c r="P156" i="1"/>
  <c r="Q156" i="1"/>
  <c r="R156" i="1"/>
  <c r="T156" i="1"/>
  <c r="U156" i="1"/>
  <c r="V156" i="1"/>
  <c r="X156" i="1"/>
  <c r="Y156" i="1"/>
  <c r="Z156" i="1"/>
  <c r="AA156" i="1"/>
  <c r="AB156" i="1"/>
  <c r="AC156" i="1"/>
  <c r="AD156" i="1"/>
  <c r="AD164" i="1" s="1"/>
  <c r="AE156" i="1"/>
  <c r="AF156" i="1"/>
  <c r="AG156" i="1"/>
  <c r="AH156" i="1"/>
  <c r="AI156" i="1"/>
  <c r="AJ156" i="1"/>
  <c r="BC156" i="1"/>
  <c r="BC164" i="1" s="1"/>
  <c r="BD156" i="1"/>
  <c r="BE156" i="1"/>
  <c r="B157" i="1"/>
  <c r="L157" i="1"/>
  <c r="M157" i="1"/>
  <c r="N157" i="1"/>
  <c r="O157" i="1"/>
  <c r="P157" i="1"/>
  <c r="Q157" i="1"/>
  <c r="R157" i="1"/>
  <c r="T157" i="1"/>
  <c r="U157" i="1"/>
  <c r="V157" i="1"/>
  <c r="X157" i="1"/>
  <c r="Y157" i="1"/>
  <c r="Z157" i="1"/>
  <c r="AA157" i="1"/>
  <c r="AB157" i="1"/>
  <c r="AC157" i="1"/>
  <c r="AD157" i="1"/>
  <c r="AD165" i="1" s="1"/>
  <c r="AE157" i="1"/>
  <c r="AF157" i="1"/>
  <c r="AG157" i="1"/>
  <c r="AH157" i="1"/>
  <c r="AI157" i="1"/>
  <c r="AJ157" i="1"/>
  <c r="BC157" i="1"/>
  <c r="BC165" i="1" s="1"/>
  <c r="BD157" i="1"/>
  <c r="BE157" i="1"/>
  <c r="BE165" i="1" s="1"/>
  <c r="B158" i="1"/>
  <c r="L158" i="1"/>
  <c r="M158" i="1"/>
  <c r="N158" i="1"/>
  <c r="O158" i="1"/>
  <c r="P158" i="1"/>
  <c r="Q158" i="1"/>
  <c r="R158" i="1"/>
  <c r="T158" i="1"/>
  <c r="U158" i="1"/>
  <c r="V158" i="1"/>
  <c r="X158" i="1"/>
  <c r="Y158" i="1"/>
  <c r="Z158" i="1"/>
  <c r="AA158" i="1"/>
  <c r="AB158" i="1"/>
  <c r="AC158" i="1"/>
  <c r="AD158" i="1"/>
  <c r="AE158" i="1"/>
  <c r="AF158" i="1"/>
  <c r="AG158" i="1"/>
  <c r="AH158" i="1"/>
  <c r="AI158" i="1"/>
  <c r="AJ158" i="1"/>
  <c r="AK158" i="1"/>
  <c r="AL158" i="1"/>
  <c r="AM158" i="1"/>
  <c r="BC158" i="1"/>
  <c r="BE158" i="1"/>
  <c r="B159" i="1"/>
  <c r="B167" i="1" s="1"/>
  <c r="B173" i="1" s="1"/>
  <c r="L163" i="1"/>
  <c r="M163" i="1"/>
  <c r="N163" i="1"/>
  <c r="O163" i="1"/>
  <c r="P163" i="1"/>
  <c r="Q163" i="1"/>
  <c r="R163" i="1"/>
  <c r="S163" i="1"/>
  <c r="T163" i="1"/>
  <c r="U163" i="1"/>
  <c r="V163" i="1"/>
  <c r="W163" i="1"/>
  <c r="X163" i="1"/>
  <c r="Y163" i="1"/>
  <c r="Z163" i="1"/>
  <c r="AA163" i="1"/>
  <c r="AI163" i="1"/>
  <c r="AJ163" i="1"/>
  <c r="L164" i="1"/>
  <c r="M164" i="1"/>
  <c r="N164" i="1"/>
  <c r="O164" i="1"/>
  <c r="P164" i="1"/>
  <c r="Q164" i="1"/>
  <c r="R164" i="1"/>
  <c r="S164" i="1"/>
  <c r="T164" i="1"/>
  <c r="U164" i="1"/>
  <c r="V164" i="1"/>
  <c r="W164" i="1"/>
  <c r="X164" i="1"/>
  <c r="Y164" i="1"/>
  <c r="Z164" i="1"/>
  <c r="AA164" i="1"/>
  <c r="AH164" i="1"/>
  <c r="AI164" i="1"/>
  <c r="AJ164" i="1"/>
  <c r="L165" i="1"/>
  <c r="M165" i="1"/>
  <c r="N165" i="1"/>
  <c r="O165" i="1"/>
  <c r="P165" i="1"/>
  <c r="Q165" i="1"/>
  <c r="R165" i="1"/>
  <c r="S165" i="1"/>
  <c r="T165" i="1"/>
  <c r="U165" i="1"/>
  <c r="V165" i="1"/>
  <c r="W165" i="1"/>
  <c r="X165" i="1"/>
  <c r="Y165" i="1"/>
  <c r="Z165" i="1"/>
  <c r="AA165" i="1"/>
  <c r="AH165" i="1"/>
  <c r="AI165" i="1"/>
  <c r="AJ165" i="1"/>
  <c r="B170" i="1"/>
  <c r="B171" i="1"/>
  <c r="B172" i="1"/>
  <c r="BH180" i="1"/>
  <c r="BH187" i="1" s="1"/>
  <c r="BI180" i="1"/>
  <c r="BK180" i="1"/>
  <c r="BL180" i="1"/>
  <c r="BL270" i="1" s="1"/>
  <c r="BM180" i="1"/>
  <c r="BM270" i="1" s="1"/>
  <c r="BN180" i="1"/>
  <c r="BH181" i="1"/>
  <c r="BH188" i="1" s="1"/>
  <c r="BI181" i="1"/>
  <c r="BI463" i="1" s="1"/>
  <c r="BK181" i="1"/>
  <c r="BK188" i="1" s="1"/>
  <c r="BL181" i="1"/>
  <c r="BM181" i="1"/>
  <c r="BM463" i="1" s="1"/>
  <c r="BN181" i="1"/>
  <c r="AD510" i="1"/>
  <c r="AE510" i="1"/>
  <c r="BH182" i="1"/>
  <c r="BI182" i="1"/>
  <c r="BI537" i="1" s="1"/>
  <c r="BK182" i="1"/>
  <c r="BK189" i="1" s="1"/>
  <c r="BL182" i="1"/>
  <c r="BM182" i="1"/>
  <c r="BM537" i="1" s="1"/>
  <c r="BN182" i="1"/>
  <c r="S183" i="1"/>
  <c r="W190" i="1" s="1"/>
  <c r="BH183" i="1"/>
  <c r="BI183" i="1"/>
  <c r="BK183" i="1"/>
  <c r="BK190" i="1" s="1"/>
  <c r="BL183" i="1"/>
  <c r="BM183" i="1"/>
  <c r="BN183" i="1"/>
  <c r="H184" i="1"/>
  <c r="I184" i="1"/>
  <c r="J184" i="1"/>
  <c r="K184" i="1"/>
  <c r="L184" i="1"/>
  <c r="M184" i="1"/>
  <c r="N184" i="1"/>
  <c r="O184" i="1"/>
  <c r="P184" i="1"/>
  <c r="Q184" i="1"/>
  <c r="R184" i="1"/>
  <c r="T184" i="1"/>
  <c r="U184" i="1"/>
  <c r="V184" i="1"/>
  <c r="W184" i="1"/>
  <c r="X184" i="1"/>
  <c r="Y184" i="1"/>
  <c r="G22" i="230" s="1"/>
  <c r="BB184" i="1"/>
  <c r="BC184" i="1"/>
  <c r="BD184" i="1"/>
  <c r="BE184" i="1"/>
  <c r="BG184" i="1"/>
  <c r="BJ184" i="1"/>
  <c r="B187" i="1"/>
  <c r="B194" i="1" s="1"/>
  <c r="L187" i="1"/>
  <c r="M187" i="1"/>
  <c r="N187" i="1"/>
  <c r="O187" i="1"/>
  <c r="P187" i="1"/>
  <c r="Q187" i="1"/>
  <c r="R187" i="1"/>
  <c r="T187" i="1"/>
  <c r="U187" i="1"/>
  <c r="V187" i="1"/>
  <c r="X187" i="1"/>
  <c r="Y187" i="1"/>
  <c r="Z187" i="1"/>
  <c r="AA187" i="1"/>
  <c r="AB187" i="1"/>
  <c r="AC187" i="1"/>
  <c r="AD187" i="1"/>
  <c r="AE187" i="1"/>
  <c r="AF187" i="1"/>
  <c r="AG187" i="1"/>
  <c r="AH187" i="1"/>
  <c r="AI187" i="1"/>
  <c r="AJ187" i="1"/>
  <c r="BC187" i="1"/>
  <c r="BD187" i="1"/>
  <c r="BG187" i="1" s="1"/>
  <c r="BE187" i="1"/>
  <c r="B188" i="1"/>
  <c r="B195" i="1" s="1"/>
  <c r="L188" i="1"/>
  <c r="M188" i="1"/>
  <c r="N188" i="1"/>
  <c r="O188" i="1"/>
  <c r="P188" i="1"/>
  <c r="Q188" i="1"/>
  <c r="R188" i="1"/>
  <c r="T188" i="1"/>
  <c r="U188" i="1"/>
  <c r="V188" i="1"/>
  <c r="X188" i="1"/>
  <c r="Y188" i="1"/>
  <c r="Z188" i="1"/>
  <c r="AA188" i="1"/>
  <c r="AB188" i="1"/>
  <c r="AC188" i="1"/>
  <c r="AD188" i="1"/>
  <c r="AE188" i="1"/>
  <c r="AF188" i="1"/>
  <c r="AG188" i="1"/>
  <c r="AH188" i="1"/>
  <c r="AI188" i="1"/>
  <c r="AJ188" i="1"/>
  <c r="BC188" i="1"/>
  <c r="BD188" i="1"/>
  <c r="BG188" i="1" s="1"/>
  <c r="BE188" i="1"/>
  <c r="B189" i="1"/>
  <c r="B196" i="1" s="1"/>
  <c r="L189" i="1"/>
  <c r="M189" i="1"/>
  <c r="N189" i="1"/>
  <c r="O189" i="1"/>
  <c r="P189" i="1"/>
  <c r="Q189" i="1"/>
  <c r="R189" i="1"/>
  <c r="T189" i="1"/>
  <c r="U189" i="1"/>
  <c r="V189" i="1"/>
  <c r="X189" i="1"/>
  <c r="Y189" i="1"/>
  <c r="Z189" i="1"/>
  <c r="AA189" i="1"/>
  <c r="AB189" i="1"/>
  <c r="AC189" i="1"/>
  <c r="AD189" i="1"/>
  <c r="AE189" i="1"/>
  <c r="AF189" i="1"/>
  <c r="AG189" i="1"/>
  <c r="AH189" i="1"/>
  <c r="AI189" i="1"/>
  <c r="AJ189" i="1"/>
  <c r="BC189" i="1"/>
  <c r="BD189" i="1"/>
  <c r="BG189" i="1" s="1"/>
  <c r="BE189" i="1"/>
  <c r="B190" i="1"/>
  <c r="B197" i="1" s="1"/>
  <c r="L190" i="1"/>
  <c r="M190" i="1"/>
  <c r="N190" i="1"/>
  <c r="O190" i="1"/>
  <c r="P190" i="1"/>
  <c r="Q190" i="1"/>
  <c r="R190" i="1"/>
  <c r="T190" i="1"/>
  <c r="U190" i="1"/>
  <c r="V190" i="1"/>
  <c r="X190" i="1"/>
  <c r="Y190" i="1"/>
  <c r="Z190" i="1"/>
  <c r="AA190" i="1"/>
  <c r="AB190" i="1"/>
  <c r="AC190" i="1"/>
  <c r="AD190" i="1"/>
  <c r="AE190" i="1"/>
  <c r="AF190" i="1"/>
  <c r="AG190" i="1"/>
  <c r="AH190" i="1"/>
  <c r="AI190" i="1"/>
  <c r="BC190" i="1"/>
  <c r="BD190" i="1"/>
  <c r="BG190" i="1" s="1"/>
  <c r="BE190" i="1"/>
  <c r="B191" i="1"/>
  <c r="B198" i="1" s="1"/>
  <c r="B204" i="1"/>
  <c r="H204" i="1"/>
  <c r="I204" i="1"/>
  <c r="J204" i="1"/>
  <c r="K204" i="1"/>
  <c r="L204" i="1"/>
  <c r="M204" i="1"/>
  <c r="N204" i="1"/>
  <c r="O204" i="1"/>
  <c r="P204" i="1"/>
  <c r="Q204" i="1"/>
  <c r="R204" i="1"/>
  <c r="T204" i="1"/>
  <c r="U204" i="1"/>
  <c r="V204" i="1"/>
  <c r="W204" i="1"/>
  <c r="X204" i="1"/>
  <c r="Y204" i="1"/>
  <c r="Z204" i="1"/>
  <c r="AA204" i="1"/>
  <c r="AB204" i="1"/>
  <c r="AC204" i="1"/>
  <c r="AD204" i="1"/>
  <c r="AE204" i="1"/>
  <c r="AF204" i="1"/>
  <c r="AG204" i="1"/>
  <c r="AJ204" i="1"/>
  <c r="AN204" i="1" s="1"/>
  <c r="BB204" i="1"/>
  <c r="BC204" i="1"/>
  <c r="BD204" i="1"/>
  <c r="BE204" i="1"/>
  <c r="BG204" i="1"/>
  <c r="BJ204" i="1"/>
  <c r="B205" i="1"/>
  <c r="H205" i="1"/>
  <c r="I205" i="1"/>
  <c r="J205" i="1"/>
  <c r="K205" i="1"/>
  <c r="L205" i="1"/>
  <c r="M205" i="1"/>
  <c r="N205" i="1"/>
  <c r="O205" i="1"/>
  <c r="P205" i="1"/>
  <c r="Q205" i="1"/>
  <c r="R205" i="1"/>
  <c r="T205" i="1"/>
  <c r="U205" i="1"/>
  <c r="V205" i="1"/>
  <c r="W205" i="1"/>
  <c r="X205" i="1"/>
  <c r="Y205" i="1"/>
  <c r="Z205" i="1"/>
  <c r="AA205" i="1"/>
  <c r="AB205" i="1"/>
  <c r="AC205" i="1"/>
  <c r="AD205" i="1"/>
  <c r="AE205" i="1"/>
  <c r="AF205" i="1"/>
  <c r="AG205" i="1"/>
  <c r="AH205" i="1"/>
  <c r="AI205" i="1"/>
  <c r="AJ205" i="1"/>
  <c r="AN205" i="1" s="1"/>
  <c r="BB205" i="1"/>
  <c r="BC205" i="1"/>
  <c r="BD205" i="1"/>
  <c r="BE205" i="1"/>
  <c r="BG205" i="1"/>
  <c r="BJ205" i="1"/>
  <c r="B206" i="1"/>
  <c r="H206" i="1"/>
  <c r="I206" i="1"/>
  <c r="J206" i="1"/>
  <c r="K206" i="1"/>
  <c r="L206" i="1"/>
  <c r="M206" i="1"/>
  <c r="N206" i="1"/>
  <c r="O206" i="1"/>
  <c r="P206" i="1"/>
  <c r="Q206" i="1"/>
  <c r="R206" i="1"/>
  <c r="T206" i="1"/>
  <c r="U206" i="1"/>
  <c r="V206" i="1"/>
  <c r="W206" i="1"/>
  <c r="X206" i="1"/>
  <c r="Y206" i="1"/>
  <c r="Z206" i="1"/>
  <c r="AA206" i="1"/>
  <c r="AB206" i="1"/>
  <c r="AC206" i="1"/>
  <c r="AD206" i="1"/>
  <c r="AE206" i="1"/>
  <c r="AF206" i="1"/>
  <c r="AG206" i="1"/>
  <c r="AH206" i="1"/>
  <c r="AI206" i="1"/>
  <c r="AJ206" i="1"/>
  <c r="BB206" i="1"/>
  <c r="BC206" i="1"/>
  <c r="BD206" i="1"/>
  <c r="BE206" i="1"/>
  <c r="BG206" i="1"/>
  <c r="BJ206" i="1"/>
  <c r="B207" i="1"/>
  <c r="B208" i="1"/>
  <c r="BI213" i="1"/>
  <c r="BK213" i="1"/>
  <c r="BL213" i="1"/>
  <c r="BM223" i="1" s="1"/>
  <c r="BM213" i="1"/>
  <c r="BN223" i="1" s="1"/>
  <c r="BN213" i="1"/>
  <c r="B218" i="1"/>
  <c r="B223" i="1" s="1"/>
  <c r="P218" i="1"/>
  <c r="Q218" i="1"/>
  <c r="R218" i="1"/>
  <c r="S218" i="1"/>
  <c r="T218" i="1"/>
  <c r="U218" i="1"/>
  <c r="V218" i="1"/>
  <c r="W218" i="1"/>
  <c r="X218" i="1"/>
  <c r="Y218" i="1"/>
  <c r="Z218" i="1"/>
  <c r="AA218" i="1"/>
  <c r="AB218" i="1"/>
  <c r="AC218" i="1"/>
  <c r="AD218" i="1"/>
  <c r="AE218" i="1"/>
  <c r="AF218" i="1"/>
  <c r="AG218" i="1"/>
  <c r="AH218" i="1"/>
  <c r="AI218" i="1"/>
  <c r="AJ218" i="1"/>
  <c r="BC218" i="1"/>
  <c r="BD218" i="1"/>
  <c r="BE218" i="1"/>
  <c r="B219" i="1"/>
  <c r="B224" i="1" s="1"/>
  <c r="B220" i="1"/>
  <c r="B225" i="1" s="1"/>
  <c r="B222" i="1"/>
  <c r="BK223" i="1"/>
  <c r="L228" i="1"/>
  <c r="M228" i="1"/>
  <c r="N228" i="1"/>
  <c r="O228" i="1"/>
  <c r="P228" i="1"/>
  <c r="Q228" i="1"/>
  <c r="R228" i="1"/>
  <c r="S228" i="1"/>
  <c r="T228" i="1"/>
  <c r="U228" i="1"/>
  <c r="V228" i="1"/>
  <c r="W228" i="1"/>
  <c r="X228" i="1"/>
  <c r="Y228" i="1"/>
  <c r="Z228" i="1"/>
  <c r="AA228" i="1"/>
  <c r="AB228" i="1"/>
  <c r="AC228" i="1"/>
  <c r="AD228" i="1"/>
  <c r="AE228" i="1"/>
  <c r="AF228" i="1"/>
  <c r="AG228" i="1"/>
  <c r="AK233" i="1" s="1"/>
  <c r="AH228" i="1"/>
  <c r="AL233" i="1" s="1"/>
  <c r="AI228" i="1"/>
  <c r="AM233" i="1" s="1"/>
  <c r="AJ228" i="1"/>
  <c r="BO228" i="1" s="1"/>
  <c r="BB228" i="1"/>
  <c r="BC228" i="1"/>
  <c r="BD228" i="1"/>
  <c r="BE228" i="1"/>
  <c r="BK730" i="1"/>
  <c r="BK731" i="1"/>
  <c r="BK740" i="1"/>
  <c r="BK741" i="1"/>
  <c r="BF230" i="1"/>
  <c r="B233" i="1"/>
  <c r="B238" i="1" s="1"/>
  <c r="BD233" i="1"/>
  <c r="BE233" i="1"/>
  <c r="BI233" i="1"/>
  <c r="B234" i="1"/>
  <c r="B239" i="1" s="1"/>
  <c r="BD234" i="1"/>
  <c r="BE234" i="1"/>
  <c r="BI234" i="1"/>
  <c r="B235" i="1"/>
  <c r="B240" i="1" s="1"/>
  <c r="BH244" i="1"/>
  <c r="BI244" i="1"/>
  <c r="BJ244" i="1"/>
  <c r="BK244" i="1"/>
  <c r="BL244" i="1"/>
  <c r="BM244" i="1"/>
  <c r="BN244" i="1"/>
  <c r="BH245" i="1"/>
  <c r="BI245" i="1"/>
  <c r="BJ245" i="1"/>
  <c r="BK245" i="1"/>
  <c r="BL245" i="1"/>
  <c r="BM245" i="1"/>
  <c r="BN245" i="1"/>
  <c r="BH247" i="1"/>
  <c r="BI247" i="1"/>
  <c r="BJ247" i="1"/>
  <c r="BK247" i="1"/>
  <c r="BL247" i="1"/>
  <c r="BM247" i="1"/>
  <c r="BN247" i="1"/>
  <c r="H251" i="1"/>
  <c r="I251" i="1"/>
  <c r="I343" i="1" s="1"/>
  <c r="J251" i="1"/>
  <c r="J256" i="1" s="1"/>
  <c r="K251" i="1"/>
  <c r="K343" i="1" s="1"/>
  <c r="L251" i="1"/>
  <c r="L256" i="1" s="1"/>
  <c r="M251" i="1"/>
  <c r="N251" i="1"/>
  <c r="O251" i="1"/>
  <c r="P251" i="1"/>
  <c r="P343" i="1" s="1"/>
  <c r="Q251" i="1"/>
  <c r="Q343" i="1" s="1"/>
  <c r="R251" i="1"/>
  <c r="T251" i="1"/>
  <c r="T343" i="1" s="1"/>
  <c r="U251" i="1"/>
  <c r="U343" i="1" s="1"/>
  <c r="V251" i="1"/>
  <c r="W251" i="1"/>
  <c r="W343" i="1" s="1"/>
  <c r="X251" i="1"/>
  <c r="Y251" i="1"/>
  <c r="Y343" i="1" s="1"/>
  <c r="Z251" i="1"/>
  <c r="AA251" i="1"/>
  <c r="AA343" i="1" s="1"/>
  <c r="BB251" i="1"/>
  <c r="BC251" i="1"/>
  <c r="BD251" i="1"/>
  <c r="BE251" i="1"/>
  <c r="BG251" i="1"/>
  <c r="BJ251" i="1"/>
  <c r="P311" i="1"/>
  <c r="P312" i="1" s="1"/>
  <c r="Q311" i="1"/>
  <c r="R311" i="1"/>
  <c r="R312" i="1" s="1"/>
  <c r="S676" i="1"/>
  <c r="S311" i="1" s="1"/>
  <c r="S312" i="1" s="1"/>
  <c r="T311" i="1"/>
  <c r="U311" i="1"/>
  <c r="V311" i="1"/>
  <c r="W341" i="1"/>
  <c r="X341" i="1"/>
  <c r="X311" i="1" s="1"/>
  <c r="Y341" i="1"/>
  <c r="Z341" i="1"/>
  <c r="Z311" i="1" s="1"/>
  <c r="AA341" i="1"/>
  <c r="AA311" i="1" s="1"/>
  <c r="BH311" i="1"/>
  <c r="I21" i="51" s="1"/>
  <c r="BI311" i="1"/>
  <c r="J21" i="51" s="1"/>
  <c r="N313" i="1"/>
  <c r="O313" i="1"/>
  <c r="P313" i="1"/>
  <c r="Q313" i="1"/>
  <c r="R313" i="1"/>
  <c r="S313" i="1"/>
  <c r="T313" i="1"/>
  <c r="U313" i="1"/>
  <c r="V313" i="1"/>
  <c r="W313" i="1"/>
  <c r="X313" i="1"/>
  <c r="D260" i="1"/>
  <c r="D265" i="1" s="1"/>
  <c r="D268" i="1" s="1"/>
  <c r="E260" i="1"/>
  <c r="E265" i="1" s="1"/>
  <c r="E268" i="1" s="1"/>
  <c r="F260" i="1"/>
  <c r="F265" i="1" s="1"/>
  <c r="F268" i="1" s="1"/>
  <c r="G260" i="1"/>
  <c r="G265" i="1" s="1"/>
  <c r="G268" i="1" s="1"/>
  <c r="BG260" i="1"/>
  <c r="BH260" i="1"/>
  <c r="BI260" i="1"/>
  <c r="AG270" i="1"/>
  <c r="AK271" i="1" s="1"/>
  <c r="AK272" i="1" s="1"/>
  <c r="AK194" i="1" s="1"/>
  <c r="AH270" i="1"/>
  <c r="AL271" i="1" s="1"/>
  <c r="AI270" i="1"/>
  <c r="AM271" i="1" s="1"/>
  <c r="AM272" i="1" s="1"/>
  <c r="AM194" i="1" s="1"/>
  <c r="AJ270" i="1"/>
  <c r="AS265" i="1"/>
  <c r="AS268" i="1" s="1"/>
  <c r="AT265" i="1"/>
  <c r="AT268" i="1" s="1"/>
  <c r="AU265" i="1"/>
  <c r="AU268" i="1" s="1"/>
  <c r="AV265" i="1"/>
  <c r="AV268" i="1" s="1"/>
  <c r="AW265" i="1"/>
  <c r="AW268" i="1" s="1"/>
  <c r="BB270" i="1"/>
  <c r="BC270" i="1"/>
  <c r="BD270" i="1"/>
  <c r="BE270" i="1"/>
  <c r="BG270" i="1" s="1"/>
  <c r="BJ270" i="1"/>
  <c r="I319" i="1"/>
  <c r="I321" i="1" s="1"/>
  <c r="I322" i="1" s="1"/>
  <c r="I329" i="1"/>
  <c r="J319" i="1"/>
  <c r="J321" i="1" s="1"/>
  <c r="J322" i="1" s="1"/>
  <c r="J329" i="1"/>
  <c r="K319" i="1"/>
  <c r="K329" i="1"/>
  <c r="L319" i="1"/>
  <c r="L321" i="1" s="1"/>
  <c r="L322" i="1" s="1"/>
  <c r="L329" i="1"/>
  <c r="M319" i="1"/>
  <c r="M321" i="1" s="1"/>
  <c r="M322" i="1" s="1"/>
  <c r="M329" i="1"/>
  <c r="N319" i="1"/>
  <c r="N321" i="1" s="1"/>
  <c r="N322" i="1" s="1"/>
  <c r="N329" i="1"/>
  <c r="O319" i="1"/>
  <c r="O321" i="1" s="1"/>
  <c r="O322" i="1" s="1"/>
  <c r="O329" i="1"/>
  <c r="BH284" i="1"/>
  <c r="BI284" i="1"/>
  <c r="BJ284" i="1"/>
  <c r="BK284" i="1"/>
  <c r="BL284" i="1"/>
  <c r="BM284" i="1"/>
  <c r="BN284" i="1"/>
  <c r="BH285" i="1"/>
  <c r="BI285" i="1"/>
  <c r="BJ285" i="1"/>
  <c r="BK285" i="1"/>
  <c r="BL285" i="1"/>
  <c r="BM285" i="1"/>
  <c r="BN285" i="1"/>
  <c r="BH286" i="1"/>
  <c r="BI286" i="1"/>
  <c r="BJ286" i="1"/>
  <c r="BK286" i="1"/>
  <c r="BL286" i="1"/>
  <c r="BM286" i="1"/>
  <c r="BN286" i="1"/>
  <c r="BJ287" i="1"/>
  <c r="BK287" i="1"/>
  <c r="BL287" i="1"/>
  <c r="BM287" i="1"/>
  <c r="BN287" i="1"/>
  <c r="BH288" i="1"/>
  <c r="BI288" i="1"/>
  <c r="BJ288" i="1"/>
  <c r="BK288" i="1"/>
  <c r="BL288" i="1"/>
  <c r="BM288" i="1"/>
  <c r="BN288" i="1"/>
  <c r="BI289" i="1"/>
  <c r="BJ289" i="1"/>
  <c r="BK289" i="1"/>
  <c r="BL289" i="1"/>
  <c r="BM289" i="1"/>
  <c r="BN289" i="1"/>
  <c r="BH292" i="1"/>
  <c r="BI292" i="1"/>
  <c r="BJ292" i="1"/>
  <c r="BK292" i="1"/>
  <c r="BL292" i="1"/>
  <c r="BM292" i="1"/>
  <c r="BN292" i="1"/>
  <c r="BH293" i="1"/>
  <c r="BI293" i="1"/>
  <c r="BJ293" i="1"/>
  <c r="BK293" i="1"/>
  <c r="BL293" i="1"/>
  <c r="BM293" i="1"/>
  <c r="BN293" i="1"/>
  <c r="BH294" i="1"/>
  <c r="BI294" i="1"/>
  <c r="BJ294" i="1"/>
  <c r="BK294" i="1"/>
  <c r="BL294" i="1"/>
  <c r="BM294" i="1"/>
  <c r="BN294" i="1"/>
  <c r="BJ295" i="1"/>
  <c r="BK295" i="1"/>
  <c r="BL295" i="1"/>
  <c r="BM295" i="1"/>
  <c r="BN295" i="1"/>
  <c r="BH296" i="1"/>
  <c r="BI296" i="1"/>
  <c r="BJ296" i="1"/>
  <c r="BK296" i="1"/>
  <c r="BL296" i="1"/>
  <c r="BM296" i="1"/>
  <c r="BN296" i="1"/>
  <c r="BI297" i="1"/>
  <c r="BJ297" i="1"/>
  <c r="BK297" i="1"/>
  <c r="BL297" i="1"/>
  <c r="BM297" i="1"/>
  <c r="BN297" i="1"/>
  <c r="BH300" i="1"/>
  <c r="BI300" i="1"/>
  <c r="BJ300" i="1"/>
  <c r="BK300" i="1"/>
  <c r="BL300" i="1"/>
  <c r="BM300" i="1"/>
  <c r="BN300" i="1"/>
  <c r="AJ301" i="1"/>
  <c r="BG301" i="1"/>
  <c r="BH301" i="1"/>
  <c r="BI301" i="1"/>
  <c r="BJ301" i="1"/>
  <c r="BK301" i="1"/>
  <c r="BL301" i="1"/>
  <c r="BM301" i="1"/>
  <c r="BN301" i="1"/>
  <c r="BO302" i="1" s="1"/>
  <c r="H302" i="1"/>
  <c r="I302" i="1"/>
  <c r="J302" i="1"/>
  <c r="K302" i="1"/>
  <c r="L302" i="1"/>
  <c r="M302" i="1"/>
  <c r="N302" i="1"/>
  <c r="O302" i="1"/>
  <c r="P302" i="1"/>
  <c r="Q302" i="1"/>
  <c r="R302" i="1"/>
  <c r="S302" i="1"/>
  <c r="T302" i="1"/>
  <c r="U302" i="1"/>
  <c r="V302" i="1"/>
  <c r="W302" i="1"/>
  <c r="X302" i="1"/>
  <c r="Y302" i="1"/>
  <c r="Z302" i="1"/>
  <c r="AA302" i="1"/>
  <c r="AB302" i="1"/>
  <c r="AC302" i="1"/>
  <c r="AD302" i="1"/>
  <c r="AE302" i="1"/>
  <c r="AF302" i="1"/>
  <c r="AG302" i="1"/>
  <c r="AH302" i="1"/>
  <c r="AI302" i="1"/>
  <c r="BH303" i="1"/>
  <c r="BI303" i="1"/>
  <c r="BJ303" i="1"/>
  <c r="BK303" i="1"/>
  <c r="BL303" i="1"/>
  <c r="BM303" i="1"/>
  <c r="S304" i="1"/>
  <c r="BJ304" i="1" s="1"/>
  <c r="BH304" i="1"/>
  <c r="BI304" i="1"/>
  <c r="BK304" i="1"/>
  <c r="BL304" i="1"/>
  <c r="BM304" i="1"/>
  <c r="R306" i="1"/>
  <c r="N312" i="1"/>
  <c r="O312" i="1"/>
  <c r="W312" i="1"/>
  <c r="X312" i="1"/>
  <c r="BJ315" i="1"/>
  <c r="BK315" i="1"/>
  <c r="BL315" i="1"/>
  <c r="BM315" i="1"/>
  <c r="BN315" i="1"/>
  <c r="BH317" i="1"/>
  <c r="BI317" i="1"/>
  <c r="BH318" i="1"/>
  <c r="BI318" i="1"/>
  <c r="I324" i="1"/>
  <c r="J324" i="1"/>
  <c r="J325" i="1" s="1"/>
  <c r="K324" i="1"/>
  <c r="K325" i="1" s="1"/>
  <c r="L324" i="1"/>
  <c r="L325" i="1" s="1"/>
  <c r="M324" i="1"/>
  <c r="M325" i="1" s="1"/>
  <c r="N324" i="1"/>
  <c r="N325" i="1" s="1"/>
  <c r="O324" i="1"/>
  <c r="O325" i="1" s="1"/>
  <c r="BH327" i="1"/>
  <c r="BI327" i="1"/>
  <c r="BH328" i="1"/>
  <c r="BI328" i="1"/>
  <c r="I334" i="1"/>
  <c r="J334" i="1"/>
  <c r="J335" i="1" s="1"/>
  <c r="K334" i="1"/>
  <c r="K335" i="1" s="1"/>
  <c r="L334" i="1"/>
  <c r="M334" i="1"/>
  <c r="N334" i="1"/>
  <c r="O334" i="1"/>
  <c r="H340" i="1"/>
  <c r="I340" i="1"/>
  <c r="J340" i="1"/>
  <c r="K340" i="1"/>
  <c r="L340" i="1"/>
  <c r="M340" i="1"/>
  <c r="N340" i="1"/>
  <c r="O340" i="1"/>
  <c r="P340" i="1"/>
  <c r="Q340" i="1"/>
  <c r="R340" i="1"/>
  <c r="S340" i="1"/>
  <c r="T340" i="1"/>
  <c r="U340" i="1"/>
  <c r="V340" i="1"/>
  <c r="W340" i="1"/>
  <c r="X340" i="1"/>
  <c r="Y340" i="1"/>
  <c r="Z340" i="1"/>
  <c r="AA340" i="1"/>
  <c r="BO339" i="1"/>
  <c r="H341" i="1"/>
  <c r="I341" i="1"/>
  <c r="J341" i="1"/>
  <c r="K341" i="1"/>
  <c r="L341" i="1"/>
  <c r="M341" i="1"/>
  <c r="N341" i="1"/>
  <c r="O341" i="1"/>
  <c r="P341" i="1"/>
  <c r="Q341" i="1"/>
  <c r="R341" i="1"/>
  <c r="S341" i="1"/>
  <c r="T341" i="1"/>
  <c r="U341" i="1"/>
  <c r="V341" i="1"/>
  <c r="B346" i="1"/>
  <c r="B354" i="1" s="1"/>
  <c r="B347" i="1"/>
  <c r="B355" i="1" s="1"/>
  <c r="B348" i="1"/>
  <c r="B356" i="1" s="1"/>
  <c r="B349" i="1"/>
  <c r="B357" i="1" s="1"/>
  <c r="B350" i="1"/>
  <c r="B358" i="1" s="1"/>
  <c r="B351" i="1"/>
  <c r="B359" i="1" s="1"/>
  <c r="H488" i="1"/>
  <c r="J488" i="1"/>
  <c r="L488" i="1"/>
  <c r="N488" i="1"/>
  <c r="O488" i="1"/>
  <c r="P488" i="1"/>
  <c r="R488" i="1"/>
  <c r="T488" i="1"/>
  <c r="V488" i="1"/>
  <c r="Z488" i="1"/>
  <c r="AB488" i="1"/>
  <c r="AE488" i="1"/>
  <c r="AG463" i="1"/>
  <c r="AK464" i="1" s="1"/>
  <c r="AK465" i="1" s="1"/>
  <c r="AK195" i="1" s="1"/>
  <c r="AH463" i="1"/>
  <c r="AL464" i="1" s="1"/>
  <c r="AI463" i="1"/>
  <c r="AM464" i="1" s="1"/>
  <c r="AJ463" i="1"/>
  <c r="AS458" i="1"/>
  <c r="AS461" i="1" s="1"/>
  <c r="AT458" i="1"/>
  <c r="AT461" i="1" s="1"/>
  <c r="AU458" i="1"/>
  <c r="AU461" i="1" s="1"/>
  <c r="AV458" i="1"/>
  <c r="AV461" i="1" s="1"/>
  <c r="AW458" i="1"/>
  <c r="AW461" i="1" s="1"/>
  <c r="BB463" i="1"/>
  <c r="BC463" i="1"/>
  <c r="BD463" i="1"/>
  <c r="BE463" i="1"/>
  <c r="BG463" i="1" s="1"/>
  <c r="BJ463" i="1"/>
  <c r="D461" i="1"/>
  <c r="E461" i="1"/>
  <c r="F461" i="1"/>
  <c r="G461" i="1"/>
  <c r="B468" i="1"/>
  <c r="BH471" i="1"/>
  <c r="BI471" i="1"/>
  <c r="BJ471" i="1"/>
  <c r="BK471" i="1"/>
  <c r="BL471" i="1"/>
  <c r="BM471" i="1"/>
  <c r="BN471" i="1"/>
  <c r="BH472" i="1"/>
  <c r="BI472" i="1"/>
  <c r="BJ472" i="1"/>
  <c r="BK472" i="1"/>
  <c r="BL472" i="1"/>
  <c r="BM472" i="1"/>
  <c r="BN472" i="1"/>
  <c r="BH473" i="1"/>
  <c r="BI473" i="1"/>
  <c r="BJ473" i="1"/>
  <c r="BK473" i="1"/>
  <c r="BL473" i="1"/>
  <c r="BM473" i="1"/>
  <c r="BN473" i="1"/>
  <c r="BH474" i="1"/>
  <c r="BI474" i="1"/>
  <c r="BJ474" i="1"/>
  <c r="BK474" i="1"/>
  <c r="BL474" i="1"/>
  <c r="BM474" i="1"/>
  <c r="BN474" i="1"/>
  <c r="BH477" i="1"/>
  <c r="BI477" i="1"/>
  <c r="BJ477" i="1"/>
  <c r="BK477" i="1"/>
  <c r="BL477" i="1"/>
  <c r="BM477" i="1"/>
  <c r="BN477" i="1"/>
  <c r="BH478" i="1"/>
  <c r="BI478" i="1"/>
  <c r="BJ478" i="1"/>
  <c r="BK478" i="1"/>
  <c r="BL478" i="1"/>
  <c r="BM478" i="1"/>
  <c r="BN478" i="1"/>
  <c r="BH479" i="1"/>
  <c r="BI479" i="1"/>
  <c r="BJ479" i="1"/>
  <c r="BK479" i="1"/>
  <c r="BL479" i="1"/>
  <c r="BM479" i="1"/>
  <c r="BN479" i="1"/>
  <c r="BH480" i="1"/>
  <c r="BI480" i="1"/>
  <c r="BJ480" i="1"/>
  <c r="BK480" i="1"/>
  <c r="BL480" i="1"/>
  <c r="BM480" i="1"/>
  <c r="BN480" i="1"/>
  <c r="AD483" i="1"/>
  <c r="AL10" i="468" s="1"/>
  <c r="AE483" i="1"/>
  <c r="AM10" i="468" s="1"/>
  <c r="H483" i="1"/>
  <c r="P10" i="468" s="1"/>
  <c r="I483" i="1"/>
  <c r="Q10" i="468" s="1"/>
  <c r="J483" i="1"/>
  <c r="K483" i="1"/>
  <c r="S10" i="468" s="1"/>
  <c r="L483" i="1"/>
  <c r="M483" i="1"/>
  <c r="N483" i="1"/>
  <c r="V10" i="468" s="1"/>
  <c r="O483" i="1"/>
  <c r="W10" i="468" s="1"/>
  <c r="P483" i="1"/>
  <c r="X10" i="468" s="1"/>
  <c r="Q483" i="1"/>
  <c r="Y10" i="468" s="1"/>
  <c r="R483" i="1"/>
  <c r="Z10" i="468" s="1"/>
  <c r="S483" i="1"/>
  <c r="AA10" i="468" s="1"/>
  <c r="T483" i="1"/>
  <c r="U483" i="1"/>
  <c r="V483" i="1"/>
  <c r="AD10" i="468" s="1"/>
  <c r="W483" i="1"/>
  <c r="AE10" i="468" s="1"/>
  <c r="X483" i="1"/>
  <c r="Y483" i="1"/>
  <c r="AG10" i="468" s="1"/>
  <c r="Z483" i="1"/>
  <c r="AA483" i="1"/>
  <c r="AI10" i="468" s="1"/>
  <c r="AB483" i="1"/>
  <c r="AJ10" i="468" s="1"/>
  <c r="AC483" i="1"/>
  <c r="AJ483" i="1"/>
  <c r="H485" i="1"/>
  <c r="I485" i="1"/>
  <c r="J485" i="1"/>
  <c r="K485" i="1"/>
  <c r="L485" i="1"/>
  <c r="M485" i="1"/>
  <c r="N485" i="1"/>
  <c r="O485" i="1"/>
  <c r="P485" i="1"/>
  <c r="Q485" i="1"/>
  <c r="R485" i="1"/>
  <c r="S485" i="1"/>
  <c r="T485" i="1"/>
  <c r="U485" i="1"/>
  <c r="V485" i="1"/>
  <c r="W485" i="1"/>
  <c r="X485" i="1"/>
  <c r="Y485" i="1"/>
  <c r="Z485" i="1"/>
  <c r="AA485" i="1"/>
  <c r="AB485" i="1"/>
  <c r="AC485" i="1"/>
  <c r="AD485" i="1"/>
  <c r="AE485" i="1"/>
  <c r="AF485" i="1"/>
  <c r="AF484" i="1" s="1"/>
  <c r="AG485" i="1"/>
  <c r="AG484" i="1" s="1"/>
  <c r="AK484" i="1" s="1"/>
  <c r="AH492" i="1"/>
  <c r="AL500" i="1" s="1"/>
  <c r="AI492" i="1"/>
  <c r="AM500" i="1" s="1"/>
  <c r="AJ492" i="1"/>
  <c r="H486" i="1"/>
  <c r="I486" i="1"/>
  <c r="J486" i="1"/>
  <c r="K486" i="1"/>
  <c r="L486" i="1"/>
  <c r="M486" i="1"/>
  <c r="N486" i="1"/>
  <c r="O486" i="1"/>
  <c r="P486" i="1"/>
  <c r="Q486" i="1"/>
  <c r="R486" i="1"/>
  <c r="S486" i="1"/>
  <c r="T486" i="1"/>
  <c r="U486" i="1"/>
  <c r="V486" i="1"/>
  <c r="W486" i="1"/>
  <c r="X486" i="1"/>
  <c r="Y486" i="1"/>
  <c r="Z486" i="1"/>
  <c r="AA486" i="1"/>
  <c r="AB486" i="1"/>
  <c r="AC486" i="1"/>
  <c r="AD486" i="1"/>
  <c r="AE486" i="1"/>
  <c r="AF486" i="1"/>
  <c r="AG486" i="1"/>
  <c r="AK486" i="1" s="1"/>
  <c r="AO486" i="1" s="1"/>
  <c r="AH494" i="1"/>
  <c r="AL502" i="1" s="1"/>
  <c r="AI494" i="1"/>
  <c r="AM502" i="1" s="1"/>
  <c r="AJ494" i="1"/>
  <c r="AN502" i="1" s="1"/>
  <c r="B491" i="1"/>
  <c r="B499" i="1" s="1"/>
  <c r="AT491" i="1"/>
  <c r="AT499" i="1" s="1"/>
  <c r="AU491" i="1"/>
  <c r="AV491" i="1"/>
  <c r="AW491" i="1"/>
  <c r="B492" i="1"/>
  <c r="B500" i="1" s="1"/>
  <c r="AT492" i="1"/>
  <c r="AU492" i="1"/>
  <c r="AV492" i="1"/>
  <c r="AW492" i="1"/>
  <c r="B493" i="1"/>
  <c r="B501" i="1" s="1"/>
  <c r="AT493" i="1"/>
  <c r="AT501" i="1" s="1"/>
  <c r="AU493" i="1"/>
  <c r="AV493" i="1"/>
  <c r="AW493" i="1"/>
  <c r="B494" i="1"/>
  <c r="B502" i="1" s="1"/>
  <c r="AT494" i="1"/>
  <c r="AT502" i="1" s="1"/>
  <c r="AU494" i="1"/>
  <c r="AV494" i="1"/>
  <c r="AW494" i="1"/>
  <c r="B495" i="1"/>
  <c r="B503" i="1" s="1"/>
  <c r="AT495" i="1"/>
  <c r="AT503" i="1" s="1"/>
  <c r="AU495" i="1"/>
  <c r="AV495" i="1"/>
  <c r="AW495" i="1"/>
  <c r="B496" i="1"/>
  <c r="B504" i="1" s="1"/>
  <c r="AT496" i="1"/>
  <c r="AT504" i="1" s="1"/>
  <c r="AU496" i="1"/>
  <c r="AV496" i="1"/>
  <c r="AW496" i="1"/>
  <c r="B498" i="1"/>
  <c r="B585" i="1" s="1"/>
  <c r="T510" i="1"/>
  <c r="T508" i="1" s="1"/>
  <c r="U510" i="1"/>
  <c r="U508" i="1" s="1"/>
  <c r="V510" i="1"/>
  <c r="V508" i="1" s="1"/>
  <c r="W510" i="1"/>
  <c r="W508" i="1" s="1"/>
  <c r="X510" i="1"/>
  <c r="AB513" i="1" s="1"/>
  <c r="AB177" i="1" s="1"/>
  <c r="Y510" i="1"/>
  <c r="Z510" i="1"/>
  <c r="AD513" i="1" s="1"/>
  <c r="AD177" i="1" s="1"/>
  <c r="AA510" i="1"/>
  <c r="AE513" i="1" s="1"/>
  <c r="AE177" i="1" s="1"/>
  <c r="AB510" i="1"/>
  <c r="AC510" i="1"/>
  <c r="AG513" i="1" s="1"/>
  <c r="AG177" i="1" s="1"/>
  <c r="AF510" i="1"/>
  <c r="AJ510" i="1"/>
  <c r="AS508" i="1"/>
  <c r="AT508" i="1"/>
  <c r="AU508" i="1"/>
  <c r="AV508" i="1"/>
  <c r="AW508" i="1"/>
  <c r="BB510" i="1"/>
  <c r="BB508" i="1" s="1"/>
  <c r="BC510" i="1"/>
  <c r="BD510" i="1"/>
  <c r="BD508" i="1" s="1"/>
  <c r="BE510" i="1"/>
  <c r="BG510" i="1"/>
  <c r="BG508" i="1" s="1"/>
  <c r="BJ510" i="1"/>
  <c r="H510" i="1"/>
  <c r="I510" i="1"/>
  <c r="J510" i="1"/>
  <c r="K510" i="1"/>
  <c r="L510" i="1"/>
  <c r="M510" i="1"/>
  <c r="M572" i="1" s="1"/>
  <c r="M570" i="1" s="1"/>
  <c r="N510" i="1"/>
  <c r="N572" i="1" s="1"/>
  <c r="N570" i="1" s="1"/>
  <c r="O510" i="1"/>
  <c r="P510" i="1"/>
  <c r="Q510" i="1"/>
  <c r="R510" i="1"/>
  <c r="AS515" i="1"/>
  <c r="AT515" i="1"/>
  <c r="AU515" i="1"/>
  <c r="AV515" i="1"/>
  <c r="AW515" i="1"/>
  <c r="BO516" i="1"/>
  <c r="AG537" i="1"/>
  <c r="AH537" i="1"/>
  <c r="AL538" i="1" s="1"/>
  <c r="AL539" i="1" s="1"/>
  <c r="AI537" i="1"/>
  <c r="AM538" i="1" s="1"/>
  <c r="AJ537" i="1"/>
  <c r="AS524" i="1"/>
  <c r="AT524" i="1"/>
  <c r="AU524" i="1"/>
  <c r="AV524" i="1"/>
  <c r="AW524" i="1"/>
  <c r="BG537" i="1"/>
  <c r="BJ537" i="1"/>
  <c r="BO525" i="1"/>
  <c r="B527" i="1"/>
  <c r="BB537" i="1"/>
  <c r="BB533" i="1" s="1"/>
  <c r="BC537" i="1"/>
  <c r="BC533" i="1" s="1"/>
  <c r="BD537" i="1"/>
  <c r="BE537" i="1"/>
  <c r="BH547" i="1"/>
  <c r="BI547" i="1"/>
  <c r="BJ547" i="1"/>
  <c r="BK547" i="1"/>
  <c r="BL547" i="1"/>
  <c r="BH548" i="1"/>
  <c r="BI548" i="1"/>
  <c r="BJ548" i="1"/>
  <c r="BK548" i="1"/>
  <c r="BL548" i="1"/>
  <c r="BL549" i="1"/>
  <c r="BM549" i="1"/>
  <c r="BN549" i="1"/>
  <c r="BH550" i="1"/>
  <c r="BI550" i="1"/>
  <c r="BJ550" i="1"/>
  <c r="BK550" i="1"/>
  <c r="BL550" i="1"/>
  <c r="BM550" i="1"/>
  <c r="BN550" i="1"/>
  <c r="BH551" i="1"/>
  <c r="BI551" i="1"/>
  <c r="BJ551" i="1"/>
  <c r="BK551" i="1"/>
  <c r="BM551" i="1"/>
  <c r="BN551" i="1"/>
  <c r="BH554" i="1"/>
  <c r="BI554" i="1"/>
  <c r="BJ554" i="1"/>
  <c r="BK554" i="1"/>
  <c r="BL554" i="1"/>
  <c r="BM554" i="1"/>
  <c r="BN554" i="1"/>
  <c r="BH555" i="1"/>
  <c r="BI555" i="1"/>
  <c r="BJ555" i="1"/>
  <c r="BK555" i="1"/>
  <c r="BM555" i="1"/>
  <c r="BN555" i="1"/>
  <c r="AA558" i="1"/>
  <c r="BL558" i="1" s="1"/>
  <c r="AB558" i="1"/>
  <c r="AF558" i="1" s="1"/>
  <c r="AC558" i="1"/>
  <c r="AG558" i="1" s="1"/>
  <c r="AD558" i="1"/>
  <c r="AH558" i="1" s="1"/>
  <c r="BH558" i="1"/>
  <c r="BI558" i="1"/>
  <c r="BJ558" i="1"/>
  <c r="BK558" i="1"/>
  <c r="H559" i="1"/>
  <c r="I559" i="1"/>
  <c r="J559" i="1"/>
  <c r="K559" i="1"/>
  <c r="L559" i="1"/>
  <c r="M559" i="1"/>
  <c r="N559" i="1"/>
  <c r="O559" i="1"/>
  <c r="P559" i="1"/>
  <c r="Q559" i="1"/>
  <c r="R559" i="1"/>
  <c r="S559" i="1"/>
  <c r="T559" i="1"/>
  <c r="U559" i="1"/>
  <c r="V559" i="1"/>
  <c r="W559" i="1"/>
  <c r="X559" i="1"/>
  <c r="Y559" i="1"/>
  <c r="Z559" i="1"/>
  <c r="P561" i="1"/>
  <c r="Q561" i="1"/>
  <c r="U561" i="1" s="1"/>
  <c r="Y561" i="1" s="1"/>
  <c r="AC561" i="1" s="1"/>
  <c r="AG561" i="1" s="1"/>
  <c r="AK561" i="1" s="1"/>
  <c r="R561" i="1"/>
  <c r="V561" i="1" s="1"/>
  <c r="Z561" i="1" s="1"/>
  <c r="AD561" i="1" s="1"/>
  <c r="AH561" i="1" s="1"/>
  <c r="AL561" i="1" s="1"/>
  <c r="S561" i="1"/>
  <c r="W561" i="1" s="1"/>
  <c r="AA561" i="1" s="1"/>
  <c r="AE561" i="1" s="1"/>
  <c r="AI561" i="1" s="1"/>
  <c r="AM561" i="1" s="1"/>
  <c r="BH561" i="1"/>
  <c r="BI561" i="1"/>
  <c r="L562" i="1"/>
  <c r="M562" i="1"/>
  <c r="N562" i="1"/>
  <c r="O562" i="1"/>
  <c r="AJ575" i="1"/>
  <c r="BH565" i="1"/>
  <c r="BI565" i="1"/>
  <c r="BJ565" i="1"/>
  <c r="BK565" i="1"/>
  <c r="BL565" i="1"/>
  <c r="BM565" i="1"/>
  <c r="H566" i="1"/>
  <c r="I566" i="1"/>
  <c r="J566" i="1"/>
  <c r="K566" i="1"/>
  <c r="L566" i="1"/>
  <c r="M566" i="1"/>
  <c r="N566" i="1"/>
  <c r="O566" i="1"/>
  <c r="P566" i="1"/>
  <c r="Q566" i="1"/>
  <c r="R566" i="1"/>
  <c r="S566" i="1"/>
  <c r="T566" i="1"/>
  <c r="U566" i="1"/>
  <c r="V566" i="1"/>
  <c r="W566" i="1"/>
  <c r="X566" i="1"/>
  <c r="Y566" i="1"/>
  <c r="Z566" i="1"/>
  <c r="AA566" i="1"/>
  <c r="AB566" i="1"/>
  <c r="AF566" i="1"/>
  <c r="AJ576" i="1"/>
  <c r="AN587" i="1" s="1"/>
  <c r="BH567" i="1"/>
  <c r="BI567" i="1"/>
  <c r="BJ567" i="1"/>
  <c r="BK567" i="1"/>
  <c r="BL567" i="1"/>
  <c r="BM567" i="1"/>
  <c r="AJ578" i="1"/>
  <c r="BH568" i="1"/>
  <c r="BI568" i="1"/>
  <c r="BJ568" i="1"/>
  <c r="BK568" i="1"/>
  <c r="BL568" i="1"/>
  <c r="BM568" i="1"/>
  <c r="AJ579" i="1"/>
  <c r="BH569" i="1"/>
  <c r="BI569" i="1"/>
  <c r="BJ569" i="1"/>
  <c r="BK569" i="1"/>
  <c r="BL569" i="1"/>
  <c r="BM569" i="1"/>
  <c r="B575" i="1"/>
  <c r="B586" i="1" s="1"/>
  <c r="L575" i="1"/>
  <c r="M575" i="1"/>
  <c r="N575" i="1"/>
  <c r="O575" i="1"/>
  <c r="P575" i="1"/>
  <c r="Q575" i="1"/>
  <c r="R575" i="1"/>
  <c r="S575" i="1"/>
  <c r="T575" i="1"/>
  <c r="U575" i="1"/>
  <c r="V575" i="1"/>
  <c r="W575" i="1"/>
  <c r="X575" i="1"/>
  <c r="Y575" i="1"/>
  <c r="Z575" i="1"/>
  <c r="AA575" i="1"/>
  <c r="AB575" i="1"/>
  <c r="AC575" i="1"/>
  <c r="AD575" i="1"/>
  <c r="AE575" i="1"/>
  <c r="AF575" i="1"/>
  <c r="AG575" i="1"/>
  <c r="B576" i="1"/>
  <c r="B587" i="1" s="1"/>
  <c r="B577" i="1"/>
  <c r="B588" i="1" s="1"/>
  <c r="L577" i="1"/>
  <c r="M577" i="1"/>
  <c r="N577" i="1"/>
  <c r="O577" i="1"/>
  <c r="P577" i="1"/>
  <c r="Q577" i="1"/>
  <c r="R577" i="1"/>
  <c r="S577" i="1"/>
  <c r="T577" i="1"/>
  <c r="U577" i="1"/>
  <c r="V577" i="1"/>
  <c r="W577" i="1"/>
  <c r="X577" i="1"/>
  <c r="Y577" i="1"/>
  <c r="Z577" i="1"/>
  <c r="AA577" i="1"/>
  <c r="AB577" i="1"/>
  <c r="AC577" i="1"/>
  <c r="AD577" i="1"/>
  <c r="AE577" i="1"/>
  <c r="AF577" i="1"/>
  <c r="AG577" i="1"/>
  <c r="B578" i="1"/>
  <c r="B589" i="1" s="1"/>
  <c r="L578" i="1"/>
  <c r="M578" i="1"/>
  <c r="N578" i="1"/>
  <c r="O578" i="1"/>
  <c r="P578" i="1"/>
  <c r="Q578" i="1"/>
  <c r="R578" i="1"/>
  <c r="S578" i="1"/>
  <c r="T578" i="1"/>
  <c r="U578" i="1"/>
  <c r="V578" i="1"/>
  <c r="W578" i="1"/>
  <c r="X578" i="1"/>
  <c r="Y578" i="1"/>
  <c r="Z578" i="1"/>
  <c r="AA578" i="1"/>
  <c r="AB578" i="1"/>
  <c r="AC578" i="1"/>
  <c r="AD578" i="1"/>
  <c r="AE578" i="1"/>
  <c r="AF578" i="1"/>
  <c r="AG578" i="1"/>
  <c r="B579" i="1"/>
  <c r="B590" i="1" s="1"/>
  <c r="L579" i="1"/>
  <c r="M579" i="1"/>
  <c r="N579" i="1"/>
  <c r="O579" i="1"/>
  <c r="P579" i="1"/>
  <c r="Q579" i="1"/>
  <c r="R579" i="1"/>
  <c r="S579" i="1"/>
  <c r="T579" i="1"/>
  <c r="U579" i="1"/>
  <c r="V579" i="1"/>
  <c r="W579" i="1"/>
  <c r="X579" i="1"/>
  <c r="Y579" i="1"/>
  <c r="Z579" i="1"/>
  <c r="AA579" i="1"/>
  <c r="AB579" i="1"/>
  <c r="AC579" i="1"/>
  <c r="AD579" i="1"/>
  <c r="AE579" i="1"/>
  <c r="AF579" i="1"/>
  <c r="AG579" i="1"/>
  <c r="B580" i="1"/>
  <c r="B591" i="1" s="1"/>
  <c r="B581" i="1"/>
  <c r="B592" i="1" s="1"/>
  <c r="B582" i="1"/>
  <c r="B593" i="1" s="1"/>
  <c r="D583" i="1"/>
  <c r="E583" i="1"/>
  <c r="F583" i="1"/>
  <c r="G583" i="1"/>
  <c r="H583" i="1"/>
  <c r="I583" i="1"/>
  <c r="J583" i="1"/>
  <c r="K583" i="1"/>
  <c r="T592" i="1"/>
  <c r="U592" i="1"/>
  <c r="V592" i="1"/>
  <c r="W592" i="1"/>
  <c r="X592" i="1"/>
  <c r="Y592" i="1"/>
  <c r="Z592" i="1"/>
  <c r="AA592" i="1"/>
  <c r="AB592" i="1"/>
  <c r="AC592" i="1"/>
  <c r="AD592" i="1"/>
  <c r="AE592" i="1"/>
  <c r="AF592" i="1"/>
  <c r="AG592" i="1"/>
  <c r="AH592" i="1"/>
  <c r="AI592" i="1"/>
  <c r="AJ592" i="1"/>
  <c r="B629" i="1"/>
  <c r="B630" i="1"/>
  <c r="B631" i="1"/>
  <c r="B632" i="1"/>
  <c r="AI641" i="1"/>
  <c r="BM641" i="1"/>
  <c r="BH641" i="1"/>
  <c r="BG641" i="1"/>
  <c r="BI641" i="1"/>
  <c r="BJ641" i="1"/>
  <c r="S641" i="1" s="1"/>
  <c r="BK641" i="1"/>
  <c r="W641" i="1" s="1"/>
  <c r="BL641" i="1"/>
  <c r="AA641" i="1" s="1"/>
  <c r="AD635" i="1"/>
  <c r="AE635" i="1"/>
  <c r="BM635" i="1" s="1"/>
  <c r="AF635" i="1"/>
  <c r="AG635" i="1"/>
  <c r="O639" i="1"/>
  <c r="S639" i="1"/>
  <c r="W639" i="1"/>
  <c r="AA639" i="1"/>
  <c r="AE639" i="1"/>
  <c r="AI639" i="1"/>
  <c r="O640" i="1"/>
  <c r="S640" i="1"/>
  <c r="W640" i="1"/>
  <c r="AA640" i="1"/>
  <c r="AE640" i="1"/>
  <c r="AI640" i="1"/>
  <c r="B644" i="1"/>
  <c r="BI644" i="1"/>
  <c r="O644" i="1" s="1"/>
  <c r="BH644" i="1"/>
  <c r="BJ644" i="1"/>
  <c r="BK644" i="1"/>
  <c r="BL644" i="1"/>
  <c r="BM644" i="1"/>
  <c r="BN644" i="1"/>
  <c r="B645" i="1"/>
  <c r="BI645" i="1"/>
  <c r="O645" i="1" s="1"/>
  <c r="BH645" i="1"/>
  <c r="BJ645" i="1"/>
  <c r="BK645" i="1"/>
  <c r="BL645" i="1"/>
  <c r="BM645" i="1"/>
  <c r="BN645" i="1"/>
  <c r="B646" i="1"/>
  <c r="O649" i="1"/>
  <c r="S649" i="1"/>
  <c r="W649" i="1"/>
  <c r="AA649" i="1"/>
  <c r="AE649" i="1"/>
  <c r="AI649" i="1"/>
  <c r="AM656" i="1" s="1"/>
  <c r="O650" i="1"/>
  <c r="S650" i="1"/>
  <c r="W650" i="1"/>
  <c r="AA650" i="1"/>
  <c r="AE650" i="1"/>
  <c r="AI650" i="1"/>
  <c r="AM657" i="1" s="1"/>
  <c r="O651" i="1"/>
  <c r="S651" i="1"/>
  <c r="W651" i="1"/>
  <c r="AA651" i="1"/>
  <c r="AE651" i="1"/>
  <c r="AI651" i="1"/>
  <c r="AM658" i="1" s="1"/>
  <c r="O652" i="1"/>
  <c r="S652" i="1"/>
  <c r="W652" i="1"/>
  <c r="AA652" i="1"/>
  <c r="AE652" i="1"/>
  <c r="AI652" i="1"/>
  <c r="AM659" i="1" s="1"/>
  <c r="BI653" i="1"/>
  <c r="BJ653" i="1"/>
  <c r="S653" i="1" s="1"/>
  <c r="BK653" i="1"/>
  <c r="BL653" i="1"/>
  <c r="AA653" i="1" s="1"/>
  <c r="BM653" i="1"/>
  <c r="AE653" i="1" s="1"/>
  <c r="BN653" i="1"/>
  <c r="BG653" i="1"/>
  <c r="BH653" i="1"/>
  <c r="B656" i="1"/>
  <c r="BI656" i="1"/>
  <c r="O656" i="1" s="1"/>
  <c r="BH656" i="1"/>
  <c r="BJ656" i="1"/>
  <c r="BK656" i="1"/>
  <c r="BL656" i="1"/>
  <c r="BM656" i="1"/>
  <c r="BN656" i="1"/>
  <c r="B657" i="1"/>
  <c r="BI657" i="1"/>
  <c r="O657" i="1" s="1"/>
  <c r="BH657" i="1"/>
  <c r="BJ657" i="1"/>
  <c r="BK657" i="1"/>
  <c r="BL657" i="1"/>
  <c r="BM657" i="1"/>
  <c r="BN657" i="1"/>
  <c r="B658" i="1"/>
  <c r="BI658" i="1"/>
  <c r="O658" i="1" s="1"/>
  <c r="BH658" i="1"/>
  <c r="BJ658" i="1"/>
  <c r="BK658" i="1"/>
  <c r="BL658" i="1"/>
  <c r="BM658" i="1"/>
  <c r="BN658" i="1"/>
  <c r="B659" i="1"/>
  <c r="BI659" i="1"/>
  <c r="O659" i="1" s="1"/>
  <c r="BH659" i="1"/>
  <c r="BJ659" i="1"/>
  <c r="BK659" i="1"/>
  <c r="BL659" i="1"/>
  <c r="BM659" i="1"/>
  <c r="BN659" i="1"/>
  <c r="B660" i="1"/>
  <c r="K669" i="1"/>
  <c r="O669" i="1"/>
  <c r="S669" i="1"/>
  <c r="W669" i="1"/>
  <c r="AA669" i="1"/>
  <c r="AB669" i="1"/>
  <c r="AE669" i="1" s="1"/>
  <c r="AI669" i="1"/>
  <c r="AM681" i="1" s="1"/>
  <c r="K670" i="1"/>
  <c r="O670" i="1"/>
  <c r="S670" i="1"/>
  <c r="W670" i="1"/>
  <c r="AA670" i="1"/>
  <c r="AB670" i="1"/>
  <c r="AE670" i="1" s="1"/>
  <c r="AI670" i="1"/>
  <c r="AM682" i="1" s="1"/>
  <c r="K671" i="1"/>
  <c r="O671" i="1"/>
  <c r="S671" i="1"/>
  <c r="W671" i="1"/>
  <c r="AA671" i="1"/>
  <c r="AB671" i="1"/>
  <c r="AE671" i="1" s="1"/>
  <c r="AI671" i="1"/>
  <c r="AM683" i="1" s="1"/>
  <c r="K672" i="1"/>
  <c r="O672" i="1"/>
  <c r="S672" i="1"/>
  <c r="W672" i="1"/>
  <c r="AA672" i="1"/>
  <c r="AB672" i="1"/>
  <c r="AE672" i="1" s="1"/>
  <c r="AI672" i="1"/>
  <c r="AM684" i="1" s="1"/>
  <c r="K673" i="1"/>
  <c r="O673" i="1"/>
  <c r="S673" i="1"/>
  <c r="W673" i="1"/>
  <c r="AA673" i="1"/>
  <c r="AB673" i="1"/>
  <c r="AE673" i="1" s="1"/>
  <c r="AI673" i="1"/>
  <c r="AM685" i="1" s="1"/>
  <c r="K674" i="1"/>
  <c r="O674" i="1"/>
  <c r="S674" i="1"/>
  <c r="W674" i="1"/>
  <c r="AA674" i="1"/>
  <c r="AB674" i="1"/>
  <c r="AE674" i="1" s="1"/>
  <c r="AI674" i="1"/>
  <c r="AM686" i="1" s="1"/>
  <c r="K675" i="1"/>
  <c r="O675" i="1"/>
  <c r="S675" i="1"/>
  <c r="W675" i="1"/>
  <c r="AA675" i="1"/>
  <c r="AB675" i="1"/>
  <c r="AE675" i="1" s="1"/>
  <c r="AI675" i="1"/>
  <c r="AM687" i="1" s="1"/>
  <c r="AZ675" i="1"/>
  <c r="AZ687" i="1" s="1"/>
  <c r="BA675" i="1"/>
  <c r="BB675" i="1"/>
  <c r="BB678" i="1" s="1"/>
  <c r="K676" i="1"/>
  <c r="O676" i="1"/>
  <c r="W676" i="1"/>
  <c r="AA676" i="1"/>
  <c r="AB676" i="1"/>
  <c r="AI676" i="1"/>
  <c r="AM688" i="1" s="1"/>
  <c r="K677" i="1"/>
  <c r="O677" i="1"/>
  <c r="S677" i="1"/>
  <c r="W677" i="1"/>
  <c r="AA677" i="1"/>
  <c r="AB677" i="1"/>
  <c r="AE677" i="1" s="1"/>
  <c r="H678" i="1"/>
  <c r="H699" i="1" s="1"/>
  <c r="I678" i="1"/>
  <c r="I694" i="1" s="1"/>
  <c r="J678" i="1"/>
  <c r="J693" i="1" s="1"/>
  <c r="L678" i="1"/>
  <c r="M678" i="1"/>
  <c r="N678" i="1"/>
  <c r="N694" i="1" s="1"/>
  <c r="P678" i="1"/>
  <c r="P695" i="1" s="1"/>
  <c r="Q678" i="1"/>
  <c r="Q698" i="1" s="1"/>
  <c r="R678" i="1"/>
  <c r="R698" i="1" s="1"/>
  <c r="T678" i="1"/>
  <c r="T694" i="1" s="1"/>
  <c r="U678" i="1"/>
  <c r="U696" i="1" s="1"/>
  <c r="V678" i="1"/>
  <c r="V699" i="1" s="1"/>
  <c r="X678" i="1"/>
  <c r="X696" i="1" s="1"/>
  <c r="Y678" i="1"/>
  <c r="Y699" i="1" s="1"/>
  <c r="Z678" i="1"/>
  <c r="Z699" i="1" s="1"/>
  <c r="AC678" i="1"/>
  <c r="AC693" i="1" s="1"/>
  <c r="AD678" i="1"/>
  <c r="AD693" i="1" s="1"/>
  <c r="AF678" i="1"/>
  <c r="AF694" i="1" s="1"/>
  <c r="AG678" i="1"/>
  <c r="AG693" i="1" s="1"/>
  <c r="AH678" i="1"/>
  <c r="AH696" i="1" s="1"/>
  <c r="AV678" i="1"/>
  <c r="AV695" i="1" s="1"/>
  <c r="AW678" i="1"/>
  <c r="AW696" i="1" s="1"/>
  <c r="AX678" i="1"/>
  <c r="AY678" i="1"/>
  <c r="BC678" i="1"/>
  <c r="BC695" i="1" s="1"/>
  <c r="BD678" i="1"/>
  <c r="BD701" i="1" s="1"/>
  <c r="BE678" i="1"/>
  <c r="BE696" i="1" s="1"/>
  <c r="BG678" i="1"/>
  <c r="BG702" i="1" s="1"/>
  <c r="BH678" i="1"/>
  <c r="BH695" i="1" s="1"/>
  <c r="BI678" i="1"/>
  <c r="BI696" i="1" s="1"/>
  <c r="BJ678" i="1"/>
  <c r="BJ694" i="1" s="1"/>
  <c r="BK678" i="1"/>
  <c r="BK697" i="1" s="1"/>
  <c r="BL678" i="1"/>
  <c r="BL702" i="1" s="1"/>
  <c r="BM678" i="1"/>
  <c r="B681" i="1"/>
  <c r="L681" i="1"/>
  <c r="M681" i="1"/>
  <c r="N681" i="1"/>
  <c r="P681" i="1"/>
  <c r="Q681" i="1"/>
  <c r="R681" i="1"/>
  <c r="T681" i="1"/>
  <c r="U681" i="1"/>
  <c r="V681" i="1"/>
  <c r="X681" i="1"/>
  <c r="Y681" i="1"/>
  <c r="Z681" i="1"/>
  <c r="AC681" i="1"/>
  <c r="AD681" i="1"/>
  <c r="AG681" i="1"/>
  <c r="AH681" i="1"/>
  <c r="AJ681" i="1"/>
  <c r="AW681" i="1"/>
  <c r="AX681" i="1"/>
  <c r="AY681" i="1"/>
  <c r="AZ681" i="1"/>
  <c r="BA681" i="1"/>
  <c r="BB681" i="1"/>
  <c r="BC681" i="1"/>
  <c r="BD681" i="1"/>
  <c r="BG681" i="1" s="1"/>
  <c r="BE681" i="1"/>
  <c r="BH681" i="1"/>
  <c r="BI681" i="1"/>
  <c r="BJ681" i="1"/>
  <c r="BK681" i="1"/>
  <c r="BL681" i="1"/>
  <c r="BM681" i="1"/>
  <c r="BN681" i="1"/>
  <c r="B682" i="1"/>
  <c r="L682" i="1"/>
  <c r="M682" i="1"/>
  <c r="N682" i="1"/>
  <c r="P682" i="1"/>
  <c r="Q682" i="1"/>
  <c r="R682" i="1"/>
  <c r="T682" i="1"/>
  <c r="U682" i="1"/>
  <c r="V682" i="1"/>
  <c r="X682" i="1"/>
  <c r="Y682" i="1"/>
  <c r="Z682" i="1"/>
  <c r="AC682" i="1"/>
  <c r="AD682" i="1"/>
  <c r="AG682" i="1"/>
  <c r="AH682" i="1"/>
  <c r="AJ682" i="1"/>
  <c r="AW682" i="1"/>
  <c r="AX682" i="1"/>
  <c r="AY682" i="1"/>
  <c r="AZ682" i="1"/>
  <c r="BA682" i="1"/>
  <c r="BB682" i="1"/>
  <c r="BC682" i="1"/>
  <c r="BD682" i="1"/>
  <c r="BG682" i="1" s="1"/>
  <c r="BE682" i="1"/>
  <c r="BH682" i="1"/>
  <c r="BI682" i="1"/>
  <c r="BJ682" i="1"/>
  <c r="BK682" i="1"/>
  <c r="BL682" i="1"/>
  <c r="BM682" i="1"/>
  <c r="BN682" i="1"/>
  <c r="B683" i="1"/>
  <c r="L683" i="1"/>
  <c r="M683" i="1"/>
  <c r="N683" i="1"/>
  <c r="P683" i="1"/>
  <c r="Q683" i="1"/>
  <c r="R683" i="1"/>
  <c r="T683" i="1"/>
  <c r="U683" i="1"/>
  <c r="V683" i="1"/>
  <c r="X683" i="1"/>
  <c r="Y683" i="1"/>
  <c r="Z683" i="1"/>
  <c r="AC683" i="1"/>
  <c r="AD683" i="1"/>
  <c r="AG683" i="1"/>
  <c r="AH683" i="1"/>
  <c r="AJ683" i="1"/>
  <c r="AW683" i="1"/>
  <c r="AX683" i="1"/>
  <c r="AY683" i="1"/>
  <c r="AZ683" i="1"/>
  <c r="BA683" i="1"/>
  <c r="BB683" i="1"/>
  <c r="BC683" i="1"/>
  <c r="BD683" i="1"/>
  <c r="BG683" i="1" s="1"/>
  <c r="BE683" i="1"/>
  <c r="BH683" i="1"/>
  <c r="BI683" i="1"/>
  <c r="BJ683" i="1"/>
  <c r="BK683" i="1"/>
  <c r="BL683" i="1"/>
  <c r="BM683" i="1"/>
  <c r="BN683" i="1"/>
  <c r="B684" i="1"/>
  <c r="L684" i="1"/>
  <c r="M684" i="1"/>
  <c r="N684" i="1"/>
  <c r="P684" i="1"/>
  <c r="Q684" i="1"/>
  <c r="R684" i="1"/>
  <c r="T684" i="1"/>
  <c r="U684" i="1"/>
  <c r="V684" i="1"/>
  <c r="X684" i="1"/>
  <c r="Y684" i="1"/>
  <c r="Z684" i="1"/>
  <c r="AC684" i="1"/>
  <c r="AD684" i="1"/>
  <c r="AG684" i="1"/>
  <c r="AH684" i="1"/>
  <c r="AJ684" i="1"/>
  <c r="AW684" i="1"/>
  <c r="AX684" i="1"/>
  <c r="AY684" i="1"/>
  <c r="AZ684" i="1"/>
  <c r="BA684" i="1"/>
  <c r="BB684" i="1"/>
  <c r="BC684" i="1"/>
  <c r="BD684" i="1"/>
  <c r="BG684" i="1" s="1"/>
  <c r="BE684" i="1"/>
  <c r="BH684" i="1"/>
  <c r="BI684" i="1"/>
  <c r="BJ684" i="1"/>
  <c r="BK684" i="1"/>
  <c r="BL684" i="1"/>
  <c r="BM684" i="1"/>
  <c r="BN684" i="1"/>
  <c r="B685" i="1"/>
  <c r="L685" i="1"/>
  <c r="M685" i="1"/>
  <c r="N685" i="1"/>
  <c r="P685" i="1"/>
  <c r="Q685" i="1"/>
  <c r="R685" i="1"/>
  <c r="T685" i="1"/>
  <c r="U685" i="1"/>
  <c r="V685" i="1"/>
  <c r="X685" i="1"/>
  <c r="Y685" i="1"/>
  <c r="Z685" i="1"/>
  <c r="AC685" i="1"/>
  <c r="AD685" i="1"/>
  <c r="AG685" i="1"/>
  <c r="AH685" i="1"/>
  <c r="AJ685" i="1"/>
  <c r="AW685" i="1"/>
  <c r="AX685" i="1"/>
  <c r="AY685" i="1"/>
  <c r="AZ685" i="1"/>
  <c r="BA685" i="1"/>
  <c r="BB685" i="1"/>
  <c r="BC685" i="1"/>
  <c r="BD685" i="1"/>
  <c r="BG685" i="1" s="1"/>
  <c r="BE685" i="1"/>
  <c r="BH685" i="1"/>
  <c r="BI685" i="1"/>
  <c r="BJ685" i="1"/>
  <c r="BK685" i="1"/>
  <c r="BL685" i="1"/>
  <c r="BM685" i="1"/>
  <c r="BN685" i="1"/>
  <c r="B686" i="1"/>
  <c r="L686" i="1"/>
  <c r="M686" i="1"/>
  <c r="N686" i="1"/>
  <c r="P686" i="1"/>
  <c r="Q686" i="1"/>
  <c r="R686" i="1"/>
  <c r="T686" i="1"/>
  <c r="U686" i="1"/>
  <c r="V686" i="1"/>
  <c r="X686" i="1"/>
  <c r="Y686" i="1"/>
  <c r="Z686" i="1"/>
  <c r="AC686" i="1"/>
  <c r="AD686" i="1"/>
  <c r="AG686" i="1"/>
  <c r="AH686" i="1"/>
  <c r="AJ686" i="1"/>
  <c r="AW686" i="1"/>
  <c r="AX686" i="1"/>
  <c r="AY686" i="1"/>
  <c r="AZ686" i="1"/>
  <c r="BA686" i="1"/>
  <c r="BB686" i="1"/>
  <c r="BC686" i="1"/>
  <c r="BD686" i="1"/>
  <c r="BG686" i="1" s="1"/>
  <c r="BE686" i="1"/>
  <c r="BH686" i="1"/>
  <c r="BI686" i="1"/>
  <c r="BJ686" i="1"/>
  <c r="BK686" i="1"/>
  <c r="BL686" i="1"/>
  <c r="BM686" i="1"/>
  <c r="BN686" i="1"/>
  <c r="B687" i="1"/>
  <c r="L687" i="1"/>
  <c r="M687" i="1"/>
  <c r="N687" i="1"/>
  <c r="P687" i="1"/>
  <c r="Q687" i="1"/>
  <c r="R687" i="1"/>
  <c r="T687" i="1"/>
  <c r="U687" i="1"/>
  <c r="V687" i="1"/>
  <c r="X687" i="1"/>
  <c r="Y687" i="1"/>
  <c r="Z687" i="1"/>
  <c r="AC687" i="1"/>
  <c r="AD687" i="1"/>
  <c r="AG687" i="1"/>
  <c r="AH687" i="1"/>
  <c r="AJ687" i="1"/>
  <c r="AW687" i="1"/>
  <c r="AX687" i="1"/>
  <c r="AY687" i="1"/>
  <c r="BD687" i="1"/>
  <c r="BG687" i="1" s="1"/>
  <c r="BE687" i="1"/>
  <c r="BH687" i="1"/>
  <c r="BI687" i="1"/>
  <c r="BJ687" i="1"/>
  <c r="BK687" i="1"/>
  <c r="BL687" i="1"/>
  <c r="BM687" i="1"/>
  <c r="BN687" i="1"/>
  <c r="B688" i="1"/>
  <c r="L688" i="1"/>
  <c r="M688" i="1"/>
  <c r="N688" i="1"/>
  <c r="P688" i="1"/>
  <c r="Q688" i="1"/>
  <c r="R688" i="1"/>
  <c r="T688" i="1"/>
  <c r="U688" i="1"/>
  <c r="V688" i="1"/>
  <c r="X688" i="1"/>
  <c r="Y688" i="1"/>
  <c r="Z688" i="1"/>
  <c r="AC688" i="1"/>
  <c r="AD688" i="1"/>
  <c r="AG688" i="1"/>
  <c r="AH688" i="1"/>
  <c r="AJ688" i="1"/>
  <c r="AW688" i="1"/>
  <c r="AX688" i="1"/>
  <c r="AY688" i="1"/>
  <c r="AZ688" i="1"/>
  <c r="BA688" i="1"/>
  <c r="BB688" i="1"/>
  <c r="BC688" i="1"/>
  <c r="BD688" i="1"/>
  <c r="BG688" i="1" s="1"/>
  <c r="BE688" i="1"/>
  <c r="BH688" i="1"/>
  <c r="BI688" i="1"/>
  <c r="BJ688" i="1"/>
  <c r="BK688" i="1"/>
  <c r="BL688" i="1"/>
  <c r="BM688" i="1"/>
  <c r="BN688" i="1"/>
  <c r="B689" i="1"/>
  <c r="B701" i="1" s="1"/>
  <c r="L689" i="1"/>
  <c r="M689" i="1"/>
  <c r="N689" i="1"/>
  <c r="P689" i="1"/>
  <c r="Q689" i="1"/>
  <c r="R689" i="1"/>
  <c r="T689" i="1"/>
  <c r="U689" i="1"/>
  <c r="V689" i="1"/>
  <c r="X689" i="1"/>
  <c r="Y689" i="1"/>
  <c r="Z689" i="1"/>
  <c r="AC689" i="1"/>
  <c r="AD689" i="1"/>
  <c r="AG689" i="1"/>
  <c r="AH689" i="1"/>
  <c r="AW689" i="1"/>
  <c r="AX689" i="1"/>
  <c r="AY689" i="1"/>
  <c r="AZ689" i="1"/>
  <c r="BA689" i="1"/>
  <c r="BB689" i="1"/>
  <c r="BC689" i="1"/>
  <c r="BD689" i="1"/>
  <c r="BG689" i="1" s="1"/>
  <c r="BE689" i="1"/>
  <c r="BH689" i="1"/>
  <c r="BI689" i="1"/>
  <c r="BJ689" i="1"/>
  <c r="BK689" i="1"/>
  <c r="BL689" i="1"/>
  <c r="BM689" i="1"/>
  <c r="B690" i="1"/>
  <c r="B702" i="1" s="1"/>
  <c r="AW707" i="1"/>
  <c r="AX707" i="1"/>
  <c r="AY707" i="1"/>
  <c r="AZ707" i="1"/>
  <c r="BA707" i="1"/>
  <c r="BB707" i="1"/>
  <c r="BC707" i="1"/>
  <c r="BD707" i="1"/>
  <c r="BE707" i="1"/>
  <c r="B707" i="1"/>
  <c r="AV707" i="1"/>
  <c r="AZ713" i="1"/>
  <c r="AV717" i="1"/>
  <c r="AW717" i="1"/>
  <c r="AX717" i="1"/>
  <c r="AY717" i="1"/>
  <c r="AZ717" i="1"/>
  <c r="BA717" i="1"/>
  <c r="BB717" i="1"/>
  <c r="BC717" i="1"/>
  <c r="BD717" i="1"/>
  <c r="BE717" i="1"/>
  <c r="BG730" i="1"/>
  <c r="BH730" i="1"/>
  <c r="BI730" i="1"/>
  <c r="BL730" i="1"/>
  <c r="BM730" i="1"/>
  <c r="BN730" i="1"/>
  <c r="BO735" i="1" s="1"/>
  <c r="BG731" i="1"/>
  <c r="BH731" i="1"/>
  <c r="BI731" i="1"/>
  <c r="BL731" i="1"/>
  <c r="BM731" i="1"/>
  <c r="BN731" i="1"/>
  <c r="BO736" i="1" s="1"/>
  <c r="B735" i="1"/>
  <c r="H735" i="1"/>
  <c r="I735" i="1"/>
  <c r="J735" i="1"/>
  <c r="K735" i="1"/>
  <c r="L735" i="1"/>
  <c r="M735" i="1"/>
  <c r="N735" i="1"/>
  <c r="O735" i="1"/>
  <c r="P735" i="1"/>
  <c r="Q735" i="1"/>
  <c r="R735" i="1"/>
  <c r="S735" i="1"/>
  <c r="T735" i="1"/>
  <c r="U735" i="1"/>
  <c r="V735" i="1"/>
  <c r="W735" i="1"/>
  <c r="X735" i="1"/>
  <c r="Y735" i="1"/>
  <c r="Z735" i="1"/>
  <c r="AA735" i="1"/>
  <c r="AB735" i="1"/>
  <c r="AC735" i="1"/>
  <c r="AD735" i="1"/>
  <c r="AE735" i="1"/>
  <c r="AF735" i="1"/>
  <c r="AG735" i="1"/>
  <c r="AH735" i="1"/>
  <c r="AI735" i="1"/>
  <c r="AJ735" i="1"/>
  <c r="BC735" i="1"/>
  <c r="BD735" i="1"/>
  <c r="BG735" i="1" s="1"/>
  <c r="BE735" i="1"/>
  <c r="B736" i="1"/>
  <c r="H736" i="1"/>
  <c r="I736" i="1"/>
  <c r="J736" i="1"/>
  <c r="K736" i="1"/>
  <c r="L736" i="1"/>
  <c r="M736" i="1"/>
  <c r="N736" i="1"/>
  <c r="O736" i="1"/>
  <c r="P736" i="1"/>
  <c r="Q736" i="1"/>
  <c r="R736" i="1"/>
  <c r="S736" i="1"/>
  <c r="T736" i="1"/>
  <c r="U736" i="1"/>
  <c r="V736" i="1"/>
  <c r="W736" i="1"/>
  <c r="X736" i="1"/>
  <c r="Y736" i="1"/>
  <c r="Z736" i="1"/>
  <c r="AA736" i="1"/>
  <c r="AB736" i="1"/>
  <c r="AC736" i="1"/>
  <c r="AD736" i="1"/>
  <c r="AE736" i="1"/>
  <c r="AF736" i="1"/>
  <c r="AG736" i="1"/>
  <c r="AH736" i="1"/>
  <c r="AI736" i="1"/>
  <c r="AJ736" i="1"/>
  <c r="BC736" i="1"/>
  <c r="BD736" i="1"/>
  <c r="BG736" i="1" s="1"/>
  <c r="BE736" i="1"/>
  <c r="B737" i="1"/>
  <c r="AT737" i="1"/>
  <c r="AU737" i="1"/>
  <c r="AV737" i="1"/>
  <c r="AW737" i="1"/>
  <c r="AX737" i="1"/>
  <c r="AY737" i="1"/>
  <c r="AZ737" i="1"/>
  <c r="BA737" i="1"/>
  <c r="BG740" i="1"/>
  <c r="BH740" i="1"/>
  <c r="BI740" i="1"/>
  <c r="BL740" i="1"/>
  <c r="BM740" i="1"/>
  <c r="BN740" i="1"/>
  <c r="BG741" i="1"/>
  <c r="BH741" i="1"/>
  <c r="BI741" i="1"/>
  <c r="BL741" i="1"/>
  <c r="BM741" i="1"/>
  <c r="BN741" i="1"/>
  <c r="D744" i="1"/>
  <c r="E744" i="1"/>
  <c r="F744" i="1"/>
  <c r="G744" i="1"/>
  <c r="H744" i="1"/>
  <c r="H749" i="1" s="1"/>
  <c r="I744" i="1"/>
  <c r="I749" i="1" s="1"/>
  <c r="J744" i="1"/>
  <c r="J749" i="1" s="1"/>
  <c r="K744" i="1"/>
  <c r="K749" i="1" s="1"/>
  <c r="L744" i="1"/>
  <c r="L749" i="1" s="1"/>
  <c r="M744" i="1"/>
  <c r="M749" i="1" s="1"/>
  <c r="N744" i="1"/>
  <c r="N749" i="1" s="1"/>
  <c r="O744" i="1"/>
  <c r="O749" i="1" s="1"/>
  <c r="P744" i="1"/>
  <c r="P749" i="1" s="1"/>
  <c r="Q744" i="1"/>
  <c r="Q749" i="1" s="1"/>
  <c r="R744" i="1"/>
  <c r="R749" i="1" s="1"/>
  <c r="S744" i="1"/>
  <c r="S749" i="1" s="1"/>
  <c r="T744" i="1"/>
  <c r="T749" i="1" s="1"/>
  <c r="U744" i="1"/>
  <c r="U749" i="1" s="1"/>
  <c r="V744" i="1"/>
  <c r="V749" i="1" s="1"/>
  <c r="W744" i="1"/>
  <c r="W749" i="1" s="1"/>
  <c r="X744" i="1"/>
  <c r="X749" i="1" s="1"/>
  <c r="Y744" i="1"/>
  <c r="Y749" i="1" s="1"/>
  <c r="Z744" i="1"/>
  <c r="Z749" i="1" s="1"/>
  <c r="AA744" i="1"/>
  <c r="AA749" i="1" s="1"/>
  <c r="AB744" i="1"/>
  <c r="AB749" i="1" s="1"/>
  <c r="AC744" i="1"/>
  <c r="AC749" i="1" s="1"/>
  <c r="AD744" i="1"/>
  <c r="AD749" i="1" s="1"/>
  <c r="AE744" i="1"/>
  <c r="AE749" i="1" s="1"/>
  <c r="AF744" i="1"/>
  <c r="AG744" i="1"/>
  <c r="AG749" i="1" s="1"/>
  <c r="AH744" i="1"/>
  <c r="AH749" i="1" s="1"/>
  <c r="AI744" i="1"/>
  <c r="AI749" i="1" s="1"/>
  <c r="AJ744" i="1"/>
  <c r="AS744" i="1"/>
  <c r="AT744" i="1"/>
  <c r="BB744" i="1"/>
  <c r="BB749" i="1" s="1"/>
  <c r="BC744" i="1"/>
  <c r="BC749" i="1" s="1"/>
  <c r="BD744" i="1"/>
  <c r="BD749" i="1" s="1"/>
  <c r="BE744" i="1"/>
  <c r="BE749" i="1" s="1"/>
  <c r="BJ744" i="1"/>
  <c r="BJ749" i="1" s="1"/>
  <c r="D745" i="1"/>
  <c r="E745" i="1"/>
  <c r="F745" i="1"/>
  <c r="G745" i="1"/>
  <c r="H745" i="1"/>
  <c r="H750" i="1" s="1"/>
  <c r="I745" i="1"/>
  <c r="I750" i="1" s="1"/>
  <c r="J745" i="1"/>
  <c r="J750" i="1" s="1"/>
  <c r="K745" i="1"/>
  <c r="K750" i="1" s="1"/>
  <c r="L745" i="1"/>
  <c r="L750" i="1" s="1"/>
  <c r="M745" i="1"/>
  <c r="M750" i="1" s="1"/>
  <c r="N745" i="1"/>
  <c r="N750" i="1" s="1"/>
  <c r="O745" i="1"/>
  <c r="O750" i="1" s="1"/>
  <c r="P745" i="1"/>
  <c r="P750" i="1" s="1"/>
  <c r="Q745" i="1"/>
  <c r="Q750" i="1" s="1"/>
  <c r="R745" i="1"/>
  <c r="R750" i="1" s="1"/>
  <c r="S745" i="1"/>
  <c r="S750" i="1" s="1"/>
  <c r="T745" i="1"/>
  <c r="T750" i="1" s="1"/>
  <c r="U745" i="1"/>
  <c r="U750" i="1" s="1"/>
  <c r="V745" i="1"/>
  <c r="V750" i="1" s="1"/>
  <c r="W745" i="1"/>
  <c r="W750" i="1" s="1"/>
  <c r="X745" i="1"/>
  <c r="X750" i="1" s="1"/>
  <c r="Y745" i="1"/>
  <c r="Y750" i="1" s="1"/>
  <c r="Z745" i="1"/>
  <c r="Z750" i="1" s="1"/>
  <c r="AA745" i="1"/>
  <c r="AA750" i="1" s="1"/>
  <c r="AB745" i="1"/>
  <c r="AB750" i="1" s="1"/>
  <c r="AC745" i="1"/>
  <c r="AC750" i="1" s="1"/>
  <c r="AD745" i="1"/>
  <c r="AD750" i="1" s="1"/>
  <c r="AE745" i="1"/>
  <c r="AE750" i="1" s="1"/>
  <c r="AF745" i="1"/>
  <c r="AG745" i="1"/>
  <c r="AG750" i="1" s="1"/>
  <c r="AH745" i="1"/>
  <c r="AH750" i="1" s="1"/>
  <c r="AI745" i="1"/>
  <c r="AI750" i="1" s="1"/>
  <c r="AJ745" i="1"/>
  <c r="AS745" i="1"/>
  <c r="AT745" i="1"/>
  <c r="BB745" i="1"/>
  <c r="BB750" i="1" s="1"/>
  <c r="BC745" i="1"/>
  <c r="BC750" i="1" s="1"/>
  <c r="BD745" i="1"/>
  <c r="BD750" i="1" s="1"/>
  <c r="BE745" i="1"/>
  <c r="BE750" i="1" s="1"/>
  <c r="BJ745" i="1"/>
  <c r="BJ750" i="1" s="1"/>
  <c r="B749" i="1"/>
  <c r="B750" i="1"/>
  <c r="B751" i="1"/>
  <c r="BL753" i="1"/>
  <c r="BM753" i="1"/>
  <c r="BN753" i="1"/>
  <c r="BL754" i="1"/>
  <c r="BM754" i="1"/>
  <c r="BN754" i="1"/>
  <c r="BL755" i="1"/>
  <c r="BM755" i="1"/>
  <c r="BN755" i="1"/>
  <c r="BG756" i="1"/>
  <c r="BG784" i="1" s="1"/>
  <c r="BH756" i="1"/>
  <c r="BH784" i="1" s="1"/>
  <c r="BI756" i="1"/>
  <c r="BI784" i="1" s="1"/>
  <c r="BK756" i="1"/>
  <c r="BK784" i="1" s="1"/>
  <c r="BL756" i="1"/>
  <c r="BL784" i="1" s="1"/>
  <c r="BM756" i="1"/>
  <c r="BM784" i="1" s="1"/>
  <c r="BN756" i="1"/>
  <c r="BK758" i="1"/>
  <c r="AH21" i="28" s="1"/>
  <c r="BL758" i="1"/>
  <c r="BM758" i="1"/>
  <c r="BN758" i="1"/>
  <c r="S760" i="1"/>
  <c r="BG760" i="1"/>
  <c r="BH760" i="1"/>
  <c r="BI760" i="1"/>
  <c r="BK760" i="1"/>
  <c r="BL760" i="1"/>
  <c r="BM760" i="1"/>
  <c r="BN760" i="1"/>
  <c r="S764" i="1"/>
  <c r="BG764" i="1"/>
  <c r="BH764" i="1"/>
  <c r="BI764" i="1"/>
  <c r="BL764" i="1"/>
  <c r="BL765" i="1"/>
  <c r="AY772" i="1"/>
  <c r="AY775" i="1" s="1"/>
  <c r="AZ772" i="1"/>
  <c r="AZ775" i="1" s="1"/>
  <c r="BA772" i="1"/>
  <c r="BA775" i="1" s="1"/>
  <c r="BN773" i="1"/>
  <c r="BO773" i="1"/>
  <c r="BN774" i="1"/>
  <c r="BO774" i="1"/>
  <c r="D779" i="1"/>
  <c r="E779" i="1"/>
  <c r="F779" i="1"/>
  <c r="G779" i="1"/>
  <c r="H779" i="1"/>
  <c r="I779" i="1"/>
  <c r="J779" i="1"/>
  <c r="K779" i="1"/>
  <c r="L779" i="1"/>
  <c r="M779" i="1"/>
  <c r="N779" i="1"/>
  <c r="O779" i="1"/>
  <c r="T779" i="1"/>
  <c r="U779" i="1"/>
  <c r="V779" i="1"/>
  <c r="X779" i="1"/>
  <c r="Y779" i="1"/>
  <c r="Z779" i="1"/>
  <c r="AA779" i="1"/>
  <c r="AB779" i="1"/>
  <c r="AC779" i="1"/>
  <c r="AD779" i="1"/>
  <c r="AE779" i="1"/>
  <c r="AF779" i="1"/>
  <c r="AJ779" i="1"/>
  <c r="AK779" i="1"/>
  <c r="AL779" i="1"/>
  <c r="AM779" i="1"/>
  <c r="AY779" i="1"/>
  <c r="AZ779" i="1"/>
  <c r="BA779" i="1"/>
  <c r="BB779" i="1"/>
  <c r="BC779" i="1"/>
  <c r="BD779" i="1"/>
  <c r="BE779" i="1"/>
  <c r="BG779" i="1"/>
  <c r="BH779" i="1"/>
  <c r="BI779" i="1"/>
  <c r="BK779" i="1"/>
  <c r="BL779" i="1"/>
  <c r="BM779" i="1"/>
  <c r="BK780" i="1"/>
  <c r="BN780" i="1"/>
  <c r="BO780" i="1"/>
  <c r="D781" i="1"/>
  <c r="E781" i="1"/>
  <c r="F781" i="1"/>
  <c r="G781" i="1"/>
  <c r="H781" i="1"/>
  <c r="I781" i="1"/>
  <c r="J781" i="1"/>
  <c r="K781" i="1"/>
  <c r="L781" i="1"/>
  <c r="M781" i="1"/>
  <c r="N781" i="1"/>
  <c r="O781" i="1"/>
  <c r="T781" i="1"/>
  <c r="U781" i="1"/>
  <c r="V781" i="1"/>
  <c r="X781" i="1"/>
  <c r="Y781" i="1"/>
  <c r="Z781" i="1"/>
  <c r="AA781" i="1"/>
  <c r="AB781" i="1"/>
  <c r="AC781" i="1"/>
  <c r="AD781" i="1"/>
  <c r="AE781" i="1"/>
  <c r="AF781" i="1"/>
  <c r="AJ781" i="1"/>
  <c r="AK781" i="1"/>
  <c r="AL781" i="1"/>
  <c r="AM781" i="1"/>
  <c r="AY781" i="1"/>
  <c r="AZ781" i="1"/>
  <c r="BA781" i="1"/>
  <c r="BB781" i="1"/>
  <c r="BC781" i="1"/>
  <c r="BD781" i="1"/>
  <c r="BE781" i="1"/>
  <c r="BG781" i="1"/>
  <c r="BH781" i="1"/>
  <c r="BI781" i="1"/>
  <c r="BK781" i="1"/>
  <c r="BL781" i="1"/>
  <c r="BM781" i="1"/>
  <c r="BN782" i="1"/>
  <c r="BO782" i="1"/>
  <c r="D784" i="1"/>
  <c r="E784" i="1"/>
  <c r="F784" i="1"/>
  <c r="G784" i="1"/>
  <c r="H784" i="1"/>
  <c r="I784" i="1"/>
  <c r="J784" i="1"/>
  <c r="K784" i="1"/>
  <c r="L784" i="1"/>
  <c r="M784" i="1"/>
  <c r="N784" i="1"/>
  <c r="O784" i="1"/>
  <c r="T784" i="1"/>
  <c r="U784" i="1"/>
  <c r="V784" i="1"/>
  <c r="X784" i="1"/>
  <c r="Y784" i="1"/>
  <c r="Z784" i="1"/>
  <c r="AA784" i="1"/>
  <c r="AB784" i="1"/>
  <c r="AC784" i="1"/>
  <c r="AD784" i="1"/>
  <c r="AE784" i="1"/>
  <c r="AF784" i="1"/>
  <c r="AK784" i="1"/>
  <c r="AL784" i="1"/>
  <c r="AM784" i="1"/>
  <c r="AY784" i="1"/>
  <c r="AZ784" i="1"/>
  <c r="BA784" i="1"/>
  <c r="BB784" i="1"/>
  <c r="BC784" i="1"/>
  <c r="BD784" i="1"/>
  <c r="BE784" i="1"/>
  <c r="BL815" i="1"/>
  <c r="BM815" i="1"/>
  <c r="BN815" i="1"/>
  <c r="BL816" i="1"/>
  <c r="BM816" i="1"/>
  <c r="BN816" i="1"/>
  <c r="BL817" i="1"/>
  <c r="BM817" i="1"/>
  <c r="BN817" i="1"/>
  <c r="BL818" i="1"/>
  <c r="BM818" i="1"/>
  <c r="BN818" i="1"/>
  <c r="BL819" i="1"/>
  <c r="BL865" i="1" s="1"/>
  <c r="BM819" i="1"/>
  <c r="BM865" i="1" s="1"/>
  <c r="BN819" i="1"/>
  <c r="BN865" i="1" s="1"/>
  <c r="BL820" i="1"/>
  <c r="BM820" i="1"/>
  <c r="BN820" i="1"/>
  <c r="BL821" i="1"/>
  <c r="BM821" i="1"/>
  <c r="BN821" i="1"/>
  <c r="BL822" i="1"/>
  <c r="BM822" i="1"/>
  <c r="BN822" i="1"/>
  <c r="BL823" i="1"/>
  <c r="BM823" i="1"/>
  <c r="BN823" i="1"/>
  <c r="BL824" i="1"/>
  <c r="BM824" i="1"/>
  <c r="BN824" i="1"/>
  <c r="BL825" i="1"/>
  <c r="BM825" i="1"/>
  <c r="BN825" i="1"/>
  <c r="BL826" i="1"/>
  <c r="BM826" i="1"/>
  <c r="BN826" i="1"/>
  <c r="BL827" i="1"/>
  <c r="BM827" i="1"/>
  <c r="BN827" i="1"/>
  <c r="BL828" i="1"/>
  <c r="BM828" i="1"/>
  <c r="BN828" i="1"/>
  <c r="BL829" i="1"/>
  <c r="BM829" i="1"/>
  <c r="BN829" i="1"/>
  <c r="BL830" i="1"/>
  <c r="BM830" i="1"/>
  <c r="BN830" i="1"/>
  <c r="BL831" i="1"/>
  <c r="BM831" i="1"/>
  <c r="BN831" i="1"/>
  <c r="S835" i="1"/>
  <c r="BK835" i="1"/>
  <c r="BL835" i="1"/>
  <c r="BM835" i="1"/>
  <c r="BN835" i="1"/>
  <c r="BL836" i="1"/>
  <c r="BM836" i="1"/>
  <c r="BN836" i="1"/>
  <c r="S837" i="1"/>
  <c r="BK837" i="1"/>
  <c r="BL837" i="1"/>
  <c r="BM837" i="1"/>
  <c r="BN837" i="1"/>
  <c r="S838" i="1"/>
  <c r="BK838" i="1"/>
  <c r="BL838" i="1"/>
  <c r="BM838" i="1"/>
  <c r="BN838" i="1"/>
  <c r="S839" i="1"/>
  <c r="BK839" i="1"/>
  <c r="BL839" i="1"/>
  <c r="BM839" i="1"/>
  <c r="BN839" i="1"/>
  <c r="S840" i="1"/>
  <c r="BK840" i="1"/>
  <c r="BL840" i="1"/>
  <c r="BM840" i="1"/>
  <c r="BN840" i="1"/>
  <c r="D841" i="1"/>
  <c r="E841" i="1"/>
  <c r="F841" i="1"/>
  <c r="G841" i="1"/>
  <c r="H841" i="1"/>
  <c r="I841" i="1"/>
  <c r="J841" i="1"/>
  <c r="K841" i="1"/>
  <c r="L841" i="1"/>
  <c r="M841" i="1"/>
  <c r="N841" i="1"/>
  <c r="O841" i="1"/>
  <c r="P841" i="1"/>
  <c r="Q841" i="1"/>
  <c r="R841" i="1"/>
  <c r="T841" i="1"/>
  <c r="U841" i="1"/>
  <c r="V841" i="1"/>
  <c r="W841" i="1"/>
  <c r="X841" i="1"/>
  <c r="Y841" i="1"/>
  <c r="Z841" i="1"/>
  <c r="AA841" i="1"/>
  <c r="AB841" i="1"/>
  <c r="AC841" i="1"/>
  <c r="AD841" i="1"/>
  <c r="AE841" i="1"/>
  <c r="AF841" i="1"/>
  <c r="AG841" i="1"/>
  <c r="AH841" i="1"/>
  <c r="AI841" i="1"/>
  <c r="AJ841" i="1"/>
  <c r="BO841" i="1" s="1"/>
  <c r="AS841" i="1"/>
  <c r="AT841" i="1"/>
  <c r="AU841" i="1"/>
  <c r="AV841" i="1"/>
  <c r="AW841" i="1"/>
  <c r="AX841" i="1"/>
  <c r="AY841" i="1"/>
  <c r="AZ841" i="1"/>
  <c r="BA841" i="1"/>
  <c r="BB841" i="1"/>
  <c r="BC841" i="1"/>
  <c r="BD841" i="1"/>
  <c r="BE841" i="1"/>
  <c r="BG841" i="1"/>
  <c r="BH841" i="1"/>
  <c r="BI841" i="1"/>
  <c r="BJ841" i="1"/>
  <c r="S844" i="1"/>
  <c r="BK844" i="1"/>
  <c r="BL844" i="1"/>
  <c r="BM844" i="1"/>
  <c r="BN844" i="1"/>
  <c r="BK846" i="1"/>
  <c r="BL846" i="1"/>
  <c r="BM846" i="1"/>
  <c r="BN846" i="1"/>
  <c r="S847" i="1"/>
  <c r="BK847" i="1"/>
  <c r="BL847" i="1"/>
  <c r="BM847" i="1"/>
  <c r="BN847" i="1"/>
  <c r="S848" i="1"/>
  <c r="BK848" i="1"/>
  <c r="BL848" i="1"/>
  <c r="BM848" i="1"/>
  <c r="BN848" i="1"/>
  <c r="BL849" i="1"/>
  <c r="BM849" i="1"/>
  <c r="BN849" i="1"/>
  <c r="BL850" i="1"/>
  <c r="BM850" i="1"/>
  <c r="BN850" i="1"/>
  <c r="BL851" i="1"/>
  <c r="BM851" i="1"/>
  <c r="BN851" i="1"/>
  <c r="S852" i="1"/>
  <c r="BK852" i="1"/>
  <c r="BL852" i="1"/>
  <c r="BM852" i="1"/>
  <c r="BN852" i="1"/>
  <c r="S853" i="1"/>
  <c r="BK853" i="1"/>
  <c r="BL853" i="1"/>
  <c r="BM853" i="1"/>
  <c r="BN853" i="1"/>
  <c r="D854" i="1"/>
  <c r="E854" i="1"/>
  <c r="F854" i="1"/>
  <c r="G854" i="1"/>
  <c r="H854" i="1"/>
  <c r="I854" i="1"/>
  <c r="J854" i="1"/>
  <c r="K854" i="1"/>
  <c r="L854" i="1"/>
  <c r="M854" i="1"/>
  <c r="N854" i="1"/>
  <c r="O854" i="1"/>
  <c r="P854" i="1"/>
  <c r="Q854" i="1"/>
  <c r="R854" i="1"/>
  <c r="T854" i="1"/>
  <c r="U854" i="1"/>
  <c r="V854" i="1"/>
  <c r="W854" i="1"/>
  <c r="X854" i="1"/>
  <c r="Y854" i="1"/>
  <c r="Z854" i="1"/>
  <c r="AA854" i="1"/>
  <c r="AB854" i="1"/>
  <c r="AC854" i="1"/>
  <c r="AD854" i="1"/>
  <c r="AE854" i="1"/>
  <c r="AF854" i="1"/>
  <c r="AG854" i="1"/>
  <c r="AH854" i="1"/>
  <c r="AI854" i="1"/>
  <c r="AJ854" i="1"/>
  <c r="BO854" i="1" s="1"/>
  <c r="AS854" i="1"/>
  <c r="AT854" i="1"/>
  <c r="AU854" i="1"/>
  <c r="AV854" i="1"/>
  <c r="AW854" i="1"/>
  <c r="AX854" i="1"/>
  <c r="AY854" i="1"/>
  <c r="AZ854" i="1"/>
  <c r="BA854" i="1"/>
  <c r="BB854" i="1"/>
  <c r="BC854" i="1"/>
  <c r="BD854" i="1"/>
  <c r="BE854" i="1"/>
  <c r="BG854" i="1"/>
  <c r="BH854" i="1"/>
  <c r="BI854" i="1"/>
  <c r="BJ854" i="1"/>
  <c r="S856" i="1"/>
  <c r="U856" i="1"/>
  <c r="BL856" i="1"/>
  <c r="BM856" i="1"/>
  <c r="BN856" i="1"/>
  <c r="BG860" i="1"/>
  <c r="BH860" i="1"/>
  <c r="H865" i="1"/>
  <c r="I865" i="1"/>
  <c r="J865" i="1"/>
  <c r="L865" i="1"/>
  <c r="M865" i="1"/>
  <c r="N865" i="1"/>
  <c r="O865" i="1"/>
  <c r="P865" i="1"/>
  <c r="Q865" i="1"/>
  <c r="R865" i="1"/>
  <c r="T865" i="1"/>
  <c r="U865" i="1"/>
  <c r="V865" i="1"/>
  <c r="W865" i="1"/>
  <c r="X865" i="1"/>
  <c r="Y865" i="1"/>
  <c r="Z865" i="1"/>
  <c r="AA865" i="1"/>
  <c r="AB865" i="1"/>
  <c r="AC865" i="1"/>
  <c r="AD865" i="1"/>
  <c r="AE865" i="1"/>
  <c r="AF865" i="1"/>
  <c r="AG865" i="1"/>
  <c r="AH865" i="1"/>
  <c r="AI865" i="1"/>
  <c r="AJ865" i="1"/>
  <c r="AU865" i="1"/>
  <c r="AV865" i="1"/>
  <c r="AW865" i="1"/>
  <c r="AX865" i="1"/>
  <c r="AY865" i="1"/>
  <c r="AZ865" i="1"/>
  <c r="BA865" i="1"/>
  <c r="BB865" i="1"/>
  <c r="BC865" i="1"/>
  <c r="BD865" i="1"/>
  <c r="BE865" i="1"/>
  <c r="BG865" i="1"/>
  <c r="BH865" i="1"/>
  <c r="BI865" i="1"/>
  <c r="BJ865" i="1"/>
  <c r="BK873" i="1"/>
  <c r="BL873" i="1"/>
  <c r="BM873" i="1"/>
  <c r="BN873" i="1"/>
  <c r="B871" i="1"/>
  <c r="P872" i="1"/>
  <c r="P871" i="1" s="1"/>
  <c r="Q872" i="1"/>
  <c r="Q871" i="1" s="1"/>
  <c r="R872" i="1"/>
  <c r="R871" i="1" s="1"/>
  <c r="T872" i="1"/>
  <c r="U872" i="1"/>
  <c r="V872" i="1"/>
  <c r="W872" i="1"/>
  <c r="W871" i="1" s="1"/>
  <c r="X872" i="1"/>
  <c r="D24" i="522" s="1"/>
  <c r="D56" i="522" s="1"/>
  <c r="Y872" i="1"/>
  <c r="Z872" i="1"/>
  <c r="AA872" i="1"/>
  <c r="AB872" i="1"/>
  <c r="AC872" i="1"/>
  <c r="AD872" i="1"/>
  <c r="J24" i="522" s="1"/>
  <c r="J56" i="522" s="1"/>
  <c r="AE872" i="1"/>
  <c r="AF872" i="1"/>
  <c r="AG872" i="1"/>
  <c r="AH872" i="1"/>
  <c r="AI872" i="1"/>
  <c r="AJ872" i="1"/>
  <c r="P24" i="522" s="1"/>
  <c r="P56" i="522" s="1"/>
  <c r="D872" i="1"/>
  <c r="E872" i="1"/>
  <c r="F872" i="1"/>
  <c r="G872" i="1"/>
  <c r="H872" i="1"/>
  <c r="H877" i="1" s="1"/>
  <c r="I872" i="1"/>
  <c r="I877" i="1" s="1"/>
  <c r="J872" i="1"/>
  <c r="J877" i="1" s="1"/>
  <c r="K872" i="1"/>
  <c r="K877" i="1" s="1"/>
  <c r="L872" i="1"/>
  <c r="L877" i="1" s="1"/>
  <c r="M872" i="1"/>
  <c r="M877" i="1" s="1"/>
  <c r="N872" i="1"/>
  <c r="N877" i="1" s="1"/>
  <c r="O872" i="1"/>
  <c r="O877" i="1" s="1"/>
  <c r="B877" i="1"/>
  <c r="B878" i="1"/>
  <c r="D878" i="1"/>
  <c r="E878" i="1"/>
  <c r="F878" i="1"/>
  <c r="G878" i="1"/>
  <c r="H878" i="1"/>
  <c r="I878" i="1"/>
  <c r="J878" i="1"/>
  <c r="K878" i="1"/>
  <c r="L878" i="1"/>
  <c r="M878" i="1"/>
  <c r="N878" i="1"/>
  <c r="O878" i="1"/>
  <c r="S885" i="1"/>
  <c r="BK885" i="1"/>
  <c r="BL885" i="1"/>
  <c r="BM885" i="1"/>
  <c r="BN885" i="1"/>
  <c r="S886" i="1"/>
  <c r="BK886" i="1"/>
  <c r="BL886" i="1"/>
  <c r="BM886" i="1"/>
  <c r="BN886" i="1"/>
  <c r="S887" i="1"/>
  <c r="BK887" i="1"/>
  <c r="BL887" i="1"/>
  <c r="BM887" i="1"/>
  <c r="BN887" i="1"/>
  <c r="S888" i="1"/>
  <c r="BK888" i="1"/>
  <c r="BL888" i="1"/>
  <c r="BM888" i="1"/>
  <c r="BN888" i="1"/>
  <c r="D889" i="1"/>
  <c r="E889" i="1"/>
  <c r="F889" i="1"/>
  <c r="G889" i="1"/>
  <c r="H889" i="1"/>
  <c r="I889" i="1"/>
  <c r="J889" i="1"/>
  <c r="K889" i="1"/>
  <c r="L889" i="1"/>
  <c r="M889" i="1"/>
  <c r="N889" i="1"/>
  <c r="O889" i="1"/>
  <c r="P889" i="1"/>
  <c r="Q889" i="1"/>
  <c r="R889" i="1"/>
  <c r="T889" i="1"/>
  <c r="U889" i="1"/>
  <c r="V889" i="1"/>
  <c r="W889" i="1"/>
  <c r="X889" i="1"/>
  <c r="Y889" i="1"/>
  <c r="Z889" i="1"/>
  <c r="AA889" i="1"/>
  <c r="AB889" i="1"/>
  <c r="AC889" i="1"/>
  <c r="AD889" i="1"/>
  <c r="AE889" i="1"/>
  <c r="AF889" i="1"/>
  <c r="AG889" i="1"/>
  <c r="AH889" i="1"/>
  <c r="AI889" i="1"/>
  <c r="AJ889" i="1"/>
  <c r="AT889" i="1"/>
  <c r="AU889" i="1"/>
  <c r="AV889" i="1"/>
  <c r="AW889" i="1"/>
  <c r="AX889" i="1"/>
  <c r="AY889" i="1"/>
  <c r="AZ889" i="1"/>
  <c r="BA889" i="1"/>
  <c r="BB889" i="1"/>
  <c r="BC889" i="1"/>
  <c r="BD889" i="1"/>
  <c r="BE889" i="1"/>
  <c r="BH889" i="1"/>
  <c r="BJ889" i="1"/>
  <c r="S890" i="1"/>
  <c r="BK890" i="1"/>
  <c r="BL890" i="1"/>
  <c r="BM890" i="1"/>
  <c r="BN890" i="1"/>
  <c r="S891" i="1"/>
  <c r="BK891" i="1"/>
  <c r="BL891" i="1"/>
  <c r="BM891" i="1"/>
  <c r="BN891" i="1"/>
  <c r="S892" i="1"/>
  <c r="BK892" i="1"/>
  <c r="BL892" i="1"/>
  <c r="BM892" i="1"/>
  <c r="BN892" i="1"/>
  <c r="S893" i="1"/>
  <c r="BK893" i="1"/>
  <c r="BL893" i="1"/>
  <c r="BM893" i="1"/>
  <c r="BN893" i="1"/>
  <c r="S894" i="1"/>
  <c r="BK894" i="1"/>
  <c r="BL894" i="1"/>
  <c r="BM894" i="1"/>
  <c r="BN894" i="1"/>
  <c r="S895" i="1"/>
  <c r="BK895" i="1"/>
  <c r="BL895" i="1"/>
  <c r="BM895" i="1"/>
  <c r="BN895" i="1"/>
  <c r="S896" i="1"/>
  <c r="BK896" i="1"/>
  <c r="BL896" i="1"/>
  <c r="BM896" i="1"/>
  <c r="BN896" i="1"/>
  <c r="S900" i="1"/>
  <c r="BK900" i="1"/>
  <c r="BL900" i="1"/>
  <c r="BM900" i="1"/>
  <c r="BN900" i="1"/>
  <c r="S901" i="1"/>
  <c r="BK901" i="1"/>
  <c r="BL901" i="1"/>
  <c r="BM901" i="1"/>
  <c r="BN901" i="1"/>
  <c r="S904" i="1"/>
  <c r="BK904" i="1"/>
  <c r="BL904" i="1"/>
  <c r="BM904" i="1"/>
  <c r="BN904" i="1"/>
  <c r="S905" i="1"/>
  <c r="BK905" i="1"/>
  <c r="BL905" i="1"/>
  <c r="BM905" i="1"/>
  <c r="BN905" i="1"/>
  <c r="S906" i="1"/>
  <c r="BK906" i="1"/>
  <c r="BL906" i="1"/>
  <c r="BM906" i="1"/>
  <c r="BN906" i="1"/>
  <c r="S907" i="1"/>
  <c r="BK907" i="1"/>
  <c r="BL907" i="1"/>
  <c r="BM907" i="1"/>
  <c r="BN907" i="1"/>
  <c r="D908" i="1"/>
  <c r="D915" i="1" s="1"/>
  <c r="E908" i="1"/>
  <c r="E915" i="1" s="1"/>
  <c r="F908" i="1"/>
  <c r="F915" i="1" s="1"/>
  <c r="G908" i="1"/>
  <c r="G915" i="1" s="1"/>
  <c r="H908" i="1"/>
  <c r="H915" i="1" s="1"/>
  <c r="I908" i="1"/>
  <c r="I915" i="1" s="1"/>
  <c r="J908" i="1"/>
  <c r="J915" i="1" s="1"/>
  <c r="K908" i="1"/>
  <c r="K915" i="1" s="1"/>
  <c r="L908" i="1"/>
  <c r="L915" i="1" s="1"/>
  <c r="M908" i="1"/>
  <c r="M915" i="1" s="1"/>
  <c r="N908" i="1"/>
  <c r="N915" i="1" s="1"/>
  <c r="O908" i="1"/>
  <c r="O915" i="1" s="1"/>
  <c r="P908" i="1"/>
  <c r="P915" i="1" s="1"/>
  <c r="Q908" i="1"/>
  <c r="Q915" i="1" s="1"/>
  <c r="R908" i="1"/>
  <c r="R915" i="1" s="1"/>
  <c r="T908" i="1"/>
  <c r="T915" i="1" s="1"/>
  <c r="U908" i="1"/>
  <c r="U915" i="1" s="1"/>
  <c r="V908" i="1"/>
  <c r="V915" i="1" s="1"/>
  <c r="W908" i="1"/>
  <c r="W915" i="1" s="1"/>
  <c r="X908" i="1"/>
  <c r="X915" i="1" s="1"/>
  <c r="Y908" i="1"/>
  <c r="Y915" i="1" s="1"/>
  <c r="Z908" i="1"/>
  <c r="Z915" i="1" s="1"/>
  <c r="AA908" i="1"/>
  <c r="AB908" i="1"/>
  <c r="AB915" i="1" s="1"/>
  <c r="AC908" i="1"/>
  <c r="AC915" i="1" s="1"/>
  <c r="AD908" i="1"/>
  <c r="AD915" i="1" s="1"/>
  <c r="AE908" i="1"/>
  <c r="AF908" i="1"/>
  <c r="AF915" i="1" s="1"/>
  <c r="AG908" i="1"/>
  <c r="AG915" i="1" s="1"/>
  <c r="AH908" i="1"/>
  <c r="AH915" i="1" s="1"/>
  <c r="AI908" i="1"/>
  <c r="AI915" i="1" s="1"/>
  <c r="AJ908" i="1"/>
  <c r="AJ915" i="1" s="1"/>
  <c r="AT908" i="1"/>
  <c r="AT915" i="1" s="1"/>
  <c r="AU908" i="1"/>
  <c r="AU915" i="1" s="1"/>
  <c r="AV908" i="1"/>
  <c r="AV915" i="1" s="1"/>
  <c r="AW908" i="1"/>
  <c r="AW915" i="1" s="1"/>
  <c r="AX908" i="1"/>
  <c r="AX915" i="1" s="1"/>
  <c r="AY908" i="1"/>
  <c r="AY915" i="1" s="1"/>
  <c r="AZ908" i="1"/>
  <c r="AZ915" i="1" s="1"/>
  <c r="BA908" i="1"/>
  <c r="BA915" i="1" s="1"/>
  <c r="BB908" i="1"/>
  <c r="BB915" i="1" s="1"/>
  <c r="BC908" i="1"/>
  <c r="BC915" i="1" s="1"/>
  <c r="BD908" i="1"/>
  <c r="BE908" i="1"/>
  <c r="BE915" i="1" s="1"/>
  <c r="BH908" i="1"/>
  <c r="BH915" i="1" s="1"/>
  <c r="BJ908" i="1"/>
  <c r="BJ915" i="1" s="1"/>
  <c r="S911" i="1"/>
  <c r="BK911" i="1"/>
  <c r="BL911" i="1"/>
  <c r="BM911" i="1"/>
  <c r="BN911" i="1"/>
  <c r="S912" i="1"/>
  <c r="BK912" i="1"/>
  <c r="BL912" i="1"/>
  <c r="BM912" i="1"/>
  <c r="BN912" i="1"/>
  <c r="S913" i="1"/>
  <c r="BK913" i="1"/>
  <c r="BL913" i="1"/>
  <c r="BM913" i="1"/>
  <c r="BN913" i="1"/>
  <c r="S914" i="1"/>
  <c r="BK914" i="1"/>
  <c r="BL914" i="1"/>
  <c r="BM914" i="1"/>
  <c r="BN914" i="1"/>
  <c r="BI915" i="1"/>
  <c r="S918" i="1"/>
  <c r="BK918" i="1"/>
  <c r="BL918" i="1"/>
  <c r="BM918" i="1"/>
  <c r="BN918" i="1"/>
  <c r="S919" i="1"/>
  <c r="BK919" i="1"/>
  <c r="BL919" i="1"/>
  <c r="BM919" i="1"/>
  <c r="BN919" i="1"/>
  <c r="S920" i="1"/>
  <c r="BK920" i="1"/>
  <c r="BL920" i="1"/>
  <c r="BM920" i="1"/>
  <c r="BN920" i="1"/>
  <c r="D921" i="1"/>
  <c r="E921" i="1"/>
  <c r="F921" i="1"/>
  <c r="G921" i="1"/>
  <c r="H921" i="1"/>
  <c r="I921" i="1"/>
  <c r="J921" i="1"/>
  <c r="K921" i="1"/>
  <c r="L921" i="1"/>
  <c r="M921" i="1"/>
  <c r="N921" i="1"/>
  <c r="O921" i="1"/>
  <c r="P921" i="1"/>
  <c r="Q921" i="1"/>
  <c r="R921" i="1"/>
  <c r="T921" i="1"/>
  <c r="U921" i="1"/>
  <c r="V921" i="1"/>
  <c r="W921" i="1"/>
  <c r="X921" i="1"/>
  <c r="Y921" i="1"/>
  <c r="Z921" i="1"/>
  <c r="AA921" i="1"/>
  <c r="BL921" i="1" s="1"/>
  <c r="AB921" i="1"/>
  <c r="AC921" i="1"/>
  <c r="AD921" i="1"/>
  <c r="AE921" i="1"/>
  <c r="BM921" i="1" s="1"/>
  <c r="AF921" i="1"/>
  <c r="AG921" i="1"/>
  <c r="AH921" i="1"/>
  <c r="AI921" i="1"/>
  <c r="BN921" i="1" s="1"/>
  <c r="AJ921" i="1"/>
  <c r="AT921" i="1"/>
  <c r="AU921" i="1"/>
  <c r="AV921" i="1"/>
  <c r="AW921" i="1"/>
  <c r="AX921" i="1"/>
  <c r="AY921" i="1"/>
  <c r="AZ921" i="1"/>
  <c r="BA921" i="1"/>
  <c r="BB921" i="1"/>
  <c r="BC921" i="1"/>
  <c r="BD921" i="1"/>
  <c r="BG921" i="1" s="1"/>
  <c r="BE921" i="1"/>
  <c r="BH921" i="1"/>
  <c r="BI921" i="1"/>
  <c r="AF62" i="28" s="1"/>
  <c r="BJ921" i="1"/>
  <c r="AG62" i="28" s="1"/>
  <c r="BG950" i="1"/>
  <c r="BH950" i="1"/>
  <c r="BI950" i="1"/>
  <c r="BJ950" i="1"/>
  <c r="BK950" i="1"/>
  <c r="BL950" i="1"/>
  <c r="BM950" i="1"/>
  <c r="BN950" i="1"/>
  <c r="BG951" i="1"/>
  <c r="BH951" i="1"/>
  <c r="BI951" i="1"/>
  <c r="BJ951" i="1"/>
  <c r="BK951" i="1"/>
  <c r="BL951" i="1"/>
  <c r="BM951" i="1"/>
  <c r="BN951" i="1"/>
  <c r="BG952" i="1"/>
  <c r="BH952" i="1"/>
  <c r="BI952" i="1"/>
  <c r="BJ952" i="1"/>
  <c r="BK952" i="1"/>
  <c r="BL952" i="1"/>
  <c r="BM952" i="1"/>
  <c r="BN952" i="1"/>
  <c r="D953" i="1"/>
  <c r="E953" i="1"/>
  <c r="F953" i="1"/>
  <c r="G953" i="1"/>
  <c r="H953" i="1"/>
  <c r="I953" i="1"/>
  <c r="J953" i="1"/>
  <c r="K953" i="1"/>
  <c r="L953" i="1"/>
  <c r="M953" i="1"/>
  <c r="N953" i="1"/>
  <c r="O953" i="1"/>
  <c r="P953" i="1"/>
  <c r="Q953" i="1"/>
  <c r="R953" i="1"/>
  <c r="S953" i="1"/>
  <c r="T953" i="1"/>
  <c r="U953" i="1"/>
  <c r="V953" i="1"/>
  <c r="W953" i="1"/>
  <c r="X953" i="1"/>
  <c r="Y953" i="1"/>
  <c r="Z953" i="1"/>
  <c r="AA953" i="1"/>
  <c r="AB953" i="1"/>
  <c r="AC953" i="1"/>
  <c r="AD953" i="1"/>
  <c r="AE953" i="1"/>
  <c r="AF953" i="1"/>
  <c r="AG953" i="1"/>
  <c r="AK959" i="1" s="1"/>
  <c r="AH953" i="1"/>
  <c r="AL959" i="1" s="1"/>
  <c r="AI953" i="1"/>
  <c r="AM959" i="1" s="1"/>
  <c r="AJ953" i="1"/>
  <c r="B956" i="1"/>
  <c r="H956" i="1"/>
  <c r="I956" i="1"/>
  <c r="J956" i="1"/>
  <c r="K956" i="1"/>
  <c r="L956" i="1"/>
  <c r="M956" i="1"/>
  <c r="N956" i="1"/>
  <c r="O956" i="1"/>
  <c r="P956" i="1"/>
  <c r="Q956" i="1"/>
  <c r="R956" i="1"/>
  <c r="S956" i="1"/>
  <c r="T956" i="1"/>
  <c r="U956" i="1"/>
  <c r="V956" i="1"/>
  <c r="W956" i="1"/>
  <c r="X956" i="1"/>
  <c r="Y956" i="1"/>
  <c r="Z956" i="1"/>
  <c r="AA956" i="1"/>
  <c r="AB956" i="1"/>
  <c r="AC956" i="1"/>
  <c r="AD956" i="1"/>
  <c r="AE956" i="1"/>
  <c r="AF956" i="1"/>
  <c r="AG956" i="1"/>
  <c r="AH956" i="1"/>
  <c r="AI956" i="1"/>
  <c r="AJ956" i="1"/>
  <c r="B957" i="1"/>
  <c r="H957" i="1"/>
  <c r="I957" i="1"/>
  <c r="J957" i="1"/>
  <c r="K957" i="1"/>
  <c r="L957" i="1"/>
  <c r="M957" i="1"/>
  <c r="N957" i="1"/>
  <c r="O957" i="1"/>
  <c r="P957" i="1"/>
  <c r="Q957" i="1"/>
  <c r="R957" i="1"/>
  <c r="S957" i="1"/>
  <c r="T957" i="1"/>
  <c r="U957" i="1"/>
  <c r="V957" i="1"/>
  <c r="W957" i="1"/>
  <c r="X957" i="1"/>
  <c r="Y957" i="1"/>
  <c r="Z957" i="1"/>
  <c r="AA957" i="1"/>
  <c r="AB957" i="1"/>
  <c r="AC957" i="1"/>
  <c r="AD957" i="1"/>
  <c r="AE957" i="1"/>
  <c r="AF957" i="1"/>
  <c r="AG957" i="1"/>
  <c r="AH957" i="1"/>
  <c r="AI957" i="1"/>
  <c r="AJ957" i="1"/>
  <c r="B958" i="1"/>
  <c r="H958" i="1"/>
  <c r="I958" i="1"/>
  <c r="J958" i="1"/>
  <c r="K958" i="1"/>
  <c r="L958" i="1"/>
  <c r="M958" i="1"/>
  <c r="N958" i="1"/>
  <c r="O958" i="1"/>
  <c r="P958" i="1"/>
  <c r="Q958" i="1"/>
  <c r="R958" i="1"/>
  <c r="S958" i="1"/>
  <c r="T958" i="1"/>
  <c r="U958" i="1"/>
  <c r="V958" i="1"/>
  <c r="W958" i="1"/>
  <c r="X958" i="1"/>
  <c r="Y958" i="1"/>
  <c r="Z958" i="1"/>
  <c r="AA958" i="1"/>
  <c r="AB958" i="1"/>
  <c r="AC958" i="1"/>
  <c r="AD958" i="1"/>
  <c r="AE958" i="1"/>
  <c r="AF958" i="1"/>
  <c r="AG958" i="1"/>
  <c r="AH958" i="1"/>
  <c r="AI958" i="1"/>
  <c r="AJ958" i="1"/>
  <c r="B959" i="1"/>
  <c r="H962" i="1"/>
  <c r="I962" i="1"/>
  <c r="J962" i="1"/>
  <c r="K962" i="1"/>
  <c r="L962" i="1"/>
  <c r="M962" i="1"/>
  <c r="N962" i="1"/>
  <c r="O962" i="1"/>
  <c r="P962" i="1"/>
  <c r="Q962" i="1"/>
  <c r="R962" i="1"/>
  <c r="S962" i="1"/>
  <c r="T962" i="1"/>
  <c r="U962" i="1"/>
  <c r="V962" i="1"/>
  <c r="W962" i="1"/>
  <c r="X962" i="1"/>
  <c r="Y962" i="1"/>
  <c r="Z962" i="1"/>
  <c r="AA962" i="1"/>
  <c r="AB962" i="1"/>
  <c r="AC962" i="1"/>
  <c r="AD962" i="1"/>
  <c r="AE962" i="1"/>
  <c r="AF962" i="1"/>
  <c r="AG962" i="1"/>
  <c r="AH962" i="1"/>
  <c r="AI962" i="1"/>
  <c r="AJ962" i="1"/>
  <c r="H963" i="1"/>
  <c r="I963" i="1"/>
  <c r="J963" i="1"/>
  <c r="K963" i="1"/>
  <c r="L963" i="1"/>
  <c r="M963" i="1"/>
  <c r="N963" i="1"/>
  <c r="O963" i="1"/>
  <c r="P963" i="1"/>
  <c r="Q963" i="1"/>
  <c r="R963" i="1"/>
  <c r="S963" i="1"/>
  <c r="T963" i="1"/>
  <c r="U963" i="1"/>
  <c r="V963" i="1"/>
  <c r="W963" i="1"/>
  <c r="X963" i="1"/>
  <c r="Y963" i="1"/>
  <c r="Z963" i="1"/>
  <c r="AA963" i="1"/>
  <c r="AB963" i="1"/>
  <c r="AC963" i="1"/>
  <c r="AD963" i="1"/>
  <c r="AE963" i="1"/>
  <c r="AF963" i="1"/>
  <c r="AG963" i="1"/>
  <c r="AH963" i="1"/>
  <c r="AI963" i="1"/>
  <c r="AJ963" i="1"/>
  <c r="H964" i="1"/>
  <c r="I964" i="1"/>
  <c r="J964" i="1"/>
  <c r="K964" i="1"/>
  <c r="L964" i="1"/>
  <c r="M964" i="1"/>
  <c r="N964" i="1"/>
  <c r="O964" i="1"/>
  <c r="P964" i="1"/>
  <c r="Q964" i="1"/>
  <c r="R964" i="1"/>
  <c r="S964" i="1"/>
  <c r="T964" i="1"/>
  <c r="U964" i="1"/>
  <c r="V964" i="1"/>
  <c r="W964" i="1"/>
  <c r="X964" i="1"/>
  <c r="Y964" i="1"/>
  <c r="Z964" i="1"/>
  <c r="AA964" i="1"/>
  <c r="AB964" i="1"/>
  <c r="AC964" i="1"/>
  <c r="AD964" i="1"/>
  <c r="AE964" i="1"/>
  <c r="AF964" i="1"/>
  <c r="AG964" i="1"/>
  <c r="AH964" i="1"/>
  <c r="AI964" i="1"/>
  <c r="AJ964" i="1"/>
  <c r="H968" i="1"/>
  <c r="I968" i="1"/>
  <c r="J968" i="1"/>
  <c r="K968" i="1"/>
  <c r="L968" i="1"/>
  <c r="M968" i="1"/>
  <c r="N968" i="1"/>
  <c r="O968" i="1"/>
  <c r="P968" i="1"/>
  <c r="Q968" i="1"/>
  <c r="R968" i="1"/>
  <c r="T968" i="1"/>
  <c r="U968" i="1"/>
  <c r="V968" i="1"/>
  <c r="W968" i="1"/>
  <c r="X968" i="1"/>
  <c r="Y968" i="1"/>
  <c r="Z968" i="1"/>
  <c r="AA968" i="1"/>
  <c r="AB968" i="1"/>
  <c r="AC968" i="1"/>
  <c r="AD968" i="1"/>
  <c r="AE968" i="1"/>
  <c r="AF968" i="1"/>
  <c r="AG968" i="1"/>
  <c r="AH968" i="1"/>
  <c r="AI968" i="1"/>
  <c r="AJ968" i="1"/>
  <c r="BJ968" i="1"/>
  <c r="H969" i="1"/>
  <c r="I969" i="1"/>
  <c r="J969" i="1"/>
  <c r="K969" i="1"/>
  <c r="L969" i="1"/>
  <c r="M969" i="1"/>
  <c r="N969" i="1"/>
  <c r="O969" i="1"/>
  <c r="P969" i="1"/>
  <c r="Q969" i="1"/>
  <c r="R969" i="1"/>
  <c r="T969" i="1"/>
  <c r="U969" i="1"/>
  <c r="V969" i="1"/>
  <c r="W969" i="1"/>
  <c r="X969" i="1"/>
  <c r="Y969" i="1"/>
  <c r="Z969" i="1"/>
  <c r="AA969" i="1"/>
  <c r="AB969" i="1"/>
  <c r="AC969" i="1"/>
  <c r="AD969" i="1"/>
  <c r="AE969" i="1"/>
  <c r="AF969" i="1"/>
  <c r="AG969" i="1"/>
  <c r="AH969" i="1"/>
  <c r="AI969" i="1"/>
  <c r="AJ969" i="1"/>
  <c r="BJ969" i="1"/>
  <c r="H970" i="1"/>
  <c r="I970" i="1"/>
  <c r="J970" i="1"/>
  <c r="K970" i="1"/>
  <c r="L970" i="1"/>
  <c r="M970" i="1"/>
  <c r="N970" i="1"/>
  <c r="O970" i="1"/>
  <c r="P970" i="1"/>
  <c r="Q970" i="1"/>
  <c r="R970" i="1"/>
  <c r="T970" i="1"/>
  <c r="U970" i="1"/>
  <c r="V970" i="1"/>
  <c r="W970" i="1"/>
  <c r="X970" i="1"/>
  <c r="Y970" i="1"/>
  <c r="Z970" i="1"/>
  <c r="AA970" i="1"/>
  <c r="AB970" i="1"/>
  <c r="AC970" i="1"/>
  <c r="AD970" i="1"/>
  <c r="AE970" i="1"/>
  <c r="AF970" i="1"/>
  <c r="AG970" i="1"/>
  <c r="AH970" i="1"/>
  <c r="AI970" i="1"/>
  <c r="AJ970" i="1"/>
  <c r="BJ970" i="1"/>
  <c r="B980" i="1"/>
  <c r="B981" i="1"/>
  <c r="B982" i="1"/>
  <c r="B983" i="1"/>
  <c r="E1010" i="1"/>
  <c r="F1010" i="1" s="1"/>
  <c r="G1010" i="1" s="1"/>
  <c r="H1010" i="1" s="1"/>
  <c r="AF1010" i="1"/>
  <c r="AG1010" i="1"/>
  <c r="AK1010" i="1" s="1"/>
  <c r="AO1010" i="1" s="1"/>
  <c r="AH1010" i="1"/>
  <c r="AL1010" i="1" s="1"/>
  <c r="AP1010" i="1" s="1"/>
  <c r="AI1010" i="1"/>
  <c r="AM1010" i="1" s="1"/>
  <c r="AQ1010" i="1" s="1"/>
  <c r="E1011" i="1"/>
  <c r="AF1011" i="1"/>
  <c r="AJ1011" i="1" s="1"/>
  <c r="AN1011" i="1" s="1"/>
  <c r="AG1011" i="1"/>
  <c r="AK1011" i="1" s="1"/>
  <c r="AO1011" i="1" s="1"/>
  <c r="AH1011" i="1"/>
  <c r="AL1011" i="1" s="1"/>
  <c r="AP1011" i="1" s="1"/>
  <c r="AI1011" i="1"/>
  <c r="E1012" i="1"/>
  <c r="AF1012" i="1"/>
  <c r="AJ1012" i="1" s="1"/>
  <c r="AN1012" i="1" s="1"/>
  <c r="AG1012" i="1"/>
  <c r="AH1012" i="1"/>
  <c r="AL1012" i="1" s="1"/>
  <c r="AP1012" i="1" s="1"/>
  <c r="AI1012" i="1"/>
  <c r="AM1012" i="1" s="1"/>
  <c r="AQ1012" i="1" s="1"/>
  <c r="E1013" i="1"/>
  <c r="F1013" i="1" s="1"/>
  <c r="AF1013" i="1"/>
  <c r="AJ1013" i="1" s="1"/>
  <c r="AN1013" i="1" s="1"/>
  <c r="AG1013" i="1"/>
  <c r="AK1013" i="1" s="1"/>
  <c r="AO1013" i="1" s="1"/>
  <c r="AH1013" i="1"/>
  <c r="AL1013" i="1" s="1"/>
  <c r="AP1013" i="1" s="1"/>
  <c r="AI1013" i="1"/>
  <c r="E1014" i="1"/>
  <c r="AF1014" i="1"/>
  <c r="AJ1014" i="1" s="1"/>
  <c r="AN1014" i="1" s="1"/>
  <c r="AG1014" i="1"/>
  <c r="AH1014" i="1"/>
  <c r="AL1014" i="1" s="1"/>
  <c r="AP1014" i="1" s="1"/>
  <c r="AI1014" i="1"/>
  <c r="AM1014" i="1" s="1"/>
  <c r="AQ1014" i="1" s="1"/>
  <c r="D1015" i="1"/>
  <c r="AB1015" i="1"/>
  <c r="AC1015" i="1"/>
  <c r="AD1015" i="1"/>
  <c r="AE1015" i="1"/>
  <c r="B998" i="1"/>
  <c r="B999" i="1"/>
  <c r="B1003" i="1"/>
  <c r="B1004" i="1"/>
  <c r="H1005" i="1"/>
  <c r="I1005" i="1"/>
  <c r="J1005" i="1"/>
  <c r="K1005" i="1"/>
  <c r="AG1033" i="1"/>
  <c r="AG1032" i="1" s="1"/>
  <c r="AH1033" i="1"/>
  <c r="B1010" i="1"/>
  <c r="B1018" i="1" s="1"/>
  <c r="B1011" i="1"/>
  <c r="B1019" i="1" s="1"/>
  <c r="B1012" i="1"/>
  <c r="B1013" i="1"/>
  <c r="B1014" i="1"/>
  <c r="B1015" i="1"/>
  <c r="O335" i="1" l="1"/>
  <c r="K386" i="1"/>
  <c r="O395" i="1" s="1"/>
  <c r="S450" i="1"/>
  <c r="S456" i="1"/>
  <c r="BK451" i="1"/>
  <c r="W450" i="1"/>
  <c r="BH456" i="1"/>
  <c r="BH450" i="1"/>
  <c r="BI451" i="1"/>
  <c r="N335" i="1"/>
  <c r="J386" i="1"/>
  <c r="N395" i="1" s="1"/>
  <c r="M335" i="1"/>
  <c r="I386" i="1"/>
  <c r="M395" i="1" s="1"/>
  <c r="L335" i="1"/>
  <c r="H386" i="1"/>
  <c r="L395" i="1" s="1"/>
  <c r="BM969" i="1"/>
  <c r="BM449" i="1"/>
  <c r="BL969" i="1"/>
  <c r="BL449" i="1"/>
  <c r="BK450" i="1"/>
  <c r="BL451" i="1"/>
  <c r="BK456" i="1"/>
  <c r="BI456" i="1"/>
  <c r="BJ451" i="1"/>
  <c r="BJ450" i="1"/>
  <c r="BI450" i="1"/>
  <c r="Q176" i="521"/>
  <c r="Q176" i="520"/>
  <c r="P176" i="521"/>
  <c r="P176" i="520"/>
  <c r="T190" i="521"/>
  <c r="T193" i="521" s="1"/>
  <c r="T190" i="520"/>
  <c r="T193" i="520" s="1"/>
  <c r="O176" i="519"/>
  <c r="O177" i="519" s="1"/>
  <c r="O176" i="520"/>
  <c r="O176" i="521"/>
  <c r="R176" i="520"/>
  <c r="R176" i="521"/>
  <c r="S190" i="521"/>
  <c r="S193" i="521" s="1"/>
  <c r="S190" i="520"/>
  <c r="S193" i="520" s="1"/>
  <c r="N176" i="519"/>
  <c r="N14" i="519" s="1"/>
  <c r="N15" i="519" s="1"/>
  <c r="N176" i="521"/>
  <c r="N176" i="520"/>
  <c r="R190" i="520"/>
  <c r="R193" i="520" s="1"/>
  <c r="R190" i="521"/>
  <c r="R193" i="521" s="1"/>
  <c r="K176" i="519"/>
  <c r="K14" i="519" s="1"/>
  <c r="K15" i="519" s="1"/>
  <c r="K176" i="520"/>
  <c r="K176" i="521"/>
  <c r="L176" i="519"/>
  <c r="L177" i="519" s="1"/>
  <c r="L176" i="521"/>
  <c r="L176" i="520"/>
  <c r="J176" i="519"/>
  <c r="J14" i="519" s="1"/>
  <c r="J15" i="519" s="1"/>
  <c r="J176" i="520"/>
  <c r="J176" i="521"/>
  <c r="I176" i="519"/>
  <c r="I14" i="519" s="1"/>
  <c r="I15" i="519" s="1"/>
  <c r="I176" i="520"/>
  <c r="I176" i="521"/>
  <c r="H176" i="519"/>
  <c r="H14" i="519" s="1"/>
  <c r="H15" i="519" s="1"/>
  <c r="H176" i="521"/>
  <c r="H176" i="520"/>
  <c r="G176" i="519"/>
  <c r="G14" i="519" s="1"/>
  <c r="G15" i="519" s="1"/>
  <c r="G176" i="521"/>
  <c r="G176" i="520"/>
  <c r="F176" i="521"/>
  <c r="F176" i="520"/>
  <c r="E176" i="520"/>
  <c r="E176" i="521"/>
  <c r="D176" i="520"/>
  <c r="D176" i="521"/>
  <c r="Q190" i="521"/>
  <c r="Q193" i="521" s="1"/>
  <c r="Q190" i="520"/>
  <c r="Q193" i="520" s="1"/>
  <c r="T176" i="521"/>
  <c r="T176" i="520"/>
  <c r="S176" i="520"/>
  <c r="S176" i="521"/>
  <c r="Y25" i="522"/>
  <c r="Y19" i="522" s="1"/>
  <c r="Y20" i="522" s="1"/>
  <c r="R176" i="519"/>
  <c r="X25" i="522"/>
  <c r="X57" i="522" s="1"/>
  <c r="X51" i="522" s="1"/>
  <c r="X52" i="522" s="1"/>
  <c r="Q176" i="519"/>
  <c r="W25" i="522"/>
  <c r="W19" i="522" s="1"/>
  <c r="W20" i="522" s="1"/>
  <c r="P176" i="519"/>
  <c r="O14" i="519"/>
  <c r="O15" i="519" s="1"/>
  <c r="O202" i="519"/>
  <c r="O204" i="519" s="1"/>
  <c r="AU872" i="1"/>
  <c r="AU871" i="1" s="1"/>
  <c r="D176" i="519"/>
  <c r="G202" i="519"/>
  <c r="G177" i="519"/>
  <c r="AW872" i="1"/>
  <c r="AW871" i="1" s="1"/>
  <c r="F176" i="519"/>
  <c r="AV878" i="1"/>
  <c r="E176" i="519"/>
  <c r="AA25" i="522"/>
  <c r="T176" i="519"/>
  <c r="Z25" i="522"/>
  <c r="Z19" i="522" s="1"/>
  <c r="Z20" i="522" s="1"/>
  <c r="S176" i="519"/>
  <c r="BK937" i="1"/>
  <c r="BN937" i="1"/>
  <c r="BM937" i="1"/>
  <c r="BL937" i="1"/>
  <c r="S937" i="1"/>
  <c r="AV937" i="1"/>
  <c r="AV939" i="1" s="1"/>
  <c r="BC937" i="1"/>
  <c r="BC939" i="1" s="1"/>
  <c r="AU937" i="1"/>
  <c r="AU939" i="1" s="1"/>
  <c r="V939" i="1"/>
  <c r="M939" i="1"/>
  <c r="E939" i="1"/>
  <c r="BD937" i="1"/>
  <c r="BD939" i="1" s="1"/>
  <c r="G111" i="503"/>
  <c r="G112" i="198"/>
  <c r="G111" i="504"/>
  <c r="G111" i="523"/>
  <c r="H113" i="198"/>
  <c r="H112" i="504"/>
  <c r="H112" i="503"/>
  <c r="H112" i="523"/>
  <c r="I113" i="503"/>
  <c r="I113" i="504"/>
  <c r="I114" i="198"/>
  <c r="I113" i="523"/>
  <c r="F112" i="198"/>
  <c r="F111" i="503"/>
  <c r="F111" i="504"/>
  <c r="F111" i="523"/>
  <c r="G112" i="503"/>
  <c r="G113" i="198"/>
  <c r="G112" i="504"/>
  <c r="G112" i="523"/>
  <c r="BB937" i="1"/>
  <c r="BB939" i="1" s="1"/>
  <c r="AT937" i="1"/>
  <c r="AT939" i="1" s="1"/>
  <c r="AC939" i="1"/>
  <c r="U939" i="1"/>
  <c r="L939" i="1"/>
  <c r="D939" i="1"/>
  <c r="I112" i="504"/>
  <c r="I112" i="523"/>
  <c r="I112" i="503"/>
  <c r="I113" i="198"/>
  <c r="V97" i="1"/>
  <c r="V98" i="1" s="1"/>
  <c r="Z56" i="523"/>
  <c r="H114" i="198"/>
  <c r="H113" i="504"/>
  <c r="H113" i="523"/>
  <c r="H113" i="503"/>
  <c r="I117" i="523"/>
  <c r="I117" i="504"/>
  <c r="I118" i="198"/>
  <c r="BN938" i="1"/>
  <c r="I117" i="503"/>
  <c r="F112" i="503"/>
  <c r="F113" i="198"/>
  <c r="F112" i="504"/>
  <c r="F112" i="523"/>
  <c r="BA937" i="1"/>
  <c r="BA939" i="1" s="1"/>
  <c r="AJ939" i="1"/>
  <c r="AB939" i="1"/>
  <c r="T939" i="1"/>
  <c r="K939" i="1"/>
  <c r="H111" i="503"/>
  <c r="H111" i="504"/>
  <c r="H111" i="523"/>
  <c r="H112" i="198"/>
  <c r="J70" i="198"/>
  <c r="J69" i="523"/>
  <c r="J69" i="504"/>
  <c r="J69" i="503"/>
  <c r="G113" i="503"/>
  <c r="G114" i="198"/>
  <c r="G113" i="504"/>
  <c r="G113" i="523"/>
  <c r="I115" i="504"/>
  <c r="I115" i="523"/>
  <c r="I115" i="503"/>
  <c r="I116" i="198"/>
  <c r="H117" i="504"/>
  <c r="BM938" i="1"/>
  <c r="H117" i="503"/>
  <c r="H117" i="523"/>
  <c r="H118" i="198"/>
  <c r="AZ937" i="1"/>
  <c r="AZ939" i="1" s="1"/>
  <c r="AI939" i="1"/>
  <c r="AA939" i="1"/>
  <c r="R939" i="1"/>
  <c r="J939" i="1"/>
  <c r="E64" i="523"/>
  <c r="E29" i="523"/>
  <c r="AD941" i="1"/>
  <c r="F113" i="503"/>
  <c r="F114" i="198"/>
  <c r="F113" i="523"/>
  <c r="F113" i="504"/>
  <c r="H116" i="198"/>
  <c r="H115" i="504"/>
  <c r="H115" i="503"/>
  <c r="H115" i="523"/>
  <c r="G117" i="523"/>
  <c r="G117" i="504"/>
  <c r="BL938" i="1"/>
  <c r="G118" i="198"/>
  <c r="G117" i="503"/>
  <c r="BJ939" i="1"/>
  <c r="AY937" i="1"/>
  <c r="AY939" i="1" s="1"/>
  <c r="AH939" i="1"/>
  <c r="Z939" i="1"/>
  <c r="Q939" i="1"/>
  <c r="I939" i="1"/>
  <c r="AH97" i="1"/>
  <c r="AL98" i="1" s="1"/>
  <c r="AC56" i="523"/>
  <c r="Z97" i="1"/>
  <c r="AA56" i="523"/>
  <c r="D64" i="523"/>
  <c r="AD97" i="1"/>
  <c r="AD99" i="1" s="1"/>
  <c r="AB56" i="523"/>
  <c r="G115" i="503"/>
  <c r="G116" i="198"/>
  <c r="G115" i="504"/>
  <c r="G115" i="523"/>
  <c r="F117" i="503"/>
  <c r="F117" i="523"/>
  <c r="F117" i="504"/>
  <c r="BK938" i="1"/>
  <c r="F118" i="198"/>
  <c r="BH937" i="1"/>
  <c r="BH939" i="1" s="1"/>
  <c r="BI940" i="1" s="1"/>
  <c r="AX937" i="1"/>
  <c r="AX939" i="1" s="1"/>
  <c r="AG939" i="1"/>
  <c r="Y939" i="1"/>
  <c r="P939" i="1"/>
  <c r="H939" i="1"/>
  <c r="C64" i="523"/>
  <c r="I111" i="504"/>
  <c r="I111" i="523"/>
  <c r="I112" i="198"/>
  <c r="I111" i="503"/>
  <c r="F115" i="503"/>
  <c r="F116" i="198"/>
  <c r="F115" i="504"/>
  <c r="F115" i="523"/>
  <c r="S938" i="1"/>
  <c r="BE937" i="1"/>
  <c r="BE939" i="1" s="1"/>
  <c r="BF940" i="1" s="1"/>
  <c r="BF942" i="1" s="1"/>
  <c r="AW937" i="1"/>
  <c r="AW939" i="1" s="1"/>
  <c r="AF939" i="1"/>
  <c r="X939" i="1"/>
  <c r="O939" i="1"/>
  <c r="G939" i="1"/>
  <c r="AA78" i="1"/>
  <c r="AA86" i="1" s="1"/>
  <c r="AA101" i="1" s="1"/>
  <c r="AA941" i="1"/>
  <c r="E41" i="523"/>
  <c r="E119" i="523"/>
  <c r="L897" i="1"/>
  <c r="AV897" i="1"/>
  <c r="W897" i="1"/>
  <c r="W939" i="1"/>
  <c r="BB897" i="1"/>
  <c r="D897" i="1"/>
  <c r="BM889" i="1"/>
  <c r="AE939" i="1"/>
  <c r="N897" i="1"/>
  <c r="N939" i="1"/>
  <c r="F897" i="1"/>
  <c r="F939" i="1"/>
  <c r="BC897" i="1"/>
  <c r="AU897" i="1"/>
  <c r="AD897" i="1"/>
  <c r="AD939" i="1"/>
  <c r="V897" i="1"/>
  <c r="M897" i="1"/>
  <c r="E897" i="1"/>
  <c r="U897" i="1"/>
  <c r="AB897" i="1"/>
  <c r="AZ897" i="1"/>
  <c r="AA897" i="1"/>
  <c r="BL897" i="1" s="1"/>
  <c r="R897" i="1"/>
  <c r="J897" i="1"/>
  <c r="BA897" i="1"/>
  <c r="T897" i="1"/>
  <c r="AY897" i="1"/>
  <c r="Q897" i="1"/>
  <c r="AT897" i="1"/>
  <c r="AJ897" i="1"/>
  <c r="K897" i="1"/>
  <c r="BJ897" i="1"/>
  <c r="AH897" i="1"/>
  <c r="Z897" i="1"/>
  <c r="I897" i="1"/>
  <c r="BH897" i="1"/>
  <c r="AX897" i="1"/>
  <c r="AG897" i="1"/>
  <c r="Y897" i="1"/>
  <c r="P897" i="1"/>
  <c r="H897" i="1"/>
  <c r="AC897" i="1"/>
  <c r="BE897" i="1"/>
  <c r="AW897" i="1"/>
  <c r="AF897" i="1"/>
  <c r="X897" i="1"/>
  <c r="O897" i="1"/>
  <c r="G897" i="1"/>
  <c r="BY148" i="1"/>
  <c r="CA148" i="1" s="1"/>
  <c r="CC148" i="1" s="1"/>
  <c r="AJ311" i="1"/>
  <c r="AJ256" i="1" s="1"/>
  <c r="BO956" i="1"/>
  <c r="BO962" i="1"/>
  <c r="AM589" i="1"/>
  <c r="AQ589" i="1"/>
  <c r="AI624" i="1"/>
  <c r="AM630" i="1" s="1"/>
  <c r="AM36" i="1"/>
  <c r="AI343" i="1"/>
  <c r="AM351" i="1" s="1"/>
  <c r="AM252" i="1"/>
  <c r="AJ50" i="1"/>
  <c r="AJ51" i="1" s="1"/>
  <c r="C6" i="276"/>
  <c r="AI653" i="1"/>
  <c r="AM660" i="1" s="1"/>
  <c r="BO660" i="1"/>
  <c r="AJ125" i="1"/>
  <c r="BO125" i="1" s="1"/>
  <c r="BO832" i="1"/>
  <c r="BO868" i="1" s="1"/>
  <c r="E88" i="292"/>
  <c r="E89" i="292" s="1"/>
  <c r="E69" i="504"/>
  <c r="E69" i="503"/>
  <c r="AJ625" i="1"/>
  <c r="BO625" i="1" s="1"/>
  <c r="BO31" i="1"/>
  <c r="D88" i="292"/>
  <c r="D89" i="292" s="1"/>
  <c r="D69" i="504"/>
  <c r="D69" i="503"/>
  <c r="AI625" i="1"/>
  <c r="AM631" i="1" s="1"/>
  <c r="AM37" i="1"/>
  <c r="AK965" i="1"/>
  <c r="AK977" i="1" s="1"/>
  <c r="BO953" i="1"/>
  <c r="C88" i="292"/>
  <c r="C89" i="292" s="1"/>
  <c r="C69" i="504"/>
  <c r="C69" i="503"/>
  <c r="BO964" i="1"/>
  <c r="BO958" i="1"/>
  <c r="BO238" i="1"/>
  <c r="AJ750" i="1"/>
  <c r="BO745" i="1"/>
  <c r="BO750" i="1" s="1"/>
  <c r="E8" i="504"/>
  <c r="E119" i="504" s="1"/>
  <c r="E8" i="503"/>
  <c r="E119" i="503" s="1"/>
  <c r="BO957" i="1"/>
  <c r="BO963" i="1"/>
  <c r="E55" i="504"/>
  <c r="E55" i="503"/>
  <c r="AI565" i="1"/>
  <c r="AJ36" i="359" s="1"/>
  <c r="AM586" i="1"/>
  <c r="AJ749" i="1"/>
  <c r="BO744" i="1"/>
  <c r="BO749" i="1" s="1"/>
  <c r="AI508" i="1"/>
  <c r="AM511" i="1"/>
  <c r="AM513" i="1"/>
  <c r="BO223" i="1"/>
  <c r="BO218" i="1"/>
  <c r="AI488" i="1"/>
  <c r="AM496" i="1" s="1"/>
  <c r="E28" i="504"/>
  <c r="E28" i="503"/>
  <c r="D28" i="503"/>
  <c r="D28" i="504"/>
  <c r="C28" i="503"/>
  <c r="C28" i="504"/>
  <c r="AM539" i="1"/>
  <c r="AM540" i="1" s="1"/>
  <c r="AA28" i="522"/>
  <c r="AA60" i="522" s="1"/>
  <c r="T190" i="519"/>
  <c r="T193" i="519" s="1"/>
  <c r="Z28" i="522"/>
  <c r="Z60" i="522" s="1"/>
  <c r="S190" i="519"/>
  <c r="S193" i="519" s="1"/>
  <c r="Y28" i="522"/>
  <c r="Y60" i="522" s="1"/>
  <c r="R190" i="519"/>
  <c r="R193" i="519" s="1"/>
  <c r="X28" i="522"/>
  <c r="X60" i="522" s="1"/>
  <c r="Q190" i="519"/>
  <c r="Q193" i="519" s="1"/>
  <c r="C19" i="313"/>
  <c r="C28" i="313" s="1"/>
  <c r="M83" i="1"/>
  <c r="BM83" i="1"/>
  <c r="B19" i="313"/>
  <c r="B28" i="313" s="1"/>
  <c r="L83" i="1"/>
  <c r="W27" i="522"/>
  <c r="W41" i="522" s="1"/>
  <c r="W42" i="522" s="1"/>
  <c r="BJ83" i="1"/>
  <c r="I19" i="313"/>
  <c r="I28" i="313" s="1"/>
  <c r="S83" i="1"/>
  <c r="V27" i="522"/>
  <c r="V59" i="522" s="1"/>
  <c r="BI83" i="1"/>
  <c r="H19" i="313"/>
  <c r="H28" i="313" s="1"/>
  <c r="R83" i="1"/>
  <c r="D19" i="313"/>
  <c r="D28" i="313" s="1"/>
  <c r="N83" i="1"/>
  <c r="G19" i="313"/>
  <c r="G28" i="313" s="1"/>
  <c r="Q83" i="1"/>
  <c r="F19" i="313"/>
  <c r="F28" i="313" s="1"/>
  <c r="P83" i="1"/>
  <c r="E19" i="313"/>
  <c r="E28" i="313" s="1"/>
  <c r="O83" i="1"/>
  <c r="J19" i="313"/>
  <c r="J28" i="313" s="1"/>
  <c r="T83" i="1"/>
  <c r="K19" i="313"/>
  <c r="K28" i="313" s="1"/>
  <c r="U83" i="1"/>
  <c r="O27" i="522"/>
  <c r="O37" i="522" s="1"/>
  <c r="AI83" i="1"/>
  <c r="L27" i="522"/>
  <c r="L59" i="522" s="1"/>
  <c r="L73" i="522" s="1"/>
  <c r="L74" i="522" s="1"/>
  <c r="AF83" i="1"/>
  <c r="D27" i="522"/>
  <c r="D41" i="522" s="1"/>
  <c r="D42" i="522" s="1"/>
  <c r="X83" i="1"/>
  <c r="BL83" i="1" s="1"/>
  <c r="M19" i="313"/>
  <c r="M28" i="313" s="1"/>
  <c r="W83" i="1"/>
  <c r="Q878" i="1"/>
  <c r="AB991" i="1"/>
  <c r="L1027" i="1"/>
  <c r="AI19" i="1"/>
  <c r="AI106" i="1" s="1"/>
  <c r="K1027" i="1"/>
  <c r="B876" i="1"/>
  <c r="B23" i="522"/>
  <c r="B55" i="522" s="1"/>
  <c r="R19" i="313"/>
  <c r="R28" i="313" s="1"/>
  <c r="H27" i="522"/>
  <c r="Z57" i="522"/>
  <c r="Z51" i="522" s="1"/>
  <c r="Z52" i="522" s="1"/>
  <c r="BI111" i="1"/>
  <c r="D48" i="523" s="1"/>
  <c r="D65" i="523" s="1"/>
  <c r="V25" i="522"/>
  <c r="Q19" i="313"/>
  <c r="Q28" i="313" s="1"/>
  <c r="G27" i="522"/>
  <c r="AF871" i="1"/>
  <c r="L23" i="522" s="1"/>
  <c r="L55" i="522" s="1"/>
  <c r="L24" i="522"/>
  <c r="L56" i="522" s="1"/>
  <c r="AE871" i="1"/>
  <c r="K23" i="522" s="1"/>
  <c r="K55" i="522" s="1"/>
  <c r="K24" i="522"/>
  <c r="K56" i="522" s="1"/>
  <c r="AC871" i="1"/>
  <c r="I23" i="522" s="1"/>
  <c r="I55" i="522" s="1"/>
  <c r="I24" i="522"/>
  <c r="I56" i="522" s="1"/>
  <c r="P19" i="313"/>
  <c r="P28" i="313" s="1"/>
  <c r="F27" i="522"/>
  <c r="S19" i="313"/>
  <c r="S28" i="313" s="1"/>
  <c r="I27" i="522"/>
  <c r="AB871" i="1"/>
  <c r="H23" i="522" s="1"/>
  <c r="H55" i="522" s="1"/>
  <c r="H24" i="522"/>
  <c r="H56" i="522" s="1"/>
  <c r="W19" i="313"/>
  <c r="W28" i="313" s="1"/>
  <c r="M27" i="522"/>
  <c r="O19" i="313"/>
  <c r="O28" i="313" s="1"/>
  <c r="E27" i="522"/>
  <c r="Y871" i="1"/>
  <c r="E23" i="522" s="1"/>
  <c r="E55" i="522" s="1"/>
  <c r="E24" i="522"/>
  <c r="E56" i="522" s="1"/>
  <c r="AA57" i="522"/>
  <c r="AA51" i="522" s="1"/>
  <c r="AA52" i="522" s="1"/>
  <c r="AA19" i="522"/>
  <c r="AA20" i="522" s="1"/>
  <c r="AI871" i="1"/>
  <c r="O23" i="522" s="1"/>
  <c r="O55" i="522" s="1"/>
  <c r="O24" i="522"/>
  <c r="O56" i="522" s="1"/>
  <c r="AA871" i="1"/>
  <c r="G23" i="522" s="1"/>
  <c r="G55" i="522" s="1"/>
  <c r="G24" i="522"/>
  <c r="G56" i="522" s="1"/>
  <c r="AG871" i="1"/>
  <c r="M23" i="522" s="1"/>
  <c r="M55" i="522" s="1"/>
  <c r="M24" i="522"/>
  <c r="M56" i="522" s="1"/>
  <c r="T19" i="313"/>
  <c r="T28" i="313" s="1"/>
  <c r="J27" i="522"/>
  <c r="AH871" i="1"/>
  <c r="N23" i="522" s="1"/>
  <c r="N55" i="522" s="1"/>
  <c r="N24" i="522"/>
  <c r="N56" i="522" s="1"/>
  <c r="Z871" i="1"/>
  <c r="F23" i="522" s="1"/>
  <c r="F55" i="522" s="1"/>
  <c r="F24" i="522"/>
  <c r="F56" i="522" s="1"/>
  <c r="U19" i="313"/>
  <c r="U28" i="313" s="1"/>
  <c r="K27" i="522"/>
  <c r="Y19" i="313"/>
  <c r="Y28" i="313" s="1"/>
  <c r="AD19" i="1"/>
  <c r="AD106" i="1" s="1"/>
  <c r="AW21" i="468"/>
  <c r="AL540" i="1"/>
  <c r="AL201" i="1" s="1"/>
  <c r="AL196" i="1"/>
  <c r="AH51" i="1"/>
  <c r="AH198" i="1"/>
  <c r="Y51" i="1"/>
  <c r="Y198" i="1"/>
  <c r="N51" i="1"/>
  <c r="N198" i="1"/>
  <c r="AE51" i="1"/>
  <c r="AE198" i="1"/>
  <c r="X51" i="1"/>
  <c r="X198" i="1"/>
  <c r="M51" i="1"/>
  <c r="M198" i="1"/>
  <c r="AF51" i="1"/>
  <c r="AF198" i="1"/>
  <c r="L51" i="1"/>
  <c r="L198" i="1"/>
  <c r="AD51" i="1"/>
  <c r="AD198" i="1"/>
  <c r="AC51" i="1"/>
  <c r="AC198" i="1"/>
  <c r="AB51" i="1"/>
  <c r="AB198" i="1"/>
  <c r="Q51" i="1"/>
  <c r="Q198" i="1"/>
  <c r="AA51" i="1"/>
  <c r="AA198" i="1"/>
  <c r="P51" i="1"/>
  <c r="P198" i="1"/>
  <c r="AI51" i="1"/>
  <c r="AI198" i="1"/>
  <c r="Z51" i="1"/>
  <c r="Z198" i="1"/>
  <c r="O51" i="1"/>
  <c r="O198" i="1"/>
  <c r="W112" i="1"/>
  <c r="W67" i="1"/>
  <c r="BB112" i="1"/>
  <c r="BB67" i="1"/>
  <c r="AD112" i="1"/>
  <c r="AD67" i="1"/>
  <c r="V112" i="1"/>
  <c r="V67" i="1"/>
  <c r="N112" i="1"/>
  <c r="N67" i="1"/>
  <c r="F112" i="1"/>
  <c r="F67" i="1"/>
  <c r="BC112" i="1"/>
  <c r="BC67" i="1"/>
  <c r="O112" i="1"/>
  <c r="O67" i="1"/>
  <c r="E73" i="292"/>
  <c r="BJ67" i="1"/>
  <c r="BA112" i="1"/>
  <c r="BA67" i="1"/>
  <c r="AC112" i="1"/>
  <c r="AC67" i="1"/>
  <c r="U112" i="1"/>
  <c r="U67" i="1"/>
  <c r="M112" i="1"/>
  <c r="M67" i="1"/>
  <c r="E112" i="1"/>
  <c r="E67" i="1"/>
  <c r="BO68" i="1"/>
  <c r="J55" i="523" s="1"/>
  <c r="AJ67" i="1"/>
  <c r="BO67" i="1" s="1"/>
  <c r="AB112" i="1"/>
  <c r="AB67" i="1"/>
  <c r="L112" i="1"/>
  <c r="L67" i="1"/>
  <c r="D112" i="1"/>
  <c r="D67" i="1"/>
  <c r="AI112" i="1"/>
  <c r="AI67" i="1"/>
  <c r="S112" i="1"/>
  <c r="S67" i="1"/>
  <c r="K112" i="1"/>
  <c r="K67" i="1"/>
  <c r="G112" i="1"/>
  <c r="G67" i="1"/>
  <c r="AH112" i="1"/>
  <c r="AH67" i="1"/>
  <c r="R112" i="1"/>
  <c r="R67" i="1"/>
  <c r="J112" i="1"/>
  <c r="J67" i="1"/>
  <c r="AE112" i="1"/>
  <c r="AE67" i="1"/>
  <c r="BE112" i="1"/>
  <c r="BE67" i="1"/>
  <c r="AG112" i="1"/>
  <c r="AG67" i="1"/>
  <c r="Y112" i="1"/>
  <c r="Y67" i="1"/>
  <c r="Q112" i="1"/>
  <c r="Q67" i="1"/>
  <c r="I112" i="1"/>
  <c r="I67" i="1"/>
  <c r="BD112" i="1"/>
  <c r="BD67" i="1"/>
  <c r="AF112" i="1"/>
  <c r="AF67" i="1"/>
  <c r="X112" i="1"/>
  <c r="X67" i="1"/>
  <c r="P112" i="1"/>
  <c r="P67" i="1"/>
  <c r="H112" i="1"/>
  <c r="H67" i="1"/>
  <c r="BM134" i="1"/>
  <c r="BM932" i="1" s="1"/>
  <c r="BK134" i="1"/>
  <c r="BK932" i="1" s="1"/>
  <c r="S134" i="1"/>
  <c r="S932" i="1" s="1"/>
  <c r="BN134" i="1"/>
  <c r="BN932" i="1" s="1"/>
  <c r="BO934" i="1" s="1"/>
  <c r="BL134" i="1"/>
  <c r="BL932" i="1" s="1"/>
  <c r="AG50" i="1"/>
  <c r="BB122" i="298"/>
  <c r="AV21" i="468"/>
  <c r="AH624" i="1"/>
  <c r="AL630" i="1" s="1"/>
  <c r="AL36" i="1"/>
  <c r="AY21" i="468"/>
  <c r="AH623" i="1"/>
  <c r="AL629" i="1" s="1"/>
  <c r="AL35" i="1"/>
  <c r="C7" i="276"/>
  <c r="AQ65" i="359"/>
  <c r="AR65" i="359"/>
  <c r="AW24" i="468"/>
  <c r="AW19" i="468"/>
  <c r="AV24" i="468"/>
  <c r="AV29" i="468" s="1"/>
  <c r="AV19" i="468"/>
  <c r="AY24" i="468"/>
  <c r="AY29" i="468" s="1"/>
  <c r="AY19" i="468"/>
  <c r="AW54" i="468"/>
  <c r="AV54" i="468"/>
  <c r="AX21" i="468"/>
  <c r="AX24" i="468"/>
  <c r="AX29" i="468" s="1"/>
  <c r="AX19" i="468"/>
  <c r="AW56" i="468"/>
  <c r="AV56" i="468"/>
  <c r="AL465" i="1"/>
  <c r="AL195" i="1" s="1"/>
  <c r="AL252" i="1"/>
  <c r="AH565" i="1"/>
  <c r="AI36" i="359" s="1"/>
  <c r="AL586" i="1"/>
  <c r="AH572" i="1"/>
  <c r="AL511" i="1"/>
  <c r="AL513" i="1"/>
  <c r="AL177" i="1" s="1"/>
  <c r="AH559" i="1"/>
  <c r="AL558" i="1"/>
  <c r="AL559" i="1" s="1"/>
  <c r="AL272" i="1"/>
  <c r="AL194" i="1" s="1"/>
  <c r="AJ569" i="1"/>
  <c r="AN569" i="1" s="1"/>
  <c r="AN590" i="1"/>
  <c r="AQ571" i="1"/>
  <c r="AQ509" i="1" s="1"/>
  <c r="AJ568" i="1"/>
  <c r="AN589" i="1"/>
  <c r="AR99" i="468"/>
  <c r="AV30" i="468"/>
  <c r="AK485" i="1"/>
  <c r="AK487" i="1" s="1"/>
  <c r="AP1015" i="1"/>
  <c r="AK56" i="359"/>
  <c r="AK137" i="359" s="1"/>
  <c r="AO39" i="359"/>
  <c r="AP56" i="359"/>
  <c r="AP137" i="359" s="1"/>
  <c r="AQ39" i="359"/>
  <c r="AO56" i="359"/>
  <c r="AO137" i="359" s="1"/>
  <c r="S197" i="519"/>
  <c r="S199" i="519" s="1"/>
  <c r="T175" i="519"/>
  <c r="S178" i="519"/>
  <c r="T178" i="519"/>
  <c r="T197" i="519"/>
  <c r="T199" i="519" s="1"/>
  <c r="S175" i="519"/>
  <c r="R178" i="519"/>
  <c r="R197" i="519"/>
  <c r="R199" i="519" s="1"/>
  <c r="AB638" i="298"/>
  <c r="AO39" i="298"/>
  <c r="AO630" i="298"/>
  <c r="AB167" i="298"/>
  <c r="AB166" i="298" s="1"/>
  <c r="BC156" i="298"/>
  <c r="H160" i="298"/>
  <c r="I160" i="298"/>
  <c r="BC445" i="298"/>
  <c r="BC446" i="298" s="1"/>
  <c r="F638" i="298"/>
  <c r="M108" i="298"/>
  <c r="BD695" i="298"/>
  <c r="V545" i="298"/>
  <c r="V548" i="298" s="1"/>
  <c r="AZ351" i="298"/>
  <c r="AZ356" i="298" s="1"/>
  <c r="AZ357" i="298" s="1"/>
  <c r="P160" i="298"/>
  <c r="R167" i="298"/>
  <c r="R166" i="298" s="1"/>
  <c r="AA533" i="1"/>
  <c r="AE540" i="1"/>
  <c r="AE201" i="1" s="1"/>
  <c r="X533" i="1"/>
  <c r="AB540" i="1"/>
  <c r="AB201" i="1" s="1"/>
  <c r="AD533" i="1"/>
  <c r="AH540" i="1"/>
  <c r="AH201" i="1" s="1"/>
  <c r="AB508" i="1"/>
  <c r="AF513" i="1"/>
  <c r="AF177" i="1" s="1"/>
  <c r="Y572" i="1"/>
  <c r="Y570" i="1" s="1"/>
  <c r="AC513" i="1"/>
  <c r="AC177" i="1" s="1"/>
  <c r="AE572" i="1"/>
  <c r="AE570" i="1" s="1"/>
  <c r="AI513" i="1"/>
  <c r="AI177" i="1" s="1"/>
  <c r="AD572" i="1"/>
  <c r="AD570" i="1" s="1"/>
  <c r="AH513" i="1"/>
  <c r="AH177" i="1" s="1"/>
  <c r="AF572" i="1"/>
  <c r="AF570" i="1" s="1"/>
  <c r="AJ513" i="1"/>
  <c r="AJ177" i="1" s="1"/>
  <c r="AK544" i="1"/>
  <c r="AK513" i="1"/>
  <c r="AK177" i="1" s="1"/>
  <c r="BG466" i="1"/>
  <c r="AE14" i="1"/>
  <c r="BD897" i="1"/>
  <c r="BG897" i="1" s="1"/>
  <c r="BG889" i="1"/>
  <c r="BD163" i="1"/>
  <c r="BG163" i="1" s="1"/>
  <c r="BG155" i="1"/>
  <c r="BD164" i="1"/>
  <c r="BG164" i="1" s="1"/>
  <c r="BG156" i="1"/>
  <c r="BG265" i="1"/>
  <c r="BG268" i="1" s="1"/>
  <c r="BD915" i="1"/>
  <c r="BG915" i="1" s="1"/>
  <c r="BG908" i="1"/>
  <c r="BD165" i="1"/>
  <c r="BG165" i="1" s="1"/>
  <c r="BG157" i="1"/>
  <c r="BG533" i="1"/>
  <c r="BG543" i="1" s="1"/>
  <c r="BG541" i="1"/>
  <c r="F99" i="1"/>
  <c r="D99" i="1"/>
  <c r="W98" i="1"/>
  <c r="U98" i="1"/>
  <c r="N98" i="1"/>
  <c r="M98" i="1"/>
  <c r="M99" i="1"/>
  <c r="L98" i="1"/>
  <c r="L99" i="1"/>
  <c r="K98" i="1"/>
  <c r="K99" i="1"/>
  <c r="J98" i="1"/>
  <c r="H98" i="1"/>
  <c r="AJ99" i="1"/>
  <c r="AJ98" i="1"/>
  <c r="AI99" i="1"/>
  <c r="AI98" i="1"/>
  <c r="AG98" i="1"/>
  <c r="AK98" i="1"/>
  <c r="AE98" i="1"/>
  <c r="H9" i="267"/>
  <c r="H11" i="313" s="1"/>
  <c r="AF98" i="1"/>
  <c r="V61" i="1"/>
  <c r="V50" i="1"/>
  <c r="AC98" i="1"/>
  <c r="U61" i="1"/>
  <c r="U50" i="1"/>
  <c r="AB99" i="1"/>
  <c r="AB98" i="1"/>
  <c r="T61" i="1"/>
  <c r="T50" i="1"/>
  <c r="BD737" i="1"/>
  <c r="BG737" i="1" s="1"/>
  <c r="I98" i="1"/>
  <c r="AA98" i="1"/>
  <c r="S98" i="1"/>
  <c r="R98" i="1"/>
  <c r="Q98" i="1"/>
  <c r="Q99" i="1"/>
  <c r="S61" i="1"/>
  <c r="S50" i="1"/>
  <c r="X98" i="1"/>
  <c r="P98" i="1"/>
  <c r="R61" i="1"/>
  <c r="R50" i="1"/>
  <c r="Y98" i="1"/>
  <c r="T98" i="1"/>
  <c r="O98" i="1"/>
  <c r="BH61" i="1"/>
  <c r="BH50" i="1"/>
  <c r="BH51" i="1" s="1"/>
  <c r="BG61" i="1"/>
  <c r="BG50" i="1"/>
  <c r="BG51" i="1" s="1"/>
  <c r="BE61" i="1"/>
  <c r="BE50" i="1"/>
  <c r="BE51" i="1" s="1"/>
  <c r="BD61" i="1"/>
  <c r="BD50" i="1"/>
  <c r="BD51" i="1" s="1"/>
  <c r="BC61" i="1"/>
  <c r="BC50" i="1"/>
  <c r="BC51" i="1" s="1"/>
  <c r="BA61" i="1"/>
  <c r="BA50" i="1"/>
  <c r="BA51" i="1" s="1"/>
  <c r="BB61" i="1"/>
  <c r="BB50" i="1"/>
  <c r="BB51" i="1" s="1"/>
  <c r="AD321" i="298"/>
  <c r="S301" i="298"/>
  <c r="AJ678" i="1"/>
  <c r="AJ702" i="1" s="1"/>
  <c r="E10" i="276"/>
  <c r="BV154" i="1"/>
  <c r="D33" i="276" s="1"/>
  <c r="C8" i="276"/>
  <c r="V97" i="298"/>
  <c r="V94" i="298" s="1"/>
  <c r="CA46" i="468"/>
  <c r="AG625" i="1"/>
  <c r="AK631" i="1" s="1"/>
  <c r="AK37" i="1"/>
  <c r="AG624" i="1"/>
  <c r="AK630" i="1" s="1"/>
  <c r="AK36" i="1"/>
  <c r="AG508" i="1"/>
  <c r="AK511" i="1"/>
  <c r="AN72" i="1"/>
  <c r="AO72" i="1" s="1"/>
  <c r="AP72" i="1" s="1"/>
  <c r="AQ72" i="1" s="1"/>
  <c r="AC337" i="1"/>
  <c r="Y337" i="1" s="1"/>
  <c r="U337" i="1" s="1"/>
  <c r="AK337" i="1"/>
  <c r="AO337" i="1" s="1"/>
  <c r="AG559" i="1"/>
  <c r="AK558" i="1"/>
  <c r="AK559" i="1" s="1"/>
  <c r="AK252" i="1"/>
  <c r="AN28" i="1"/>
  <c r="AM704" i="298"/>
  <c r="AM716" i="298" s="1"/>
  <c r="BE697" i="298"/>
  <c r="BA494" i="298"/>
  <c r="BY44" i="468"/>
  <c r="BV14" i="468"/>
  <c r="AP314" i="298"/>
  <c r="AO314" i="298"/>
  <c r="AD476" i="298"/>
  <c r="AA714" i="298"/>
  <c r="AT35" i="298"/>
  <c r="AP33" i="298"/>
  <c r="W303" i="298"/>
  <c r="X34" i="298"/>
  <c r="AL35" i="298"/>
  <c r="AA72" i="359"/>
  <c r="D62" i="292"/>
  <c r="BH957" i="1"/>
  <c r="U545" i="298"/>
  <c r="U548" i="298" s="1"/>
  <c r="AD316" i="298"/>
  <c r="BB634" i="298"/>
  <c r="BB633" i="298" s="1"/>
  <c r="BB638" i="298" s="1"/>
  <c r="P19" i="468"/>
  <c r="AF126" i="298"/>
  <c r="J31" i="28"/>
  <c r="J33" i="28" s="1"/>
  <c r="BX44" i="468"/>
  <c r="AC60" i="359"/>
  <c r="AC142" i="359" s="1"/>
  <c r="AG965" i="1"/>
  <c r="S304" i="298"/>
  <c r="AO167" i="298"/>
  <c r="AO172" i="298" s="1"/>
  <c r="Y133" i="298"/>
  <c r="Y14" i="298" s="1"/>
  <c r="Y177" i="298" s="1"/>
  <c r="AO97" i="298"/>
  <c r="AO94" i="298" s="1"/>
  <c r="W94" i="298"/>
  <c r="CC85" i="293"/>
  <c r="W684" i="298"/>
  <c r="K366" i="298"/>
  <c r="Q684" i="298"/>
  <c r="AM634" i="298"/>
  <c r="AM633" i="298" s="1"/>
  <c r="AM638" i="298" s="1"/>
  <c r="AK41" i="298"/>
  <c r="AP530" i="298"/>
  <c r="AP532" i="298" s="1"/>
  <c r="AP534" i="298" s="1"/>
  <c r="AP541" i="298" s="1"/>
  <c r="AX878" i="1"/>
  <c r="R713" i="298"/>
  <c r="AU364" i="298"/>
  <c r="AP317" i="298"/>
  <c r="AQ182" i="298"/>
  <c r="AU167" i="298"/>
  <c r="AU166" i="298" s="1"/>
  <c r="AV171" i="298" s="1"/>
  <c r="AY171" i="298" s="1"/>
  <c r="R160" i="298"/>
  <c r="AA108" i="298"/>
  <c r="AD34" i="298"/>
  <c r="BV85" i="293"/>
  <c r="AV19" i="28"/>
  <c r="AL39" i="298"/>
  <c r="X684" i="298"/>
  <c r="L108" i="298"/>
  <c r="AZ428" i="298"/>
  <c r="BA320" i="298"/>
  <c r="AR94" i="298"/>
  <c r="P35" i="298"/>
  <c r="AE34" i="298"/>
  <c r="V39" i="298"/>
  <c r="N33" i="298"/>
  <c r="CB85" i="293"/>
  <c r="J22" i="28"/>
  <c r="J23" i="28" s="1"/>
  <c r="J24" i="28" s="1"/>
  <c r="J430" i="298"/>
  <c r="J369" i="298" s="1"/>
  <c r="AS328" i="298"/>
  <c r="AS332" i="298" s="1"/>
  <c r="AS334" i="298" s="1"/>
  <c r="AS338" i="298" s="1"/>
  <c r="AU316" i="298"/>
  <c r="AE303" i="298"/>
  <c r="F41" i="298"/>
  <c r="AV33" i="298"/>
  <c r="AY33" i="298" s="1"/>
  <c r="L33" i="298"/>
  <c r="BC872" i="1"/>
  <c r="BC877" i="1" s="1"/>
  <c r="BC878" i="1"/>
  <c r="BB111" i="1"/>
  <c r="BB97" i="1" s="1"/>
  <c r="BB878" i="1"/>
  <c r="BA111" i="1"/>
  <c r="BA878" i="1"/>
  <c r="AZ111" i="1"/>
  <c r="AZ878" i="1"/>
  <c r="AY111" i="1"/>
  <c r="AY878" i="1"/>
  <c r="BE111" i="1"/>
  <c r="BE878" i="1"/>
  <c r="BC252" i="1"/>
  <c r="AA657" i="1"/>
  <c r="BL964" i="1"/>
  <c r="BL976" i="1" s="1"/>
  <c r="Z322" i="298"/>
  <c r="J108" i="298"/>
  <c r="AE295" i="298"/>
  <c r="AE307" i="298" s="1"/>
  <c r="M320" i="298"/>
  <c r="Y476" i="298"/>
  <c r="BB440" i="298"/>
  <c r="BB130" i="298" s="1"/>
  <c r="BD709" i="298"/>
  <c r="BE351" i="298"/>
  <c r="M316" i="298"/>
  <c r="BC709" i="298"/>
  <c r="BC710" i="298" s="1"/>
  <c r="X698" i="298"/>
  <c r="BD351" i="298"/>
  <c r="BE353" i="298" s="1"/>
  <c r="BE129" i="298" s="1"/>
  <c r="AC160" i="298"/>
  <c r="BY46" i="468"/>
  <c r="S683" i="298"/>
  <c r="AT448" i="298"/>
  <c r="BC351" i="298"/>
  <c r="BC352" i="298" s="1"/>
  <c r="U160" i="298"/>
  <c r="Z34" i="298"/>
  <c r="U704" i="298"/>
  <c r="BE701" i="298"/>
  <c r="BE713" i="298" s="1"/>
  <c r="L313" i="298"/>
  <c r="AL108" i="298"/>
  <c r="BA94" i="298"/>
  <c r="X133" i="298"/>
  <c r="X14" i="298" s="1"/>
  <c r="R868" i="1"/>
  <c r="Q698" i="298"/>
  <c r="AE530" i="298"/>
  <c r="AE532" i="298" s="1"/>
  <c r="AE534" i="298" s="1"/>
  <c r="AE542" i="298" s="1"/>
  <c r="BE21" i="468"/>
  <c r="BQ45" i="468"/>
  <c r="AZ695" i="298"/>
  <c r="V125" i="298"/>
  <c r="V126" i="298" s="1"/>
  <c r="BC466" i="298"/>
  <c r="BD470" i="298" s="1"/>
  <c r="BD158" i="298"/>
  <c r="BA634" i="298"/>
  <c r="BA633" i="298" s="1"/>
  <c r="E545" i="298"/>
  <c r="E548" i="298" s="1"/>
  <c r="K510" i="298"/>
  <c r="AW108" i="298"/>
  <c r="P108" i="298"/>
  <c r="BB545" i="298"/>
  <c r="BB548" i="298" s="1"/>
  <c r="BE158" i="298"/>
  <c r="AR24" i="298"/>
  <c r="O448" i="298"/>
  <c r="O430" i="298"/>
  <c r="O369" i="298" s="1"/>
  <c r="AR298" i="298"/>
  <c r="AR315" i="298" s="1"/>
  <c r="G519" i="298"/>
  <c r="G21" i="298" s="1"/>
  <c r="AQ329" i="298"/>
  <c r="AQ341" i="298" s="1"/>
  <c r="AT160" i="298"/>
  <c r="F519" i="298"/>
  <c r="F21" i="298" s="1"/>
  <c r="F24" i="298" s="1"/>
  <c r="AJ868" i="1"/>
  <c r="I476" i="298"/>
  <c r="AQ41" i="298"/>
  <c r="H476" i="298"/>
  <c r="E638" i="298"/>
  <c r="M772" i="1"/>
  <c r="M775" i="1" s="1"/>
  <c r="M776" i="1" s="1"/>
  <c r="V975" i="1"/>
  <c r="BA105" i="468"/>
  <c r="BB630" i="298"/>
  <c r="F40" i="298"/>
  <c r="CI85" i="293"/>
  <c r="AB65" i="359"/>
  <c r="F639" i="298"/>
  <c r="BA707" i="298"/>
  <c r="AY635" i="298"/>
  <c r="AY634" i="298" s="1"/>
  <c r="AY633" i="298" s="1"/>
  <c r="AO40" i="298"/>
  <c r="CS85" i="293"/>
  <c r="J519" i="298"/>
  <c r="J21" i="298" s="1"/>
  <c r="AV630" i="298"/>
  <c r="AS307" i="298"/>
  <c r="BS44" i="468"/>
  <c r="J704" i="298"/>
  <c r="J510" i="298"/>
  <c r="AP68" i="298"/>
  <c r="AM41" i="298"/>
  <c r="AA505" i="298"/>
  <c r="AA519" i="298" s="1"/>
  <c r="AA181" i="298" s="1"/>
  <c r="AA182" i="298" s="1"/>
  <c r="P713" i="298"/>
  <c r="BE695" i="298"/>
  <c r="H704" i="298"/>
  <c r="BA473" i="298"/>
  <c r="BB474" i="298" s="1"/>
  <c r="AC352" i="298"/>
  <c r="AV328" i="298"/>
  <c r="AV332" i="298" s="1"/>
  <c r="AV334" i="298" s="1"/>
  <c r="AF316" i="298"/>
  <c r="Q19" i="28"/>
  <c r="AR640" i="298"/>
  <c r="T133" i="298"/>
  <c r="T14" i="298" s="1"/>
  <c r="T177" i="298" s="1"/>
  <c r="V40" i="298"/>
  <c r="AG136" i="298"/>
  <c r="BX85" i="293"/>
  <c r="Y704" i="298"/>
  <c r="T713" i="298"/>
  <c r="L318" i="298"/>
  <c r="AQ640" i="298"/>
  <c r="R714" i="298"/>
  <c r="AP640" i="298"/>
  <c r="X715" i="298"/>
  <c r="AO640" i="298"/>
  <c r="M639" i="298"/>
  <c r="AF476" i="298"/>
  <c r="AD467" i="298"/>
  <c r="V315" i="298"/>
  <c r="AM167" i="298"/>
  <c r="AN172" i="298" s="1"/>
  <c r="L317" i="298"/>
  <c r="U714" i="298"/>
  <c r="Q448" i="298"/>
  <c r="AM40" i="298"/>
  <c r="L316" i="298"/>
  <c r="AQ167" i="298"/>
  <c r="H33" i="298"/>
  <c r="AF713" i="298"/>
  <c r="AP315" i="298"/>
  <c r="W715" i="298"/>
  <c r="AL698" i="298"/>
  <c r="AN640" i="298"/>
  <c r="AR328" i="298"/>
  <c r="L315" i="298"/>
  <c r="O302" i="298"/>
  <c r="AE153" i="298"/>
  <c r="AM640" i="298"/>
  <c r="M153" i="298"/>
  <c r="AN710" i="298"/>
  <c r="AC474" i="298"/>
  <c r="S106" i="298"/>
  <c r="AW510" i="298"/>
  <c r="AZ510" i="298" s="1"/>
  <c r="AV684" i="298"/>
  <c r="I448" i="298"/>
  <c r="AA167" i="298"/>
  <c r="AA166" i="298" s="1"/>
  <c r="R108" i="298"/>
  <c r="AN94" i="298"/>
  <c r="AD698" i="298"/>
  <c r="AA476" i="298"/>
  <c r="X313" i="298"/>
  <c r="U167" i="298"/>
  <c r="U166" i="298" s="1"/>
  <c r="U171" i="298" s="1"/>
  <c r="BE150" i="298"/>
  <c r="AZ108" i="298"/>
  <c r="AM35" i="298"/>
  <c r="M439" i="298"/>
  <c r="Z714" i="298"/>
  <c r="W710" i="298"/>
  <c r="V322" i="298"/>
  <c r="BC515" i="298"/>
  <c r="AA125" i="298"/>
  <c r="AA126" i="298" s="1"/>
  <c r="L322" i="298"/>
  <c r="BC505" i="298"/>
  <c r="BC510" i="298" s="1"/>
  <c r="BB108" i="298"/>
  <c r="AQ93" i="468"/>
  <c r="BV93" i="468"/>
  <c r="AN634" i="298"/>
  <c r="AN639" i="298" s="1"/>
  <c r="AQ530" i="298"/>
  <c r="V476" i="298"/>
  <c r="AV446" i="298"/>
  <c r="AY446" i="298" s="1"/>
  <c r="T413" i="298"/>
  <c r="AF321" i="298"/>
  <c r="BC518" i="298"/>
  <c r="BC523" i="298" s="1"/>
  <c r="Q31" i="28"/>
  <c r="Q33" i="28" s="1"/>
  <c r="AA639" i="298"/>
  <c r="AN630" i="298"/>
  <c r="AF319" i="298"/>
  <c r="Q159" i="298"/>
  <c r="BE468" i="298"/>
  <c r="BE131" i="298" s="1"/>
  <c r="A39" i="468"/>
  <c r="A44" i="468" s="1"/>
  <c r="A34" i="468" s="1"/>
  <c r="A49" i="468" s="1"/>
  <c r="A54" i="468" s="1"/>
  <c r="AM630" i="298"/>
  <c r="F545" i="298"/>
  <c r="F548" i="298" s="1"/>
  <c r="J549" i="298" s="1"/>
  <c r="AO318" i="298"/>
  <c r="BB150" i="298"/>
  <c r="AF108" i="298"/>
  <c r="AN40" i="298"/>
  <c r="AX105" i="468"/>
  <c r="L630" i="298"/>
  <c r="K476" i="298"/>
  <c r="AF352" i="298"/>
  <c r="X321" i="298"/>
  <c r="BA61" i="468"/>
  <c r="AK640" i="298"/>
  <c r="AQ320" i="298"/>
  <c r="U153" i="298"/>
  <c r="AA159" i="298"/>
  <c r="AA638" i="298"/>
  <c r="L714" i="298"/>
  <c r="J630" i="298"/>
  <c r="D545" i="298"/>
  <c r="D548" i="298" s="1"/>
  <c r="AD318" i="298"/>
  <c r="U94" i="298"/>
  <c r="AL40" i="298"/>
  <c r="Q510" i="298"/>
  <c r="L321" i="298"/>
  <c r="Q476" i="298"/>
  <c r="BD701" i="298"/>
  <c r="BD713" i="298" s="1"/>
  <c r="AW366" i="298"/>
  <c r="V320" i="298"/>
  <c r="AU630" i="298"/>
  <c r="R715" i="298"/>
  <c r="I630" i="298"/>
  <c r="V318" i="298"/>
  <c r="BB94" i="298"/>
  <c r="AK40" i="298"/>
  <c r="AF551" i="298"/>
  <c r="AF557" i="298" s="1"/>
  <c r="AF532" i="298"/>
  <c r="AF534" i="298" s="1"/>
  <c r="AF542" i="298" s="1"/>
  <c r="Q65" i="359"/>
  <c r="N630" i="298"/>
  <c r="AY322" i="298"/>
  <c r="BM127" i="298"/>
  <c r="Q133" i="298"/>
  <c r="Q14" i="298" s="1"/>
  <c r="Q177" i="298" s="1"/>
  <c r="R34" i="298"/>
  <c r="S519" i="298"/>
  <c r="S21" i="298" s="1"/>
  <c r="S24" i="298" s="1"/>
  <c r="AF137" i="298"/>
  <c r="CB16" i="468"/>
  <c r="K713" i="298"/>
  <c r="K719" i="298" s="1"/>
  <c r="BC701" i="298"/>
  <c r="BC713" i="298" s="1"/>
  <c r="N638" i="298"/>
  <c r="M630" i="298"/>
  <c r="AO322" i="298"/>
  <c r="M313" i="298"/>
  <c r="O307" i="298"/>
  <c r="W152" i="298"/>
  <c r="R519" i="298"/>
  <c r="R524" i="298" s="1"/>
  <c r="AU12" i="298"/>
  <c r="AU710" i="298" s="1"/>
  <c r="AV634" i="298"/>
  <c r="AV633" i="298" s="1"/>
  <c r="S545" i="298"/>
  <c r="S548" i="298" s="1"/>
  <c r="S549" i="298" s="1"/>
  <c r="V510" i="298"/>
  <c r="R322" i="298"/>
  <c r="H318" i="298"/>
  <c r="AL167" i="298"/>
  <c r="BE703" i="298"/>
  <c r="BE715" i="298" s="1"/>
  <c r="U713" i="298"/>
  <c r="AR634" i="298"/>
  <c r="AR633" i="298" s="1"/>
  <c r="AR638" i="298" s="1"/>
  <c r="R545" i="298"/>
  <c r="R548" i="298" s="1"/>
  <c r="U510" i="298"/>
  <c r="AV439" i="298"/>
  <c r="AY439" i="298" s="1"/>
  <c r="M322" i="298"/>
  <c r="BD317" i="298"/>
  <c r="AU251" i="298"/>
  <c r="AO182" i="298"/>
  <c r="AK167" i="298"/>
  <c r="AM94" i="298"/>
  <c r="U715" i="298"/>
  <c r="T715" i="298"/>
  <c r="AK18" i="298"/>
  <c r="F62" i="292"/>
  <c r="H713" i="298"/>
  <c r="H719" i="298" s="1"/>
  <c r="AW634" i="298"/>
  <c r="AW633" i="298" s="1"/>
  <c r="W510" i="298"/>
  <c r="BC363" i="298"/>
  <c r="BC364" i="298" s="1"/>
  <c r="T322" i="298"/>
  <c r="AF69" i="298"/>
  <c r="AF74" i="298" s="1"/>
  <c r="Q545" i="298"/>
  <c r="Q548" i="298" s="1"/>
  <c r="AO530" i="298"/>
  <c r="AO532" i="298" s="1"/>
  <c r="AO534" i="298" s="1"/>
  <c r="AO541" i="298" s="1"/>
  <c r="R510" i="298"/>
  <c r="AN182" i="298"/>
  <c r="S18" i="298"/>
  <c r="S79" i="298" s="1"/>
  <c r="AP634" i="298"/>
  <c r="AP633" i="298" s="1"/>
  <c r="AP638" i="298" s="1"/>
  <c r="AN530" i="298"/>
  <c r="AN532" i="298" s="1"/>
  <c r="AN534" i="298" s="1"/>
  <c r="AN541" i="298" s="1"/>
  <c r="Y446" i="298"/>
  <c r="BC321" i="298"/>
  <c r="V317" i="298"/>
  <c r="AM182" i="298"/>
  <c r="J34" i="298"/>
  <c r="AC33" i="298"/>
  <c r="AF72" i="359"/>
  <c r="W714" i="298"/>
  <c r="Y684" i="298"/>
  <c r="AM530" i="298"/>
  <c r="AM532" i="298" s="1"/>
  <c r="AM534" i="298" s="1"/>
  <c r="AM541" i="298" s="1"/>
  <c r="AU321" i="298"/>
  <c r="P317" i="298"/>
  <c r="AA305" i="298"/>
  <c r="BL134" i="298"/>
  <c r="BL135" i="298" s="1"/>
  <c r="BI117" i="298"/>
  <c r="BJ117" i="298" s="1"/>
  <c r="BK117" i="298" s="1"/>
  <c r="O97" i="298"/>
  <c r="O94" i="298" s="1"/>
  <c r="AP21" i="298"/>
  <c r="AP24" i="298" s="1"/>
  <c r="AE65" i="359"/>
  <c r="AO634" i="298"/>
  <c r="AO633" i="298" s="1"/>
  <c r="AO638" i="298" s="1"/>
  <c r="M545" i="298"/>
  <c r="M548" i="298" s="1"/>
  <c r="BE473" i="298"/>
  <c r="BE474" i="298" s="1"/>
  <c r="AE448" i="298"/>
  <c r="AP321" i="298"/>
  <c r="M317" i="298"/>
  <c r="M310" i="298"/>
  <c r="AC167" i="298"/>
  <c r="AC166" i="298" s="1"/>
  <c r="BK134" i="298"/>
  <c r="BK135" i="298" s="1"/>
  <c r="N108" i="298"/>
  <c r="Y35" i="298"/>
  <c r="H34" i="298"/>
  <c r="W33" i="298"/>
  <c r="AY518" i="298"/>
  <c r="AY523" i="298" s="1"/>
  <c r="AD364" i="298"/>
  <c r="AE352" i="298"/>
  <c r="AL41" i="298"/>
  <c r="M136" i="1"/>
  <c r="M945" i="1" s="1"/>
  <c r="AQ698" i="298"/>
  <c r="AZ466" i="298"/>
  <c r="BA471" i="298" s="1"/>
  <c r="Y167" i="298"/>
  <c r="Y166" i="298" s="1"/>
  <c r="BE151" i="298"/>
  <c r="V35" i="298"/>
  <c r="T33" i="298"/>
  <c r="V746" i="1"/>
  <c r="V229" i="1" s="1"/>
  <c r="V230" i="1" s="1"/>
  <c r="V321" i="298"/>
  <c r="W167" i="298"/>
  <c r="W166" i="298" s="1"/>
  <c r="N136" i="298"/>
  <c r="BG105" i="468"/>
  <c r="BS93" i="468"/>
  <c r="AN704" i="298"/>
  <c r="R448" i="298"/>
  <c r="AA364" i="298"/>
  <c r="P321" i="298"/>
  <c r="V316" i="298"/>
  <c r="S309" i="298"/>
  <c r="AV185" i="298"/>
  <c r="AY185" i="298" s="1"/>
  <c r="AA704" i="298"/>
  <c r="H684" i="298"/>
  <c r="AA630" i="298"/>
  <c r="S124" i="298"/>
  <c r="N35" i="298"/>
  <c r="Z136" i="298"/>
  <c r="S22" i="28"/>
  <c r="S23" i="28" s="1"/>
  <c r="S24" i="28" s="1"/>
  <c r="W188" i="1"/>
  <c r="N19" i="468"/>
  <c r="V639" i="298"/>
  <c r="Z630" i="298"/>
  <c r="V319" i="298"/>
  <c r="V314" i="298"/>
  <c r="AB185" i="298"/>
  <c r="AL710" i="298"/>
  <c r="X713" i="298"/>
  <c r="AL640" i="298"/>
  <c r="AK108" i="298"/>
  <c r="M746" i="1"/>
  <c r="M22" i="1" s="1"/>
  <c r="C13" i="313" s="1"/>
  <c r="AY319" i="298"/>
  <c r="H714" i="298"/>
  <c r="H720" i="298" s="1"/>
  <c r="F684" i="298"/>
  <c r="W630" i="298"/>
  <c r="AD356" i="298"/>
  <c r="M314" i="298"/>
  <c r="AU153" i="298"/>
  <c r="BD157" i="298"/>
  <c r="W519" i="298"/>
  <c r="W524" i="298" s="1"/>
  <c r="AV125" i="298"/>
  <c r="AV126" i="298" s="1"/>
  <c r="AY126" i="298" s="1"/>
  <c r="I64" i="28"/>
  <c r="J65" i="28" s="1"/>
  <c r="AN19" i="468"/>
  <c r="BQ44" i="468"/>
  <c r="K715" i="298"/>
  <c r="K721" i="298" s="1"/>
  <c r="AQ524" i="298"/>
  <c r="L314" i="298"/>
  <c r="AB159" i="298"/>
  <c r="O133" i="298"/>
  <c r="O14" i="298" s="1"/>
  <c r="AE133" i="298"/>
  <c r="AE14" i="298" s="1"/>
  <c r="AZ505" i="298"/>
  <c r="AZ12" i="298" s="1"/>
  <c r="H62" i="292"/>
  <c r="J74" i="28"/>
  <c r="H64" i="28"/>
  <c r="AJ21" i="468"/>
  <c r="BP44" i="468"/>
  <c r="BP61" i="468" s="1"/>
  <c r="T65" i="359"/>
  <c r="U630" i="298"/>
  <c r="AO524" i="298"/>
  <c r="U474" i="298"/>
  <c r="U467" i="298"/>
  <c r="BB313" i="298"/>
  <c r="Y160" i="298"/>
  <c r="P125" i="298"/>
  <c r="P126" i="298" s="1"/>
  <c r="G74" i="28"/>
  <c r="BD320" i="298"/>
  <c r="E108" i="298"/>
  <c r="L619" i="298"/>
  <c r="AU314" i="298"/>
  <c r="AC630" i="298"/>
  <c r="AC551" i="298"/>
  <c r="AC557" i="298" s="1"/>
  <c r="AB630" i="298"/>
  <c r="AU319" i="298"/>
  <c r="AL56" i="468"/>
  <c r="Y710" i="298"/>
  <c r="AB639" i="298"/>
  <c r="P630" i="298"/>
  <c r="AO619" i="298"/>
  <c r="AN524" i="298"/>
  <c r="BD322" i="298"/>
  <c r="AU318" i="298"/>
  <c r="X153" i="298"/>
  <c r="Y108" i="298"/>
  <c r="AM39" i="298"/>
  <c r="F64" i="28"/>
  <c r="G65" i="28" s="1"/>
  <c r="BB491" i="298"/>
  <c r="AV314" i="298"/>
  <c r="AE160" i="298"/>
  <c r="AT684" i="298"/>
  <c r="Q22" i="28"/>
  <c r="Q23" i="28" s="1"/>
  <c r="Q24" i="28" s="1"/>
  <c r="Q63" i="28" s="1"/>
  <c r="AH21" i="468"/>
  <c r="AM524" i="298"/>
  <c r="AZ322" i="298"/>
  <c r="AP318" i="298"/>
  <c r="W307" i="298"/>
  <c r="AA153" i="298"/>
  <c r="S40" i="298"/>
  <c r="AL30" i="298"/>
  <c r="AL42" i="298" s="1"/>
  <c r="BB40" i="298"/>
  <c r="BB640" i="298"/>
  <c r="BB18" i="298"/>
  <c r="BB79" i="298" s="1"/>
  <c r="AN684" i="298"/>
  <c r="AZ518" i="298"/>
  <c r="AZ523" i="298" s="1"/>
  <c r="H321" i="298"/>
  <c r="U318" i="298"/>
  <c r="AC153" i="298"/>
  <c r="Z619" i="298"/>
  <c r="BE322" i="298"/>
  <c r="BE320" i="298"/>
  <c r="L310" i="298"/>
  <c r="AE293" i="298"/>
  <c r="AE305" i="298" s="1"/>
  <c r="P153" i="298"/>
  <c r="AS13" i="298"/>
  <c r="AS14" i="298" s="1"/>
  <c r="AF12" i="298"/>
  <c r="AF640" i="298" s="1"/>
  <c r="AB74" i="28"/>
  <c r="Y19" i="28"/>
  <c r="K19" i="468"/>
  <c r="BT44" i="468"/>
  <c r="N138" i="298"/>
  <c r="AM24" i="298"/>
  <c r="AA74" i="28"/>
  <c r="Y31" i="28"/>
  <c r="Y33" i="28" s="1"/>
  <c r="T19" i="28"/>
  <c r="BK577" i="1"/>
  <c r="BS14" i="468"/>
  <c r="BD476" i="298"/>
  <c r="L133" i="298"/>
  <c r="L14" i="298" s="1"/>
  <c r="X74" i="28"/>
  <c r="T31" i="28"/>
  <c r="T33" i="28" s="1"/>
  <c r="AW129" i="298"/>
  <c r="AZ129" i="298" s="1"/>
  <c r="L138" i="298"/>
  <c r="AD160" i="298"/>
  <c r="BW85" i="293"/>
  <c r="S31" i="28"/>
  <c r="S33" i="28" s="1"/>
  <c r="E19" i="28"/>
  <c r="N698" i="298"/>
  <c r="X320" i="298"/>
  <c r="X317" i="298"/>
  <c r="X314" i="298"/>
  <c r="BA156" i="298"/>
  <c r="AA133" i="298"/>
  <c r="AA14" i="298" s="1"/>
  <c r="AA177" i="298" s="1"/>
  <c r="AP108" i="298"/>
  <c r="BB41" i="298"/>
  <c r="BA33" i="298"/>
  <c r="AD684" i="298"/>
  <c r="AY517" i="298"/>
  <c r="AY522" i="298" s="1"/>
  <c r="AP322" i="298"/>
  <c r="AF97" i="298"/>
  <c r="AF94" i="298" s="1"/>
  <c r="P31" i="28"/>
  <c r="P33" i="28" s="1"/>
  <c r="BA363" i="298"/>
  <c r="BB364" i="298" s="1"/>
  <c r="U320" i="298"/>
  <c r="AT108" i="298"/>
  <c r="L59" i="28"/>
  <c r="AS619" i="298"/>
  <c r="AU467" i="298"/>
  <c r="BA351" i="298"/>
  <c r="BB353" i="298" s="1"/>
  <c r="BB129" i="298" s="1"/>
  <c r="V159" i="298"/>
  <c r="AE94" i="298"/>
  <c r="Z35" i="298"/>
  <c r="K64" i="28"/>
  <c r="K65" i="28" s="1"/>
  <c r="J698" i="298"/>
  <c r="AD322" i="298"/>
  <c r="H320" i="298"/>
  <c r="I314" i="298"/>
  <c r="Z684" i="298"/>
  <c r="AW352" i="298"/>
  <c r="AZ352" i="298" s="1"/>
  <c r="BE319" i="298"/>
  <c r="H314" i="298"/>
  <c r="V133" i="298"/>
  <c r="V14" i="298" s="1"/>
  <c r="V177" i="298" s="1"/>
  <c r="L35" i="298"/>
  <c r="AP19" i="468"/>
  <c r="X322" i="298"/>
  <c r="BD319" i="298"/>
  <c r="H317" i="298"/>
  <c r="BD313" i="298"/>
  <c r="W12" i="298"/>
  <c r="W41" i="298" s="1"/>
  <c r="U54" i="468"/>
  <c r="J19" i="468"/>
  <c r="Q137" i="359"/>
  <c r="Y714" i="298"/>
  <c r="V710" i="298"/>
  <c r="BD316" i="298"/>
  <c r="AA308" i="298"/>
  <c r="AT278" i="298"/>
  <c r="BE440" i="298"/>
  <c r="BE130" i="298" s="1"/>
  <c r="AS278" i="298"/>
  <c r="AD108" i="298"/>
  <c r="AQ39" i="298"/>
  <c r="S537" i="1"/>
  <c r="W538" i="1" s="1"/>
  <c r="AO698" i="298"/>
  <c r="M633" i="298"/>
  <c r="M638" i="298" s="1"/>
  <c r="AW185" i="298"/>
  <c r="AZ185" i="298" s="1"/>
  <c r="BB170" i="298"/>
  <c r="D108" i="298"/>
  <c r="AC108" i="298"/>
  <c r="Y94" i="298"/>
  <c r="T22" i="28"/>
  <c r="T23" i="28" s="1"/>
  <c r="T24" i="28" s="1"/>
  <c r="T27" i="28" s="1"/>
  <c r="BF59" i="468"/>
  <c r="BA440" i="298"/>
  <c r="BA130" i="298" s="1"/>
  <c r="AE74" i="298"/>
  <c r="AE83" i="298" s="1"/>
  <c r="V33" i="298"/>
  <c r="U519" i="298"/>
  <c r="U524" i="298" s="1"/>
  <c r="Z19" i="28"/>
  <c r="BD61" i="468"/>
  <c r="BV16" i="468"/>
  <c r="BV21" i="468" s="1"/>
  <c r="BV56" i="468" s="1"/>
  <c r="O65" i="359"/>
  <c r="E684" i="298"/>
  <c r="T684" i="298"/>
  <c r="X316" i="298"/>
  <c r="U313" i="298"/>
  <c r="AN33" i="298"/>
  <c r="AC233" i="1"/>
  <c r="I322" i="298"/>
  <c r="X319" i="298"/>
  <c r="BG19" i="468"/>
  <c r="AA19" i="468"/>
  <c r="AS698" i="298"/>
  <c r="AV448" i="298"/>
  <c r="H322" i="298"/>
  <c r="CL85" i="293"/>
  <c r="BF19" i="468"/>
  <c r="Z19" i="468"/>
  <c r="AF65" i="359"/>
  <c r="Q714" i="298"/>
  <c r="AR698" i="298"/>
  <c r="AF698" i="298"/>
  <c r="T439" i="298"/>
  <c r="BD321" i="298"/>
  <c r="U319" i="298"/>
  <c r="V167" i="298"/>
  <c r="V166" i="298" s="1"/>
  <c r="AD133" i="298"/>
  <c r="AD14" i="298" s="1"/>
  <c r="AD177" i="298" s="1"/>
  <c r="M133" i="298"/>
  <c r="M14" i="298" s="1"/>
  <c r="X108" i="298"/>
  <c r="AU332" i="298"/>
  <c r="AU334" i="298" s="1"/>
  <c r="AU338" i="298" s="1"/>
  <c r="BE19" i="468"/>
  <c r="Y19" i="468"/>
  <c r="BA703" i="298"/>
  <c r="BD670" i="298"/>
  <c r="BE394" i="298"/>
  <c r="X366" i="298"/>
  <c r="H316" i="298"/>
  <c r="H313" i="298"/>
  <c r="AW94" i="298"/>
  <c r="AT329" i="298"/>
  <c r="AT341" i="298" s="1"/>
  <c r="AV160" i="298"/>
  <c r="AY160" i="298" s="1"/>
  <c r="P510" i="298"/>
  <c r="D22" i="28"/>
  <c r="D23" i="28" s="1"/>
  <c r="D24" i="28" s="1"/>
  <c r="D36" i="28" s="1"/>
  <c r="D41" i="28" s="1"/>
  <c r="AW105" i="468"/>
  <c r="BR93" i="468"/>
  <c r="AQ54" i="468"/>
  <c r="BD19" i="468"/>
  <c r="X19" i="468"/>
  <c r="BD394" i="298"/>
  <c r="BE315" i="298"/>
  <c r="BE310" i="298"/>
  <c r="BA149" i="298"/>
  <c r="AZ21" i="468"/>
  <c r="Q72" i="359"/>
  <c r="BD315" i="298"/>
  <c r="BC394" i="298"/>
  <c r="AQ321" i="298"/>
  <c r="H319" i="298"/>
  <c r="AU315" i="298"/>
  <c r="AA185" i="298"/>
  <c r="AU519" i="298"/>
  <c r="AU182" i="298" s="1"/>
  <c r="AF133" i="298"/>
  <c r="AF14" i="298" s="1"/>
  <c r="AF177" i="298" s="1"/>
  <c r="I710" i="298"/>
  <c r="Y619" i="298"/>
  <c r="AM619" i="298"/>
  <c r="BD318" i="298"/>
  <c r="BE27" i="298"/>
  <c r="AA22" i="28"/>
  <c r="AA23" i="28" s="1"/>
  <c r="AA24" i="28" s="1"/>
  <c r="I715" i="298"/>
  <c r="I721" i="298" s="1"/>
  <c r="AL619" i="298"/>
  <c r="AZ394" i="298"/>
  <c r="X315" i="298"/>
  <c r="S307" i="298"/>
  <c r="AD136" i="298"/>
  <c r="P133" i="298"/>
  <c r="P14" i="298" s="1"/>
  <c r="P177" i="298" s="1"/>
  <c r="AY84" i="298"/>
  <c r="AY94" i="298" s="1"/>
  <c r="Z22" i="28"/>
  <c r="Z23" i="28" s="1"/>
  <c r="Z24" i="28" s="1"/>
  <c r="AS704" i="298"/>
  <c r="H715" i="298"/>
  <c r="H721" i="298" s="1"/>
  <c r="I684" i="298"/>
  <c r="O476" i="298"/>
  <c r="BB448" i="298"/>
  <c r="L153" i="298"/>
  <c r="AV34" i="298"/>
  <c r="AY34" i="298" s="1"/>
  <c r="J12" i="298"/>
  <c r="J639" i="298" s="1"/>
  <c r="E70" i="51"/>
  <c r="Y22" i="28"/>
  <c r="Y23" i="28" s="1"/>
  <c r="Y24" i="28" s="1"/>
  <c r="AL54" i="468"/>
  <c r="F54" i="468"/>
  <c r="R19" i="468"/>
  <c r="AR704" i="298"/>
  <c r="AS684" i="298"/>
  <c r="N133" i="298"/>
  <c r="N14" i="298" s="1"/>
  <c r="AV20" i="28"/>
  <c r="Q19" i="468"/>
  <c r="BZ14" i="468"/>
  <c r="AZ696" i="298"/>
  <c r="AR684" i="298"/>
  <c r="M474" i="298"/>
  <c r="AA306" i="298"/>
  <c r="I510" i="298"/>
  <c r="Q493" i="1"/>
  <c r="AL95" i="468"/>
  <c r="AH72" i="359"/>
  <c r="N715" i="298"/>
  <c r="U321" i="298"/>
  <c r="CA85" i="293"/>
  <c r="Z20" i="28"/>
  <c r="BX14" i="468"/>
  <c r="AP684" i="298"/>
  <c r="AU446" i="298"/>
  <c r="M364" i="298"/>
  <c r="W306" i="298"/>
  <c r="BD107" i="298"/>
  <c r="BA515" i="298"/>
  <c r="BZ85" i="293"/>
  <c r="AW107" i="468"/>
  <c r="AT19" i="468"/>
  <c r="AF446" i="298"/>
  <c r="AD153" i="298"/>
  <c r="U33" i="298"/>
  <c r="F18" i="298"/>
  <c r="F79" i="298" s="1"/>
  <c r="S91" i="298"/>
  <c r="S627" i="298"/>
  <c r="I20" i="28"/>
  <c r="I31" i="28"/>
  <c r="I33" i="28" s="1"/>
  <c r="I22" i="28"/>
  <c r="I23" i="28" s="1"/>
  <c r="I19" i="28"/>
  <c r="BE438" i="298"/>
  <c r="BE439" i="298" s="1"/>
  <c r="BE122" i="298"/>
  <c r="BE708" i="298"/>
  <c r="BA109" i="468"/>
  <c r="BA101" i="468"/>
  <c r="J12" i="1"/>
  <c r="J772" i="1"/>
  <c r="J775" i="1" s="1"/>
  <c r="N776" i="1" s="1"/>
  <c r="BH742" i="1"/>
  <c r="T545" i="298"/>
  <c r="T548" i="298" s="1"/>
  <c r="T549" i="298" s="1"/>
  <c r="T318" i="298"/>
  <c r="T314" i="298"/>
  <c r="AD138" i="298"/>
  <c r="AG65" i="359"/>
  <c r="AG72" i="359"/>
  <c r="BD708" i="298"/>
  <c r="BE696" i="298"/>
  <c r="BD696" i="298"/>
  <c r="BD702" i="298"/>
  <c r="BE702" i="298"/>
  <c r="E639" i="298"/>
  <c r="U633" i="298"/>
  <c r="U638" i="298" s="1"/>
  <c r="U639" i="298"/>
  <c r="R315" i="298"/>
  <c r="R314" i="298"/>
  <c r="V310" i="298"/>
  <c r="R318" i="298"/>
  <c r="R316" i="298"/>
  <c r="AD167" i="298"/>
  <c r="AD166" i="298" s="1"/>
  <c r="AD97" i="298"/>
  <c r="AD94" i="298" s="1"/>
  <c r="AD630" i="298"/>
  <c r="X30" i="298"/>
  <c r="K34" i="298"/>
  <c r="T207" i="1"/>
  <c r="T215" i="1"/>
  <c r="T214" i="1" s="1"/>
  <c r="T219" i="1" s="1"/>
  <c r="BH19" i="468"/>
  <c r="X704" i="298"/>
  <c r="Z704" i="298"/>
  <c r="BC696" i="298"/>
  <c r="BC702" i="298"/>
  <c r="BC714" i="298" s="1"/>
  <c r="M366" i="298"/>
  <c r="AF159" i="298"/>
  <c r="AC94" i="298"/>
  <c r="J35" i="298"/>
  <c r="O12" i="298"/>
  <c r="O638" i="298" s="1"/>
  <c r="O510" i="298"/>
  <c r="BD651" i="298"/>
  <c r="AA659" i="298"/>
  <c r="BD659" i="298" s="1"/>
  <c r="Q54" i="468"/>
  <c r="AE630" i="298"/>
  <c r="N356" i="298"/>
  <c r="R358" i="298" s="1"/>
  <c r="P322" i="298"/>
  <c r="P318" i="298"/>
  <c r="P316" i="298"/>
  <c r="AU22" i="1"/>
  <c r="AU26" i="1" s="1"/>
  <c r="AU230" i="1"/>
  <c r="R97" i="298"/>
  <c r="R94" i="298" s="1"/>
  <c r="R630" i="298"/>
  <c r="AT476" i="298"/>
  <c r="P356" i="298"/>
  <c r="T358" i="298" s="1"/>
  <c r="AV159" i="298"/>
  <c r="AY159" i="298" s="1"/>
  <c r="W149" i="298"/>
  <c r="S156" i="298"/>
  <c r="BD122" i="298"/>
  <c r="Q97" i="298"/>
  <c r="Q94" i="298" s="1"/>
  <c r="Q619" i="298"/>
  <c r="BC91" i="298"/>
  <c r="BC627" i="298"/>
  <c r="BE84" i="298"/>
  <c r="AS34" i="298"/>
  <c r="AS40" i="298"/>
  <c r="AR182" i="298"/>
  <c r="AR530" i="298"/>
  <c r="W619" i="298"/>
  <c r="AE294" i="298"/>
  <c r="AE306" i="298" s="1"/>
  <c r="AB306" i="298"/>
  <c r="O160" i="298"/>
  <c r="AU751" i="1"/>
  <c r="AB19" i="468"/>
  <c r="AK21" i="468"/>
  <c r="AG137" i="359"/>
  <c r="BA708" i="298"/>
  <c r="AP332" i="298"/>
  <c r="AP334" i="298" s="1"/>
  <c r="AP338" i="298" s="1"/>
  <c r="AP329" i="298"/>
  <c r="N321" i="298"/>
  <c r="N316" i="298"/>
  <c r="AU259" i="298"/>
  <c r="R41" i="298"/>
  <c r="V713" i="298"/>
  <c r="W698" i="298"/>
  <c r="W704" i="298"/>
  <c r="AZ633" i="298"/>
  <c r="AC439" i="298"/>
  <c r="P314" i="298"/>
  <c r="J160" i="298"/>
  <c r="AT34" i="298"/>
  <c r="L12" i="298"/>
  <c r="L638" i="298" s="1"/>
  <c r="L519" i="298"/>
  <c r="L510" i="298"/>
  <c r="L19" i="468"/>
  <c r="AB72" i="359"/>
  <c r="Z467" i="298"/>
  <c r="AZ363" i="298"/>
  <c r="AO328" i="298"/>
  <c r="AO329" i="298" s="1"/>
  <c r="AO341" i="298" s="1"/>
  <c r="T321" i="298"/>
  <c r="BD180" i="298"/>
  <c r="BD190" i="298" s="1"/>
  <c r="Y185" i="298"/>
  <c r="BA151" i="298"/>
  <c r="BA121" i="298"/>
  <c r="BB136" i="298" s="1"/>
  <c r="V30" i="298"/>
  <c r="V42" i="298" s="1"/>
  <c r="AL34" i="298"/>
  <c r="AZ515" i="298"/>
  <c r="X22" i="28"/>
  <c r="X23" i="28" s="1"/>
  <c r="X24" i="28" s="1"/>
  <c r="H20" i="28"/>
  <c r="H31" i="28"/>
  <c r="H33" i="28" s="1"/>
  <c r="BP93" i="468"/>
  <c r="S133" i="298"/>
  <c r="S14" i="298" s="1"/>
  <c r="S177" i="298" s="1"/>
  <c r="X714" i="298"/>
  <c r="R321" i="298"/>
  <c r="T319" i="298"/>
  <c r="T153" i="298"/>
  <c r="P159" i="298"/>
  <c r="P167" i="298"/>
  <c r="P166" i="298" s="1"/>
  <c r="X97" i="298"/>
  <c r="BD97" i="298" s="1"/>
  <c r="AR40" i="298"/>
  <c r="S34" i="298"/>
  <c r="BC35" i="298"/>
  <c r="R30" i="298"/>
  <c r="R42" i="298" s="1"/>
  <c r="R35" i="298"/>
  <c r="BA30" i="298"/>
  <c r="AL21" i="298"/>
  <c r="AL24" i="298" s="1"/>
  <c r="BW16" i="468"/>
  <c r="BX46" i="468"/>
  <c r="N125" i="298"/>
  <c r="N126" i="298" s="1"/>
  <c r="H545" i="298"/>
  <c r="H548" i="298" s="1"/>
  <c r="L549" i="298" s="1"/>
  <c r="H510" i="298"/>
  <c r="Y74" i="28"/>
  <c r="Y64" i="28"/>
  <c r="Q630" i="298"/>
  <c r="AR524" i="298"/>
  <c r="T316" i="298"/>
  <c r="BE157" i="298"/>
  <c r="AW35" i="1"/>
  <c r="BF93" i="468"/>
  <c r="P698" i="298"/>
  <c r="P704" i="298"/>
  <c r="AZ701" i="298"/>
  <c r="AZ713" i="298" s="1"/>
  <c r="AZ719" i="298" s="1"/>
  <c r="AQ634" i="298"/>
  <c r="AV352" i="298"/>
  <c r="AY352" i="298" s="1"/>
  <c r="BA316" i="298"/>
  <c r="BA321" i="298"/>
  <c r="AA309" i="298"/>
  <c r="W309" i="298"/>
  <c r="J159" i="298"/>
  <c r="AY91" i="298"/>
  <c r="AU68" i="298"/>
  <c r="BB33" i="298"/>
  <c r="AU33" i="298"/>
  <c r="K30" i="298"/>
  <c r="AT12" i="298"/>
  <c r="AT40" i="298" s="1"/>
  <c r="AU510" i="298"/>
  <c r="AT545" i="298"/>
  <c r="AT548" i="298" s="1"/>
  <c r="AU549" i="298" s="1"/>
  <c r="O704" i="298"/>
  <c r="S698" i="298"/>
  <c r="T510" i="298"/>
  <c r="AZ313" i="298"/>
  <c r="AE292" i="298"/>
  <c r="AE304" i="298" s="1"/>
  <c r="AF304" i="298"/>
  <c r="BC157" i="298"/>
  <c r="AT68" i="298"/>
  <c r="AT30" i="298"/>
  <c r="AD19" i="468"/>
  <c r="R684" i="298"/>
  <c r="BC517" i="298"/>
  <c r="BC522" i="298" s="1"/>
  <c r="AY316" i="298"/>
  <c r="AY318" i="298"/>
  <c r="AY317" i="298"/>
  <c r="O167" i="298"/>
  <c r="O166" i="298" s="1"/>
  <c r="AV131" i="298"/>
  <c r="AY131" i="298" s="1"/>
  <c r="AY123" i="298"/>
  <c r="AU94" i="298"/>
  <c r="T97" i="298"/>
  <c r="T94" i="298" s="1"/>
  <c r="T630" i="298"/>
  <c r="AU634" i="298"/>
  <c r="R40" i="298"/>
  <c r="AM33" i="298"/>
  <c r="BE515" i="298"/>
  <c r="AF125" i="298"/>
  <c r="AF167" i="298"/>
  <c r="AF166" i="298" s="1"/>
  <c r="H22" i="28"/>
  <c r="H23" i="28" s="1"/>
  <c r="H24" i="28" s="1"/>
  <c r="H36" i="28" s="1"/>
  <c r="H41" i="28" s="1"/>
  <c r="AK54" i="468"/>
  <c r="Y715" i="298"/>
  <c r="BC692" i="298"/>
  <c r="BC704" i="298" s="1"/>
  <c r="BB619" i="298"/>
  <c r="BE445" i="298"/>
  <c r="AP182" i="298"/>
  <c r="AY103" i="298"/>
  <c r="AT97" i="298"/>
  <c r="AT630" i="298"/>
  <c r="AT84" i="298"/>
  <c r="AT634" i="298"/>
  <c r="X33" i="298"/>
  <c r="AR39" i="298"/>
  <c r="H30" i="298"/>
  <c r="AZ314" i="298"/>
  <c r="AZ316" i="298"/>
  <c r="AZ321" i="298"/>
  <c r="AZ318" i="298"/>
  <c r="AZ315" i="298"/>
  <c r="AZ317" i="298"/>
  <c r="AZ319" i="298"/>
  <c r="BB95" i="468"/>
  <c r="BB93" i="468"/>
  <c r="BQ58" i="468"/>
  <c r="S707" i="298"/>
  <c r="S713" i="298" s="1"/>
  <c r="P684" i="298"/>
  <c r="AK530" i="298"/>
  <c r="AK532" i="298" s="1"/>
  <c r="AK534" i="298" s="1"/>
  <c r="AF308" i="298"/>
  <c r="AE296" i="298"/>
  <c r="AE308" i="298" s="1"/>
  <c r="AS97" i="298"/>
  <c r="AS94" i="298" s="1"/>
  <c r="AS630" i="298"/>
  <c r="AS18" i="298"/>
  <c r="AS79" i="298" s="1"/>
  <c r="AG167" i="1"/>
  <c r="AR56" i="468"/>
  <c r="BP58" i="468"/>
  <c r="BP59" i="468" s="1"/>
  <c r="BP60" i="468" s="1"/>
  <c r="B53" i="276"/>
  <c r="F26" i="276"/>
  <c r="T710" i="298"/>
  <c r="AV698" i="298"/>
  <c r="AU704" i="298"/>
  <c r="K704" i="298"/>
  <c r="AZ692" i="298"/>
  <c r="AZ698" i="298" s="1"/>
  <c r="AY515" i="298"/>
  <c r="T313" i="298"/>
  <c r="AU313" i="298"/>
  <c r="AU322" i="298"/>
  <c r="AS634" i="298"/>
  <c r="AS640" i="298"/>
  <c r="AN68" i="298"/>
  <c r="AR41" i="298"/>
  <c r="F30" i="298"/>
  <c r="F42" i="298" s="1"/>
  <c r="AR18" i="298"/>
  <c r="AR79" i="298" s="1"/>
  <c r="AU757" i="1"/>
  <c r="AU759" i="1" s="1"/>
  <c r="AU761" i="1" s="1"/>
  <c r="AU769" i="1" s="1"/>
  <c r="H698" i="1"/>
  <c r="BX104" i="468"/>
  <c r="BX105" i="468" s="1"/>
  <c r="R72" i="359"/>
  <c r="P65" i="359"/>
  <c r="P72" i="359"/>
  <c r="Q713" i="298"/>
  <c r="AT698" i="298"/>
  <c r="AX704" i="298"/>
  <c r="AX716" i="298" s="1"/>
  <c r="BC414" i="298"/>
  <c r="P313" i="298"/>
  <c r="Z133" i="298"/>
  <c r="Z14" i="298" s="1"/>
  <c r="Z177" i="298" s="1"/>
  <c r="AF136" i="298"/>
  <c r="AQ35" i="298"/>
  <c r="K35" i="298"/>
  <c r="AO33" i="298"/>
  <c r="E39" i="298"/>
  <c r="L125" i="292"/>
  <c r="Z74" i="28"/>
  <c r="BK537" i="1"/>
  <c r="BL539" i="1" s="1"/>
  <c r="M710" i="298"/>
  <c r="AE619" i="298"/>
  <c r="Q320" i="298"/>
  <c r="P315" i="298"/>
  <c r="AN317" i="298"/>
  <c r="AN315" i="298"/>
  <c r="AN319" i="298"/>
  <c r="AN314" i="298"/>
  <c r="U133" i="298"/>
  <c r="BE118" i="298"/>
  <c r="BE167" i="298" s="1"/>
  <c r="BE166" i="298" s="1"/>
  <c r="BE466" i="298"/>
  <c r="BE467" i="298" s="1"/>
  <c r="F39" i="298"/>
  <c r="AI686" i="1"/>
  <c r="AF60" i="359"/>
  <c r="AF142" i="359" s="1"/>
  <c r="S363" i="298"/>
  <c r="BC365" i="298" s="1"/>
  <c r="AU329" i="298"/>
  <c r="AU341" i="298" s="1"/>
  <c r="P320" i="298"/>
  <c r="T310" i="298"/>
  <c r="AF302" i="298"/>
  <c r="AF313" i="298"/>
  <c r="AF320" i="298"/>
  <c r="AF315" i="298"/>
  <c r="AF317" i="298"/>
  <c r="AF314" i="298"/>
  <c r="AF318" i="298"/>
  <c r="X160" i="298"/>
  <c r="AB153" i="298"/>
  <c r="AU698" i="298"/>
  <c r="AD317" i="298"/>
  <c r="AD313" i="298"/>
  <c r="AD320" i="298"/>
  <c r="AD314" i="298"/>
  <c r="BB175" i="298"/>
  <c r="Q160" i="298"/>
  <c r="S146" i="298"/>
  <c r="S153" i="298" s="1"/>
  <c r="AL84" i="298"/>
  <c r="AL94" i="298" s="1"/>
  <c r="AL634" i="298"/>
  <c r="AB65" i="28"/>
  <c r="AS21" i="298"/>
  <c r="AS24" i="298" s="1"/>
  <c r="AS182" i="298"/>
  <c r="AS530" i="298"/>
  <c r="AZ84" i="298"/>
  <c r="AZ94" i="298" s="1"/>
  <c r="N34" i="298"/>
  <c r="BB30" i="298"/>
  <c r="BB42" i="298" s="1"/>
  <c r="BB35" i="298"/>
  <c r="AL182" i="298"/>
  <c r="AL530" i="298"/>
  <c r="AL532" i="298" s="1"/>
  <c r="AL534" i="298" s="1"/>
  <c r="BA107" i="468"/>
  <c r="X510" i="298"/>
  <c r="N167" i="298"/>
  <c r="N166" i="298" s="1"/>
  <c r="R176" i="298" s="1"/>
  <c r="AV510" i="298"/>
  <c r="AY510" i="298" s="1"/>
  <c r="AV545" i="298"/>
  <c r="AV548" i="298" s="1"/>
  <c r="AW549" i="298" s="1"/>
  <c r="I545" i="298"/>
  <c r="I548" i="298" s="1"/>
  <c r="I12" i="298"/>
  <c r="I640" i="298" s="1"/>
  <c r="AT757" i="1"/>
  <c r="AT759" i="1" s="1"/>
  <c r="AT761" i="1" s="1"/>
  <c r="AT769" i="1" s="1"/>
  <c r="S151" i="298"/>
  <c r="S473" i="298"/>
  <c r="W474" i="298" s="1"/>
  <c r="X519" i="298"/>
  <c r="BD515" i="298"/>
  <c r="V18" i="298"/>
  <c r="BW105" i="468"/>
  <c r="AN44" i="359"/>
  <c r="AN39" i="359"/>
  <c r="AS167" i="298"/>
  <c r="AS172" i="298" s="1"/>
  <c r="S107" i="298"/>
  <c r="AQ630" i="298"/>
  <c r="S74" i="28"/>
  <c r="AM56" i="468"/>
  <c r="AB551" i="298"/>
  <c r="AB557" i="298" s="1"/>
  <c r="AB532" i="298"/>
  <c r="AB534" i="298" s="1"/>
  <c r="AB541" i="298" s="1"/>
  <c r="N322" i="298"/>
  <c r="T320" i="298"/>
  <c r="AP97" i="298"/>
  <c r="AP94" i="298" s="1"/>
  <c r="AP630" i="298"/>
  <c r="J94" i="298"/>
  <c r="N64" i="28"/>
  <c r="N74" i="28"/>
  <c r="BE634" i="298"/>
  <c r="BE633" i="298" s="1"/>
  <c r="Q474" i="298"/>
  <c r="R320" i="298"/>
  <c r="T315" i="298"/>
  <c r="AP167" i="298"/>
  <c r="BD150" i="298"/>
  <c r="R39" i="298"/>
  <c r="X12" i="298"/>
  <c r="X41" i="298" s="1"/>
  <c r="X167" i="298"/>
  <c r="X166" i="298" s="1"/>
  <c r="X159" i="298"/>
  <c r="U60" i="359"/>
  <c r="U142" i="359" s="1"/>
  <c r="K714" i="298"/>
  <c r="K720" i="298" s="1"/>
  <c r="K627" i="298"/>
  <c r="F619" i="298"/>
  <c r="AU317" i="298"/>
  <c r="P310" i="298"/>
  <c r="Y136" i="298"/>
  <c r="BE105" i="468"/>
  <c r="S60" i="359"/>
  <c r="S142" i="359" s="1"/>
  <c r="M715" i="298"/>
  <c r="Z698" i="298"/>
  <c r="F640" i="298"/>
  <c r="AZ630" i="298"/>
  <c r="AR549" i="298"/>
  <c r="BB476" i="298"/>
  <c r="L320" i="298"/>
  <c r="AC314" i="298"/>
  <c r="AC321" i="298"/>
  <c r="AF85" i="298"/>
  <c r="AK84" i="298"/>
  <c r="AK634" i="298"/>
  <c r="AK633" i="298" s="1"/>
  <c r="AK638" i="298" s="1"/>
  <c r="T64" i="28"/>
  <c r="X20" i="28"/>
  <c r="AO315" i="298"/>
  <c r="AO320" i="298"/>
  <c r="AO319" i="298"/>
  <c r="AO310" i="298"/>
  <c r="AO321" i="298"/>
  <c r="AX751" i="1"/>
  <c r="AX757" i="1"/>
  <c r="AX759" i="1" s="1"/>
  <c r="AX761" i="1" s="1"/>
  <c r="AX769" i="1" s="1"/>
  <c r="BW46" i="468"/>
  <c r="AT21" i="468"/>
  <c r="P60" i="359"/>
  <c r="P142" i="359" s="1"/>
  <c r="AS710" i="298"/>
  <c r="AO684" i="298"/>
  <c r="AY314" i="298"/>
  <c r="L160" i="298"/>
  <c r="AA44" i="298"/>
  <c r="AA530" i="298" s="1"/>
  <c r="AA551" i="298" s="1"/>
  <c r="AA557" i="298" s="1"/>
  <c r="AA160" i="298"/>
  <c r="AS35" i="298"/>
  <c r="AD35" i="298"/>
  <c r="T519" i="298"/>
  <c r="T181" i="298" s="1"/>
  <c r="T182" i="298" s="1"/>
  <c r="AW68" i="298"/>
  <c r="AW328" i="298"/>
  <c r="AW329" i="298" s="1"/>
  <c r="AW341" i="298" s="1"/>
  <c r="S64" i="28"/>
  <c r="W157" i="1"/>
  <c r="AE172" i="1" s="1"/>
  <c r="BB101" i="468"/>
  <c r="CB98" i="468"/>
  <c r="AO21" i="468"/>
  <c r="AR710" i="298"/>
  <c r="AT704" i="298"/>
  <c r="D684" i="298"/>
  <c r="AW630" i="298"/>
  <c r="BC438" i="298"/>
  <c r="BC439" i="298" s="1"/>
  <c r="S351" i="298"/>
  <c r="W352" i="298" s="1"/>
  <c r="AY321" i="298"/>
  <c r="BB167" i="298"/>
  <c r="BB166" i="298" s="1"/>
  <c r="S466" i="298"/>
  <c r="W467" i="298" s="1"/>
  <c r="S709" i="298"/>
  <c r="S715" i="298" s="1"/>
  <c r="L30" i="298"/>
  <c r="L64" i="28"/>
  <c r="AZ708" i="298"/>
  <c r="AZ710" i="298" s="1"/>
  <c r="L704" i="298"/>
  <c r="AN619" i="298"/>
  <c r="S510" i="298"/>
  <c r="AV467" i="298"/>
  <c r="AY467" i="298" s="1"/>
  <c r="BB322" i="298"/>
  <c r="O301" i="298"/>
  <c r="L137" i="298"/>
  <c r="P94" i="298"/>
  <c r="S39" i="298"/>
  <c r="AW125" i="298"/>
  <c r="AW133" i="298" s="1"/>
  <c r="BG61" i="468"/>
  <c r="Y60" i="359"/>
  <c r="Y142" i="359" s="1"/>
  <c r="AD715" i="298"/>
  <c r="AA713" i="298"/>
  <c r="I704" i="298"/>
  <c r="AE467" i="298"/>
  <c r="K430" i="298"/>
  <c r="K431" i="298" s="1"/>
  <c r="Z364" i="298"/>
  <c r="L167" i="298"/>
  <c r="L166" i="298" s="1"/>
  <c r="AB108" i="298"/>
  <c r="V108" i="298"/>
  <c r="M94" i="298"/>
  <c r="U35" i="298"/>
  <c r="CQ85" i="293"/>
  <c r="Y448" i="298"/>
  <c r="N94" i="298"/>
  <c r="V41" i="298"/>
  <c r="O519" i="298"/>
  <c r="CV85" i="293"/>
  <c r="AX45" i="1"/>
  <c r="AU105" i="468"/>
  <c r="AJ56" i="468"/>
  <c r="BE61" i="468"/>
  <c r="BA21" i="468"/>
  <c r="AC715" i="298"/>
  <c r="AB714" i="298"/>
  <c r="L698" i="298"/>
  <c r="AY704" i="298"/>
  <c r="AK684" i="298"/>
  <c r="Y630" i="298"/>
  <c r="M510" i="298"/>
  <c r="AB352" i="298"/>
  <c r="BD106" i="298"/>
  <c r="L94" i="298"/>
  <c r="BC73" i="298"/>
  <c r="AK68" i="298"/>
  <c r="AN24" i="298"/>
  <c r="M519" i="298"/>
  <c r="M181" i="298" s="1"/>
  <c r="M182" i="298" s="1"/>
  <c r="CT85" i="293"/>
  <c r="CP85" i="293"/>
  <c r="AI656" i="1"/>
  <c r="AI645" i="1"/>
  <c r="AA54" i="468"/>
  <c r="BC19" i="468"/>
  <c r="W19" i="468"/>
  <c r="W72" i="359"/>
  <c r="AB715" i="298"/>
  <c r="Y713" i="298"/>
  <c r="AF684" i="298"/>
  <c r="AR264" i="298"/>
  <c r="S41" i="298"/>
  <c r="BB39" i="298"/>
  <c r="S65" i="359"/>
  <c r="O619" i="298"/>
  <c r="AZ517" i="298"/>
  <c r="AZ522" i="298" s="1"/>
  <c r="BD518" i="298"/>
  <c r="BD523" i="298" s="1"/>
  <c r="W366" i="298"/>
  <c r="N160" i="298"/>
  <c r="I519" i="298"/>
  <c r="AH121" i="298"/>
  <c r="AH136" i="298" s="1"/>
  <c r="BQ93" i="468"/>
  <c r="V54" i="468"/>
  <c r="V60" i="359"/>
  <c r="V142" i="359" s="1"/>
  <c r="AZ619" i="298"/>
  <c r="BB488" i="298"/>
  <c r="Q446" i="298"/>
  <c r="I430" i="298"/>
  <c r="M321" i="298"/>
  <c r="AW167" i="298"/>
  <c r="AW166" i="298" s="1"/>
  <c r="AW171" i="298" s="1"/>
  <c r="AZ171" i="298" s="1"/>
  <c r="AF160" i="298"/>
  <c r="Y153" i="298"/>
  <c r="CM85" i="293"/>
  <c r="CJ85" i="293"/>
  <c r="AB22" i="28"/>
  <c r="AB23" i="28" s="1"/>
  <c r="AB24" i="28" s="1"/>
  <c r="AZ697" i="298"/>
  <c r="BD508" i="298"/>
  <c r="BC107" i="298"/>
  <c r="AU108" i="298"/>
  <c r="O108" i="298"/>
  <c r="BE101" i="298"/>
  <c r="E519" i="298"/>
  <c r="AO19" i="468"/>
  <c r="BR14" i="468"/>
  <c r="M72" i="359"/>
  <c r="V714" i="298"/>
  <c r="AB704" i="298"/>
  <c r="V684" i="298"/>
  <c r="BA630" i="298"/>
  <c r="T619" i="298"/>
  <c r="AD474" i="298"/>
  <c r="Z439" i="298"/>
  <c r="X412" i="298"/>
  <c r="X356" i="298" s="1"/>
  <c r="Q356" i="298"/>
  <c r="U358" i="298" s="1"/>
  <c r="BB320" i="298"/>
  <c r="AA303" i="298"/>
  <c r="AU225" i="298"/>
  <c r="BA157" i="298"/>
  <c r="AS41" i="298"/>
  <c r="R18" i="298"/>
  <c r="R79" i="298" s="1"/>
  <c r="AH19" i="468"/>
  <c r="I714" i="298"/>
  <c r="I720" i="298" s="1"/>
  <c r="U698" i="298"/>
  <c r="BB684" i="298"/>
  <c r="N684" i="298"/>
  <c r="BE314" i="298"/>
  <c r="AF307" i="298"/>
  <c r="AF305" i="298"/>
  <c r="AS108" i="298"/>
  <c r="AM108" i="298"/>
  <c r="AN39" i="298"/>
  <c r="AM19" i="468"/>
  <c r="L715" i="298"/>
  <c r="O684" i="298"/>
  <c r="R638" i="298"/>
  <c r="BF552" i="298"/>
  <c r="BE318" i="298"/>
  <c r="U185" i="298"/>
  <c r="BA122" i="298"/>
  <c r="BC84" i="298"/>
  <c r="BP109" i="468"/>
  <c r="BP110" i="468" s="1"/>
  <c r="AG19" i="468"/>
  <c r="CA16" i="468"/>
  <c r="AZ684" i="298"/>
  <c r="AR630" i="298"/>
  <c r="Q439" i="298"/>
  <c r="BB321" i="298"/>
  <c r="BB318" i="298"/>
  <c r="BB316" i="298"/>
  <c r="W302" i="298"/>
  <c r="I108" i="298"/>
  <c r="AY102" i="298"/>
  <c r="G94" i="298"/>
  <c r="BD91" i="298"/>
  <c r="AD45" i="298"/>
  <c r="AD51" i="298" s="1"/>
  <c r="AE30" i="298"/>
  <c r="BB519" i="298"/>
  <c r="BB524" i="298" s="1"/>
  <c r="V519" i="298"/>
  <c r="AA39" i="298"/>
  <c r="AX93" i="468"/>
  <c r="AF19" i="468"/>
  <c r="BY16" i="468"/>
  <c r="W137" i="359"/>
  <c r="AJ65" i="359"/>
  <c r="BB314" i="298"/>
  <c r="AC125" i="298"/>
  <c r="AC126" i="298" s="1"/>
  <c r="F94" i="298"/>
  <c r="O34" i="298"/>
  <c r="H630" i="1"/>
  <c r="BH21" i="468"/>
  <c r="BX16" i="468"/>
  <c r="AI72" i="359"/>
  <c r="BA684" i="298"/>
  <c r="AT619" i="298"/>
  <c r="I619" i="298"/>
  <c r="AF366" i="298"/>
  <c r="BB160" i="298"/>
  <c r="AB125" i="298"/>
  <c r="AB126" i="298" s="1"/>
  <c r="E94" i="298"/>
  <c r="D31" i="28"/>
  <c r="D33" i="28" s="1"/>
  <c r="J19" i="28"/>
  <c r="AT29" i="468"/>
  <c r="AP29" i="468"/>
  <c r="CB58" i="468"/>
  <c r="BA413" i="298"/>
  <c r="BB123" i="298"/>
  <c r="BA158" i="298"/>
  <c r="BA466" i="298"/>
  <c r="BB471" i="298" s="1"/>
  <c r="W122" i="298"/>
  <c r="S122" i="298"/>
  <c r="S157" i="298"/>
  <c r="S438" i="298"/>
  <c r="W439" i="298" s="1"/>
  <c r="H97" i="298"/>
  <c r="H94" i="298" s="1"/>
  <c r="H630" i="298"/>
  <c r="BF109" i="468"/>
  <c r="AU107" i="468"/>
  <c r="BQ98" i="468"/>
  <c r="BQ109" i="468" s="1"/>
  <c r="AX95" i="468"/>
  <c r="AI56" i="468"/>
  <c r="S54" i="468"/>
  <c r="A41" i="468"/>
  <c r="AQ19" i="468"/>
  <c r="AC65" i="359"/>
  <c r="AI60" i="359"/>
  <c r="AI142" i="359" s="1"/>
  <c r="AM51" i="359"/>
  <c r="I713" i="298"/>
  <c r="I719" i="298" s="1"/>
  <c r="AC710" i="298"/>
  <c r="S708" i="298"/>
  <c r="S714" i="298" s="1"/>
  <c r="S616" i="298"/>
  <c r="AC467" i="298"/>
  <c r="AC476" i="298"/>
  <c r="AD448" i="298"/>
  <c r="AD446" i="298"/>
  <c r="V446" i="298"/>
  <c r="Z446" i="298"/>
  <c r="R446" i="298"/>
  <c r="N446" i="298"/>
  <c r="BE152" i="298"/>
  <c r="BC151" i="298"/>
  <c r="BC158" i="298"/>
  <c r="BC473" i="298"/>
  <c r="BD474" i="298" s="1"/>
  <c r="BA150" i="298"/>
  <c r="AZ445" i="298"/>
  <c r="BA447" i="298" s="1"/>
  <c r="V19" i="1"/>
  <c r="V106" i="1" s="1"/>
  <c r="BB109" i="468"/>
  <c r="AS105" i="468"/>
  <c r="AT93" i="468"/>
  <c r="AG56" i="468"/>
  <c r="AP56" i="468"/>
  <c r="BU44" i="468"/>
  <c r="AR54" i="468"/>
  <c r="AJ54" i="468"/>
  <c r="AB54" i="468"/>
  <c r="T54" i="468"/>
  <c r="L54" i="468"/>
  <c r="BU14" i="468"/>
  <c r="AC137" i="359"/>
  <c r="AD72" i="359"/>
  <c r="M684" i="298"/>
  <c r="T633" i="298"/>
  <c r="T638" i="298" s="1"/>
  <c r="T639" i="298"/>
  <c r="AK619" i="298"/>
  <c r="P619" i="298"/>
  <c r="N364" i="298"/>
  <c r="N366" i="298"/>
  <c r="R364" i="298"/>
  <c r="O303" i="298"/>
  <c r="S303" i="298"/>
  <c r="AE289" i="298"/>
  <c r="AE301" i="298" s="1"/>
  <c r="AB301" i="298"/>
  <c r="W20" i="28"/>
  <c r="W31" i="28"/>
  <c r="W33" i="28" s="1"/>
  <c r="X19" i="28"/>
  <c r="W22" i="28"/>
  <c r="W23" i="28" s="1"/>
  <c r="W24" i="28" s="1"/>
  <c r="W36" i="28" s="1"/>
  <c r="W41" i="28" s="1"/>
  <c r="W19" i="28"/>
  <c r="G31" i="28"/>
  <c r="G33" i="28" s="1"/>
  <c r="G20" i="28"/>
  <c r="G22" i="28"/>
  <c r="G19" i="28"/>
  <c r="H19" i="28"/>
  <c r="BN189" i="1"/>
  <c r="BV105" i="468"/>
  <c r="AQ105" i="468"/>
  <c r="BZ104" i="468"/>
  <c r="AV95" i="468"/>
  <c r="BZ92" i="468"/>
  <c r="K54" i="468"/>
  <c r="AL19" i="468"/>
  <c r="V19" i="468"/>
  <c r="BT14" i="468"/>
  <c r="AB137" i="359"/>
  <c r="AC72" i="359"/>
  <c r="Z65" i="359"/>
  <c r="M65" i="359"/>
  <c r="BA709" i="298"/>
  <c r="Z715" i="298"/>
  <c r="J715" i="298"/>
  <c r="BB703" i="298"/>
  <c r="BB715" i="298" s="1"/>
  <c r="BB697" i="298"/>
  <c r="BA696" i="298"/>
  <c r="BB696" i="298"/>
  <c r="U684" i="298"/>
  <c r="BC634" i="298"/>
  <c r="BC633" i="298" s="1"/>
  <c r="BA619" i="298"/>
  <c r="AF619" i="298"/>
  <c r="G619" i="298"/>
  <c r="BB508" i="298"/>
  <c r="BA508" i="298"/>
  <c r="BA517" i="298"/>
  <c r="BA522" i="298" s="1"/>
  <c r="V467" i="298"/>
  <c r="R467" i="298"/>
  <c r="N467" i="298"/>
  <c r="J476" i="298"/>
  <c r="AD366" i="298"/>
  <c r="V153" i="298"/>
  <c r="Z153" i="298"/>
  <c r="AV501" i="1"/>
  <c r="AG159" i="1"/>
  <c r="BE107" i="468"/>
  <c r="BI105" i="468"/>
  <c r="AO105" i="468"/>
  <c r="BF95" i="468"/>
  <c r="AP93" i="468"/>
  <c r="BD59" i="468"/>
  <c r="AI54" i="468"/>
  <c r="I54" i="468"/>
  <c r="BR44" i="468"/>
  <c r="AG54" i="468"/>
  <c r="Z54" i="468"/>
  <c r="R54" i="468"/>
  <c r="J54" i="468"/>
  <c r="A25" i="468"/>
  <c r="BB19" i="468"/>
  <c r="AJ19" i="468"/>
  <c r="T19" i="468"/>
  <c r="BD21" i="468"/>
  <c r="AN21" i="468"/>
  <c r="AU19" i="468"/>
  <c r="AE19" i="468"/>
  <c r="O19" i="468"/>
  <c r="Y65" i="359"/>
  <c r="L65" i="359"/>
  <c r="Z60" i="359"/>
  <c r="Z142" i="359" s="1"/>
  <c r="AK51" i="359"/>
  <c r="AM44" i="359"/>
  <c r="R710" i="298"/>
  <c r="AB698" i="298"/>
  <c r="H698" i="298"/>
  <c r="AE704" i="298"/>
  <c r="BE692" i="298"/>
  <c r="BE704" i="298" s="1"/>
  <c r="AM684" i="298"/>
  <c r="L684" i="298"/>
  <c r="BC651" i="298"/>
  <c r="BC659" i="298" s="1"/>
  <c r="BE470" i="298"/>
  <c r="BE471" i="298"/>
  <c r="Z476" i="298"/>
  <c r="P413" i="298"/>
  <c r="Y702" i="1"/>
  <c r="BM578" i="1"/>
  <c r="BC107" i="468"/>
  <c r="AN105" i="468"/>
  <c r="BE93" i="468"/>
  <c r="G54" i="468"/>
  <c r="BB61" i="468"/>
  <c r="A31" i="468"/>
  <c r="AZ19" i="468"/>
  <c r="BC21" i="468"/>
  <c r="AM21" i="468"/>
  <c r="AI21" i="468"/>
  <c r="AI137" i="359"/>
  <c r="M137" i="359"/>
  <c r="Z72" i="359"/>
  <c r="AI65" i="359"/>
  <c r="W65" i="359"/>
  <c r="X72" i="359"/>
  <c r="AF715" i="298"/>
  <c r="P715" i="298"/>
  <c r="AE714" i="298"/>
  <c r="O714" i="298"/>
  <c r="AD713" i="298"/>
  <c r="N713" i="298"/>
  <c r="AF704" i="298"/>
  <c r="W713" i="298"/>
  <c r="AP704" i="298"/>
  <c r="AP716" i="298" s="1"/>
  <c r="V704" i="298"/>
  <c r="V698" i="298"/>
  <c r="AZ702" i="298"/>
  <c r="J684" i="298"/>
  <c r="R576" i="1"/>
  <c r="AF508" i="1"/>
  <c r="I208" i="1"/>
  <c r="W37" i="1"/>
  <c r="AL107" i="468"/>
  <c r="BG109" i="468"/>
  <c r="Y54" i="468"/>
  <c r="AL21" i="468"/>
  <c r="BI19" i="468"/>
  <c r="AS19" i="468"/>
  <c r="AK19" i="468"/>
  <c r="AC19" i="468"/>
  <c r="U19" i="468"/>
  <c r="M19" i="468"/>
  <c r="AH137" i="359"/>
  <c r="L137" i="359"/>
  <c r="V72" i="359"/>
  <c r="AH65" i="359"/>
  <c r="U65" i="359"/>
  <c r="W60" i="359"/>
  <c r="W142" i="359" s="1"/>
  <c r="AK44" i="359"/>
  <c r="AE715" i="298"/>
  <c r="BB702" i="298"/>
  <c r="BB714" i="298" s="1"/>
  <c r="J714" i="298"/>
  <c r="J720" i="298" s="1"/>
  <c r="AL684" i="298"/>
  <c r="R639" i="298"/>
  <c r="AD551" i="298"/>
  <c r="AD557" i="298" s="1"/>
  <c r="U413" i="298"/>
  <c r="Y412" i="298"/>
  <c r="AC412" i="298" s="1"/>
  <c r="AC356" i="298" s="1"/>
  <c r="X965" i="1"/>
  <c r="BK963" i="1"/>
  <c r="AG348" i="1"/>
  <c r="AC105" i="468"/>
  <c r="BT93" i="468"/>
  <c r="AY93" i="468"/>
  <c r="BE59" i="468"/>
  <c r="BF61" i="468"/>
  <c r="AK56" i="468"/>
  <c r="BI21" i="468"/>
  <c r="AG21" i="468"/>
  <c r="S72" i="359"/>
  <c r="AD60" i="359"/>
  <c r="AD142" i="359" s="1"/>
  <c r="V65" i="359"/>
  <c r="R60" i="359"/>
  <c r="R142" i="359" s="1"/>
  <c r="AC714" i="298"/>
  <c r="M714" i="298"/>
  <c r="AB713" i="298"/>
  <c r="L713" i="298"/>
  <c r="AA715" i="298"/>
  <c r="BA702" i="298"/>
  <c r="AO704" i="298"/>
  <c r="AO716" i="298" s="1"/>
  <c r="AN698" i="298"/>
  <c r="T704" i="298"/>
  <c r="T698" i="298"/>
  <c r="AB684" i="298"/>
  <c r="BE670" i="298"/>
  <c r="S670" i="298"/>
  <c r="S677" i="298" s="1"/>
  <c r="V633" i="298"/>
  <c r="V638" i="298" s="1"/>
  <c r="D633" i="298"/>
  <c r="D638" i="298" s="1"/>
  <c r="D639" i="298"/>
  <c r="BE604" i="298"/>
  <c r="BD517" i="298"/>
  <c r="BD522" i="298" s="1"/>
  <c r="P549" i="298"/>
  <c r="N476" i="298"/>
  <c r="N474" i="298"/>
  <c r="L446" i="298"/>
  <c r="H448" i="298"/>
  <c r="O352" i="298"/>
  <c r="O356" i="298"/>
  <c r="S358" i="298" s="1"/>
  <c r="AK21" i="298"/>
  <c r="AK24" i="298" s="1"/>
  <c r="AK182" i="298"/>
  <c r="Z185" i="298"/>
  <c r="AW34" i="298"/>
  <c r="AZ34" i="298" s="1"/>
  <c r="M34" i="298"/>
  <c r="M40" i="298"/>
  <c r="Q34" i="298"/>
  <c r="I34" i="298"/>
  <c r="E40" i="298"/>
  <c r="AD125" i="298"/>
  <c r="AD126" i="298"/>
  <c r="Z12" i="298"/>
  <c r="Z46" i="298" s="1"/>
  <c r="Z167" i="298"/>
  <c r="N41" i="298"/>
  <c r="N40" i="298"/>
  <c r="N18" i="298"/>
  <c r="N79" i="298" s="1"/>
  <c r="E26" i="51"/>
  <c r="E34" i="51" s="1"/>
  <c r="G26" i="51"/>
  <c r="G34" i="51" s="1"/>
  <c r="H34" i="51" s="1"/>
  <c r="I34" i="51" s="1"/>
  <c r="AA698" i="298"/>
  <c r="K698" i="298"/>
  <c r="BC683" i="298"/>
  <c r="AW684" i="298"/>
  <c r="AC684" i="298"/>
  <c r="S651" i="298"/>
  <c r="S659" i="298" s="1"/>
  <c r="AV619" i="298"/>
  <c r="AB619" i="298"/>
  <c r="AQ619" i="298"/>
  <c r="N619" i="298"/>
  <c r="BE518" i="298"/>
  <c r="BE523" i="298" s="1"/>
  <c r="AW439" i="298"/>
  <c r="AZ439" i="298" s="1"/>
  <c r="AY438" i="298" s="1"/>
  <c r="AW448" i="298"/>
  <c r="T356" i="298"/>
  <c r="T352" i="298"/>
  <c r="L352" i="298"/>
  <c r="L356" i="298"/>
  <c r="BC322" i="298"/>
  <c r="BC315" i="298"/>
  <c r="BC316" i="298"/>
  <c r="BC310" i="298"/>
  <c r="BC318" i="298"/>
  <c r="BC320" i="298"/>
  <c r="BC314" i="298"/>
  <c r="AS313" i="298"/>
  <c r="AS317" i="298"/>
  <c r="AS322" i="298"/>
  <c r="AS321" i="298"/>
  <c r="AS316" i="298"/>
  <c r="AS315" i="298"/>
  <c r="AS318" i="298"/>
  <c r="AS319" i="298"/>
  <c r="AC319" i="298"/>
  <c r="AC320" i="298"/>
  <c r="AC322" i="298"/>
  <c r="AC317" i="298"/>
  <c r="AC313" i="298"/>
  <c r="AC316" i="298"/>
  <c r="Q317" i="298"/>
  <c r="Q314" i="298"/>
  <c r="Q310" i="298"/>
  <c r="Q318" i="298"/>
  <c r="Q315" i="298"/>
  <c r="AE297" i="298"/>
  <c r="AE309" i="298" s="1"/>
  <c r="AB309" i="298"/>
  <c r="T125" i="298"/>
  <c r="T126" i="298" s="1"/>
  <c r="X125" i="298"/>
  <c r="X126" i="298" s="1"/>
  <c r="T159" i="298"/>
  <c r="T167" i="298"/>
  <c r="T166" i="298" s="1"/>
  <c r="O125" i="298"/>
  <c r="O126" i="298" s="1"/>
  <c r="K159" i="298"/>
  <c r="BE121" i="298"/>
  <c r="BD118" i="298"/>
  <c r="AC74" i="28"/>
  <c r="AC64" i="28"/>
  <c r="AC65" i="28" s="1"/>
  <c r="U74" i="28"/>
  <c r="M74" i="28"/>
  <c r="M64" i="28"/>
  <c r="E74" i="28"/>
  <c r="K684" i="298"/>
  <c r="R619" i="298"/>
  <c r="J619" i="298"/>
  <c r="BE616" i="298"/>
  <c r="AY619" i="298"/>
  <c r="AP619" i="298"/>
  <c r="AD619" i="298"/>
  <c r="V619" i="298"/>
  <c r="M619" i="298"/>
  <c r="E619" i="298"/>
  <c r="BC604" i="298"/>
  <c r="BE595" i="298"/>
  <c r="O549" i="298"/>
  <c r="K549" i="298"/>
  <c r="N510" i="298"/>
  <c r="BE509" i="298"/>
  <c r="T448" i="298"/>
  <c r="L448" i="298"/>
  <c r="P352" i="298"/>
  <c r="AS264" i="298"/>
  <c r="AT251" i="298"/>
  <c r="X185" i="298"/>
  <c r="T185" i="298"/>
  <c r="BC180" i="298"/>
  <c r="BC190" i="298" s="1"/>
  <c r="BA180" i="298"/>
  <c r="BA190" i="298" s="1"/>
  <c r="Z160" i="298"/>
  <c r="AC138" i="298"/>
  <c r="AH123" i="298"/>
  <c r="AG138" i="298"/>
  <c r="X33" i="28"/>
  <c r="X59" i="28"/>
  <c r="O715" i="298"/>
  <c r="AD714" i="298"/>
  <c r="N714" i="298"/>
  <c r="AC713" i="298"/>
  <c r="U710" i="298"/>
  <c r="M713" i="298"/>
  <c r="V715" i="298"/>
  <c r="Y698" i="298"/>
  <c r="Q704" i="298"/>
  <c r="I698" i="298"/>
  <c r="BC703" i="298"/>
  <c r="BA701" i="298"/>
  <c r="AQ684" i="298"/>
  <c r="G684" i="298"/>
  <c r="AU684" i="298"/>
  <c r="N639" i="298"/>
  <c r="U619" i="298"/>
  <c r="D619" i="298"/>
  <c r="N545" i="298"/>
  <c r="N548" i="298" s="1"/>
  <c r="N549" i="298" s="1"/>
  <c r="BD509" i="298"/>
  <c r="W476" i="298"/>
  <c r="AA467" i="298"/>
  <c r="S446" i="298"/>
  <c r="AU439" i="298"/>
  <c r="AU448" i="298"/>
  <c r="AV364" i="298"/>
  <c r="AY364" i="298" s="1"/>
  <c r="AV366" i="298"/>
  <c r="V413" i="298"/>
  <c r="R356" i="298"/>
  <c r="V358" i="298" s="1"/>
  <c r="R413" i="298"/>
  <c r="AS320" i="298"/>
  <c r="Q319" i="298"/>
  <c r="BC317" i="298"/>
  <c r="BA319" i="298"/>
  <c r="BA310" i="298"/>
  <c r="BB310" i="298"/>
  <c r="BA314" i="298"/>
  <c r="BA317" i="298"/>
  <c r="BA322" i="298"/>
  <c r="AQ318" i="298"/>
  <c r="AQ313" i="298"/>
  <c r="AQ316" i="298"/>
  <c r="AQ315" i="298"/>
  <c r="AQ319" i="298"/>
  <c r="AQ332" i="298"/>
  <c r="AQ334" i="298" s="1"/>
  <c r="AQ317" i="298"/>
  <c r="AQ322" i="298"/>
  <c r="Y314" i="298"/>
  <c r="Y322" i="298"/>
  <c r="N317" i="298"/>
  <c r="N319" i="298"/>
  <c r="N320" i="298"/>
  <c r="N318" i="298"/>
  <c r="N314" i="298"/>
  <c r="S308" i="298"/>
  <c r="S412" i="298"/>
  <c r="BB412" i="298" s="1"/>
  <c r="O305" i="298"/>
  <c r="S305" i="298"/>
  <c r="S158" i="298"/>
  <c r="AO34" i="298"/>
  <c r="BC616" i="298"/>
  <c r="BF556" i="298"/>
  <c r="BD487" i="298"/>
  <c r="BD488" i="298" s="1"/>
  <c r="AE487" i="298"/>
  <c r="BE487" i="298" s="1"/>
  <c r="X474" i="298"/>
  <c r="BE475" i="298"/>
  <c r="X476" i="298"/>
  <c r="P476" i="298"/>
  <c r="M467" i="298"/>
  <c r="M476" i="298"/>
  <c r="AN332" i="298"/>
  <c r="AN334" i="298" s="1"/>
  <c r="AN338" i="298" s="1"/>
  <c r="AN329" i="298"/>
  <c r="AN341" i="298" s="1"/>
  <c r="BC313" i="298"/>
  <c r="R185" i="298"/>
  <c r="BC488" i="298"/>
  <c r="AE474" i="298"/>
  <c r="O474" i="298"/>
  <c r="W448" i="298"/>
  <c r="AE439" i="298"/>
  <c r="O439" i="298"/>
  <c r="BA433" i="298"/>
  <c r="BA434" i="298" s="1"/>
  <c r="BA394" i="298"/>
  <c r="AE366" i="298"/>
  <c r="O366" i="298"/>
  <c r="U315" i="298"/>
  <c r="W308" i="298"/>
  <c r="W305" i="298"/>
  <c r="AC185" i="298"/>
  <c r="Q185" i="298"/>
  <c r="BD175" i="298"/>
  <c r="AW131" i="298"/>
  <c r="AZ131" i="298" s="1"/>
  <c r="AW138" i="298"/>
  <c r="X137" i="298"/>
  <c r="AB137" i="298"/>
  <c r="AP35" i="298"/>
  <c r="AO41" i="298"/>
  <c r="E41" i="298"/>
  <c r="I35" i="298"/>
  <c r="AQ68" i="298"/>
  <c r="AQ18" i="298"/>
  <c r="BA491" i="298"/>
  <c r="AW467" i="298"/>
  <c r="AZ467" i="298" s="1"/>
  <c r="W446" i="298"/>
  <c r="AC446" i="298"/>
  <c r="BA428" i="298"/>
  <c r="AC366" i="298"/>
  <c r="M356" i="298"/>
  <c r="Q358" i="298" s="1"/>
  <c r="AB304" i="298"/>
  <c r="AP310" i="298"/>
  <c r="O308" i="298"/>
  <c r="AA307" i="298"/>
  <c r="K298" i="298"/>
  <c r="K317" i="298" s="1"/>
  <c r="AA302" i="298"/>
  <c r="BE170" i="298"/>
  <c r="BD156" i="298"/>
  <c r="AS30" i="298"/>
  <c r="AS39" i="298"/>
  <c r="AS33" i="298"/>
  <c r="AK39" i="298"/>
  <c r="AL33" i="298"/>
  <c r="Q33" i="298"/>
  <c r="Q30" i="298"/>
  <c r="I30" i="298"/>
  <c r="M33" i="298"/>
  <c r="AE125" i="298"/>
  <c r="AE126" i="298"/>
  <c r="E12" i="292"/>
  <c r="F12" i="292"/>
  <c r="AW474" i="298"/>
  <c r="AZ474" i="298" s="1"/>
  <c r="AY473" i="298" s="1"/>
  <c r="AW446" i="298"/>
  <c r="AZ446" i="298" s="1"/>
  <c r="AB448" i="298"/>
  <c r="BB439" i="298"/>
  <c r="AF439" i="298"/>
  <c r="P439" i="298"/>
  <c r="L439" i="298"/>
  <c r="AW364" i="298"/>
  <c r="AZ364" i="298" s="1"/>
  <c r="AB364" i="298"/>
  <c r="L364" i="298"/>
  <c r="AN322" i="298"/>
  <c r="U322" i="298"/>
  <c r="AN320" i="298"/>
  <c r="U316" i="298"/>
  <c r="U314" i="298"/>
  <c r="U310" i="298"/>
  <c r="S298" i="298"/>
  <c r="S316" i="298" s="1"/>
  <c r="AU264" i="298"/>
  <c r="BD170" i="298"/>
  <c r="AF153" i="298"/>
  <c r="T160" i="298"/>
  <c r="AC69" i="298"/>
  <c r="AC74" i="298" s="1"/>
  <c r="U41" i="298"/>
  <c r="AW12" i="298"/>
  <c r="AW519" i="298"/>
  <c r="AP13" i="298"/>
  <c r="AP40" i="298"/>
  <c r="AP39" i="298"/>
  <c r="E18" i="298"/>
  <c r="E79" i="298" s="1"/>
  <c r="D12" i="292"/>
  <c r="H80" i="51"/>
  <c r="U20" i="28"/>
  <c r="U31" i="28"/>
  <c r="U19" i="28"/>
  <c r="E31" i="28"/>
  <c r="E59" i="28" s="1"/>
  <c r="E20" i="28"/>
  <c r="E22" i="28"/>
  <c r="E23" i="28" s="1"/>
  <c r="E24" i="28" s="1"/>
  <c r="AZ118" i="298"/>
  <c r="AZ167" i="298" s="1"/>
  <c r="BC59" i="298"/>
  <c r="BC85" i="298" s="1"/>
  <c r="W85" i="298"/>
  <c r="AB46" i="298"/>
  <c r="AB69" i="298"/>
  <c r="AB60" i="298"/>
  <c r="AB61" i="298" s="1"/>
  <c r="AB86" i="298" s="1"/>
  <c r="AQ33" i="298"/>
  <c r="AR33" i="298"/>
  <c r="AA33" i="298"/>
  <c r="O30" i="298"/>
  <c r="S33" i="298"/>
  <c r="G30" i="298"/>
  <c r="K33" i="298"/>
  <c r="D41" i="298"/>
  <c r="D39" i="298"/>
  <c r="Z474" i="298"/>
  <c r="Q467" i="298"/>
  <c r="Z448" i="298"/>
  <c r="J448" i="298"/>
  <c r="AA439" i="298"/>
  <c r="AD439" i="298"/>
  <c r="V448" i="298"/>
  <c r="N439" i="298"/>
  <c r="AU240" i="298"/>
  <c r="AB160" i="298"/>
  <c r="R153" i="298"/>
  <c r="Q108" i="298"/>
  <c r="Z94" i="298"/>
  <c r="D40" i="298"/>
  <c r="AQ34" i="298"/>
  <c r="AR34" i="298"/>
  <c r="AQ40" i="298"/>
  <c r="W30" i="298"/>
  <c r="W34" i="298"/>
  <c r="AA34" i="298"/>
  <c r="AP18" i="298"/>
  <c r="AP79" i="298" s="1"/>
  <c r="AB40" i="298"/>
  <c r="AB18" i="298"/>
  <c r="AB79" i="298" s="1"/>
  <c r="W64" i="28"/>
  <c r="X65" i="28" s="1"/>
  <c r="W74" i="28"/>
  <c r="BD448" i="298"/>
  <c r="N430" i="298"/>
  <c r="N431" i="298" s="1"/>
  <c r="AU352" i="298"/>
  <c r="R352" i="298"/>
  <c r="BD310" i="298"/>
  <c r="W304" i="298"/>
  <c r="AT264" i="298"/>
  <c r="AS225" i="298"/>
  <c r="Q153" i="298"/>
  <c r="Z69" i="298"/>
  <c r="Z74" i="298" s="1"/>
  <c r="Z83" i="298" s="1"/>
  <c r="AN41" i="298"/>
  <c r="S35" i="298"/>
  <c r="AO13" i="298"/>
  <c r="AW153" i="298"/>
  <c r="AZ153" i="298" s="1"/>
  <c r="BA146" i="298"/>
  <c r="BB153" i="298" s="1"/>
  <c r="Z138" i="298"/>
  <c r="R125" i="298"/>
  <c r="R126" i="298" s="1"/>
  <c r="AR108" i="298"/>
  <c r="BE106" i="298"/>
  <c r="H108" i="298"/>
  <c r="BD102" i="298"/>
  <c r="BD101" i="298"/>
  <c r="I94" i="298"/>
  <c r="AP41" i="298"/>
  <c r="AP34" i="298"/>
  <c r="V34" i="298"/>
  <c r="AR30" i="298"/>
  <c r="BD27" i="298"/>
  <c r="BC17" i="298"/>
  <c r="D18" i="298"/>
  <c r="D79" i="298" s="1"/>
  <c r="AV519" i="298"/>
  <c r="AV153" i="298"/>
  <c r="AY153" i="298" s="1"/>
  <c r="K160" i="298"/>
  <c r="BE107" i="298"/>
  <c r="Z108" i="298"/>
  <c r="BE103" i="298"/>
  <c r="AA94" i="298"/>
  <c r="BE63" i="298"/>
  <c r="AN35" i="298"/>
  <c r="L34" i="298"/>
  <c r="D519" i="298"/>
  <c r="AU125" i="298"/>
  <c r="BN127" i="298"/>
  <c r="BN134" i="298" s="1"/>
  <c r="CO85" i="293"/>
  <c r="BY85" i="293"/>
  <c r="E7" i="51"/>
  <c r="AB19" i="28"/>
  <c r="N153" i="298"/>
  <c r="AB136" i="298"/>
  <c r="AO108" i="298"/>
  <c r="U108" i="298"/>
  <c r="BE102" i="298"/>
  <c r="BD98" i="298"/>
  <c r="AG157" i="298"/>
  <c r="AH157" i="298" s="1"/>
  <c r="AI157" i="298" s="1"/>
  <c r="BC34" i="298"/>
  <c r="AM34" i="298"/>
  <c r="AA40" i="298"/>
  <c r="AO30" i="298"/>
  <c r="AO42" i="298" s="1"/>
  <c r="M39" i="298"/>
  <c r="AC12" i="298"/>
  <c r="AC638" i="298" s="1"/>
  <c r="CU85" i="293"/>
  <c r="G49" i="292"/>
  <c r="G67" i="292" s="1"/>
  <c r="AA19" i="28"/>
  <c r="K19" i="28"/>
  <c r="X138" i="298"/>
  <c r="X136" i="298"/>
  <c r="AQ94" i="298"/>
  <c r="AB39" i="298"/>
  <c r="CH85" i="293"/>
  <c r="E62" i="292"/>
  <c r="V74" i="28"/>
  <c r="BD151" i="298"/>
  <c r="BA108" i="298"/>
  <c r="AQ108" i="298"/>
  <c r="AE108" i="298"/>
  <c r="W108" i="298"/>
  <c r="K108" i="298"/>
  <c r="AY101" i="298"/>
  <c r="Y34" i="298"/>
  <c r="AE33" i="298"/>
  <c r="O33" i="298"/>
  <c r="N519" i="298"/>
  <c r="N21" i="298" s="1"/>
  <c r="CD85" i="293"/>
  <c r="AD74" i="28"/>
  <c r="F33" i="28"/>
  <c r="BE98" i="298"/>
  <c r="AY98" i="298"/>
  <c r="D94" i="298"/>
  <c r="BC68" i="298"/>
  <c r="BD63" i="298"/>
  <c r="Z60" i="298"/>
  <c r="Z61" i="298" s="1"/>
  <c r="Z86" i="298" s="1"/>
  <c r="AT33" i="298"/>
  <c r="Z30" i="298"/>
  <c r="J30" i="298"/>
  <c r="AQ13" i="298"/>
  <c r="G17" i="292"/>
  <c r="G27" i="292" s="1"/>
  <c r="C17" i="292"/>
  <c r="CR83" i="293"/>
  <c r="H49" i="292" s="1"/>
  <c r="H67" i="292" s="1"/>
  <c r="CK85" i="293"/>
  <c r="D49" i="292"/>
  <c r="D67" i="292" s="1"/>
  <c r="C62" i="292"/>
  <c r="J109" i="292"/>
  <c r="I109" i="292"/>
  <c r="Q586" i="1"/>
  <c r="BJ956" i="1"/>
  <c r="AJ589" i="1"/>
  <c r="AG572" i="1"/>
  <c r="AG570" i="1" s="1"/>
  <c r="BL579" i="1"/>
  <c r="BV149" i="1"/>
  <c r="AE897" i="1"/>
  <c r="BM897" i="1" s="1"/>
  <c r="AG868" i="1"/>
  <c r="X484" i="1"/>
  <c r="AE868" i="1"/>
  <c r="AI233" i="1"/>
  <c r="AD868" i="1"/>
  <c r="O464" i="1"/>
  <c r="I868" i="1"/>
  <c r="AH337" i="1"/>
  <c r="AS757" i="1"/>
  <c r="AS759" i="1" s="1"/>
  <c r="AS761" i="1" s="1"/>
  <c r="AS769" i="1" s="1"/>
  <c r="BN736" i="1"/>
  <c r="AG311" i="1"/>
  <c r="Q1027" i="1"/>
  <c r="BI736" i="1"/>
  <c r="H702" i="1"/>
  <c r="AE656" i="1"/>
  <c r="BM577" i="1"/>
  <c r="BH463" i="1"/>
  <c r="BI464" i="1" s="1"/>
  <c r="BE746" i="1"/>
  <c r="BE22" i="1" s="1"/>
  <c r="BE26" i="1" s="1"/>
  <c r="BE697" i="1"/>
  <c r="M975" i="1"/>
  <c r="AH695" i="1"/>
  <c r="AZ77" i="1"/>
  <c r="AA682" i="1"/>
  <c r="V312" i="1"/>
  <c r="T631" i="1"/>
  <c r="W466" i="1"/>
  <c r="AH590" i="1"/>
  <c r="J746" i="1"/>
  <c r="AG273" i="1"/>
  <c r="BC191" i="1"/>
  <c r="AB992" i="1"/>
  <c r="H959" i="1"/>
  <c r="BB37" i="1"/>
  <c r="J71" i="51"/>
  <c r="AZ37" i="1"/>
  <c r="AV708" i="1"/>
  <c r="AV709" i="1" s="1"/>
  <c r="AV721" i="1" s="1"/>
  <c r="AH466" i="1"/>
  <c r="H974" i="1"/>
  <c r="H980" i="1" s="1"/>
  <c r="BN131" i="1"/>
  <c r="H868" i="1"/>
  <c r="I37" i="1"/>
  <c r="X588" i="1"/>
  <c r="S233" i="1"/>
  <c r="AD30" i="468"/>
  <c r="AA30" i="468"/>
  <c r="M37" i="1"/>
  <c r="V772" i="1"/>
  <c r="V775" i="1" s="1"/>
  <c r="V776" i="1" s="1"/>
  <c r="X702" i="1"/>
  <c r="AB572" i="1"/>
  <c r="U737" i="1"/>
  <c r="BJ700" i="1"/>
  <c r="O215" i="1"/>
  <c r="O214" i="1" s="1"/>
  <c r="AB994" i="1"/>
  <c r="BH968" i="1"/>
  <c r="BM735" i="1"/>
  <c r="X698" i="1"/>
  <c r="AG590" i="1"/>
  <c r="BH163" i="1"/>
  <c r="P538" i="1"/>
  <c r="AA975" i="1"/>
  <c r="BH735" i="1"/>
  <c r="AG697" i="1"/>
  <c r="BH251" i="1"/>
  <c r="BH256" i="1" s="1"/>
  <c r="BG694" i="1"/>
  <c r="I695" i="1"/>
  <c r="X694" i="1"/>
  <c r="BM466" i="1"/>
  <c r="AB207" i="1"/>
  <c r="I693" i="1"/>
  <c r="V43" i="1"/>
  <c r="P541" i="1"/>
  <c r="AH975" i="1"/>
  <c r="AL981" i="1" s="1"/>
  <c r="BL575" i="1"/>
  <c r="AG271" i="1"/>
  <c r="AG272" i="1" s="1"/>
  <c r="AG194" i="1" s="1"/>
  <c r="AJ1027" i="1"/>
  <c r="AI857" i="1"/>
  <c r="AC484" i="1"/>
  <c r="AG492" i="1" s="1"/>
  <c r="AK500" i="1" s="1"/>
  <c r="U491" i="1"/>
  <c r="Q215" i="1"/>
  <c r="U220" i="1" s="1"/>
  <c r="BJ702" i="1"/>
  <c r="N215" i="1"/>
  <c r="N214" i="1" s="1"/>
  <c r="R224" i="1" s="1"/>
  <c r="AI136" i="1"/>
  <c r="AI945" i="1" s="1"/>
  <c r="F136" i="1"/>
  <c r="F945" i="1" s="1"/>
  <c r="R976" i="1"/>
  <c r="Q975" i="1"/>
  <c r="T702" i="1"/>
  <c r="BC687" i="1"/>
  <c r="W681" i="1"/>
  <c r="AA659" i="1"/>
  <c r="BU154" i="1"/>
  <c r="B33" i="276" s="1"/>
  <c r="O265" i="1"/>
  <c r="S267" i="1" s="1"/>
  <c r="S976" i="1"/>
  <c r="I922" i="1"/>
  <c r="AV868" i="1"/>
  <c r="O975" i="1"/>
  <c r="BK701" i="1"/>
  <c r="BC466" i="1"/>
  <c r="Q348" i="1"/>
  <c r="T541" i="1"/>
  <c r="O976" i="1"/>
  <c r="N975" i="1"/>
  <c r="BJ701" i="1"/>
  <c r="AC588" i="1"/>
  <c r="BE511" i="1"/>
  <c r="BH511" i="1" s="1"/>
  <c r="S493" i="1"/>
  <c r="W273" i="1"/>
  <c r="S206" i="1"/>
  <c r="BJ155" i="1"/>
  <c r="R700" i="1"/>
  <c r="BD511" i="1"/>
  <c r="BG511" i="1" s="1"/>
  <c r="K974" i="1"/>
  <c r="K980" i="1" s="1"/>
  <c r="AW751" i="1"/>
  <c r="R586" i="1"/>
  <c r="X252" i="1"/>
  <c r="AE207" i="1"/>
  <c r="M464" i="1"/>
  <c r="J976" i="1"/>
  <c r="J982" i="1" s="1"/>
  <c r="I974" i="1"/>
  <c r="I980" i="1" s="1"/>
  <c r="Q868" i="1"/>
  <c r="BJ697" i="1"/>
  <c r="V263" i="1"/>
  <c r="AA207" i="1"/>
  <c r="AA159" i="1"/>
  <c r="AA160" i="1" s="1"/>
  <c r="Y922" i="1"/>
  <c r="P868" i="1"/>
  <c r="O689" i="1"/>
  <c r="BK135" i="1"/>
  <c r="AH57" i="28" s="1"/>
  <c r="M271" i="1"/>
  <c r="AF167" i="1"/>
  <c r="AC256" i="1"/>
  <c r="AG258" i="1" s="1"/>
  <c r="BJ696" i="1"/>
  <c r="AE538" i="1"/>
  <c r="BI968" i="1"/>
  <c r="BJ695" i="1"/>
  <c r="AA688" i="1"/>
  <c r="S684" i="1"/>
  <c r="W576" i="1"/>
  <c r="AE464" i="1"/>
  <c r="Y271" i="1"/>
  <c r="L466" i="1"/>
  <c r="AB349" i="1"/>
  <c r="AI975" i="1"/>
  <c r="AM981" i="1" s="1"/>
  <c r="AW22" i="1"/>
  <c r="Z273" i="1"/>
  <c r="AA976" i="1"/>
  <c r="U690" i="1"/>
  <c r="BB136" i="1"/>
  <c r="BB945" i="1" s="1"/>
  <c r="BC37" i="1"/>
  <c r="S37" i="1"/>
  <c r="M974" i="1"/>
  <c r="BL968" i="1"/>
  <c r="BL971" i="1" s="1"/>
  <c r="T572" i="1"/>
  <c r="T570" i="1" s="1"/>
  <c r="AE857" i="1"/>
  <c r="W737" i="1"/>
  <c r="T496" i="1"/>
  <c r="L974" i="1"/>
  <c r="AW757" i="1"/>
  <c r="AW759" i="1" s="1"/>
  <c r="AW761" i="1" s="1"/>
  <c r="AW769" i="1" s="1"/>
  <c r="AA687" i="1"/>
  <c r="Q271" i="1"/>
  <c r="BH660" i="1"/>
  <c r="S589" i="1"/>
  <c r="M576" i="1"/>
  <c r="BH205" i="1"/>
  <c r="N136" i="1"/>
  <c r="N945" i="1" s="1"/>
  <c r="AC464" i="1"/>
  <c r="K965" i="1"/>
  <c r="BM302" i="1"/>
  <c r="BD772" i="1"/>
  <c r="BD775" i="1" s="1"/>
  <c r="T538" i="1"/>
  <c r="M191" i="1"/>
  <c r="BM742" i="1"/>
  <c r="AI965" i="1"/>
  <c r="BN964" i="1"/>
  <c r="BN976" i="1" s="1"/>
  <c r="BC772" i="1"/>
  <c r="BC775" i="1" s="1"/>
  <c r="AZ757" i="1"/>
  <c r="BL735" i="1"/>
  <c r="H693" i="1"/>
  <c r="AD588" i="1"/>
  <c r="Z349" i="1"/>
  <c r="Z215" i="1"/>
  <c r="Z214" i="1" s="1"/>
  <c r="AF172" i="1"/>
  <c r="BI68" i="1"/>
  <c r="D55" i="523" s="1"/>
  <c r="AA458" i="1"/>
  <c r="AE460" i="1" s="1"/>
  <c r="V36" i="1"/>
  <c r="AI341" i="1"/>
  <c r="I71" i="51"/>
  <c r="Z337" i="1"/>
  <c r="AD346" i="1" s="1"/>
  <c r="AH354" i="1" s="1"/>
  <c r="AI993" i="1"/>
  <c r="BC737" i="1"/>
  <c r="H701" i="1"/>
  <c r="W687" i="1"/>
  <c r="AE682" i="1"/>
  <c r="U349" i="1"/>
  <c r="BH270" i="1"/>
  <c r="BI272" i="1" s="1"/>
  <c r="BI194" i="1" s="1"/>
  <c r="AA342" i="1"/>
  <c r="AW111" i="1"/>
  <c r="AW97" i="1" s="1"/>
  <c r="T349" i="1"/>
  <c r="BI857" i="1"/>
  <c r="J974" i="1"/>
  <c r="J980" i="1" s="1"/>
  <c r="Q772" i="1"/>
  <c r="Q775" i="1" s="1"/>
  <c r="AF589" i="1"/>
  <c r="BI562" i="1"/>
  <c r="BE508" i="1"/>
  <c r="W125" i="1"/>
  <c r="W122" i="1" s="1"/>
  <c r="AF541" i="1"/>
  <c r="AD159" i="1"/>
  <c r="AB45" i="359"/>
  <c r="BH857" i="1"/>
  <c r="I976" i="1"/>
  <c r="I982" i="1" s="1"/>
  <c r="H975" i="1"/>
  <c r="H981" i="1" s="1"/>
  <c r="H700" i="1"/>
  <c r="AG494" i="1"/>
  <c r="AK502" i="1" s="1"/>
  <c r="Z965" i="1"/>
  <c r="BM963" i="1"/>
  <c r="BM975" i="1" s="1"/>
  <c r="BO784" i="1"/>
  <c r="AC699" i="1"/>
  <c r="AD589" i="1"/>
  <c r="N258" i="1"/>
  <c r="AT136" i="1"/>
  <c r="AT945" i="1" s="1"/>
  <c r="Z631" i="1"/>
  <c r="AH971" i="1"/>
  <c r="BC868" i="1"/>
  <c r="BN784" i="1"/>
  <c r="T699" i="1"/>
  <c r="AC589" i="1"/>
  <c r="P586" i="1"/>
  <c r="Y484" i="1"/>
  <c r="BG857" i="1"/>
  <c r="Y52" i="359"/>
  <c r="Y53" i="359" s="1"/>
  <c r="AJ976" i="1"/>
  <c r="V965" i="1"/>
  <c r="BI963" i="1"/>
  <c r="AA681" i="1"/>
  <c r="U572" i="1"/>
  <c r="X538" i="1"/>
  <c r="X12" i="1"/>
  <c r="Y57" i="359"/>
  <c r="Y138" i="359" s="1"/>
  <c r="AI878" i="1"/>
  <c r="AH976" i="1"/>
  <c r="AL982" i="1" s="1"/>
  <c r="AF976" i="1"/>
  <c r="V737" i="1"/>
  <c r="U484" i="1"/>
  <c r="AD136" i="1"/>
  <c r="AD945" i="1" s="1"/>
  <c r="AF136" i="1"/>
  <c r="AF945" i="1" s="1"/>
  <c r="AH974" i="1"/>
  <c r="AL980" i="1" s="1"/>
  <c r="BK921" i="1"/>
  <c r="AH62" i="28" s="1"/>
  <c r="AK62" i="28" s="1"/>
  <c r="AA868" i="1"/>
  <c r="H697" i="1"/>
  <c r="AE659" i="1"/>
  <c r="U494" i="1"/>
  <c r="AA233" i="1"/>
  <c r="AD207" i="1"/>
  <c r="AD466" i="1"/>
  <c r="X265" i="1"/>
  <c r="AB267" i="1" s="1"/>
  <c r="S52" i="359"/>
  <c r="S53" i="359" s="1"/>
  <c r="AI991" i="1"/>
  <c r="J737" i="1"/>
  <c r="Z696" i="1"/>
  <c r="T533" i="1"/>
  <c r="T543" i="1" s="1"/>
  <c r="I122" i="1"/>
  <c r="AI1027" i="1"/>
  <c r="H696" i="1"/>
  <c r="BJ579" i="1"/>
  <c r="BN302" i="1"/>
  <c r="N331" i="1"/>
  <c r="N332" i="1" s="1"/>
  <c r="J385" i="1" s="1"/>
  <c r="AA464" i="1"/>
  <c r="AA35" i="1"/>
  <c r="P40" i="359"/>
  <c r="P41" i="359" s="1"/>
  <c r="AW857" i="1"/>
  <c r="AA271" i="1"/>
  <c r="U695" i="1"/>
  <c r="AE658" i="1"/>
  <c r="BJ541" i="1"/>
  <c r="BK302" i="1"/>
  <c r="BL135" i="1"/>
  <c r="Y136" i="1"/>
  <c r="Y945" i="1" s="1"/>
  <c r="W263" i="1"/>
  <c r="BA37" i="1"/>
  <c r="O576" i="1"/>
  <c r="P493" i="1"/>
  <c r="V466" i="1"/>
  <c r="Q19" i="1"/>
  <c r="Q106" i="1" s="1"/>
  <c r="AE508" i="1"/>
  <c r="T208" i="1"/>
  <c r="V136" i="1"/>
  <c r="V945" i="1" s="1"/>
  <c r="BJ878" i="1"/>
  <c r="AY37" i="1"/>
  <c r="I959" i="1"/>
  <c r="AC541" i="1"/>
  <c r="R208" i="1"/>
  <c r="V273" i="1"/>
  <c r="P263" i="1"/>
  <c r="O625" i="1"/>
  <c r="O631" i="1" s="1"/>
  <c r="W974" i="1"/>
  <c r="AW922" i="1"/>
  <c r="W688" i="1"/>
  <c r="P589" i="1"/>
  <c r="K256" i="1"/>
  <c r="O258" i="1" s="1"/>
  <c r="BA230" i="1"/>
  <c r="Q208" i="1"/>
  <c r="AF458" i="1"/>
  <c r="AJ460" i="1" s="1"/>
  <c r="V265" i="1"/>
  <c r="Z267" i="1" s="1"/>
  <c r="AT43" i="1"/>
  <c r="BA872" i="1"/>
  <c r="BJ971" i="1"/>
  <c r="K737" i="1"/>
  <c r="AC974" i="1"/>
  <c r="Z976" i="1"/>
  <c r="BA751" i="1"/>
  <c r="BM646" i="1"/>
  <c r="BM634" i="1" s="1"/>
  <c r="J273" i="1"/>
  <c r="AZ751" i="1"/>
  <c r="U976" i="1"/>
  <c r="U975" i="1"/>
  <c r="H922" i="1"/>
  <c r="BK702" i="1"/>
  <c r="P694" i="1"/>
  <c r="X343" i="1"/>
  <c r="X351" i="1" s="1"/>
  <c r="O348" i="1"/>
  <c r="Y252" i="1"/>
  <c r="AZ230" i="1"/>
  <c r="P208" i="1"/>
  <c r="BE136" i="1"/>
  <c r="BE945" i="1" s="1"/>
  <c r="AB273" i="1"/>
  <c r="U538" i="1"/>
  <c r="AD36" i="1"/>
  <c r="N32" i="1"/>
  <c r="BN742" i="1"/>
  <c r="T975" i="1"/>
  <c r="H694" i="1"/>
  <c r="N348" i="1"/>
  <c r="Y630" i="1"/>
  <c r="AI990" i="1"/>
  <c r="AT922" i="1"/>
  <c r="E922" i="1"/>
  <c r="BN735" i="1"/>
  <c r="BE702" i="1"/>
  <c r="R590" i="1"/>
  <c r="X586" i="1"/>
  <c r="Y508" i="1"/>
  <c r="AC491" i="1"/>
  <c r="AT230" i="1"/>
  <c r="AI215" i="1"/>
  <c r="AI214" i="1" s="1"/>
  <c r="AI219" i="1" s="1"/>
  <c r="BN156" i="1"/>
  <c r="C52" i="276"/>
  <c r="C51" i="276"/>
  <c r="I64" i="51"/>
  <c r="AA57" i="359"/>
  <c r="AA138" i="359" s="1"/>
  <c r="Z52" i="359"/>
  <c r="Z53" i="359" s="1"/>
  <c r="AA99" i="468"/>
  <c r="R40" i="359"/>
  <c r="R41" i="359" s="1"/>
  <c r="H70" i="51"/>
  <c r="I63" i="51"/>
  <c r="C48" i="276"/>
  <c r="Y45" i="359"/>
  <c r="Y351" i="1"/>
  <c r="AW43" i="1"/>
  <c r="AM1011" i="1"/>
  <c r="AQ1011" i="1" s="1"/>
  <c r="I975" i="1"/>
  <c r="I981" i="1" s="1"/>
  <c r="BN953" i="1"/>
  <c r="BB872" i="1"/>
  <c r="BB877" i="1" s="1"/>
  <c r="BE737" i="1"/>
  <c r="U693" i="1"/>
  <c r="AK590" i="1"/>
  <c r="V590" i="1"/>
  <c r="AJ590" i="1"/>
  <c r="L496" i="1"/>
  <c r="Q77" i="1"/>
  <c r="Z271" i="1"/>
  <c r="C50" i="276"/>
  <c r="BL958" i="1"/>
  <c r="AZ872" i="1"/>
  <c r="BD697" i="1"/>
  <c r="T590" i="1"/>
  <c r="AF533" i="1"/>
  <c r="BJ228" i="1"/>
  <c r="BJ238" i="1" s="1"/>
  <c r="M35" i="1"/>
  <c r="AD994" i="1"/>
  <c r="BK970" i="1"/>
  <c r="BK964" i="1"/>
  <c r="AY872" i="1"/>
  <c r="AH697" i="1"/>
  <c r="V690" i="1"/>
  <c r="W684" i="1"/>
  <c r="AE641" i="1"/>
  <c r="AE586" i="1"/>
  <c r="BK578" i="1"/>
  <c r="AE533" i="1"/>
  <c r="BJ252" i="1"/>
  <c r="AC207" i="1"/>
  <c r="Q136" i="1"/>
  <c r="Q945" i="1" s="1"/>
  <c r="BO534" i="1"/>
  <c r="AF271" i="1"/>
  <c r="Y458" i="1"/>
  <c r="Y461" i="1" s="1"/>
  <c r="M265" i="1"/>
  <c r="M268" i="1" s="1"/>
  <c r="BG742" i="1"/>
  <c r="AS43" i="1"/>
  <c r="BN251" i="1"/>
  <c r="AY230" i="1"/>
  <c r="AE351" i="1"/>
  <c r="BI868" i="1"/>
  <c r="U697" i="1"/>
  <c r="AF682" i="1"/>
  <c r="S658" i="1"/>
  <c r="BJ578" i="1"/>
  <c r="BM575" i="1"/>
  <c r="BK463" i="1"/>
  <c r="P122" i="1"/>
  <c r="AX35" i="1"/>
  <c r="Q737" i="1"/>
  <c r="D994" i="1"/>
  <c r="AG922" i="1"/>
  <c r="BA868" i="1"/>
  <c r="U702" i="1"/>
  <c r="N623" i="1"/>
  <c r="N626" i="1" s="1"/>
  <c r="U533" i="1"/>
  <c r="U543" i="1" s="1"/>
  <c r="BL157" i="1"/>
  <c r="V702" i="1"/>
  <c r="R697" i="1"/>
  <c r="BJ464" i="1"/>
  <c r="Y207" i="1"/>
  <c r="Y263" i="1"/>
  <c r="AC36" i="1"/>
  <c r="AD990" i="1"/>
  <c r="AE974" i="1"/>
  <c r="AY868" i="1"/>
  <c r="AB682" i="1"/>
  <c r="M623" i="1"/>
  <c r="M629" i="1" s="1"/>
  <c r="AH586" i="1"/>
  <c r="AB588" i="1"/>
  <c r="BB541" i="1"/>
  <c r="AY136" i="1"/>
  <c r="AY945" i="1" s="1"/>
  <c r="BA136" i="1"/>
  <c r="BA945" i="1" s="1"/>
  <c r="AE263" i="1"/>
  <c r="AI974" i="1"/>
  <c r="AM980" i="1" s="1"/>
  <c r="Y959" i="1"/>
  <c r="R702" i="1"/>
  <c r="BB687" i="1"/>
  <c r="AA588" i="1"/>
  <c r="AJ215" i="1"/>
  <c r="R207" i="1"/>
  <c r="AX136" i="1"/>
  <c r="AX945" i="1" s="1"/>
  <c r="L125" i="1"/>
  <c r="L122" i="1" s="1"/>
  <c r="S118" i="1"/>
  <c r="AJ975" i="1"/>
  <c r="BJ772" i="1"/>
  <c r="BJ775" i="1" s="1"/>
  <c r="BD696" i="1"/>
  <c r="P590" i="1"/>
  <c r="BE464" i="1"/>
  <c r="AW136" i="1"/>
  <c r="AW945" i="1" s="1"/>
  <c r="V271" i="1"/>
  <c r="AG974" i="1"/>
  <c r="AK980" i="1" s="1"/>
  <c r="T857" i="1"/>
  <c r="BE772" i="1"/>
  <c r="BE775" i="1" s="1"/>
  <c r="AG696" i="1"/>
  <c r="W657" i="1"/>
  <c r="U541" i="1"/>
  <c r="AW500" i="1"/>
  <c r="AG349" i="1"/>
  <c r="AK357" i="1" s="1"/>
  <c r="AD252" i="1"/>
  <c r="AG215" i="1"/>
  <c r="AG220" i="1" s="1"/>
  <c r="BJ111" i="1"/>
  <c r="E48" i="523" s="1"/>
  <c r="BJ260" i="1"/>
  <c r="BJ265" i="1" s="1"/>
  <c r="O538" i="1"/>
  <c r="BC36" i="1"/>
  <c r="AG12" i="1"/>
  <c r="H12" i="1"/>
  <c r="Q40" i="359"/>
  <c r="Q41" i="359" s="1"/>
  <c r="AD993" i="1"/>
  <c r="AC975" i="1"/>
  <c r="AF868" i="1"/>
  <c r="U701" i="1"/>
  <c r="R696" i="1"/>
  <c r="BD464" i="1"/>
  <c r="AI590" i="1"/>
  <c r="Y122" i="1"/>
  <c r="K458" i="1"/>
  <c r="O460" i="1" s="1"/>
  <c r="Y32" i="1"/>
  <c r="AB993" i="1"/>
  <c r="Z922" i="1"/>
  <c r="AD877" i="1"/>
  <c r="BA776" i="1"/>
  <c r="L737" i="1"/>
  <c r="R701" i="1"/>
  <c r="AJ566" i="1"/>
  <c r="AN566" i="1" s="1"/>
  <c r="AB484" i="1"/>
  <c r="AB215" i="1"/>
  <c r="AB214" i="1" s="1"/>
  <c r="BB208" i="1"/>
  <c r="AI566" i="1"/>
  <c r="Y37" i="1"/>
  <c r="AZ36" i="1"/>
  <c r="BJ746" i="1"/>
  <c r="BJ751" i="1" s="1"/>
  <c r="BE220" i="1"/>
  <c r="BK111" i="1"/>
  <c r="F48" i="523" s="1"/>
  <c r="AH69" i="359"/>
  <c r="AD989" i="1"/>
  <c r="AF576" i="1"/>
  <c r="AJ587" i="1" s="1"/>
  <c r="Y975" i="1"/>
  <c r="U959" i="1"/>
  <c r="AB877" i="1"/>
  <c r="Y868" i="1"/>
  <c r="I737" i="1"/>
  <c r="U700" i="1"/>
  <c r="AG695" i="1"/>
  <c r="W682" i="1"/>
  <c r="AB589" i="1"/>
  <c r="AH508" i="1"/>
  <c r="V122" i="1"/>
  <c r="J466" i="1"/>
  <c r="AW36" i="1"/>
  <c r="AD629" i="1"/>
  <c r="AC12" i="1"/>
  <c r="K45" i="359"/>
  <c r="C17" i="276"/>
  <c r="BL340" i="1"/>
  <c r="AD1027" i="1"/>
  <c r="H737" i="1"/>
  <c r="Z494" i="1"/>
  <c r="R159" i="1"/>
  <c r="R160" i="1" s="1"/>
  <c r="AG208" i="1"/>
  <c r="AC35" i="1"/>
  <c r="Y971" i="1"/>
  <c r="O959" i="1"/>
  <c r="U868" i="1"/>
  <c r="O541" i="1"/>
  <c r="Z487" i="1"/>
  <c r="U208" i="1"/>
  <c r="E136" i="1"/>
  <c r="E945" i="1" s="1"/>
  <c r="T122" i="1"/>
  <c r="AF49" i="1"/>
  <c r="AF57" i="1" s="1"/>
  <c r="AB1027" i="1"/>
  <c r="X974" i="1"/>
  <c r="Y976" i="1"/>
  <c r="BN908" i="1"/>
  <c r="T868" i="1"/>
  <c r="AI644" i="1"/>
  <c r="W493" i="1"/>
  <c r="S348" i="1"/>
  <c r="AF233" i="1"/>
  <c r="D136" i="1"/>
  <c r="D945" i="1" s="1"/>
  <c r="J265" i="1"/>
  <c r="N267" i="1" s="1"/>
  <c r="Q746" i="1"/>
  <c r="Q751" i="1" s="1"/>
  <c r="AH566" i="1"/>
  <c r="AH191" i="1"/>
  <c r="R975" i="1"/>
  <c r="BK566" i="1"/>
  <c r="J541" i="1"/>
  <c r="AD191" i="1"/>
  <c r="R1005" i="1"/>
  <c r="S968" i="1"/>
  <c r="S974" i="1" s="1"/>
  <c r="AJ857" i="1"/>
  <c r="BO857" i="1" s="1"/>
  <c r="Q699" i="1"/>
  <c r="R694" i="1"/>
  <c r="AU499" i="1"/>
  <c r="BH302" i="1"/>
  <c r="T191" i="1"/>
  <c r="AB136" i="1"/>
  <c r="AB945" i="1" s="1"/>
  <c r="I265" i="1"/>
  <c r="I268" i="1" s="1"/>
  <c r="I75" i="51"/>
  <c r="I458" i="1"/>
  <c r="M460" i="1" s="1"/>
  <c r="O868" i="1"/>
  <c r="AI273" i="1"/>
  <c r="AC136" i="1"/>
  <c r="AC945" i="1" s="1"/>
  <c r="AD878" i="1"/>
  <c r="AZ709" i="1"/>
  <c r="AZ721" i="1" s="1"/>
  <c r="Q694" i="1"/>
  <c r="AA576" i="1"/>
  <c r="AG171" i="1"/>
  <c r="N159" i="1"/>
  <c r="N160" i="1" s="1"/>
  <c r="J125" i="1"/>
  <c r="J122" i="1" s="1"/>
  <c r="Z208" i="1"/>
  <c r="L538" i="1"/>
  <c r="BI32" i="1"/>
  <c r="L746" i="1"/>
  <c r="L757" i="1" s="1"/>
  <c r="L759" i="1" s="1"/>
  <c r="AF629" i="1"/>
  <c r="N976" i="1"/>
  <c r="Q974" i="1"/>
  <c r="BA922" i="1"/>
  <c r="L922" i="1"/>
  <c r="BM744" i="1"/>
  <c r="BM749" i="1" s="1"/>
  <c r="V698" i="1"/>
  <c r="AF686" i="1"/>
  <c r="R589" i="1"/>
  <c r="Q576" i="1"/>
  <c r="BL510" i="1"/>
  <c r="AF491" i="1"/>
  <c r="P484" i="1"/>
  <c r="AG464" i="1"/>
  <c r="AG465" i="1" s="1"/>
  <c r="AG52" i="359"/>
  <c r="AG53" i="359" s="1"/>
  <c r="U699" i="1"/>
  <c r="AB208" i="1"/>
  <c r="AD991" i="1"/>
  <c r="Q976" i="1"/>
  <c r="AZ922" i="1"/>
  <c r="AB878" i="1"/>
  <c r="I857" i="1"/>
  <c r="I876" i="1" s="1"/>
  <c r="D772" i="1"/>
  <c r="D775" i="1" s="1"/>
  <c r="H776" i="1" s="1"/>
  <c r="BL744" i="1"/>
  <c r="BL749" i="1" s="1"/>
  <c r="U698" i="1"/>
  <c r="O484" i="1"/>
  <c r="AD208" i="1"/>
  <c r="AI172" i="1"/>
  <c r="AA265" i="1"/>
  <c r="AA268" i="1" s="1"/>
  <c r="AF30" i="468"/>
  <c r="AF45" i="359"/>
  <c r="L772" i="1"/>
  <c r="L775" i="1" s="1"/>
  <c r="L776" i="1" s="1"/>
  <c r="U694" i="1"/>
  <c r="V343" i="1"/>
  <c r="BK343" i="1" s="1"/>
  <c r="Y974" i="1"/>
  <c r="L976" i="1"/>
  <c r="P976" i="1"/>
  <c r="M922" i="1"/>
  <c r="BI872" i="1"/>
  <c r="AG586" i="1"/>
  <c r="BK510" i="1"/>
  <c r="O494" i="1"/>
  <c r="AE233" i="1"/>
  <c r="Z170" i="1"/>
  <c r="AC630" i="1"/>
  <c r="AF338" i="1"/>
  <c r="AJ338" i="1" s="1"/>
  <c r="AN338" i="1" s="1"/>
  <c r="AS857" i="1"/>
  <c r="BH745" i="1"/>
  <c r="BH750" i="1" s="1"/>
  <c r="AJ965" i="1"/>
  <c r="AB686" i="1"/>
  <c r="W689" i="1"/>
  <c r="O685" i="1"/>
  <c r="W659" i="1"/>
  <c r="W646" i="1"/>
  <c r="AF586" i="1"/>
  <c r="AG493" i="1"/>
  <c r="R491" i="1"/>
  <c r="N496" i="1"/>
  <c r="BU149" i="1"/>
  <c r="Q43" i="1"/>
  <c r="AX44" i="1"/>
  <c r="AJ337" i="1"/>
  <c r="AN337" i="1" s="1"/>
  <c r="R12" i="1"/>
  <c r="AD52" i="359"/>
  <c r="AD53" i="359" s="1"/>
  <c r="P12" i="1"/>
  <c r="P772" i="1"/>
  <c r="P775" i="1" s="1"/>
  <c r="BN957" i="1"/>
  <c r="BN963" i="1"/>
  <c r="BN975" i="1" s="1"/>
  <c r="BM702" i="1"/>
  <c r="BM698" i="1"/>
  <c r="AB10" i="468"/>
  <c r="AB45" i="468" s="1"/>
  <c r="AB51" i="468" s="1"/>
  <c r="BK483" i="1"/>
  <c r="O772" i="1"/>
  <c r="O775" i="1" s="1"/>
  <c r="O737" i="1"/>
  <c r="BL697" i="1"/>
  <c r="BL698" i="1"/>
  <c r="BL700" i="1"/>
  <c r="BL693" i="1"/>
  <c r="BL694" i="1"/>
  <c r="BL690" i="1"/>
  <c r="Q572" i="1"/>
  <c r="Q570" i="1" s="1"/>
  <c r="Q580" i="1" s="1"/>
  <c r="Q511" i="1"/>
  <c r="U511" i="1"/>
  <c r="M125" i="1"/>
  <c r="M122" i="1" s="1"/>
  <c r="M868" i="1"/>
  <c r="V464" i="1"/>
  <c r="R464" i="1"/>
  <c r="R466" i="1"/>
  <c r="BH189" i="1"/>
  <c r="BH537" i="1"/>
  <c r="BI538" i="1" s="1"/>
  <c r="BI125" i="1"/>
  <c r="R458" i="1"/>
  <c r="R461" i="1" s="1"/>
  <c r="W40" i="359"/>
  <c r="W41" i="359" s="1"/>
  <c r="Z57" i="359"/>
  <c r="O686" i="1"/>
  <c r="S686" i="1"/>
  <c r="BM908" i="1"/>
  <c r="AE915" i="1"/>
  <c r="BM915" i="1" s="1"/>
  <c r="AC125" i="1"/>
  <c r="AC122" i="1" s="1"/>
  <c r="AC868" i="1"/>
  <c r="Z125" i="1"/>
  <c r="Z122" i="1" s="1"/>
  <c r="Z868" i="1"/>
  <c r="X271" i="1"/>
  <c r="AB271" i="1"/>
  <c r="V40" i="359"/>
  <c r="V41" i="359" s="1"/>
  <c r="V45" i="359"/>
  <c r="AD576" i="1"/>
  <c r="AH587" i="1" s="1"/>
  <c r="AH511" i="1"/>
  <c r="AD508" i="1"/>
  <c r="AD541" i="1"/>
  <c r="AD271" i="1"/>
  <c r="AH271" i="1"/>
  <c r="AD273" i="1"/>
  <c r="BL742" i="1"/>
  <c r="AJ732" i="1"/>
  <c r="AJ772" i="1" s="1"/>
  <c r="AJ775" i="1" s="1"/>
  <c r="AJ878" i="1"/>
  <c r="AJ991" i="1"/>
  <c r="BE700" i="1"/>
  <c r="BE698" i="1"/>
  <c r="BE695" i="1"/>
  <c r="BE693" i="1"/>
  <c r="BE701" i="1"/>
  <c r="BE694" i="1"/>
  <c r="BN129" i="1"/>
  <c r="AF37" i="1"/>
  <c r="AB625" i="1"/>
  <c r="AF631" i="1" s="1"/>
  <c r="AB45" i="1"/>
  <c r="BM31" i="1"/>
  <c r="BM625" i="1" s="1"/>
  <c r="AJ43" i="1"/>
  <c r="AI658" i="1"/>
  <c r="BH626" i="1"/>
  <c r="AA508" i="1"/>
  <c r="AA572" i="1"/>
  <c r="AA570" i="1" s="1"/>
  <c r="T10" i="468"/>
  <c r="X15" i="468" s="1"/>
  <c r="L484" i="1"/>
  <c r="L491" i="1"/>
  <c r="AH208" i="1"/>
  <c r="AH778" i="1"/>
  <c r="AH785" i="1" s="1"/>
  <c r="X737" i="1"/>
  <c r="X772" i="1"/>
  <c r="X775" i="1" s="1"/>
  <c r="X776" i="1" s="1"/>
  <c r="BM956" i="1"/>
  <c r="BE690" i="1"/>
  <c r="X590" i="1"/>
  <c r="Z572" i="1"/>
  <c r="Z511" i="1"/>
  <c r="AY695" i="1"/>
  <c r="AY701" i="1"/>
  <c r="AY696" i="1"/>
  <c r="AY700" i="1"/>
  <c r="AY693" i="1"/>
  <c r="AY698" i="1"/>
  <c r="AY694" i="1"/>
  <c r="AY699" i="1"/>
  <c r="AY702" i="1"/>
  <c r="AY697" i="1"/>
  <c r="AG623" i="1"/>
  <c r="BE77" i="1"/>
  <c r="BE708" i="1"/>
  <c r="BE709" i="1" s="1"/>
  <c r="BK953" i="1"/>
  <c r="AX701" i="1"/>
  <c r="AX696" i="1"/>
  <c r="Q484" i="1"/>
  <c r="BD77" i="1"/>
  <c r="BD708" i="1"/>
  <c r="BD709" i="1" s="1"/>
  <c r="AG136" i="1"/>
  <c r="AG945" i="1" s="1"/>
  <c r="BM341" i="1"/>
  <c r="I624" i="1"/>
  <c r="I630" i="1" s="1"/>
  <c r="I32" i="1"/>
  <c r="AI538" i="1"/>
  <c r="AI533" i="1"/>
  <c r="M252" i="1"/>
  <c r="M256" i="1"/>
  <c r="Q258" i="1" s="1"/>
  <c r="BB125" i="1"/>
  <c r="BB868" i="1"/>
  <c r="U625" i="1"/>
  <c r="Y631" i="1" s="1"/>
  <c r="U37" i="1"/>
  <c r="D993" i="1"/>
  <c r="D1027" i="1"/>
  <c r="D990" i="1"/>
  <c r="D999" i="1" s="1"/>
  <c r="D989" i="1"/>
  <c r="D998" i="1" s="1"/>
  <c r="D992" i="1"/>
  <c r="P737" i="1"/>
  <c r="AB78" i="1"/>
  <c r="AB86" i="1" s="1"/>
  <c r="AB101" i="1" s="1"/>
  <c r="AB103" i="1" s="1"/>
  <c r="AB757" i="1"/>
  <c r="K484" i="1"/>
  <c r="O487" i="1"/>
  <c r="Y233" i="1"/>
  <c r="AX111" i="1"/>
  <c r="AX97" i="1" s="1"/>
  <c r="AX872" i="1"/>
  <c r="AJ44" i="1"/>
  <c r="AJ624" i="1"/>
  <c r="AX22" i="1"/>
  <c r="AX26" i="1" s="1"/>
  <c r="AX230" i="1"/>
  <c r="AC48" i="1"/>
  <c r="AC941" i="1" s="1"/>
  <c r="AC208" i="1"/>
  <c r="AC191" i="1"/>
  <c r="K207" i="1"/>
  <c r="O159" i="1"/>
  <c r="O160" i="1" s="1"/>
  <c r="BM135" i="1"/>
  <c r="P746" i="1"/>
  <c r="P751" i="1" s="1"/>
  <c r="AK1012" i="1"/>
  <c r="AO1012" i="1" s="1"/>
  <c r="P631" i="1"/>
  <c r="BK35" i="1"/>
  <c r="BK623" i="1"/>
  <c r="BK629" i="1" s="1"/>
  <c r="X623" i="1"/>
  <c r="X629" i="1" s="1"/>
  <c r="BE699" i="1"/>
  <c r="H208" i="1"/>
  <c r="N464" i="1"/>
  <c r="N466" i="1"/>
  <c r="BI630" i="1"/>
  <c r="J629" i="1"/>
  <c r="L273" i="1"/>
  <c r="AD464" i="1"/>
  <c r="Z466" i="1"/>
  <c r="Z464" i="1"/>
  <c r="L271" i="1"/>
  <c r="H276" i="1"/>
  <c r="L7" i="267"/>
  <c r="L9" i="313" s="1"/>
  <c r="V44" i="1"/>
  <c r="V1027" i="1"/>
  <c r="P252" i="1"/>
  <c r="J702" i="1"/>
  <c r="J701" i="1"/>
  <c r="J698" i="1"/>
  <c r="J699" i="1"/>
  <c r="J696" i="1"/>
  <c r="J694" i="1"/>
  <c r="J697" i="1"/>
  <c r="J695" i="1"/>
  <c r="J700" i="1"/>
  <c r="U971" i="1"/>
  <c r="U974" i="1"/>
  <c r="N538" i="1"/>
  <c r="R538" i="1"/>
  <c r="W45" i="359"/>
  <c r="M349" i="1"/>
  <c r="Q349" i="1"/>
  <c r="BK969" i="1"/>
  <c r="AG857" i="1"/>
  <c r="BI969" i="1"/>
  <c r="S737" i="1"/>
  <c r="S772" i="1"/>
  <c r="S775" i="1" s="1"/>
  <c r="W776" i="1" s="1"/>
  <c r="H541" i="1"/>
  <c r="S158" i="1"/>
  <c r="W158" i="1"/>
  <c r="Y533" i="1"/>
  <c r="Y538" i="1"/>
  <c r="AI171" i="1"/>
  <c r="AE21" i="28"/>
  <c r="AE22" i="28" s="1"/>
  <c r="BH68" i="1"/>
  <c r="C55" i="523" s="1"/>
  <c r="K208" i="1"/>
  <c r="AU111" i="1"/>
  <c r="AU868" i="1"/>
  <c r="AU878" i="1"/>
  <c r="X159" i="1"/>
  <c r="X160" i="1" s="1"/>
  <c r="AB159" i="1"/>
  <c r="AB160" i="1" s="1"/>
  <c r="AB167" i="1"/>
  <c r="X215" i="1"/>
  <c r="X214" i="1" s="1"/>
  <c r="AE959" i="1"/>
  <c r="H971" i="1"/>
  <c r="M171" i="1"/>
  <c r="Y171" i="1"/>
  <c r="AV19" i="1"/>
  <c r="AW13" i="1"/>
  <c r="G19" i="230"/>
  <c r="G24" i="230" s="1"/>
  <c r="R631" i="1"/>
  <c r="W541" i="1"/>
  <c r="O493" i="1"/>
  <c r="P491" i="1"/>
  <c r="Z493" i="1"/>
  <c r="AH215" i="1"/>
  <c r="AH214" i="1" s="1"/>
  <c r="AG191" i="1"/>
  <c r="C47" i="276"/>
  <c r="AW878" i="1"/>
  <c r="AJ877" i="1"/>
  <c r="S644" i="1"/>
  <c r="V541" i="1"/>
  <c r="AT543" i="1"/>
  <c r="Y494" i="1"/>
  <c r="AF191" i="1"/>
  <c r="AH136" i="1"/>
  <c r="AH945" i="1" s="1"/>
  <c r="AY77" i="1"/>
  <c r="BA36" i="1"/>
  <c r="H63" i="51"/>
  <c r="P975" i="1"/>
  <c r="AZ868" i="1"/>
  <c r="BO781" i="1"/>
  <c r="BD702" i="1"/>
  <c r="BD699" i="1"/>
  <c r="AF588" i="1"/>
  <c r="W572" i="1"/>
  <c r="W570" i="1" s="1"/>
  <c r="AH172" i="1"/>
  <c r="H265" i="1"/>
  <c r="L267" i="1" s="1"/>
  <c r="AV13" i="1"/>
  <c r="BL957" i="1"/>
  <c r="AU922" i="1"/>
  <c r="F922" i="1"/>
  <c r="BN781" i="1"/>
  <c r="W685" i="1"/>
  <c r="AI659" i="1"/>
  <c r="F626" i="1"/>
  <c r="V572" i="1"/>
  <c r="V570" i="1" s="1"/>
  <c r="BI312" i="1"/>
  <c r="BB207" i="1"/>
  <c r="Y191" i="1"/>
  <c r="S40" i="359"/>
  <c r="S41" i="359" s="1"/>
  <c r="AJ922" i="1"/>
  <c r="I697" i="1"/>
  <c r="AG588" i="1"/>
  <c r="AG541" i="1"/>
  <c r="S494" i="1"/>
  <c r="K36" i="1"/>
  <c r="R974" i="1"/>
  <c r="K772" i="1"/>
  <c r="K775" i="1" s="1"/>
  <c r="K776" i="1" s="1"/>
  <c r="BA757" i="1"/>
  <c r="BA759" i="1" s="1"/>
  <c r="BA761" i="1" s="1"/>
  <c r="BA768" i="1" s="1"/>
  <c r="BL745" i="1"/>
  <c r="BL750" i="1" s="1"/>
  <c r="BA678" i="1"/>
  <c r="BA700" i="1" s="1"/>
  <c r="BN646" i="1"/>
  <c r="BN634" i="1" s="1"/>
  <c r="AD586" i="1"/>
  <c r="Z576" i="1"/>
  <c r="Z348" i="1"/>
  <c r="R273" i="1"/>
  <c r="P191" i="1"/>
  <c r="AT44" i="1"/>
  <c r="AI252" i="1"/>
  <c r="AA959" i="1"/>
  <c r="D922" i="1"/>
  <c r="H976" i="1"/>
  <c r="H982" i="1" s="1"/>
  <c r="AH922" i="1"/>
  <c r="BK696" i="1"/>
  <c r="AD694" i="1"/>
  <c r="AZ678" i="1"/>
  <c r="AZ700" i="1" s="1"/>
  <c r="BI623" i="1"/>
  <c r="BI626" i="1" s="1"/>
  <c r="J572" i="1"/>
  <c r="J570" i="1" s="1"/>
  <c r="N580" i="1" s="1"/>
  <c r="U576" i="1"/>
  <c r="BN510" i="1"/>
  <c r="BN508" i="1" s="1"/>
  <c r="AU502" i="1"/>
  <c r="W488" i="1"/>
  <c r="W487" i="1" s="1"/>
  <c r="Q491" i="1"/>
  <c r="Q273" i="1"/>
  <c r="BN187" i="1"/>
  <c r="BE37" i="1"/>
  <c r="R746" i="1"/>
  <c r="R751" i="1" s="1"/>
  <c r="AM30" i="468"/>
  <c r="BI742" i="1"/>
  <c r="AT751" i="1"/>
  <c r="I699" i="1"/>
  <c r="BH630" i="1"/>
  <c r="AW504" i="1"/>
  <c r="S135" i="1"/>
  <c r="BC159" i="1"/>
  <c r="BK968" i="1"/>
  <c r="BI962" i="1"/>
  <c r="AC857" i="1"/>
  <c r="S576" i="1"/>
  <c r="M484" i="1"/>
  <c r="AJ273" i="1"/>
  <c r="BM218" i="1"/>
  <c r="AD172" i="1"/>
  <c r="R136" i="1"/>
  <c r="R945" i="1" s="1"/>
  <c r="T136" i="1"/>
  <c r="T945" i="1" s="1"/>
  <c r="AG36" i="1"/>
  <c r="AY45" i="1"/>
  <c r="AI36" i="1"/>
  <c r="AD342" i="1"/>
  <c r="AH12" i="1"/>
  <c r="V877" i="1"/>
  <c r="BE857" i="1"/>
  <c r="BC708" i="1"/>
  <c r="BC709" i="1" s="1"/>
  <c r="BC721" i="1" s="1"/>
  <c r="BD698" i="1"/>
  <c r="AE589" i="1"/>
  <c r="T586" i="1"/>
  <c r="P576" i="1"/>
  <c r="BL559" i="1"/>
  <c r="J343" i="1"/>
  <c r="J342" i="1" s="1"/>
  <c r="AI572" i="1"/>
  <c r="K265" i="1"/>
  <c r="K268" i="1" s="1"/>
  <c r="H37" i="1"/>
  <c r="K746" i="1"/>
  <c r="K757" i="1" s="1"/>
  <c r="K778" i="1" s="1"/>
  <c r="K785" i="1" s="1"/>
  <c r="K788" i="1" s="1"/>
  <c r="BH136" i="1"/>
  <c r="W965" i="1"/>
  <c r="Z959" i="1"/>
  <c r="BJ872" i="1"/>
  <c r="V868" i="1"/>
  <c r="BL578" i="1"/>
  <c r="BJ533" i="1"/>
  <c r="I488" i="1"/>
  <c r="I487" i="1" s="1"/>
  <c r="I466" i="1"/>
  <c r="BD466" i="1"/>
  <c r="BG208" i="1"/>
  <c r="BE170" i="1"/>
  <c r="BJ112" i="1"/>
  <c r="AF464" i="1"/>
  <c r="N36" i="1"/>
  <c r="AD338" i="1"/>
  <c r="AH338" i="1" s="1"/>
  <c r="S921" i="1"/>
  <c r="J487" i="1"/>
  <c r="U271" i="1"/>
  <c r="BK206" i="1"/>
  <c r="W189" i="1"/>
  <c r="AI159" i="1"/>
  <c r="AI160" i="1" s="1"/>
  <c r="AB30" i="468"/>
  <c r="BK693" i="1"/>
  <c r="U857" i="1"/>
  <c r="M857" i="1"/>
  <c r="M876" i="1" s="1"/>
  <c r="I701" i="1"/>
  <c r="BG693" i="1"/>
  <c r="AE631" i="1"/>
  <c r="I484" i="1"/>
  <c r="AH159" i="1"/>
  <c r="H122" i="1"/>
  <c r="AS45" i="1"/>
  <c r="BB32" i="1"/>
  <c r="BB46" i="1" s="1"/>
  <c r="AI992" i="1"/>
  <c r="AJ974" i="1"/>
  <c r="K959" i="1"/>
  <c r="BI922" i="1"/>
  <c r="BL889" i="1"/>
  <c r="BA857" i="1"/>
  <c r="L857" i="1"/>
  <c r="L876" i="1" s="1"/>
  <c r="BG745" i="1"/>
  <c r="BG750" i="1" s="1"/>
  <c r="BA708" i="1"/>
  <c r="BA709" i="1" s="1"/>
  <c r="W623" i="1"/>
  <c r="AA629" i="1" s="1"/>
  <c r="P136" i="1"/>
  <c r="P945" i="1" s="1"/>
  <c r="G122" i="1"/>
  <c r="BB35" i="1"/>
  <c r="AS19" i="1"/>
  <c r="BB708" i="1"/>
  <c r="BB712" i="1" s="1"/>
  <c r="BB714" i="1" s="1"/>
  <c r="BI957" i="1"/>
  <c r="BK956" i="1"/>
  <c r="BH922" i="1"/>
  <c r="BD693" i="1"/>
  <c r="V623" i="1"/>
  <c r="V629" i="1" s="1"/>
  <c r="Q588" i="1"/>
  <c r="AW501" i="1"/>
  <c r="BL302" i="1"/>
  <c r="AI207" i="1"/>
  <c r="AA541" i="1"/>
  <c r="BK700" i="1"/>
  <c r="BG215" i="1"/>
  <c r="X976" i="1"/>
  <c r="AD971" i="1"/>
  <c r="R857" i="1"/>
  <c r="BK872" i="1"/>
  <c r="BG695" i="1"/>
  <c r="AB689" i="1"/>
  <c r="BB543" i="1"/>
  <c r="U312" i="1"/>
  <c r="AI122" i="1"/>
  <c r="E122" i="1"/>
  <c r="AJ990" i="1"/>
  <c r="P487" i="1"/>
  <c r="BJ466" i="1"/>
  <c r="BH631" i="1"/>
  <c r="W976" i="1"/>
  <c r="Z975" i="1"/>
  <c r="BN958" i="1"/>
  <c r="BE922" i="1"/>
  <c r="BD700" i="1"/>
  <c r="AE686" i="1"/>
  <c r="W589" i="1"/>
  <c r="R588" i="1"/>
  <c r="S190" i="1"/>
  <c r="AI170" i="1"/>
  <c r="L136" i="1"/>
  <c r="L945" i="1" s="1"/>
  <c r="I35" i="1"/>
  <c r="AD732" i="1"/>
  <c r="AD772" i="1" s="1"/>
  <c r="AD775" i="1" s="1"/>
  <c r="BC45" i="1"/>
  <c r="AJ993" i="1"/>
  <c r="V976" i="1"/>
  <c r="AB974" i="1"/>
  <c r="BD695" i="1"/>
  <c r="W625" i="1"/>
  <c r="AA631" i="1" s="1"/>
  <c r="BL577" i="1"/>
  <c r="Y511" i="1"/>
  <c r="Y208" i="1"/>
  <c r="AC576" i="1"/>
  <c r="AS136" i="1"/>
  <c r="AV136" i="1"/>
  <c r="AV945" i="1" s="1"/>
  <c r="AG122" i="1"/>
  <c r="BL118" i="1"/>
  <c r="G69" i="523" s="1"/>
  <c r="U265" i="1"/>
  <c r="U268" i="1" s="1"/>
  <c r="BA19" i="1"/>
  <c r="E93" i="51" s="1"/>
  <c r="E19" i="51" s="1"/>
  <c r="Z12" i="1"/>
  <c r="X975" i="1"/>
  <c r="AA974" i="1"/>
  <c r="AG976" i="1"/>
  <c r="AK982" i="1" s="1"/>
  <c r="AG975" i="1"/>
  <c r="AK981" i="1" s="1"/>
  <c r="AD974" i="1"/>
  <c r="AX708" i="1"/>
  <c r="AX712" i="1" s="1"/>
  <c r="AX714" i="1" s="1"/>
  <c r="AX718" i="1" s="1"/>
  <c r="AV700" i="1"/>
  <c r="W686" i="1"/>
  <c r="U493" i="1"/>
  <c r="AC493" i="1"/>
  <c r="O349" i="1"/>
  <c r="J136" i="1"/>
  <c r="J945" i="1" s="1"/>
  <c r="AA263" i="1"/>
  <c r="C49" i="276"/>
  <c r="BK559" i="1"/>
  <c r="BJ566" i="1"/>
  <c r="AA757" i="1"/>
  <c r="AA759" i="1" s="1"/>
  <c r="AA761" i="1" s="1"/>
  <c r="AA769" i="1" s="1"/>
  <c r="AA511" i="1"/>
  <c r="AB172" i="1"/>
  <c r="AW868" i="1"/>
  <c r="BL72" i="1"/>
  <c r="W959" i="1"/>
  <c r="T976" i="1"/>
  <c r="W975" i="1"/>
  <c r="U922" i="1"/>
  <c r="AT857" i="1"/>
  <c r="E857" i="1"/>
  <c r="AB590" i="1"/>
  <c r="V491" i="1"/>
  <c r="AC494" i="1"/>
  <c r="N349" i="1"/>
  <c r="BC215" i="1"/>
  <c r="BC220" i="1" s="1"/>
  <c r="BN204" i="1"/>
  <c r="AE122" i="1"/>
  <c r="BN68" i="1"/>
  <c r="I55" i="523" s="1"/>
  <c r="AC37" i="1"/>
  <c r="AT32" i="1"/>
  <c r="AT46" i="1" s="1"/>
  <c r="BA43" i="1"/>
  <c r="AF1033" i="1"/>
  <c r="AF1032" i="1" s="1"/>
  <c r="BG953" i="1"/>
  <c r="S256" i="1"/>
  <c r="W258" i="1" s="1"/>
  <c r="S343" i="1"/>
  <c r="S342" i="1" s="1"/>
  <c r="W252" i="1"/>
  <c r="S252" i="1"/>
  <c r="E62" i="51"/>
  <c r="F63" i="51" s="1"/>
  <c r="R971" i="1"/>
  <c r="V857" i="1"/>
  <c r="V589" i="1"/>
  <c r="Z589" i="1"/>
  <c r="X508" i="1"/>
  <c r="X572" i="1"/>
  <c r="X541" i="1"/>
  <c r="R256" i="1"/>
  <c r="V258" i="1" s="1"/>
  <c r="R343" i="1"/>
  <c r="R263" i="1"/>
  <c r="BI190" i="1"/>
  <c r="BJ190" i="1"/>
  <c r="AY712" i="1"/>
  <c r="AY714" i="1" s="1"/>
  <c r="AY718" i="1" s="1"/>
  <c r="AY709" i="1"/>
  <c r="AY721" i="1" s="1"/>
  <c r="M700" i="1"/>
  <c r="M693" i="1"/>
  <c r="M696" i="1"/>
  <c r="M695" i="1"/>
  <c r="M697" i="1"/>
  <c r="M702" i="1"/>
  <c r="M701" i="1"/>
  <c r="BH953" i="1"/>
  <c r="BM696" i="1"/>
  <c r="BM693" i="1"/>
  <c r="BM695" i="1"/>
  <c r="BM699" i="1"/>
  <c r="BM701" i="1"/>
  <c r="BM700" i="1"/>
  <c r="BM697" i="1"/>
  <c r="L693" i="1"/>
  <c r="L694" i="1"/>
  <c r="L700" i="1"/>
  <c r="L695" i="1"/>
  <c r="L698" i="1"/>
  <c r="L690" i="1"/>
  <c r="L696" i="1"/>
  <c r="L701" i="1"/>
  <c r="BH629" i="1"/>
  <c r="Y311" i="1"/>
  <c r="BL311" i="1" s="1"/>
  <c r="Y342" i="1"/>
  <c r="Y349" i="1"/>
  <c r="BL341" i="1"/>
  <c r="K832" i="1"/>
  <c r="K857" i="1" s="1"/>
  <c r="K876" i="1" s="1"/>
  <c r="AE271" i="1"/>
  <c r="AE273" i="1"/>
  <c r="Z971" i="1"/>
  <c r="Z974" i="1"/>
  <c r="Q690" i="1"/>
  <c r="M172" i="1"/>
  <c r="Y172" i="1"/>
  <c r="AC172" i="1"/>
  <c r="BI157" i="1"/>
  <c r="BI510" i="1"/>
  <c r="BJ511" i="1" s="1"/>
  <c r="X57" i="359"/>
  <c r="X138" i="359" s="1"/>
  <c r="Y40" i="359"/>
  <c r="Y41" i="359" s="1"/>
  <c r="V52" i="359"/>
  <c r="V53" i="359" s="1"/>
  <c r="H16" i="51"/>
  <c r="H17" i="51" s="1"/>
  <c r="G17" i="51"/>
  <c r="AJ1010" i="1"/>
  <c r="AF1015" i="1"/>
  <c r="M690" i="1"/>
  <c r="P588" i="1"/>
  <c r="T588" i="1"/>
  <c r="BC464" i="1"/>
  <c r="BB466" i="1"/>
  <c r="BH510" i="1"/>
  <c r="BH508" i="1" s="1"/>
  <c r="BH206" i="1"/>
  <c r="BH157" i="1"/>
  <c r="BH165" i="1" s="1"/>
  <c r="F18" i="51"/>
  <c r="F17" i="51"/>
  <c r="AB487" i="1"/>
  <c r="BI263" i="1"/>
  <c r="BJ262" i="1"/>
  <c r="W311" i="1"/>
  <c r="W256" i="1" s="1"/>
  <c r="AA349" i="1"/>
  <c r="W349" i="1"/>
  <c r="BK745" i="1"/>
  <c r="BK750" i="1" s="1"/>
  <c r="BK736" i="1"/>
  <c r="AX125" i="1"/>
  <c r="AX868" i="1"/>
  <c r="H64" i="51"/>
  <c r="G63" i="51"/>
  <c r="G64" i="51"/>
  <c r="E17" i="51"/>
  <c r="E18" i="51"/>
  <c r="O653" i="1"/>
  <c r="S660" i="1" s="1"/>
  <c r="BJ660" i="1"/>
  <c r="AI586" i="1"/>
  <c r="AA590" i="1"/>
  <c r="AE590" i="1"/>
  <c r="AJ488" i="1"/>
  <c r="Q342" i="1"/>
  <c r="BH111" i="1"/>
  <c r="C48" i="523" s="1"/>
  <c r="C65" i="523" s="1"/>
  <c r="BH872" i="1"/>
  <c r="BH871" i="1" s="1"/>
  <c r="Z590" i="1"/>
  <c r="AD590" i="1"/>
  <c r="T589" i="1"/>
  <c r="X589" i="1"/>
  <c r="BI533" i="1"/>
  <c r="BJ538" i="1"/>
  <c r="M694" i="1"/>
  <c r="AE624" i="1"/>
  <c r="R493" i="1"/>
  <c r="R484" i="1"/>
  <c r="BJ485" i="1"/>
  <c r="AH488" i="1"/>
  <c r="AL496" i="1" s="1"/>
  <c r="BE868" i="1"/>
  <c r="BE872" i="1"/>
  <c r="BE877" i="1" s="1"/>
  <c r="AV22" i="1"/>
  <c r="AV26" i="1" s="1"/>
  <c r="AV230" i="1"/>
  <c r="AG1015" i="1"/>
  <c r="I971" i="1"/>
  <c r="T871" i="1"/>
  <c r="BC702" i="1"/>
  <c r="BC701" i="1"/>
  <c r="BD690" i="1"/>
  <c r="BG690" i="1" s="1"/>
  <c r="AD626" i="1"/>
  <c r="AG488" i="1"/>
  <c r="AA351" i="1"/>
  <c r="BD111" i="1"/>
  <c r="BD97" i="1" s="1"/>
  <c r="BD868" i="1"/>
  <c r="BG873" i="1"/>
  <c r="BD872" i="1"/>
  <c r="W458" i="1"/>
  <c r="AA460" i="1" s="1"/>
  <c r="AE684" i="1"/>
  <c r="AI684" i="1"/>
  <c r="AF488" i="1"/>
  <c r="Q466" i="1"/>
  <c r="Q464" i="1"/>
  <c r="M698" i="1"/>
  <c r="AB684" i="1"/>
  <c r="AF684" i="1"/>
  <c r="BI577" i="1"/>
  <c r="BJ577" i="1"/>
  <c r="BI486" i="1"/>
  <c r="AG466" i="1"/>
  <c r="U351" i="1"/>
  <c r="BE271" i="1"/>
  <c r="BD271" i="1"/>
  <c r="P256" i="1"/>
  <c r="P257" i="1" s="1"/>
  <c r="BJ311" i="1"/>
  <c r="BJ312" i="1" s="1"/>
  <c r="AC263" i="1"/>
  <c r="AG260" i="1"/>
  <c r="J37" i="1"/>
  <c r="AI30" i="468"/>
  <c r="K971" i="1"/>
  <c r="K975" i="1"/>
  <c r="K981" i="1" s="1"/>
  <c r="O971" i="1"/>
  <c r="O974" i="1"/>
  <c r="AE676" i="1"/>
  <c r="AE688" i="1" s="1"/>
  <c r="AB688" i="1"/>
  <c r="AA684" i="1"/>
  <c r="M494" i="1"/>
  <c r="Q494" i="1"/>
  <c r="AF466" i="1"/>
  <c r="AJ466" i="1"/>
  <c r="AJ464" i="1"/>
  <c r="BC273" i="1"/>
  <c r="BC271" i="1"/>
  <c r="AH569" i="1"/>
  <c r="AL569" i="1" s="1"/>
  <c r="AB538" i="1"/>
  <c r="AF538" i="1"/>
  <c r="AB541" i="1"/>
  <c r="AB533" i="1"/>
  <c r="AX37" i="1"/>
  <c r="AW45" i="1"/>
  <c r="AS22" i="1"/>
  <c r="AT23" i="1" s="1"/>
  <c r="AS230" i="1"/>
  <c r="AH125" i="1"/>
  <c r="AH122" i="1" s="1"/>
  <c r="AH857" i="1"/>
  <c r="BN832" i="1"/>
  <c r="BN868" i="1" s="1"/>
  <c r="BN971" i="1"/>
  <c r="AW697" i="1"/>
  <c r="AW702" i="1"/>
  <c r="AW698" i="1"/>
  <c r="AW695" i="1"/>
  <c r="AW700" i="1"/>
  <c r="AW690" i="1"/>
  <c r="AW694" i="1"/>
  <c r="AW699" i="1"/>
  <c r="AH464" i="1"/>
  <c r="BI970" i="1"/>
  <c r="AV696" i="1"/>
  <c r="AV693" i="1"/>
  <c r="AV698" i="1"/>
  <c r="AV702" i="1"/>
  <c r="AV694" i="1"/>
  <c r="AV697" i="1"/>
  <c r="AV699" i="1"/>
  <c r="S688" i="1"/>
  <c r="O688" i="1"/>
  <c r="L487" i="1"/>
  <c r="AG458" i="1"/>
  <c r="AG461" i="1" s="1"/>
  <c r="BM228" i="1"/>
  <c r="BM238" i="1" s="1"/>
  <c r="M159" i="1"/>
  <c r="M160" i="1" s="1"/>
  <c r="M207" i="1"/>
  <c r="M215" i="1"/>
  <c r="M214" i="1" s="1"/>
  <c r="O629" i="1"/>
  <c r="AH343" i="1"/>
  <c r="AH252" i="1"/>
  <c r="AH253" i="1" s="1"/>
  <c r="AH163" i="1" s="1"/>
  <c r="AH273" i="1"/>
  <c r="BH486" i="1"/>
  <c r="AD170" i="1"/>
  <c r="AD163" i="1"/>
  <c r="L702" i="1"/>
  <c r="BH646" i="1"/>
  <c r="BH634" i="1" s="1"/>
  <c r="L626" i="1"/>
  <c r="L629" i="1"/>
  <c r="BK36" i="1"/>
  <c r="BK624" i="1"/>
  <c r="BK630" i="1" s="1"/>
  <c r="AJ159" i="1"/>
  <c r="AJ160" i="1" s="1"/>
  <c r="AF160" i="1"/>
  <c r="AF12" i="1"/>
  <c r="AF207" i="1"/>
  <c r="AF215" i="1"/>
  <c r="AF214" i="1" s="1"/>
  <c r="AF208" i="1"/>
  <c r="AF159" i="1"/>
  <c r="BH732" i="1"/>
  <c r="I12" i="1"/>
  <c r="I746" i="1"/>
  <c r="M737" i="1"/>
  <c r="BH970" i="1"/>
  <c r="BI152" i="1"/>
  <c r="BJ159" i="1" s="1"/>
  <c r="BJ160" i="1" s="1"/>
  <c r="L215" i="1"/>
  <c r="L214" i="1" s="1"/>
  <c r="P219" i="1" s="1"/>
  <c r="L207" i="1"/>
  <c r="L208" i="1"/>
  <c r="BJ125" i="1"/>
  <c r="BJ857" i="1"/>
  <c r="F772" i="1"/>
  <c r="F775" i="1" s="1"/>
  <c r="AX699" i="1"/>
  <c r="V191" i="1"/>
  <c r="V208" i="1"/>
  <c r="AI778" i="1"/>
  <c r="AI785" i="1" s="1"/>
  <c r="AI208" i="1"/>
  <c r="AI191" i="1"/>
  <c r="AH625" i="1"/>
  <c r="AH37" i="1"/>
  <c r="AL1015" i="1"/>
  <c r="T965" i="1"/>
  <c r="U965" i="1"/>
  <c r="T959" i="1"/>
  <c r="BJ868" i="1"/>
  <c r="AC694" i="1"/>
  <c r="AC696" i="1"/>
  <c r="AC702" i="1"/>
  <c r="AC701" i="1"/>
  <c r="AC697" i="1"/>
  <c r="AC698" i="1"/>
  <c r="AC700" i="1"/>
  <c r="AC695" i="1"/>
  <c r="W683" i="1"/>
  <c r="AE657" i="1"/>
  <c r="K630" i="1"/>
  <c r="Q541" i="1"/>
  <c r="I325" i="1"/>
  <c r="BH324" i="1"/>
  <c r="BH325" i="1" s="1"/>
  <c r="X191" i="1"/>
  <c r="BH868" i="1"/>
  <c r="AA122" i="1"/>
  <c r="AC99" i="468"/>
  <c r="AG30" i="468"/>
  <c r="AK1014" i="1"/>
  <c r="AO1014" i="1" s="1"/>
  <c r="AJ871" i="1"/>
  <c r="Z693" i="1"/>
  <c r="Z702" i="1"/>
  <c r="Z694" i="1"/>
  <c r="Z701" i="1"/>
  <c r="Z697" i="1"/>
  <c r="Z690" i="1"/>
  <c r="Z698" i="1"/>
  <c r="Z700" i="1"/>
  <c r="Z695" i="1"/>
  <c r="J630" i="1"/>
  <c r="N630" i="1"/>
  <c r="BH485" i="1"/>
  <c r="H484" i="1"/>
  <c r="H487" i="1"/>
  <c r="BL205" i="1"/>
  <c r="BL463" i="1"/>
  <c r="BM464" i="1" s="1"/>
  <c r="D746" i="1"/>
  <c r="D22" i="1" s="1"/>
  <c r="AO98" i="468"/>
  <c r="AO45" i="468"/>
  <c r="AO51" i="468" s="1"/>
  <c r="AO58" i="468"/>
  <c r="AO35" i="468" s="1"/>
  <c r="V697" i="1"/>
  <c r="V701" i="1"/>
  <c r="V696" i="1"/>
  <c r="V694" i="1"/>
  <c r="V700" i="1"/>
  <c r="V695" i="1"/>
  <c r="S657" i="1"/>
  <c r="AE484" i="1"/>
  <c r="AI484" i="1" s="1"/>
  <c r="AM484" i="1" s="1"/>
  <c r="AE493" i="1"/>
  <c r="Q488" i="1"/>
  <c r="Q487" i="1" s="1"/>
  <c r="T458" i="1"/>
  <c r="X460" i="1" s="1"/>
  <c r="X464" i="1"/>
  <c r="T466" i="1"/>
  <c r="AE975" i="1"/>
  <c r="Q965" i="1"/>
  <c r="K976" i="1"/>
  <c r="L697" i="1"/>
  <c r="BM694" i="1"/>
  <c r="AF688" i="1"/>
  <c r="W586" i="1"/>
  <c r="AA586" i="1"/>
  <c r="BK579" i="1"/>
  <c r="BM485" i="1"/>
  <c r="BD36" i="1"/>
  <c r="BG36" i="1" s="1"/>
  <c r="P36" i="1"/>
  <c r="P624" i="1"/>
  <c r="P630" i="1" s="1"/>
  <c r="T695" i="1"/>
  <c r="T698" i="1"/>
  <c r="T701" i="1"/>
  <c r="T697" i="1"/>
  <c r="T693" i="1"/>
  <c r="T700" i="1"/>
  <c r="T696" i="1"/>
  <c r="J625" i="1"/>
  <c r="N631" i="1" s="1"/>
  <c r="BI559" i="1"/>
  <c r="BJ559" i="1"/>
  <c r="N208" i="1"/>
  <c r="N191" i="1"/>
  <c r="O630" i="1"/>
  <c r="AJ32" i="1"/>
  <c r="AJ46" i="1" s="1"/>
  <c r="AJ35" i="1"/>
  <c r="AJ623" i="1"/>
  <c r="H35" i="1"/>
  <c r="D43" i="1"/>
  <c r="D623" i="1"/>
  <c r="H629" i="1" s="1"/>
  <c r="BN841" i="1"/>
  <c r="AW701" i="1"/>
  <c r="BG626" i="1"/>
  <c r="L631" i="1"/>
  <c r="H631" i="1"/>
  <c r="BN111" i="1"/>
  <c r="I48" i="523" s="1"/>
  <c r="Z265" i="1"/>
  <c r="Z263" i="1"/>
  <c r="BL260" i="1"/>
  <c r="BL263" i="1" s="1"/>
  <c r="H458" i="1"/>
  <c r="H461" i="1" s="1"/>
  <c r="H466" i="1"/>
  <c r="L464" i="1"/>
  <c r="Y214" i="1"/>
  <c r="AC219" i="1" s="1"/>
  <c r="AC220" i="1"/>
  <c r="S156" i="1"/>
  <c r="S152" i="1"/>
  <c r="S159" i="1" s="1"/>
  <c r="S160" i="1" s="1"/>
  <c r="W156" i="1"/>
  <c r="AE171" i="1" s="1"/>
  <c r="S969" i="1"/>
  <c r="S975" i="1" s="1"/>
  <c r="T922" i="1"/>
  <c r="J971" i="1"/>
  <c r="J975" i="1"/>
  <c r="J981" i="1" s="1"/>
  <c r="N971" i="1"/>
  <c r="N974" i="1"/>
  <c r="AX698" i="1"/>
  <c r="AX697" i="1"/>
  <c r="AX695" i="1"/>
  <c r="AX702" i="1"/>
  <c r="AX693" i="1"/>
  <c r="AX700" i="1"/>
  <c r="BB273" i="1"/>
  <c r="AB458" i="1"/>
  <c r="AB464" i="1"/>
  <c r="AB466" i="1"/>
  <c r="R965" i="1"/>
  <c r="S965" i="1"/>
  <c r="F19" i="1"/>
  <c r="F106" i="1" s="1"/>
  <c r="F44" i="1"/>
  <c r="F1027" i="1"/>
  <c r="BL962" i="1"/>
  <c r="BL956" i="1"/>
  <c r="X699" i="1"/>
  <c r="X700" i="1"/>
  <c r="X701" i="1"/>
  <c r="X697" i="1"/>
  <c r="X693" i="1"/>
  <c r="AC586" i="1"/>
  <c r="Y586" i="1"/>
  <c r="AR10" i="468"/>
  <c r="AR15" i="468" s="1"/>
  <c r="AJ491" i="1"/>
  <c r="AS111" i="1"/>
  <c r="AS97" i="1" s="1"/>
  <c r="AS878" i="1"/>
  <c r="AS872" i="1"/>
  <c r="AS871" i="1" s="1"/>
  <c r="AA112" i="1"/>
  <c r="AA69" i="1"/>
  <c r="AA70" i="1" s="1"/>
  <c r="AA113" i="1" s="1"/>
  <c r="F43" i="1"/>
  <c r="E12" i="1"/>
  <c r="E772" i="1"/>
  <c r="E775" i="1" s="1"/>
  <c r="I776" i="1" s="1"/>
  <c r="E746" i="1"/>
  <c r="I965" i="1"/>
  <c r="AB922" i="1"/>
  <c r="H965" i="1"/>
  <c r="AJ959" i="1"/>
  <c r="AV701" i="1"/>
  <c r="M699" i="1"/>
  <c r="AY690" i="1"/>
  <c r="Q697" i="1"/>
  <c r="Q693" i="1"/>
  <c r="Q700" i="1"/>
  <c r="Q695" i="1"/>
  <c r="Q702" i="1"/>
  <c r="Q696" i="1"/>
  <c r="Q701" i="1"/>
  <c r="V588" i="1"/>
  <c r="Z588" i="1"/>
  <c r="BN962" i="1"/>
  <c r="BN974" i="1" s="1"/>
  <c r="L699" i="1"/>
  <c r="AC690" i="1"/>
  <c r="BM486" i="1"/>
  <c r="AF494" i="1"/>
  <c r="AJ502" i="1" s="1"/>
  <c r="AB493" i="1"/>
  <c r="AF493" i="1"/>
  <c r="AF10" i="468"/>
  <c r="AJ15" i="468" s="1"/>
  <c r="AB491" i="1"/>
  <c r="T464" i="1"/>
  <c r="BL31" i="1"/>
  <c r="BL625" i="1" s="1"/>
  <c r="BL631" i="1" s="1"/>
  <c r="X625" i="1"/>
  <c r="X631" i="1" s="1"/>
  <c r="BM962" i="1"/>
  <c r="BM974" i="1" s="1"/>
  <c r="X959" i="1"/>
  <c r="J959" i="1"/>
  <c r="AI868" i="1"/>
  <c r="AV757" i="1"/>
  <c r="AV759" i="1" s="1"/>
  <c r="AV761" i="1" s="1"/>
  <c r="X690" i="1"/>
  <c r="AA494" i="1"/>
  <c r="AE494" i="1"/>
  <c r="W348" i="1"/>
  <c r="BM510" i="1"/>
  <c r="BM541" i="1" s="1"/>
  <c r="BM970" i="1"/>
  <c r="BM971" i="1" s="1"/>
  <c r="BM157" i="1"/>
  <c r="BH156" i="1"/>
  <c r="BH969" i="1"/>
  <c r="K118" i="1"/>
  <c r="K865" i="1"/>
  <c r="AH693" i="1"/>
  <c r="AH701" i="1"/>
  <c r="AH698" i="1"/>
  <c r="AH702" i="1"/>
  <c r="AH694" i="1"/>
  <c r="Z586" i="1"/>
  <c r="V586" i="1"/>
  <c r="BD541" i="1"/>
  <c r="BD538" i="1"/>
  <c r="BG538" i="1" s="1"/>
  <c r="I342" i="1"/>
  <c r="AW125" i="1"/>
  <c r="AE36" i="1"/>
  <c r="AA36" i="1"/>
  <c r="AA624" i="1"/>
  <c r="AA630" i="1" s="1"/>
  <c r="BD32" i="1"/>
  <c r="P32" i="1"/>
  <c r="N12" i="1"/>
  <c r="N737" i="1"/>
  <c r="R737" i="1"/>
  <c r="AC69" i="359"/>
  <c r="P45" i="359"/>
  <c r="P52" i="359"/>
  <c r="P53" i="359" s="1"/>
  <c r="AB265" i="1"/>
  <c r="AF267" i="1" s="1"/>
  <c r="BM260" i="1"/>
  <c r="BN262" i="1" s="1"/>
  <c r="AB263" i="1"/>
  <c r="AB36" i="1"/>
  <c r="AB44" i="1"/>
  <c r="BE35" i="1"/>
  <c r="BE32" i="1"/>
  <c r="BE46" i="1" s="1"/>
  <c r="AI1032" i="1"/>
  <c r="W971" i="1"/>
  <c r="V971" i="1"/>
  <c r="BH962" i="1"/>
  <c r="AG690" i="1"/>
  <c r="AG694" i="1"/>
  <c r="AG701" i="1"/>
  <c r="AG699" i="1"/>
  <c r="E626" i="1"/>
  <c r="U586" i="1"/>
  <c r="AB256" i="1"/>
  <c r="AF258" i="1" s="1"/>
  <c r="J458" i="1"/>
  <c r="J461" i="1" s="1"/>
  <c r="AT45" i="1"/>
  <c r="AT37" i="1"/>
  <c r="F32" i="1"/>
  <c r="F46" i="1" s="1"/>
  <c r="F45" i="1"/>
  <c r="Z36" i="1"/>
  <c r="Z624" i="1"/>
  <c r="Z630" i="1" s="1"/>
  <c r="Q971" i="1"/>
  <c r="AA857" i="1"/>
  <c r="BA687" i="1"/>
  <c r="BJ631" i="1"/>
  <c r="BI631" i="1"/>
  <c r="Y576" i="1"/>
  <c r="AW499" i="1"/>
  <c r="AV499" i="1"/>
  <c r="BJ340" i="1"/>
  <c r="AJ271" i="1"/>
  <c r="AA273" i="1"/>
  <c r="AA252" i="1"/>
  <c r="AE252" i="1"/>
  <c r="AA256" i="1"/>
  <c r="AE258" i="1" s="1"/>
  <c r="BD136" i="1"/>
  <c r="BD945" i="1" s="1"/>
  <c r="P271" i="1"/>
  <c r="T271" i="1"/>
  <c r="P273" i="1"/>
  <c r="M971" i="1"/>
  <c r="T971" i="1"/>
  <c r="T974" i="1"/>
  <c r="J965" i="1"/>
  <c r="AH699" i="1"/>
  <c r="AA683" i="1"/>
  <c r="W658" i="1"/>
  <c r="BI646" i="1"/>
  <c r="BI634" i="1" s="1"/>
  <c r="O641" i="1"/>
  <c r="S646" i="1" s="1"/>
  <c r="S586" i="1"/>
  <c r="BL566" i="1"/>
  <c r="X576" i="1"/>
  <c r="T233" i="1"/>
  <c r="BI206" i="1"/>
  <c r="BI189" i="1"/>
  <c r="AV857" i="1"/>
  <c r="U464" i="1"/>
  <c r="Y464" i="1"/>
  <c r="U466" i="1"/>
  <c r="B7" i="267"/>
  <c r="B9" i="313" s="1"/>
  <c r="L43" i="1"/>
  <c r="BJ922" i="1"/>
  <c r="AG702" i="1"/>
  <c r="Y700" i="1"/>
  <c r="Y701" i="1"/>
  <c r="Y697" i="1"/>
  <c r="Y694" i="1"/>
  <c r="Y693" i="1"/>
  <c r="AI657" i="1"/>
  <c r="BJ561" i="1"/>
  <c r="BJ562" i="1" s="1"/>
  <c r="AJ484" i="1"/>
  <c r="M22" i="230"/>
  <c r="X208" i="1"/>
  <c r="BL126" i="1"/>
  <c r="Z533" i="1"/>
  <c r="AD538" i="1"/>
  <c r="Z538" i="1"/>
  <c r="Z541" i="1"/>
  <c r="J45" i="359"/>
  <c r="J52" i="359"/>
  <c r="AI976" i="1"/>
  <c r="AM982" i="1" s="1"/>
  <c r="AC922" i="1"/>
  <c r="BL872" i="1"/>
  <c r="Y857" i="1"/>
  <c r="AA686" i="1"/>
  <c r="AC631" i="1"/>
  <c r="N576" i="1"/>
  <c r="M511" i="1"/>
  <c r="BI302" i="1"/>
  <c r="BK732" i="1"/>
  <c r="BK735" i="1"/>
  <c r="BK744" i="1"/>
  <c r="BK749" i="1" s="1"/>
  <c r="R225" i="1"/>
  <c r="N271" i="1"/>
  <c r="R271" i="1"/>
  <c r="Z37" i="1"/>
  <c r="AC252" i="1"/>
  <c r="AC343" i="1"/>
  <c r="BM343" i="1" s="1"/>
  <c r="R7" i="267"/>
  <c r="R9" i="313" s="1"/>
  <c r="AB990" i="1"/>
  <c r="AB989" i="1"/>
  <c r="Q922" i="1"/>
  <c r="BL854" i="1"/>
  <c r="N690" i="1"/>
  <c r="N693" i="1"/>
  <c r="O678" i="1"/>
  <c r="O697" i="1" s="1"/>
  <c r="AB624" i="1"/>
  <c r="AF630" i="1" s="1"/>
  <c r="AE487" i="1"/>
  <c r="AD488" i="1"/>
  <c r="AD496" i="1" s="1"/>
  <c r="BI341" i="1"/>
  <c r="Q256" i="1"/>
  <c r="U258" i="1" s="1"/>
  <c r="Q312" i="1"/>
  <c r="M32" i="1"/>
  <c r="M36" i="1"/>
  <c r="M44" i="1"/>
  <c r="BM340" i="1"/>
  <c r="AB348" i="1"/>
  <c r="AF348" i="1"/>
  <c r="AH700" i="1"/>
  <c r="BL699" i="1"/>
  <c r="BL696" i="1"/>
  <c r="BL695" i="1"/>
  <c r="BL485" i="1"/>
  <c r="X493" i="1"/>
  <c r="T337" i="1"/>
  <c r="P337" i="1" s="1"/>
  <c r="L337" i="1" s="1"/>
  <c r="P346" i="1" s="1"/>
  <c r="AB125" i="1"/>
  <c r="AB122" i="1" s="1"/>
  <c r="AB868" i="1"/>
  <c r="AH568" i="1"/>
  <c r="AH589" i="1"/>
  <c r="AF343" i="1"/>
  <c r="AJ351" i="1" s="1"/>
  <c r="AF256" i="1"/>
  <c r="AJ258" i="1" s="1"/>
  <c r="AJ252" i="1"/>
  <c r="AF273" i="1"/>
  <c r="AF252" i="1"/>
  <c r="AC167" i="1"/>
  <c r="Y159" i="1"/>
  <c r="Y160" i="1" s="1"/>
  <c r="Y12" i="1"/>
  <c r="AC159" i="1"/>
  <c r="AC160" i="1" s="1"/>
  <c r="AE52" i="359"/>
  <c r="AE53" i="359" s="1"/>
  <c r="AE45" i="359"/>
  <c r="V974" i="1"/>
  <c r="AD976" i="1"/>
  <c r="Y965" i="1"/>
  <c r="S889" i="1"/>
  <c r="BL701" i="1"/>
  <c r="AG700" i="1"/>
  <c r="W484" i="1"/>
  <c r="AA493" i="1"/>
  <c r="AC10" i="468"/>
  <c r="AD45" i="468" s="1"/>
  <c r="AD51" i="468" s="1"/>
  <c r="Y491" i="1"/>
  <c r="BH341" i="1"/>
  <c r="AB346" i="1"/>
  <c r="BN135" i="1"/>
  <c r="BK118" i="1"/>
  <c r="F69" i="523" s="1"/>
  <c r="AZ13" i="1"/>
  <c r="AZ45" i="1"/>
  <c r="AZ857" i="1"/>
  <c r="AX857" i="1"/>
  <c r="BI578" i="1"/>
  <c r="L576" i="1"/>
  <c r="BH566" i="1"/>
  <c r="Y488" i="1"/>
  <c r="Y487" i="1" s="1"/>
  <c r="Y466" i="1"/>
  <c r="Z252" i="1"/>
  <c r="AY13" i="1"/>
  <c r="AY19" i="1"/>
  <c r="AY44" i="1"/>
  <c r="H857" i="1"/>
  <c r="H876" i="1" s="1"/>
  <c r="S841" i="1"/>
  <c r="S872" i="1"/>
  <c r="S871" i="1" s="1"/>
  <c r="BO779" i="1"/>
  <c r="Y695" i="1"/>
  <c r="L511" i="1"/>
  <c r="L541" i="1"/>
  <c r="Z496" i="1"/>
  <c r="V496" i="1"/>
  <c r="BC208" i="1"/>
  <c r="L170" i="1"/>
  <c r="AB170" i="1"/>
  <c r="L45" i="1"/>
  <c r="R922" i="1"/>
  <c r="G857" i="1"/>
  <c r="AG698" i="1"/>
  <c r="K541" i="1"/>
  <c r="K572" i="1"/>
  <c r="K570" i="1" s="1"/>
  <c r="R494" i="1"/>
  <c r="H343" i="1"/>
  <c r="BG130" i="1"/>
  <c r="V30" i="468"/>
  <c r="R99" i="468"/>
  <c r="BA44" i="1"/>
  <c r="U12" i="1"/>
  <c r="U772" i="1"/>
  <c r="U775" i="1" s="1"/>
  <c r="U746" i="1"/>
  <c r="AF32" i="1"/>
  <c r="BN29" i="1"/>
  <c r="BN623" i="1" s="1"/>
  <c r="BB772" i="1"/>
  <c r="BB775" i="1" s="1"/>
  <c r="BB737" i="1"/>
  <c r="AB342" i="1"/>
  <c r="AE976" i="1"/>
  <c r="BK889" i="1"/>
  <c r="BM841" i="1"/>
  <c r="AD975" i="1"/>
  <c r="P857" i="1"/>
  <c r="K678" i="1"/>
  <c r="K700" i="1" s="1"/>
  <c r="AA644" i="1"/>
  <c r="Q623" i="1"/>
  <c r="R487" i="1"/>
  <c r="T484" i="1"/>
  <c r="AG233" i="1"/>
  <c r="V959" i="1"/>
  <c r="BC857" i="1"/>
  <c r="N857" i="1"/>
  <c r="N876" i="1" s="1"/>
  <c r="M624" i="1"/>
  <c r="P623" i="1"/>
  <c r="I541" i="1"/>
  <c r="I572" i="1"/>
  <c r="BK485" i="1"/>
  <c r="T493" i="1"/>
  <c r="BI458" i="1"/>
  <c r="Z343" i="1"/>
  <c r="BM190" i="1"/>
  <c r="X172" i="1"/>
  <c r="L171" i="1"/>
  <c r="X171" i="1"/>
  <c r="AA971" i="1"/>
  <c r="AE971" i="1"/>
  <c r="BH963" i="1"/>
  <c r="AV922" i="1"/>
  <c r="G922" i="1"/>
  <c r="BB857" i="1"/>
  <c r="D857" i="1"/>
  <c r="BN744" i="1"/>
  <c r="BN749" i="1" s="1"/>
  <c r="Y698" i="1"/>
  <c r="BJ575" i="1"/>
  <c r="H572" i="1"/>
  <c r="AG511" i="1"/>
  <c r="AC508" i="1"/>
  <c r="AC543" i="1" s="1"/>
  <c r="AC572" i="1"/>
  <c r="AC511" i="1"/>
  <c r="N171" i="1"/>
  <c r="BN157" i="1"/>
  <c r="AT111" i="1"/>
  <c r="AT878" i="1"/>
  <c r="T12" i="1"/>
  <c r="T746" i="1"/>
  <c r="T737" i="1"/>
  <c r="AD494" i="1"/>
  <c r="BH334" i="1"/>
  <c r="BH335" i="1" s="1"/>
  <c r="BL190" i="1"/>
  <c r="AC265" i="1"/>
  <c r="AC271" i="1"/>
  <c r="AC273" i="1"/>
  <c r="BE36" i="1"/>
  <c r="Q36" i="1"/>
  <c r="Q624" i="1"/>
  <c r="AW19" i="1"/>
  <c r="C7" i="267"/>
  <c r="C9" i="313" s="1"/>
  <c r="M43" i="1"/>
  <c r="M45" i="1"/>
  <c r="V538" i="1"/>
  <c r="V533" i="1"/>
  <c r="V543" i="1" s="1"/>
  <c r="Q458" i="1"/>
  <c r="AJ30" i="468"/>
  <c r="AJ99" i="468"/>
  <c r="V576" i="1"/>
  <c r="W494" i="1"/>
  <c r="AA484" i="1"/>
  <c r="AH483" i="1"/>
  <c r="AL483" i="1" s="1"/>
  <c r="AT10" i="468" s="1"/>
  <c r="P233" i="1"/>
  <c r="BN206" i="1"/>
  <c r="V458" i="1"/>
  <c r="Z460" i="1" s="1"/>
  <c r="Q265" i="1"/>
  <c r="U267" i="1" s="1"/>
  <c r="Q263" i="1"/>
  <c r="K273" i="1"/>
  <c r="O271" i="1"/>
  <c r="AE12" i="1"/>
  <c r="AE159" i="1"/>
  <c r="AE160" i="1"/>
  <c r="AH30" i="468"/>
  <c r="AH99" i="468"/>
  <c r="V494" i="1"/>
  <c r="AK10" i="468"/>
  <c r="AK15" i="468" s="1"/>
  <c r="AG491" i="1"/>
  <c r="AK499" i="1" s="1"/>
  <c r="BM206" i="1"/>
  <c r="BG118" i="1"/>
  <c r="N19" i="313"/>
  <c r="N28" i="313" s="1"/>
  <c r="BL85" i="1"/>
  <c r="G28" i="523" s="1"/>
  <c r="AD43" i="1"/>
  <c r="AH35" i="1"/>
  <c r="BN956" i="1"/>
  <c r="AY922" i="1"/>
  <c r="J922" i="1"/>
  <c r="V878" i="1"/>
  <c r="BD857" i="1"/>
  <c r="O857" i="1"/>
  <c r="O876" i="1" s="1"/>
  <c r="AU857" i="1"/>
  <c r="F857" i="1"/>
  <c r="AD690" i="1"/>
  <c r="O684" i="1"/>
  <c r="S659" i="1"/>
  <c r="Y541" i="1"/>
  <c r="N511" i="1"/>
  <c r="N541" i="1"/>
  <c r="Y493" i="1"/>
  <c r="O273" i="1"/>
  <c r="BL206" i="1"/>
  <c r="BL537" i="1"/>
  <c r="BM538" i="1" s="1"/>
  <c r="BG129" i="1"/>
  <c r="AD45" i="1"/>
  <c r="P458" i="1"/>
  <c r="P461" i="1" s="1"/>
  <c r="P464" i="1"/>
  <c r="P466" i="1"/>
  <c r="AG35" i="1"/>
  <c r="AC623" i="1"/>
  <c r="AC626" i="1" s="1"/>
  <c r="BD12" i="1"/>
  <c r="BD746" i="1"/>
  <c r="AC349" i="1"/>
  <c r="AD160" i="1"/>
  <c r="AH160" i="1"/>
  <c r="AD215" i="1"/>
  <c r="AD214" i="1" s="1"/>
  <c r="AW502" i="1"/>
  <c r="BE273" i="1"/>
  <c r="BG273" i="1" s="1"/>
  <c r="AJ233" i="1"/>
  <c r="BD191" i="1"/>
  <c r="BG191" i="1" s="1"/>
  <c r="BE191" i="1"/>
  <c r="K136" i="1"/>
  <c r="K945" i="1" s="1"/>
  <c r="AW77" i="1"/>
  <c r="BK260" i="1"/>
  <c r="AE541" i="1"/>
  <c r="AE511" i="1"/>
  <c r="AY22" i="1"/>
  <c r="AY26" i="1" s="1"/>
  <c r="AY757" i="1"/>
  <c r="AA12" i="1"/>
  <c r="AA215" i="1"/>
  <c r="AA214" i="1" s="1"/>
  <c r="AE224" i="1" s="1"/>
  <c r="AA208" i="1"/>
  <c r="D44" i="1"/>
  <c r="D991" i="1"/>
  <c r="AE136" i="1"/>
  <c r="AE945" i="1" s="1"/>
  <c r="BM129" i="1"/>
  <c r="N125" i="1"/>
  <c r="N122" i="1" s="1"/>
  <c r="N868" i="1"/>
  <c r="BC111" i="1"/>
  <c r="AW44" i="1"/>
  <c r="AT35" i="1"/>
  <c r="S35" i="1"/>
  <c r="W35" i="1"/>
  <c r="S32" i="1"/>
  <c r="AF346" i="1"/>
  <c r="Z30" i="468"/>
  <c r="V99" i="468"/>
  <c r="AB857" i="1"/>
  <c r="AZ776" i="1"/>
  <c r="Y590" i="1"/>
  <c r="AD511" i="1"/>
  <c r="Z508" i="1"/>
  <c r="BJ302" i="1"/>
  <c r="BI329" i="1"/>
  <c r="U252" i="1"/>
  <c r="BE214" i="1"/>
  <c r="BE219" i="1" s="1"/>
  <c r="J62" i="51"/>
  <c r="J63" i="51" s="1"/>
  <c r="BI218" i="1"/>
  <c r="BJ223" i="1"/>
  <c r="BJ218" i="1"/>
  <c r="AA136" i="1"/>
  <c r="AA945" i="1" s="1"/>
  <c r="AU37" i="1"/>
  <c r="AU45" i="1"/>
  <c r="BM30" i="1"/>
  <c r="BM624" i="1" s="1"/>
  <c r="R35" i="1"/>
  <c r="AH40" i="359"/>
  <c r="AH41" i="359" s="1"/>
  <c r="BM736" i="1"/>
  <c r="BM745" i="1"/>
  <c r="BM750" i="1" s="1"/>
  <c r="BK694" i="1"/>
  <c r="BK690" i="1"/>
  <c r="BK698" i="1"/>
  <c r="O682" i="1"/>
  <c r="U590" i="1"/>
  <c r="O572" i="1"/>
  <c r="BI575" i="1"/>
  <c r="AV543" i="1"/>
  <c r="BI485" i="1"/>
  <c r="U10" i="468"/>
  <c r="Y15" i="468" s="1"/>
  <c r="M491" i="1"/>
  <c r="X488" i="1"/>
  <c r="X487" i="1" s="1"/>
  <c r="X466" i="1"/>
  <c r="AA348" i="1"/>
  <c r="BJ313" i="1"/>
  <c r="M208" i="1"/>
  <c r="BL187" i="1"/>
  <c r="BL184" i="1"/>
  <c r="BL204" i="1"/>
  <c r="BK155" i="1"/>
  <c r="BJ207" i="1"/>
  <c r="Q44" i="1"/>
  <c r="M538" i="1"/>
  <c r="M541" i="1"/>
  <c r="Q538" i="1"/>
  <c r="AG252" i="1"/>
  <c r="AG343" i="1"/>
  <c r="AK351" i="1" s="1"/>
  <c r="S12" i="1"/>
  <c r="S746" i="1"/>
  <c r="AN101" i="468"/>
  <c r="AN109" i="468"/>
  <c r="BK854" i="1"/>
  <c r="W857" i="1"/>
  <c r="BL736" i="1"/>
  <c r="BK695" i="1"/>
  <c r="BJ693" i="1"/>
  <c r="BJ698" i="1"/>
  <c r="AA656" i="1"/>
  <c r="AU543" i="1"/>
  <c r="BK187" i="1"/>
  <c r="BK270" i="1"/>
  <c r="BK271" i="1" s="1"/>
  <c r="BK204" i="1"/>
  <c r="BK156" i="1"/>
  <c r="AI511" i="1"/>
  <c r="AI541" i="1"/>
  <c r="BN152" i="1"/>
  <c r="BN207" i="1" s="1"/>
  <c r="AF757" i="1"/>
  <c r="AF69" i="1"/>
  <c r="AF70" i="1" s="1"/>
  <c r="AF113" i="1" s="1"/>
  <c r="AW32" i="1"/>
  <c r="X36" i="1"/>
  <c r="X624" i="1"/>
  <c r="X630" i="1" s="1"/>
  <c r="AC52" i="359"/>
  <c r="AC53" i="359" s="1"/>
  <c r="BJ736" i="1"/>
  <c r="BI745" i="1"/>
  <c r="BI750" i="1" s="1"/>
  <c r="I700" i="1"/>
  <c r="I698" i="1"/>
  <c r="I702" i="1"/>
  <c r="W590" i="1"/>
  <c r="N493" i="1"/>
  <c r="O252" i="1"/>
  <c r="O256" i="1"/>
  <c r="S258" i="1" s="1"/>
  <c r="O343" i="1"/>
  <c r="O351" i="1" s="1"/>
  <c r="BJ187" i="1"/>
  <c r="BI187" i="1"/>
  <c r="BI204" i="1"/>
  <c r="V159" i="1"/>
  <c r="V215" i="1"/>
  <c r="V214" i="1" s="1"/>
  <c r="AI569" i="1"/>
  <c r="BM152" i="1"/>
  <c r="BM251" i="1"/>
  <c r="X125" i="1"/>
  <c r="X122" i="1" s="1"/>
  <c r="X857" i="1"/>
  <c r="AD21" i="28"/>
  <c r="AD22" i="28" s="1"/>
  <c r="BG68" i="1"/>
  <c r="BG67" i="1" s="1"/>
  <c r="AE48" i="1"/>
  <c r="AE191" i="1"/>
  <c r="AE208" i="1"/>
  <c r="S270" i="1"/>
  <c r="S273" i="1" s="1"/>
  <c r="S204" i="1"/>
  <c r="S184" i="1"/>
  <c r="BD159" i="1"/>
  <c r="BG159" i="1" s="1"/>
  <c r="BD207" i="1"/>
  <c r="AE57" i="359"/>
  <c r="AD857" i="1"/>
  <c r="BH736" i="1"/>
  <c r="AS543" i="1"/>
  <c r="BM271" i="1"/>
  <c r="BE171" i="1"/>
  <c r="BE164" i="1"/>
  <c r="BL152" i="1"/>
  <c r="BL207" i="1" s="1"/>
  <c r="AD757" i="1"/>
  <c r="AD78" i="1"/>
  <c r="AD86" i="1" s="1"/>
  <c r="AY32" i="1"/>
  <c r="AY46" i="1" s="1"/>
  <c r="AY43" i="1"/>
  <c r="AE349" i="1"/>
  <c r="AE311" i="1"/>
  <c r="AI311" i="1" s="1"/>
  <c r="G7" i="267"/>
  <c r="G9" i="313" s="1"/>
  <c r="Q13" i="1"/>
  <c r="Q590" i="1"/>
  <c r="BC511" i="1"/>
  <c r="BC508" i="1"/>
  <c r="BC543" i="1" s="1"/>
  <c r="M493" i="1"/>
  <c r="BL273" i="1"/>
  <c r="BM272" i="1"/>
  <c r="BM194" i="1" s="1"/>
  <c r="M343" i="1"/>
  <c r="M351" i="1" s="1"/>
  <c r="AH260" i="1"/>
  <c r="AL260" i="1" s="1"/>
  <c r="AD265" i="1"/>
  <c r="AD263" i="1"/>
  <c r="J35" i="1"/>
  <c r="AG338" i="1"/>
  <c r="AG971" i="1"/>
  <c r="BK699" i="1"/>
  <c r="S678" i="1"/>
  <c r="S698" i="1" s="1"/>
  <c r="AA645" i="1"/>
  <c r="AE338" i="1"/>
  <c r="AE339" i="1" s="1"/>
  <c r="AE348" i="1"/>
  <c r="X922" i="1"/>
  <c r="AD992" i="1"/>
  <c r="AC971" i="1"/>
  <c r="AH965" i="1"/>
  <c r="BK958" i="1"/>
  <c r="W922" i="1"/>
  <c r="T626" i="1"/>
  <c r="AA538" i="1"/>
  <c r="AT500" i="1"/>
  <c r="AU500" i="1"/>
  <c r="L343" i="1"/>
  <c r="P351" i="1" s="1"/>
  <c r="P258" i="1"/>
  <c r="BH184" i="1"/>
  <c r="BH191" i="1" s="1"/>
  <c r="AV111" i="1"/>
  <c r="AV97" i="1" s="1"/>
  <c r="AV872" i="1"/>
  <c r="AV871" i="1" s="1"/>
  <c r="AB52" i="1"/>
  <c r="AC538" i="1"/>
  <c r="M273" i="1"/>
  <c r="M1027" i="1"/>
  <c r="AB976" i="1"/>
  <c r="AF975" i="1"/>
  <c r="AJ971" i="1"/>
  <c r="V922" i="1"/>
  <c r="BJ699" i="1"/>
  <c r="BD694" i="1"/>
  <c r="O681" i="1"/>
  <c r="S645" i="1"/>
  <c r="H626" i="1"/>
  <c r="K631" i="1"/>
  <c r="S623" i="1"/>
  <c r="S629" i="1" s="1"/>
  <c r="L493" i="1"/>
  <c r="AD348" i="1"/>
  <c r="BI270" i="1"/>
  <c r="BI265" i="1" s="1"/>
  <c r="S187" i="1"/>
  <c r="AX43" i="1"/>
  <c r="W543" i="1"/>
  <c r="AD32" i="1"/>
  <c r="AD46" i="1" s="1"/>
  <c r="AD37" i="1"/>
  <c r="W36" i="1"/>
  <c r="S36" i="1"/>
  <c r="AV43" i="1"/>
  <c r="AV35" i="1"/>
  <c r="H32" i="1"/>
  <c r="AX922" i="1"/>
  <c r="Q857" i="1"/>
  <c r="AW503" i="1"/>
  <c r="K342" i="1"/>
  <c r="X233" i="1"/>
  <c r="BM205" i="1"/>
  <c r="BM188" i="1"/>
  <c r="BK152" i="1"/>
  <c r="BK215" i="1" s="1"/>
  <c r="BK214" i="1" s="1"/>
  <c r="S510" i="1"/>
  <c r="S157" i="1"/>
  <c r="M458" i="1"/>
  <c r="Q460" i="1" s="1"/>
  <c r="AX13" i="1"/>
  <c r="I41" i="51"/>
  <c r="J41" i="51"/>
  <c r="I31" i="51"/>
  <c r="H41" i="51"/>
  <c r="AH170" i="1"/>
  <c r="Q159" i="1"/>
  <c r="Q160" i="1" s="1"/>
  <c r="BM130" i="1"/>
  <c r="BL68" i="1"/>
  <c r="G55" i="523" s="1"/>
  <c r="Z458" i="1"/>
  <c r="R37" i="1"/>
  <c r="AU44" i="1"/>
  <c r="AU36" i="1"/>
  <c r="AB35" i="1"/>
  <c r="AB43" i="1"/>
  <c r="W746" i="1"/>
  <c r="W751" i="1" s="1"/>
  <c r="AG170" i="1"/>
  <c r="P159" i="1"/>
  <c r="P160" i="1" s="1"/>
  <c r="S155" i="1"/>
  <c r="W155" i="1"/>
  <c r="AE170" i="1" s="1"/>
  <c r="BG126" i="1"/>
  <c r="BD37" i="1"/>
  <c r="BG37" i="1" s="1"/>
  <c r="Q45" i="1"/>
  <c r="Q625" i="1"/>
  <c r="AU30" i="468"/>
  <c r="AQ30" i="468"/>
  <c r="AQ99" i="468"/>
  <c r="O458" i="1"/>
  <c r="S460" i="1" s="1"/>
  <c r="P37" i="1"/>
  <c r="AA965" i="1"/>
  <c r="R693" i="1"/>
  <c r="R699" i="1"/>
  <c r="R695" i="1"/>
  <c r="O687" i="1"/>
  <c r="I629" i="1"/>
  <c r="AE588" i="1"/>
  <c r="P494" i="1"/>
  <c r="V493" i="1"/>
  <c r="X349" i="1"/>
  <c r="AG207" i="1"/>
  <c r="AG160" i="1"/>
  <c r="AD99" i="468"/>
  <c r="AG69" i="359"/>
  <c r="AU43" i="1"/>
  <c r="AU35" i="1"/>
  <c r="K35" i="1"/>
  <c r="G623" i="1"/>
  <c r="G626" i="1" s="1"/>
  <c r="BE159" i="1"/>
  <c r="BE207" i="1"/>
  <c r="L45" i="359"/>
  <c r="O45" i="359"/>
  <c r="I45" i="359"/>
  <c r="K922" i="1"/>
  <c r="BH744" i="1"/>
  <c r="BH749" i="1" s="1"/>
  <c r="BK660" i="1"/>
  <c r="AE644" i="1"/>
  <c r="BI579" i="1"/>
  <c r="P496" i="1"/>
  <c r="BJ486" i="1"/>
  <c r="I331" i="1"/>
  <c r="I276" i="1" s="1"/>
  <c r="H136" i="1"/>
  <c r="H945" i="1" s="1"/>
  <c r="BK832" i="1"/>
  <c r="BK125" i="1" s="1"/>
  <c r="BG111" i="1"/>
  <c r="Z48" i="1"/>
  <c r="Z191" i="1"/>
  <c r="S463" i="1"/>
  <c r="BK465" i="1" s="1"/>
  <c r="BK195" i="1" s="1"/>
  <c r="S205" i="1"/>
  <c r="N265" i="1"/>
  <c r="R267" i="1" s="1"/>
  <c r="U35" i="1"/>
  <c r="AT30" i="468"/>
  <c r="AP30" i="468"/>
  <c r="X40" i="359"/>
  <c r="X41" i="359" s="1"/>
  <c r="BB36" i="1"/>
  <c r="AI35" i="1"/>
  <c r="AI623" i="1"/>
  <c r="K52" i="359"/>
  <c r="AI971" i="1"/>
  <c r="BM958" i="1"/>
  <c r="Q876" i="1"/>
  <c r="AY857" i="1"/>
  <c r="J857" i="1"/>
  <c r="J876" i="1" s="1"/>
  <c r="BI660" i="1"/>
  <c r="O660" i="1" s="1"/>
  <c r="AE645" i="1"/>
  <c r="P511" i="1"/>
  <c r="S484" i="1"/>
  <c r="AC348" i="1"/>
  <c r="W233" i="1"/>
  <c r="AC171" i="1"/>
  <c r="AF170" i="1"/>
  <c r="BN126" i="1"/>
  <c r="W265" i="1"/>
  <c r="AA267" i="1" s="1"/>
  <c r="D45" i="1"/>
  <c r="I77" i="1"/>
  <c r="BL131" i="1"/>
  <c r="V35" i="1"/>
  <c r="BK18" i="1"/>
  <c r="T77" i="1"/>
  <c r="BK77" i="1" s="1"/>
  <c r="AD44" i="1"/>
  <c r="X35" i="1"/>
  <c r="T35" i="1"/>
  <c r="AD311" i="1"/>
  <c r="AD349" i="1"/>
  <c r="H23" i="51"/>
  <c r="G23" i="51"/>
  <c r="BJ957" i="1"/>
  <c r="BG744" i="1"/>
  <c r="BG749" i="1" s="1"/>
  <c r="S683" i="1"/>
  <c r="AA658" i="1"/>
  <c r="I625" i="1"/>
  <c r="AW543" i="1"/>
  <c r="AU501" i="1"/>
  <c r="O331" i="1"/>
  <c r="O276" i="1" s="1"/>
  <c r="R191" i="1"/>
  <c r="BC136" i="1"/>
  <c r="BC945" i="1" s="1"/>
  <c r="BL130" i="1"/>
  <c r="AE265" i="1"/>
  <c r="AI267" i="1" s="1"/>
  <c r="AI260" i="1"/>
  <c r="AZ44" i="1"/>
  <c r="L36" i="1"/>
  <c r="L44" i="1"/>
  <c r="AT13" i="1"/>
  <c r="AU13" i="1"/>
  <c r="AT19" i="1"/>
  <c r="C9" i="276"/>
  <c r="BX146" i="1"/>
  <c r="BY146" i="1" s="1"/>
  <c r="AK30" i="468"/>
  <c r="AG99" i="468"/>
  <c r="V57" i="359"/>
  <c r="V138" i="359" s="1"/>
  <c r="BI319" i="1"/>
  <c r="BJ273" i="1"/>
  <c r="Q191" i="1"/>
  <c r="BI188" i="1"/>
  <c r="BJ188" i="1"/>
  <c r="N170" i="1"/>
  <c r="BG131" i="1"/>
  <c r="BH37" i="1"/>
  <c r="V37" i="1"/>
  <c r="V45" i="1"/>
  <c r="O36" i="1"/>
  <c r="AF349" i="1"/>
  <c r="AJ341" i="1"/>
  <c r="AN341" i="1" s="1"/>
  <c r="Y629" i="1"/>
  <c r="T576" i="1"/>
  <c r="BC541" i="1"/>
  <c r="AV500" i="1"/>
  <c r="BM156" i="1"/>
  <c r="AZ136" i="1"/>
  <c r="AZ945" i="1" s="1"/>
  <c r="O136" i="1"/>
  <c r="R265" i="1"/>
  <c r="BA32" i="1"/>
  <c r="Q35" i="1"/>
  <c r="AE30" i="468"/>
  <c r="BL156" i="1"/>
  <c r="I136" i="1"/>
  <c r="I945" i="1" s="1"/>
  <c r="U122" i="1"/>
  <c r="AZ32" i="1"/>
  <c r="L35" i="1"/>
  <c r="Z40" i="359"/>
  <c r="Z41" i="359" s="1"/>
  <c r="J31" i="51"/>
  <c r="L265" i="1"/>
  <c r="P267" i="1" s="1"/>
  <c r="R32" i="1"/>
  <c r="AE342" i="1"/>
  <c r="AB69" i="359"/>
  <c r="M331" i="1"/>
  <c r="M332" i="1" s="1"/>
  <c r="I385" i="1" s="1"/>
  <c r="AB233" i="1"/>
  <c r="BM204" i="1"/>
  <c r="BE172" i="1"/>
  <c r="AJ136" i="1"/>
  <c r="AJ945" i="1" s="1"/>
  <c r="BM131" i="1"/>
  <c r="AZ43" i="1"/>
  <c r="N746" i="1"/>
  <c r="Z45" i="359"/>
  <c r="C46" i="276"/>
  <c r="U458" i="1"/>
  <c r="AX36" i="1"/>
  <c r="J36" i="1"/>
  <c r="AI337" i="1"/>
  <c r="J331" i="1"/>
  <c r="J332" i="1" s="1"/>
  <c r="BK228" i="1"/>
  <c r="BK238" i="1" s="1"/>
  <c r="Z136" i="1"/>
  <c r="Z945" i="1" s="1"/>
  <c r="Z112" i="1"/>
  <c r="BM111" i="1"/>
  <c r="H48" i="523" s="1"/>
  <c r="BM72" i="1"/>
  <c r="AE458" i="1"/>
  <c r="AE461" i="1" s="1"/>
  <c r="AV36" i="1"/>
  <c r="H36" i="1"/>
  <c r="M52" i="359"/>
  <c r="M53" i="359" s="1"/>
  <c r="AB171" i="1"/>
  <c r="BL129" i="1"/>
  <c r="R122" i="1"/>
  <c r="Y588" i="1"/>
  <c r="AB511" i="1"/>
  <c r="AI271" i="1"/>
  <c r="Q233" i="1"/>
  <c r="BH152" i="1"/>
  <c r="BH159" i="1" s="1"/>
  <c r="U136" i="1"/>
  <c r="U945" i="1" s="1"/>
  <c r="Q122" i="1"/>
  <c r="N37" i="1"/>
  <c r="Z35" i="1"/>
  <c r="H746" i="1"/>
  <c r="AR30" i="468"/>
  <c r="AB586" i="1"/>
  <c r="BM566" i="1"/>
  <c r="BG263" i="1"/>
  <c r="V252" i="1"/>
  <c r="BN218" i="1"/>
  <c r="X136" i="1"/>
  <c r="X945" i="1" s="1"/>
  <c r="BL111" i="1"/>
  <c r="G48" i="523" s="1"/>
  <c r="BA45" i="1"/>
  <c r="AD458" i="1"/>
  <c r="Y265" i="1"/>
  <c r="T265" i="1"/>
  <c r="X267" i="1" s="1"/>
  <c r="AH32" i="1"/>
  <c r="Y35" i="1"/>
  <c r="P57" i="359"/>
  <c r="P138" i="359" s="1"/>
  <c r="Y589" i="1"/>
  <c r="AE576" i="1"/>
  <c r="AI587" i="1" s="1"/>
  <c r="AJ538" i="1"/>
  <c r="AJ486" i="1"/>
  <c r="AN486" i="1" s="1"/>
  <c r="X170" i="1"/>
  <c r="L159" i="1"/>
  <c r="L160" i="1" s="1"/>
  <c r="BN130" i="1"/>
  <c r="X32" i="1"/>
  <c r="BC746" i="1"/>
  <c r="BC229" i="1" s="1"/>
  <c r="F746" i="1"/>
  <c r="BN270" i="1"/>
  <c r="BE208" i="1"/>
  <c r="AG172" i="1"/>
  <c r="AD122" i="1"/>
  <c r="O122" i="1"/>
  <c r="D122" i="1"/>
  <c r="BM118" i="1"/>
  <c r="H69" i="523" s="1"/>
  <c r="N458" i="1"/>
  <c r="BN30" i="1"/>
  <c r="BN624" i="1" s="1"/>
  <c r="W32" i="1"/>
  <c r="BB746" i="1"/>
  <c r="X746" i="1"/>
  <c r="D19" i="1"/>
  <c r="AU21" i="468"/>
  <c r="AT105" i="468"/>
  <c r="BZ46" i="468"/>
  <c r="BB21" i="468"/>
  <c r="BZ16" i="468"/>
  <c r="CA44" i="468"/>
  <c r="AU29" i="468"/>
  <c r="CA14" i="468"/>
  <c r="AU95" i="468"/>
  <c r="AR19" i="468"/>
  <c r="BZ44" i="468"/>
  <c r="AW93" i="468"/>
  <c r="BA19" i="468"/>
  <c r="X105" i="28"/>
  <c r="O108" i="28"/>
  <c r="T107" i="28"/>
  <c r="Y98" i="28"/>
  <c r="V106" i="28"/>
  <c r="E98" i="28"/>
  <c r="D105" i="28"/>
  <c r="AA98" i="28"/>
  <c r="Z105" i="28"/>
  <c r="Q108" i="28"/>
  <c r="V107" i="28"/>
  <c r="X106" i="28"/>
  <c r="Z102" i="28"/>
  <c r="Y102" i="28"/>
  <c r="X102" i="28"/>
  <c r="J102" i="28"/>
  <c r="I102" i="28"/>
  <c r="H102" i="28"/>
  <c r="T73" i="28"/>
  <c r="T95" i="28"/>
  <c r="Q73" i="28"/>
  <c r="Q95" i="28"/>
  <c r="H24" i="3"/>
  <c r="P73" i="28"/>
  <c r="P95" i="28"/>
  <c r="AB98" i="28"/>
  <c r="AA105" i="28"/>
  <c r="R108" i="28"/>
  <c r="W107" i="28"/>
  <c r="Y106" i="28"/>
  <c r="W102" i="28"/>
  <c r="G102" i="28"/>
  <c r="N108" i="28"/>
  <c r="S107" i="28"/>
  <c r="U106" i="28"/>
  <c r="X98" i="28"/>
  <c r="W105" i="28"/>
  <c r="O73" i="28"/>
  <c r="O95" i="28"/>
  <c r="V102" i="28"/>
  <c r="F102" i="28"/>
  <c r="M108" i="28"/>
  <c r="R107" i="28"/>
  <c r="T106" i="28"/>
  <c r="W98" i="28"/>
  <c r="V105" i="28"/>
  <c r="N73" i="28"/>
  <c r="N95" i="28"/>
  <c r="U102" i="28"/>
  <c r="E102" i="28"/>
  <c r="L108" i="28"/>
  <c r="Q107" i="28"/>
  <c r="S106" i="28"/>
  <c r="V98" i="28"/>
  <c r="U105" i="28"/>
  <c r="H95" i="28"/>
  <c r="H73" i="28"/>
  <c r="T102" i="28"/>
  <c r="D102" i="28"/>
  <c r="P107" i="28"/>
  <c r="R106" i="28"/>
  <c r="U98" i="28"/>
  <c r="T105" i="28"/>
  <c r="K108" i="28"/>
  <c r="D73" i="28"/>
  <c r="D95" i="28"/>
  <c r="S102" i="28"/>
  <c r="O107" i="28"/>
  <c r="Q106" i="28"/>
  <c r="T98" i="28"/>
  <c r="S105" i="28"/>
  <c r="J108" i="28"/>
  <c r="AJ101" i="28"/>
  <c r="AK101" i="28"/>
  <c r="AL101" i="28"/>
  <c r="AM101" i="28"/>
  <c r="AH102" i="28"/>
  <c r="AN101" i="28"/>
  <c r="R102" i="28"/>
  <c r="N107" i="28"/>
  <c r="P106" i="28"/>
  <c r="S98" i="28"/>
  <c r="R105" i="28"/>
  <c r="I108" i="28"/>
  <c r="AG102" i="28"/>
  <c r="Q102" i="28"/>
  <c r="M107" i="28"/>
  <c r="O106" i="28"/>
  <c r="R98" i="28"/>
  <c r="Q105" i="28"/>
  <c r="H108" i="28"/>
  <c r="AF102" i="28"/>
  <c r="P102" i="28"/>
  <c r="AJ97" i="28"/>
  <c r="AK97" i="28"/>
  <c r="AL97" i="28"/>
  <c r="AH98" i="28"/>
  <c r="AM97" i="28"/>
  <c r="AG105" i="28"/>
  <c r="AN97" i="28"/>
  <c r="L107" i="28"/>
  <c r="N106" i="28"/>
  <c r="Q98" i="28"/>
  <c r="P105" i="28"/>
  <c r="G108" i="28"/>
  <c r="AE102" i="28"/>
  <c r="O102" i="28"/>
  <c r="AG98" i="28"/>
  <c r="AF105" i="28"/>
  <c r="K106" i="28"/>
  <c r="N98" i="28"/>
  <c r="M105" i="28"/>
  <c r="D108" i="28"/>
  <c r="I107" i="28"/>
  <c r="AG73" i="28"/>
  <c r="AG95" i="28"/>
  <c r="AD102" i="28"/>
  <c r="N102" i="28"/>
  <c r="AA107" i="28"/>
  <c r="AB108" i="28"/>
  <c r="AB107" i="28"/>
  <c r="AC108" i="28"/>
  <c r="AC107" i="28"/>
  <c r="AD108" i="28"/>
  <c r="AC106" i="28"/>
  <c r="AD107" i="28"/>
  <c r="AE108" i="28"/>
  <c r="AD106" i="28"/>
  <c r="AE107" i="28"/>
  <c r="AF108" i="28"/>
  <c r="AE106" i="28"/>
  <c r="AF107" i="28"/>
  <c r="AG108" i="28"/>
  <c r="AF98" i="28"/>
  <c r="AF106" i="28"/>
  <c r="AG107" i="28"/>
  <c r="AH108" i="28"/>
  <c r="AE105" i="28"/>
  <c r="AG106" i="28"/>
  <c r="AH107" i="28"/>
  <c r="AH106" i="28"/>
  <c r="V108" i="28"/>
  <c r="W108" i="28"/>
  <c r="X108" i="28"/>
  <c r="Y108" i="28"/>
  <c r="Z108" i="28"/>
  <c r="AA108" i="28"/>
  <c r="J106" i="28"/>
  <c r="M98" i="28"/>
  <c r="L105" i="28"/>
  <c r="H107" i="28"/>
  <c r="AF95" i="28"/>
  <c r="AF73" i="28"/>
  <c r="AC102" i="28"/>
  <c r="M102" i="28"/>
  <c r="AB106" i="28"/>
  <c r="AE98" i="28"/>
  <c r="AD105" i="28"/>
  <c r="U108" i="28"/>
  <c r="Z107" i="28"/>
  <c r="K98" i="28"/>
  <c r="J105" i="28"/>
  <c r="F107" i="28"/>
  <c r="H106" i="28"/>
  <c r="AE73" i="28"/>
  <c r="AE95" i="28"/>
  <c r="AB102" i="28"/>
  <c r="L102" i="28"/>
  <c r="AA106" i="28"/>
  <c r="AD98" i="28"/>
  <c r="AC105" i="28"/>
  <c r="T108" i="28"/>
  <c r="Y107" i="28"/>
  <c r="E106" i="28"/>
  <c r="H98" i="28"/>
  <c r="G105" i="28"/>
  <c r="AD73" i="28"/>
  <c r="AD95" i="28"/>
  <c r="AA102" i="28"/>
  <c r="K102" i="28"/>
  <c r="Z106" i="28"/>
  <c r="AC98" i="28"/>
  <c r="AB105" i="28"/>
  <c r="S108" i="28"/>
  <c r="X107" i="28"/>
  <c r="D106" i="28"/>
  <c r="G98" i="28"/>
  <c r="F105" i="28"/>
  <c r="X95" i="28"/>
  <c r="X73" i="28"/>
  <c r="K107" i="28"/>
  <c r="M106" i="28"/>
  <c r="P98" i="28"/>
  <c r="O105" i="28"/>
  <c r="F108" i="28"/>
  <c r="AC73" i="28"/>
  <c r="AC95" i="28"/>
  <c r="M73" i="28"/>
  <c r="M95" i="28"/>
  <c r="L106" i="28"/>
  <c r="O98" i="28"/>
  <c r="N105" i="28"/>
  <c r="E108" i="28"/>
  <c r="J107" i="28"/>
  <c r="AB95" i="28"/>
  <c r="AB73" i="28"/>
  <c r="L95" i="28"/>
  <c r="L73" i="28"/>
  <c r="AA73" i="28"/>
  <c r="AA95" i="28"/>
  <c r="K73" i="28"/>
  <c r="K95" i="28"/>
  <c r="Z73" i="28"/>
  <c r="Z95" i="28"/>
  <c r="J73" i="28"/>
  <c r="J95" i="28"/>
  <c r="L98" i="28"/>
  <c r="K105" i="28"/>
  <c r="G107" i="28"/>
  <c r="I106" i="28"/>
  <c r="Y95" i="28"/>
  <c r="Y73" i="28"/>
  <c r="I73" i="28"/>
  <c r="I95" i="28"/>
  <c r="Z98" i="28"/>
  <c r="Y105" i="28"/>
  <c r="P108" i="28"/>
  <c r="U107" i="28"/>
  <c r="W106" i="28"/>
  <c r="J98" i="28"/>
  <c r="I105" i="28"/>
  <c r="E107" i="28"/>
  <c r="G106" i="28"/>
  <c r="W95" i="28"/>
  <c r="W73" i="28"/>
  <c r="G73" i="28"/>
  <c r="G95" i="28"/>
  <c r="H105" i="28"/>
  <c r="D107" i="28"/>
  <c r="F106" i="28"/>
  <c r="I98" i="28"/>
  <c r="AJ89" i="28"/>
  <c r="AL89" i="28"/>
  <c r="AK89" i="28"/>
  <c r="AM89" i="28"/>
  <c r="AN89" i="28"/>
  <c r="V95" i="28"/>
  <c r="V73" i="28"/>
  <c r="F73" i="28"/>
  <c r="F95" i="28"/>
  <c r="U73" i="28"/>
  <c r="U95" i="28"/>
  <c r="E73" i="28"/>
  <c r="E95" i="28"/>
  <c r="F98" i="28"/>
  <c r="E105" i="28"/>
  <c r="S73" i="28"/>
  <c r="S95" i="28"/>
  <c r="AJ71" i="28"/>
  <c r="AL71" i="28"/>
  <c r="AM71" i="28"/>
  <c r="AN71" i="28"/>
  <c r="AH95" i="28"/>
  <c r="AK71" i="28"/>
  <c r="R73" i="28"/>
  <c r="R95" i="28"/>
  <c r="AE681" i="1"/>
  <c r="AJ992" i="1"/>
  <c r="AI683" i="1"/>
  <c r="AE683" i="1"/>
  <c r="AE685" i="1"/>
  <c r="AI685" i="1"/>
  <c r="AE687" i="1"/>
  <c r="AI687" i="1"/>
  <c r="I1010" i="1"/>
  <c r="AE660" i="1"/>
  <c r="F992" i="1"/>
  <c r="G1013" i="1"/>
  <c r="H1013" i="1" s="1"/>
  <c r="AI989" i="1"/>
  <c r="AB971" i="1"/>
  <c r="L971" i="1"/>
  <c r="AF971" i="1"/>
  <c r="P971" i="1"/>
  <c r="X871" i="1"/>
  <c r="D23" i="522" s="1"/>
  <c r="D55" i="522" s="1"/>
  <c r="P693" i="1"/>
  <c r="P690" i="1"/>
  <c r="T690" i="1"/>
  <c r="P702" i="1"/>
  <c r="P701" i="1"/>
  <c r="P700" i="1"/>
  <c r="P699" i="1"/>
  <c r="P698" i="1"/>
  <c r="P697" i="1"/>
  <c r="P696" i="1"/>
  <c r="BM872" i="1"/>
  <c r="Z24" i="522" s="1"/>
  <c r="Z56" i="522" s="1"/>
  <c r="Z857" i="1"/>
  <c r="BL841" i="1"/>
  <c r="BI735" i="1"/>
  <c r="BJ735" i="1"/>
  <c r="BI744" i="1"/>
  <c r="BI749" i="1" s="1"/>
  <c r="S656" i="1"/>
  <c r="W656" i="1"/>
  <c r="F1014" i="1"/>
  <c r="BI956" i="1"/>
  <c r="AD922" i="1"/>
  <c r="BK908" i="1"/>
  <c r="BK915" i="1" s="1"/>
  <c r="BN889" i="1"/>
  <c r="AI897" i="1"/>
  <c r="BN897" i="1" s="1"/>
  <c r="BM854" i="1"/>
  <c r="F989" i="1"/>
  <c r="S908" i="1"/>
  <c r="S915" i="1" s="1"/>
  <c r="AF749" i="1"/>
  <c r="AA646" i="1"/>
  <c r="BN915" i="1"/>
  <c r="AI922" i="1"/>
  <c r="BN922" i="1" s="1"/>
  <c r="E1015" i="1"/>
  <c r="BN854" i="1"/>
  <c r="AF857" i="1"/>
  <c r="R776" i="1"/>
  <c r="AF693" i="1"/>
  <c r="AF702" i="1"/>
  <c r="AF701" i="1"/>
  <c r="AF700" i="1"/>
  <c r="AF699" i="1"/>
  <c r="AF698" i="1"/>
  <c r="AF697" i="1"/>
  <c r="AF696" i="1"/>
  <c r="BM660" i="1"/>
  <c r="BN660" i="1"/>
  <c r="T494" i="1"/>
  <c r="BK486" i="1"/>
  <c r="T487" i="1"/>
  <c r="BN745" i="1"/>
  <c r="BN750" i="1" s="1"/>
  <c r="AF750" i="1"/>
  <c r="AW709" i="1"/>
  <c r="AW712" i="1"/>
  <c r="AW714" i="1" s="1"/>
  <c r="BN872" i="1"/>
  <c r="AC976" i="1"/>
  <c r="M976" i="1"/>
  <c r="AF974" i="1"/>
  <c r="P974" i="1"/>
  <c r="S854" i="1"/>
  <c r="W678" i="1"/>
  <c r="W698" i="1" s="1"/>
  <c r="BJ646" i="1"/>
  <c r="BJ634" i="1" s="1"/>
  <c r="AD631" i="1"/>
  <c r="S588" i="1"/>
  <c r="W588" i="1"/>
  <c r="AI486" i="1"/>
  <c r="BN779" i="1"/>
  <c r="X971" i="1"/>
  <c r="BI694" i="1"/>
  <c r="BI693" i="1"/>
  <c r="BI690" i="1"/>
  <c r="BJ690" i="1"/>
  <c r="BI702" i="1"/>
  <c r="BI701" i="1"/>
  <c r="BI700" i="1"/>
  <c r="BI699" i="1"/>
  <c r="BI698" i="1"/>
  <c r="BI697" i="1"/>
  <c r="BB702" i="1"/>
  <c r="BB701" i="1"/>
  <c r="BB700" i="1"/>
  <c r="BB699" i="1"/>
  <c r="BB698" i="1"/>
  <c r="BB697" i="1"/>
  <c r="BB696" i="1"/>
  <c r="BB695" i="1"/>
  <c r="BB694" i="1"/>
  <c r="BB693" i="1"/>
  <c r="AM1013" i="1"/>
  <c r="AQ1013" i="1" s="1"/>
  <c r="AB975" i="1"/>
  <c r="L975" i="1"/>
  <c r="BH693" i="1"/>
  <c r="BH690" i="1"/>
  <c r="BH702" i="1"/>
  <c r="BH701" i="1"/>
  <c r="BH700" i="1"/>
  <c r="BH699" i="1"/>
  <c r="BH698" i="1"/>
  <c r="BH697" i="1"/>
  <c r="BH696" i="1"/>
  <c r="AI1015" i="1"/>
  <c r="AI994" i="1" s="1"/>
  <c r="BJ962" i="1"/>
  <c r="BJ974" i="1" s="1"/>
  <c r="BC922" i="1"/>
  <c r="AF695" i="1"/>
  <c r="BH694" i="1"/>
  <c r="BC690" i="1"/>
  <c r="S630" i="1"/>
  <c r="W630" i="1"/>
  <c r="K626" i="1"/>
  <c r="R349" i="1"/>
  <c r="AD959" i="1"/>
  <c r="AD965" i="1"/>
  <c r="AH959" i="1"/>
  <c r="N959" i="1"/>
  <c r="N965" i="1"/>
  <c r="R959" i="1"/>
  <c r="BI958" i="1"/>
  <c r="BJ958" i="1"/>
  <c r="BI964" i="1"/>
  <c r="BJ964" i="1"/>
  <c r="BJ976" i="1" s="1"/>
  <c r="BB922" i="1"/>
  <c r="P922" i="1"/>
  <c r="BK841" i="1"/>
  <c r="AI681" i="1"/>
  <c r="R630" i="1"/>
  <c r="V630" i="1"/>
  <c r="R626" i="1"/>
  <c r="AH1015" i="1"/>
  <c r="AC959" i="1"/>
  <c r="AC965" i="1"/>
  <c r="AG959" i="1"/>
  <c r="M959" i="1"/>
  <c r="M965" i="1"/>
  <c r="Q959" i="1"/>
  <c r="BH958" i="1"/>
  <c r="BH964" i="1"/>
  <c r="BH956" i="1"/>
  <c r="O922" i="1"/>
  <c r="AF922" i="1"/>
  <c r="BI695" i="1"/>
  <c r="AE689" i="1"/>
  <c r="BK631" i="1"/>
  <c r="F1011" i="1"/>
  <c r="AB959" i="1"/>
  <c r="AB965" i="1"/>
  <c r="AF959" i="1"/>
  <c r="BM953" i="1"/>
  <c r="L959" i="1"/>
  <c r="L965" i="1"/>
  <c r="P959" i="1"/>
  <c r="BI953" i="1"/>
  <c r="N922" i="1"/>
  <c r="AA689" i="1"/>
  <c r="AB687" i="1"/>
  <c r="AF687" i="1"/>
  <c r="AF685" i="1"/>
  <c r="AB685" i="1"/>
  <c r="AB683" i="1"/>
  <c r="AF683" i="1"/>
  <c r="AB681" i="1"/>
  <c r="AF681" i="1"/>
  <c r="AB678" i="1"/>
  <c r="AF690" i="1" s="1"/>
  <c r="F1012" i="1"/>
  <c r="BM832" i="1"/>
  <c r="AA915" i="1"/>
  <c r="BL908" i="1"/>
  <c r="BL832" i="1"/>
  <c r="BL868" i="1" s="1"/>
  <c r="BE533" i="1"/>
  <c r="BE541" i="1"/>
  <c r="BE538" i="1"/>
  <c r="BH538" i="1" s="1"/>
  <c r="AJ565" i="1"/>
  <c r="AK36" i="359" s="1"/>
  <c r="AJ586" i="1"/>
  <c r="BD252" i="1"/>
  <c r="BG252" i="1" s="1"/>
  <c r="BE252" i="1"/>
  <c r="N252" i="1"/>
  <c r="N256" i="1"/>
  <c r="N343" i="1"/>
  <c r="R252" i="1"/>
  <c r="N273" i="1"/>
  <c r="BM964" i="1"/>
  <c r="BG696" i="1"/>
  <c r="AD695" i="1"/>
  <c r="N695" i="1"/>
  <c r="BC693" i="1"/>
  <c r="Y690" i="1"/>
  <c r="S689" i="1"/>
  <c r="AA685" i="1"/>
  <c r="O683" i="1"/>
  <c r="S681" i="1"/>
  <c r="V631" i="1"/>
  <c r="BJ630" i="1"/>
  <c r="BJ626" i="1"/>
  <c r="S590" i="1"/>
  <c r="U589" i="1"/>
  <c r="AU504" i="1"/>
  <c r="AV504" i="1"/>
  <c r="BJ341" i="1"/>
  <c r="BL953" i="1"/>
  <c r="AD871" i="1"/>
  <c r="V871" i="1"/>
  <c r="V876" i="1" s="1"/>
  <c r="BK856" i="1"/>
  <c r="BG697" i="1"/>
  <c r="AD696" i="1"/>
  <c r="N696" i="1"/>
  <c r="BC694" i="1"/>
  <c r="W653" i="1"/>
  <c r="AV502" i="1"/>
  <c r="AI464" i="1"/>
  <c r="AI466" i="1"/>
  <c r="BG698" i="1"/>
  <c r="AD697" i="1"/>
  <c r="N697" i="1"/>
  <c r="AA678" i="1"/>
  <c r="AA697" i="1" s="1"/>
  <c r="BK313" i="1"/>
  <c r="AI959" i="1"/>
  <c r="S959" i="1"/>
  <c r="BJ953" i="1"/>
  <c r="U871" i="1"/>
  <c r="BG699" i="1"/>
  <c r="AD698" i="1"/>
  <c r="N698" i="1"/>
  <c r="BC696" i="1"/>
  <c r="AX690" i="1"/>
  <c r="AF689" i="1"/>
  <c r="BI566" i="1"/>
  <c r="AJ508" i="1"/>
  <c r="AJ541" i="1"/>
  <c r="AJ572" i="1"/>
  <c r="AJ511" i="1"/>
  <c r="AU503" i="1"/>
  <c r="AV503" i="1"/>
  <c r="L348" i="1"/>
  <c r="P348" i="1"/>
  <c r="BI340" i="1"/>
  <c r="BG700" i="1"/>
  <c r="AD699" i="1"/>
  <c r="N699" i="1"/>
  <c r="BC697" i="1"/>
  <c r="S687" i="1"/>
  <c r="W645" i="1"/>
  <c r="BL646" i="1"/>
  <c r="BL634" i="1" s="1"/>
  <c r="L630" i="1"/>
  <c r="AG589" i="1"/>
  <c r="AK589" i="1"/>
  <c r="Q589" i="1"/>
  <c r="BN463" i="1"/>
  <c r="BL963" i="1"/>
  <c r="BL975" i="1" s="1"/>
  <c r="BG701" i="1"/>
  <c r="AD700" i="1"/>
  <c r="N700" i="1"/>
  <c r="BC698" i="1"/>
  <c r="W644" i="1"/>
  <c r="BN188" i="1"/>
  <c r="BN205" i="1"/>
  <c r="AF965" i="1"/>
  <c r="P965" i="1"/>
  <c r="BM957" i="1"/>
  <c r="AD701" i="1"/>
  <c r="N701" i="1"/>
  <c r="BC699" i="1"/>
  <c r="Y696" i="1"/>
  <c r="I696" i="1"/>
  <c r="X695" i="1"/>
  <c r="H695" i="1"/>
  <c r="AX694" i="1"/>
  <c r="AW693" i="1"/>
  <c r="V693" i="1"/>
  <c r="BM690" i="1"/>
  <c r="AI682" i="1"/>
  <c r="S682" i="1"/>
  <c r="BL660" i="1"/>
  <c r="AF626" i="1"/>
  <c r="AJ558" i="1"/>
  <c r="AE965" i="1"/>
  <c r="O965" i="1"/>
  <c r="BJ963" i="1"/>
  <c r="BJ975" i="1" s="1"/>
  <c r="AI877" i="1"/>
  <c r="AD702" i="1"/>
  <c r="N702" i="1"/>
  <c r="BC700" i="1"/>
  <c r="AH690" i="1"/>
  <c r="R690" i="1"/>
  <c r="BK646" i="1"/>
  <c r="BK634" i="1" s="1"/>
  <c r="AC590" i="1"/>
  <c r="U588" i="1"/>
  <c r="BM579" i="1"/>
  <c r="BI156" i="1"/>
  <c r="BJ156" i="1"/>
  <c r="BI205" i="1"/>
  <c r="BK957" i="1"/>
  <c r="S685" i="1"/>
  <c r="AH10" i="468"/>
  <c r="AL15" i="468" s="1"/>
  <c r="AD491" i="1"/>
  <c r="Z484" i="1"/>
  <c r="Z491" i="1"/>
  <c r="BQ483" i="1"/>
  <c r="R10" i="468"/>
  <c r="S45" i="468" s="1"/>
  <c r="N491" i="1"/>
  <c r="J484" i="1"/>
  <c r="AA466" i="1"/>
  <c r="AA488" i="1"/>
  <c r="K466" i="1"/>
  <c r="K488" i="1"/>
  <c r="Q877" i="1"/>
  <c r="X494" i="1"/>
  <c r="BK962" i="1"/>
  <c r="AE629" i="1"/>
  <c r="AI589" i="1"/>
  <c r="AA589" i="1"/>
  <c r="T312" i="1"/>
  <c r="Y626" i="1"/>
  <c r="BK340" i="1"/>
  <c r="T348" i="1"/>
  <c r="X348" i="1"/>
  <c r="K331" i="1"/>
  <c r="BH319" i="1"/>
  <c r="K321" i="1"/>
  <c r="K322" i="1" s="1"/>
  <c r="AH541" i="1"/>
  <c r="AH538" i="1"/>
  <c r="AH533" i="1"/>
  <c r="R541" i="1"/>
  <c r="R511" i="1"/>
  <c r="R572" i="1"/>
  <c r="V511" i="1"/>
  <c r="AE37" i="28"/>
  <c r="AE38" i="28" s="1"/>
  <c r="C40" i="292"/>
  <c r="E55" i="3"/>
  <c r="L572" i="1"/>
  <c r="BD533" i="1"/>
  <c r="BD543" i="1" s="1"/>
  <c r="AJ533" i="1"/>
  <c r="X511" i="1"/>
  <c r="AA491" i="1"/>
  <c r="AH486" i="1"/>
  <c r="AL486" i="1" s="1"/>
  <c r="AG58" i="468"/>
  <c r="AG35" i="468" s="1"/>
  <c r="AG98" i="468"/>
  <c r="Q45" i="468"/>
  <c r="Q98" i="468"/>
  <c r="Q101" i="468" s="1"/>
  <c r="BJ465" i="1"/>
  <c r="BJ195" i="1" s="1"/>
  <c r="V349" i="1"/>
  <c r="Y348" i="1"/>
  <c r="BI321" i="1"/>
  <c r="BI322" i="1" s="1"/>
  <c r="N172" i="1"/>
  <c r="Y170" i="1"/>
  <c r="M170" i="1"/>
  <c r="Y220" i="1"/>
  <c r="U214" i="1"/>
  <c r="AB576" i="1"/>
  <c r="T561" i="1"/>
  <c r="AA559" i="1"/>
  <c r="AE558" i="1"/>
  <c r="AI558" i="1" s="1"/>
  <c r="V487" i="1"/>
  <c r="N487" i="1"/>
  <c r="AD484" i="1"/>
  <c r="V484" i="1"/>
  <c r="N484" i="1"/>
  <c r="P45" i="468"/>
  <c r="BR10" i="468"/>
  <c r="P98" i="468"/>
  <c r="P101" i="468" s="1"/>
  <c r="P342" i="1"/>
  <c r="BH340" i="1"/>
  <c r="BI324" i="1"/>
  <c r="BI325" i="1" s="1"/>
  <c r="Z233" i="1"/>
  <c r="O191" i="1"/>
  <c r="O208" i="1"/>
  <c r="AE58" i="468"/>
  <c r="AE35" i="468" s="1"/>
  <c r="AE15" i="468"/>
  <c r="AE98" i="468"/>
  <c r="AE45" i="468"/>
  <c r="BK218" i="1"/>
  <c r="BL223" i="1"/>
  <c r="BM126" i="1"/>
  <c r="BJ45" i="1"/>
  <c r="BJ37" i="1"/>
  <c r="BH32" i="1"/>
  <c r="BH35" i="1"/>
  <c r="BI35" i="1"/>
  <c r="W12" i="1"/>
  <c r="W208" i="1"/>
  <c r="W215" i="1"/>
  <c r="W207" i="1"/>
  <c r="BC538" i="1"/>
  <c r="AG533" i="1"/>
  <c r="X491" i="1"/>
  <c r="BM483" i="1"/>
  <c r="AD58" i="468"/>
  <c r="AD35" i="468" s="1"/>
  <c r="AD15" i="468"/>
  <c r="AD98" i="468"/>
  <c r="S349" i="1"/>
  <c r="V348" i="1"/>
  <c r="W342" i="1"/>
  <c r="I335" i="1"/>
  <c r="Z256" i="1"/>
  <c r="AD258" i="1" s="1"/>
  <c r="BK742" i="1"/>
  <c r="AH171" i="1"/>
  <c r="S832" i="1"/>
  <c r="T511" i="1"/>
  <c r="BJ508" i="1"/>
  <c r="N494" i="1"/>
  <c r="AD493" i="1"/>
  <c r="W491" i="1"/>
  <c r="AC488" i="1"/>
  <c r="U488" i="1"/>
  <c r="M488" i="1"/>
  <c r="BL486" i="1"/>
  <c r="BL483" i="1"/>
  <c r="BQ482" i="1"/>
  <c r="AE466" i="1"/>
  <c r="O466" i="1"/>
  <c r="U348" i="1"/>
  <c r="BH329" i="1"/>
  <c r="Y273" i="1"/>
  <c r="I273" i="1"/>
  <c r="BI184" i="1"/>
  <c r="BJ191" i="1" s="1"/>
  <c r="AM98" i="468"/>
  <c r="AM15" i="468"/>
  <c r="AM58" i="468"/>
  <c r="AM35" i="468" s="1"/>
  <c r="AM45" i="468"/>
  <c r="I22" i="51"/>
  <c r="I23" i="51"/>
  <c r="X256" i="1"/>
  <c r="X263" i="1"/>
  <c r="R214" i="1"/>
  <c r="BN184" i="1"/>
  <c r="AF122" i="1"/>
  <c r="AF590" i="1"/>
  <c r="BM533" i="1"/>
  <c r="R496" i="1"/>
  <c r="AB494" i="1"/>
  <c r="L494" i="1"/>
  <c r="BJ483" i="1"/>
  <c r="AA15" i="468"/>
  <c r="AA45" i="468"/>
  <c r="AA98" i="468"/>
  <c r="AA58" i="468"/>
  <c r="BX10" i="468"/>
  <c r="AL58" i="468"/>
  <c r="AL35" i="468" s="1"/>
  <c r="BY25" i="468"/>
  <c r="AL98" i="468"/>
  <c r="AC466" i="1"/>
  <c r="M466" i="1"/>
  <c r="P349" i="1"/>
  <c r="P357" i="1" s="1"/>
  <c r="AE346" i="1"/>
  <c r="BI261" i="1"/>
  <c r="L252" i="1"/>
  <c r="AU136" i="1"/>
  <c r="AU945" i="1" s="1"/>
  <c r="W136" i="1"/>
  <c r="W945" i="1" s="1"/>
  <c r="BK575" i="1"/>
  <c r="T491" i="1"/>
  <c r="BI483" i="1"/>
  <c r="Z15" i="468"/>
  <c r="Z45" i="468"/>
  <c r="Z51" i="468" s="1"/>
  <c r="Z58" i="468"/>
  <c r="Z35" i="468" s="1"/>
  <c r="Z98" i="468"/>
  <c r="T351" i="1"/>
  <c r="R348" i="1"/>
  <c r="U342" i="1"/>
  <c r="BK341" i="1"/>
  <c r="BI262" i="1"/>
  <c r="BH261" i="1"/>
  <c r="P572" i="1"/>
  <c r="BJ539" i="1"/>
  <c r="AF511" i="1"/>
  <c r="S491" i="1"/>
  <c r="BH483" i="1"/>
  <c r="Y45" i="468"/>
  <c r="Y58" i="468"/>
  <c r="Y35" i="468" s="1"/>
  <c r="Y98" i="468"/>
  <c r="BE466" i="1"/>
  <c r="BI334" i="1"/>
  <c r="BI335" i="1" s="1"/>
  <c r="H273" i="1"/>
  <c r="BL252" i="1"/>
  <c r="U256" i="1"/>
  <c r="U273" i="1"/>
  <c r="U263" i="1"/>
  <c r="BJ214" i="1"/>
  <c r="AC170" i="1"/>
  <c r="BN118" i="1"/>
  <c r="I69" i="523" s="1"/>
  <c r="O511" i="1"/>
  <c r="X45" i="468"/>
  <c r="X98" i="468"/>
  <c r="X101" i="468" s="1"/>
  <c r="BG458" i="1"/>
  <c r="BG461" i="1" s="1"/>
  <c r="T342" i="1"/>
  <c r="T273" i="1"/>
  <c r="T263" i="1"/>
  <c r="T252" i="1"/>
  <c r="T256" i="1"/>
  <c r="BN228" i="1"/>
  <c r="BO233" i="1" s="1"/>
  <c r="AH233" i="1"/>
  <c r="R233" i="1"/>
  <c r="AG538" i="1"/>
  <c r="BN537" i="1"/>
  <c r="AI483" i="1"/>
  <c r="AM483" i="1" s="1"/>
  <c r="W98" i="468"/>
  <c r="W101" i="468" s="1"/>
  <c r="W15" i="468"/>
  <c r="W45" i="468"/>
  <c r="AA346" i="1"/>
  <c r="S337" i="1"/>
  <c r="BU25" i="468"/>
  <c r="BT10" i="468"/>
  <c r="V98" i="468"/>
  <c r="AB252" i="1"/>
  <c r="BL218" i="1"/>
  <c r="Z171" i="1"/>
  <c r="AD171" i="1"/>
  <c r="AE491" i="1"/>
  <c r="O491" i="1"/>
  <c r="M348" i="1"/>
  <c r="L331" i="1"/>
  <c r="X273" i="1"/>
  <c r="V256" i="1"/>
  <c r="Z258" i="1" s="1"/>
  <c r="I256" i="1"/>
  <c r="Q252" i="1"/>
  <c r="AD233" i="1"/>
  <c r="Z172" i="1"/>
  <c r="L19" i="313"/>
  <c r="BK85" i="1"/>
  <c r="F28" i="523" s="1"/>
  <c r="AJ45" i="468"/>
  <c r="AJ58" i="468"/>
  <c r="AJ35" i="468" s="1"/>
  <c r="AN15" i="468"/>
  <c r="AJ98" i="468"/>
  <c r="H256" i="1"/>
  <c r="L258" i="1" s="1"/>
  <c r="AI98" i="468"/>
  <c r="AI15" i="468"/>
  <c r="AI58" i="468"/>
  <c r="AI35" i="468" s="1"/>
  <c r="S98" i="468"/>
  <c r="S101" i="468" s="1"/>
  <c r="S15" i="468"/>
  <c r="BD273" i="1"/>
  <c r="BK252" i="1"/>
  <c r="P61" i="1"/>
  <c r="BI228" i="1"/>
  <c r="U191" i="1"/>
  <c r="AF171" i="1"/>
  <c r="Z159" i="1"/>
  <c r="AG576" i="1"/>
  <c r="L458" i="1"/>
  <c r="P460" i="1" s="1"/>
  <c r="BI37" i="1"/>
  <c r="BH190" i="1"/>
  <c r="G136" i="1"/>
  <c r="G945" i="1" s="1"/>
  <c r="BH93" i="468"/>
  <c r="BD93" i="468"/>
  <c r="BD109" i="468"/>
  <c r="BD95" i="468"/>
  <c r="AN93" i="468"/>
  <c r="AN95" i="468"/>
  <c r="AR93" i="468"/>
  <c r="BX92" i="468"/>
  <c r="BK68" i="1"/>
  <c r="F55" i="523" s="1"/>
  <c r="X458" i="1"/>
  <c r="AB460" i="1" s="1"/>
  <c r="AJ45" i="1"/>
  <c r="AJ37" i="1"/>
  <c r="BA26" i="1"/>
  <c r="BA23" i="1"/>
  <c r="BH204" i="1"/>
  <c r="BM189" i="1"/>
  <c r="BM187" i="1"/>
  <c r="BN155" i="1"/>
  <c r="BJ136" i="1"/>
  <c r="F122" i="1"/>
  <c r="AC458" i="1"/>
  <c r="AI45" i="1"/>
  <c r="BN31" i="1"/>
  <c r="AI32" i="1"/>
  <c r="AM38" i="1" s="1"/>
  <c r="AI37" i="1"/>
  <c r="AZ26" i="1"/>
  <c r="V233" i="1"/>
  <c r="U207" i="1"/>
  <c r="BL189" i="1"/>
  <c r="BJ157" i="1"/>
  <c r="BM155" i="1"/>
  <c r="BI136" i="1"/>
  <c r="AJ112" i="1"/>
  <c r="BO112" i="1" s="1"/>
  <c r="T112" i="1"/>
  <c r="BL77" i="1"/>
  <c r="BC43" i="1"/>
  <c r="BC32" i="1"/>
  <c r="BC35" i="1"/>
  <c r="BD35" i="1"/>
  <c r="BG35" i="1" s="1"/>
  <c r="AE32" i="1"/>
  <c r="AE35" i="1"/>
  <c r="BM29" i="1"/>
  <c r="O32" i="1"/>
  <c r="O35" i="1"/>
  <c r="K44" i="1"/>
  <c r="K19" i="1"/>
  <c r="K43" i="1"/>
  <c r="S263" i="1"/>
  <c r="U233" i="1"/>
  <c r="BJ208" i="1"/>
  <c r="BK205" i="1"/>
  <c r="G23" i="230"/>
  <c r="U159" i="1"/>
  <c r="BL155" i="1"/>
  <c r="V19" i="313"/>
  <c r="BN85" i="1"/>
  <c r="I28" i="523" s="1"/>
  <c r="E43" i="276"/>
  <c r="T11" i="267"/>
  <c r="AD52" i="1"/>
  <c r="AD69" i="1"/>
  <c r="BJ189" i="1"/>
  <c r="L172" i="1"/>
  <c r="T159" i="1"/>
  <c r="BI36" i="1"/>
  <c r="BJ36" i="1"/>
  <c r="AT36" i="1"/>
  <c r="AS44" i="1"/>
  <c r="Y36" i="1"/>
  <c r="U32" i="1"/>
  <c r="U36" i="1"/>
  <c r="I36" i="1"/>
  <c r="E32" i="1"/>
  <c r="AG12" i="28"/>
  <c r="E8" i="292"/>
  <c r="E9" i="292" s="1"/>
  <c r="BJ19" i="1"/>
  <c r="BJ43" i="1"/>
  <c r="BJ44" i="1"/>
  <c r="BI155" i="1"/>
  <c r="AE37" i="1"/>
  <c r="O37" i="1"/>
  <c r="BH36" i="1"/>
  <c r="BE19" i="1"/>
  <c r="BE45" i="1"/>
  <c r="BE43" i="1"/>
  <c r="BE44" i="1"/>
  <c r="BI256" i="1"/>
  <c r="J208" i="1"/>
  <c r="P207" i="1"/>
  <c r="AB191" i="1"/>
  <c r="L191" i="1"/>
  <c r="C23" i="230"/>
  <c r="D23" i="230"/>
  <c r="F23" i="230"/>
  <c r="H23" i="230"/>
  <c r="AG58" i="28"/>
  <c r="AG64" i="28" s="1"/>
  <c r="J23" i="51"/>
  <c r="J22" i="51"/>
  <c r="BD208" i="1"/>
  <c r="AA191" i="1"/>
  <c r="BM184" i="1"/>
  <c r="J23" i="230"/>
  <c r="K23" i="230"/>
  <c r="AF58" i="28"/>
  <c r="AF64" i="28" s="1"/>
  <c r="BM85" i="1"/>
  <c r="H28" i="523" s="1"/>
  <c r="AB69" i="1"/>
  <c r="BM68" i="1"/>
  <c r="H55" i="523" s="1"/>
  <c r="Q11" i="267"/>
  <c r="E46" i="276"/>
  <c r="P265" i="1"/>
  <c r="T267" i="1" s="1"/>
  <c r="BG32" i="1"/>
  <c r="Y7" i="267"/>
  <c r="AF7" i="267"/>
  <c r="E11" i="276"/>
  <c r="AI43" i="1"/>
  <c r="AI732" i="1"/>
  <c r="AI44" i="1"/>
  <c r="BN190" i="1"/>
  <c r="BC44" i="1"/>
  <c r="BC13" i="1"/>
  <c r="BC19" i="1"/>
  <c r="G12" i="1"/>
  <c r="BG732" i="1"/>
  <c r="G746" i="1"/>
  <c r="AZ107" i="468"/>
  <c r="AZ105" i="468"/>
  <c r="AZ109" i="468"/>
  <c r="BL188" i="1"/>
  <c r="BK184" i="1"/>
  <c r="AA37" i="1"/>
  <c r="AA32" i="1"/>
  <c r="K37" i="1"/>
  <c r="K45" i="1"/>
  <c r="K32" i="1"/>
  <c r="BJ32" i="1"/>
  <c r="AT26" i="1"/>
  <c r="BB43" i="1"/>
  <c r="BB44" i="1"/>
  <c r="BB13" i="1"/>
  <c r="BB14" i="1" s="1"/>
  <c r="BB15" i="1" s="1"/>
  <c r="BB19" i="1"/>
  <c r="BB45" i="1"/>
  <c r="BL228" i="1"/>
  <c r="F20" i="230"/>
  <c r="H20" i="230"/>
  <c r="AG37" i="28"/>
  <c r="E40" i="292"/>
  <c r="O12" i="1"/>
  <c r="O746" i="1"/>
  <c r="BI732" i="1"/>
  <c r="CA104" i="468"/>
  <c r="J20" i="230"/>
  <c r="K20" i="230"/>
  <c r="AF37" i="28"/>
  <c r="F55" i="3"/>
  <c r="D40" i="292"/>
  <c r="Q61" i="1"/>
  <c r="BK32" i="1"/>
  <c r="BK37" i="1"/>
  <c r="AV37" i="1"/>
  <c r="AW37" i="1"/>
  <c r="AV45" i="1"/>
  <c r="AV32" i="1"/>
  <c r="AS32" i="1"/>
  <c r="AS46" i="1" s="1"/>
  <c r="L19" i="1"/>
  <c r="L77" i="1"/>
  <c r="T37" i="1"/>
  <c r="AX32" i="1"/>
  <c r="AC32" i="1"/>
  <c r="E16" i="276"/>
  <c r="T7" i="267"/>
  <c r="BE109" i="468"/>
  <c r="AP105" i="468"/>
  <c r="BY104" i="468"/>
  <c r="AY105" i="468"/>
  <c r="BY92" i="468"/>
  <c r="BC93" i="468"/>
  <c r="BC109" i="468"/>
  <c r="AJ36" i="1"/>
  <c r="T36" i="1"/>
  <c r="AB32" i="1"/>
  <c r="L32" i="1"/>
  <c r="BH105" i="468"/>
  <c r="AH54" i="468"/>
  <c r="BA95" i="468"/>
  <c r="BA93" i="468"/>
  <c r="BW92" i="468"/>
  <c r="BW93" i="468" s="1"/>
  <c r="AK95" i="468"/>
  <c r="AK93" i="468"/>
  <c r="BS25" i="468"/>
  <c r="W30" i="468"/>
  <c r="AG37" i="1"/>
  <c r="Q37" i="1"/>
  <c r="AH36" i="1"/>
  <c r="R36" i="1"/>
  <c r="BJ35" i="1"/>
  <c r="AU32" i="1"/>
  <c r="Z32" i="1"/>
  <c r="J32" i="1"/>
  <c r="BL29" i="1"/>
  <c r="AB732" i="1"/>
  <c r="AZ19" i="1"/>
  <c r="AY107" i="468"/>
  <c r="BF105" i="468"/>
  <c r="N101" i="468"/>
  <c r="AZ93" i="468"/>
  <c r="BU93" i="468"/>
  <c r="W54" i="468"/>
  <c r="AN56" i="468"/>
  <c r="AF54" i="468"/>
  <c r="P54" i="468"/>
  <c r="V11" i="267"/>
  <c r="E41" i="276"/>
  <c r="BA13" i="1"/>
  <c r="BA14" i="1" s="1"/>
  <c r="BA15" i="1" s="1"/>
  <c r="Z7" i="267"/>
  <c r="AX107" i="468"/>
  <c r="AS54" i="468"/>
  <c r="AT54" i="468"/>
  <c r="AU54" i="468"/>
  <c r="AC54" i="468"/>
  <c r="AD54" i="468"/>
  <c r="AE54" i="468"/>
  <c r="M54" i="468"/>
  <c r="N54" i="468"/>
  <c r="O54" i="468"/>
  <c r="AF78" i="1"/>
  <c r="AF36" i="1"/>
  <c r="AX19" i="1"/>
  <c r="M19" i="1"/>
  <c r="BD105" i="468"/>
  <c r="CA92" i="468"/>
  <c r="AQ56" i="468"/>
  <c r="AF35" i="1"/>
  <c r="P35" i="1"/>
  <c r="G32" i="1"/>
  <c r="AB19" i="1"/>
  <c r="AB106" i="1" s="1"/>
  <c r="BB105" i="468"/>
  <c r="AI99" i="468"/>
  <c r="S99" i="468"/>
  <c r="AV93" i="468"/>
  <c r="AO56" i="468"/>
  <c r="V32" i="1"/>
  <c r="AB37" i="1"/>
  <c r="L37" i="1"/>
  <c r="AD35" i="1"/>
  <c r="N35" i="1"/>
  <c r="AU19" i="1"/>
  <c r="AS93" i="468"/>
  <c r="AU93" i="468"/>
  <c r="AH56" i="468"/>
  <c r="T32" i="1"/>
  <c r="D32" i="1"/>
  <c r="D46" i="1" s="1"/>
  <c r="BL30" i="1"/>
  <c r="BC61" i="468"/>
  <c r="AP54" i="468"/>
  <c r="BA35" i="1"/>
  <c r="AS21" i="468"/>
  <c r="AY36" i="1"/>
  <c r="AZ35" i="1"/>
  <c r="AP107" i="468"/>
  <c r="AV105" i="468"/>
  <c r="AO54" i="468"/>
  <c r="AT56" i="468"/>
  <c r="AU56" i="468"/>
  <c r="AD56" i="468"/>
  <c r="AE56" i="468"/>
  <c r="AF56" i="468"/>
  <c r="AN54" i="468"/>
  <c r="X54" i="468"/>
  <c r="H54" i="468"/>
  <c r="E45" i="276"/>
  <c r="R11" i="267"/>
  <c r="AF260" i="1"/>
  <c r="X37" i="1"/>
  <c r="AY35" i="1"/>
  <c r="AG32" i="1"/>
  <c r="Q32" i="1"/>
  <c r="BC105" i="468"/>
  <c r="BI93" i="468"/>
  <c r="AO93" i="468"/>
  <c r="CC92" i="468"/>
  <c r="BG95" i="468"/>
  <c r="AM54" i="468"/>
  <c r="AS30" i="468"/>
  <c r="AO30" i="468"/>
  <c r="AC30" i="468"/>
  <c r="Y30" i="468"/>
  <c r="AN45" i="468"/>
  <c r="BI72" i="1"/>
  <c r="F97" i="3"/>
  <c r="F88" i="3"/>
  <c r="AV44" i="1"/>
  <c r="BG107" i="468"/>
  <c r="AM107" i="468"/>
  <c r="CB104" i="468"/>
  <c r="AM95" i="468"/>
  <c r="AJ19" i="1"/>
  <c r="AJ106" i="1" s="1"/>
  <c r="AR105" i="468"/>
  <c r="BG93" i="468"/>
  <c r="CB92" i="468"/>
  <c r="BG59" i="468"/>
  <c r="AS56" i="468"/>
  <c r="AC56" i="468"/>
  <c r="T60" i="359"/>
  <c r="T142" i="359" s="1"/>
  <c r="AA40" i="359"/>
  <c r="AA41" i="359" s="1"/>
  <c r="AA52" i="359"/>
  <c r="AA53" i="359" s="1"/>
  <c r="AA137" i="359"/>
  <c r="U72" i="359"/>
  <c r="O57" i="359"/>
  <c r="O52" i="359"/>
  <c r="O53" i="359" s="1"/>
  <c r="AG40" i="359"/>
  <c r="AG41" i="359" s="1"/>
  <c r="CC46" i="468"/>
  <c r="BW44" i="468"/>
  <c r="CC16" i="468"/>
  <c r="T72" i="359"/>
  <c r="AA65" i="359"/>
  <c r="N57" i="359"/>
  <c r="AB60" i="359"/>
  <c r="AB142" i="359" s="1"/>
  <c r="N52" i="359"/>
  <c r="N53" i="359" s="1"/>
  <c r="AA45" i="359"/>
  <c r="AF40" i="359"/>
  <c r="AF41" i="359" s="1"/>
  <c r="CB46" i="468"/>
  <c r="BV44" i="468"/>
  <c r="AN30" i="468"/>
  <c r="X30" i="468"/>
  <c r="AR21" i="468"/>
  <c r="AI19" i="468"/>
  <c r="S19" i="468"/>
  <c r="M57" i="359"/>
  <c r="BE677" i="298"/>
  <c r="AE684" i="298"/>
  <c r="BE684" i="298" s="1"/>
  <c r="BG21" i="468"/>
  <c r="AQ21" i="468"/>
  <c r="BQ14" i="468"/>
  <c r="X137" i="359"/>
  <c r="AJ72" i="359"/>
  <c r="AJ60" i="359"/>
  <c r="AJ142" i="359" s="1"/>
  <c r="L57" i="359"/>
  <c r="AH52" i="359"/>
  <c r="AH53" i="359" s="1"/>
  <c r="BC670" i="298"/>
  <c r="BC677" i="298" s="1"/>
  <c r="AS549" i="298"/>
  <c r="AC541" i="298"/>
  <c r="AC542" i="298"/>
  <c r="AD542" i="298"/>
  <c r="AD541" i="298"/>
  <c r="AL30" i="468"/>
  <c r="AS24" i="468"/>
  <c r="AS29" i="468" s="1"/>
  <c r="BF21" i="468"/>
  <c r="AP21" i="468"/>
  <c r="BP14" i="468"/>
  <c r="BP19" i="468" s="1"/>
  <c r="BP54" i="468" s="1"/>
  <c r="X65" i="359"/>
  <c r="AF57" i="359"/>
  <c r="Y72" i="359"/>
  <c r="X45" i="359"/>
  <c r="U40" i="359"/>
  <c r="U41" i="359" s="1"/>
  <c r="AH60" i="359"/>
  <c r="AH142" i="359" s="1"/>
  <c r="AF52" i="359"/>
  <c r="AF53" i="359" s="1"/>
  <c r="T40" i="359"/>
  <c r="T41" i="359" s="1"/>
  <c r="Q715" i="298"/>
  <c r="Q710" i="298"/>
  <c r="AF714" i="298"/>
  <c r="AF710" i="298"/>
  <c r="P714" i="298"/>
  <c r="P710" i="298"/>
  <c r="AE713" i="298"/>
  <c r="AE710" i="298"/>
  <c r="O713" i="298"/>
  <c r="O710" i="298"/>
  <c r="O72" i="359"/>
  <c r="AD57" i="359"/>
  <c r="T52" i="359"/>
  <c r="T53" i="359" s="1"/>
  <c r="U52" i="359"/>
  <c r="U53" i="359" s="1"/>
  <c r="U57" i="359"/>
  <c r="W57" i="359"/>
  <c r="T45" i="359"/>
  <c r="AA684" i="298"/>
  <c r="BD684" i="298" s="1"/>
  <c r="BD677" i="298"/>
  <c r="BD634" i="298"/>
  <c r="BD633" i="298" s="1"/>
  <c r="CC14" i="468"/>
  <c r="AJ137" i="359"/>
  <c r="T137" i="359"/>
  <c r="N72" i="359"/>
  <c r="AC57" i="359"/>
  <c r="BV46" i="468"/>
  <c r="AN58" i="468"/>
  <c r="CB14" i="468"/>
  <c r="AE72" i="359"/>
  <c r="R65" i="359"/>
  <c r="AA60" i="359"/>
  <c r="AA142" i="359" s="1"/>
  <c r="AB57" i="359"/>
  <c r="AF69" i="359"/>
  <c r="AL704" i="298"/>
  <c r="AM698" i="298"/>
  <c r="R704" i="298"/>
  <c r="S704" i="298"/>
  <c r="R698" i="298"/>
  <c r="BD703" i="298"/>
  <c r="BD697" i="298"/>
  <c r="BB701" i="298"/>
  <c r="BB713" i="298" s="1"/>
  <c r="BB695" i="298"/>
  <c r="BC695" i="298"/>
  <c r="AG45" i="359"/>
  <c r="T57" i="359"/>
  <c r="Q45" i="359"/>
  <c r="C26" i="276"/>
  <c r="G26" i="276" s="1"/>
  <c r="H26" i="276"/>
  <c r="D53" i="276"/>
  <c r="AD69" i="359"/>
  <c r="Z713" i="298"/>
  <c r="Z710" i="298"/>
  <c r="J713" i="298"/>
  <c r="J719" i="298" s="1"/>
  <c r="J710" i="298"/>
  <c r="AE659" i="298"/>
  <c r="BE659" i="298" s="1"/>
  <c r="BE651" i="298"/>
  <c r="CC44" i="468"/>
  <c r="BY14" i="468"/>
  <c r="X60" i="359"/>
  <c r="X142" i="359" s="1"/>
  <c r="AH57" i="359"/>
  <c r="AE40" i="359"/>
  <c r="AE41" i="359" s="1"/>
  <c r="R57" i="359"/>
  <c r="O40" i="359"/>
  <c r="O41" i="359" s="1"/>
  <c r="CB44" i="468"/>
  <c r="AE69" i="359"/>
  <c r="N65" i="359"/>
  <c r="AG60" i="359"/>
  <c r="AG142" i="359" s="1"/>
  <c r="Q60" i="359"/>
  <c r="Q142" i="359" s="1"/>
  <c r="AG57" i="359"/>
  <c r="AD45" i="359"/>
  <c r="AD40" i="359"/>
  <c r="AD41" i="359" s="1"/>
  <c r="Q57" i="359"/>
  <c r="N45" i="359"/>
  <c r="N40" i="359"/>
  <c r="N41" i="359" s="1"/>
  <c r="AZ703" i="298"/>
  <c r="AZ715" i="298" s="1"/>
  <c r="AZ721" i="298" s="1"/>
  <c r="BW14" i="468"/>
  <c r="AD137" i="359"/>
  <c r="N137" i="359"/>
  <c r="R52" i="359"/>
  <c r="R53" i="359" s="1"/>
  <c r="AC45" i="359"/>
  <c r="AC40" i="359"/>
  <c r="AC41" i="359" s="1"/>
  <c r="M45" i="359"/>
  <c r="M40" i="359"/>
  <c r="M41" i="359" s="1"/>
  <c r="AC704" i="298"/>
  <c r="AD704" i="298"/>
  <c r="AC698" i="298"/>
  <c r="M704" i="298"/>
  <c r="N704" i="298"/>
  <c r="M698" i="298"/>
  <c r="AD65" i="359"/>
  <c r="S57" i="359"/>
  <c r="AE60" i="359"/>
  <c r="AE142" i="359" s="1"/>
  <c r="Q52" i="359"/>
  <c r="Q53" i="359" s="1"/>
  <c r="AB40" i="359"/>
  <c r="AB41" i="359" s="1"/>
  <c r="AB52" i="359"/>
  <c r="AB53" i="359" s="1"/>
  <c r="R45" i="359"/>
  <c r="AH45" i="359"/>
  <c r="S45" i="359"/>
  <c r="U45" i="359"/>
  <c r="L52" i="359"/>
  <c r="C45" i="276"/>
  <c r="BB710" i="298"/>
  <c r="AP698" i="298"/>
  <c r="AF474" i="298"/>
  <c r="T474" i="298"/>
  <c r="T714" i="298"/>
  <c r="BC697" i="298"/>
  <c r="AV474" i="298"/>
  <c r="AY474" i="298" s="1"/>
  <c r="T467" i="298"/>
  <c r="X439" i="298"/>
  <c r="AB439" i="298"/>
  <c r="AZ423" i="298"/>
  <c r="AZ424" i="298" s="1"/>
  <c r="I424" i="298"/>
  <c r="BB394" i="298"/>
  <c r="BD616" i="298"/>
  <c r="AU474" i="298"/>
  <c r="AU476" i="298"/>
  <c r="R474" i="298"/>
  <c r="V474" i="298"/>
  <c r="R476" i="298"/>
  <c r="BC447" i="298"/>
  <c r="P446" i="298"/>
  <c r="AD710" i="298"/>
  <c r="N710" i="298"/>
  <c r="BA697" i="298"/>
  <c r="BA695" i="298"/>
  <c r="BA692" i="298"/>
  <c r="BB704" i="298" s="1"/>
  <c r="AF448" i="298"/>
  <c r="U448" i="298"/>
  <c r="Y439" i="298"/>
  <c r="U439" i="298"/>
  <c r="AB710" i="298"/>
  <c r="L710" i="298"/>
  <c r="AQ704" i="298"/>
  <c r="AQ716" i="298" s="1"/>
  <c r="X448" i="298"/>
  <c r="BB447" i="298"/>
  <c r="M159" i="298"/>
  <c r="M125" i="298"/>
  <c r="M126" i="298" s="1"/>
  <c r="M160" i="298"/>
  <c r="Q125" i="298"/>
  <c r="Q126" i="298" s="1"/>
  <c r="BA118" i="298"/>
  <c r="M167" i="298"/>
  <c r="AA710" i="298"/>
  <c r="K710" i="298"/>
  <c r="AE698" i="298"/>
  <c r="O698" i="298"/>
  <c r="S604" i="298"/>
  <c r="Z551" i="298"/>
  <c r="Z557" i="298" s="1"/>
  <c r="Z532" i="298"/>
  <c r="Z534" i="298" s="1"/>
  <c r="BC556" i="298"/>
  <c r="P474" i="298"/>
  <c r="O467" i="298"/>
  <c r="BA439" i="298"/>
  <c r="AZ433" i="298"/>
  <c r="AZ434" i="298" s="1"/>
  <c r="AM39" i="359"/>
  <c r="AY698" i="298"/>
  <c r="BA488" i="298"/>
  <c r="AA446" i="298"/>
  <c r="AE446" i="298"/>
  <c r="AA448" i="298"/>
  <c r="O446" i="298"/>
  <c r="K448" i="298"/>
  <c r="L430" i="298"/>
  <c r="BA418" i="298"/>
  <c r="U364" i="298"/>
  <c r="U366" i="298"/>
  <c r="Y364" i="298"/>
  <c r="Z352" i="298"/>
  <c r="Z366" i="298"/>
  <c r="AD352" i="298"/>
  <c r="Z356" i="298"/>
  <c r="J356" i="298"/>
  <c r="N352" i="298"/>
  <c r="AW619" i="298"/>
  <c r="AC619" i="298"/>
  <c r="BA420" i="298"/>
  <c r="BA421" i="298" s="1"/>
  <c r="L421" i="298"/>
  <c r="X364" i="298"/>
  <c r="T366" i="298"/>
  <c r="T364" i="298"/>
  <c r="BE149" i="298"/>
  <c r="BE156" i="298"/>
  <c r="BE363" i="298"/>
  <c r="BE146" i="298"/>
  <c r="X52" i="359"/>
  <c r="X53" i="359" s="1"/>
  <c r="AN51" i="359"/>
  <c r="X710" i="298"/>
  <c r="H710" i="298"/>
  <c r="S634" i="298"/>
  <c r="BD595" i="298"/>
  <c r="BD630" i="298" s="1"/>
  <c r="AA474" i="298"/>
  <c r="AB476" i="298"/>
  <c r="AF467" i="298"/>
  <c r="AB467" i="298"/>
  <c r="L476" i="298"/>
  <c r="P467" i="298"/>
  <c r="L467" i="298"/>
  <c r="W52" i="359"/>
  <c r="W53" i="359" s="1"/>
  <c r="Z633" i="298"/>
  <c r="J633" i="298"/>
  <c r="AU619" i="298"/>
  <c r="AA619" i="298"/>
  <c r="BA518" i="298"/>
  <c r="BA523" i="298" s="1"/>
  <c r="BA509" i="298"/>
  <c r="BB509" i="298"/>
  <c r="AB493" i="298"/>
  <c r="P448" i="298"/>
  <c r="AB446" i="298"/>
  <c r="BE447" i="298"/>
  <c r="X446" i="298"/>
  <c r="V439" i="298"/>
  <c r="BA423" i="298"/>
  <c r="BA424" i="298" s="1"/>
  <c r="BA448" i="298"/>
  <c r="BB446" i="298"/>
  <c r="H619" i="298"/>
  <c r="BF531" i="298"/>
  <c r="AE476" i="298"/>
  <c r="BA475" i="298"/>
  <c r="J366" i="298"/>
  <c r="AR619" i="298"/>
  <c r="X619" i="298"/>
  <c r="BD604" i="298"/>
  <c r="BE517" i="298"/>
  <c r="BE522" i="298" s="1"/>
  <c r="BE508" i="298"/>
  <c r="BB493" i="298"/>
  <c r="BB494" i="298" s="1"/>
  <c r="U493" i="298"/>
  <c r="X467" i="298"/>
  <c r="BF554" i="298"/>
  <c r="T446" i="298"/>
  <c r="Y474" i="298"/>
  <c r="U476" i="298"/>
  <c r="AW319" i="298"/>
  <c r="AW316" i="298"/>
  <c r="AW313" i="298"/>
  <c r="AW321" i="298"/>
  <c r="AW318" i="298"/>
  <c r="AW315" i="298"/>
  <c r="AW310" i="298"/>
  <c r="AZ310" i="298" s="1"/>
  <c r="AW320" i="298"/>
  <c r="AW317" i="298"/>
  <c r="L366" i="298"/>
  <c r="AC364" i="298"/>
  <c r="V366" i="298"/>
  <c r="V364" i="298"/>
  <c r="AA352" i="298"/>
  <c r="K356" i="298"/>
  <c r="AV319" i="298"/>
  <c r="AV316" i="298"/>
  <c r="AV313" i="298"/>
  <c r="AV321" i="298"/>
  <c r="AV318" i="298"/>
  <c r="AV315" i="298"/>
  <c r="AV310" i="298"/>
  <c r="AY310" i="298" s="1"/>
  <c r="AV320" i="298"/>
  <c r="AV317" i="298"/>
  <c r="I356" i="298"/>
  <c r="M352" i="298"/>
  <c r="BA152" i="298"/>
  <c r="BB152" i="298"/>
  <c r="AB474" i="298"/>
  <c r="L474" i="298"/>
  <c r="Y467" i="298"/>
  <c r="U446" i="298"/>
  <c r="R439" i="298"/>
  <c r="N434" i="298"/>
  <c r="I366" i="298"/>
  <c r="AC310" i="298"/>
  <c r="AA298" i="298"/>
  <c r="AA313" i="298" s="1"/>
  <c r="AA301" i="298"/>
  <c r="AD137" i="298"/>
  <c r="Z137" i="298"/>
  <c r="N448" i="298"/>
  <c r="I420" i="298"/>
  <c r="H366" i="298"/>
  <c r="AU366" i="298"/>
  <c r="R366" i="298"/>
  <c r="W301" i="298"/>
  <c r="W298" i="298"/>
  <c r="W185" i="298"/>
  <c r="M137" i="298"/>
  <c r="Y137" i="298"/>
  <c r="AC137" i="298"/>
  <c r="AW476" i="298"/>
  <c r="T476" i="298"/>
  <c r="AC448" i="298"/>
  <c r="M448" i="298"/>
  <c r="AB366" i="298"/>
  <c r="BE365" i="298"/>
  <c r="AT366" i="298"/>
  <c r="Q366" i="298"/>
  <c r="Y352" i="298"/>
  <c r="O306" i="298"/>
  <c r="AU185" i="298"/>
  <c r="BB180" i="298"/>
  <c r="V185" i="298"/>
  <c r="AA488" i="298"/>
  <c r="AV476" i="298"/>
  <c r="AZ418" i="298"/>
  <c r="AA366" i="298"/>
  <c r="P364" i="298"/>
  <c r="P366" i="298"/>
  <c r="X352" i="298"/>
  <c r="U352" i="298"/>
  <c r="U356" i="298"/>
  <c r="AB303" i="298"/>
  <c r="AF303" i="298"/>
  <c r="AU248" i="298"/>
  <c r="BD146" i="298"/>
  <c r="Q364" i="298"/>
  <c r="N310" i="298"/>
  <c r="J319" i="298"/>
  <c r="J316" i="298"/>
  <c r="J313" i="298"/>
  <c r="J321" i="298"/>
  <c r="J318" i="298"/>
  <c r="J315" i="298"/>
  <c r="J320" i="298"/>
  <c r="J317" i="298"/>
  <c r="AT307" i="298"/>
  <c r="AU307" i="298"/>
  <c r="AT298" i="298"/>
  <c r="AT319" i="298" s="1"/>
  <c r="AU278" i="298"/>
  <c r="N137" i="298"/>
  <c r="Y366" i="298"/>
  <c r="O364" i="298"/>
  <c r="V352" i="298"/>
  <c r="J322" i="298"/>
  <c r="I319" i="298"/>
  <c r="I316" i="298"/>
  <c r="I313" i="298"/>
  <c r="I321" i="298"/>
  <c r="I318" i="298"/>
  <c r="I315" i="298"/>
  <c r="I320" i="298"/>
  <c r="I317" i="298"/>
  <c r="AU261" i="298"/>
  <c r="AU214" i="298"/>
  <c r="AT209" i="298"/>
  <c r="AT220" i="298"/>
  <c r="AU220" i="298"/>
  <c r="Q352" i="298"/>
  <c r="AT240" i="298"/>
  <c r="AS209" i="298"/>
  <c r="AS220" i="298"/>
  <c r="BD149" i="298"/>
  <c r="M446" i="298"/>
  <c r="M430" i="298"/>
  <c r="V356" i="298"/>
  <c r="H356" i="298"/>
  <c r="L358" i="298" s="1"/>
  <c r="AW314" i="298"/>
  <c r="AD310" i="298"/>
  <c r="Z319" i="298"/>
  <c r="Z316" i="298"/>
  <c r="Z313" i="298"/>
  <c r="Z321" i="298"/>
  <c r="Z318" i="298"/>
  <c r="Z315" i="298"/>
  <c r="Z320" i="298"/>
  <c r="Z310" i="298"/>
  <c r="Z317" i="298"/>
  <c r="AU281" i="298"/>
  <c r="AS235" i="298"/>
  <c r="AS246" i="298"/>
  <c r="AT246" i="298"/>
  <c r="AS259" i="298"/>
  <c r="AR214" i="298"/>
  <c r="AR281" i="298"/>
  <c r="S185" i="298"/>
  <c r="Y319" i="298"/>
  <c r="Y316" i="298"/>
  <c r="Y313" i="298"/>
  <c r="Y321" i="298"/>
  <c r="Y318" i="298"/>
  <c r="Y315" i="298"/>
  <c r="Y320" i="298"/>
  <c r="Y310" i="298"/>
  <c r="Y317" i="298"/>
  <c r="AR235" i="298"/>
  <c r="AR259" i="298"/>
  <c r="AF364" i="298"/>
  <c r="BB414" i="298"/>
  <c r="BB366" i="298"/>
  <c r="AE364" i="298"/>
  <c r="BB315" i="298"/>
  <c r="AD315" i="298"/>
  <c r="N315" i="298"/>
  <c r="AO313" i="298"/>
  <c r="R313" i="298"/>
  <c r="S306" i="298"/>
  <c r="O304" i="298"/>
  <c r="AT259" i="298"/>
  <c r="W160" i="298"/>
  <c r="W151" i="298"/>
  <c r="BC146" i="298"/>
  <c r="BC149" i="298"/>
  <c r="L159" i="298"/>
  <c r="L125" i="298"/>
  <c r="L126" i="298" s="1"/>
  <c r="BE321" i="298"/>
  <c r="AN321" i="298"/>
  <c r="Q321" i="298"/>
  <c r="AY320" i="298"/>
  <c r="AP316" i="298"/>
  <c r="BA315" i="298"/>
  <c r="AC315" i="298"/>
  <c r="M315" i="298"/>
  <c r="BE313" i="298"/>
  <c r="AN313" i="298"/>
  <c r="Q313" i="298"/>
  <c r="AF309" i="298"/>
  <c r="AF301" i="298"/>
  <c r="AF185" i="298"/>
  <c r="P185" i="298"/>
  <c r="AE166" i="298"/>
  <c r="AW160" i="298"/>
  <c r="AZ160" i="298" s="1"/>
  <c r="V160" i="298"/>
  <c r="AW130" i="298"/>
  <c r="AZ130" i="298" s="1"/>
  <c r="AW136" i="298"/>
  <c r="AV129" i="298"/>
  <c r="AY129" i="298" s="1"/>
  <c r="AY121" i="298"/>
  <c r="BE123" i="298"/>
  <c r="BD121" i="298"/>
  <c r="BC118" i="298"/>
  <c r="BC159" i="298" s="1"/>
  <c r="O309" i="298"/>
  <c r="AE185" i="298"/>
  <c r="BE175" i="298"/>
  <c r="O153" i="298"/>
  <c r="AZ146" i="298"/>
  <c r="Z125" i="298"/>
  <c r="BD123" i="298"/>
  <c r="BI116" i="298"/>
  <c r="BJ116" i="298" s="1"/>
  <c r="BK116" i="298" s="1"/>
  <c r="AV108" i="298"/>
  <c r="AP319" i="298"/>
  <c r="BA318" i="298"/>
  <c r="AC318" i="298"/>
  <c r="M318" i="298"/>
  <c r="BE316" i="298"/>
  <c r="AN316" i="298"/>
  <c r="Q316" i="298"/>
  <c r="AY315" i="298"/>
  <c r="X310" i="298"/>
  <c r="AF306" i="298"/>
  <c r="AD185" i="298"/>
  <c r="AU160" i="298"/>
  <c r="AZ123" i="298"/>
  <c r="K595" i="298"/>
  <c r="AF35" i="298"/>
  <c r="AZ30" i="298"/>
  <c r="AF34" i="298"/>
  <c r="P34" i="298"/>
  <c r="T34" i="298"/>
  <c r="AA304" i="298"/>
  <c r="AU246" i="298"/>
  <c r="BA123" i="298"/>
  <c r="AE290" i="298"/>
  <c r="AW137" i="298"/>
  <c r="S123" i="298"/>
  <c r="W123" i="298"/>
  <c r="S118" i="298"/>
  <c r="AS251" i="298"/>
  <c r="AT225" i="298"/>
  <c r="M136" i="298"/>
  <c r="AC136" i="298"/>
  <c r="BB319" i="298"/>
  <c r="AO317" i="298"/>
  <c r="R317" i="298"/>
  <c r="AQ310" i="298"/>
  <c r="S302" i="298"/>
  <c r="BE180" i="298"/>
  <c r="L136" i="298"/>
  <c r="U125" i="298"/>
  <c r="Y125" i="298"/>
  <c r="AP320" i="298"/>
  <c r="R310" i="298"/>
  <c r="O298" i="298"/>
  <c r="BD152" i="298"/>
  <c r="AF138" i="298"/>
  <c r="AB138" i="298"/>
  <c r="BD103" i="298"/>
  <c r="AV94" i="298"/>
  <c r="AB94" i="298"/>
  <c r="S595" i="298"/>
  <c r="BE91" i="298"/>
  <c r="BC122" i="298"/>
  <c r="BI115" i="298"/>
  <c r="BJ115" i="298" s="1"/>
  <c r="BK115" i="298" s="1"/>
  <c r="AN108" i="298"/>
  <c r="T108" i="298"/>
  <c r="P55" i="298"/>
  <c r="AY122" i="298"/>
  <c r="AV130" i="298"/>
  <c r="AY130" i="298" s="1"/>
  <c r="G108" i="298"/>
  <c r="AY106" i="298"/>
  <c r="BC595" i="298"/>
  <c r="AB298" i="298"/>
  <c r="AB315" i="298" s="1"/>
  <c r="M138" i="298"/>
  <c r="Y138" i="298"/>
  <c r="BC121" i="298"/>
  <c r="F108" i="298"/>
  <c r="S150" i="298"/>
  <c r="W150" i="298"/>
  <c r="BC106" i="298"/>
  <c r="U27" i="28"/>
  <c r="U63" i="28"/>
  <c r="U36" i="28"/>
  <c r="U41" i="28" s="1"/>
  <c r="D20" i="230"/>
  <c r="BD73" i="298"/>
  <c r="BD59" i="298"/>
  <c r="BD85" i="298" s="1"/>
  <c r="AW35" i="298"/>
  <c r="AZ35" i="298" s="1"/>
  <c r="AW30" i="298"/>
  <c r="AC30" i="298"/>
  <c r="M41" i="298"/>
  <c r="M30" i="298"/>
  <c r="M35" i="298"/>
  <c r="BD84" i="298"/>
  <c r="AC35" i="298"/>
  <c r="AU35" i="298"/>
  <c r="AU30" i="298"/>
  <c r="AE35" i="298"/>
  <c r="BD29" i="298"/>
  <c r="AA41" i="298"/>
  <c r="AA35" i="298"/>
  <c r="O35" i="298"/>
  <c r="BD68" i="298"/>
  <c r="AF60" i="298"/>
  <c r="AE60" i="298"/>
  <c r="W121" i="298"/>
  <c r="AF45" i="298"/>
  <c r="AF51" i="298" s="1"/>
  <c r="AD69" i="298"/>
  <c r="AD60" i="298"/>
  <c r="U18" i="298"/>
  <c r="U40" i="298"/>
  <c r="U39" i="298"/>
  <c r="AC60" i="298"/>
  <c r="BC33" i="298"/>
  <c r="BC30" i="298"/>
  <c r="AE12" i="298"/>
  <c r="AE159" i="298"/>
  <c r="T18" i="298"/>
  <c r="T79" i="298" s="1"/>
  <c r="T40" i="298"/>
  <c r="T39" i="298"/>
  <c r="BE73" i="298"/>
  <c r="BE59" i="298"/>
  <c r="BE85" i="298" s="1"/>
  <c r="BE44" i="298"/>
  <c r="Q35" i="298"/>
  <c r="BB34" i="298"/>
  <c r="BA34" i="298"/>
  <c r="AD12" i="298"/>
  <c r="AD46" i="298" s="1"/>
  <c r="AD159" i="298"/>
  <c r="AH159" i="298" s="1"/>
  <c r="BE29" i="298"/>
  <c r="S30" i="298"/>
  <c r="AQ24" i="298"/>
  <c r="K57" i="3"/>
  <c r="AB35" i="298"/>
  <c r="AN34" i="298"/>
  <c r="AB34" i="298"/>
  <c r="BE28" i="298"/>
  <c r="AF30" i="298"/>
  <c r="P30" i="298"/>
  <c r="AO22" i="298"/>
  <c r="AO24" i="298"/>
  <c r="H519" i="298"/>
  <c r="H12" i="298"/>
  <c r="H638" i="298" s="1"/>
  <c r="J157" i="313"/>
  <c r="AG156" i="298"/>
  <c r="G12" i="298"/>
  <c r="AY505" i="298"/>
  <c r="P33" i="298"/>
  <c r="AY30" i="298"/>
  <c r="AD30" i="298"/>
  <c r="N30" i="298"/>
  <c r="R33" i="298"/>
  <c r="I157" i="313"/>
  <c r="AB41" i="298"/>
  <c r="AV35" i="298"/>
  <c r="AY35" i="298" s="1"/>
  <c r="Q12" i="298"/>
  <c r="Q638" i="298" s="1"/>
  <c r="Q519" i="298"/>
  <c r="I66" i="3"/>
  <c r="W35" i="298"/>
  <c r="AC34" i="298"/>
  <c r="AQ30" i="298"/>
  <c r="AB30" i="298"/>
  <c r="AV30" i="298"/>
  <c r="P12" i="298"/>
  <c r="P639" i="298" s="1"/>
  <c r="P519" i="298"/>
  <c r="G157" i="313"/>
  <c r="AF33" i="298"/>
  <c r="AP30" i="298"/>
  <c r="AA30" i="298"/>
  <c r="X35" i="298"/>
  <c r="T30" i="298"/>
  <c r="H35" i="298"/>
  <c r="D30" i="298"/>
  <c r="AR22" i="298"/>
  <c r="AD33" i="298"/>
  <c r="Y30" i="298"/>
  <c r="BD28" i="298"/>
  <c r="P98" i="292"/>
  <c r="N39" i="298"/>
  <c r="AR35" i="298"/>
  <c r="T35" i="298"/>
  <c r="J33" i="298"/>
  <c r="AN30" i="298"/>
  <c r="U34" i="298"/>
  <c r="AN22" i="298"/>
  <c r="AC133" i="298"/>
  <c r="Y12" i="298"/>
  <c r="Y638" i="298" s="1"/>
  <c r="M18" i="298"/>
  <c r="M79" i="298" s="1"/>
  <c r="AB33" i="298"/>
  <c r="AM30" i="298"/>
  <c r="BA35" i="298"/>
  <c r="AT519" i="298"/>
  <c r="AR13" i="298"/>
  <c r="AN13" i="298"/>
  <c r="AN18" i="298"/>
  <c r="AN79" i="298" s="1"/>
  <c r="AM13" i="298"/>
  <c r="AM18" i="298"/>
  <c r="AM79" i="298" s="1"/>
  <c r="T41" i="298"/>
  <c r="AO35" i="298"/>
  <c r="AU34" i="298"/>
  <c r="AW33" i="298"/>
  <c r="AZ33" i="298" s="1"/>
  <c r="Z33" i="298"/>
  <c r="AG158" i="298"/>
  <c r="BA505" i="298"/>
  <c r="AL18" i="298"/>
  <c r="AL13" i="298"/>
  <c r="Y33" i="298"/>
  <c r="U30" i="298"/>
  <c r="I33" i="298"/>
  <c r="E30" i="298"/>
  <c r="E42" i="298" s="1"/>
  <c r="K12" i="298"/>
  <c r="K519" i="298"/>
  <c r="AB505" i="298"/>
  <c r="H157" i="313"/>
  <c r="AB133" i="298"/>
  <c r="R13" i="298"/>
  <c r="AK30" i="298"/>
  <c r="AV12" i="298"/>
  <c r="K38" i="3"/>
  <c r="F146" i="313"/>
  <c r="F157" i="313" s="1"/>
  <c r="E157" i="313"/>
  <c r="Q49" i="3"/>
  <c r="AG122" i="298"/>
  <c r="G12" i="292"/>
  <c r="H12" i="292"/>
  <c r="AA18" i="298"/>
  <c r="AO18" i="298"/>
  <c r="V13" i="298"/>
  <c r="CN85" i="293"/>
  <c r="G62" i="292"/>
  <c r="F49" i="292"/>
  <c r="CG85" i="293"/>
  <c r="CE85" i="293"/>
  <c r="E17" i="292"/>
  <c r="CF85" i="293"/>
  <c r="F80" i="51"/>
  <c r="F81" i="51"/>
  <c r="E22" i="51"/>
  <c r="F22" i="51"/>
  <c r="E23" i="51"/>
  <c r="F23" i="51"/>
  <c r="H17" i="292"/>
  <c r="G81" i="51"/>
  <c r="H71" i="51"/>
  <c r="H30" i="51"/>
  <c r="D17" i="292"/>
  <c r="J79" i="51"/>
  <c r="I80" i="51"/>
  <c r="F31" i="51"/>
  <c r="AB33" i="28"/>
  <c r="AB32" i="28"/>
  <c r="AB59" i="28"/>
  <c r="E43" i="51"/>
  <c r="G43" i="51"/>
  <c r="AA33" i="28"/>
  <c r="AA32" i="28"/>
  <c r="AA59" i="28"/>
  <c r="I76" i="51"/>
  <c r="I70" i="51"/>
  <c r="J70" i="51"/>
  <c r="J17" i="51"/>
  <c r="AK26" i="28"/>
  <c r="AL26" i="28"/>
  <c r="AM26" i="28"/>
  <c r="AN26" i="28"/>
  <c r="AH72" i="28"/>
  <c r="AH73" i="28" s="1"/>
  <c r="C49" i="292"/>
  <c r="G70" i="51"/>
  <c r="G71" i="51"/>
  <c r="AA65" i="28"/>
  <c r="F70" i="51"/>
  <c r="F71" i="51"/>
  <c r="I7" i="51"/>
  <c r="J75" i="51"/>
  <c r="J76" i="51"/>
  <c r="E71" i="51"/>
  <c r="F17" i="292"/>
  <c r="G74" i="51"/>
  <c r="E49" i="292"/>
  <c r="G51" i="51"/>
  <c r="G22" i="51"/>
  <c r="H22" i="51"/>
  <c r="L23" i="28"/>
  <c r="L24" i="28" s="1"/>
  <c r="C20" i="230"/>
  <c r="C24" i="230"/>
  <c r="K23" i="28"/>
  <c r="K24" i="28" s="1"/>
  <c r="P23" i="28"/>
  <c r="P24" i="28" s="1"/>
  <c r="F34" i="51"/>
  <c r="AE19" i="28"/>
  <c r="AE20" i="28"/>
  <c r="O31" i="28"/>
  <c r="O22" i="28"/>
  <c r="O19" i="28"/>
  <c r="O20" i="28"/>
  <c r="AD31" i="28"/>
  <c r="AD19" i="28"/>
  <c r="AD20" i="28"/>
  <c r="N31" i="28"/>
  <c r="N22" i="28"/>
  <c r="N19" i="28"/>
  <c r="N20" i="28"/>
  <c r="J51" i="51"/>
  <c r="R64" i="28"/>
  <c r="AC22" i="28"/>
  <c r="AC19" i="28"/>
  <c r="AC20" i="28"/>
  <c r="M22" i="28"/>
  <c r="M19" i="28"/>
  <c r="M20" i="28"/>
  <c r="Q64" i="28"/>
  <c r="Q74" i="28"/>
  <c r="P64" i="28"/>
  <c r="P74" i="28"/>
  <c r="G18" i="51"/>
  <c r="AE64" i="28"/>
  <c r="AE74" i="28"/>
  <c r="O64" i="28"/>
  <c r="O74" i="28"/>
  <c r="M31" i="28"/>
  <c r="L33" i="28"/>
  <c r="L32" i="28"/>
  <c r="K33" i="28"/>
  <c r="K59" i="28"/>
  <c r="F59" i="28"/>
  <c r="AC31" i="28"/>
  <c r="V20" i="28"/>
  <c r="F20" i="28"/>
  <c r="V19" i="28"/>
  <c r="F19" i="28"/>
  <c r="Z59" i="28"/>
  <c r="D24" i="230"/>
  <c r="V22" i="28"/>
  <c r="F22" i="28"/>
  <c r="U64" i="28"/>
  <c r="E64" i="28"/>
  <c r="V31" i="28"/>
  <c r="S19" i="28"/>
  <c r="R20" i="28"/>
  <c r="R19" i="28"/>
  <c r="M19" i="230"/>
  <c r="M20" i="230" s="1"/>
  <c r="R22" i="28"/>
  <c r="P20" i="28"/>
  <c r="P19" i="28"/>
  <c r="R31" i="28"/>
  <c r="R59" i="28" s="1"/>
  <c r="AB20" i="28"/>
  <c r="L20" i="28"/>
  <c r="L19" i="28"/>
  <c r="AA20" i="28"/>
  <c r="K20" i="28"/>
  <c r="BL450" i="1" l="1"/>
  <c r="BL456" i="1"/>
  <c r="BM451" i="1"/>
  <c r="J387" i="1"/>
  <c r="N394" i="1"/>
  <c r="M394" i="1"/>
  <c r="I387" i="1"/>
  <c r="BM450" i="1"/>
  <c r="BM456" i="1"/>
  <c r="BN451" i="1"/>
  <c r="BN450" i="1"/>
  <c r="L14" i="519"/>
  <c r="L15" i="519" s="1"/>
  <c r="N177" i="519"/>
  <c r="N202" i="519"/>
  <c r="N204" i="519" s="1"/>
  <c r="Y57" i="522"/>
  <c r="Y51" i="522" s="1"/>
  <c r="Y52" i="522" s="1"/>
  <c r="L202" i="519"/>
  <c r="C74" i="523"/>
  <c r="BH945" i="1"/>
  <c r="X19" i="522"/>
  <c r="X20" i="522" s="1"/>
  <c r="D74" i="523"/>
  <c r="BI945" i="1"/>
  <c r="E74" i="523"/>
  <c r="BJ945" i="1"/>
  <c r="W57" i="522"/>
  <c r="W51" i="522" s="1"/>
  <c r="W52" i="522" s="1"/>
  <c r="D105" i="3"/>
  <c r="E105" i="3" s="1"/>
  <c r="O945" i="1"/>
  <c r="H177" i="521"/>
  <c r="H202" i="521"/>
  <c r="H204" i="521" s="1"/>
  <c r="H14" i="521"/>
  <c r="H15" i="521" s="1"/>
  <c r="I14" i="521"/>
  <c r="I15" i="521" s="1"/>
  <c r="I202" i="521"/>
  <c r="I204" i="521" s="1"/>
  <c r="I177" i="521"/>
  <c r="I202" i="520"/>
  <c r="I204" i="520" s="1"/>
  <c r="I14" i="520"/>
  <c r="I15" i="520" s="1"/>
  <c r="I177" i="520"/>
  <c r="J14" i="521"/>
  <c r="J15" i="521" s="1"/>
  <c r="J202" i="521"/>
  <c r="J204" i="521" s="1"/>
  <c r="J177" i="521"/>
  <c r="J202" i="520"/>
  <c r="J204" i="520" s="1"/>
  <c r="J14" i="520"/>
  <c r="J15" i="520" s="1"/>
  <c r="J177" i="520"/>
  <c r="M176" i="519"/>
  <c r="M14" i="519" s="1"/>
  <c r="M15" i="519" s="1"/>
  <c r="M176" i="521"/>
  <c r="M176" i="520"/>
  <c r="L14" i="520"/>
  <c r="L15" i="520" s="1"/>
  <c r="L202" i="520"/>
  <c r="L204" i="520" s="1"/>
  <c r="L177" i="520"/>
  <c r="L202" i="521"/>
  <c r="L204" i="521" s="1"/>
  <c r="L14" i="521"/>
  <c r="L15" i="521" s="1"/>
  <c r="L177" i="521"/>
  <c r="K202" i="521"/>
  <c r="K204" i="521" s="1"/>
  <c r="K14" i="521"/>
  <c r="K15" i="521" s="1"/>
  <c r="K177" i="521"/>
  <c r="K202" i="520"/>
  <c r="K204" i="520" s="1"/>
  <c r="K14" i="520"/>
  <c r="K15" i="520" s="1"/>
  <c r="K177" i="520"/>
  <c r="R53" i="521"/>
  <c r="R54" i="521" s="1"/>
  <c r="R194" i="521"/>
  <c r="R194" i="520"/>
  <c r="R53" i="520"/>
  <c r="R54" i="520" s="1"/>
  <c r="S202" i="521"/>
  <c r="S204" i="521" s="1"/>
  <c r="S14" i="521"/>
  <c r="S15" i="521" s="1"/>
  <c r="S177" i="521"/>
  <c r="N14" i="520"/>
  <c r="N15" i="520" s="1"/>
  <c r="N202" i="520"/>
  <c r="N204" i="520" s="1"/>
  <c r="N177" i="520"/>
  <c r="S14" i="520"/>
  <c r="S15" i="520" s="1"/>
  <c r="S202" i="520"/>
  <c r="S204" i="520" s="1"/>
  <c r="S177" i="520"/>
  <c r="N202" i="521"/>
  <c r="N204" i="521" s="1"/>
  <c r="N14" i="521"/>
  <c r="N15" i="521" s="1"/>
  <c r="N177" i="521"/>
  <c r="T14" i="520"/>
  <c r="T15" i="520" s="1"/>
  <c r="T202" i="520"/>
  <c r="T204" i="520" s="1"/>
  <c r="T177" i="520"/>
  <c r="H177" i="519"/>
  <c r="T202" i="521"/>
  <c r="T204" i="521" s="1"/>
  <c r="T14" i="521"/>
  <c r="T15" i="521" s="1"/>
  <c r="T177" i="521"/>
  <c r="S194" i="520"/>
  <c r="S53" i="520"/>
  <c r="S54" i="520" s="1"/>
  <c r="H202" i="519"/>
  <c r="Q194" i="520"/>
  <c r="Q53" i="520"/>
  <c r="Q54" i="520" s="1"/>
  <c r="S53" i="521"/>
  <c r="S54" i="521" s="1"/>
  <c r="S194" i="521"/>
  <c r="Q53" i="521"/>
  <c r="Q54" i="521" s="1"/>
  <c r="Q194" i="521"/>
  <c r="R202" i="521"/>
  <c r="R204" i="521" s="1"/>
  <c r="R14" i="521"/>
  <c r="R15" i="521" s="1"/>
  <c r="R177" i="521"/>
  <c r="I177" i="519"/>
  <c r="D14" i="521"/>
  <c r="D15" i="521" s="1"/>
  <c r="D202" i="521"/>
  <c r="D204" i="521" s="1"/>
  <c r="D177" i="521"/>
  <c r="R14" i="520"/>
  <c r="R15" i="520" s="1"/>
  <c r="R202" i="520"/>
  <c r="R204" i="520" s="1"/>
  <c r="R177" i="520"/>
  <c r="I202" i="519"/>
  <c r="D14" i="520"/>
  <c r="D15" i="520" s="1"/>
  <c r="D202" i="520"/>
  <c r="D204" i="520" s="1"/>
  <c r="D177" i="520"/>
  <c r="O177" i="521"/>
  <c r="O202" i="521"/>
  <c r="O204" i="521" s="1"/>
  <c r="O14" i="521"/>
  <c r="O15" i="521" s="1"/>
  <c r="E14" i="521"/>
  <c r="E15" i="521" s="1"/>
  <c r="E202" i="521"/>
  <c r="E204" i="521" s="1"/>
  <c r="E177" i="521"/>
  <c r="O14" i="520"/>
  <c r="O15" i="520" s="1"/>
  <c r="O202" i="520"/>
  <c r="O204" i="520" s="1"/>
  <c r="O177" i="520"/>
  <c r="J177" i="519"/>
  <c r="E14" i="520"/>
  <c r="E15" i="520" s="1"/>
  <c r="E202" i="520"/>
  <c r="E204" i="520" s="1"/>
  <c r="E177" i="520"/>
  <c r="J202" i="519"/>
  <c r="F177" i="520"/>
  <c r="F202" i="520"/>
  <c r="F204" i="520" s="1"/>
  <c r="F14" i="520"/>
  <c r="F15" i="520" s="1"/>
  <c r="T194" i="520"/>
  <c r="T53" i="520"/>
  <c r="T54" i="520" s="1"/>
  <c r="F14" i="521"/>
  <c r="F15" i="521" s="1"/>
  <c r="F202" i="521"/>
  <c r="F204" i="521" s="1"/>
  <c r="F177" i="521"/>
  <c r="T53" i="521"/>
  <c r="T54" i="521" s="1"/>
  <c r="T194" i="521"/>
  <c r="K177" i="519"/>
  <c r="G177" i="520"/>
  <c r="G202" i="520"/>
  <c r="G204" i="520" s="1"/>
  <c r="G14" i="520"/>
  <c r="G15" i="520" s="1"/>
  <c r="P202" i="520"/>
  <c r="P204" i="520" s="1"/>
  <c r="P14" i="520"/>
  <c r="P15" i="520" s="1"/>
  <c r="P177" i="520"/>
  <c r="K202" i="519"/>
  <c r="G14" i="521"/>
  <c r="G15" i="521" s="1"/>
  <c r="G177" i="521"/>
  <c r="G202" i="521"/>
  <c r="G204" i="521" s="1"/>
  <c r="P14" i="521"/>
  <c r="P15" i="521" s="1"/>
  <c r="P202" i="521"/>
  <c r="P204" i="521" s="1"/>
  <c r="P177" i="521"/>
  <c r="Q14" i="520"/>
  <c r="Q15" i="520" s="1"/>
  <c r="Q202" i="520"/>
  <c r="Q204" i="520" s="1"/>
  <c r="Q177" i="520"/>
  <c r="H202" i="520"/>
  <c r="H204" i="520" s="1"/>
  <c r="H177" i="520"/>
  <c r="H14" i="520"/>
  <c r="H15" i="520" s="1"/>
  <c r="Q14" i="521"/>
  <c r="Q15" i="521" s="1"/>
  <c r="Q202" i="521"/>
  <c r="Q204" i="521" s="1"/>
  <c r="Q177" i="521"/>
  <c r="D14" i="519"/>
  <c r="D15" i="519" s="1"/>
  <c r="D202" i="519"/>
  <c r="D177" i="519"/>
  <c r="P14" i="519"/>
  <c r="P15" i="519" s="1"/>
  <c r="P202" i="519"/>
  <c r="P204" i="519" s="1"/>
  <c r="P177" i="519"/>
  <c r="E202" i="519"/>
  <c r="E14" i="519"/>
  <c r="E15" i="519" s="1"/>
  <c r="E177" i="519"/>
  <c r="F14" i="519"/>
  <c r="F15" i="519" s="1"/>
  <c r="F202" i="519"/>
  <c r="F177" i="519"/>
  <c r="Q194" i="519"/>
  <c r="Q53" i="519"/>
  <c r="R194" i="519"/>
  <c r="R53" i="519"/>
  <c r="S194" i="519"/>
  <c r="S53" i="519"/>
  <c r="T194" i="519"/>
  <c r="T53" i="519"/>
  <c r="AD98" i="1"/>
  <c r="AV940" i="1"/>
  <c r="F114" i="503"/>
  <c r="F118" i="503" s="1"/>
  <c r="I114" i="504"/>
  <c r="I118" i="504" s="1"/>
  <c r="H114" i="523"/>
  <c r="H118" i="523" s="1"/>
  <c r="I114" i="503"/>
  <c r="I118" i="503" s="1"/>
  <c r="B24" i="313"/>
  <c r="AJ198" i="1"/>
  <c r="F115" i="198"/>
  <c r="F119" i="198" s="1"/>
  <c r="Z98" i="1"/>
  <c r="I114" i="523"/>
  <c r="I118" i="523" s="1"/>
  <c r="AB51" i="523"/>
  <c r="G107" i="504"/>
  <c r="V99" i="1"/>
  <c r="H115" i="198"/>
  <c r="H119" i="198" s="1"/>
  <c r="AF541" i="298"/>
  <c r="AJ122" i="1"/>
  <c r="J83" i="523" s="1"/>
  <c r="AK72" i="359"/>
  <c r="Z51" i="523"/>
  <c r="AI660" i="1"/>
  <c r="AI543" i="1"/>
  <c r="F64" i="523"/>
  <c r="AE757" i="1"/>
  <c r="AE778" i="1" s="1"/>
  <c r="AE785" i="1" s="1"/>
  <c r="AI786" i="1" s="1"/>
  <c r="AE941" i="1"/>
  <c r="AF942" i="1" s="1"/>
  <c r="H64" i="523"/>
  <c r="I64" i="523"/>
  <c r="K157" i="523"/>
  <c r="S939" i="1"/>
  <c r="F65" i="523"/>
  <c r="D122" i="523"/>
  <c r="D122" i="503"/>
  <c r="D122" i="504"/>
  <c r="I65" i="523"/>
  <c r="K149" i="523"/>
  <c r="E65" i="523"/>
  <c r="E49" i="523"/>
  <c r="AH98" i="1"/>
  <c r="H114" i="504"/>
  <c r="G114" i="523"/>
  <c r="H65" i="523"/>
  <c r="G64" i="523"/>
  <c r="AI351" i="1"/>
  <c r="AM359" i="1" s="1"/>
  <c r="H114" i="503"/>
  <c r="G114" i="504"/>
  <c r="G65" i="523"/>
  <c r="Z941" i="1"/>
  <c r="AC942" i="1" s="1"/>
  <c r="AA60" i="523"/>
  <c r="I115" i="198"/>
  <c r="I119" i="198" s="1"/>
  <c r="G115" i="198"/>
  <c r="G119" i="198" s="1"/>
  <c r="G114" i="503"/>
  <c r="BD940" i="1"/>
  <c r="AI631" i="1"/>
  <c r="BK939" i="1"/>
  <c r="AA51" i="523"/>
  <c r="C107" i="504"/>
  <c r="C107" i="523"/>
  <c r="C108" i="198"/>
  <c r="C107" i="503"/>
  <c r="E107" i="523"/>
  <c r="E107" i="504"/>
  <c r="E108" i="198"/>
  <c r="E107" i="503"/>
  <c r="F114" i="523"/>
  <c r="AD110" i="1"/>
  <c r="BG937" i="1"/>
  <c r="BG939" i="1" s="1"/>
  <c r="BM939" i="1"/>
  <c r="F114" i="504"/>
  <c r="AY940" i="1"/>
  <c r="BA940" i="1"/>
  <c r="BB940" i="1"/>
  <c r="AX940" i="1"/>
  <c r="AG940" i="1"/>
  <c r="AE940" i="1"/>
  <c r="AJ940" i="1"/>
  <c r="W940" i="1"/>
  <c r="AA940" i="1"/>
  <c r="AB940" i="1"/>
  <c r="AD942" i="1"/>
  <c r="Y940" i="1"/>
  <c r="AK940" i="1"/>
  <c r="U940" i="1"/>
  <c r="AD940" i="1"/>
  <c r="AU940" i="1"/>
  <c r="AW940" i="1"/>
  <c r="AZ940" i="1"/>
  <c r="BC940" i="1"/>
  <c r="BE940" i="1"/>
  <c r="D123" i="198"/>
  <c r="AI940" i="1"/>
  <c r="V940" i="1"/>
  <c r="X940" i="1"/>
  <c r="AF940" i="1"/>
  <c r="Z940" i="1"/>
  <c r="AH940" i="1"/>
  <c r="AC940" i="1"/>
  <c r="BK897" i="1"/>
  <c r="S897" i="1"/>
  <c r="BJ940" i="1"/>
  <c r="AI496" i="1"/>
  <c r="AM504" i="1" s="1"/>
  <c r="AJ631" i="1"/>
  <c r="BO465" i="1"/>
  <c r="BO195" i="1" s="1"/>
  <c r="AM337" i="1"/>
  <c r="D55" i="504"/>
  <c r="D55" i="503"/>
  <c r="J55" i="503"/>
  <c r="J55" i="504"/>
  <c r="E64" i="504"/>
  <c r="E29" i="504"/>
  <c r="E41" i="504"/>
  <c r="AI256" i="1"/>
  <c r="AM258" i="1" s="1"/>
  <c r="AM311" i="1"/>
  <c r="AM256" i="1" s="1"/>
  <c r="F48" i="503"/>
  <c r="F48" i="504"/>
  <c r="AQ41" i="359"/>
  <c r="AQ40" i="359" s="1"/>
  <c r="BN97" i="1"/>
  <c r="I48" i="504"/>
  <c r="I48" i="503"/>
  <c r="E48" i="503"/>
  <c r="E48" i="504"/>
  <c r="I55" i="503"/>
  <c r="I55" i="504"/>
  <c r="AO41" i="359"/>
  <c r="AO40" i="359" s="1"/>
  <c r="AO36" i="359" s="1"/>
  <c r="AJ559" i="1"/>
  <c r="H88" i="292"/>
  <c r="H89" i="292" s="1"/>
  <c r="H69" i="504"/>
  <c r="H69" i="503"/>
  <c r="BO272" i="1"/>
  <c r="BO194" i="1" s="1"/>
  <c r="BO37" i="1"/>
  <c r="I69" i="504"/>
  <c r="I69" i="503"/>
  <c r="AI629" i="1"/>
  <c r="AM629" i="1"/>
  <c r="F88" i="292"/>
  <c r="F89" i="292" s="1"/>
  <c r="F69" i="504"/>
  <c r="F69" i="503"/>
  <c r="AI567" i="1"/>
  <c r="AI577" i="1" s="1"/>
  <c r="AI588" i="1" s="1"/>
  <c r="AM566" i="1"/>
  <c r="V37" i="522"/>
  <c r="D74" i="503"/>
  <c r="D74" i="504"/>
  <c r="G88" i="292"/>
  <c r="G89" i="292" s="1"/>
  <c r="G69" i="504"/>
  <c r="G69" i="503"/>
  <c r="AN568" i="1"/>
  <c r="AN571" i="1"/>
  <c r="AN509" i="1" s="1"/>
  <c r="BL67" i="1"/>
  <c r="G55" i="503"/>
  <c r="G55" i="504"/>
  <c r="AJ629" i="1"/>
  <c r="BO623" i="1"/>
  <c r="BO629" i="1" s="1"/>
  <c r="E65" i="3"/>
  <c r="C74" i="503"/>
  <c r="C74" i="504"/>
  <c r="AI559" i="1"/>
  <c r="AM558" i="1"/>
  <c r="AM559" i="1" s="1"/>
  <c r="AA27" i="522"/>
  <c r="AA41" i="522" s="1"/>
  <c r="AA42" i="522" s="1"/>
  <c r="I28" i="504"/>
  <c r="I28" i="503"/>
  <c r="AJ630" i="1"/>
  <c r="BO624" i="1"/>
  <c r="BO630" i="1" s="1"/>
  <c r="BI97" i="1"/>
  <c r="D48" i="503"/>
  <c r="D48" i="504"/>
  <c r="AM583" i="1"/>
  <c r="AM582" i="1"/>
  <c r="C55" i="504"/>
  <c r="C55" i="503"/>
  <c r="BY152" i="1"/>
  <c r="CA152" i="1" s="1"/>
  <c r="CC152" i="1" s="1"/>
  <c r="AM486" i="1"/>
  <c r="AQ486" i="1" s="1"/>
  <c r="E74" i="503"/>
  <c r="E74" i="504"/>
  <c r="AM491" i="1"/>
  <c r="AM485" i="1"/>
  <c r="AU10" i="468"/>
  <c r="H48" i="504"/>
  <c r="H48" i="503"/>
  <c r="BO35" i="1"/>
  <c r="BO36" i="1"/>
  <c r="G28" i="504"/>
  <c r="G28" i="503"/>
  <c r="C48" i="503"/>
  <c r="C48" i="504"/>
  <c r="C64" i="504"/>
  <c r="AM260" i="1"/>
  <c r="C64" i="503"/>
  <c r="AJ214" i="1"/>
  <c r="AJ219" i="1" s="1"/>
  <c r="AM569" i="1"/>
  <c r="AQ569" i="1" s="1"/>
  <c r="AM341" i="1"/>
  <c r="AQ341" i="1" s="1"/>
  <c r="D64" i="504"/>
  <c r="BO965" i="1"/>
  <c r="BO959" i="1"/>
  <c r="BM67" i="1"/>
  <c r="H55" i="503"/>
  <c r="H55" i="504"/>
  <c r="H28" i="503"/>
  <c r="H28" i="504"/>
  <c r="X27" i="522"/>
  <c r="X59" i="522" s="1"/>
  <c r="F28" i="504"/>
  <c r="F28" i="503"/>
  <c r="G48" i="504"/>
  <c r="G48" i="503"/>
  <c r="D64" i="503"/>
  <c r="BK67" i="1"/>
  <c r="F55" i="503"/>
  <c r="F55" i="504"/>
  <c r="E29" i="503"/>
  <c r="E41" i="503"/>
  <c r="E64" i="503"/>
  <c r="C33" i="276"/>
  <c r="V41" i="522"/>
  <c r="V42" i="522" s="1"/>
  <c r="V31" i="522"/>
  <c r="C24" i="313"/>
  <c r="BB137" i="298"/>
  <c r="BN83" i="1"/>
  <c r="BK83" i="1"/>
  <c r="D59" i="522"/>
  <c r="D73" i="522" s="1"/>
  <c r="D74" i="522" s="1"/>
  <c r="O31" i="522"/>
  <c r="O41" i="522"/>
  <c r="O42" i="522" s="1"/>
  <c r="O59" i="522"/>
  <c r="O63" i="522" s="1"/>
  <c r="W37" i="522"/>
  <c r="W59" i="522"/>
  <c r="W73" i="522" s="1"/>
  <c r="W74" i="522" s="1"/>
  <c r="T205" i="519"/>
  <c r="U201" i="519"/>
  <c r="AM83" i="1"/>
  <c r="BO83" i="1" s="1"/>
  <c r="W31" i="522"/>
  <c r="L41" i="522"/>
  <c r="L42" i="522" s="1"/>
  <c r="R24" i="313"/>
  <c r="K13" i="1"/>
  <c r="AC43" i="1"/>
  <c r="AG993" i="1"/>
  <c r="P877" i="1"/>
  <c r="AD90" i="1"/>
  <c r="Q7" i="267"/>
  <c r="Q9" i="313" s="1"/>
  <c r="Q34" i="313" s="1"/>
  <c r="AA90" i="1"/>
  <c r="J13" i="1"/>
  <c r="T877" i="1"/>
  <c r="I44" i="1"/>
  <c r="W43" i="1"/>
  <c r="AE99" i="1"/>
  <c r="N99" i="1"/>
  <c r="E99" i="1"/>
  <c r="V13" i="1"/>
  <c r="X1027" i="1"/>
  <c r="AB876" i="1"/>
  <c r="AB90" i="1"/>
  <c r="O99" i="1"/>
  <c r="BD19" i="1"/>
  <c r="BD106" i="1" s="1"/>
  <c r="U877" i="1"/>
  <c r="AF877" i="1"/>
  <c r="I7" i="267"/>
  <c r="I9" i="313" s="1"/>
  <c r="Y99" i="1"/>
  <c r="H1027" i="1"/>
  <c r="J716" i="298"/>
  <c r="J722" i="298" s="1"/>
  <c r="D58" i="292"/>
  <c r="D59" i="292" s="1"/>
  <c r="AK65" i="359"/>
  <c r="F36" i="3"/>
  <c r="F57" i="3" s="1"/>
  <c r="V57" i="522"/>
  <c r="V51" i="522" s="1"/>
  <c r="V52" i="522" s="1"/>
  <c r="V19" i="522"/>
  <c r="V20" i="522" s="1"/>
  <c r="F59" i="522"/>
  <c r="F73" i="522" s="1"/>
  <c r="F74" i="522" s="1"/>
  <c r="F41" i="522"/>
  <c r="F42" i="522" s="1"/>
  <c r="AF39" i="28"/>
  <c r="AJ876" i="1"/>
  <c r="P23" i="522"/>
  <c r="P55" i="522" s="1"/>
  <c r="BI871" i="1"/>
  <c r="V23" i="522" s="1"/>
  <c r="V55" i="522" s="1"/>
  <c r="V24" i="522"/>
  <c r="V56" i="522" s="1"/>
  <c r="M59" i="522"/>
  <c r="M73" i="522" s="1"/>
  <c r="M74" i="522" s="1"/>
  <c r="M41" i="522"/>
  <c r="M42" i="522" s="1"/>
  <c r="BN871" i="1"/>
  <c r="AA23" i="522" s="1"/>
  <c r="AA55" i="522" s="1"/>
  <c r="AA24" i="522"/>
  <c r="AA56" i="522" s="1"/>
  <c r="H40" i="292"/>
  <c r="Z27" i="522"/>
  <c r="BL871" i="1"/>
  <c r="Y23" i="522" s="1"/>
  <c r="Y55" i="522" s="1"/>
  <c r="Y24" i="522"/>
  <c r="Y56" i="522" s="1"/>
  <c r="BK871" i="1"/>
  <c r="X23" i="522" s="1"/>
  <c r="X55" i="522" s="1"/>
  <c r="X24" i="522"/>
  <c r="X56" i="522" s="1"/>
  <c r="H59" i="522"/>
  <c r="H41" i="522"/>
  <c r="H42" i="522" s="1"/>
  <c r="H37" i="522"/>
  <c r="H31" i="522"/>
  <c r="AD876" i="1"/>
  <c r="J23" i="522"/>
  <c r="J55" i="522" s="1"/>
  <c r="BI122" i="1"/>
  <c r="D72" i="523" s="1"/>
  <c r="V73" i="522"/>
  <c r="V74" i="522" s="1"/>
  <c r="V63" i="522"/>
  <c r="V69" i="522"/>
  <c r="BJ877" i="1"/>
  <c r="W24" i="522"/>
  <c r="W56" i="522" s="1"/>
  <c r="G40" i="292"/>
  <c r="Y27" i="522"/>
  <c r="K59" i="522"/>
  <c r="K41" i="522"/>
  <c r="K42" i="522" s="1"/>
  <c r="K31" i="522"/>
  <c r="K37" i="522"/>
  <c r="J59" i="522"/>
  <c r="J41" i="522"/>
  <c r="J42" i="522" s="1"/>
  <c r="J31" i="522"/>
  <c r="J37" i="522"/>
  <c r="E41" i="522"/>
  <c r="E42" i="522" s="1"/>
  <c r="E59" i="522"/>
  <c r="E73" i="522" s="1"/>
  <c r="E74" i="522" s="1"/>
  <c r="I59" i="522"/>
  <c r="I41" i="522"/>
  <c r="I42" i="522" s="1"/>
  <c r="I31" i="522"/>
  <c r="I37" i="522"/>
  <c r="G41" i="522"/>
  <c r="G42" i="522" s="1"/>
  <c r="G59" i="522"/>
  <c r="G37" i="522"/>
  <c r="G31" i="522"/>
  <c r="AI876" i="1"/>
  <c r="Z876" i="1"/>
  <c r="BR12" i="1"/>
  <c r="P11" i="267"/>
  <c r="T12" i="267" s="1"/>
  <c r="BR48" i="1"/>
  <c r="AH877" i="1"/>
  <c r="BS12" i="1"/>
  <c r="BN934" i="1"/>
  <c r="AH629" i="1"/>
  <c r="AH630" i="1"/>
  <c r="AH56" i="28"/>
  <c r="AH58" i="28" s="1"/>
  <c r="AJ58" i="28" s="1"/>
  <c r="BN465" i="1"/>
  <c r="BN195" i="1" s="1"/>
  <c r="AG195" i="1"/>
  <c r="BL540" i="1"/>
  <c r="BL201" i="1" s="1"/>
  <c r="BL196" i="1"/>
  <c r="S51" i="1"/>
  <c r="S198" i="1"/>
  <c r="V51" i="1"/>
  <c r="V198" i="1"/>
  <c r="BJ540" i="1"/>
  <c r="BJ201" i="1" s="1"/>
  <c r="BJ196" i="1"/>
  <c r="R51" i="1"/>
  <c r="R198" i="1"/>
  <c r="T51" i="1"/>
  <c r="T198" i="1"/>
  <c r="AG51" i="1"/>
  <c r="AG198" i="1"/>
  <c r="U51" i="1"/>
  <c r="U198" i="1"/>
  <c r="BM934" i="1"/>
  <c r="T934" i="1"/>
  <c r="S934" i="1"/>
  <c r="BL934" i="1"/>
  <c r="BK934" i="1"/>
  <c r="BN112" i="1"/>
  <c r="BN67" i="1"/>
  <c r="F48" i="3"/>
  <c r="BI67" i="1"/>
  <c r="BH112" i="1"/>
  <c r="BH67" i="1"/>
  <c r="BN565" i="1"/>
  <c r="BN575" i="1" s="1"/>
  <c r="BN586" i="1" s="1"/>
  <c r="AE646" i="1"/>
  <c r="AF641" i="1"/>
  <c r="AF171" i="298"/>
  <c r="AB171" i="298"/>
  <c r="BB639" i="298"/>
  <c r="AK60" i="359"/>
  <c r="AK142" i="359" s="1"/>
  <c r="AL38" i="1"/>
  <c r="BD447" i="298"/>
  <c r="AO192" i="298"/>
  <c r="AP22" i="298"/>
  <c r="AW29" i="468"/>
  <c r="C34" i="276"/>
  <c r="AH631" i="1"/>
  <c r="AL631" i="1"/>
  <c r="BD446" i="298"/>
  <c r="AO1015" i="1"/>
  <c r="AP571" i="1"/>
  <c r="AP509" i="1" s="1"/>
  <c r="AL568" i="1"/>
  <c r="AL578" i="1" s="1"/>
  <c r="AE61" i="1"/>
  <c r="AE63" i="1" s="1"/>
  <c r="AE54" i="1" s="1"/>
  <c r="AL338" i="1"/>
  <c r="AP338" i="1" s="1"/>
  <c r="AH458" i="1"/>
  <c r="AH461" i="1" s="1"/>
  <c r="AL263" i="1"/>
  <c r="AL265" i="1"/>
  <c r="AQ1015" i="1"/>
  <c r="AH351" i="1"/>
  <c r="AL351" i="1"/>
  <c r="AL337" i="1"/>
  <c r="AL491" i="1"/>
  <c r="AH567" i="1"/>
  <c r="AL566" i="1"/>
  <c r="R177" i="519"/>
  <c r="AK493" i="1"/>
  <c r="AK501" i="1" s="1"/>
  <c r="T177" i="519"/>
  <c r="AJ989" i="1"/>
  <c r="AN1010" i="1"/>
  <c r="AN1015" i="1" s="1"/>
  <c r="AJ485" i="1"/>
  <c r="AJ487" i="1" s="1"/>
  <c r="AN340" i="1"/>
  <c r="AK38" i="1"/>
  <c r="AO60" i="359"/>
  <c r="AO142" i="359" s="1"/>
  <c r="AO65" i="359"/>
  <c r="AP72" i="359"/>
  <c r="AP65" i="359"/>
  <c r="AQ72" i="359"/>
  <c r="AQ568" i="1"/>
  <c r="T187" i="519"/>
  <c r="S187" i="519"/>
  <c r="Q203" i="519"/>
  <c r="Q185" i="519"/>
  <c r="Q187" i="519"/>
  <c r="R203" i="519"/>
  <c r="R187" i="519"/>
  <c r="R185" i="519"/>
  <c r="S203" i="519"/>
  <c r="S185" i="519"/>
  <c r="T203" i="519"/>
  <c r="R14" i="519"/>
  <c r="R15" i="519" s="1"/>
  <c r="R202" i="519"/>
  <c r="Q14" i="519"/>
  <c r="Q15" i="519" s="1"/>
  <c r="Q202" i="519"/>
  <c r="Q177" i="519"/>
  <c r="S14" i="519"/>
  <c r="S15" i="519" s="1"/>
  <c r="S202" i="519"/>
  <c r="T14" i="519"/>
  <c r="T15" i="519" s="1"/>
  <c r="T202" i="519"/>
  <c r="R205" i="519"/>
  <c r="S201" i="519"/>
  <c r="T80" i="519"/>
  <c r="U80" i="519" s="1"/>
  <c r="V80" i="519" s="1"/>
  <c r="W80" i="519" s="1"/>
  <c r="X80" i="519" s="1"/>
  <c r="Y80" i="519" s="1"/>
  <c r="Z80" i="519" s="1"/>
  <c r="AA80" i="519" s="1"/>
  <c r="AB80" i="519" s="1"/>
  <c r="AC80" i="519" s="1"/>
  <c r="AD80" i="519" s="1"/>
  <c r="AE80" i="519" s="1"/>
  <c r="AF80" i="519" s="1"/>
  <c r="AG80" i="519" s="1"/>
  <c r="S177" i="519"/>
  <c r="S79" i="519"/>
  <c r="S34" i="519" s="1"/>
  <c r="S205" i="519"/>
  <c r="T201" i="519"/>
  <c r="AE716" i="298"/>
  <c r="BD353" i="298"/>
  <c r="BD129" i="298" s="1"/>
  <c r="BW19" i="468"/>
  <c r="AE45" i="298"/>
  <c r="AE51" i="298" s="1"/>
  <c r="AT18" i="298"/>
  <c r="AT19" i="298" s="1"/>
  <c r="AT13" i="298"/>
  <c r="AT14" i="298" s="1"/>
  <c r="AE171" i="298"/>
  <c r="AD543" i="1"/>
  <c r="AQ330" i="298"/>
  <c r="H716" i="298"/>
  <c r="H722" i="298" s="1"/>
  <c r="AY351" i="298"/>
  <c r="AB543" i="1"/>
  <c r="BA353" i="298"/>
  <c r="BA129" i="298" s="1"/>
  <c r="S318" i="298"/>
  <c r="X543" i="1"/>
  <c r="AA60" i="298"/>
  <c r="AA61" i="298" s="1"/>
  <c r="AA86" i="298" s="1"/>
  <c r="AQ22" i="298"/>
  <c r="V719" i="298"/>
  <c r="V171" i="298"/>
  <c r="AK639" i="298"/>
  <c r="K319" i="298"/>
  <c r="AF70" i="298"/>
  <c r="AA720" i="298"/>
  <c r="U530" i="298"/>
  <c r="U532" i="298" s="1"/>
  <c r="U534" i="298" s="1"/>
  <c r="R719" i="298"/>
  <c r="AP44" i="298"/>
  <c r="AP60" i="298" s="1"/>
  <c r="S181" i="298"/>
  <c r="S182" i="298" s="1"/>
  <c r="AA46" i="298"/>
  <c r="K321" i="298"/>
  <c r="CC21" i="468"/>
  <c r="AD582" i="1"/>
  <c r="AD583" i="1" s="1"/>
  <c r="AL19" i="298"/>
  <c r="K313" i="298"/>
  <c r="BA474" i="298"/>
  <c r="AB721" i="298"/>
  <c r="K314" i="298"/>
  <c r="K322" i="298"/>
  <c r="V357" i="298"/>
  <c r="G44" i="298"/>
  <c r="G46" i="298" s="1"/>
  <c r="BB475" i="298"/>
  <c r="AD65" i="28"/>
  <c r="AA543" i="1"/>
  <c r="S160" i="298"/>
  <c r="S524" i="298"/>
  <c r="V549" i="298"/>
  <c r="AM542" i="298"/>
  <c r="K318" i="298"/>
  <c r="W153" i="298"/>
  <c r="AE720" i="298"/>
  <c r="AH582" i="1"/>
  <c r="AH583" i="1" s="1"/>
  <c r="V176" i="298"/>
  <c r="AA721" i="298"/>
  <c r="BC137" i="298"/>
  <c r="J42" i="298"/>
  <c r="S684" i="298"/>
  <c r="Y59" i="28"/>
  <c r="AZ704" i="298"/>
  <c r="AZ716" i="298" s="1"/>
  <c r="AM192" i="298"/>
  <c r="K716" i="298"/>
  <c r="K722" i="298" s="1"/>
  <c r="Y32" i="28"/>
  <c r="Z32" i="28"/>
  <c r="BA356" i="298"/>
  <c r="BA357" i="298" s="1"/>
  <c r="AQ192" i="298"/>
  <c r="AB412" i="298"/>
  <c r="AB356" i="298" s="1"/>
  <c r="AB357" i="298" s="1"/>
  <c r="BD922" i="1"/>
  <c r="BG922" i="1" s="1"/>
  <c r="AG630" i="1"/>
  <c r="U9" i="267"/>
  <c r="U11" i="313" s="1"/>
  <c r="Y582" i="1"/>
  <c r="Y583" i="1" s="1"/>
  <c r="AI582" i="1"/>
  <c r="AI583" i="1" s="1"/>
  <c r="AE1005" i="1"/>
  <c r="AE225" i="1"/>
  <c r="AF582" i="1"/>
  <c r="AF583" i="1" s="1"/>
  <c r="AJ696" i="1"/>
  <c r="AJ700" i="1"/>
  <c r="AE174" i="1"/>
  <c r="AE15" i="1" s="1"/>
  <c r="AE25" i="1" s="1"/>
  <c r="AJ695" i="1"/>
  <c r="AJ690" i="1"/>
  <c r="AJ699" i="1"/>
  <c r="AG631" i="1"/>
  <c r="AF14" i="1"/>
  <c r="AF174" i="1"/>
  <c r="AF15" i="1" s="1"/>
  <c r="AB14" i="1"/>
  <c r="AB174" i="1"/>
  <c r="AB15" i="1" s="1"/>
  <c r="AC14" i="1"/>
  <c r="AC174" i="1"/>
  <c r="AC15" i="1" s="1"/>
  <c r="AG14" i="1"/>
  <c r="AG174" i="1"/>
  <c r="AG15" i="1" s="1"/>
  <c r="I99" i="1"/>
  <c r="BV155" i="1"/>
  <c r="J99" i="1"/>
  <c r="S99" i="1"/>
  <c r="AA103" i="1"/>
  <c r="BH464" i="1"/>
  <c r="BG464" i="1"/>
  <c r="BH271" i="1"/>
  <c r="BG271" i="1"/>
  <c r="AD101" i="1"/>
  <c r="AS99" i="1"/>
  <c r="BC122" i="1"/>
  <c r="BC97" i="1"/>
  <c r="BB99" i="1"/>
  <c r="AF99" i="1"/>
  <c r="AU122" i="1"/>
  <c r="AU97" i="1"/>
  <c r="X99" i="1"/>
  <c r="BD99" i="1"/>
  <c r="E36" i="3"/>
  <c r="E57" i="3" s="1"/>
  <c r="BH97" i="1"/>
  <c r="AG99" i="1"/>
  <c r="R99" i="1"/>
  <c r="AX99" i="1"/>
  <c r="AX98" i="1"/>
  <c r="AH99" i="1"/>
  <c r="AW98" i="1"/>
  <c r="AW99" i="1"/>
  <c r="Z99" i="1"/>
  <c r="AG977" i="1"/>
  <c r="AK983" i="1" s="1"/>
  <c r="AA99" i="1"/>
  <c r="H99" i="1"/>
  <c r="BG122" i="1"/>
  <c r="D63" i="3" s="1"/>
  <c r="BG97" i="1"/>
  <c r="AG39" i="28"/>
  <c r="AG40" i="28" s="1"/>
  <c r="BJ97" i="1"/>
  <c r="G58" i="292"/>
  <c r="G59" i="292" s="1"/>
  <c r="G83" i="292" s="1"/>
  <c r="BL97" i="1"/>
  <c r="AY122" i="1"/>
  <c r="AY97" i="1"/>
  <c r="AC99" i="1"/>
  <c r="T99" i="1"/>
  <c r="G99" i="1"/>
  <c r="U99" i="1"/>
  <c r="M518" i="1"/>
  <c r="M527" i="1" s="1"/>
  <c r="Q529" i="1" s="1"/>
  <c r="AV99" i="1"/>
  <c r="AZ122" i="1"/>
  <c r="AZ97" i="1"/>
  <c r="P99" i="1"/>
  <c r="AT122" i="1"/>
  <c r="AT97" i="1"/>
  <c r="BE122" i="1"/>
  <c r="BE97" i="1"/>
  <c r="W99" i="1"/>
  <c r="H58" i="292"/>
  <c r="H59" i="292" s="1"/>
  <c r="H83" i="292" s="1"/>
  <c r="BM97" i="1"/>
  <c r="AH39" i="28"/>
  <c r="AL39" i="28" s="1"/>
  <c r="BK97" i="1"/>
  <c r="AJ677" i="1"/>
  <c r="AJ701" i="1" s="1"/>
  <c r="BA122" i="1"/>
  <c r="BA97" i="1"/>
  <c r="AJ697" i="1"/>
  <c r="AJ694" i="1"/>
  <c r="AG543" i="1"/>
  <c r="AJ698" i="1"/>
  <c r="AJ693" i="1"/>
  <c r="C35" i="276"/>
  <c r="AG539" i="1"/>
  <c r="AG196" i="1" s="1"/>
  <c r="BM590" i="1"/>
  <c r="M26" i="1"/>
  <c r="BJ757" i="1"/>
  <c r="BJ778" i="1" s="1"/>
  <c r="BJ785" i="1" s="1"/>
  <c r="AG460" i="1"/>
  <c r="BD714" i="298"/>
  <c r="BD720" i="298" s="1"/>
  <c r="X721" i="298"/>
  <c r="Z981" i="1"/>
  <c r="V22" i="1"/>
  <c r="L13" i="313" s="1"/>
  <c r="L15" i="313" s="1"/>
  <c r="AK458" i="1"/>
  <c r="AG256" i="1"/>
  <c r="AK258" i="1" s="1"/>
  <c r="AK311" i="1"/>
  <c r="AK256" i="1" s="1"/>
  <c r="AG346" i="1"/>
  <c r="AK354" i="1" s="1"/>
  <c r="AK460" i="1"/>
  <c r="AK260" i="1"/>
  <c r="AC346" i="1"/>
  <c r="BM337" i="1"/>
  <c r="AG626" i="1"/>
  <c r="AK632" i="1" s="1"/>
  <c r="AK629" i="1"/>
  <c r="AG339" i="1"/>
  <c r="AK338" i="1"/>
  <c r="AG487" i="1"/>
  <c r="AK495" i="1" s="1"/>
  <c r="AK496" i="1"/>
  <c r="AN11" i="1"/>
  <c r="CA146" i="1"/>
  <c r="CC146" i="1" s="1"/>
  <c r="AS22" i="298"/>
  <c r="F44" i="298"/>
  <c r="F46" i="298" s="1"/>
  <c r="AD66" i="28"/>
  <c r="AA532" i="298"/>
  <c r="AA534" i="298" s="1"/>
  <c r="AA542" i="298" s="1"/>
  <c r="AP172" i="298"/>
  <c r="Q719" i="298"/>
  <c r="J59" i="28"/>
  <c r="BE476" i="298"/>
  <c r="Z638" i="298"/>
  <c r="AB542" i="298"/>
  <c r="BE542" i="298" s="1"/>
  <c r="D123" i="292"/>
  <c r="AF558" i="298"/>
  <c r="F524" i="298"/>
  <c r="K32" i="28"/>
  <c r="AA69" i="298"/>
  <c r="AA71" i="298" s="1"/>
  <c r="BB365" i="298"/>
  <c r="X94" i="298"/>
  <c r="M229" i="1"/>
  <c r="M230" i="1" s="1"/>
  <c r="M240" i="1" s="1"/>
  <c r="U720" i="298"/>
  <c r="T721" i="298"/>
  <c r="S7" i="267"/>
  <c r="S9" i="313" s="1"/>
  <c r="V751" i="1"/>
  <c r="V757" i="1"/>
  <c r="V759" i="1" s="1"/>
  <c r="V761" i="1" s="1"/>
  <c r="G530" i="298"/>
  <c r="G551" i="298" s="1"/>
  <c r="G557" i="298" s="1"/>
  <c r="G560" i="298" s="1"/>
  <c r="S530" i="298"/>
  <c r="S532" i="298" s="1"/>
  <c r="S534" i="298" s="1"/>
  <c r="M757" i="1"/>
  <c r="M759" i="1" s="1"/>
  <c r="M761" i="1" s="1"/>
  <c r="M769" i="1" s="1"/>
  <c r="BE448" i="298"/>
  <c r="AF18" i="298"/>
  <c r="AF79" i="298" s="1"/>
  <c r="BX149" i="1"/>
  <c r="BX154" i="1"/>
  <c r="AR322" i="298"/>
  <c r="AF13" i="298"/>
  <c r="AS310" i="298"/>
  <c r="P172" i="298"/>
  <c r="G524" i="298"/>
  <c r="AR314" i="298"/>
  <c r="M751" i="1"/>
  <c r="AR319" i="298"/>
  <c r="AY630" i="298"/>
  <c r="BQ61" i="468"/>
  <c r="V721" i="298"/>
  <c r="AC19" i="1"/>
  <c r="AC106" i="1" s="1"/>
  <c r="L720" i="298"/>
  <c r="AR332" i="298"/>
  <c r="AR334" i="298" s="1"/>
  <c r="AR338" i="298" s="1"/>
  <c r="AS339" i="298" s="1"/>
  <c r="BD715" i="298"/>
  <c r="AR318" i="298"/>
  <c r="BD108" i="298"/>
  <c r="AR321" i="298"/>
  <c r="BD710" i="298"/>
  <c r="C53" i="276"/>
  <c r="BA364" i="298"/>
  <c r="D27" i="28"/>
  <c r="H63" i="28"/>
  <c r="BA36" i="298"/>
  <c r="AV549" i="298"/>
  <c r="J44" i="1"/>
  <c r="J45" i="1"/>
  <c r="L42" i="298"/>
  <c r="J524" i="298"/>
  <c r="AM639" i="298"/>
  <c r="AM22" i="298"/>
  <c r="V716" i="298"/>
  <c r="AA13" i="298"/>
  <c r="BB36" i="298"/>
  <c r="J43" i="1"/>
  <c r="H27" i="28"/>
  <c r="J19" i="1"/>
  <c r="J20" i="1" s="1"/>
  <c r="S538" i="1"/>
  <c r="BB122" i="1"/>
  <c r="O42" i="298"/>
  <c r="BC715" i="298"/>
  <c r="BC721" i="298" s="1"/>
  <c r="T357" i="298"/>
  <c r="AE551" i="298"/>
  <c r="AE557" i="298" s="1"/>
  <c r="AE558" i="298" s="1"/>
  <c r="BT19" i="468"/>
  <c r="AR313" i="298"/>
  <c r="AU342" i="298"/>
  <c r="BY19" i="468"/>
  <c r="BD471" i="298"/>
  <c r="Q501" i="1"/>
  <c r="AT41" i="298"/>
  <c r="AP192" i="298"/>
  <c r="AD357" i="298"/>
  <c r="O719" i="298"/>
  <c r="CA21" i="468"/>
  <c r="AD720" i="298"/>
  <c r="L719" i="298"/>
  <c r="J22" i="298"/>
  <c r="J24" i="298"/>
  <c r="J530" i="298"/>
  <c r="J532" i="298" s="1"/>
  <c r="J534" i="298" s="1"/>
  <c r="J41" i="298"/>
  <c r="V172" i="298"/>
  <c r="AR329" i="298"/>
  <c r="BC467" i="298"/>
  <c r="AW638" i="298"/>
  <c r="R721" i="298"/>
  <c r="AV172" i="298"/>
  <c r="AY172" i="298" s="1"/>
  <c r="BE110" i="468"/>
  <c r="AU768" i="1"/>
  <c r="P357" i="298"/>
  <c r="J431" i="298"/>
  <c r="F530" i="298"/>
  <c r="F551" i="298" s="1"/>
  <c r="F557" i="298" s="1"/>
  <c r="F560" i="298" s="1"/>
  <c r="Y721" i="298"/>
  <c r="AL172" i="298"/>
  <c r="AS329" i="298"/>
  <c r="AS341" i="298" s="1"/>
  <c r="AS342" i="298" s="1"/>
  <c r="O431" i="298"/>
  <c r="BD352" i="298"/>
  <c r="AZ430" i="298"/>
  <c r="AZ431" i="298" s="1"/>
  <c r="V19" i="298"/>
  <c r="M716" i="298"/>
  <c r="R36" i="298"/>
  <c r="AS716" i="298"/>
  <c r="J18" i="298"/>
  <c r="J19" i="298" s="1"/>
  <c r="Q36" i="28"/>
  <c r="Q41" i="28" s="1"/>
  <c r="P85" i="28" s="1"/>
  <c r="AL44" i="298"/>
  <c r="AL46" i="298" s="1"/>
  <c r="S310" i="298"/>
  <c r="BC138" i="298"/>
  <c r="AI121" i="298"/>
  <c r="AI114" i="298" s="1"/>
  <c r="BB530" i="298"/>
  <c r="BB532" i="298" s="1"/>
  <c r="BB534" i="298" s="1"/>
  <c r="S314" i="298"/>
  <c r="BB352" i="298"/>
  <c r="BD440" i="298"/>
  <c r="BD130" i="298" s="1"/>
  <c r="BC684" i="298"/>
  <c r="AZ106" i="1"/>
  <c r="BC871" i="1"/>
  <c r="BC876" i="1" s="1"/>
  <c r="AV329" i="298"/>
  <c r="AV341" i="298" s="1"/>
  <c r="BD467" i="298"/>
  <c r="BB467" i="298"/>
  <c r="U716" i="298"/>
  <c r="P176" i="298"/>
  <c r="BD468" i="298"/>
  <c r="BD131" i="298" s="1"/>
  <c r="Q549" i="298"/>
  <c r="AA171" i="298"/>
  <c r="AR172" i="298"/>
  <c r="AB719" i="298"/>
  <c r="X719" i="298"/>
  <c r="AL36" i="298"/>
  <c r="AY106" i="1"/>
  <c r="F32" i="28"/>
  <c r="BD366" i="298"/>
  <c r="I549" i="298"/>
  <c r="Q25" i="28"/>
  <c r="AP542" i="298"/>
  <c r="AC720" i="298"/>
  <c r="W720" i="298"/>
  <c r="AU192" i="298"/>
  <c r="AH114" i="298"/>
  <c r="Q27" i="28"/>
  <c r="J39" i="298"/>
  <c r="AE36" i="298"/>
  <c r="J13" i="298"/>
  <c r="S317" i="298"/>
  <c r="AW332" i="298"/>
  <c r="AW334" i="298" s="1"/>
  <c r="AW338" i="298" s="1"/>
  <c r="BE446" i="298"/>
  <c r="J638" i="298"/>
  <c r="BA365" i="298"/>
  <c r="BI252" i="1"/>
  <c r="BK539" i="1"/>
  <c r="AA560" i="298"/>
  <c r="Y716" i="298"/>
  <c r="AZ871" i="1"/>
  <c r="AZ876" i="1" s="1"/>
  <c r="AZ877" i="1"/>
  <c r="BD877" i="1"/>
  <c r="AX871" i="1"/>
  <c r="AX876" i="1" s="1"/>
  <c r="AX877" i="1"/>
  <c r="BA871" i="1"/>
  <c r="BA876" i="1" s="1"/>
  <c r="BA877" i="1"/>
  <c r="Y543" i="1"/>
  <c r="AY871" i="1"/>
  <c r="AY876" i="1" s="1"/>
  <c r="AY877" i="1"/>
  <c r="BD878" i="1"/>
  <c r="Q776" i="1"/>
  <c r="AN633" i="298"/>
  <c r="AN638" i="298" s="1"/>
  <c r="AE541" i="298"/>
  <c r="BE541" i="298" s="1"/>
  <c r="AY519" i="298"/>
  <c r="AY21" i="298" s="1"/>
  <c r="AY44" i="298" s="1"/>
  <c r="I59" i="28"/>
  <c r="BC470" i="298"/>
  <c r="BC475" i="298"/>
  <c r="AP324" i="298"/>
  <c r="AA66" i="28"/>
  <c r="BD138" i="298"/>
  <c r="O137" i="298"/>
  <c r="S721" i="298"/>
  <c r="AP639" i="298"/>
  <c r="Z36" i="298"/>
  <c r="BB21" i="298"/>
  <c r="BB24" i="298" s="1"/>
  <c r="BE719" i="298"/>
  <c r="AB172" i="298"/>
  <c r="G32" i="28"/>
  <c r="Z65" i="28"/>
  <c r="BD719" i="298"/>
  <c r="L716" i="298"/>
  <c r="Y65" i="28"/>
  <c r="AU23" i="1"/>
  <c r="AU13" i="298"/>
  <c r="O720" i="298"/>
  <c r="BC471" i="298"/>
  <c r="S695" i="1"/>
  <c r="AY125" i="298"/>
  <c r="O96" i="28"/>
  <c r="AV133" i="298"/>
  <c r="AY133" i="298" s="1"/>
  <c r="S448" i="298"/>
  <c r="AR716" i="298"/>
  <c r="AR722" i="298" s="1"/>
  <c r="BC545" i="298"/>
  <c r="BC548" i="298" s="1"/>
  <c r="BC549" i="298" s="1"/>
  <c r="BC519" i="298"/>
  <c r="BC530" i="298" s="1"/>
  <c r="BC532" i="298" s="1"/>
  <c r="BC534" i="298" s="1"/>
  <c r="X176" i="298"/>
  <c r="AT549" i="298"/>
  <c r="X977" i="1"/>
  <c r="P229" i="1"/>
  <c r="P230" i="1" s="1"/>
  <c r="P240" i="1" s="1"/>
  <c r="R981" i="1"/>
  <c r="AT768" i="1"/>
  <c r="AK192" i="298"/>
  <c r="R716" i="298"/>
  <c r="BE352" i="298"/>
  <c r="W27" i="28"/>
  <c r="CB21" i="468"/>
  <c r="AR317" i="298"/>
  <c r="AR320" i="298"/>
  <c r="AJ57" i="359"/>
  <c r="AJ61" i="359" s="1"/>
  <c r="X13" i="298"/>
  <c r="D26" i="51"/>
  <c r="D34" i="51" s="1"/>
  <c r="X639" i="298"/>
  <c r="S352" i="298"/>
  <c r="AR316" i="298"/>
  <c r="S467" i="298"/>
  <c r="AB62" i="298"/>
  <c r="AB64" i="298" s="1"/>
  <c r="W63" i="28"/>
  <c r="BD365" i="298"/>
  <c r="AR310" i="298"/>
  <c r="X549" i="298"/>
  <c r="Y720" i="298"/>
  <c r="AE719" i="298"/>
  <c r="E12" i="276"/>
  <c r="F12" i="276" s="1"/>
  <c r="AS768" i="1"/>
  <c r="J32" i="28"/>
  <c r="AS19" i="298"/>
  <c r="K316" i="298"/>
  <c r="BC366" i="298"/>
  <c r="AR19" i="298"/>
  <c r="S319" i="298"/>
  <c r="AA716" i="298"/>
  <c r="P720" i="298"/>
  <c r="BA713" i="298"/>
  <c r="BA719" i="298" s="1"/>
  <c r="AC171" i="298"/>
  <c r="P358" i="298"/>
  <c r="R21" i="298"/>
  <c r="R44" i="298" s="1"/>
  <c r="X358" i="298"/>
  <c r="I638" i="298"/>
  <c r="AA176" i="298"/>
  <c r="O36" i="298"/>
  <c r="I65" i="28"/>
  <c r="W721" i="298"/>
  <c r="BK541" i="1"/>
  <c r="BH466" i="1"/>
  <c r="M13" i="298"/>
  <c r="AV639" i="298"/>
  <c r="I42" i="298"/>
  <c r="BA470" i="298"/>
  <c r="T719" i="298"/>
  <c r="P32" i="28"/>
  <c r="AL716" i="298"/>
  <c r="AL722" i="298" s="1"/>
  <c r="W549" i="298"/>
  <c r="L980" i="1"/>
  <c r="AC505" i="298"/>
  <c r="AC560" i="298" s="1"/>
  <c r="AC716" i="298"/>
  <c r="BE33" i="298"/>
  <c r="AO36" i="298"/>
  <c r="K315" i="298"/>
  <c r="K320" i="298"/>
  <c r="P716" i="298"/>
  <c r="BL588" i="1"/>
  <c r="AS44" i="298"/>
  <c r="AS60" i="298" s="1"/>
  <c r="BK533" i="1"/>
  <c r="W39" i="298"/>
  <c r="AQ532" i="298"/>
  <c r="AQ534" i="298" s="1"/>
  <c r="AQ551" i="298"/>
  <c r="AQ557" i="298" s="1"/>
  <c r="AQ560" i="298" s="1"/>
  <c r="AL192" i="298"/>
  <c r="S59" i="28"/>
  <c r="BC716" i="298"/>
  <c r="AZ476" i="298"/>
  <c r="AF638" i="298"/>
  <c r="J640" i="298"/>
  <c r="J40" i="298"/>
  <c r="Q59" i="28"/>
  <c r="CA19" i="468"/>
  <c r="P59" i="28"/>
  <c r="T36" i="28"/>
  <c r="T41" i="28" s="1"/>
  <c r="T46" i="28" s="1"/>
  <c r="AO542" i="298"/>
  <c r="AC44" i="1"/>
  <c r="X357" i="298"/>
  <c r="U25" i="28"/>
  <c r="O721" i="298"/>
  <c r="T63" i="28"/>
  <c r="N13" i="298"/>
  <c r="AF46" i="298"/>
  <c r="R172" i="298"/>
  <c r="Y172" i="298"/>
  <c r="AR639" i="298"/>
  <c r="M549" i="298"/>
  <c r="O372" i="298"/>
  <c r="P501" i="1"/>
  <c r="BK538" i="1"/>
  <c r="U172" i="298"/>
  <c r="Q32" i="28"/>
  <c r="BE698" i="298"/>
  <c r="AN716" i="298"/>
  <c r="AN722" i="298" s="1"/>
  <c r="M267" i="1"/>
  <c r="K369" i="298"/>
  <c r="O370" i="298" s="1"/>
  <c r="E17" i="276"/>
  <c r="G17" i="276" s="1"/>
  <c r="U549" i="298"/>
  <c r="V720" i="298"/>
  <c r="O18" i="298"/>
  <c r="S19" i="298" s="1"/>
  <c r="L36" i="298"/>
  <c r="AH46" i="1"/>
  <c r="BZ21" i="468"/>
  <c r="L721" i="298"/>
  <c r="AA545" i="298"/>
  <c r="AA548" i="298" s="1"/>
  <c r="AA549" i="298" s="1"/>
  <c r="AA510" i="298"/>
  <c r="BC12" i="298"/>
  <c r="BC39" i="298" s="1"/>
  <c r="BM12" i="1"/>
  <c r="H8" i="523" s="1"/>
  <c r="I40" i="298"/>
  <c r="AU640" i="298"/>
  <c r="AE172" i="298"/>
  <c r="AO639" i="298"/>
  <c r="CA105" i="468"/>
  <c r="O357" i="298"/>
  <c r="I24" i="28"/>
  <c r="I63" i="28" s="1"/>
  <c r="W530" i="298"/>
  <c r="W551" i="298" s="1"/>
  <c r="W557" i="298" s="1"/>
  <c r="AA719" i="298"/>
  <c r="AA137" i="298"/>
  <c r="S108" i="298"/>
  <c r="R181" i="298"/>
  <c r="R182" i="298" s="1"/>
  <c r="R192" i="298" s="1"/>
  <c r="R171" i="298"/>
  <c r="T59" i="28"/>
  <c r="W21" i="298"/>
  <c r="W24" i="298" s="1"/>
  <c r="AY466" i="298"/>
  <c r="AY476" i="298" s="1"/>
  <c r="AO187" i="298"/>
  <c r="BA476" i="298"/>
  <c r="BA468" i="298"/>
  <c r="BA131" i="298" s="1"/>
  <c r="AB13" i="298"/>
  <c r="AO44" i="298"/>
  <c r="AO46" i="298" s="1"/>
  <c r="BC136" i="298"/>
  <c r="AP341" i="298"/>
  <c r="AP342" i="298" s="1"/>
  <c r="BC448" i="298"/>
  <c r="I13" i="298"/>
  <c r="N357" i="298"/>
  <c r="W716" i="298"/>
  <c r="AZ639" i="298"/>
  <c r="AZ18" i="298"/>
  <c r="AZ640" i="298"/>
  <c r="V977" i="1"/>
  <c r="AF47" i="298"/>
  <c r="AM187" i="298"/>
  <c r="AB716" i="298"/>
  <c r="O39" i="298"/>
  <c r="BW21" i="468"/>
  <c r="BW56" i="468" s="1"/>
  <c r="AU181" i="298"/>
  <c r="AU191" i="298" s="1"/>
  <c r="AE55" i="298"/>
  <c r="AE57" i="298" s="1"/>
  <c r="AE48" i="298" s="1"/>
  <c r="AE177" i="298"/>
  <c r="AL22" i="298"/>
  <c r="H32" i="28"/>
  <c r="W42" i="298"/>
  <c r="AM172" i="298"/>
  <c r="U719" i="298"/>
  <c r="X18" i="298"/>
  <c r="X19" i="298" s="1"/>
  <c r="BD185" i="298"/>
  <c r="BA715" i="298"/>
  <c r="BB721" i="298" s="1"/>
  <c r="AF716" i="298"/>
  <c r="O40" i="298"/>
  <c r="AN187" i="298"/>
  <c r="Q716" i="298"/>
  <c r="O41" i="298"/>
  <c r="N720" i="298"/>
  <c r="AG224" i="1"/>
  <c r="U21" i="298"/>
  <c r="U44" i="298" s="1"/>
  <c r="Y719" i="298"/>
  <c r="AU639" i="298"/>
  <c r="BC108" i="298"/>
  <c r="T32" i="28"/>
  <c r="S364" i="298"/>
  <c r="AE298" i="298"/>
  <c r="AE315" i="298" s="1"/>
  <c r="BC698" i="298"/>
  <c r="AH981" i="1"/>
  <c r="AZ545" i="298"/>
  <c r="AZ548" i="298" s="1"/>
  <c r="AE137" i="298"/>
  <c r="BA446" i="298"/>
  <c r="AF639" i="298"/>
  <c r="H65" i="28"/>
  <c r="X342" i="1"/>
  <c r="X350" i="1" s="1"/>
  <c r="BD439" i="298"/>
  <c r="L39" i="298"/>
  <c r="U181" i="298"/>
  <c r="O13" i="298"/>
  <c r="AU41" i="298"/>
  <c r="AF40" i="298"/>
  <c r="AC172" i="298"/>
  <c r="O639" i="298"/>
  <c r="W181" i="298"/>
  <c r="AH990" i="1"/>
  <c r="AH999" i="1" s="1"/>
  <c r="BD364" i="298"/>
  <c r="AY445" i="298"/>
  <c r="AY448" i="298" s="1"/>
  <c r="BS19" i="468"/>
  <c r="BX21" i="468"/>
  <c r="AU40" i="298"/>
  <c r="R549" i="298"/>
  <c r="AN542" i="298"/>
  <c r="Q357" i="298"/>
  <c r="AF505" i="298"/>
  <c r="AF519" i="298" s="1"/>
  <c r="AF41" i="298"/>
  <c r="AZ366" i="298"/>
  <c r="P721" i="298"/>
  <c r="K66" i="28"/>
  <c r="BA519" i="298"/>
  <c r="BA21" i="298" s="1"/>
  <c r="BD698" i="298"/>
  <c r="R530" i="298"/>
  <c r="R551" i="298" s="1"/>
  <c r="R557" i="298" s="1"/>
  <c r="AW172" i="298"/>
  <c r="AZ172" i="298" s="1"/>
  <c r="L639" i="298"/>
  <c r="I716" i="298"/>
  <c r="I722" i="298" s="1"/>
  <c r="AU716" i="298"/>
  <c r="AE176" i="298"/>
  <c r="AZ125" i="298"/>
  <c r="I39" i="298"/>
  <c r="AN192" i="298"/>
  <c r="AT39" i="298"/>
  <c r="I41" i="298"/>
  <c r="AW126" i="298"/>
  <c r="AZ126" i="298" s="1"/>
  <c r="AZ714" i="298"/>
  <c r="AZ720" i="298" s="1"/>
  <c r="BA366" i="298"/>
  <c r="AY363" i="298"/>
  <c r="Y356" i="298"/>
  <c r="AC358" i="298" s="1"/>
  <c r="AF39" i="298"/>
  <c r="CA93" i="468"/>
  <c r="BY93" i="468"/>
  <c r="AB351" i="1"/>
  <c r="AB359" i="1" s="1"/>
  <c r="AU39" i="298"/>
  <c r="AN342" i="298"/>
  <c r="AQ335" i="298"/>
  <c r="AC41" i="298"/>
  <c r="N139" i="298"/>
  <c r="AB66" i="28"/>
  <c r="H639" i="298"/>
  <c r="AG356" i="1"/>
  <c r="U501" i="1"/>
  <c r="AB570" i="1"/>
  <c r="AF580" i="1" s="1"/>
  <c r="AU18" i="298"/>
  <c r="AU79" i="298" s="1"/>
  <c r="AQ79" i="298"/>
  <c r="T172" i="298"/>
  <c r="AK79" i="298"/>
  <c r="AA172" i="298"/>
  <c r="AF139" i="298"/>
  <c r="H39" i="292"/>
  <c r="H44" i="292" s="1"/>
  <c r="M721" i="298"/>
  <c r="BA352" i="298"/>
  <c r="M65" i="28"/>
  <c r="O702" i="1"/>
  <c r="K36" i="298"/>
  <c r="P39" i="298"/>
  <c r="AU633" i="298"/>
  <c r="AU638" i="298" s="1"/>
  <c r="U28" i="28"/>
  <c r="T720" i="298"/>
  <c r="W13" i="298"/>
  <c r="W18" i="298"/>
  <c r="W640" i="298"/>
  <c r="U492" i="1"/>
  <c r="BA153" i="298"/>
  <c r="N369" i="298"/>
  <c r="N370" i="298" s="1"/>
  <c r="AF543" i="1"/>
  <c r="J372" i="298"/>
  <c r="N371" i="298"/>
  <c r="AE721" i="298"/>
  <c r="AT640" i="298"/>
  <c r="Z42" i="298"/>
  <c r="X638" i="298"/>
  <c r="AT639" i="298"/>
  <c r="AZ638" i="298"/>
  <c r="W40" i="298"/>
  <c r="AD357" i="1"/>
  <c r="BE619" i="298"/>
  <c r="BE159" i="298"/>
  <c r="X39" i="298"/>
  <c r="M357" i="298"/>
  <c r="P757" i="1"/>
  <c r="P778" i="1" s="1"/>
  <c r="P785" i="1" s="1"/>
  <c r="P788" i="1" s="1"/>
  <c r="AC719" i="298"/>
  <c r="M720" i="298"/>
  <c r="AD721" i="298"/>
  <c r="AT94" i="298"/>
  <c r="AT42" i="298"/>
  <c r="BA160" i="298"/>
  <c r="X66" i="28"/>
  <c r="AF176" i="298"/>
  <c r="CB105" i="468"/>
  <c r="AB357" i="1"/>
  <c r="AF721" i="298"/>
  <c r="L41" i="298"/>
  <c r="Z501" i="1"/>
  <c r="AB492" i="1"/>
  <c r="BE126" i="298"/>
  <c r="AU330" i="298"/>
  <c r="S501" i="1"/>
  <c r="AB980" i="1"/>
  <c r="Z73" i="359"/>
  <c r="Z74" i="359" s="1"/>
  <c r="G39" i="292"/>
  <c r="AU530" i="298"/>
  <c r="AU551" i="298" s="1"/>
  <c r="AU557" i="298" s="1"/>
  <c r="AU560" i="298" s="1"/>
  <c r="AU524" i="298"/>
  <c r="D39" i="292"/>
  <c r="D41" i="292" s="1"/>
  <c r="AU21" i="298"/>
  <c r="AU24" i="298" s="1"/>
  <c r="V36" i="298"/>
  <c r="W638" i="298"/>
  <c r="U776" i="1"/>
  <c r="BG110" i="468"/>
  <c r="W639" i="298"/>
  <c r="BB413" i="298"/>
  <c r="BB356" i="298"/>
  <c r="AE219" i="1"/>
  <c r="AU324" i="298"/>
  <c r="BY21" i="468"/>
  <c r="J776" i="1"/>
  <c r="H549" i="298"/>
  <c r="L65" i="28"/>
  <c r="AC721" i="298"/>
  <c r="G36" i="51"/>
  <c r="O358" i="298"/>
  <c r="S719" i="298"/>
  <c r="S981" i="1"/>
  <c r="J1027" i="1"/>
  <c r="BA714" i="298"/>
  <c r="E21" i="298"/>
  <c r="E24" i="298" s="1"/>
  <c r="E524" i="298"/>
  <c r="E530" i="298"/>
  <c r="AB720" i="298"/>
  <c r="O701" i="1"/>
  <c r="T524" i="298"/>
  <c r="T530" i="298"/>
  <c r="T21" i="298"/>
  <c r="BC468" i="298"/>
  <c r="BC131" i="298" s="1"/>
  <c r="W364" i="298"/>
  <c r="S366" i="298"/>
  <c r="AQ187" i="298"/>
  <c r="AP187" i="298"/>
  <c r="BC353" i="298"/>
  <c r="BC129" i="298" s="1"/>
  <c r="AC992" i="1"/>
  <c r="BI465" i="1"/>
  <c r="BI195" i="1" s="1"/>
  <c r="X32" i="28"/>
  <c r="Z176" i="298"/>
  <c r="AP722" i="298"/>
  <c r="AQ172" i="298"/>
  <c r="I32" i="28"/>
  <c r="H59" i="28"/>
  <c r="AL541" i="298"/>
  <c r="AL542" i="298"/>
  <c r="BD33" i="298"/>
  <c r="S176" i="298"/>
  <c r="AA524" i="298"/>
  <c r="O21" i="298"/>
  <c r="O530" i="298"/>
  <c r="O181" i="298"/>
  <c r="O524" i="298"/>
  <c r="L66" i="28"/>
  <c r="X716" i="298"/>
  <c r="Z721" i="298"/>
  <c r="AZ701" i="1"/>
  <c r="BE125" i="298"/>
  <c r="AM56" i="359"/>
  <c r="AA21" i="298"/>
  <c r="X42" i="298"/>
  <c r="AB560" i="298"/>
  <c r="T220" i="1"/>
  <c r="BD475" i="298"/>
  <c r="BE97" i="298"/>
  <c r="BE94" i="298" s="1"/>
  <c r="BD704" i="298"/>
  <c r="Z716" i="298"/>
  <c r="AS551" i="298"/>
  <c r="AS557" i="298" s="1"/>
  <c r="AS532" i="298"/>
  <c r="AS534" i="298" s="1"/>
  <c r="CB19" i="468"/>
  <c r="O716" i="298"/>
  <c r="AW39" i="298"/>
  <c r="AZ39" i="298" s="1"/>
  <c r="Y171" i="298"/>
  <c r="AS187" i="298"/>
  <c r="V79" i="298"/>
  <c r="AP330" i="298"/>
  <c r="AO332" i="298"/>
  <c r="AO334" i="298" s="1"/>
  <c r="AP335" i="298" s="1"/>
  <c r="X172" i="298"/>
  <c r="BQ110" i="468"/>
  <c r="AL187" i="298"/>
  <c r="AW41" i="298"/>
  <c r="AZ41" i="298" s="1"/>
  <c r="S320" i="298"/>
  <c r="AQ338" i="298"/>
  <c r="AT633" i="298"/>
  <c r="AT638" i="298" s="1"/>
  <c r="AN56" i="359"/>
  <c r="I369" i="298"/>
  <c r="M371" i="298" s="1"/>
  <c r="I431" i="298"/>
  <c r="AC139" i="298"/>
  <c r="S315" i="298"/>
  <c r="Q582" i="1"/>
  <c r="Q583" i="1" s="1"/>
  <c r="M21" i="298"/>
  <c r="M44" i="298" s="1"/>
  <c r="M530" i="298"/>
  <c r="M524" i="298"/>
  <c r="BQ59" i="468"/>
  <c r="BQ60" i="468" s="1"/>
  <c r="AT710" i="298"/>
  <c r="AT716" i="298" s="1"/>
  <c r="AT167" i="298"/>
  <c r="R720" i="298"/>
  <c r="BE710" i="298"/>
  <c r="BE716" i="298" s="1"/>
  <c r="BE714" i="298"/>
  <c r="AP19" i="298"/>
  <c r="P40" i="298"/>
  <c r="AS192" i="298"/>
  <c r="R587" i="1"/>
  <c r="AZ448" i="298"/>
  <c r="AF172" i="298"/>
  <c r="I639" i="298"/>
  <c r="X21" i="298"/>
  <c r="X181" i="298"/>
  <c r="X530" i="298"/>
  <c r="X524" i="298"/>
  <c r="AK541" i="298"/>
  <c r="AK542" i="298"/>
  <c r="M719" i="298"/>
  <c r="BL337" i="1"/>
  <c r="S476" i="298"/>
  <c r="S474" i="298"/>
  <c r="AS633" i="298"/>
  <c r="AS638" i="298" s="1"/>
  <c r="AS639" i="298"/>
  <c r="T65" i="28"/>
  <c r="BC185" i="298"/>
  <c r="BY105" i="468"/>
  <c r="AK94" i="298"/>
  <c r="AR551" i="298"/>
  <c r="AR557" i="298" s="1"/>
  <c r="AR532" i="298"/>
  <c r="AR534" i="298" s="1"/>
  <c r="O640" i="298"/>
  <c r="S13" i="298"/>
  <c r="N13" i="1"/>
  <c r="G59" i="28"/>
  <c r="X640" i="298"/>
  <c r="X40" i="298"/>
  <c r="AR187" i="298"/>
  <c r="AR192" i="298"/>
  <c r="V587" i="1"/>
  <c r="AL633" i="298"/>
  <c r="AL638" i="298" s="1"/>
  <c r="AL639" i="298"/>
  <c r="AF720" i="298"/>
  <c r="BM349" i="1"/>
  <c r="BK589" i="1"/>
  <c r="L21" i="298"/>
  <c r="L530" i="298"/>
  <c r="L181" i="298"/>
  <c r="L524" i="298"/>
  <c r="AQ324" i="298"/>
  <c r="BE630" i="298"/>
  <c r="R356" i="1"/>
  <c r="AX768" i="1"/>
  <c r="W59" i="28"/>
  <c r="I21" i="298"/>
  <c r="I524" i="298"/>
  <c r="I530" i="298"/>
  <c r="L18" i="298"/>
  <c r="L79" i="298" s="1"/>
  <c r="L640" i="298"/>
  <c r="L40" i="298"/>
  <c r="U14" i="298"/>
  <c r="U177" i="298" s="1"/>
  <c r="U176" i="298"/>
  <c r="O66" i="28"/>
  <c r="AC66" i="28"/>
  <c r="H26" i="51"/>
  <c r="H28" i="51" s="1"/>
  <c r="AE66" i="28"/>
  <c r="AZ38" i="1"/>
  <c r="AT48" i="1"/>
  <c r="V21" i="298"/>
  <c r="V524" i="298"/>
  <c r="V181" i="298"/>
  <c r="V530" i="298"/>
  <c r="BJ343" i="1"/>
  <c r="BK351" i="1" s="1"/>
  <c r="R19" i="298"/>
  <c r="I18" i="298"/>
  <c r="I19" i="298" s="1"/>
  <c r="R357" i="298"/>
  <c r="T716" i="298"/>
  <c r="Z720" i="298"/>
  <c r="AQ633" i="298"/>
  <c r="AQ638" i="298" s="1"/>
  <c r="AQ639" i="298"/>
  <c r="Y96" i="28"/>
  <c r="E96" i="28"/>
  <c r="AG43" i="298"/>
  <c r="BN135" i="298"/>
  <c r="BO134" i="298"/>
  <c r="BC720" i="298"/>
  <c r="X36" i="28"/>
  <c r="X41" i="28" s="1"/>
  <c r="X80" i="28" s="1"/>
  <c r="X63" i="28"/>
  <c r="X27" i="28"/>
  <c r="X25" i="28"/>
  <c r="AQ722" i="298"/>
  <c r="AD639" i="298"/>
  <c r="L13" i="298"/>
  <c r="BB138" i="298"/>
  <c r="T191" i="298"/>
  <c r="N358" i="298"/>
  <c r="N716" i="298"/>
  <c r="C36" i="276"/>
  <c r="AU126" i="298"/>
  <c r="AU133" i="298"/>
  <c r="AW139" i="298"/>
  <c r="AV21" i="298"/>
  <c r="AV44" i="298" s="1"/>
  <c r="AV182" i="298"/>
  <c r="AV524" i="298"/>
  <c r="AV530" i="298"/>
  <c r="AB71" i="298"/>
  <c r="AB74" i="298"/>
  <c r="AF75" i="298" s="1"/>
  <c r="AS42" i="298"/>
  <c r="AS36" i="298"/>
  <c r="AT36" i="298"/>
  <c r="BU19" i="468"/>
  <c r="BC474" i="298"/>
  <c r="BC476" i="298"/>
  <c r="Q720" i="298"/>
  <c r="S439" i="298"/>
  <c r="BC440" i="298"/>
  <c r="BC130" i="298" s="1"/>
  <c r="AM19" i="298"/>
  <c r="E27" i="28"/>
  <c r="E36" i="28"/>
  <c r="E41" i="28" s="1"/>
  <c r="D85" i="28" s="1"/>
  <c r="E25" i="28"/>
  <c r="S313" i="298"/>
  <c r="S322" i="298"/>
  <c r="S321" i="298"/>
  <c r="BD167" i="298"/>
  <c r="BD159" i="298"/>
  <c r="L357" i="298"/>
  <c r="M358" i="298"/>
  <c r="R66" i="28"/>
  <c r="Q639" i="298"/>
  <c r="S38" i="1"/>
  <c r="Y46" i="1"/>
  <c r="AH980" i="1"/>
  <c r="AC83" i="298"/>
  <c r="AW14" i="298"/>
  <c r="AZ14" i="298" s="1"/>
  <c r="AZ133" i="298"/>
  <c r="AW344" i="298"/>
  <c r="AC46" i="298"/>
  <c r="S356" i="298"/>
  <c r="W412" i="298"/>
  <c r="S413" i="298"/>
  <c r="Z172" i="298"/>
  <c r="AD172" i="298"/>
  <c r="Z166" i="298"/>
  <c r="AL44" i="359"/>
  <c r="AL51" i="359"/>
  <c r="Q66" i="28"/>
  <c r="BE137" i="298"/>
  <c r="H372" i="298"/>
  <c r="W96" i="28"/>
  <c r="J36" i="298"/>
  <c r="J44" i="298"/>
  <c r="AC18" i="298"/>
  <c r="AC640" i="298"/>
  <c r="D21" i="298"/>
  <c r="D24" i="298" s="1"/>
  <c r="D524" i="298"/>
  <c r="D530" i="298"/>
  <c r="E33" i="28"/>
  <c r="E32" i="28"/>
  <c r="AI123" i="298"/>
  <c r="AH116" i="298"/>
  <c r="AH138" i="298"/>
  <c r="N65" i="28"/>
  <c r="N66" i="28"/>
  <c r="Z39" i="298"/>
  <c r="Z40" i="298"/>
  <c r="Z41" i="298"/>
  <c r="Z18" i="298"/>
  <c r="Z71" i="298" s="1"/>
  <c r="Z505" i="298"/>
  <c r="Z560" i="298" s="1"/>
  <c r="Z13" i="298"/>
  <c r="Z640" i="298"/>
  <c r="A35" i="468"/>
  <c r="A40" i="468" s="1"/>
  <c r="A30" i="468"/>
  <c r="AF719" i="298"/>
  <c r="S710" i="298"/>
  <c r="S716" i="298" s="1"/>
  <c r="P66" i="28"/>
  <c r="X720" i="298"/>
  <c r="AD638" i="298"/>
  <c r="N719" i="298"/>
  <c r="CC93" i="468"/>
  <c r="D7" i="51"/>
  <c r="E9" i="51" s="1"/>
  <c r="AR42" i="298"/>
  <c r="AR44" i="298"/>
  <c r="BE108" i="298"/>
  <c r="M66" i="28"/>
  <c r="AV181" i="298"/>
  <c r="AV191" i="298" s="1"/>
  <c r="AY191" i="298" s="1"/>
  <c r="AW639" i="298"/>
  <c r="AC40" i="298"/>
  <c r="S720" i="298"/>
  <c r="BF110" i="468"/>
  <c r="BA467" i="298"/>
  <c r="BB470" i="298"/>
  <c r="BB468" i="298"/>
  <c r="BB131" i="298" s="1"/>
  <c r="BB133" i="298" s="1"/>
  <c r="BB14" i="298" s="1"/>
  <c r="BB177" i="298" s="1"/>
  <c r="O65" i="28"/>
  <c r="AE65" i="28"/>
  <c r="I36" i="298"/>
  <c r="Q39" i="298"/>
  <c r="X171" i="298"/>
  <c r="AB358" i="298"/>
  <c r="P638" i="298"/>
  <c r="CC19" i="468"/>
  <c r="AC876" i="1"/>
  <c r="AA587" i="1"/>
  <c r="AC39" i="298"/>
  <c r="AO330" i="298"/>
  <c r="Z639" i="298"/>
  <c r="AW40" i="298"/>
  <c r="AZ40" i="298" s="1"/>
  <c r="Y176" i="298"/>
  <c r="G23" i="28"/>
  <c r="G24" i="28" s="1"/>
  <c r="BE133" i="298"/>
  <c r="BA710" i="298"/>
  <c r="N181" i="298"/>
  <c r="N524" i="298"/>
  <c r="N530" i="298"/>
  <c r="U32" i="28"/>
  <c r="U33" i="28"/>
  <c r="AW21" i="298"/>
  <c r="AW44" i="298" s="1"/>
  <c r="AW182" i="298"/>
  <c r="AW181" i="298"/>
  <c r="AW530" i="298"/>
  <c r="AW524" i="298"/>
  <c r="AQ19" i="298"/>
  <c r="U59" i="28"/>
  <c r="AC639" i="298"/>
  <c r="W65" i="28"/>
  <c r="AL56" i="359"/>
  <c r="AP60" i="359" s="1"/>
  <c r="AP142" i="359" s="1"/>
  <c r="W46" i="1"/>
  <c r="AC980" i="1"/>
  <c r="AG11" i="298"/>
  <c r="BO127" i="298"/>
  <c r="BN130" i="298"/>
  <c r="AG15" i="298" s="1"/>
  <c r="AW18" i="298"/>
  <c r="AW79" i="298" s="1"/>
  <c r="AZ79" i="298" s="1"/>
  <c r="AW710" i="298"/>
  <c r="AW716" i="298" s="1"/>
  <c r="AW640" i="298"/>
  <c r="AB139" i="298"/>
  <c r="X139" i="298"/>
  <c r="BV19" i="468"/>
  <c r="J721" i="298"/>
  <c r="N721" i="298"/>
  <c r="P719" i="298"/>
  <c r="J626" i="1"/>
  <c r="J632" i="1" s="1"/>
  <c r="BL343" i="1"/>
  <c r="BL351" i="1" s="1"/>
  <c r="AF501" i="1"/>
  <c r="BE230" i="1"/>
  <c r="BE240" i="1" s="1"/>
  <c r="AC492" i="1"/>
  <c r="AG500" i="1" s="1"/>
  <c r="BK466" i="1"/>
  <c r="P22" i="1"/>
  <c r="P518" i="1" s="1"/>
  <c r="P522" i="1" s="1"/>
  <c r="BH458" i="1"/>
  <c r="H43" i="1"/>
  <c r="H46" i="1"/>
  <c r="BE757" i="1"/>
  <c r="BE759" i="1" s="1"/>
  <c r="BE761" i="1" s="1"/>
  <c r="BE768" i="1" s="1"/>
  <c r="X501" i="1"/>
  <c r="BH263" i="1"/>
  <c r="R757" i="1"/>
  <c r="R778" i="1" s="1"/>
  <c r="R785" i="1" s="1"/>
  <c r="AA492" i="1"/>
  <c r="BI974" i="1"/>
  <c r="BJ980" i="1" s="1"/>
  <c r="BH252" i="1"/>
  <c r="T492" i="1"/>
  <c r="BL520" i="1"/>
  <c r="P356" i="1"/>
  <c r="AX715" i="1"/>
  <c r="H44" i="1"/>
  <c r="X44" i="1"/>
  <c r="H989" i="1"/>
  <c r="H998" i="1" s="1"/>
  <c r="H19" i="1"/>
  <c r="H106" i="1" s="1"/>
  <c r="BE751" i="1"/>
  <c r="AV712" i="1"/>
  <c r="AV714" i="1" s="1"/>
  <c r="AV718" i="1" s="1"/>
  <c r="AV722" i="1" s="1"/>
  <c r="V342" i="1"/>
  <c r="BK342" i="1" s="1"/>
  <c r="O982" i="1"/>
  <c r="H45" i="1"/>
  <c r="V980" i="1"/>
  <c r="J22" i="1"/>
  <c r="J48" i="1" s="1"/>
  <c r="J757" i="1"/>
  <c r="J751" i="1"/>
  <c r="BK170" i="1"/>
  <c r="U499" i="1"/>
  <c r="K697" i="1"/>
  <c r="AW106" i="1"/>
  <c r="AE61" i="359"/>
  <c r="AE62" i="359" s="1"/>
  <c r="AA61" i="359"/>
  <c r="AA62" i="359" s="1"/>
  <c r="T504" i="1"/>
  <c r="Q981" i="1"/>
  <c r="AD746" i="1"/>
  <c r="AD751" i="1" s="1"/>
  <c r="AX23" i="1"/>
  <c r="BE229" i="1"/>
  <c r="BE239" i="1" s="1"/>
  <c r="V337" i="1"/>
  <c r="R337" i="1" s="1"/>
  <c r="N337" i="1" s="1"/>
  <c r="R346" i="1" s="1"/>
  <c r="AA580" i="1"/>
  <c r="AW26" i="1"/>
  <c r="BE712" i="1"/>
  <c r="BE714" i="1" s="1"/>
  <c r="BE718" i="1" s="1"/>
  <c r="W501" i="1"/>
  <c r="K977" i="1"/>
  <c r="K983" i="1" s="1"/>
  <c r="W502" i="1"/>
  <c r="BH974" i="1"/>
  <c r="BH980" i="1" s="1"/>
  <c r="AA981" i="1"/>
  <c r="O626" i="1"/>
  <c r="O632" i="1" s="1"/>
  <c r="BI632" i="1"/>
  <c r="AG990" i="1"/>
  <c r="R982" i="1"/>
  <c r="AD219" i="1"/>
  <c r="AG877" i="1"/>
  <c r="AG45" i="1"/>
  <c r="Y359" i="1"/>
  <c r="AG732" i="1"/>
  <c r="AF356" i="1"/>
  <c r="AG499" i="1"/>
  <c r="Q587" i="1"/>
  <c r="I332" i="1"/>
  <c r="BJ590" i="1"/>
  <c r="V982" i="1"/>
  <c r="S587" i="1"/>
  <c r="BM586" i="1"/>
  <c r="U981" i="1"/>
  <c r="S631" i="1"/>
  <c r="P982" i="1"/>
  <c r="R220" i="1"/>
  <c r="AB338" i="1"/>
  <c r="X338" i="1" s="1"/>
  <c r="R219" i="1"/>
  <c r="AA461" i="1"/>
  <c r="O268" i="1"/>
  <c r="N982" i="1"/>
  <c r="Q214" i="1"/>
  <c r="U219" i="1" s="1"/>
  <c r="Z502" i="1"/>
  <c r="BL37" i="1"/>
  <c r="H13" i="1"/>
  <c r="U502" i="1"/>
  <c r="BJ261" i="1"/>
  <c r="AV106" i="1"/>
  <c r="Y980" i="1"/>
  <c r="W7" i="267"/>
  <c r="AW122" i="1"/>
  <c r="L13" i="1"/>
  <c r="U977" i="1"/>
  <c r="BE776" i="1"/>
  <c r="BK586" i="1"/>
  <c r="AH543" i="1"/>
  <c r="BJ263" i="1"/>
  <c r="AI980" i="1"/>
  <c r="AE256" i="1"/>
  <c r="AB495" i="1"/>
  <c r="H268" i="1"/>
  <c r="AG981" i="1"/>
  <c r="BK464" i="1"/>
  <c r="R38" i="1"/>
  <c r="BM458" i="1"/>
  <c r="BM461" i="1" s="1"/>
  <c r="N460" i="1"/>
  <c r="U626" i="1"/>
  <c r="Y632" i="1" s="1"/>
  <c r="AG980" i="1"/>
  <c r="M980" i="1"/>
  <c r="S982" i="1"/>
  <c r="S45" i="1"/>
  <c r="Q356" i="1"/>
  <c r="X492" i="1"/>
  <c r="X220" i="1"/>
  <c r="Z977" i="1"/>
  <c r="P776" i="1"/>
  <c r="Q980" i="1"/>
  <c r="AC994" i="1"/>
  <c r="AA19" i="1"/>
  <c r="AA80" i="1" s="1"/>
  <c r="AE43" i="1"/>
  <c r="Z877" i="1"/>
  <c r="AA44" i="1"/>
  <c r="BN252" i="1"/>
  <c r="AF224" i="1"/>
  <c r="Z982" i="1"/>
  <c r="R22" i="1"/>
  <c r="T499" i="1"/>
  <c r="AD982" i="1"/>
  <c r="BM172" i="1"/>
  <c r="AW768" i="1"/>
  <c r="AE359" i="1"/>
  <c r="AA980" i="1"/>
  <c r="AA982" i="1"/>
  <c r="AI646" i="1"/>
  <c r="AI634" i="1" s="1"/>
  <c r="O492" i="1"/>
  <c r="X357" i="1"/>
  <c r="K461" i="1"/>
  <c r="T981" i="1"/>
  <c r="X19" i="1"/>
  <c r="X106" i="1" s="1"/>
  <c r="BK590" i="1"/>
  <c r="Y492" i="1"/>
  <c r="BM125" i="1"/>
  <c r="BM122" i="1" s="1"/>
  <c r="H72" i="523" s="1"/>
  <c r="AT20" i="1"/>
  <c r="I19" i="1"/>
  <c r="I106" i="1" s="1"/>
  <c r="BH632" i="1"/>
  <c r="S356" i="1"/>
  <c r="BI38" i="1"/>
  <c r="AJ982" i="1"/>
  <c r="P43" i="1"/>
  <c r="Z19" i="1"/>
  <c r="Z20" i="1" s="1"/>
  <c r="E13" i="276"/>
  <c r="H13" i="276" s="1"/>
  <c r="Z732" i="1"/>
  <c r="Z746" i="1" s="1"/>
  <c r="Z229" i="1" s="1"/>
  <c r="Z230" i="1" s="1"/>
  <c r="Z240" i="1" s="1"/>
  <c r="AC52" i="1"/>
  <c r="X45" i="1"/>
  <c r="AY23" i="1"/>
  <c r="B34" i="313"/>
  <c r="AF220" i="1"/>
  <c r="AE19" i="1"/>
  <c r="AI20" i="1" s="1"/>
  <c r="AZ23" i="1"/>
  <c r="E65" i="51"/>
  <c r="Q22" i="1"/>
  <c r="Q26" i="1" s="1"/>
  <c r="R229" i="1"/>
  <c r="R230" i="1" s="1"/>
  <c r="V235" i="1" s="1"/>
  <c r="Y256" i="1"/>
  <c r="AC258" i="1" s="1"/>
  <c r="AS106" i="1"/>
  <c r="J977" i="1"/>
  <c r="J983" i="1" s="1"/>
  <c r="M981" i="1"/>
  <c r="Q492" i="1"/>
  <c r="I461" i="1"/>
  <c r="X876" i="1"/>
  <c r="BL493" i="1"/>
  <c r="U587" i="1"/>
  <c r="K759" i="1"/>
  <c r="K761" i="1" s="1"/>
  <c r="K769" i="1" s="1"/>
  <c r="AS26" i="1"/>
  <c r="BU155" i="1"/>
  <c r="T45" i="1"/>
  <c r="U356" i="1"/>
  <c r="X7" i="267"/>
  <c r="Q267" i="1"/>
  <c r="BL465" i="1"/>
  <c r="BL195" i="1" s="1"/>
  <c r="BI539" i="1"/>
  <c r="AG43" i="1"/>
  <c r="O776" i="1"/>
  <c r="AC982" i="1"/>
  <c r="AI977" i="1"/>
  <c r="AM983" i="1" s="1"/>
  <c r="BK458" i="1"/>
  <c r="AG501" i="1"/>
  <c r="AF461" i="1"/>
  <c r="BJ171" i="1"/>
  <c r="L632" i="1"/>
  <c r="BK976" i="1"/>
  <c r="BL982" i="1" s="1"/>
  <c r="BB709" i="1"/>
  <c r="BB721" i="1" s="1"/>
  <c r="AE543" i="1"/>
  <c r="P980" i="1"/>
  <c r="BN520" i="1"/>
  <c r="AE982" i="1"/>
  <c r="W980" i="1"/>
  <c r="Y982" i="1"/>
  <c r="BL136" i="1"/>
  <c r="Q757" i="1"/>
  <c r="Q778" i="1" s="1"/>
  <c r="Q785" i="1" s="1"/>
  <c r="BE543" i="1"/>
  <c r="BM494" i="1"/>
  <c r="BM511" i="1"/>
  <c r="AB220" i="1"/>
  <c r="AE876" i="1"/>
  <c r="S922" i="1"/>
  <c r="W631" i="1"/>
  <c r="S693" i="1"/>
  <c r="BM348" i="1"/>
  <c r="BL974" i="1"/>
  <c r="BM980" i="1" s="1"/>
  <c r="AZ699" i="1"/>
  <c r="O698" i="1"/>
  <c r="AA732" i="1"/>
  <c r="AA772" i="1" s="1"/>
  <c r="AA775" i="1" s="1"/>
  <c r="AA776" i="1" s="1"/>
  <c r="S44" i="1"/>
  <c r="O700" i="1"/>
  <c r="AF339" i="1"/>
  <c r="X43" i="1"/>
  <c r="BJ484" i="1"/>
  <c r="I17" i="51"/>
  <c r="BM508" i="1"/>
  <c r="BM543" i="1" s="1"/>
  <c r="K751" i="1"/>
  <c r="W356" i="1"/>
  <c r="M492" i="1"/>
  <c r="U570" i="1"/>
  <c r="Y580" i="1" s="1"/>
  <c r="X877" i="1"/>
  <c r="U982" i="1"/>
  <c r="BK576" i="1"/>
  <c r="X268" i="1"/>
  <c r="BB871" i="1"/>
  <c r="BB876" i="1" s="1"/>
  <c r="L981" i="1"/>
  <c r="BH265" i="1"/>
  <c r="BH268" i="1" s="1"/>
  <c r="AE877" i="1"/>
  <c r="BH533" i="1"/>
  <c r="BH543" i="1" s="1"/>
  <c r="BL589" i="1"/>
  <c r="Y502" i="1"/>
  <c r="AE350" i="1"/>
  <c r="BH273" i="1"/>
  <c r="Z629" i="1"/>
  <c r="P38" i="1"/>
  <c r="AE922" i="1"/>
  <c r="BM922" i="1" s="1"/>
  <c r="BN965" i="1"/>
  <c r="BN977" i="1" s="1"/>
  <c r="AB13" i="1"/>
  <c r="R629" i="1"/>
  <c r="U980" i="1"/>
  <c r="BN566" i="1"/>
  <c r="BN576" i="1" s="1"/>
  <c r="E42" i="276"/>
  <c r="H42" i="276" s="1"/>
  <c r="AA699" i="1"/>
  <c r="AM1015" i="1"/>
  <c r="BJ122" i="1"/>
  <c r="E72" i="523" s="1"/>
  <c r="N629" i="1"/>
  <c r="Q20" i="1"/>
  <c r="AE7" i="267"/>
  <c r="X9" i="313" s="1"/>
  <c r="E58" i="292"/>
  <c r="E59" i="292" s="1"/>
  <c r="V268" i="1"/>
  <c r="M257" i="1"/>
  <c r="O461" i="1"/>
  <c r="N7" i="267"/>
  <c r="N9" i="313" s="1"/>
  <c r="N34" i="313" s="1"/>
  <c r="BM136" i="1"/>
  <c r="BI271" i="1"/>
  <c r="O699" i="1"/>
  <c r="AI220" i="1"/>
  <c r="R876" i="1"/>
  <c r="N38" i="1"/>
  <c r="T776" i="1"/>
  <c r="O266" i="1"/>
  <c r="X980" i="1"/>
  <c r="AJ458" i="1"/>
  <c r="AJ461" i="1" s="1"/>
  <c r="AJ62" i="28"/>
  <c r="R357" i="1"/>
  <c r="M982" i="1"/>
  <c r="BH746" i="1"/>
  <c r="BH751" i="1" s="1"/>
  <c r="BM171" i="1"/>
  <c r="AH977" i="1"/>
  <c r="AL983" i="1" s="1"/>
  <c r="BC776" i="1"/>
  <c r="BJ229" i="1"/>
  <c r="BJ230" i="1" s="1"/>
  <c r="BJ240" i="1" s="1"/>
  <c r="AN62" i="28"/>
  <c r="BL170" i="1"/>
  <c r="S357" i="1"/>
  <c r="AM62" i="28"/>
  <c r="N276" i="1"/>
  <c r="J276" i="1"/>
  <c r="AL62" i="28"/>
  <c r="O257" i="1"/>
  <c r="AC502" i="1"/>
  <c r="Y981" i="1"/>
  <c r="AZ759" i="1"/>
  <c r="AZ761" i="1" s="1"/>
  <c r="AZ778" i="1"/>
  <c r="AZ785" i="1" s="1"/>
  <c r="AZ788" i="1" s="1"/>
  <c r="Q499" i="1"/>
  <c r="AE44" i="1"/>
  <c r="P502" i="1"/>
  <c r="D73" i="292"/>
  <c r="R44" i="1"/>
  <c r="AE220" i="1"/>
  <c r="E48" i="3"/>
  <c r="R504" i="1"/>
  <c r="AA171" i="1"/>
  <c r="R501" i="1"/>
  <c r="BK261" i="1"/>
  <c r="AH45" i="1"/>
  <c r="X878" i="1"/>
  <c r="BI112" i="1"/>
  <c r="R499" i="1"/>
  <c r="BK922" i="1"/>
  <c r="X46" i="1"/>
  <c r="P492" i="1"/>
  <c r="AH44" i="1"/>
  <c r="C73" i="292"/>
  <c r="BK262" i="1"/>
  <c r="BJ586" i="1"/>
  <c r="T501" i="1"/>
  <c r="AA626" i="1"/>
  <c r="J268" i="1"/>
  <c r="S136" i="1"/>
  <c r="S945" i="1" s="1"/>
  <c r="AA778" i="1"/>
  <c r="AA785" i="1" s="1"/>
  <c r="X981" i="1"/>
  <c r="BM233" i="1"/>
  <c r="AE732" i="1"/>
  <c r="P13" i="1"/>
  <c r="T45" i="468"/>
  <c r="BK136" i="1"/>
  <c r="AJ977" i="1"/>
  <c r="AK1015" i="1"/>
  <c r="U357" i="1"/>
  <c r="Y977" i="1"/>
  <c r="Y66" i="359"/>
  <c r="M977" i="1"/>
  <c r="AH994" i="1"/>
  <c r="AH1003" i="1" s="1"/>
  <c r="O695" i="1"/>
  <c r="AJ981" i="1"/>
  <c r="W977" i="1"/>
  <c r="BD776" i="1"/>
  <c r="BA699" i="1"/>
  <c r="M13" i="1"/>
  <c r="O696" i="1"/>
  <c r="AF982" i="1"/>
  <c r="G8" i="267"/>
  <c r="Q55" i="468"/>
  <c r="I18" i="51"/>
  <c r="AA73" i="359"/>
  <c r="AA74" i="359" s="1"/>
  <c r="AB58" i="468"/>
  <c r="AB36" i="468" s="1"/>
  <c r="C34" i="313"/>
  <c r="BU10" i="468"/>
  <c r="BU58" i="468" s="1"/>
  <c r="BA721" i="1"/>
  <c r="BA710" i="1"/>
  <c r="R46" i="1"/>
  <c r="AZ710" i="1"/>
  <c r="O267" i="1"/>
  <c r="V15" i="468"/>
  <c r="Z20" i="468" s="1"/>
  <c r="AB15" i="468"/>
  <c r="AB20" i="468" s="1"/>
  <c r="V492" i="1"/>
  <c r="AE502" i="1"/>
  <c r="AC224" i="1"/>
  <c r="AE980" i="1"/>
  <c r="V626" i="1"/>
  <c r="V632" i="1" s="1"/>
  <c r="AC981" i="1"/>
  <c r="T630" i="1"/>
  <c r="AF492" i="1"/>
  <c r="AJ500" i="1" s="1"/>
  <c r="P876" i="1"/>
  <c r="BK511" i="1"/>
  <c r="BK508" i="1"/>
  <c r="BL511" i="1"/>
  <c r="G20" i="230"/>
  <c r="P44" i="1"/>
  <c r="AA13" i="1"/>
  <c r="S43" i="1"/>
  <c r="AE678" i="1"/>
  <c r="AE693" i="1" s="1"/>
  <c r="BL576" i="1"/>
  <c r="Q977" i="1"/>
  <c r="BI494" i="1"/>
  <c r="I977" i="1"/>
  <c r="I983" i="1" s="1"/>
  <c r="AG13" i="1"/>
  <c r="AG878" i="1"/>
  <c r="AA52" i="1"/>
  <c r="AE13" i="1"/>
  <c r="BV25" i="468"/>
  <c r="BM273" i="1"/>
  <c r="BJ629" i="1"/>
  <c r="AG994" i="1"/>
  <c r="P46" i="1"/>
  <c r="BG746" i="1"/>
  <c r="BG22" i="1" s="1"/>
  <c r="U7" i="267"/>
  <c r="AA501" i="1"/>
  <c r="BD38" i="1"/>
  <c r="BG38" i="1" s="1"/>
  <c r="AG1027" i="1"/>
  <c r="AG991" i="1"/>
  <c r="E15" i="276"/>
  <c r="H15" i="276" s="1"/>
  <c r="BK494" i="1"/>
  <c r="BM576" i="1"/>
  <c r="BK746" i="1"/>
  <c r="BK751" i="1" s="1"/>
  <c r="W982" i="1"/>
  <c r="BL572" i="1"/>
  <c r="N266" i="1"/>
  <c r="M266" i="1"/>
  <c r="AF46" i="1"/>
  <c r="BM520" i="1"/>
  <c r="V499" i="1"/>
  <c r="BN572" i="1"/>
  <c r="R1027" i="1"/>
  <c r="R878" i="1"/>
  <c r="R877" i="1"/>
  <c r="AD80" i="1"/>
  <c r="R45" i="1"/>
  <c r="AF499" i="1"/>
  <c r="AD7" i="267"/>
  <c r="W9" i="313" s="1"/>
  <c r="AI173" i="1"/>
  <c r="BI273" i="1"/>
  <c r="V981" i="1"/>
  <c r="AD502" i="1"/>
  <c r="AJ340" i="1"/>
  <c r="AJ348" i="1" s="1"/>
  <c r="AJ356" i="1" s="1"/>
  <c r="AZ690" i="1"/>
  <c r="BK572" i="1"/>
  <c r="AI458" i="1"/>
  <c r="AI459" i="1" s="1"/>
  <c r="BA106" i="1"/>
  <c r="E44" i="276"/>
  <c r="F44" i="276" s="1"/>
  <c r="H38" i="1"/>
  <c r="T98" i="468"/>
  <c r="T101" i="468" s="1"/>
  <c r="T257" i="1"/>
  <c r="X356" i="1"/>
  <c r="T460" i="1"/>
  <c r="L229" i="1"/>
  <c r="L230" i="1" s="1"/>
  <c r="L240" i="1" s="1"/>
  <c r="Q257" i="1"/>
  <c r="L492" i="1"/>
  <c r="Z587" i="1"/>
  <c r="AG876" i="1"/>
  <c r="AE53" i="1"/>
  <c r="BK122" i="1"/>
  <c r="F72" i="523" s="1"/>
  <c r="T982" i="1"/>
  <c r="AE31" i="28"/>
  <c r="AE33" i="28" s="1"/>
  <c r="AC460" i="1"/>
  <c r="W22" i="1"/>
  <c r="W48" i="1" s="1"/>
  <c r="W941" i="1" s="1"/>
  <c r="AE52" i="1"/>
  <c r="T15" i="468"/>
  <c r="X20" i="468" s="1"/>
  <c r="AB981" i="1"/>
  <c r="AD356" i="1"/>
  <c r="AI13" i="1"/>
  <c r="S19" i="1"/>
  <c r="S106" i="1" s="1"/>
  <c r="U11" i="267"/>
  <c r="U12" i="267" s="1"/>
  <c r="BK626" i="1"/>
  <c r="BK632" i="1" s="1"/>
  <c r="O690" i="1"/>
  <c r="K22" i="1"/>
  <c r="K518" i="1" s="1"/>
  <c r="K522" i="1" s="1"/>
  <c r="W38" i="1"/>
  <c r="AD504" i="1"/>
  <c r="N582" i="1"/>
  <c r="N583" i="1" s="1"/>
  <c r="AE630" i="1"/>
  <c r="P499" i="1"/>
  <c r="AC993" i="1"/>
  <c r="AC991" i="1"/>
  <c r="AC877" i="1"/>
  <c r="AC878" i="1"/>
  <c r="AC1027" i="1"/>
  <c r="AC989" i="1"/>
  <c r="AC990" i="1"/>
  <c r="AC732" i="1"/>
  <c r="X38" i="1"/>
  <c r="BI971" i="1"/>
  <c r="S492" i="1"/>
  <c r="P504" i="1"/>
  <c r="R43" i="1"/>
  <c r="AB630" i="1"/>
  <c r="L751" i="1"/>
  <c r="T346" i="1"/>
  <c r="T354" i="1" s="1"/>
  <c r="BM159" i="1"/>
  <c r="T19" i="1"/>
  <c r="E50" i="51"/>
  <c r="BH122" i="1"/>
  <c r="C72" i="523" s="1"/>
  <c r="AY715" i="1"/>
  <c r="AE587" i="1"/>
  <c r="P45" i="1"/>
  <c r="AG357" i="1"/>
  <c r="AE267" i="1"/>
  <c r="BJ348" i="1"/>
  <c r="BH971" i="1"/>
  <c r="L22" i="1"/>
  <c r="L26" i="1" s="1"/>
  <c r="AE580" i="1"/>
  <c r="H7" i="267"/>
  <c r="H9" i="313" s="1"/>
  <c r="H34" i="313" s="1"/>
  <c r="BN511" i="1"/>
  <c r="AG44" i="1"/>
  <c r="S694" i="1"/>
  <c r="C58" i="292"/>
  <c r="C59" i="292" s="1"/>
  <c r="G10" i="313"/>
  <c r="BJ589" i="1"/>
  <c r="AE582" i="1"/>
  <c r="F58" i="292"/>
  <c r="F59" i="292" s="1"/>
  <c r="BJ543" i="1"/>
  <c r="E10" i="51"/>
  <c r="AG214" i="1"/>
  <c r="AG219" i="1" s="1"/>
  <c r="H22" i="1"/>
  <c r="H26" i="1" s="1"/>
  <c r="AD977" i="1"/>
  <c r="AI688" i="1"/>
  <c r="O459" i="1"/>
  <c r="AC977" i="1"/>
  <c r="V219" i="1"/>
  <c r="S502" i="1"/>
  <c r="H977" i="1"/>
  <c r="H983" i="1" s="1"/>
  <c r="BK971" i="1"/>
  <c r="BI975" i="1"/>
  <c r="BJ981" i="1" s="1"/>
  <c r="L342" i="1"/>
  <c r="P350" i="1" s="1"/>
  <c r="E33" i="51"/>
  <c r="W694" i="1"/>
  <c r="AJ746" i="1"/>
  <c r="AD995" i="1"/>
  <c r="N173" i="1"/>
  <c r="Y587" i="1"/>
  <c r="BM631" i="1"/>
  <c r="R19" i="1"/>
  <c r="R106" i="1" s="1"/>
  <c r="M630" i="1"/>
  <c r="AJ499" i="1"/>
  <c r="BK311" i="1"/>
  <c r="BK312" i="1" s="1"/>
  <c r="AG19" i="1"/>
  <c r="AG106" i="1" s="1"/>
  <c r="AB98" i="468"/>
  <c r="BL508" i="1"/>
  <c r="BD712" i="1"/>
  <c r="BD714" i="1" s="1"/>
  <c r="BD718" i="1" s="1"/>
  <c r="AG502" i="1"/>
  <c r="AG989" i="1"/>
  <c r="X982" i="1"/>
  <c r="AJ220" i="1"/>
  <c r="W587" i="1"/>
  <c r="Z138" i="359"/>
  <c r="BJ22" i="1"/>
  <c r="BJ26" i="1" s="1"/>
  <c r="BJ172" i="1"/>
  <c r="BJ233" i="1"/>
  <c r="Q229" i="1"/>
  <c r="BK974" i="1"/>
  <c r="BK980" i="1" s="1"/>
  <c r="AY48" i="1"/>
  <c r="AY941" i="1" s="1"/>
  <c r="BL208" i="1"/>
  <c r="AB995" i="1"/>
  <c r="BM589" i="1"/>
  <c r="AD980" i="1"/>
  <c r="AG992" i="1"/>
  <c r="Q357" i="1"/>
  <c r="AC45" i="1"/>
  <c r="AH48" i="1"/>
  <c r="BD721" i="1"/>
  <c r="BE710" i="1"/>
  <c r="U44" i="1"/>
  <c r="V351" i="1"/>
  <c r="AA357" i="1"/>
  <c r="E37" i="51"/>
  <c r="AD501" i="1"/>
  <c r="S776" i="1"/>
  <c r="BN337" i="1"/>
  <c r="Z504" i="1"/>
  <c r="BN980" i="1"/>
  <c r="AA258" i="1"/>
  <c r="AX709" i="1"/>
  <c r="AY710" i="1" s="1"/>
  <c r="AF52" i="1"/>
  <c r="AF53" i="1"/>
  <c r="U876" i="1"/>
  <c r="AF43" i="1"/>
  <c r="K982" i="1"/>
  <c r="Z45" i="1"/>
  <c r="Z13" i="1"/>
  <c r="Z338" i="1"/>
  <c r="AD347" i="1" s="1"/>
  <c r="AH355" i="1" s="1"/>
  <c r="AD339" i="1"/>
  <c r="BM311" i="1"/>
  <c r="BN313" i="1" s="1"/>
  <c r="AF992" i="1"/>
  <c r="AF1001" i="1" s="1"/>
  <c r="BN253" i="1"/>
  <c r="BN163" i="1" s="1"/>
  <c r="W159" i="1"/>
  <c r="AE173" i="1" s="1"/>
  <c r="V460" i="1"/>
  <c r="P7" i="267"/>
  <c r="T8" i="267" s="1"/>
  <c r="AB224" i="1"/>
  <c r="AV122" i="1"/>
  <c r="AZ696" i="1"/>
  <c r="U43" i="1"/>
  <c r="X587" i="1"/>
  <c r="AB629" i="1"/>
  <c r="V7" i="267"/>
  <c r="V8" i="267" s="1"/>
  <c r="AD38" i="1"/>
  <c r="AA43" i="1"/>
  <c r="AG173" i="1"/>
  <c r="V160" i="1"/>
  <c r="Z220" i="1"/>
  <c r="S701" i="1"/>
  <c r="W981" i="1"/>
  <c r="BA695" i="1"/>
  <c r="AH496" i="1"/>
  <c r="AH504" i="1" s="1"/>
  <c r="AH993" i="1"/>
  <c r="AH1002" i="1" s="1"/>
  <c r="AH989" i="1"/>
  <c r="AH998" i="1" s="1"/>
  <c r="AH992" i="1"/>
  <c r="AH1001" i="1" s="1"/>
  <c r="AH13" i="1"/>
  <c r="AH732" i="1"/>
  <c r="AH878" i="1"/>
  <c r="AH1027" i="1"/>
  <c r="AH991" i="1"/>
  <c r="AH1000" i="1" s="1"/>
  <c r="AH876" i="1"/>
  <c r="AH19" i="1"/>
  <c r="BM207" i="1"/>
  <c r="AB502" i="1"/>
  <c r="U13" i="1"/>
  <c r="AB699" i="1"/>
  <c r="E24" i="51"/>
  <c r="BM48" i="1"/>
  <c r="E14" i="276"/>
  <c r="H14" i="276" s="1"/>
  <c r="AF71" i="1"/>
  <c r="AF73" i="1" s="1"/>
  <c r="BA697" i="1"/>
  <c r="BD871" i="1"/>
  <c r="BD876" i="1" s="1"/>
  <c r="S11" i="267"/>
  <c r="S20" i="313" s="1"/>
  <c r="BM160" i="1"/>
  <c r="BJ632" i="1"/>
  <c r="BI629" i="1"/>
  <c r="AB778" i="1"/>
  <c r="AB785" i="1" s="1"/>
  <c r="AB788" i="1" s="1"/>
  <c r="AB759" i="1"/>
  <c r="AB761" i="1" s="1"/>
  <c r="N46" i="1"/>
  <c r="AJ38" i="1"/>
  <c r="BM215" i="1"/>
  <c r="BM214" i="1" s="1"/>
  <c r="BH488" i="1"/>
  <c r="BH164" i="1"/>
  <c r="BD220" i="1"/>
  <c r="BG220" i="1" s="1"/>
  <c r="M38" i="1"/>
  <c r="Z44" i="1"/>
  <c r="O171" i="1"/>
  <c r="V73" i="359"/>
  <c r="V74" i="359" s="1"/>
  <c r="S46" i="1"/>
  <c r="BN159" i="1"/>
  <c r="T587" i="1"/>
  <c r="U582" i="1"/>
  <c r="U583" i="1" s="1"/>
  <c r="Z582" i="1"/>
  <c r="Z583" i="1" s="1"/>
  <c r="BM588" i="1"/>
  <c r="BN981" i="1"/>
  <c r="E29" i="51"/>
  <c r="BN12" i="1"/>
  <c r="I8" i="523" s="1"/>
  <c r="BE48" i="1"/>
  <c r="X219" i="1"/>
  <c r="O342" i="1"/>
  <c r="O350" i="1" s="1"/>
  <c r="R342" i="1"/>
  <c r="D626" i="1"/>
  <c r="H632" i="1" s="1"/>
  <c r="AZ712" i="1"/>
  <c r="Z570" i="1"/>
  <c r="BL215" i="1"/>
  <c r="BI349" i="1"/>
  <c r="BJ871" i="1"/>
  <c r="BL159" i="1"/>
  <c r="BL160" i="1" s="1"/>
  <c r="AG15" i="468"/>
  <c r="O646" i="1"/>
  <c r="U19" i="1"/>
  <c r="U106" i="1" s="1"/>
  <c r="BK233" i="1"/>
  <c r="AI626" i="1"/>
  <c r="AM632" i="1" s="1"/>
  <c r="U98" i="468"/>
  <c r="U101" i="468" s="1"/>
  <c r="AE501" i="1"/>
  <c r="BA694" i="1"/>
  <c r="AZ693" i="1"/>
  <c r="BN160" i="1"/>
  <c r="T980" i="1"/>
  <c r="BI466" i="1"/>
  <c r="BB690" i="1"/>
  <c r="S215" i="1"/>
  <c r="S220" i="1" s="1"/>
  <c r="AH340" i="1"/>
  <c r="AH348" i="1" s="1"/>
  <c r="AH356" i="1" s="1"/>
  <c r="BL271" i="1"/>
  <c r="AC45" i="468"/>
  <c r="AC51" i="468" s="1"/>
  <c r="V495" i="1"/>
  <c r="AY704" i="1"/>
  <c r="S696" i="1"/>
  <c r="BA769" i="1"/>
  <c r="Z43" i="1"/>
  <c r="BQ485" i="1"/>
  <c r="BQ481" i="1" s="1"/>
  <c r="AC78" i="1"/>
  <c r="AC86" i="1" s="1"/>
  <c r="AC90" i="1" s="1"/>
  <c r="AW20" i="1"/>
  <c r="AE492" i="1"/>
  <c r="BA712" i="1"/>
  <c r="AZ702" i="1"/>
  <c r="BC712" i="1"/>
  <c r="AS122" i="1"/>
  <c r="AX48" i="1"/>
  <c r="AX941" i="1" s="1"/>
  <c r="BM37" i="1"/>
  <c r="AA45" i="1"/>
  <c r="AZ48" i="1"/>
  <c r="AZ941" i="1" s="1"/>
  <c r="J64" i="51"/>
  <c r="U15" i="468"/>
  <c r="Y20" i="468" s="1"/>
  <c r="BH321" i="1"/>
  <c r="BH322" i="1" s="1"/>
  <c r="AC15" i="468"/>
  <c r="AC20" i="468" s="1"/>
  <c r="AJ626" i="1"/>
  <c r="AH626" i="1"/>
  <c r="Y501" i="1"/>
  <c r="BA693" i="1"/>
  <c r="AA582" i="1"/>
  <c r="AZ698" i="1"/>
  <c r="AF994" i="1"/>
  <c r="AF1003" i="1" s="1"/>
  <c r="AD173" i="1"/>
  <c r="AC757" i="1"/>
  <c r="AC778" i="1" s="1"/>
  <c r="AC785" i="1" s="1"/>
  <c r="E72" i="51"/>
  <c r="I626" i="1"/>
  <c r="I632" i="1" s="1"/>
  <c r="AC69" i="1"/>
  <c r="AC70" i="1" s="1"/>
  <c r="AC113" i="1" s="1"/>
  <c r="S208" i="1"/>
  <c r="AK98" i="468"/>
  <c r="AK101" i="468" s="1"/>
  <c r="BM252" i="1"/>
  <c r="BK349" i="1"/>
  <c r="AC58" i="468"/>
  <c r="AC35" i="468" s="1"/>
  <c r="AD40" i="468" s="1"/>
  <c r="R13" i="1"/>
  <c r="BA696" i="1"/>
  <c r="AZ694" i="1"/>
  <c r="BC167" i="1"/>
  <c r="BC160" i="1"/>
  <c r="AI45" i="468"/>
  <c r="AI50" i="468" s="1"/>
  <c r="P587" i="1"/>
  <c r="AZ695" i="1"/>
  <c r="AC98" i="468"/>
  <c r="AC109" i="468" s="1"/>
  <c r="BE38" i="1"/>
  <c r="AK45" i="468"/>
  <c r="BI215" i="1"/>
  <c r="BJ220" i="1" s="1"/>
  <c r="U350" i="1"/>
  <c r="AL45" i="468"/>
  <c r="AL61" i="468" s="1"/>
  <c r="BL491" i="1"/>
  <c r="Z980" i="1"/>
  <c r="AF173" i="1"/>
  <c r="BA701" i="1"/>
  <c r="AZ697" i="1"/>
  <c r="AX122" i="1"/>
  <c r="Z1027" i="1"/>
  <c r="Z878" i="1"/>
  <c r="AO49" i="468"/>
  <c r="U45" i="468"/>
  <c r="AU106" i="1"/>
  <c r="L460" i="1"/>
  <c r="BC214" i="1"/>
  <c r="BC219" i="1" s="1"/>
  <c r="AK58" i="468"/>
  <c r="AK35" i="468" s="1"/>
  <c r="AL40" i="468" s="1"/>
  <c r="BI159" i="1"/>
  <c r="BI160" i="1" s="1"/>
  <c r="Z499" i="1"/>
  <c r="K695" i="1"/>
  <c r="BA778" i="1"/>
  <c r="BA785" i="1" s="1"/>
  <c r="BA788" i="1" s="1"/>
  <c r="AD587" i="1"/>
  <c r="BK975" i="1"/>
  <c r="BK981" i="1" s="1"/>
  <c r="AB501" i="1"/>
  <c r="BA702" i="1"/>
  <c r="T876" i="1"/>
  <c r="S257" i="1"/>
  <c r="AH43" i="1"/>
  <c r="R977" i="1"/>
  <c r="E82" i="51"/>
  <c r="AD220" i="1"/>
  <c r="BI207" i="1"/>
  <c r="BL494" i="1"/>
  <c r="AA695" i="1"/>
  <c r="M631" i="1"/>
  <c r="AF991" i="1"/>
  <c r="AF1000" i="1" s="1"/>
  <c r="AA768" i="1"/>
  <c r="L982" i="1"/>
  <c r="Y267" i="1"/>
  <c r="BA698" i="1"/>
  <c r="AJ52" i="359"/>
  <c r="AJ53" i="359" s="1"/>
  <c r="BH959" i="1"/>
  <c r="Z61" i="359"/>
  <c r="Z62" i="359" s="1"/>
  <c r="S207" i="1"/>
  <c r="W626" i="1"/>
  <c r="AB173" i="1"/>
  <c r="N495" i="1"/>
  <c r="R459" i="1"/>
  <c r="AD13" i="1"/>
  <c r="AO15" i="468"/>
  <c r="AO20" i="468" s="1"/>
  <c r="AZ46" i="1"/>
  <c r="I631" i="1"/>
  <c r="AB982" i="1"/>
  <c r="D995" i="1"/>
  <c r="D1004" i="1" s="1"/>
  <c r="BA690" i="1"/>
  <c r="F7" i="267"/>
  <c r="P1027" i="1"/>
  <c r="P878" i="1"/>
  <c r="P19" i="1"/>
  <c r="P106" i="1" s="1"/>
  <c r="AE49" i="468"/>
  <c r="AE51" i="468"/>
  <c r="AE61" i="468"/>
  <c r="AM61" i="468"/>
  <c r="AM49" i="468"/>
  <c r="AM51" i="468"/>
  <c r="AE981" i="1"/>
  <c r="AI981" i="1"/>
  <c r="V502" i="1"/>
  <c r="Q629" i="1"/>
  <c r="Q626" i="1"/>
  <c r="U629" i="1"/>
  <c r="O172" i="1"/>
  <c r="AA172" i="1"/>
  <c r="AF98" i="468"/>
  <c r="AF101" i="468" s="1"/>
  <c r="BV10" i="468"/>
  <c r="BW25" i="468"/>
  <c r="AG45" i="468"/>
  <c r="AG49" i="468" s="1"/>
  <c r="AF58" i="468"/>
  <c r="AF35" i="468" s="1"/>
  <c r="AF15" i="468"/>
  <c r="AJ20" i="468" s="1"/>
  <c r="Q631" i="1"/>
  <c r="U631" i="1"/>
  <c r="O980" i="1"/>
  <c r="S980" i="1"/>
  <c r="BE167" i="1"/>
  <c r="BE173" i="1"/>
  <c r="BE160" i="1"/>
  <c r="N977" i="1"/>
  <c r="BA46" i="1"/>
  <c r="BA38" i="1"/>
  <c r="BA48" i="1"/>
  <c r="BB38" i="1"/>
  <c r="M24" i="230"/>
  <c r="M23" i="230"/>
  <c r="AF45" i="468"/>
  <c r="AF51" i="468" s="1"/>
  <c r="S541" i="1"/>
  <c r="S511" i="1"/>
  <c r="S572" i="1"/>
  <c r="BJ572" i="1" s="1"/>
  <c r="W511" i="1"/>
  <c r="AC268" i="1"/>
  <c r="AC266" i="1"/>
  <c r="E19" i="1"/>
  <c r="E106" i="1" s="1"/>
  <c r="E1027" i="1"/>
  <c r="E45" i="1"/>
  <c r="E989" i="1"/>
  <c r="E998" i="1" s="1"/>
  <c r="E992" i="1"/>
  <c r="E43" i="1"/>
  <c r="AF460" i="1"/>
  <c r="AB461" i="1"/>
  <c r="BL265" i="1"/>
  <c r="BL268" i="1" s="1"/>
  <c r="V267" i="1"/>
  <c r="R266" i="1"/>
  <c r="R268" i="1"/>
  <c r="BD45" i="1"/>
  <c r="AH267" i="1"/>
  <c r="AD268" i="1"/>
  <c r="AD266" i="1"/>
  <c r="Q266" i="1"/>
  <c r="U266" i="1"/>
  <c r="K702" i="1"/>
  <c r="K694" i="1"/>
  <c r="BS99" i="468"/>
  <c r="AH265" i="1"/>
  <c r="AL267" i="1" s="1"/>
  <c r="AH263" i="1"/>
  <c r="T461" i="1"/>
  <c r="T459" i="1"/>
  <c r="O981" i="1"/>
  <c r="AI57" i="359"/>
  <c r="AI73" i="359" s="1"/>
  <c r="AI74" i="359" s="1"/>
  <c r="AG267" i="1"/>
  <c r="BK172" i="1"/>
  <c r="BM265" i="1"/>
  <c r="BM268" i="1" s="1"/>
  <c r="K696" i="1"/>
  <c r="X495" i="1"/>
  <c r="Y460" i="1"/>
  <c r="Y459" i="1"/>
  <c r="U459" i="1"/>
  <c r="U461" i="1"/>
  <c r="AA356" i="1"/>
  <c r="V459" i="1"/>
  <c r="V461" i="1"/>
  <c r="AA977" i="1"/>
  <c r="D62" i="51"/>
  <c r="E56" i="51"/>
  <c r="BD22" i="1"/>
  <c r="BD230" i="1"/>
  <c r="BD751" i="1"/>
  <c r="BD757" i="1"/>
  <c r="BD229" i="1"/>
  <c r="BD239" i="1" s="1"/>
  <c r="AA170" i="1"/>
  <c r="V501" i="1"/>
  <c r="X22" i="1"/>
  <c r="X757" i="1"/>
  <c r="X751" i="1"/>
  <c r="BD167" i="1"/>
  <c r="BD160" i="1"/>
  <c r="BG160" i="1" s="1"/>
  <c r="T22" i="1"/>
  <c r="T757" i="1"/>
  <c r="T229" i="1"/>
  <c r="T751" i="1"/>
  <c r="Z268" i="1"/>
  <c r="Z266" i="1"/>
  <c r="L495" i="1"/>
  <c r="M48" i="1"/>
  <c r="W350" i="1"/>
  <c r="S626" i="1"/>
  <c r="R632" i="1"/>
  <c r="BB22" i="1"/>
  <c r="BB229" i="1"/>
  <c r="BB239" i="1" s="1"/>
  <c r="BB751" i="1"/>
  <c r="BB230" i="1"/>
  <c r="BB240" i="1" s="1"/>
  <c r="BB757" i="1"/>
  <c r="AH502" i="1"/>
  <c r="AI263" i="1"/>
  <c r="AI265" i="1"/>
  <c r="AM267" i="1" s="1"/>
  <c r="X229" i="1"/>
  <c r="J7" i="267"/>
  <c r="T13" i="1"/>
  <c r="X13" i="1"/>
  <c r="T43" i="1"/>
  <c r="T878" i="1"/>
  <c r="T1027" i="1"/>
  <c r="T44" i="1"/>
  <c r="O7" i="267"/>
  <c r="Y732" i="1"/>
  <c r="Y19" i="1"/>
  <c r="Y13" i="1"/>
  <c r="Y43" i="1"/>
  <c r="Y878" i="1"/>
  <c r="Y44" i="1"/>
  <c r="Y1027" i="1"/>
  <c r="BI508" i="1"/>
  <c r="BI543" i="1" s="1"/>
  <c r="BI511" i="1"/>
  <c r="V45" i="468"/>
  <c r="AD487" i="1"/>
  <c r="AD495" i="1" s="1"/>
  <c r="T502" i="1"/>
  <c r="N757" i="1"/>
  <c r="N751" i="1"/>
  <c r="AE266" i="1"/>
  <c r="AE268" i="1"/>
  <c r="S458" i="1"/>
  <c r="W460" i="1" s="1"/>
  <c r="W464" i="1"/>
  <c r="S464" i="1"/>
  <c r="P220" i="1"/>
  <c r="V266" i="1"/>
  <c r="AP10" i="468"/>
  <c r="AT15" i="468" s="1"/>
  <c r="AH491" i="1"/>
  <c r="AH499" i="1" s="1"/>
  <c r="BH975" i="1"/>
  <c r="E991" i="1"/>
  <c r="AB61" i="468"/>
  <c r="AI20" i="468"/>
  <c r="BN215" i="1"/>
  <c r="S191" i="1"/>
  <c r="BG868" i="1"/>
  <c r="AI502" i="1"/>
  <c r="N981" i="1"/>
  <c r="BN630" i="1"/>
  <c r="T268" i="1"/>
  <c r="X266" i="1"/>
  <c r="Y45" i="1"/>
  <c r="W268" i="1"/>
  <c r="AA266" i="1"/>
  <c r="BL458" i="1"/>
  <c r="BL461" i="1" s="1"/>
  <c r="S271" i="1"/>
  <c r="BK272" i="1"/>
  <c r="BK194" i="1" s="1"/>
  <c r="W271" i="1"/>
  <c r="N980" i="1"/>
  <c r="R980" i="1"/>
  <c r="AC501" i="1"/>
  <c r="BL590" i="1"/>
  <c r="AG265" i="1"/>
  <c r="AK267" i="1" s="1"/>
  <c r="AG263" i="1"/>
  <c r="BE871" i="1"/>
  <c r="BE876" i="1" s="1"/>
  <c r="AF357" i="1"/>
  <c r="AJ357" i="1"/>
  <c r="S22" i="1"/>
  <c r="S757" i="1"/>
  <c r="S229" i="1"/>
  <c r="S230" i="1" s="1"/>
  <c r="S751" i="1"/>
  <c r="AE499" i="1"/>
  <c r="R502" i="1"/>
  <c r="X496" i="1"/>
  <c r="X504" i="1" s="1"/>
  <c r="K699" i="1"/>
  <c r="J631" i="1"/>
  <c r="K629" i="1"/>
  <c r="AH982" i="1"/>
  <c r="D48" i="3"/>
  <c r="BG112" i="1"/>
  <c r="S1027" i="1"/>
  <c r="S878" i="1"/>
  <c r="M626" i="1"/>
  <c r="AI630" i="1"/>
  <c r="N22" i="1"/>
  <c r="N26" i="1" s="1"/>
  <c r="X626" i="1"/>
  <c r="X632" i="1" s="1"/>
  <c r="Y346" i="1"/>
  <c r="BL12" i="1"/>
  <c r="G8" i="523" s="1"/>
  <c r="G29" i="523" s="1"/>
  <c r="AA877" i="1"/>
  <c r="AA878" i="1"/>
  <c r="AA1027" i="1"/>
  <c r="BL538" i="1"/>
  <c r="BM539" i="1"/>
  <c r="BL541" i="1"/>
  <c r="BL533" i="1"/>
  <c r="BJ458" i="1"/>
  <c r="BN569" i="1"/>
  <c r="BN579" i="1" s="1"/>
  <c r="BN590" i="1" s="1"/>
  <c r="AB496" i="1"/>
  <c r="Y876" i="1"/>
  <c r="AH38" i="1"/>
  <c r="BL171" i="1"/>
  <c r="BJ256" i="1"/>
  <c r="BJ257" i="1" s="1"/>
  <c r="BI461" i="1"/>
  <c r="BL857" i="1"/>
  <c r="Y73" i="359"/>
  <c r="Y74" i="359" s="1"/>
  <c r="AW48" i="1"/>
  <c r="AW941" i="1" s="1"/>
  <c r="AW46" i="1"/>
  <c r="AY759" i="1"/>
  <c r="AY761" i="1" s="1"/>
  <c r="AY778" i="1"/>
  <c r="AY785" i="1" s="1"/>
  <c r="AY788" i="1" s="1"/>
  <c r="Q461" i="1"/>
  <c r="Q459" i="1"/>
  <c r="O694" i="1"/>
  <c r="O693" i="1"/>
  <c r="AA502" i="1"/>
  <c r="I22" i="1"/>
  <c r="I751" i="1"/>
  <c r="I757" i="1"/>
  <c r="BJ493" i="1"/>
  <c r="AJ496" i="1"/>
  <c r="D36" i="3"/>
  <c r="D57" i="3" s="1"/>
  <c r="AD460" i="1"/>
  <c r="Z461" i="1"/>
  <c r="Z459" i="1"/>
  <c r="O582" i="1"/>
  <c r="O583" i="1" s="1"/>
  <c r="O570" i="1"/>
  <c r="O580" i="1" s="1"/>
  <c r="Q220" i="1"/>
  <c r="BK493" i="1"/>
  <c r="BN136" i="1"/>
  <c r="BN568" i="1"/>
  <c r="BN578" i="1" s="1"/>
  <c r="BN589" i="1" s="1"/>
  <c r="I13" i="1"/>
  <c r="I43" i="1"/>
  <c r="I1027" i="1"/>
  <c r="K125" i="1"/>
  <c r="K122" i="1" s="1"/>
  <c r="K868" i="1"/>
  <c r="AE138" i="359"/>
  <c r="BN36" i="1"/>
  <c r="AV23" i="1"/>
  <c r="AD49" i="1"/>
  <c r="AD57" i="1" s="1"/>
  <c r="AJ40" i="359"/>
  <c r="AJ41" i="359" s="1"/>
  <c r="BK171" i="1"/>
  <c r="S351" i="1"/>
  <c r="S359" i="1" s="1"/>
  <c r="M342" i="1"/>
  <c r="M350" i="1" s="1"/>
  <c r="X502" i="1"/>
  <c r="O332" i="1"/>
  <c r="K385" i="1" s="1"/>
  <c r="AJ1015" i="1"/>
  <c r="AJ994" i="1" s="1"/>
  <c r="BJ494" i="1"/>
  <c r="G73" i="292"/>
  <c r="BL112" i="1"/>
  <c r="AE356" i="1"/>
  <c r="AF759" i="1"/>
  <c r="AF761" i="1" s="1"/>
  <c r="AF778" i="1"/>
  <c r="I570" i="1"/>
  <c r="M580" i="1" s="1"/>
  <c r="Q591" i="1" s="1"/>
  <c r="M582" i="1"/>
  <c r="M583" i="1" s="1"/>
  <c r="U22" i="1"/>
  <c r="U229" i="1"/>
  <c r="U230" i="1" s="1"/>
  <c r="U240" i="1" s="1"/>
  <c r="U757" i="1"/>
  <c r="U751" i="1"/>
  <c r="T977" i="1"/>
  <c r="D7" i="267"/>
  <c r="N1027" i="1"/>
  <c r="N44" i="1"/>
  <c r="N45" i="1"/>
  <c r="N43" i="1"/>
  <c r="N19" i="1"/>
  <c r="BQ486" i="1"/>
  <c r="BH12" i="1"/>
  <c r="C8" i="523" s="1"/>
  <c r="BH772" i="1"/>
  <c r="BH775" i="1" s="1"/>
  <c r="BJ588" i="1"/>
  <c r="BK588" i="1"/>
  <c r="P495" i="1"/>
  <c r="S876" i="1"/>
  <c r="AV769" i="1"/>
  <c r="AV768" i="1"/>
  <c r="BM493" i="1"/>
  <c r="AC587" i="1"/>
  <c r="W351" i="1"/>
  <c r="AA359" i="1" s="1"/>
  <c r="AC357" i="1"/>
  <c r="Y357" i="1"/>
  <c r="AJ45" i="359"/>
  <c r="BK220" i="1"/>
  <c r="N229" i="1"/>
  <c r="E45" i="292"/>
  <c r="Z52" i="1"/>
  <c r="E44" i="1"/>
  <c r="W229" i="1"/>
  <c r="W230" i="1" s="1"/>
  <c r="X258" i="1"/>
  <c r="BI541" i="1"/>
  <c r="BH331" i="1"/>
  <c r="BH276" i="1" s="1"/>
  <c r="BH279" i="1" s="1"/>
  <c r="S877" i="1"/>
  <c r="BN273" i="1"/>
  <c r="BN271" i="1"/>
  <c r="L266" i="1"/>
  <c r="L268" i="1"/>
  <c r="AI338" i="1"/>
  <c r="AM338" i="1" s="1"/>
  <c r="AA338" i="1"/>
  <c r="P629" i="1"/>
  <c r="P626" i="1"/>
  <c r="P632" i="1" s="1"/>
  <c r="T629" i="1"/>
  <c r="K7" i="267"/>
  <c r="U45" i="1"/>
  <c r="U1027" i="1"/>
  <c r="U878" i="1"/>
  <c r="X346" i="1"/>
  <c r="E993" i="1"/>
  <c r="S466" i="1"/>
  <c r="S488" i="1"/>
  <c r="BJ488" i="1" s="1"/>
  <c r="AO36" i="468"/>
  <c r="AO34" i="468"/>
  <c r="AB631" i="1"/>
  <c r="BM263" i="1"/>
  <c r="AW23" i="1"/>
  <c r="E47" i="276"/>
  <c r="F47" i="276" s="1"/>
  <c r="T258" i="1"/>
  <c r="T359" i="1"/>
  <c r="BM976" i="1"/>
  <c r="BM982" i="1" s="1"/>
  <c r="BB776" i="1"/>
  <c r="AI460" i="1"/>
  <c r="AE459" i="1"/>
  <c r="BK868" i="1"/>
  <c r="AE357" i="1"/>
  <c r="AI357" i="1"/>
  <c r="BK263" i="1"/>
  <c r="BL262" i="1"/>
  <c r="AG582" i="1"/>
  <c r="BM572" i="1"/>
  <c r="AC582" i="1"/>
  <c r="AC570" i="1"/>
  <c r="BD46" i="1"/>
  <c r="AO50" i="468"/>
  <c r="AO61" i="468"/>
  <c r="AF219" i="1"/>
  <c r="BH484" i="1"/>
  <c r="BN857" i="1"/>
  <c r="AI982" i="1"/>
  <c r="BD43" i="1"/>
  <c r="AO109" i="468"/>
  <c r="AO101" i="468"/>
  <c r="AD53" i="1"/>
  <c r="X257" i="1"/>
  <c r="O977" i="1"/>
  <c r="Y877" i="1"/>
  <c r="D751" i="1"/>
  <c r="D757" i="1"/>
  <c r="AF13" i="1"/>
  <c r="AF19" i="1"/>
  <c r="AF80" i="1" s="1"/>
  <c r="AF732" i="1"/>
  <c r="AF990" i="1"/>
  <c r="AF878" i="1"/>
  <c r="AJ13" i="1"/>
  <c r="AF1027" i="1"/>
  <c r="Q502" i="1"/>
  <c r="BI520" i="1"/>
  <c r="AC499" i="1"/>
  <c r="Y499" i="1"/>
  <c r="BH541" i="1"/>
  <c r="AE1033" i="1"/>
  <c r="AE1032" i="1" s="1"/>
  <c r="P73" i="359"/>
  <c r="P74" i="359" s="1"/>
  <c r="AG342" i="1"/>
  <c r="AG351" i="1"/>
  <c r="AD267" i="1"/>
  <c r="AE66" i="359"/>
  <c r="Q268" i="1"/>
  <c r="BK348" i="1"/>
  <c r="AE977" i="1"/>
  <c r="K698" i="1"/>
  <c r="E994" i="1"/>
  <c r="BH215" i="1"/>
  <c r="BH220" i="1" s="1"/>
  <c r="Z55" i="468"/>
  <c r="AA55" i="468"/>
  <c r="AE626" i="1"/>
  <c r="BJ349" i="1"/>
  <c r="BH965" i="1"/>
  <c r="S697" i="1"/>
  <c r="F22" i="1"/>
  <c r="F757" i="1"/>
  <c r="F751" i="1"/>
  <c r="AF45" i="1"/>
  <c r="AA876" i="1"/>
  <c r="AD88" i="1"/>
  <c r="AD107" i="1" s="1"/>
  <c r="BK265" i="1"/>
  <c r="BK268" i="1" s="1"/>
  <c r="BK273" i="1"/>
  <c r="BL272" i="1"/>
  <c r="BL194" i="1" s="1"/>
  <c r="H570" i="1"/>
  <c r="BH572" i="1"/>
  <c r="H342" i="1"/>
  <c r="BH342" i="1" s="1"/>
  <c r="BH343" i="1"/>
  <c r="AD981" i="1"/>
  <c r="AI48" i="1"/>
  <c r="AI941" i="1" s="1"/>
  <c r="S971" i="1"/>
  <c r="S977" i="1" s="1"/>
  <c r="X582" i="1"/>
  <c r="X583" i="1" s="1"/>
  <c r="X570" i="1"/>
  <c r="AB582" i="1"/>
  <c r="BK772" i="1"/>
  <c r="BK775" i="1" s="1"/>
  <c r="BK776" i="1" s="1"/>
  <c r="BK737" i="1"/>
  <c r="AF496" i="1"/>
  <c r="BN488" i="1"/>
  <c r="AF487" i="1"/>
  <c r="AF495" i="1" s="1"/>
  <c r="BK520" i="1"/>
  <c r="BD13" i="1"/>
  <c r="BG13" i="1" s="1"/>
  <c r="O170" i="1"/>
  <c r="AH460" i="1"/>
  <c r="AD459" i="1"/>
  <c r="AD461" i="1"/>
  <c r="D106" i="1"/>
  <c r="Z342" i="1"/>
  <c r="Z351" i="1"/>
  <c r="AD351" i="1"/>
  <c r="AR98" i="468"/>
  <c r="AR101" i="468" s="1"/>
  <c r="V220" i="1"/>
  <c r="K701" i="1"/>
  <c r="M276" i="1"/>
  <c r="M277" i="1" s="1"/>
  <c r="N268" i="1"/>
  <c r="BC22" i="1"/>
  <c r="BC751" i="1"/>
  <c r="BC757" i="1"/>
  <c r="BC230" i="1"/>
  <c r="H751" i="1"/>
  <c r="H757" i="1"/>
  <c r="AH311" i="1"/>
  <c r="AD256" i="1"/>
  <c r="AD257" i="1" s="1"/>
  <c r="AD778" i="1"/>
  <c r="AD785" i="1" s="1"/>
  <c r="AD759" i="1"/>
  <c r="AD761" i="1" s="1"/>
  <c r="AC342" i="1"/>
  <c r="AC350" i="1" s="1"/>
  <c r="AC351" i="1"/>
  <c r="AC359" i="1" s="1"/>
  <c r="BL261" i="1"/>
  <c r="BM262" i="1"/>
  <c r="W629" i="1"/>
  <c r="BR98" i="468"/>
  <c r="BR109" i="468" s="1"/>
  <c r="BR110" i="468" s="1"/>
  <c r="R460" i="1"/>
  <c r="BJ460" i="1" s="1"/>
  <c r="N461" i="1"/>
  <c r="N459" i="1"/>
  <c r="W461" i="1"/>
  <c r="AA459" i="1"/>
  <c r="BN125" i="1"/>
  <c r="M46" i="1"/>
  <c r="K632" i="1"/>
  <c r="BI493" i="1"/>
  <c r="AT106" i="1"/>
  <c r="V257" i="1"/>
  <c r="AR58" i="468"/>
  <c r="AH220" i="1"/>
  <c r="M278" i="1"/>
  <c r="S699" i="1"/>
  <c r="BI976" i="1"/>
  <c r="AF459" i="1"/>
  <c r="AC338" i="1"/>
  <c r="AG347" i="1" s="1"/>
  <c r="AF876" i="1"/>
  <c r="AJ354" i="1"/>
  <c r="AF354" i="1"/>
  <c r="Q630" i="1"/>
  <c r="U630" i="1"/>
  <c r="W492" i="1"/>
  <c r="AB626" i="1"/>
  <c r="AF632" i="1" s="1"/>
  <c r="L778" i="1"/>
  <c r="L785" i="1" s="1"/>
  <c r="L788" i="1" s="1"/>
  <c r="BH208" i="1"/>
  <c r="AV48" i="1"/>
  <c r="P61" i="359"/>
  <c r="P143" i="359" s="1"/>
  <c r="P144" i="359" s="1"/>
  <c r="AF44" i="1"/>
  <c r="AE69" i="1"/>
  <c r="AE70" i="1" s="1"/>
  <c r="AE113" i="1" s="1"/>
  <c r="BH207" i="1"/>
  <c r="AN20" i="468"/>
  <c r="BK159" i="1"/>
  <c r="AH219" i="1"/>
  <c r="AD630" i="1"/>
  <c r="BL125" i="1"/>
  <c r="BL122" i="1" s="1"/>
  <c r="G72" i="523" s="1"/>
  <c r="S700" i="1"/>
  <c r="AF257" i="1"/>
  <c r="Z626" i="1"/>
  <c r="BD122" i="1"/>
  <c r="AE45" i="1"/>
  <c r="AE990" i="1"/>
  <c r="AI999" i="1" s="1"/>
  <c r="AE992" i="1"/>
  <c r="AI1001" i="1" s="1"/>
  <c r="AE991" i="1"/>
  <c r="AI1000" i="1" s="1"/>
  <c r="AE994" i="1"/>
  <c r="AI1003" i="1" s="1"/>
  <c r="AE878" i="1"/>
  <c r="AE993" i="1"/>
  <c r="AI1002" i="1" s="1"/>
  <c r="AE989" i="1"/>
  <c r="AI998" i="1" s="1"/>
  <c r="AE1027" i="1"/>
  <c r="Z543" i="1"/>
  <c r="W191" i="1"/>
  <c r="U460" i="1"/>
  <c r="AC267" i="1"/>
  <c r="Y268" i="1"/>
  <c r="Y266" i="1"/>
  <c r="BE13" i="1"/>
  <c r="BK207" i="1"/>
  <c r="Z69" i="1"/>
  <c r="Z78" i="1"/>
  <c r="Z757" i="1"/>
  <c r="Q337" i="1"/>
  <c r="U346" i="1" s="1"/>
  <c r="Q351" i="1"/>
  <c r="Q359" i="1" s="1"/>
  <c r="BK12" i="1"/>
  <c r="F8" i="523" s="1"/>
  <c r="F41" i="523" s="1"/>
  <c r="AE49" i="1"/>
  <c r="AE57" i="1" s="1"/>
  <c r="AC356" i="1"/>
  <c r="AC629" i="1"/>
  <c r="BD710" i="1"/>
  <c r="S702" i="1"/>
  <c r="M459" i="1"/>
  <c r="M461" i="1"/>
  <c r="AF993" i="1"/>
  <c r="BM465" i="1"/>
  <c r="BM195" i="1" s="1"/>
  <c r="BL466" i="1"/>
  <c r="BL464" i="1"/>
  <c r="AB219" i="1"/>
  <c r="AJ257" i="1"/>
  <c r="AI1033" i="1"/>
  <c r="E990" i="1"/>
  <c r="W757" i="1"/>
  <c r="W778" i="1" s="1"/>
  <c r="W785" i="1" s="1"/>
  <c r="K693" i="1"/>
  <c r="AB268" i="1"/>
  <c r="AB266" i="1"/>
  <c r="AF342" i="1"/>
  <c r="AF350" i="1" s="1"/>
  <c r="AF351" i="1"/>
  <c r="BN343" i="1"/>
  <c r="BN351" i="1" s="1"/>
  <c r="BD44" i="1"/>
  <c r="BM261" i="1"/>
  <c r="BG872" i="1"/>
  <c r="AC13" i="1"/>
  <c r="BI257" i="1"/>
  <c r="AE78" i="1"/>
  <c r="AE79" i="1" s="1"/>
  <c r="BJ520" i="1"/>
  <c r="V357" i="1"/>
  <c r="S690" i="1"/>
  <c r="BH976" i="1"/>
  <c r="BH982" i="1" s="1"/>
  <c r="AF989" i="1"/>
  <c r="I45" i="1"/>
  <c r="S265" i="1"/>
  <c r="BJ272" i="1"/>
  <c r="BJ271" i="1"/>
  <c r="L351" i="1"/>
  <c r="P359" i="1" s="1"/>
  <c r="I46" i="1"/>
  <c r="E22" i="1"/>
  <c r="E26" i="1" s="1"/>
  <c r="E751" i="1"/>
  <c r="E757" i="1"/>
  <c r="BE721" i="1"/>
  <c r="AG629" i="1"/>
  <c r="U96" i="28"/>
  <c r="J96" i="28"/>
  <c r="Z96" i="28"/>
  <c r="R96" i="28"/>
  <c r="BZ105" i="468"/>
  <c r="BZ19" i="468"/>
  <c r="F96" i="28"/>
  <c r="V96" i="28"/>
  <c r="M96" i="28"/>
  <c r="G96" i="28"/>
  <c r="AB96" i="28"/>
  <c r="X96" i="28"/>
  <c r="AF96" i="28"/>
  <c r="H96" i="28"/>
  <c r="AE96" i="28"/>
  <c r="Q96" i="28"/>
  <c r="Z36" i="28"/>
  <c r="Z41" i="28" s="1"/>
  <c r="Z80" i="28" s="1"/>
  <c r="Z25" i="28"/>
  <c r="Z27" i="28"/>
  <c r="Z63" i="28"/>
  <c r="AA192" i="298"/>
  <c r="L63" i="28"/>
  <c r="L36" i="28"/>
  <c r="L41" i="28" s="1"/>
  <c r="L80" i="28" s="1"/>
  <c r="L25" i="28"/>
  <c r="L27" i="28"/>
  <c r="AH84" i="28"/>
  <c r="AH85" i="28"/>
  <c r="AJ73" i="28"/>
  <c r="AK73" i="28"/>
  <c r="AL73" i="28"/>
  <c r="AH86" i="28"/>
  <c r="AM73" i="28"/>
  <c r="AN73" i="28"/>
  <c r="J36" i="28"/>
  <c r="J41" i="28" s="1"/>
  <c r="J80" i="28" s="1"/>
  <c r="J27" i="28"/>
  <c r="J63" i="28"/>
  <c r="AB63" i="28"/>
  <c r="AB36" i="28"/>
  <c r="AB41" i="28" s="1"/>
  <c r="AB80" i="28" s="1"/>
  <c r="AB25" i="28"/>
  <c r="AB27" i="28"/>
  <c r="BC719" i="298"/>
  <c r="AB110" i="1"/>
  <c r="AB88" i="1"/>
  <c r="AB107" i="1" s="1"/>
  <c r="P582" i="1"/>
  <c r="T582" i="1"/>
  <c r="P570" i="1"/>
  <c r="AC496" i="1"/>
  <c r="AG496" i="1"/>
  <c r="AC487" i="1"/>
  <c r="BM488" i="1"/>
  <c r="AD20" i="468"/>
  <c r="BM981" i="1"/>
  <c r="AJ95" i="28"/>
  <c r="AK95" i="28"/>
  <c r="AL95" i="28"/>
  <c r="AM95" i="28"/>
  <c r="AN95" i="28"/>
  <c r="AH96" i="28"/>
  <c r="V84" i="28"/>
  <c r="V90" i="28" s="1"/>
  <c r="V85" i="28"/>
  <c r="V75" i="28"/>
  <c r="V81" i="28"/>
  <c r="V86" i="28"/>
  <c r="P79" i="28"/>
  <c r="P84" i="28"/>
  <c r="P90" i="28" s="1"/>
  <c r="P75" i="28"/>
  <c r="P81" i="28"/>
  <c r="P86" i="28"/>
  <c r="Y66" i="28"/>
  <c r="Z66" i="28"/>
  <c r="U65" i="28"/>
  <c r="V65" i="28"/>
  <c r="M23" i="28"/>
  <c r="M24" i="28" s="1"/>
  <c r="H27" i="292"/>
  <c r="H32" i="292"/>
  <c r="H22" i="292"/>
  <c r="K21" i="298"/>
  <c r="K530" i="298"/>
  <c r="K524" i="298"/>
  <c r="AN42" i="298"/>
  <c r="AN36" i="298"/>
  <c r="AN44" i="298"/>
  <c r="Y41" i="298"/>
  <c r="BC36" i="298"/>
  <c r="AD47" i="298"/>
  <c r="AL79" i="298"/>
  <c r="AV338" i="298"/>
  <c r="AV335" i="298"/>
  <c r="BA430" i="298"/>
  <c r="L369" i="298"/>
  <c r="L371" i="298"/>
  <c r="L431" i="298"/>
  <c r="BA704" i="298"/>
  <c r="BA698" i="298"/>
  <c r="BB698" i="298"/>
  <c r="Q138" i="359"/>
  <c r="Q61" i="359"/>
  <c r="Q73" i="359"/>
  <c r="Q74" i="359" s="1"/>
  <c r="Q66" i="359"/>
  <c r="R61" i="359"/>
  <c r="R138" i="359"/>
  <c r="V61" i="359"/>
  <c r="R73" i="359"/>
  <c r="R74" i="359" s="1"/>
  <c r="R66" i="359"/>
  <c r="AE639" i="298"/>
  <c r="AB73" i="359"/>
  <c r="AB74" i="359" s="1"/>
  <c r="AB66" i="359"/>
  <c r="AB61" i="359"/>
  <c r="AB138" i="359"/>
  <c r="M66" i="359"/>
  <c r="M138" i="359"/>
  <c r="M73" i="359"/>
  <c r="M74" i="359" s="1"/>
  <c r="AE46" i="1"/>
  <c r="AE38" i="1"/>
  <c r="O337" i="1"/>
  <c r="S346" i="1" s="1"/>
  <c r="AB80" i="1"/>
  <c r="BI491" i="1"/>
  <c r="W499" i="1"/>
  <c r="L106" i="1"/>
  <c r="AG101" i="468"/>
  <c r="AG109" i="468"/>
  <c r="BI572" i="1"/>
  <c r="L570" i="1"/>
  <c r="L582" i="1"/>
  <c r="L583" i="1" s="1"/>
  <c r="R582" i="1"/>
  <c r="V582" i="1"/>
  <c r="R570" i="1"/>
  <c r="Z357" i="1"/>
  <c r="AF502" i="1"/>
  <c r="BI576" i="1"/>
  <c r="BJ576" i="1"/>
  <c r="BI959" i="1"/>
  <c r="BI965" i="1"/>
  <c r="J75" i="28"/>
  <c r="J81" i="28"/>
  <c r="J86" i="28"/>
  <c r="J79" i="28"/>
  <c r="J84" i="28"/>
  <c r="G41" i="298"/>
  <c r="G18" i="298"/>
  <c r="G79" i="298" s="1"/>
  <c r="G40" i="298"/>
  <c r="G39" i="298"/>
  <c r="G639" i="298"/>
  <c r="G640" i="298"/>
  <c r="AR283" i="298"/>
  <c r="AR284" i="298"/>
  <c r="F23" i="28"/>
  <c r="F24" i="28" s="1"/>
  <c r="P27" i="28"/>
  <c r="P63" i="28"/>
  <c r="P36" i="28"/>
  <c r="P41" i="28" s="1"/>
  <c r="P80" i="28" s="1"/>
  <c r="F32" i="292"/>
  <c r="F27" i="292"/>
  <c r="F22" i="292"/>
  <c r="L38" i="3"/>
  <c r="K13" i="298"/>
  <c r="K18" i="298"/>
  <c r="K39" i="298"/>
  <c r="K638" i="298"/>
  <c r="K639" i="298"/>
  <c r="K640" i="298"/>
  <c r="AV42" i="298"/>
  <c r="AY42" i="298" s="1"/>
  <c r="AV36" i="298"/>
  <c r="AY36" i="298" s="1"/>
  <c r="M36" i="298"/>
  <c r="M42" i="298"/>
  <c r="Q36" i="298"/>
  <c r="X177" i="298"/>
  <c r="X66" i="359"/>
  <c r="Z66" i="359"/>
  <c r="L66" i="359"/>
  <c r="L138" i="359"/>
  <c r="V38" i="1"/>
  <c r="V46" i="1"/>
  <c r="AF79" i="1"/>
  <c r="AF86" i="1"/>
  <c r="AF101" i="1" s="1"/>
  <c r="AF103" i="1" s="1"/>
  <c r="BK38" i="1"/>
  <c r="K46" i="1"/>
  <c r="K38" i="1"/>
  <c r="H73" i="292"/>
  <c r="BM112" i="1"/>
  <c r="AY38" i="1"/>
  <c r="BJ268" i="1"/>
  <c r="BJ266" i="1"/>
  <c r="AI45" i="359"/>
  <c r="AI40" i="359"/>
  <c r="AI41" i="359" s="1"/>
  <c r="AI52" i="359"/>
  <c r="AI53" i="359" s="1"/>
  <c r="M258" i="1"/>
  <c r="BI258" i="1" s="1"/>
  <c r="S125" i="1"/>
  <c r="S122" i="1" s="1"/>
  <c r="S868" i="1"/>
  <c r="S857" i="1"/>
  <c r="M7" i="267"/>
  <c r="W44" i="1"/>
  <c r="W13" i="1"/>
  <c r="W19" i="1"/>
  <c r="W45" i="1"/>
  <c r="W878" i="1"/>
  <c r="W877" i="1"/>
  <c r="W876" i="1"/>
  <c r="W1027" i="1"/>
  <c r="V504" i="1"/>
  <c r="F991" i="1"/>
  <c r="G1012" i="1"/>
  <c r="H1012" i="1" s="1"/>
  <c r="P981" i="1"/>
  <c r="M81" i="28"/>
  <c r="M86" i="28"/>
  <c r="M75" i="28"/>
  <c r="O84" i="28"/>
  <c r="O90" i="28" s="1"/>
  <c r="O75" i="28"/>
  <c r="O81" i="28"/>
  <c r="O86" i="28"/>
  <c r="AD61" i="298"/>
  <c r="AD86" i="298" s="1"/>
  <c r="AE47" i="298"/>
  <c r="AA320" i="298"/>
  <c r="BD160" i="298"/>
  <c r="BD153" i="298"/>
  <c r="O318" i="298"/>
  <c r="AF493" i="298"/>
  <c r="V23" i="28"/>
  <c r="V24" i="28" s="1"/>
  <c r="D43" i="28"/>
  <c r="D46" i="28"/>
  <c r="AT21" i="298"/>
  <c r="AT181" i="298"/>
  <c r="AT530" i="298"/>
  <c r="AT182" i="298"/>
  <c r="AT524" i="298"/>
  <c r="BE30" i="298"/>
  <c r="AB42" i="298"/>
  <c r="AB36" i="298"/>
  <c r="K40" i="298"/>
  <c r="BE69" i="298"/>
  <c r="BE60" i="298"/>
  <c r="AD70" i="298"/>
  <c r="AD74" i="298"/>
  <c r="AE61" i="298"/>
  <c r="AE86" i="298" s="1"/>
  <c r="AE87" i="298" s="1"/>
  <c r="Z62" i="298"/>
  <c r="Z64" i="298" s="1"/>
  <c r="BC160" i="298"/>
  <c r="BC153" i="298"/>
  <c r="BD619" i="298"/>
  <c r="Z357" i="298"/>
  <c r="AH61" i="359"/>
  <c r="AH138" i="359"/>
  <c r="AH73" i="359"/>
  <c r="AH74" i="359" s="1"/>
  <c r="AH66" i="359"/>
  <c r="AC66" i="359"/>
  <c r="AC61" i="359"/>
  <c r="AC138" i="359"/>
  <c r="AC73" i="359"/>
  <c r="AC74" i="359" s="1"/>
  <c r="Q46" i="1"/>
  <c r="Q38" i="1"/>
  <c r="G46" i="1"/>
  <c r="AG38" i="28"/>
  <c r="G22" i="1"/>
  <c r="G757" i="1"/>
  <c r="G751" i="1"/>
  <c r="AB70" i="1"/>
  <c r="D26" i="1"/>
  <c r="D48" i="1"/>
  <c r="D941" i="1" s="1"/>
  <c r="AD70" i="1"/>
  <c r="AD113" i="1" s="1"/>
  <c r="K106" i="1"/>
  <c r="AA71" i="1"/>
  <c r="AA73" i="1" s="1"/>
  <c r="AL34" i="468"/>
  <c r="AL36" i="468"/>
  <c r="AD49" i="468"/>
  <c r="AD50" i="468"/>
  <c r="AD61" i="468"/>
  <c r="AG36" i="468"/>
  <c r="AG34" i="468"/>
  <c r="O496" i="1"/>
  <c r="K487" i="1"/>
  <c r="BM558" i="1"/>
  <c r="BM559" i="1" s="1"/>
  <c r="N351" i="1"/>
  <c r="R351" i="1"/>
  <c r="N342" i="1"/>
  <c r="N350" i="1" s="1"/>
  <c r="BI343" i="1"/>
  <c r="BK857" i="1"/>
  <c r="I279" i="1"/>
  <c r="F993" i="1"/>
  <c r="G1014" i="1"/>
  <c r="H1014" i="1" s="1"/>
  <c r="BM871" i="1"/>
  <c r="Z23" i="522" s="1"/>
  <c r="Z55" i="522" s="1"/>
  <c r="H992" i="1"/>
  <c r="H1001" i="1" s="1"/>
  <c r="I1013" i="1"/>
  <c r="Z75" i="28"/>
  <c r="Z81" i="28"/>
  <c r="Z86" i="28"/>
  <c r="Z79" i="28"/>
  <c r="Z84" i="28"/>
  <c r="Z90" i="28" s="1"/>
  <c r="AC96" i="28"/>
  <c r="AE75" i="28"/>
  <c r="AE81" i="28"/>
  <c r="S27" i="28"/>
  <c r="T28" i="28" s="1"/>
  <c r="S63" i="28"/>
  <c r="S36" i="28"/>
  <c r="S41" i="28" s="1"/>
  <c r="S80" i="28" s="1"/>
  <c r="AN49" i="468"/>
  <c r="AN50" i="468"/>
  <c r="AN61" i="468"/>
  <c r="AG138" i="359"/>
  <c r="AG73" i="359"/>
  <c r="AG74" i="359" s="1"/>
  <c r="AG66" i="359"/>
  <c r="AG61" i="359"/>
  <c r="BA20" i="1"/>
  <c r="AG46" i="1"/>
  <c r="AG38" i="1"/>
  <c r="BG12" i="1"/>
  <c r="BH737" i="1"/>
  <c r="BG772" i="1"/>
  <c r="BG775" i="1" s="1"/>
  <c r="Y173" i="1"/>
  <c r="AC173" i="1"/>
  <c r="U160" i="1"/>
  <c r="M173" i="1"/>
  <c r="BC46" i="1"/>
  <c r="BC38" i="1"/>
  <c r="BX93" i="468"/>
  <c r="L257" i="1"/>
  <c r="H279" i="1"/>
  <c r="BJ170" i="1"/>
  <c r="T350" i="1"/>
  <c r="BE106" i="1"/>
  <c r="BX58" i="468"/>
  <c r="AD59" i="468"/>
  <c r="AD34" i="468"/>
  <c r="AD36" i="468"/>
  <c r="R15" i="468"/>
  <c r="BT25" i="468"/>
  <c r="R45" i="468"/>
  <c r="BS10" i="468"/>
  <c r="BT45" i="468" s="1"/>
  <c r="BT61" i="468" s="1"/>
  <c r="R98" i="468"/>
  <c r="N257" i="1"/>
  <c r="R257" i="1"/>
  <c r="AJ567" i="1"/>
  <c r="AJ570" i="1" s="1"/>
  <c r="AN570" i="1" s="1"/>
  <c r="BL915" i="1"/>
  <c r="AA922" i="1"/>
  <c r="BL922" i="1" s="1"/>
  <c r="AA701" i="1"/>
  <c r="AW718" i="1"/>
  <c r="AX719" i="1" s="1"/>
  <c r="AF981" i="1"/>
  <c r="K96" i="28"/>
  <c r="AC75" i="28"/>
  <c r="AC81" i="28"/>
  <c r="AC86" i="28"/>
  <c r="AG96" i="28"/>
  <c r="Q75" i="28"/>
  <c r="Q81" i="28"/>
  <c r="Q86" i="28"/>
  <c r="Q79" i="28"/>
  <c r="AC23" i="28"/>
  <c r="AC24" i="28" s="1"/>
  <c r="AB84" i="28" s="1"/>
  <c r="AB90" i="28" s="1"/>
  <c r="AA63" i="28"/>
  <c r="AA36" i="28"/>
  <c r="AA41" i="28" s="1"/>
  <c r="Z85" i="28" s="1"/>
  <c r="AA25" i="28"/>
  <c r="AA27" i="28"/>
  <c r="L57" i="3"/>
  <c r="AC36" i="298"/>
  <c r="AC42" i="298"/>
  <c r="BO132" i="298"/>
  <c r="BC97" i="298"/>
  <c r="BC94" i="298" s="1"/>
  <c r="BC619" i="298"/>
  <c r="BC630" i="298"/>
  <c r="AS261" i="298"/>
  <c r="AS240" i="298"/>
  <c r="AT253" i="298" s="1"/>
  <c r="AS248" i="298"/>
  <c r="AS214" i="298"/>
  <c r="AS222" i="298"/>
  <c r="AS281" i="298"/>
  <c r="AD558" i="298"/>
  <c r="Q172" i="298"/>
  <c r="M166" i="298"/>
  <c r="S65" i="28"/>
  <c r="W66" i="28"/>
  <c r="T66" i="28"/>
  <c r="K41" i="298"/>
  <c r="Z87" i="298"/>
  <c r="M369" i="298"/>
  <c r="M431" i="298"/>
  <c r="M106" i="1"/>
  <c r="L46" i="1"/>
  <c r="L38" i="1"/>
  <c r="AA46" i="1"/>
  <c r="AA38" i="1"/>
  <c r="G44" i="1"/>
  <c r="G19" i="1"/>
  <c r="G106" i="1" s="1"/>
  <c r="G45" i="1"/>
  <c r="G992" i="1"/>
  <c r="G989" i="1"/>
  <c r="G1027" i="1"/>
  <c r="BL32" i="1"/>
  <c r="BI331" i="1"/>
  <c r="L276" i="1"/>
  <c r="L278" i="1"/>
  <c r="L332" i="1"/>
  <c r="H385" i="1" s="1"/>
  <c r="W257" i="1"/>
  <c r="AA257" i="1"/>
  <c r="W20" i="468"/>
  <c r="U257" i="1"/>
  <c r="Y258" i="1"/>
  <c r="AA36" i="468"/>
  <c r="AA34" i="468"/>
  <c r="BR483" i="1"/>
  <c r="BN486" i="1"/>
  <c r="BN494" i="1" s="1"/>
  <c r="K276" i="1"/>
  <c r="K279" i="1" s="1"/>
  <c r="K332" i="1"/>
  <c r="T357" i="1"/>
  <c r="BM959" i="1"/>
  <c r="BM965" i="1"/>
  <c r="BM977" i="1" s="1"/>
  <c r="AW704" i="1"/>
  <c r="AW721" i="1"/>
  <c r="AW710" i="1"/>
  <c r="BN959" i="1"/>
  <c r="P977" i="1"/>
  <c r="K75" i="28"/>
  <c r="K81" i="28"/>
  <c r="K86" i="28"/>
  <c r="K79" i="28"/>
  <c r="K84" i="28"/>
  <c r="T96" i="28"/>
  <c r="AV13" i="298"/>
  <c r="AY13" i="298" s="1"/>
  <c r="AW13" i="298"/>
  <c r="AZ13" i="298" s="1"/>
  <c r="AV39" i="298"/>
  <c r="AY39" i="298" s="1"/>
  <c r="AV18" i="298"/>
  <c r="AV640" i="298"/>
  <c r="AV710" i="298"/>
  <c r="AV716" i="298" s="1"/>
  <c r="H36" i="298"/>
  <c r="D42" i="298"/>
  <c r="P171" i="298"/>
  <c r="T176" i="298"/>
  <c r="AT214" i="298"/>
  <c r="AU227" i="298" s="1"/>
  <c r="AT222" i="298"/>
  <c r="AT281" i="298"/>
  <c r="AU222" i="298"/>
  <c r="BA125" i="298"/>
  <c r="BA126" i="298" s="1"/>
  <c r="BB125" i="298"/>
  <c r="BA167" i="298"/>
  <c r="Z719" i="298"/>
  <c r="AD719" i="298"/>
  <c r="U66" i="28"/>
  <c r="Q65" i="28"/>
  <c r="O23" i="28"/>
  <c r="O24" i="28" s="1"/>
  <c r="P25" i="28" s="1"/>
  <c r="F51" i="51"/>
  <c r="G47" i="51"/>
  <c r="AG115" i="298"/>
  <c r="AH122" i="298"/>
  <c r="AG137" i="298"/>
  <c r="AK44" i="298"/>
  <c r="AK42" i="298"/>
  <c r="AM44" i="298"/>
  <c r="AM36" i="298"/>
  <c r="AM42" i="298"/>
  <c r="H18" i="298"/>
  <c r="H13" i="298"/>
  <c r="H41" i="298"/>
  <c r="H40" i="298"/>
  <c r="H39" i="298"/>
  <c r="H42" i="298"/>
  <c r="H640" i="298"/>
  <c r="G24" i="298"/>
  <c r="AW36" i="298"/>
  <c r="AZ36" i="298" s="1"/>
  <c r="AW42" i="298"/>
  <c r="AZ42" i="298" s="1"/>
  <c r="U43" i="28"/>
  <c r="U46" i="28"/>
  <c r="AY108" i="298"/>
  <c r="Y126" i="298"/>
  <c r="Y139" i="298"/>
  <c r="AT261" i="298"/>
  <c r="Z358" i="298"/>
  <c r="AD358" i="298"/>
  <c r="AD716" i="298"/>
  <c r="G638" i="298"/>
  <c r="V66" i="359"/>
  <c r="W66" i="359"/>
  <c r="W61" i="359"/>
  <c r="W138" i="359"/>
  <c r="W73" i="359"/>
  <c r="W74" i="359" s="1"/>
  <c r="X73" i="359"/>
  <c r="X74" i="359" s="1"/>
  <c r="P55" i="468"/>
  <c r="R29" i="313"/>
  <c r="R34" i="313" s="1"/>
  <c r="AB46" i="1"/>
  <c r="AB38" i="1"/>
  <c r="BM32" i="1"/>
  <c r="BL238" i="1"/>
  <c r="BL233" i="1"/>
  <c r="T266" i="1"/>
  <c r="P268" i="1"/>
  <c r="P266" i="1"/>
  <c r="X173" i="1"/>
  <c r="T160" i="1"/>
  <c r="L173" i="1"/>
  <c r="F65" i="3"/>
  <c r="BN32" i="1"/>
  <c r="BG136" i="1"/>
  <c r="BG945" i="1" s="1"/>
  <c r="L459" i="1"/>
  <c r="L461" i="1"/>
  <c r="P459" i="1"/>
  <c r="BL256" i="1"/>
  <c r="AA101" i="468"/>
  <c r="AA109" i="468"/>
  <c r="BM491" i="1"/>
  <c r="N492" i="1"/>
  <c r="R492" i="1"/>
  <c r="AG459" i="1"/>
  <c r="R258" i="1"/>
  <c r="BJ258" i="1" s="1"/>
  <c r="AB693" i="1"/>
  <c r="AB257" i="1"/>
  <c r="AF977" i="1"/>
  <c r="S96" i="28"/>
  <c r="AA96" i="28"/>
  <c r="AD96" i="28"/>
  <c r="T79" i="28"/>
  <c r="T84" i="28"/>
  <c r="T90" i="28" s="1"/>
  <c r="T85" i="28"/>
  <c r="T81" i="28"/>
  <c r="T86" i="28"/>
  <c r="T75" i="28"/>
  <c r="F36" i="51"/>
  <c r="F35" i="51"/>
  <c r="W214" i="1"/>
  <c r="AC33" i="28"/>
  <c r="AC32" i="28"/>
  <c r="AC59" i="28"/>
  <c r="K63" i="28"/>
  <c r="K36" i="28"/>
  <c r="K41" i="28" s="1"/>
  <c r="J85" i="28" s="1"/>
  <c r="K25" i="28"/>
  <c r="K27" i="28"/>
  <c r="AQ44" i="298"/>
  <c r="AR36" i="298"/>
  <c r="AQ36" i="298"/>
  <c r="AQ42" i="298"/>
  <c r="AG142" i="298"/>
  <c r="AH156" i="298"/>
  <c r="AU253" i="298"/>
  <c r="R33" i="28"/>
  <c r="R32" i="28"/>
  <c r="S32" i="28"/>
  <c r="V66" i="28"/>
  <c r="M33" i="28"/>
  <c r="M32" i="28"/>
  <c r="M59" i="28"/>
  <c r="O33" i="28"/>
  <c r="O32" i="28"/>
  <c r="O59" i="28"/>
  <c r="E67" i="292"/>
  <c r="E39" i="292"/>
  <c r="C39" i="292"/>
  <c r="C67" i="292"/>
  <c r="G22" i="292"/>
  <c r="J34" i="51"/>
  <c r="I35" i="51"/>
  <c r="U36" i="298"/>
  <c r="U42" i="298"/>
  <c r="T36" i="298"/>
  <c r="X36" i="298"/>
  <c r="T42" i="298"/>
  <c r="J66" i="3"/>
  <c r="AZ519" i="298"/>
  <c r="H21" i="298"/>
  <c r="H530" i="298"/>
  <c r="H524" i="298"/>
  <c r="U126" i="298"/>
  <c r="M139" i="298"/>
  <c r="AZ420" i="298"/>
  <c r="AZ421" i="298" s="1"/>
  <c r="I421" i="298"/>
  <c r="Z542" i="298"/>
  <c r="Z541" i="298"/>
  <c r="BB716" i="298"/>
  <c r="U61" i="359"/>
  <c r="Y61" i="359"/>
  <c r="U66" i="359"/>
  <c r="U138" i="359"/>
  <c r="U73" i="359"/>
  <c r="U74" i="359" s="1"/>
  <c r="AF73" i="359"/>
  <c r="AF74" i="359" s="1"/>
  <c r="AF66" i="359"/>
  <c r="AF61" i="359"/>
  <c r="AF138" i="359"/>
  <c r="AF265" i="1"/>
  <c r="AJ267" i="1" s="1"/>
  <c r="AJ260" i="1"/>
  <c r="BN260" i="1"/>
  <c r="AF263" i="1"/>
  <c r="AX20" i="1"/>
  <c r="AY20" i="1"/>
  <c r="AX106" i="1"/>
  <c r="T9" i="313"/>
  <c r="BI12" i="1"/>
  <c r="D8" i="523" s="1"/>
  <c r="BI772" i="1"/>
  <c r="BI775" i="1" s="1"/>
  <c r="BI737" i="1"/>
  <c r="BJ737" i="1"/>
  <c r="AF74" i="28"/>
  <c r="AF75" i="28" s="1"/>
  <c r="I38" i="1"/>
  <c r="E46" i="1"/>
  <c r="T20" i="313"/>
  <c r="T13" i="267"/>
  <c r="BM170" i="1"/>
  <c r="AF38" i="1"/>
  <c r="AH37" i="28"/>
  <c r="F40" i="292"/>
  <c r="AQ10" i="468"/>
  <c r="AI491" i="1"/>
  <c r="AI499" i="1" s="1"/>
  <c r="AI485" i="1"/>
  <c r="BN483" i="1"/>
  <c r="BN491" i="1" s="1"/>
  <c r="Y101" i="468"/>
  <c r="Y109" i="468"/>
  <c r="BI268" i="1"/>
  <c r="AA35" i="468"/>
  <c r="AA40" i="468" s="1"/>
  <c r="V356" i="1"/>
  <c r="Y356" i="1"/>
  <c r="AA499" i="1"/>
  <c r="BL349" i="1"/>
  <c r="Z492" i="1"/>
  <c r="BN464" i="1"/>
  <c r="BN466" i="1"/>
  <c r="O279" i="1"/>
  <c r="AB702" i="1"/>
  <c r="AB701" i="1"/>
  <c r="AB700" i="1"/>
  <c r="AB698" i="1"/>
  <c r="AB696" i="1"/>
  <c r="AB694" i="1"/>
  <c r="AB690" i="1"/>
  <c r="L761" i="1"/>
  <c r="L977" i="1"/>
  <c r="S79" i="28"/>
  <c r="S84" i="28"/>
  <c r="S90" i="28" s="1"/>
  <c r="S81" i="28"/>
  <c r="S86" i="28"/>
  <c r="S75" i="28"/>
  <c r="AA75" i="28"/>
  <c r="AA81" i="28"/>
  <c r="AA86" i="28"/>
  <c r="AA84" i="28"/>
  <c r="AA90" i="28" s="1"/>
  <c r="AA79" i="28"/>
  <c r="AD75" i="28"/>
  <c r="AD81" i="28"/>
  <c r="AD86" i="28"/>
  <c r="D79" i="28"/>
  <c r="D84" i="28"/>
  <c r="D80" i="28"/>
  <c r="D86" i="28"/>
  <c r="D75" i="28"/>
  <c r="D81" i="28"/>
  <c r="K97" i="298"/>
  <c r="K94" i="298" s="1"/>
  <c r="K619" i="298"/>
  <c r="K630" i="298"/>
  <c r="S633" i="298"/>
  <c r="S638" i="298" s="1"/>
  <c r="S639" i="298"/>
  <c r="AN59" i="468"/>
  <c r="AN34" i="468"/>
  <c r="AN36" i="468"/>
  <c r="R20" i="313"/>
  <c r="R13" i="267"/>
  <c r="R16" i="267" s="1"/>
  <c r="R18" i="267" s="1"/>
  <c r="G10" i="276"/>
  <c r="F10" i="276"/>
  <c r="H10" i="276"/>
  <c r="F16" i="276"/>
  <c r="G16" i="276"/>
  <c r="H16" i="276"/>
  <c r="O22" i="1"/>
  <c r="O229" i="1"/>
  <c r="O757" i="1"/>
  <c r="O751" i="1"/>
  <c r="F93" i="51"/>
  <c r="F37" i="51" s="1"/>
  <c r="BB20" i="1"/>
  <c r="BB106" i="1"/>
  <c r="G93" i="51"/>
  <c r="G77" i="51" s="1"/>
  <c r="BC20" i="1"/>
  <c r="C15" i="313"/>
  <c r="F43" i="276"/>
  <c r="G43" i="276"/>
  <c r="H43" i="276"/>
  <c r="BI746" i="1"/>
  <c r="L28" i="313"/>
  <c r="L34" i="313" s="1"/>
  <c r="L24" i="313"/>
  <c r="BH160" i="1"/>
  <c r="Y36" i="468"/>
  <c r="Y34" i="468"/>
  <c r="AA49" i="468"/>
  <c r="AA51" i="468"/>
  <c r="AA50" i="468"/>
  <c r="AA61" i="468"/>
  <c r="BN191" i="1"/>
  <c r="BN208" i="1"/>
  <c r="BM313" i="1"/>
  <c r="X499" i="1"/>
  <c r="AB499" i="1"/>
  <c r="AD492" i="1"/>
  <c r="AH484" i="1"/>
  <c r="AL484" i="1" s="1"/>
  <c r="AL485" i="1" s="1"/>
  <c r="BK484" i="1"/>
  <c r="AA496" i="1"/>
  <c r="AE496" i="1"/>
  <c r="AA487" i="1"/>
  <c r="AD499" i="1"/>
  <c r="AY719" i="1"/>
  <c r="AY722" i="1"/>
  <c r="T495" i="1"/>
  <c r="AB977" i="1"/>
  <c r="J1010" i="1"/>
  <c r="I989" i="1"/>
  <c r="I96" i="28"/>
  <c r="L75" i="28"/>
  <c r="L81" i="28"/>
  <c r="L86" i="28"/>
  <c r="L79" i="28"/>
  <c r="N96" i="28"/>
  <c r="I66" i="28"/>
  <c r="J66" i="28"/>
  <c r="F65" i="28"/>
  <c r="AF83" i="298"/>
  <c r="L139" i="298"/>
  <c r="AB55" i="468"/>
  <c r="AE354" i="1"/>
  <c r="AI354" i="1"/>
  <c r="AA20" i="468"/>
  <c r="AM50" i="468"/>
  <c r="X359" i="1"/>
  <c r="BH38" i="1"/>
  <c r="AE50" i="468"/>
  <c r="T356" i="1"/>
  <c r="BL586" i="1"/>
  <c r="BW10" i="468"/>
  <c r="BX45" i="468" s="1"/>
  <c r="BX61" i="468" s="1"/>
  <c r="AH15" i="468"/>
  <c r="AH20" i="468" s="1"/>
  <c r="AH58" i="468"/>
  <c r="AL59" i="468" s="1"/>
  <c r="AH45" i="468"/>
  <c r="BX25" i="468"/>
  <c r="AH98" i="468"/>
  <c r="BJ965" i="1"/>
  <c r="BJ977" i="1" s="1"/>
  <c r="BK965" i="1"/>
  <c r="BJ959" i="1"/>
  <c r="BK959" i="1"/>
  <c r="I84" i="28"/>
  <c r="I81" i="28"/>
  <c r="I86" i="28"/>
  <c r="I75" i="28"/>
  <c r="L96" i="28"/>
  <c r="N75" i="28"/>
  <c r="N81" i="28"/>
  <c r="N86" i="28"/>
  <c r="AE18" i="298"/>
  <c r="AE40" i="298"/>
  <c r="AE505" i="298"/>
  <c r="AE39" i="298"/>
  <c r="AE42" i="298"/>
  <c r="AE41" i="298"/>
  <c r="AE13" i="298"/>
  <c r="AE46" i="298"/>
  <c r="AE640" i="298"/>
  <c r="S97" i="298"/>
  <c r="S94" i="298" s="1"/>
  <c r="S630" i="298"/>
  <c r="S619" i="298"/>
  <c r="D32" i="292"/>
  <c r="D27" i="292"/>
  <c r="D22" i="292"/>
  <c r="AA36" i="298"/>
  <c r="AA42" i="298"/>
  <c r="BD35" i="298"/>
  <c r="W46" i="28"/>
  <c r="W43" i="28"/>
  <c r="BQ19" i="468"/>
  <c r="BQ54" i="468" s="1"/>
  <c r="BR19" i="468"/>
  <c r="D93" i="51"/>
  <c r="AZ20" i="1"/>
  <c r="BI238" i="1"/>
  <c r="R23" i="28"/>
  <c r="R24" i="28" s="1"/>
  <c r="Q84" i="28" s="1"/>
  <c r="Q90" i="28" s="1"/>
  <c r="Q98" i="292"/>
  <c r="AP42" i="298"/>
  <c r="AP36" i="298"/>
  <c r="Q18" i="298"/>
  <c r="U19" i="298" s="1"/>
  <c r="Q13" i="298"/>
  <c r="Q42" i="298"/>
  <c r="Q41" i="298"/>
  <c r="Q40" i="298"/>
  <c r="Q640" i="298"/>
  <c r="N36" i="298"/>
  <c r="N42" i="298"/>
  <c r="AI159" i="298"/>
  <c r="AI145" i="298" s="1"/>
  <c r="AI152" i="298" s="1"/>
  <c r="AH145" i="298"/>
  <c r="T13" i="298"/>
  <c r="U13" i="298"/>
  <c r="AV40" i="298"/>
  <c r="AY40" i="298" s="1"/>
  <c r="T171" i="298"/>
  <c r="BC125" i="298"/>
  <c r="BC167" i="298"/>
  <c r="AU283" i="298"/>
  <c r="U357" i="298"/>
  <c r="Y358" i="298"/>
  <c r="AT248" i="298"/>
  <c r="S66" i="359"/>
  <c r="S61" i="359"/>
  <c r="S138" i="359"/>
  <c r="S73" i="359"/>
  <c r="S74" i="359" s="1"/>
  <c r="T61" i="359"/>
  <c r="T66" i="359"/>
  <c r="T138" i="359"/>
  <c r="X61" i="359"/>
  <c r="T73" i="359"/>
  <c r="T74" i="359" s="1"/>
  <c r="AD66" i="359"/>
  <c r="AD61" i="359"/>
  <c r="AD138" i="359"/>
  <c r="AD73" i="359"/>
  <c r="AD74" i="359" s="1"/>
  <c r="AE73" i="359"/>
  <c r="AE74" i="359" s="1"/>
  <c r="BL36" i="1"/>
  <c r="BL624" i="1"/>
  <c r="G41" i="276"/>
  <c r="F41" i="276"/>
  <c r="H41" i="276"/>
  <c r="AB746" i="1"/>
  <c r="AB737" i="1"/>
  <c r="AB772" i="1"/>
  <c r="AB775" i="1" s="1"/>
  <c r="F46" i="276"/>
  <c r="G46" i="276"/>
  <c r="H46" i="276"/>
  <c r="BM191" i="1"/>
  <c r="BM208" i="1"/>
  <c r="AI46" i="1"/>
  <c r="AI38" i="1"/>
  <c r="V239" i="1"/>
  <c r="BC106" i="1"/>
  <c r="BN538" i="1"/>
  <c r="BN541" i="1"/>
  <c r="BN533" i="1"/>
  <c r="BN543" i="1" s="1"/>
  <c r="Z101" i="468"/>
  <c r="Z109" i="468"/>
  <c r="BJ491" i="1"/>
  <c r="BK491" i="1"/>
  <c r="AM59" i="468"/>
  <c r="AM36" i="468"/>
  <c r="AM34" i="468"/>
  <c r="AE109" i="468"/>
  <c r="AE101" i="468"/>
  <c r="BI484" i="1"/>
  <c r="Q982" i="1"/>
  <c r="Y79" i="28"/>
  <c r="Y84" i="28"/>
  <c r="Y90" i="28" s="1"/>
  <c r="Y75" i="28"/>
  <c r="Y81" i="28"/>
  <c r="Y86" i="28"/>
  <c r="AB75" i="28"/>
  <c r="AB81" i="28"/>
  <c r="AB86" i="28"/>
  <c r="AB79" i="28"/>
  <c r="X75" i="28"/>
  <c r="X81" i="28"/>
  <c r="X86" i="28"/>
  <c r="X79" i="28"/>
  <c r="X84" i="28"/>
  <c r="X90" i="28" s="1"/>
  <c r="AG144" i="298"/>
  <c r="AH158" i="298"/>
  <c r="F39" i="292"/>
  <c r="F67" i="292"/>
  <c r="Q21" i="298"/>
  <c r="Q530" i="298"/>
  <c r="Q181" i="298"/>
  <c r="Q524" i="298"/>
  <c r="BE35" i="298"/>
  <c r="AN35" i="468"/>
  <c r="F45" i="276"/>
  <c r="H45" i="276"/>
  <c r="G45" i="276"/>
  <c r="AU20" i="1"/>
  <c r="AV20" i="1"/>
  <c r="E7" i="267"/>
  <c r="E9" i="313" s="1"/>
  <c r="E24" i="313" s="1"/>
  <c r="O44" i="1"/>
  <c r="O13" i="1"/>
  <c r="O19" i="1"/>
  <c r="O45" i="1"/>
  <c r="O1027" i="1"/>
  <c r="BJ106" i="1"/>
  <c r="S13" i="1"/>
  <c r="BD110" i="468"/>
  <c r="AJ101" i="468"/>
  <c r="AJ109" i="468"/>
  <c r="BU99" i="468"/>
  <c r="V101" i="468"/>
  <c r="BT98" i="468"/>
  <c r="BT109" i="468" s="1"/>
  <c r="N23" i="28"/>
  <c r="N24" i="28" s="1"/>
  <c r="R65" i="28"/>
  <c r="N33" i="28"/>
  <c r="N32" i="28"/>
  <c r="N59" i="28"/>
  <c r="AE23" i="28"/>
  <c r="AE24" i="28" s="1"/>
  <c r="H43" i="51"/>
  <c r="I30" i="51"/>
  <c r="I26" i="51" s="1"/>
  <c r="H32" i="51"/>
  <c r="BA12" i="298"/>
  <c r="BA545" i="298"/>
  <c r="BA548" i="298" s="1"/>
  <c r="BA510" i="298"/>
  <c r="BB510" i="298"/>
  <c r="AD36" i="298"/>
  <c r="AD42" i="298"/>
  <c r="AD13" i="298"/>
  <c r="AD18" i="298"/>
  <c r="AD505" i="298"/>
  <c r="AD41" i="298"/>
  <c r="AD40" i="298"/>
  <c r="AD39" i="298"/>
  <c r="AD640" i="298"/>
  <c r="AF61" i="298"/>
  <c r="AF62" i="298" s="1"/>
  <c r="AF64" i="298" s="1"/>
  <c r="K42" i="298"/>
  <c r="AU36" i="298"/>
  <c r="AU42" i="298"/>
  <c r="AV41" i="298"/>
  <c r="AY41" i="298" s="1"/>
  <c r="BE185" i="298"/>
  <c r="BE190" i="298"/>
  <c r="T192" i="298"/>
  <c r="BD136" i="298"/>
  <c r="AA79" i="298"/>
  <c r="AU266" i="298"/>
  <c r="N73" i="359"/>
  <c r="N74" i="359" s="1"/>
  <c r="N66" i="359"/>
  <c r="N138" i="359"/>
  <c r="O73" i="359"/>
  <c r="O74" i="359" s="1"/>
  <c r="O66" i="359"/>
  <c r="O138" i="359"/>
  <c r="V20" i="313"/>
  <c r="V12" i="267"/>
  <c r="AC46" i="1"/>
  <c r="AC38" i="1"/>
  <c r="BK191" i="1"/>
  <c r="BL191" i="1"/>
  <c r="BK208" i="1"/>
  <c r="AI746" i="1"/>
  <c r="AI788" i="1"/>
  <c r="AI772" i="1"/>
  <c r="Q20" i="313"/>
  <c r="AG74" i="28"/>
  <c r="AG75" i="28" s="1"/>
  <c r="U38" i="1"/>
  <c r="Y38" i="1"/>
  <c r="U46" i="1"/>
  <c r="BN37" i="1"/>
  <c r="BN625" i="1"/>
  <c r="BO631" i="1" s="1"/>
  <c r="AK587" i="1"/>
  <c r="AG587" i="1"/>
  <c r="V240" i="1"/>
  <c r="AI36" i="468"/>
  <c r="AI34" i="468"/>
  <c r="AI59" i="468"/>
  <c r="AJ36" i="468"/>
  <c r="AJ34" i="468"/>
  <c r="BT58" i="468"/>
  <c r="BN233" i="1"/>
  <c r="BN238" i="1"/>
  <c r="AM40" i="468"/>
  <c r="AE40" i="468"/>
  <c r="R495" i="1"/>
  <c r="BL965" i="1"/>
  <c r="BL977" i="1" s="1"/>
  <c r="BL959" i="1"/>
  <c r="AC632" i="1"/>
  <c r="AB695" i="1"/>
  <c r="Z495" i="1"/>
  <c r="AG982" i="1"/>
  <c r="E81" i="28"/>
  <c r="E79" i="28"/>
  <c r="E86" i="28"/>
  <c r="E75" i="28"/>
  <c r="AJ72" i="28"/>
  <c r="AL72" i="28"/>
  <c r="AM72" i="28"/>
  <c r="AN72" i="28"/>
  <c r="AK72" i="28"/>
  <c r="O320" i="298"/>
  <c r="O310" i="298"/>
  <c r="O317" i="298"/>
  <c r="O322" i="298"/>
  <c r="O319" i="298"/>
  <c r="O316" i="298"/>
  <c r="O313" i="298"/>
  <c r="O315" i="298"/>
  <c r="BE138" i="298"/>
  <c r="AR261" i="298"/>
  <c r="AR240" i="298"/>
  <c r="AR266" i="298" s="1"/>
  <c r="Y493" i="298"/>
  <c r="BC493" i="298"/>
  <c r="BC494" i="298" s="1"/>
  <c r="T46" i="1"/>
  <c r="T38" i="1"/>
  <c r="BL35" i="1"/>
  <c r="BL623" i="1"/>
  <c r="AX46" i="1"/>
  <c r="AX38" i="1"/>
  <c r="O43" i="1"/>
  <c r="AJ50" i="468"/>
  <c r="AJ61" i="468"/>
  <c r="AJ49" i="468"/>
  <c r="AJ51" i="468"/>
  <c r="S499" i="1"/>
  <c r="AM20" i="468"/>
  <c r="BK219" i="1"/>
  <c r="AE20" i="468"/>
  <c r="Y219" i="1"/>
  <c r="AJ543" i="1"/>
  <c r="Z219" i="1"/>
  <c r="Y350" i="1"/>
  <c r="AF980" i="1"/>
  <c r="AJ980" i="1"/>
  <c r="G75" i="28"/>
  <c r="G81" i="28"/>
  <c r="G86" i="28"/>
  <c r="G84" i="28"/>
  <c r="G85" i="28"/>
  <c r="BE136" i="298"/>
  <c r="AB14" i="298"/>
  <c r="AB176" i="298"/>
  <c r="BD34" i="298"/>
  <c r="AB322" i="298"/>
  <c r="AF310" i="298"/>
  <c r="AB316" i="298"/>
  <c r="AB313" i="298"/>
  <c r="AB318" i="298"/>
  <c r="AB320" i="298"/>
  <c r="AB319" i="298"/>
  <c r="AB317" i="298"/>
  <c r="AB321" i="298"/>
  <c r="AB310" i="298"/>
  <c r="AA191" i="298"/>
  <c r="W316" i="298"/>
  <c r="W321" i="298"/>
  <c r="W318" i="298"/>
  <c r="W315" i="298"/>
  <c r="W320" i="298"/>
  <c r="W310" i="298"/>
  <c r="W317" i="298"/>
  <c r="W314" i="298"/>
  <c r="W322" i="298"/>
  <c r="W319" i="298"/>
  <c r="H43" i="28"/>
  <c r="H46" i="28"/>
  <c r="E27" i="292"/>
  <c r="E32" i="292"/>
  <c r="E22" i="292"/>
  <c r="G32" i="292"/>
  <c r="AC14" i="298"/>
  <c r="AC177" i="298" s="1"/>
  <c r="AC176" i="298"/>
  <c r="Y36" i="298"/>
  <c r="Y42" i="298"/>
  <c r="BD30" i="298"/>
  <c r="G42" i="298"/>
  <c r="P36" i="298"/>
  <c r="P42" i="298"/>
  <c r="AA136" i="298"/>
  <c r="O136" i="298"/>
  <c r="AE136" i="298"/>
  <c r="U79" i="298"/>
  <c r="BD125" i="298"/>
  <c r="AB314" i="298"/>
  <c r="BD137" i="298"/>
  <c r="AU284" i="298"/>
  <c r="BA159" i="298"/>
  <c r="BE160" i="298"/>
  <c r="BE153" i="298"/>
  <c r="W719" i="298"/>
  <c r="P66" i="359"/>
  <c r="G43" i="1"/>
  <c r="J46" i="1"/>
  <c r="J38" i="1"/>
  <c r="AN51" i="468"/>
  <c r="AV46" i="1"/>
  <c r="AV38" i="1"/>
  <c r="AW38" i="1"/>
  <c r="G11" i="276"/>
  <c r="H11" i="276"/>
  <c r="F11" i="276"/>
  <c r="O46" i="1"/>
  <c r="O38" i="1"/>
  <c r="X459" i="1"/>
  <c r="X461" i="1"/>
  <c r="AB459" i="1"/>
  <c r="Z160" i="1"/>
  <c r="Z173" i="1"/>
  <c r="AH173" i="1"/>
  <c r="AR20" i="468"/>
  <c r="Z36" i="468"/>
  <c r="Z34" i="468"/>
  <c r="BN122" i="1"/>
  <c r="I72" i="523" s="1"/>
  <c r="AM109" i="468"/>
  <c r="AM101" i="468"/>
  <c r="AA110" i="1"/>
  <c r="AA114" i="1" s="1"/>
  <c r="BM36" i="1"/>
  <c r="AE59" i="468"/>
  <c r="AE36" i="468"/>
  <c r="AE34" i="468"/>
  <c r="AA350" i="1"/>
  <c r="AJ582" i="1"/>
  <c r="BL484" i="1"/>
  <c r="W660" i="1"/>
  <c r="AA660" i="1"/>
  <c r="AB356" i="1"/>
  <c r="BB718" i="1"/>
  <c r="AI995" i="1"/>
  <c r="U80" i="28"/>
  <c r="U75" i="28"/>
  <c r="U81" i="28"/>
  <c r="U79" i="28"/>
  <c r="U86" i="28"/>
  <c r="W75" i="28"/>
  <c r="W81" i="28"/>
  <c r="W86" i="28"/>
  <c r="W79" i="28"/>
  <c r="W84" i="28"/>
  <c r="W90" i="28" s="1"/>
  <c r="W80" i="28"/>
  <c r="Y36" i="28"/>
  <c r="Y41" i="28" s="1"/>
  <c r="X85" i="28" s="1"/>
  <c r="Y25" i="28"/>
  <c r="Y27" i="28"/>
  <c r="Y63" i="28"/>
  <c r="AC61" i="298"/>
  <c r="AC62" i="298" s="1"/>
  <c r="AC64" i="298" s="1"/>
  <c r="AD23" i="28"/>
  <c r="AD24" i="28" s="1"/>
  <c r="T25" i="28"/>
  <c r="BE12" i="298"/>
  <c r="BE46" i="298" s="1"/>
  <c r="BD12" i="298"/>
  <c r="BD638" i="298" s="1"/>
  <c r="P21" i="298"/>
  <c r="P530" i="298"/>
  <c r="P181" i="298"/>
  <c r="P524" i="298"/>
  <c r="AF36" i="298"/>
  <c r="AF42" i="298"/>
  <c r="BD94" i="298"/>
  <c r="N24" i="298"/>
  <c r="N22" i="298"/>
  <c r="N44" i="298"/>
  <c r="O314" i="298"/>
  <c r="AE302" i="298"/>
  <c r="O321" i="298"/>
  <c r="BB181" i="298"/>
  <c r="BB182" i="298" s="1"/>
  <c r="BB185" i="298"/>
  <c r="BB190" i="298"/>
  <c r="W313" i="298"/>
  <c r="AA314" i="298"/>
  <c r="AA322" i="298"/>
  <c r="AA319" i="298"/>
  <c r="AA316" i="298"/>
  <c r="AA321" i="298"/>
  <c r="AA318" i="298"/>
  <c r="AA315" i="298"/>
  <c r="AA310" i="298"/>
  <c r="AA317" i="298"/>
  <c r="BE364" i="298"/>
  <c r="BE366" i="298"/>
  <c r="AE638" i="298"/>
  <c r="Q721" i="298"/>
  <c r="U721" i="298"/>
  <c r="AV638" i="298"/>
  <c r="Z46" i="1"/>
  <c r="Z38" i="1"/>
  <c r="AS48" i="1"/>
  <c r="AS941" i="1" s="1"/>
  <c r="Y9" i="313"/>
  <c r="BM35" i="1"/>
  <c r="BN35" i="1"/>
  <c r="BM623" i="1"/>
  <c r="G24" i="313"/>
  <c r="BZ93" i="468"/>
  <c r="F73" i="292"/>
  <c r="BK112" i="1"/>
  <c r="AI109" i="468"/>
  <c r="AI101" i="468"/>
  <c r="AJ40" i="468"/>
  <c r="Z40" i="468"/>
  <c r="BY99" i="468"/>
  <c r="BX98" i="468"/>
  <c r="BX109" i="468" s="1"/>
  <c r="AL101" i="468"/>
  <c r="AL109" i="468"/>
  <c r="BI191" i="1"/>
  <c r="BI208" i="1"/>
  <c r="M496" i="1"/>
  <c r="BI488" i="1"/>
  <c r="Q496" i="1"/>
  <c r="M487" i="1"/>
  <c r="Z257" i="1"/>
  <c r="X561" i="1"/>
  <c r="BK561" i="1"/>
  <c r="BK562" i="1" s="1"/>
  <c r="BM484" i="1"/>
  <c r="H337" i="1"/>
  <c r="L346" i="1" s="1"/>
  <c r="P354" i="1" s="1"/>
  <c r="W346" i="1"/>
  <c r="BL488" i="1"/>
  <c r="Z356" i="1"/>
  <c r="AB697" i="1"/>
  <c r="F998" i="1"/>
  <c r="R84" i="28"/>
  <c r="R90" i="28" s="1"/>
  <c r="R75" i="28"/>
  <c r="R81" i="28"/>
  <c r="R86" i="28"/>
  <c r="AE138" i="298"/>
  <c r="AA138" i="298"/>
  <c r="O138" i="298"/>
  <c r="S44" i="298"/>
  <c r="S36" i="298"/>
  <c r="S42" i="298"/>
  <c r="W36" i="298"/>
  <c r="E46" i="51"/>
  <c r="D43" i="51"/>
  <c r="E51" i="51"/>
  <c r="Y505" i="298"/>
  <c r="Y18" i="298"/>
  <c r="Y40" i="298"/>
  <c r="AC13" i="298"/>
  <c r="Y39" i="298"/>
  <c r="Y13" i="298"/>
  <c r="Y639" i="298"/>
  <c r="Y640" i="298"/>
  <c r="F74" i="51"/>
  <c r="G75" i="51" s="1"/>
  <c r="H75" i="51"/>
  <c r="I9" i="51"/>
  <c r="J7" i="51"/>
  <c r="AO19" i="298"/>
  <c r="AO79" i="298"/>
  <c r="W32" i="28"/>
  <c r="V33" i="28"/>
  <c r="V32" i="28"/>
  <c r="V59" i="28"/>
  <c r="P65" i="28"/>
  <c r="S66" i="28"/>
  <c r="AD33" i="28"/>
  <c r="AD32" i="28"/>
  <c r="AD59" i="28"/>
  <c r="AB519" i="298"/>
  <c r="AB510" i="298"/>
  <c r="AB545" i="298"/>
  <c r="AB548" i="298" s="1"/>
  <c r="AB549" i="298" s="1"/>
  <c r="AN19" i="298"/>
  <c r="P13" i="298"/>
  <c r="P41" i="298"/>
  <c r="P18" i="298"/>
  <c r="T19" i="298" s="1"/>
  <c r="P640" i="298"/>
  <c r="AY12" i="298"/>
  <c r="AY545" i="298"/>
  <c r="AY548" i="298" s="1"/>
  <c r="BE34" i="298"/>
  <c r="S167" i="298"/>
  <c r="S125" i="298"/>
  <c r="S126" i="298" s="1"/>
  <c r="S159" i="298"/>
  <c r="W125" i="298"/>
  <c r="W133" i="298"/>
  <c r="AD139" i="298"/>
  <c r="Z126" i="298"/>
  <c r="Z139" i="298"/>
  <c r="AT316" i="298"/>
  <c r="AT313" i="298"/>
  <c r="AT321" i="298"/>
  <c r="AT318" i="298"/>
  <c r="AT315" i="298"/>
  <c r="AT310" i="298"/>
  <c r="AT320" i="298"/>
  <c r="AU310" i="298"/>
  <c r="AT317" i="298"/>
  <c r="AT314" i="298"/>
  <c r="AT322" i="298"/>
  <c r="AT332" i="298"/>
  <c r="M192" i="298"/>
  <c r="CB93" i="468"/>
  <c r="CB109" i="468"/>
  <c r="AT38" i="1"/>
  <c r="AA66" i="359"/>
  <c r="AU46" i="1"/>
  <c r="AU38" i="1"/>
  <c r="BJ38" i="1"/>
  <c r="BJ46" i="1"/>
  <c r="V28" i="313"/>
  <c r="G34" i="313"/>
  <c r="AC459" i="1"/>
  <c r="AC461" i="1"/>
  <c r="BX19" i="468"/>
  <c r="AA220" i="1"/>
  <c r="BL172" i="1"/>
  <c r="AU48" i="1"/>
  <c r="AU941" i="1" s="1"/>
  <c r="Z50" i="468"/>
  <c r="Z61" i="468"/>
  <c r="Z49" i="468"/>
  <c r="AB258" i="1"/>
  <c r="AB50" i="468"/>
  <c r="AB49" i="468"/>
  <c r="BK488" i="1"/>
  <c r="U487" i="1"/>
  <c r="U496" i="1"/>
  <c r="Y496" i="1"/>
  <c r="AD101" i="468"/>
  <c r="AD109" i="468"/>
  <c r="BR45" i="468"/>
  <c r="BR61" i="468" s="1"/>
  <c r="BR58" i="468"/>
  <c r="BR59" i="468" s="1"/>
  <c r="AB587" i="1"/>
  <c r="AF587" i="1"/>
  <c r="BL348" i="1"/>
  <c r="BN558" i="1"/>
  <c r="BI348" i="1"/>
  <c r="AA702" i="1"/>
  <c r="AA700" i="1"/>
  <c r="AA698" i="1"/>
  <c r="AA696" i="1"/>
  <c r="AA694" i="1"/>
  <c r="AA690" i="1"/>
  <c r="W357" i="1"/>
  <c r="AA693" i="1"/>
  <c r="BM857" i="1"/>
  <c r="BM868" i="1"/>
  <c r="F990" i="1"/>
  <c r="F999" i="1" s="1"/>
  <c r="G1011" i="1"/>
  <c r="F1015" i="1"/>
  <c r="F994" i="1" s="1"/>
  <c r="W700" i="1"/>
  <c r="W699" i="1"/>
  <c r="W697" i="1"/>
  <c r="W696" i="1"/>
  <c r="W695" i="1"/>
  <c r="W693" i="1"/>
  <c r="W690" i="1"/>
  <c r="W702" i="1"/>
  <c r="W701" i="1"/>
  <c r="F81" i="28"/>
  <c r="F86" i="28"/>
  <c r="F75" i="28"/>
  <c r="H75" i="28"/>
  <c r="H81" i="28"/>
  <c r="H86" i="28"/>
  <c r="H79" i="28"/>
  <c r="H80" i="28"/>
  <c r="P96" i="28"/>
  <c r="B1020" i="1"/>
  <c r="K387" i="1" l="1"/>
  <c r="O394" i="1"/>
  <c r="H387" i="1"/>
  <c r="L394" i="1"/>
  <c r="D106" i="3"/>
  <c r="E106" i="3" s="1"/>
  <c r="AP46" i="298"/>
  <c r="M177" i="519"/>
  <c r="M202" i="519"/>
  <c r="M204" i="519" s="1"/>
  <c r="H74" i="523"/>
  <c r="BM945" i="1"/>
  <c r="F74" i="523"/>
  <c r="BK945" i="1"/>
  <c r="I74" i="523"/>
  <c r="BN945" i="1"/>
  <c r="G74" i="523"/>
  <c r="BL945" i="1"/>
  <c r="M177" i="520"/>
  <c r="M14" i="520"/>
  <c r="M15" i="520" s="1"/>
  <c r="M202" i="520"/>
  <c r="M204" i="520" s="1"/>
  <c r="M202" i="521"/>
  <c r="M204" i="521" s="1"/>
  <c r="M14" i="521"/>
  <c r="M15" i="521" s="1"/>
  <c r="M177" i="521"/>
  <c r="AP69" i="298"/>
  <c r="H119" i="523"/>
  <c r="BL939" i="1"/>
  <c r="BM940" i="1" s="1"/>
  <c r="AD114" i="1"/>
  <c r="AD121" i="1" s="1"/>
  <c r="BO337" i="1"/>
  <c r="BO346" i="1" s="1"/>
  <c r="AI257" i="1"/>
  <c r="I119" i="523"/>
  <c r="G107" i="503"/>
  <c r="G108" i="198"/>
  <c r="G107" i="523"/>
  <c r="G108" i="523" s="1"/>
  <c r="L135" i="523"/>
  <c r="AI359" i="1"/>
  <c r="AE943" i="1"/>
  <c r="AE942" i="1"/>
  <c r="AI570" i="1"/>
  <c r="AI580" i="1" s="1"/>
  <c r="AI591" i="1" s="1"/>
  <c r="AE759" i="1"/>
  <c r="AE761" i="1" s="1"/>
  <c r="AE769" i="1" s="1"/>
  <c r="AE786" i="1"/>
  <c r="AE788" i="1"/>
  <c r="L136" i="198"/>
  <c r="AC91" i="1"/>
  <c r="AA52" i="523"/>
  <c r="BH940" i="1"/>
  <c r="C123" i="198" s="1"/>
  <c r="BG940" i="1"/>
  <c r="D49" i="523"/>
  <c r="D108" i="523"/>
  <c r="D119" i="523"/>
  <c r="D9" i="523"/>
  <c r="E9" i="523"/>
  <c r="D29" i="523"/>
  <c r="D41" i="523"/>
  <c r="AT78" i="1"/>
  <c r="AT80" i="1" s="1"/>
  <c r="AT941" i="1"/>
  <c r="C121" i="504"/>
  <c r="G41" i="523"/>
  <c r="H41" i="523"/>
  <c r="D942" i="1"/>
  <c r="E108" i="503"/>
  <c r="E121" i="503"/>
  <c r="G118" i="503"/>
  <c r="G118" i="504"/>
  <c r="G121" i="504" s="1"/>
  <c r="AV52" i="1"/>
  <c r="AV941" i="1"/>
  <c r="AV942" i="1" s="1"/>
  <c r="AD943" i="1"/>
  <c r="AY942" i="1"/>
  <c r="H118" i="503"/>
  <c r="BM941" i="1"/>
  <c r="H13" i="523"/>
  <c r="H9" i="523"/>
  <c r="Z23" i="523"/>
  <c r="AZ942" i="1"/>
  <c r="F118" i="504"/>
  <c r="E108" i="504"/>
  <c r="E121" i="504"/>
  <c r="H49" i="523"/>
  <c r="K150" i="523"/>
  <c r="I29" i="523"/>
  <c r="Q63" i="1"/>
  <c r="M941" i="1"/>
  <c r="BA52" i="1"/>
  <c r="BA941" i="1"/>
  <c r="BA942" i="1" s="1"/>
  <c r="BE52" i="1"/>
  <c r="BE941" i="1"/>
  <c r="BE942" i="1" s="1"/>
  <c r="AW942" i="1"/>
  <c r="I107" i="503"/>
  <c r="I121" i="503" s="1"/>
  <c r="J122" i="503" s="1"/>
  <c r="I107" i="504"/>
  <c r="I121" i="504" s="1"/>
  <c r="J122" i="504" s="1"/>
  <c r="I107" i="523"/>
  <c r="I108" i="523" s="1"/>
  <c r="I108" i="198"/>
  <c r="E108" i="523"/>
  <c r="E121" i="523"/>
  <c r="K158" i="523"/>
  <c r="F9" i="523"/>
  <c r="K141" i="523"/>
  <c r="K142" i="523" s="1"/>
  <c r="L146" i="523" s="1"/>
  <c r="I9" i="523"/>
  <c r="J78" i="1"/>
  <c r="J80" i="1" s="1"/>
  <c r="J941" i="1"/>
  <c r="AU942" i="1"/>
  <c r="BN939" i="1"/>
  <c r="BO940" i="1" s="1"/>
  <c r="C121" i="503"/>
  <c r="AA61" i="523"/>
  <c r="I49" i="523"/>
  <c r="I41" i="523"/>
  <c r="F29" i="523"/>
  <c r="G9" i="523"/>
  <c r="H107" i="503"/>
  <c r="H108" i="198"/>
  <c r="H107" i="504"/>
  <c r="H107" i="523"/>
  <c r="H108" i="523" s="1"/>
  <c r="F107" i="504"/>
  <c r="F108" i="198"/>
  <c r="F107" i="523"/>
  <c r="F108" i="523" s="1"/>
  <c r="F107" i="503"/>
  <c r="F121" i="503" s="1"/>
  <c r="G118" i="523"/>
  <c r="G119" i="523"/>
  <c r="F49" i="523"/>
  <c r="C49" i="523"/>
  <c r="C119" i="523"/>
  <c r="C29" i="523"/>
  <c r="AH941" i="1"/>
  <c r="AH943" i="1" s="1"/>
  <c r="AX942" i="1"/>
  <c r="F118" i="523"/>
  <c r="F119" i="523"/>
  <c r="C108" i="523"/>
  <c r="C121" i="523"/>
  <c r="G49" i="523"/>
  <c r="H118" i="504"/>
  <c r="H29" i="523"/>
  <c r="AB52" i="523"/>
  <c r="AF943" i="1"/>
  <c r="T940" i="1"/>
  <c r="AA943" i="1"/>
  <c r="AI943" i="1"/>
  <c r="X41" i="522"/>
  <c r="X42" i="522" s="1"/>
  <c r="BK940" i="1"/>
  <c r="X37" i="522"/>
  <c r="AU15" i="468"/>
  <c r="BN567" i="1"/>
  <c r="BN577" i="1" s="1"/>
  <c r="BN588" i="1" s="1"/>
  <c r="AA31" i="522"/>
  <c r="AA37" i="522"/>
  <c r="AA59" i="522"/>
  <c r="AA73" i="522" s="1"/>
  <c r="AA74" i="522" s="1"/>
  <c r="BO558" i="1"/>
  <c r="BO559" i="1" s="1"/>
  <c r="X31" i="522"/>
  <c r="BO260" i="1"/>
  <c r="BO261" i="1" s="1"/>
  <c r="S210" i="519"/>
  <c r="H64" i="503"/>
  <c r="H65" i="504"/>
  <c r="G8" i="504"/>
  <c r="G108" i="504" s="1"/>
  <c r="G8" i="503"/>
  <c r="G119" i="503" s="1"/>
  <c r="BO262" i="1"/>
  <c r="G74" i="503"/>
  <c r="G74" i="504"/>
  <c r="G95" i="292"/>
  <c r="G92" i="292" s="1"/>
  <c r="G72" i="504"/>
  <c r="G72" i="503"/>
  <c r="AM493" i="1"/>
  <c r="AM487" i="1"/>
  <c r="AM499" i="1"/>
  <c r="AJ632" i="1"/>
  <c r="BO626" i="1"/>
  <c r="H97" i="292"/>
  <c r="H74" i="503"/>
  <c r="H74" i="504"/>
  <c r="F8" i="504"/>
  <c r="F119" i="504" s="1"/>
  <c r="F8" i="503"/>
  <c r="F119" i="503" s="1"/>
  <c r="F74" i="503"/>
  <c r="F74" i="504"/>
  <c r="E65" i="504"/>
  <c r="E49" i="504"/>
  <c r="E65" i="503"/>
  <c r="E49" i="503"/>
  <c r="I65" i="503"/>
  <c r="H8" i="504"/>
  <c r="H119" i="504" s="1"/>
  <c r="H8" i="503"/>
  <c r="H119" i="503" s="1"/>
  <c r="I65" i="504"/>
  <c r="AG47" i="28"/>
  <c r="AG81" i="28" s="1"/>
  <c r="E72" i="504"/>
  <c r="E72" i="503"/>
  <c r="AM593" i="1"/>
  <c r="AM594" i="1"/>
  <c r="C8" i="504"/>
  <c r="C119" i="504" s="1"/>
  <c r="C8" i="503"/>
  <c r="C119" i="503" s="1"/>
  <c r="AJ751" i="1"/>
  <c r="F65" i="504"/>
  <c r="D95" i="292"/>
  <c r="D92" i="292" s="1"/>
  <c r="D72" i="504"/>
  <c r="D72" i="503"/>
  <c r="AM263" i="1"/>
  <c r="AM265" i="1"/>
  <c r="D65" i="504"/>
  <c r="F65" i="503"/>
  <c r="D65" i="503"/>
  <c r="AM257" i="1"/>
  <c r="C95" i="292"/>
  <c r="C92" i="292" s="1"/>
  <c r="C72" i="504"/>
  <c r="C72" i="503"/>
  <c r="BN60" i="1"/>
  <c r="H13" i="503"/>
  <c r="H124" i="503" s="1"/>
  <c r="H13" i="504"/>
  <c r="H124" i="504" s="1"/>
  <c r="I74" i="503"/>
  <c r="I74" i="504"/>
  <c r="C65" i="504"/>
  <c r="I8" i="504"/>
  <c r="I119" i="504" s="1"/>
  <c r="I8" i="503"/>
  <c r="I119" i="503" s="1"/>
  <c r="C65" i="503"/>
  <c r="AM460" i="1"/>
  <c r="D8" i="504"/>
  <c r="D8" i="503"/>
  <c r="G65" i="503"/>
  <c r="G64" i="503"/>
  <c r="AM458" i="1"/>
  <c r="I72" i="503"/>
  <c r="I72" i="504"/>
  <c r="H95" i="292"/>
  <c r="H92" i="292" s="1"/>
  <c r="H72" i="504"/>
  <c r="H72" i="503"/>
  <c r="G65" i="504"/>
  <c r="G64" i="504"/>
  <c r="AH47" i="28"/>
  <c r="AH81" i="28" s="1"/>
  <c r="AN81" i="28" s="1"/>
  <c r="F72" i="504"/>
  <c r="F72" i="503"/>
  <c r="F64" i="503"/>
  <c r="I64" i="503"/>
  <c r="F64" i="504"/>
  <c r="I64" i="504"/>
  <c r="AM340" i="1"/>
  <c r="H64" i="504"/>
  <c r="H65" i="503"/>
  <c r="AQ337" i="1"/>
  <c r="O73" i="522"/>
  <c r="O74" i="522" s="1"/>
  <c r="W69" i="522"/>
  <c r="O69" i="522"/>
  <c r="W63" i="522"/>
  <c r="AB91" i="1"/>
  <c r="AD91" i="1"/>
  <c r="Q54" i="519"/>
  <c r="Q52" i="519"/>
  <c r="BE20" i="1"/>
  <c r="R208" i="519"/>
  <c r="R209" i="519"/>
  <c r="Q208" i="519"/>
  <c r="Q209" i="519"/>
  <c r="Q210" i="519"/>
  <c r="S208" i="519"/>
  <c r="S209" i="519"/>
  <c r="R210" i="519"/>
  <c r="T208" i="519"/>
  <c r="T209" i="519"/>
  <c r="T210" i="519"/>
  <c r="T35" i="519"/>
  <c r="N722" i="298"/>
  <c r="BD20" i="1"/>
  <c r="AJ995" i="1"/>
  <c r="U8" i="267"/>
  <c r="Q13" i="267"/>
  <c r="Q16" i="267" s="1"/>
  <c r="Q18" i="267" s="1"/>
  <c r="P20" i="313"/>
  <c r="T21" i="313" s="1"/>
  <c r="AJ998" i="1"/>
  <c r="AG1002" i="1"/>
  <c r="AF90" i="1"/>
  <c r="AC93" i="1"/>
  <c r="BI99" i="1"/>
  <c r="BH876" i="1"/>
  <c r="H8" i="292"/>
  <c r="H45" i="292" s="1"/>
  <c r="F8" i="292"/>
  <c r="F13" i="292" s="1"/>
  <c r="BN44" i="1"/>
  <c r="BL44" i="1"/>
  <c r="AA93" i="1"/>
  <c r="AB93" i="1"/>
  <c r="BG46" i="1"/>
  <c r="AD93" i="1"/>
  <c r="AF47" i="28"/>
  <c r="AF81" i="28" s="1"/>
  <c r="F63" i="3"/>
  <c r="BR49" i="1"/>
  <c r="BS13" i="1"/>
  <c r="H73" i="522"/>
  <c r="H74" i="522" s="1"/>
  <c r="H63" i="522"/>
  <c r="H69" i="522"/>
  <c r="J73" i="522"/>
  <c r="J74" i="522" s="1"/>
  <c r="J63" i="522"/>
  <c r="J69" i="522"/>
  <c r="G73" i="522"/>
  <c r="G74" i="522" s="1"/>
  <c r="G63" i="522"/>
  <c r="G69" i="522"/>
  <c r="BJ876" i="1"/>
  <c r="W23" i="522"/>
  <c r="W55" i="522" s="1"/>
  <c r="Y59" i="522"/>
  <c r="Y41" i="522"/>
  <c r="Y42" i="522" s="1"/>
  <c r="Y37" i="522"/>
  <c r="Y31" i="522"/>
  <c r="U551" i="298"/>
  <c r="U557" i="298" s="1"/>
  <c r="U560" i="298" s="1"/>
  <c r="X73" i="522"/>
  <c r="X74" i="522" s="1"/>
  <c r="X63" i="522"/>
  <c r="X69" i="522"/>
  <c r="I73" i="522"/>
  <c r="I74" i="522" s="1"/>
  <c r="I63" i="522"/>
  <c r="I69" i="522"/>
  <c r="G41" i="292"/>
  <c r="G82" i="292" s="1"/>
  <c r="Z59" i="522"/>
  <c r="Z41" i="522"/>
  <c r="Z42" i="522" s="1"/>
  <c r="Z37" i="522"/>
  <c r="Z31" i="522"/>
  <c r="R33" i="519"/>
  <c r="K73" i="522"/>
  <c r="K74" i="522" s="1"/>
  <c r="K63" i="522"/>
  <c r="K69" i="522"/>
  <c r="AH69" i="1"/>
  <c r="AH70" i="1" s="1"/>
  <c r="AH113" i="1" s="1"/>
  <c r="AD103" i="1"/>
  <c r="AE58" i="1"/>
  <c r="BM540" i="1"/>
  <c r="BM201" i="1" s="1"/>
  <c r="BM196" i="1"/>
  <c r="BK540" i="1"/>
  <c r="BK201" i="1" s="1"/>
  <c r="BK196" i="1"/>
  <c r="BJ267" i="1"/>
  <c r="BJ194" i="1"/>
  <c r="BI540" i="1"/>
  <c r="BI201" i="1" s="1"/>
  <c r="BI196" i="1"/>
  <c r="AH459" i="1"/>
  <c r="AG641" i="1"/>
  <c r="AJ641" i="1"/>
  <c r="AJ636" i="1" s="1"/>
  <c r="AF636" i="1"/>
  <c r="AB641" i="1"/>
  <c r="X641" i="1" s="1"/>
  <c r="AE722" i="298"/>
  <c r="BW54" i="468"/>
  <c r="BX54" i="468"/>
  <c r="AT79" i="298"/>
  <c r="AL460" i="1"/>
  <c r="AO69" i="298"/>
  <c r="AH632" i="1"/>
  <c r="AL632" i="1"/>
  <c r="BP571" i="1"/>
  <c r="AO45" i="359"/>
  <c r="AN565" i="1"/>
  <c r="AN575" i="1" s="1"/>
  <c r="X8" i="267"/>
  <c r="AO72" i="359"/>
  <c r="AR60" i="359"/>
  <c r="AR142" i="359" s="1"/>
  <c r="AH570" i="1"/>
  <c r="Q204" i="519"/>
  <c r="AG1005" i="1"/>
  <c r="AG25" i="1"/>
  <c r="AF225" i="1"/>
  <c r="AF25" i="1"/>
  <c r="AL499" i="1"/>
  <c r="AJ493" i="1"/>
  <c r="AJ501" i="1" s="1"/>
  <c r="AL487" i="1"/>
  <c r="AL340" i="1"/>
  <c r="AL348" i="1" s="1"/>
  <c r="AL356" i="1" s="1"/>
  <c r="AP337" i="1"/>
  <c r="AH577" i="1"/>
  <c r="AH588" i="1" s="1"/>
  <c r="AL266" i="1"/>
  <c r="AL268" i="1"/>
  <c r="AL504" i="1"/>
  <c r="AL458" i="1"/>
  <c r="AL589" i="1"/>
  <c r="AP589" i="1"/>
  <c r="BN311" i="1"/>
  <c r="AL311" i="1"/>
  <c r="S204" i="519"/>
  <c r="BO486" i="1"/>
  <c r="BO494" i="1" s="1"/>
  <c r="BO502" i="1" s="1"/>
  <c r="AP486" i="1"/>
  <c r="BP486" i="1" s="1"/>
  <c r="AO517" i="1"/>
  <c r="AO581" i="1"/>
  <c r="BO568" i="1"/>
  <c r="BO578" i="1" s="1"/>
  <c r="BO589" i="1" s="1"/>
  <c r="AP568" i="1"/>
  <c r="BP568" i="1" s="1"/>
  <c r="AN348" i="1"/>
  <c r="AN356" i="1" s="1"/>
  <c r="AK340" i="1"/>
  <c r="AK342" i="1" s="1"/>
  <c r="AO338" i="1"/>
  <c r="BO569" i="1"/>
  <c r="BO579" i="1" s="1"/>
  <c r="BO590" i="1" s="1"/>
  <c r="AP569" i="1"/>
  <c r="BP569" i="1" s="1"/>
  <c r="AM137" i="359"/>
  <c r="AQ60" i="359"/>
  <c r="AQ142" i="359" s="1"/>
  <c r="T204" i="519"/>
  <c r="R204" i="519"/>
  <c r="Q58" i="519"/>
  <c r="Q59" i="519"/>
  <c r="T79" i="519"/>
  <c r="S78" i="519"/>
  <c r="S64" i="519" s="1"/>
  <c r="R24" i="298"/>
  <c r="L722" i="298"/>
  <c r="AY366" i="298"/>
  <c r="O722" i="298"/>
  <c r="BA133" i="298"/>
  <c r="BA14" i="298" s="1"/>
  <c r="BA177" i="298" s="1"/>
  <c r="BB357" i="298"/>
  <c r="AH593" i="1"/>
  <c r="BD721" i="298"/>
  <c r="AE70" i="298"/>
  <c r="G69" i="298"/>
  <c r="G71" i="298" s="1"/>
  <c r="F69" i="298"/>
  <c r="F71" i="298" s="1"/>
  <c r="BB358" i="298"/>
  <c r="F60" i="298"/>
  <c r="F61" i="298" s="1"/>
  <c r="F86" i="298" s="1"/>
  <c r="S186" i="298"/>
  <c r="W186" i="298"/>
  <c r="U24" i="298"/>
  <c r="BE721" i="298"/>
  <c r="BU54" i="468"/>
  <c r="AA74" i="298"/>
  <c r="AD109" i="298" s="1"/>
  <c r="AF412" i="298"/>
  <c r="AF356" i="298" s="1"/>
  <c r="AF357" i="298" s="1"/>
  <c r="G60" i="298"/>
  <c r="G61" i="298" s="1"/>
  <c r="G86" i="298" s="1"/>
  <c r="J45" i="298"/>
  <c r="AI593" i="1"/>
  <c r="AP45" i="298"/>
  <c r="AP51" i="298" s="1"/>
  <c r="AD9" i="267"/>
  <c r="W11" i="313" s="1"/>
  <c r="Q43" i="28"/>
  <c r="Q28" i="28"/>
  <c r="T43" i="28"/>
  <c r="U44" i="28" s="1"/>
  <c r="S551" i="298"/>
  <c r="S557" i="298" s="1"/>
  <c r="S560" i="298" s="1"/>
  <c r="AO722" i="298"/>
  <c r="BZ54" i="468"/>
  <c r="BE720" i="298"/>
  <c r="AF722" i="298"/>
  <c r="AT330" i="298"/>
  <c r="CA56" i="468"/>
  <c r="AL45" i="298"/>
  <c r="CB56" i="468"/>
  <c r="AV330" i="298"/>
  <c r="K372" i="298"/>
  <c r="Z722" i="298"/>
  <c r="AF19" i="298"/>
  <c r="BD716" i="298"/>
  <c r="BE722" i="298" s="1"/>
  <c r="W9" i="267"/>
  <c r="Y594" i="1"/>
  <c r="AF1005" i="1"/>
  <c r="BN539" i="1"/>
  <c r="AG540" i="1"/>
  <c r="AG201" i="1" s="1"/>
  <c r="AB225" i="1"/>
  <c r="V9" i="267"/>
  <c r="V11" i="313" s="1"/>
  <c r="AB1005" i="1"/>
  <c r="R9" i="267"/>
  <c r="R11" i="313" s="1"/>
  <c r="S9" i="267"/>
  <c r="S11" i="313" s="1"/>
  <c r="AG225" i="1"/>
  <c r="AC1005" i="1"/>
  <c r="AC225" i="1"/>
  <c r="BG167" i="1"/>
  <c r="BG174" i="1" s="1"/>
  <c r="BD174" i="1"/>
  <c r="BH167" i="1"/>
  <c r="BH174" i="1" s="1"/>
  <c r="BE174" i="1"/>
  <c r="BC174" i="1"/>
  <c r="BN339" i="1"/>
  <c r="S350" i="1"/>
  <c r="S358" i="1" s="1"/>
  <c r="AD137" i="1"/>
  <c r="AC101" i="1"/>
  <c r="AC103" i="1" s="1"/>
  <c r="BH461" i="1"/>
  <c r="BH459" i="1"/>
  <c r="M522" i="1"/>
  <c r="BJ759" i="1"/>
  <c r="BJ761" i="1" s="1"/>
  <c r="BJ769" i="1" s="1"/>
  <c r="F37" i="3"/>
  <c r="BD98" i="1"/>
  <c r="BG98" i="1" s="1"/>
  <c r="BG99" i="1"/>
  <c r="AV98" i="1"/>
  <c r="BN98" i="1"/>
  <c r="BL99" i="1"/>
  <c r="BL98" i="1"/>
  <c r="BJ99" i="1"/>
  <c r="BJ98" i="1"/>
  <c r="V26" i="1"/>
  <c r="BA98" i="1"/>
  <c r="BA99" i="1"/>
  <c r="BK99" i="1"/>
  <c r="BK98" i="1"/>
  <c r="BN99" i="1"/>
  <c r="BM99" i="1"/>
  <c r="BM98" i="1"/>
  <c r="AN39" i="28"/>
  <c r="AK39" i="28"/>
  <c r="AT98" i="1"/>
  <c r="AT99" i="1"/>
  <c r="AJ39" i="28"/>
  <c r="BH99" i="1"/>
  <c r="BH98" i="1"/>
  <c r="BI98" i="1"/>
  <c r="BE99" i="1"/>
  <c r="BE98" i="1"/>
  <c r="AJ689" i="1"/>
  <c r="AZ98" i="1"/>
  <c r="AZ99" i="1"/>
  <c r="M768" i="1"/>
  <c r="AG983" i="1"/>
  <c r="AM39" i="28"/>
  <c r="BB98" i="1"/>
  <c r="BC98" i="1"/>
  <c r="BC99" i="1"/>
  <c r="AU98" i="1"/>
  <c r="AU99" i="1"/>
  <c r="V518" i="1"/>
  <c r="V527" i="1" s="1"/>
  <c r="Z529" i="1" s="1"/>
  <c r="Z39" i="1" s="1"/>
  <c r="AY98" i="1"/>
  <c r="AY99" i="1"/>
  <c r="AK257" i="1"/>
  <c r="V48" i="1"/>
  <c r="BN346" i="1"/>
  <c r="AC354" i="1"/>
  <c r="V23" i="1"/>
  <c r="J106" i="1"/>
  <c r="AG257" i="1"/>
  <c r="BM346" i="1"/>
  <c r="S8" i="267"/>
  <c r="M239" i="1"/>
  <c r="AJ66" i="359"/>
  <c r="AJ138" i="359"/>
  <c r="AC20" i="1"/>
  <c r="AG354" i="1"/>
  <c r="AG632" i="1"/>
  <c r="M778" i="1"/>
  <c r="M785" i="1" s="1"/>
  <c r="M788" i="1" s="1"/>
  <c r="V778" i="1"/>
  <c r="V785" i="1" s="1"/>
  <c r="V788" i="1" s="1"/>
  <c r="AK504" i="1"/>
  <c r="AK459" i="1"/>
  <c r="AK461" i="1"/>
  <c r="AE358" i="1"/>
  <c r="AK263" i="1"/>
  <c r="AK265" i="1"/>
  <c r="AN16" i="1"/>
  <c r="G532" i="298"/>
  <c r="G534" i="298" s="1"/>
  <c r="G542" i="298" s="1"/>
  <c r="Y722" i="298"/>
  <c r="U42" i="28"/>
  <c r="AE310" i="298"/>
  <c r="AG1001" i="1"/>
  <c r="AF76" i="298"/>
  <c r="AF80" i="298" s="1"/>
  <c r="AW335" i="298"/>
  <c r="AA541" i="298"/>
  <c r="AV344" i="298"/>
  <c r="AF71" i="298"/>
  <c r="AE55" i="468"/>
  <c r="AO60" i="298"/>
  <c r="AO61" i="298" s="1"/>
  <c r="AO86" i="298" s="1"/>
  <c r="AO92" i="298" s="1"/>
  <c r="AZ369" i="298"/>
  <c r="AZ372" i="298" s="1"/>
  <c r="AB983" i="1"/>
  <c r="AC61" i="468"/>
  <c r="AH49" i="1"/>
  <c r="AH57" i="1" s="1"/>
  <c r="AV14" i="298"/>
  <c r="AY14" i="298" s="1"/>
  <c r="AS335" i="298"/>
  <c r="AS69" i="298"/>
  <c r="AS71" i="298" s="1"/>
  <c r="AR335" i="298"/>
  <c r="AS46" i="298"/>
  <c r="AS47" i="298"/>
  <c r="AC510" i="298"/>
  <c r="AR339" i="298"/>
  <c r="BC181" i="298"/>
  <c r="BC182" i="298" s="1"/>
  <c r="BC187" i="298" s="1"/>
  <c r="J79" i="298"/>
  <c r="AU19" i="298"/>
  <c r="BD133" i="298"/>
  <c r="BT54" i="468"/>
  <c r="K85" i="28"/>
  <c r="AS324" i="298"/>
  <c r="P239" i="1"/>
  <c r="AM722" i="298"/>
  <c r="AE143" i="359"/>
  <c r="AE144" i="359" s="1"/>
  <c r="V983" i="1"/>
  <c r="AW324" i="298"/>
  <c r="X983" i="1"/>
  <c r="CC56" i="468"/>
  <c r="AV324" i="298"/>
  <c r="V722" i="298"/>
  <c r="AS330" i="298"/>
  <c r="AR558" i="298"/>
  <c r="BZ56" i="468"/>
  <c r="H41" i="292"/>
  <c r="H82" i="292" s="1"/>
  <c r="AC722" i="298"/>
  <c r="BB44" i="298"/>
  <c r="BB69" i="298" s="1"/>
  <c r="P759" i="1"/>
  <c r="P761" i="1" s="1"/>
  <c r="P769" i="1" s="1"/>
  <c r="R22" i="298"/>
  <c r="I85" i="28"/>
  <c r="AN85" i="28" s="1"/>
  <c r="Q46" i="28"/>
  <c r="M20" i="1"/>
  <c r="Q80" i="28"/>
  <c r="E28" i="28"/>
  <c r="V22" i="298"/>
  <c r="N19" i="298"/>
  <c r="AA722" i="298"/>
  <c r="AS722" i="298"/>
  <c r="AY524" i="298"/>
  <c r="BI459" i="1"/>
  <c r="AB19" i="298"/>
  <c r="Q722" i="298"/>
  <c r="AC545" i="298"/>
  <c r="AC548" i="298" s="1"/>
  <c r="Q39" i="1"/>
  <c r="BB551" i="298"/>
  <c r="BB557" i="298" s="1"/>
  <c r="AR330" i="298"/>
  <c r="F532" i="298"/>
  <c r="F534" i="298" s="1"/>
  <c r="F542" i="298" s="1"/>
  <c r="AW330" i="298"/>
  <c r="AC519" i="298"/>
  <c r="AC21" i="298" s="1"/>
  <c r="AP47" i="298"/>
  <c r="I79" i="28"/>
  <c r="AR324" i="298"/>
  <c r="BB719" i="298"/>
  <c r="R186" i="298"/>
  <c r="AF359" i="1"/>
  <c r="I25" i="28"/>
  <c r="X79" i="298"/>
  <c r="BD219" i="1"/>
  <c r="AB350" i="1"/>
  <c r="AF358" i="1" s="1"/>
  <c r="AS45" i="298"/>
  <c r="AS51" i="298" s="1"/>
  <c r="AR341" i="298"/>
  <c r="AR342" i="298" s="1"/>
  <c r="AS343" i="298" s="1"/>
  <c r="AF8" i="267"/>
  <c r="AI136" i="298"/>
  <c r="R759" i="1"/>
  <c r="R761" i="1" s="1"/>
  <c r="R769" i="1" s="1"/>
  <c r="AL60" i="298"/>
  <c r="AL61" i="298" s="1"/>
  <c r="AL86" i="298" s="1"/>
  <c r="AL92" i="298" s="1"/>
  <c r="AL69" i="298"/>
  <c r="AL71" i="298" s="1"/>
  <c r="BC551" i="298"/>
  <c r="BC557" i="298" s="1"/>
  <c r="BC560" i="298" s="1"/>
  <c r="AE321" i="298"/>
  <c r="O983" i="1"/>
  <c r="AD229" i="1"/>
  <c r="AD230" i="1" s="1"/>
  <c r="AD235" i="1" s="1"/>
  <c r="AV22" i="298"/>
  <c r="AY22" i="298" s="1"/>
  <c r="O371" i="298"/>
  <c r="X28" i="28"/>
  <c r="J551" i="298"/>
  <c r="J557" i="298" s="1"/>
  <c r="J558" i="298" s="1"/>
  <c r="AY182" i="298"/>
  <c r="U722" i="298"/>
  <c r="AU44" i="298"/>
  <c r="AV47" i="298" s="1"/>
  <c r="AY47" i="298" s="1"/>
  <c r="AE318" i="298"/>
  <c r="BC524" i="298"/>
  <c r="W44" i="298"/>
  <c r="AA45" i="298" s="1"/>
  <c r="AA51" i="298" s="1"/>
  <c r="I36" i="28"/>
  <c r="I41" i="28" s="1"/>
  <c r="I42" i="28" s="1"/>
  <c r="I27" i="28"/>
  <c r="I28" i="28" s="1"/>
  <c r="BB22" i="298"/>
  <c r="BG877" i="1"/>
  <c r="BG878" i="1"/>
  <c r="AE313" i="298"/>
  <c r="AE316" i="298"/>
  <c r="AE319" i="298"/>
  <c r="BC40" i="298"/>
  <c r="AF560" i="298"/>
  <c r="BC638" i="298"/>
  <c r="AE322" i="298"/>
  <c r="AE317" i="298"/>
  <c r="AE320" i="298"/>
  <c r="T80" i="28"/>
  <c r="S85" i="28"/>
  <c r="AL85" i="28" s="1"/>
  <c r="W22" i="298"/>
  <c r="BC42" i="298"/>
  <c r="BK543" i="1"/>
  <c r="AS558" i="298"/>
  <c r="BM43" i="1"/>
  <c r="N48" i="1"/>
  <c r="V346" i="1"/>
  <c r="V354" i="1" s="1"/>
  <c r="AE314" i="298"/>
  <c r="O79" i="298"/>
  <c r="H12" i="276"/>
  <c r="BM876" i="1"/>
  <c r="BM877" i="1"/>
  <c r="G12" i="276"/>
  <c r="BM44" i="1"/>
  <c r="P722" i="298"/>
  <c r="AE52" i="298"/>
  <c r="U22" i="298"/>
  <c r="BC639" i="298"/>
  <c r="F17" i="276"/>
  <c r="BC21" i="298"/>
  <c r="BD23" i="298" s="1"/>
  <c r="BC640" i="298"/>
  <c r="AW715" i="1"/>
  <c r="H17" i="276"/>
  <c r="BD14" i="298"/>
  <c r="BD177" i="298" s="1"/>
  <c r="AO335" i="298"/>
  <c r="AR560" i="298"/>
  <c r="BC41" i="298"/>
  <c r="BC13" i="298"/>
  <c r="BC18" i="298"/>
  <c r="BC19" i="298" s="1"/>
  <c r="V186" i="298"/>
  <c r="W532" i="298"/>
  <c r="W534" i="298" s="1"/>
  <c r="W542" i="298" s="1"/>
  <c r="G44" i="292"/>
  <c r="N372" i="298"/>
  <c r="Z983" i="1"/>
  <c r="AU532" i="298"/>
  <c r="AU534" i="298" s="1"/>
  <c r="AU542" i="298" s="1"/>
  <c r="R191" i="298"/>
  <c r="J25" i="28"/>
  <c r="BX56" i="468"/>
  <c r="BJ518" i="1"/>
  <c r="BJ515" i="1" s="1"/>
  <c r="AA737" i="1"/>
  <c r="AT49" i="1"/>
  <c r="BJ48" i="1"/>
  <c r="E80" i="28"/>
  <c r="AG14" i="28"/>
  <c r="AG15" i="28" s="1"/>
  <c r="T722" i="298"/>
  <c r="Y28" i="28"/>
  <c r="H84" i="28"/>
  <c r="AF545" i="298"/>
  <c r="AF548" i="298" s="1"/>
  <c r="AF549" i="298" s="1"/>
  <c r="BA181" i="298"/>
  <c r="BB186" i="298" s="1"/>
  <c r="H27" i="51"/>
  <c r="BM878" i="1"/>
  <c r="BM45" i="1"/>
  <c r="E42" i="28"/>
  <c r="AQ541" i="298"/>
  <c r="AQ542" i="298"/>
  <c r="AF510" i="298"/>
  <c r="BA524" i="298"/>
  <c r="BA358" i="298"/>
  <c r="AD722" i="298"/>
  <c r="I372" i="298"/>
  <c r="W191" i="298"/>
  <c r="W182" i="298"/>
  <c r="BY56" i="468"/>
  <c r="Y357" i="298"/>
  <c r="Q42" i="28"/>
  <c r="AF503" i="1"/>
  <c r="U191" i="298"/>
  <c r="U182" i="298"/>
  <c r="U192" i="298" s="1"/>
  <c r="BA721" i="298"/>
  <c r="AS560" i="298"/>
  <c r="X722" i="298"/>
  <c r="AE702" i="1"/>
  <c r="AC500" i="1"/>
  <c r="R722" i="298"/>
  <c r="AE694" i="1"/>
  <c r="BA720" i="298"/>
  <c r="AZ549" i="298"/>
  <c r="AT52" i="1"/>
  <c r="AI258" i="1"/>
  <c r="AT69" i="1"/>
  <c r="AT70" i="1" s="1"/>
  <c r="AT113" i="1" s="1"/>
  <c r="AT119" i="1" s="1"/>
  <c r="BH230" i="1"/>
  <c r="BH240" i="1" s="1"/>
  <c r="M722" i="298"/>
  <c r="AE257" i="1"/>
  <c r="AB722" i="298"/>
  <c r="BH22" i="1"/>
  <c r="BH23" i="1" s="1"/>
  <c r="AM65" i="359"/>
  <c r="BR60" i="468"/>
  <c r="AM60" i="359"/>
  <c r="AM142" i="359" s="1"/>
  <c r="AA186" i="298"/>
  <c r="BA716" i="298"/>
  <c r="BA722" i="298" s="1"/>
  <c r="R532" i="298"/>
  <c r="R534" i="298" s="1"/>
  <c r="R542" i="298" s="1"/>
  <c r="D44" i="292"/>
  <c r="AC357" i="298"/>
  <c r="CC54" i="468"/>
  <c r="BC133" i="298"/>
  <c r="AA143" i="359"/>
  <c r="AA144" i="359" s="1"/>
  <c r="M19" i="298"/>
  <c r="U20" i="1"/>
  <c r="AD22" i="1"/>
  <c r="T13" i="313" s="1"/>
  <c r="T18" i="313" s="1"/>
  <c r="T27" i="313" s="1"/>
  <c r="BB720" i="298"/>
  <c r="E44" i="298"/>
  <c r="I79" i="298"/>
  <c r="W79" i="298"/>
  <c r="W19" i="298"/>
  <c r="BK982" i="1"/>
  <c r="N632" i="1"/>
  <c r="AV186" i="298"/>
  <c r="AY186" i="298" s="1"/>
  <c r="BM351" i="1"/>
  <c r="BM359" i="1" s="1"/>
  <c r="AD62" i="298"/>
  <c r="AD64" i="298" s="1"/>
  <c r="AD65" i="298" s="1"/>
  <c r="AB339" i="1"/>
  <c r="AO324" i="298"/>
  <c r="BE505" i="298"/>
  <c r="BE545" i="298" s="1"/>
  <c r="BE548" i="298" s="1"/>
  <c r="BE778" i="1"/>
  <c r="BE785" i="1" s="1"/>
  <c r="BE788" i="1" s="1"/>
  <c r="AA746" i="1"/>
  <c r="AA22" i="1" s="1"/>
  <c r="BJ356" i="1"/>
  <c r="AE62" i="298"/>
  <c r="AE64" i="298" s="1"/>
  <c r="AB500" i="1"/>
  <c r="BK43" i="1"/>
  <c r="BE769" i="1"/>
  <c r="X500" i="1"/>
  <c r="AA19" i="298"/>
  <c r="BI460" i="1"/>
  <c r="AC759" i="1"/>
  <c r="AC761" i="1" s="1"/>
  <c r="AC769" i="1" s="1"/>
  <c r="X24" i="298"/>
  <c r="X44" i="298"/>
  <c r="X22" i="298"/>
  <c r="O24" i="298"/>
  <c r="S22" i="298"/>
  <c r="O44" i="298"/>
  <c r="S47" i="298" s="1"/>
  <c r="BD18" i="298"/>
  <c r="AA24" i="298"/>
  <c r="AA22" i="298"/>
  <c r="W85" i="28"/>
  <c r="T42" i="28"/>
  <c r="BL980" i="1"/>
  <c r="L518" i="1"/>
  <c r="L527" i="1" s="1"/>
  <c r="L531" i="1" s="1"/>
  <c r="T44" i="298"/>
  <c r="T24" i="298"/>
  <c r="T551" i="298"/>
  <c r="T557" i="298" s="1"/>
  <c r="T532" i="298"/>
  <c r="T534" i="298" s="1"/>
  <c r="G42" i="276"/>
  <c r="BV54" i="468"/>
  <c r="AR541" i="298"/>
  <c r="AR542" i="298"/>
  <c r="E532" i="298"/>
  <c r="E534" i="298" s="1"/>
  <c r="E551" i="298"/>
  <c r="E557" i="298" s="1"/>
  <c r="E560" i="298" s="1"/>
  <c r="D44" i="298"/>
  <c r="D60" i="298" s="1"/>
  <c r="AQ342" i="298"/>
  <c r="AQ343" i="298" s="1"/>
  <c r="AQ339" i="298"/>
  <c r="O191" i="298"/>
  <c r="O182" i="298"/>
  <c r="L20" i="1"/>
  <c r="I532" i="298"/>
  <c r="I534" i="298" s="1"/>
  <c r="I551" i="298"/>
  <c r="I557" i="298" s="1"/>
  <c r="J541" i="298"/>
  <c r="J542" i="298"/>
  <c r="O532" i="298"/>
  <c r="O534" i="298" s="1"/>
  <c r="O551" i="298"/>
  <c r="O557" i="298" s="1"/>
  <c r="K28" i="28"/>
  <c r="I44" i="298"/>
  <c r="I22" i="298"/>
  <c r="I24" i="298"/>
  <c r="AE696" i="1"/>
  <c r="AT166" i="298"/>
  <c r="AU171" i="298" s="1"/>
  <c r="AT172" i="298"/>
  <c r="AU172" i="298"/>
  <c r="BI980" i="1"/>
  <c r="BB704" i="1"/>
  <c r="AE698" i="1"/>
  <c r="CA54" i="468"/>
  <c r="U580" i="1"/>
  <c r="U591" i="1" s="1"/>
  <c r="P48" i="1"/>
  <c r="AU722" i="298"/>
  <c r="AT722" i="298"/>
  <c r="AE690" i="1"/>
  <c r="AV24" i="298"/>
  <c r="AY24" i="298" s="1"/>
  <c r="CB54" i="468"/>
  <c r="M532" i="298"/>
  <c r="M534" i="298" s="1"/>
  <c r="M551" i="298"/>
  <c r="M557" i="298" s="1"/>
  <c r="AS541" i="298"/>
  <c r="AS542" i="298"/>
  <c r="R85" i="28"/>
  <c r="M24" i="298"/>
  <c r="M22" i="298"/>
  <c r="L532" i="298"/>
  <c r="L534" i="298" s="1"/>
  <c r="L551" i="298"/>
  <c r="L557" i="298" s="1"/>
  <c r="L560" i="298" s="1"/>
  <c r="L24" i="298"/>
  <c r="L44" i="298"/>
  <c r="AO338" i="298"/>
  <c r="AO339" i="298" s="1"/>
  <c r="BL543" i="1"/>
  <c r="P26" i="1"/>
  <c r="AM72" i="359"/>
  <c r="V532" i="298"/>
  <c r="V534" i="298" s="1"/>
  <c r="V551" i="298"/>
  <c r="V557" i="298" s="1"/>
  <c r="V191" i="298"/>
  <c r="V182" i="298"/>
  <c r="L191" i="298"/>
  <c r="L182" i="298"/>
  <c r="L192" i="298" s="1"/>
  <c r="Y500" i="1"/>
  <c r="BV98" i="468"/>
  <c r="BV109" i="468" s="1"/>
  <c r="K768" i="1"/>
  <c r="V44" i="298"/>
  <c r="V24" i="298"/>
  <c r="AN65" i="359"/>
  <c r="AN137" i="359"/>
  <c r="AN72" i="359"/>
  <c r="AN60" i="359"/>
  <c r="AN142" i="359" s="1"/>
  <c r="BJ351" i="1"/>
  <c r="BK359" i="1" s="1"/>
  <c r="E63" i="292"/>
  <c r="AH757" i="1"/>
  <c r="AH759" i="1" s="1"/>
  <c r="AH761" i="1" s="1"/>
  <c r="AH768" i="1" s="1"/>
  <c r="AI983" i="1"/>
  <c r="X551" i="298"/>
  <c r="X557" i="298" s="1"/>
  <c r="X532" i="298"/>
  <c r="X534" i="298" s="1"/>
  <c r="BW99" i="468"/>
  <c r="X182" i="298"/>
  <c r="X186" i="298"/>
  <c r="X191" i="298"/>
  <c r="G63" i="28"/>
  <c r="G27" i="28"/>
  <c r="H28" i="28" s="1"/>
  <c r="H25" i="28"/>
  <c r="G36" i="28"/>
  <c r="G41" i="28" s="1"/>
  <c r="G79" i="28"/>
  <c r="F84" i="28"/>
  <c r="BD41" i="298"/>
  <c r="T500" i="1"/>
  <c r="N532" i="298"/>
  <c r="N551" i="298"/>
  <c r="N557" i="298" s="1"/>
  <c r="R558" i="298" s="1"/>
  <c r="BA530" i="298"/>
  <c r="BA551" i="298" s="1"/>
  <c r="BA557" i="298" s="1"/>
  <c r="AU14" i="298"/>
  <c r="AU344" i="298"/>
  <c r="K80" i="28"/>
  <c r="AA62" i="298"/>
  <c r="AA64" i="298" s="1"/>
  <c r="D532" i="298"/>
  <c r="AY530" i="298"/>
  <c r="AY551" i="298" s="1"/>
  <c r="AY557" i="298" s="1"/>
  <c r="AY560" i="298" s="1"/>
  <c r="D551" i="298"/>
  <c r="D557" i="298" s="1"/>
  <c r="D560" i="298" s="1"/>
  <c r="E43" i="28"/>
  <c r="E44" i="28" s="1"/>
  <c r="E46" i="28"/>
  <c r="AB76" i="298"/>
  <c r="AB80" i="298" s="1"/>
  <c r="AB83" i="298"/>
  <c r="AB87" i="298" s="1"/>
  <c r="X46" i="28"/>
  <c r="X43" i="28"/>
  <c r="X44" i="28" s="1"/>
  <c r="X42" i="28"/>
  <c r="BC722" i="298"/>
  <c r="AW532" i="298"/>
  <c r="AW534" i="298" s="1"/>
  <c r="AW551" i="298"/>
  <c r="AW557" i="298" s="1"/>
  <c r="N191" i="298"/>
  <c r="N182" i="298"/>
  <c r="W560" i="298"/>
  <c r="AA558" i="298"/>
  <c r="Z171" i="298"/>
  <c r="AD176" i="298"/>
  <c r="AD171" i="298"/>
  <c r="BE172" i="298"/>
  <c r="BD166" i="298"/>
  <c r="BE171" i="298" s="1"/>
  <c r="AY53" i="1"/>
  <c r="AW191" i="298"/>
  <c r="AZ191" i="298" s="1"/>
  <c r="AW186" i="298"/>
  <c r="AZ186" i="298" s="1"/>
  <c r="S722" i="298"/>
  <c r="W722" i="298"/>
  <c r="AR69" i="298"/>
  <c r="AR46" i="298"/>
  <c r="AR60" i="298"/>
  <c r="AR61" i="298" s="1"/>
  <c r="AR86" i="298" s="1"/>
  <c r="AR92" i="298" s="1"/>
  <c r="AR628" i="298" s="1"/>
  <c r="V57" i="298"/>
  <c r="V48" i="298" s="1"/>
  <c r="R46" i="298"/>
  <c r="R69" i="298"/>
  <c r="R60" i="298"/>
  <c r="R61" i="298" s="1"/>
  <c r="R86" i="298" s="1"/>
  <c r="R560" i="298"/>
  <c r="AV532" i="298"/>
  <c r="AV534" i="298" s="1"/>
  <c r="AV551" i="298"/>
  <c r="AV557" i="298" s="1"/>
  <c r="AH258" i="1"/>
  <c r="AL65" i="359"/>
  <c r="AL60" i="359"/>
  <c r="AL142" i="359" s="1"/>
  <c r="AL72" i="359"/>
  <c r="AL137" i="359"/>
  <c r="AW192" i="298"/>
  <c r="AZ192" i="298" s="1"/>
  <c r="AW187" i="298"/>
  <c r="AZ187" i="298" s="1"/>
  <c r="O277" i="1"/>
  <c r="AW24" i="298"/>
  <c r="AZ24" i="298" s="1"/>
  <c r="AW22" i="298"/>
  <c r="AZ22" i="298" s="1"/>
  <c r="Z519" i="298"/>
  <c r="Z510" i="298"/>
  <c r="Z545" i="298"/>
  <c r="Z548" i="298" s="1"/>
  <c r="Z549" i="298" s="1"/>
  <c r="AC71" i="298"/>
  <c r="AC79" i="298"/>
  <c r="AV187" i="298"/>
  <c r="AY187" i="298" s="1"/>
  <c r="AV192" i="298"/>
  <c r="AY192" i="298" s="1"/>
  <c r="BE40" i="298"/>
  <c r="Z79" i="298"/>
  <c r="Z19" i="298"/>
  <c r="Z76" i="298"/>
  <c r="AI116" i="298"/>
  <c r="BF116" i="298" s="1"/>
  <c r="BF123" i="298" s="1"/>
  <c r="AI138" i="298"/>
  <c r="J69" i="298"/>
  <c r="N57" i="298"/>
  <c r="N48" i="298" s="1"/>
  <c r="J60" i="298"/>
  <c r="J46" i="298"/>
  <c r="AA412" i="298"/>
  <c r="W356" i="298"/>
  <c r="BC412" i="298"/>
  <c r="AC76" i="298"/>
  <c r="S357" i="298"/>
  <c r="W358" i="298"/>
  <c r="BC358" i="298" s="1"/>
  <c r="AJ1001" i="1"/>
  <c r="BE704" i="1"/>
  <c r="BD722" i="1"/>
  <c r="AG999" i="1"/>
  <c r="BK459" i="1"/>
  <c r="Z346" i="1"/>
  <c r="AD354" i="1" s="1"/>
  <c r="V350" i="1"/>
  <c r="F13" i="313"/>
  <c r="K527" i="1"/>
  <c r="K531" i="1" s="1"/>
  <c r="BK337" i="1"/>
  <c r="BL346" i="1" s="1"/>
  <c r="AE591" i="1"/>
  <c r="AG20" i="1"/>
  <c r="Z500" i="1"/>
  <c r="BL502" i="1"/>
  <c r="Q500" i="1"/>
  <c r="BC239" i="1"/>
  <c r="H20" i="1"/>
  <c r="Q239" i="1"/>
  <c r="R503" i="1"/>
  <c r="Q219" i="1"/>
  <c r="Z8" i="267"/>
  <c r="AB503" i="1"/>
  <c r="V9" i="313"/>
  <c r="V10" i="313" s="1"/>
  <c r="BU45" i="468"/>
  <c r="BU61" i="468" s="1"/>
  <c r="Z143" i="359"/>
  <c r="Z144" i="359" s="1"/>
  <c r="W8" i="267"/>
  <c r="Z235" i="1"/>
  <c r="V13" i="267"/>
  <c r="V16" i="267" s="1"/>
  <c r="V18" i="267" s="1"/>
  <c r="V19" i="267" s="1"/>
  <c r="BK46" i="1"/>
  <c r="Q23" i="1"/>
  <c r="J759" i="1"/>
  <c r="J761" i="1" s="1"/>
  <c r="J778" i="1"/>
  <c r="J785" i="1" s="1"/>
  <c r="J788" i="1" s="1"/>
  <c r="AK109" i="468"/>
  <c r="AK110" i="468" s="1"/>
  <c r="AL50" i="468"/>
  <c r="AE632" i="1"/>
  <c r="AE500" i="1"/>
  <c r="J26" i="1"/>
  <c r="J518" i="1"/>
  <c r="X339" i="1"/>
  <c r="AB347" i="1"/>
  <c r="T338" i="1"/>
  <c r="X347" i="1" s="1"/>
  <c r="AF998" i="1"/>
  <c r="W234" i="1"/>
  <c r="F13" i="276"/>
  <c r="R240" i="1"/>
  <c r="AZ53" i="1"/>
  <c r="AH995" i="1"/>
  <c r="AH1004" i="1" s="1"/>
  <c r="AF347" i="1"/>
  <c r="AJ355" i="1" s="1"/>
  <c r="X20" i="1"/>
  <c r="R234" i="1"/>
  <c r="S632" i="1"/>
  <c r="AI737" i="1"/>
  <c r="U983" i="1"/>
  <c r="U500" i="1"/>
  <c r="S500" i="1"/>
  <c r="Q48" i="1"/>
  <c r="BK461" i="1"/>
  <c r="Q518" i="1"/>
  <c r="Q522" i="1" s="1"/>
  <c r="AG998" i="1"/>
  <c r="P500" i="1"/>
  <c r="G13" i="313"/>
  <c r="G15" i="313" s="1"/>
  <c r="AA632" i="1"/>
  <c r="BM220" i="1"/>
  <c r="BM732" i="1"/>
  <c r="BM746" i="1" s="1"/>
  <c r="N277" i="1"/>
  <c r="F42" i="276"/>
  <c r="BM499" i="1"/>
  <c r="AD594" i="1"/>
  <c r="R10" i="313"/>
  <c r="AC101" i="468"/>
  <c r="AB35" i="468"/>
  <c r="AB40" i="468" s="1"/>
  <c r="BN983" i="1"/>
  <c r="BL732" i="1"/>
  <c r="BL772" i="1" s="1"/>
  <c r="BL775" i="1" s="1"/>
  <c r="BL776" i="1" s="1"/>
  <c r="AD20" i="1"/>
  <c r="BK757" i="1"/>
  <c r="BK759" i="1" s="1"/>
  <c r="BK761" i="1" s="1"/>
  <c r="W26" i="1"/>
  <c r="R239" i="1"/>
  <c r="BN214" i="1"/>
  <c r="BN219" i="1" s="1"/>
  <c r="AG772" i="1"/>
  <c r="AG775" i="1" s="1"/>
  <c r="AR109" i="468"/>
  <c r="AZ78" i="1"/>
  <c r="AZ80" i="1" s="1"/>
  <c r="AG746" i="1"/>
  <c r="AE593" i="1"/>
  <c r="BV99" i="468"/>
  <c r="BK229" i="1"/>
  <c r="BK239" i="1" s="1"/>
  <c r="N8" i="267"/>
  <c r="BI266" i="1"/>
  <c r="AZ69" i="1"/>
  <c r="AZ70" i="1" s="1"/>
  <c r="AZ113" i="1" s="1"/>
  <c r="AZ119" i="1" s="1"/>
  <c r="R8" i="267"/>
  <c r="AE8" i="267"/>
  <c r="L48" i="1"/>
  <c r="L941" i="1" s="1"/>
  <c r="M632" i="1"/>
  <c r="Y983" i="1"/>
  <c r="N24" i="313"/>
  <c r="BE715" i="1"/>
  <c r="BG871" i="1"/>
  <c r="BG876" i="1" s="1"/>
  <c r="AI500" i="1"/>
  <c r="AJ22" i="1"/>
  <c r="AJ26" i="1" s="1"/>
  <c r="AN26" i="1" s="1"/>
  <c r="P23" i="1"/>
  <c r="W518" i="1"/>
  <c r="M13" i="313"/>
  <c r="BN502" i="1"/>
  <c r="AZ52" i="1"/>
  <c r="BN982" i="1"/>
  <c r="G13" i="276"/>
  <c r="V20" i="468"/>
  <c r="BN732" i="1"/>
  <c r="AB34" i="468"/>
  <c r="AB39" i="468" s="1"/>
  <c r="Z106" i="1"/>
  <c r="Q230" i="1"/>
  <c r="U235" i="1" s="1"/>
  <c r="L983" i="1"/>
  <c r="AJ459" i="1"/>
  <c r="AB20" i="1"/>
  <c r="S240" i="1"/>
  <c r="H13" i="313"/>
  <c r="L14" i="313" s="1"/>
  <c r="AJ229" i="1"/>
  <c r="AD983" i="1"/>
  <c r="S214" i="1"/>
  <c r="S219" i="1" s="1"/>
  <c r="AE106" i="1"/>
  <c r="W160" i="1"/>
  <c r="AE20" i="1"/>
  <c r="AC50" i="468"/>
  <c r="Z359" i="1"/>
  <c r="O173" i="1"/>
  <c r="AA106" i="1"/>
  <c r="N279" i="1"/>
  <c r="AA20" i="1"/>
  <c r="AG737" i="1"/>
  <c r="AA173" i="1"/>
  <c r="Y504" i="1"/>
  <c r="R23" i="1"/>
  <c r="BC710" i="1"/>
  <c r="BE78" i="1"/>
  <c r="BE80" i="1" s="1"/>
  <c r="BL587" i="1"/>
  <c r="BL220" i="1"/>
  <c r="BE69" i="1"/>
  <c r="BE70" i="1" s="1"/>
  <c r="BE113" i="1" s="1"/>
  <c r="BE119" i="1" s="1"/>
  <c r="W220" i="1"/>
  <c r="BI214" i="1"/>
  <c r="BI219" i="1" s="1"/>
  <c r="W500" i="1"/>
  <c r="BL214" i="1"/>
  <c r="BL219" i="1" s="1"/>
  <c r="BK24" i="1"/>
  <c r="BK25" i="1" s="1"/>
  <c r="AA788" i="1"/>
  <c r="BA786" i="1"/>
  <c r="AZ49" i="1"/>
  <c r="AZ57" i="1" s="1"/>
  <c r="N983" i="1"/>
  <c r="BN878" i="1"/>
  <c r="BJ173" i="1"/>
  <c r="BK356" i="1"/>
  <c r="AC55" i="468"/>
  <c r="AH74" i="28"/>
  <c r="AH75" i="28" s="1"/>
  <c r="AN75" i="28" s="1"/>
  <c r="AI461" i="1"/>
  <c r="W983" i="1"/>
  <c r="BN45" i="1"/>
  <c r="AN58" i="28"/>
  <c r="BM69" i="1"/>
  <c r="L350" i="1"/>
  <c r="P358" i="1" s="1"/>
  <c r="Z772" i="1"/>
  <c r="Z775" i="1" s="1"/>
  <c r="AD776" i="1" s="1"/>
  <c r="BL19" i="1"/>
  <c r="BL106" i="1" s="1"/>
  <c r="AL58" i="28"/>
  <c r="H18" i="292"/>
  <c r="H19" i="292" s="1"/>
  <c r="AI138" i="359"/>
  <c r="BN678" i="1"/>
  <c r="BN690" i="1" s="1"/>
  <c r="AD737" i="1"/>
  <c r="AA983" i="1"/>
  <c r="BJ337" i="1"/>
  <c r="U20" i="313"/>
  <c r="U21" i="313" s="1"/>
  <c r="AK58" i="28"/>
  <c r="BJ239" i="1"/>
  <c r="Q759" i="1"/>
  <c r="Q761" i="1" s="1"/>
  <c r="Q768" i="1" s="1"/>
  <c r="BN43" i="1"/>
  <c r="P234" i="1"/>
  <c r="BI267" i="1"/>
  <c r="M983" i="1"/>
  <c r="BK267" i="1"/>
  <c r="BM78" i="1"/>
  <c r="BK492" i="1"/>
  <c r="Y257" i="1"/>
  <c r="P527" i="1"/>
  <c r="T529" i="1" s="1"/>
  <c r="T39" i="1" s="1"/>
  <c r="BK570" i="1"/>
  <c r="AC257" i="1"/>
  <c r="Z22" i="1"/>
  <c r="P13" i="313" s="1"/>
  <c r="BM312" i="1"/>
  <c r="AE772" i="1"/>
  <c r="AE775" i="1" s="1"/>
  <c r="AE776" i="1" s="1"/>
  <c r="BH776" i="1"/>
  <c r="AI66" i="359"/>
  <c r="BM19" i="1"/>
  <c r="Z737" i="1"/>
  <c r="AB504" i="1"/>
  <c r="AE583" i="1"/>
  <c r="AI594" i="1" s="1"/>
  <c r="AM58" i="28"/>
  <c r="AB632" i="1"/>
  <c r="BN13" i="1"/>
  <c r="Z239" i="1"/>
  <c r="T20" i="1"/>
  <c r="E63" i="3"/>
  <c r="R26" i="1"/>
  <c r="Z234" i="1"/>
  <c r="L239" i="1"/>
  <c r="BL460" i="1"/>
  <c r="BB710" i="1"/>
  <c r="AH64" i="28"/>
  <c r="AK64" i="28" s="1"/>
  <c r="Z751" i="1"/>
  <c r="AE737" i="1"/>
  <c r="AE746" i="1"/>
  <c r="AE751" i="1" s="1"/>
  <c r="BJ342" i="1"/>
  <c r="BK350" i="1" s="1"/>
  <c r="R48" i="1"/>
  <c r="R941" i="1" s="1"/>
  <c r="BM501" i="1"/>
  <c r="BV45" i="468"/>
  <c r="BV61" i="468" s="1"/>
  <c r="BL313" i="1"/>
  <c r="AG1003" i="1"/>
  <c r="BM256" i="1"/>
  <c r="BM257" i="1" s="1"/>
  <c r="E48" i="1"/>
  <c r="AA88" i="1"/>
  <c r="V234" i="1"/>
  <c r="R518" i="1"/>
  <c r="R527" i="1" s="1"/>
  <c r="V529" i="1" s="1"/>
  <c r="V39" i="1" s="1"/>
  <c r="AK40" i="468"/>
  <c r="AE86" i="1"/>
  <c r="AK34" i="468"/>
  <c r="AK39" i="468" s="1"/>
  <c r="BI977" i="1"/>
  <c r="BJ983" i="1" s="1"/>
  <c r="AE80" i="1"/>
  <c r="AC983" i="1"/>
  <c r="BM460" i="1"/>
  <c r="Q504" i="1"/>
  <c r="S13" i="267"/>
  <c r="W16" i="267" s="1"/>
  <c r="AH983" i="1"/>
  <c r="AJ359" i="1"/>
  <c r="AZ768" i="1"/>
  <c r="AZ769" i="1"/>
  <c r="BE719" i="1"/>
  <c r="M69" i="1"/>
  <c r="M70" i="1" s="1"/>
  <c r="M113" i="1" s="1"/>
  <c r="O278" i="1"/>
  <c r="M78" i="1"/>
  <c r="M80" i="1" s="1"/>
  <c r="J279" i="1"/>
  <c r="N278" i="1"/>
  <c r="C11" i="267"/>
  <c r="C18" i="267" s="1"/>
  <c r="Q234" i="1"/>
  <c r="B13" i="313"/>
  <c r="B15" i="313" s="1"/>
  <c r="BL582" i="1"/>
  <c r="BL583" i="1" s="1"/>
  <c r="BM266" i="1"/>
  <c r="BL312" i="1"/>
  <c r="BK45" i="1"/>
  <c r="X354" i="1"/>
  <c r="BK502" i="1"/>
  <c r="G991" i="1"/>
  <c r="AY69" i="1"/>
  <c r="AY70" i="1" s="1"/>
  <c r="AY113" i="1" s="1"/>
  <c r="AY119" i="1" s="1"/>
  <c r="BJ502" i="1"/>
  <c r="L23" i="1"/>
  <c r="Q593" i="1"/>
  <c r="AF36" i="468"/>
  <c r="AF41" i="468" s="1"/>
  <c r="AY49" i="1"/>
  <c r="AY57" i="1" s="1"/>
  <c r="AG1000" i="1"/>
  <c r="BK13" i="1"/>
  <c r="AD8" i="267"/>
  <c r="AY52" i="1"/>
  <c r="BI220" i="1"/>
  <c r="AI632" i="1"/>
  <c r="E95" i="292"/>
  <c r="E92" i="292" s="1"/>
  <c r="AY78" i="1"/>
  <c r="E995" i="1"/>
  <c r="E1004" i="1" s="1"/>
  <c r="AH12" i="28"/>
  <c r="AH40" i="28" s="1"/>
  <c r="T106" i="1"/>
  <c r="BN876" i="1"/>
  <c r="BK876" i="1"/>
  <c r="H518" i="1"/>
  <c r="H522" i="1" s="1"/>
  <c r="AC80" i="1"/>
  <c r="BD704" i="1"/>
  <c r="W23" i="1"/>
  <c r="U13" i="267"/>
  <c r="Y16" i="267" s="1"/>
  <c r="Y18" i="267" s="1"/>
  <c r="Y19" i="267" s="1"/>
  <c r="AI58" i="1" s="1"/>
  <c r="AM55" i="468"/>
  <c r="E37" i="3"/>
  <c r="Y85" i="28"/>
  <c r="AE110" i="468"/>
  <c r="AC36" i="468"/>
  <c r="AC41" i="468" s="1"/>
  <c r="BU98" i="468"/>
  <c r="BU109" i="468" s="1"/>
  <c r="BU110" i="468" s="1"/>
  <c r="AE59" i="28"/>
  <c r="U9" i="313"/>
  <c r="U10" i="313" s="1"/>
  <c r="AE32" i="28"/>
  <c r="AJ73" i="359"/>
  <c r="AJ74" i="359" s="1"/>
  <c r="AK59" i="468"/>
  <c r="AC110" i="468"/>
  <c r="G15" i="276"/>
  <c r="AR34" i="468"/>
  <c r="AL55" i="468"/>
  <c r="H44" i="276"/>
  <c r="G44" i="276"/>
  <c r="P62" i="359"/>
  <c r="AK61" i="468"/>
  <c r="AN55" i="468"/>
  <c r="AK50" i="468"/>
  <c r="P13" i="267"/>
  <c r="P16" i="267" s="1"/>
  <c r="P18" i="267" s="1"/>
  <c r="AB109" i="468"/>
  <c r="AB101" i="468"/>
  <c r="AM41" i="468"/>
  <c r="Y8" i="267"/>
  <c r="Y354" i="1"/>
  <c r="AG504" i="1"/>
  <c r="L10" i="313"/>
  <c r="AG59" i="468"/>
  <c r="L8" i="267"/>
  <c r="BM587" i="1"/>
  <c r="AO59" i="468"/>
  <c r="N518" i="1"/>
  <c r="N527" i="1" s="1"/>
  <c r="R529" i="1" s="1"/>
  <c r="BL459" i="1"/>
  <c r="AK36" i="468"/>
  <c r="AK41" i="468" s="1"/>
  <c r="BK977" i="1"/>
  <c r="BK983" i="1" s="1"/>
  <c r="N23" i="1"/>
  <c r="BN587" i="1"/>
  <c r="AX53" i="1"/>
  <c r="W459" i="1"/>
  <c r="AE701" i="1"/>
  <c r="BK460" i="1"/>
  <c r="AR36" i="468"/>
  <c r="D13" i="313"/>
  <c r="AD593" i="1"/>
  <c r="AE695" i="1"/>
  <c r="BK266" i="1"/>
  <c r="BM52" i="1"/>
  <c r="BH332" i="1"/>
  <c r="AB354" i="1"/>
  <c r="K26" i="1"/>
  <c r="K48" i="1"/>
  <c r="K941" i="1" s="1"/>
  <c r="AG20" i="468"/>
  <c r="AE71" i="1"/>
  <c r="AE73" i="1" s="1"/>
  <c r="AE74" i="1" s="1"/>
  <c r="U55" i="468"/>
  <c r="AJ59" i="468"/>
  <c r="BH977" i="1"/>
  <c r="BH983" i="1" s="1"/>
  <c r="V20" i="1"/>
  <c r="AE700" i="1"/>
  <c r="Q983" i="1"/>
  <c r="AF20" i="468"/>
  <c r="AE699" i="1"/>
  <c r="AG995" i="1"/>
  <c r="U593" i="1"/>
  <c r="U594" i="1"/>
  <c r="H24" i="313"/>
  <c r="BK256" i="1"/>
  <c r="BL258" i="1" s="1"/>
  <c r="Y593" i="1"/>
  <c r="AE697" i="1"/>
  <c r="AJ342" i="1"/>
  <c r="H48" i="1"/>
  <c r="V55" i="468"/>
  <c r="AC746" i="1"/>
  <c r="AC772" i="1"/>
  <c r="AC775" i="1" s="1"/>
  <c r="AC59" i="468"/>
  <c r="H23" i="1"/>
  <c r="BL981" i="1"/>
  <c r="AX78" i="1"/>
  <c r="AX86" i="1" s="1"/>
  <c r="AC49" i="468"/>
  <c r="BM258" i="1"/>
  <c r="AI61" i="468"/>
  <c r="AC34" i="468"/>
  <c r="Q350" i="1"/>
  <c r="Q358" i="1" s="1"/>
  <c r="BG751" i="1"/>
  <c r="AX69" i="1"/>
  <c r="AX70" i="1" s="1"/>
  <c r="AX113" i="1" s="1"/>
  <c r="AX119" i="1" s="1"/>
  <c r="AC995" i="1"/>
  <c r="BG230" i="1"/>
  <c r="F15" i="276"/>
  <c r="AX52" i="1"/>
  <c r="W759" i="1"/>
  <c r="W761" i="1" s="1"/>
  <c r="W768" i="1" s="1"/>
  <c r="BK768" i="1" s="1"/>
  <c r="Z503" i="1"/>
  <c r="R500" i="1"/>
  <c r="AD71" i="1"/>
  <c r="AD73" i="1" s="1"/>
  <c r="AF500" i="1"/>
  <c r="F95" i="292"/>
  <c r="F92" i="292" s="1"/>
  <c r="AG40" i="468"/>
  <c r="AF40" i="468"/>
  <c r="BK499" i="1"/>
  <c r="BJ499" i="1"/>
  <c r="AH772" i="1"/>
  <c r="AH775" i="1" s="1"/>
  <c r="AH776" i="1" s="1"/>
  <c r="AH746" i="1"/>
  <c r="AH737" i="1"/>
  <c r="AC788" i="1"/>
  <c r="V338" i="1"/>
  <c r="Z347" i="1" s="1"/>
  <c r="Z339" i="1"/>
  <c r="S983" i="1"/>
  <c r="BJ501" i="1"/>
  <c r="BN220" i="1"/>
  <c r="AK20" i="468"/>
  <c r="BM173" i="1"/>
  <c r="AA583" i="1"/>
  <c r="BM502" i="1"/>
  <c r="AB769" i="1"/>
  <c r="AB768" i="1"/>
  <c r="AJ1000" i="1"/>
  <c r="W632" i="1"/>
  <c r="M52" i="1"/>
  <c r="BN877" i="1"/>
  <c r="AD580" i="1"/>
  <c r="Z580" i="1"/>
  <c r="X55" i="468"/>
  <c r="AZ714" i="1"/>
  <c r="AZ704" i="1"/>
  <c r="AM110" i="468"/>
  <c r="BK22" i="1"/>
  <c r="BL24" i="1" s="1"/>
  <c r="BL25" i="1" s="1"/>
  <c r="F9" i="313"/>
  <c r="F8" i="267"/>
  <c r="R983" i="1"/>
  <c r="AK49" i="468"/>
  <c r="AK51" i="468"/>
  <c r="AX721" i="1"/>
  <c r="AX722" i="1" s="1"/>
  <c r="AY723" i="1" s="1"/>
  <c r="AX710" i="1"/>
  <c r="AX704" i="1"/>
  <c r="AA28" i="28"/>
  <c r="AA500" i="1"/>
  <c r="AI51" i="468"/>
  <c r="AI49" i="468"/>
  <c r="BM267" i="1"/>
  <c r="BK501" i="1"/>
  <c r="BC724" i="1"/>
  <c r="G98" i="51"/>
  <c r="BC14" i="1"/>
  <c r="AD55" i="468"/>
  <c r="U239" i="1"/>
  <c r="BI582" i="1"/>
  <c r="BI583" i="1" s="1"/>
  <c r="AX49" i="1"/>
  <c r="AX57" i="1" s="1"/>
  <c r="AJ1003" i="1"/>
  <c r="BN460" i="1"/>
  <c r="BJ357" i="1"/>
  <c r="U359" i="1"/>
  <c r="P20" i="1"/>
  <c r="AD110" i="468"/>
  <c r="AF34" i="468"/>
  <c r="AF39" i="468" s="1"/>
  <c r="BL267" i="1"/>
  <c r="BR486" i="1"/>
  <c r="BR487" i="1" s="1"/>
  <c r="BC714" i="1"/>
  <c r="BC704" i="1"/>
  <c r="I8" i="267"/>
  <c r="Y358" i="1"/>
  <c r="BH46" i="1"/>
  <c r="AF59" i="468"/>
  <c r="I20" i="1"/>
  <c r="BA714" i="1"/>
  <c r="BA704" i="1"/>
  <c r="BI496" i="1"/>
  <c r="H47" i="276"/>
  <c r="V500" i="1"/>
  <c r="AI61" i="359"/>
  <c r="AI143" i="359" s="1"/>
  <c r="AI144" i="359" s="1"/>
  <c r="G47" i="276"/>
  <c r="U48" i="1"/>
  <c r="AM39" i="468"/>
  <c r="AA85" i="28"/>
  <c r="AL51" i="468"/>
  <c r="G14" i="276"/>
  <c r="AF995" i="1"/>
  <c r="AF1004" i="1" s="1"/>
  <c r="AH106" i="1"/>
  <c r="AH20" i="1"/>
  <c r="P9" i="313"/>
  <c r="T10" i="313" s="1"/>
  <c r="P8" i="267"/>
  <c r="AL49" i="468"/>
  <c r="BI982" i="1"/>
  <c r="AH788" i="1"/>
  <c r="F14" i="276"/>
  <c r="AF504" i="1"/>
  <c r="BK496" i="1"/>
  <c r="AO55" i="468"/>
  <c r="AC110" i="1"/>
  <c r="AC114" i="1" s="1"/>
  <c r="AC88" i="1"/>
  <c r="AC107" i="1" s="1"/>
  <c r="AE11" i="267"/>
  <c r="X20" i="313" s="1"/>
  <c r="X21" i="313" s="1"/>
  <c r="E39" i="276"/>
  <c r="X11" i="267"/>
  <c r="AH52" i="1"/>
  <c r="AH53" i="1"/>
  <c r="AH78" i="1"/>
  <c r="AI1048" i="1"/>
  <c r="AI1023" i="1" s="1"/>
  <c r="AI1045" i="1"/>
  <c r="AI1022" i="1" s="1"/>
  <c r="AI1042" i="1"/>
  <c r="AI1021" i="1" s="1"/>
  <c r="AI1039" i="1"/>
  <c r="AI1020" i="1" s="1"/>
  <c r="AI1036" i="1"/>
  <c r="AI1019" i="1" s="1"/>
  <c r="AK355" i="1"/>
  <c r="AG51" i="468"/>
  <c r="Z759" i="1"/>
  <c r="Z761" i="1" s="1"/>
  <c r="Z778" i="1"/>
  <c r="Z785" i="1" s="1"/>
  <c r="Z632" i="1"/>
  <c r="AD632" i="1"/>
  <c r="BL878" i="1"/>
  <c r="G8" i="292"/>
  <c r="BL45" i="1"/>
  <c r="BE235" i="1"/>
  <c r="BD240" i="1"/>
  <c r="BG240" i="1" s="1"/>
  <c r="AH268" i="1"/>
  <c r="AH266" i="1"/>
  <c r="AG61" i="468"/>
  <c r="Z86" i="1"/>
  <c r="AA55" i="523" s="1"/>
  <c r="AA57" i="523" s="1"/>
  <c r="AA58" i="523" s="1"/>
  <c r="Z80" i="1"/>
  <c r="AD79" i="1"/>
  <c r="F759" i="1"/>
  <c r="F761" i="1" s="1"/>
  <c r="F778" i="1"/>
  <c r="F785" i="1" s="1"/>
  <c r="BL877" i="1"/>
  <c r="BD23" i="1"/>
  <c r="BG23" i="1" s="1"/>
  <c r="BE23" i="1"/>
  <c r="BD26" i="1"/>
  <c r="AG50" i="468"/>
  <c r="S266" i="1"/>
  <c r="S268" i="1"/>
  <c r="W267" i="1"/>
  <c r="Z70" i="1"/>
  <c r="Z113" i="1" s="1"/>
  <c r="J23" i="1"/>
  <c r="F26" i="1"/>
  <c r="F48" i="1"/>
  <c r="BB26" i="1"/>
  <c r="BB48" i="1"/>
  <c r="BB941" i="1" s="1"/>
  <c r="BB942" i="1" s="1"/>
  <c r="BB23" i="1"/>
  <c r="E59" i="51"/>
  <c r="N239" i="1"/>
  <c r="N230" i="1"/>
  <c r="AJ1032" i="1"/>
  <c r="Y338" i="1"/>
  <c r="AC347" i="1" s="1"/>
  <c r="AC339" i="1"/>
  <c r="U759" i="1"/>
  <c r="U761" i="1" s="1"/>
  <c r="U778" i="1"/>
  <c r="U785" i="1" s="1"/>
  <c r="U788" i="1" s="1"/>
  <c r="E63" i="51"/>
  <c r="D56" i="51"/>
  <c r="E58" i="51" s="1"/>
  <c r="AR59" i="468"/>
  <c r="S496" i="1"/>
  <c r="S504" i="1" s="1"/>
  <c r="S487" i="1"/>
  <c r="W496" i="1"/>
  <c r="K13" i="313"/>
  <c r="U518" i="1"/>
  <c r="U26" i="1"/>
  <c r="AY768" i="1"/>
  <c r="AY769" i="1"/>
  <c r="Q632" i="1"/>
  <c r="U632" i="1"/>
  <c r="W55" i="468"/>
  <c r="AD768" i="1"/>
  <c r="AD769" i="1"/>
  <c r="BN458" i="1"/>
  <c r="Y55" i="468"/>
  <c r="AD788" i="1"/>
  <c r="AH786" i="1"/>
  <c r="AW69" i="1"/>
  <c r="AW78" i="1"/>
  <c r="AW52" i="1"/>
  <c r="AG268" i="1"/>
  <c r="AG266" i="1"/>
  <c r="Z41" i="468"/>
  <c r="AA80" i="28"/>
  <c r="BD48" i="1"/>
  <c r="BD941" i="1" s="1"/>
  <c r="BD942" i="1" s="1"/>
  <c r="M23" i="1"/>
  <c r="I26" i="1"/>
  <c r="I23" i="1"/>
  <c r="I518" i="1"/>
  <c r="I48" i="1"/>
  <c r="I941" i="1" s="1"/>
  <c r="AJ737" i="1"/>
  <c r="AF772" i="1"/>
  <c r="AF775" i="1" s="1"/>
  <c r="AJ776" i="1" s="1"/>
  <c r="AF746" i="1"/>
  <c r="T239" i="1"/>
  <c r="T234" i="1"/>
  <c r="T230" i="1"/>
  <c r="CA149" i="1"/>
  <c r="BC26" i="1"/>
  <c r="BC23" i="1"/>
  <c r="AF106" i="1"/>
  <c r="AF20" i="1"/>
  <c r="BN19" i="1"/>
  <c r="BN106" i="1" s="1"/>
  <c r="T759" i="1"/>
  <c r="T761" i="1" s="1"/>
  <c r="T778" i="1"/>
  <c r="T785" i="1" s="1"/>
  <c r="AF769" i="1"/>
  <c r="AF768" i="1"/>
  <c r="BK173" i="1"/>
  <c r="AF55" i="468"/>
  <c r="AJ20" i="1"/>
  <c r="AF109" i="468"/>
  <c r="AN47" i="1"/>
  <c r="BX155" i="1"/>
  <c r="BJ982" i="1"/>
  <c r="AP98" i="468"/>
  <c r="AP15" i="468"/>
  <c r="AP20" i="468" s="1"/>
  <c r="AP45" i="468"/>
  <c r="AP58" i="468"/>
  <c r="AP35" i="468" s="1"/>
  <c r="AP40" i="468" s="1"/>
  <c r="J13" i="313"/>
  <c r="T26" i="1"/>
  <c r="T23" i="1"/>
  <c r="T518" i="1"/>
  <c r="AC580" i="1"/>
  <c r="AC591" i="1" s="1"/>
  <c r="BM570" i="1"/>
  <c r="AG580" i="1"/>
  <c r="BL173" i="1"/>
  <c r="BL492" i="1"/>
  <c r="J69" i="1"/>
  <c r="J70" i="1" s="1"/>
  <c r="J113" i="1" s="1"/>
  <c r="P235" i="1"/>
  <c r="BV58" i="468"/>
  <c r="BV59" i="468" s="1"/>
  <c r="AF49" i="468"/>
  <c r="AI78" i="1"/>
  <c r="AI79" i="1" s="1"/>
  <c r="AI69" i="1"/>
  <c r="AI757" i="1"/>
  <c r="AI759" i="1" s="1"/>
  <c r="AI761" i="1" s="1"/>
  <c r="AI52" i="1"/>
  <c r="AI53" i="1"/>
  <c r="AI49" i="1"/>
  <c r="AI57" i="1" s="1"/>
  <c r="AF11" i="267"/>
  <c r="Y20" i="313" s="1"/>
  <c r="E38" i="276"/>
  <c r="Y11" i="267"/>
  <c r="D759" i="1"/>
  <c r="D761" i="1" s="1"/>
  <c r="D778" i="1"/>
  <c r="D785" i="1" s="1"/>
  <c r="D788" i="1" s="1"/>
  <c r="W338" i="1"/>
  <c r="AA347" i="1" s="1"/>
  <c r="AA339" i="1"/>
  <c r="AE347" i="1"/>
  <c r="BE724" i="1"/>
  <c r="I98" i="51"/>
  <c r="BE14" i="1"/>
  <c r="BE15" i="1" s="1"/>
  <c r="AD350" i="1"/>
  <c r="Z350" i="1"/>
  <c r="AF785" i="1"/>
  <c r="AF61" i="468"/>
  <c r="BM13" i="1"/>
  <c r="E999" i="1"/>
  <c r="AQ338" i="1"/>
  <c r="AI340" i="1"/>
  <c r="BN338" i="1"/>
  <c r="BL876" i="1"/>
  <c r="H98" i="51"/>
  <c r="BD724" i="1"/>
  <c r="BD14" i="1"/>
  <c r="BG14" i="1" s="1"/>
  <c r="R55" i="468"/>
  <c r="AF50" i="468"/>
  <c r="BL501" i="1"/>
  <c r="T632" i="1"/>
  <c r="BH981" i="1"/>
  <c r="BI981" i="1"/>
  <c r="BM582" i="1"/>
  <c r="BN582" i="1"/>
  <c r="AE983" i="1"/>
  <c r="P503" i="1"/>
  <c r="BO571" i="1"/>
  <c r="O9" i="313"/>
  <c r="S10" i="313" s="1"/>
  <c r="O8" i="267"/>
  <c r="J52" i="1"/>
  <c r="BD759" i="1"/>
  <c r="BD761" i="1" s="1"/>
  <c r="BD778" i="1"/>
  <c r="BD785" i="1" s="1"/>
  <c r="U23" i="1"/>
  <c r="BC778" i="1"/>
  <c r="BC785" i="1" s="1"/>
  <c r="BC759" i="1"/>
  <c r="BC761" i="1" s="1"/>
  <c r="K9" i="313"/>
  <c r="K8" i="267"/>
  <c r="R350" i="1"/>
  <c r="R358" i="1" s="1"/>
  <c r="BA69" i="1"/>
  <c r="BA70" i="1" s="1"/>
  <c r="BA113" i="1" s="1"/>
  <c r="BA119" i="1" s="1"/>
  <c r="P786" i="1"/>
  <c r="AG55" i="468"/>
  <c r="M279" i="1"/>
  <c r="AW49" i="1"/>
  <c r="AW57" i="1" s="1"/>
  <c r="AE995" i="1"/>
  <c r="AI1004" i="1" s="1"/>
  <c r="BH570" i="1"/>
  <c r="AG350" i="1"/>
  <c r="AG358" i="1" s="1"/>
  <c r="BK357" i="1"/>
  <c r="BJ461" i="1"/>
  <c r="BJ459" i="1"/>
  <c r="S459" i="1"/>
  <c r="S461" i="1"/>
  <c r="X239" i="1"/>
  <c r="X234" i="1"/>
  <c r="X230" i="1"/>
  <c r="AF999" i="1"/>
  <c r="AJ999" i="1"/>
  <c r="BM342" i="1"/>
  <c r="BM338" i="1"/>
  <c r="BL13" i="1"/>
  <c r="BI342" i="1"/>
  <c r="BI350" i="1" s="1"/>
  <c r="AF1002" i="1"/>
  <c r="AJ1002" i="1"/>
  <c r="AR35" i="468"/>
  <c r="AG593" i="1"/>
  <c r="AG583" i="1"/>
  <c r="BK160" i="1"/>
  <c r="AH35" i="468"/>
  <c r="AH40" i="468" s="1"/>
  <c r="BA49" i="1"/>
  <c r="BA57" i="1" s="1"/>
  <c r="AV53" i="1"/>
  <c r="AI110" i="468"/>
  <c r="BA53" i="1"/>
  <c r="AA41" i="468"/>
  <c r="AV78" i="1"/>
  <c r="AV86" i="1" s="1"/>
  <c r="S778" i="1"/>
  <c r="S785" i="1" s="1"/>
  <c r="S788" i="1" s="1"/>
  <c r="S759" i="1"/>
  <c r="S761" i="1" s="1"/>
  <c r="D9" i="313"/>
  <c r="H8" i="267"/>
  <c r="Y106" i="1"/>
  <c r="Y20" i="1"/>
  <c r="J8" i="267"/>
  <c r="J9" i="313"/>
  <c r="AW53" i="1"/>
  <c r="AG359" i="1"/>
  <c r="BH878" i="1"/>
  <c r="BH44" i="1"/>
  <c r="BH43" i="1"/>
  <c r="C8" i="292"/>
  <c r="E9" i="3"/>
  <c r="BH19" i="1"/>
  <c r="BH45" i="1"/>
  <c r="W354" i="1"/>
  <c r="BC48" i="1"/>
  <c r="AE39" i="468"/>
  <c r="BK877" i="1"/>
  <c r="AV69" i="1"/>
  <c r="AV70" i="1" s="1"/>
  <c r="AV113" i="1" s="1"/>
  <c r="AV119" i="1" s="1"/>
  <c r="BE722" i="1"/>
  <c r="M337" i="1"/>
  <c r="BK258" i="1"/>
  <c r="N20" i="1"/>
  <c r="N106" i="1"/>
  <c r="AJ504" i="1"/>
  <c r="S26" i="1"/>
  <c r="S518" i="1"/>
  <c r="S48" i="1"/>
  <c r="I13" i="313"/>
  <c r="I15" i="313" s="1"/>
  <c r="W266" i="1"/>
  <c r="AI268" i="1"/>
  <c r="AI266" i="1"/>
  <c r="U234" i="1"/>
  <c r="BB759" i="1"/>
  <c r="BB761" i="1" s="1"/>
  <c r="BB778" i="1"/>
  <c r="BB785" i="1" s="1"/>
  <c r="AC71" i="1"/>
  <c r="AC73" i="1" s="1"/>
  <c r="N63" i="1"/>
  <c r="BL342" i="1"/>
  <c r="BL350" i="1" s="1"/>
  <c r="AZ786" i="1"/>
  <c r="T55" i="468"/>
  <c r="X23" i="1"/>
  <c r="X518" i="1"/>
  <c r="AB521" i="1" s="1"/>
  <c r="X26" i="1"/>
  <c r="N13" i="313"/>
  <c r="X48" i="1"/>
  <c r="X941" i="1" s="1"/>
  <c r="AF737" i="1"/>
  <c r="BK878" i="1"/>
  <c r="T503" i="1"/>
  <c r="BL266" i="1"/>
  <c r="E759" i="1"/>
  <c r="E761" i="1" s="1"/>
  <c r="E778" i="1"/>
  <c r="E785" i="1" s="1"/>
  <c r="E788" i="1" s="1"/>
  <c r="BM459" i="1"/>
  <c r="BH877" i="1"/>
  <c r="N778" i="1"/>
  <c r="N785" i="1" s="1"/>
  <c r="R786" i="1" s="1"/>
  <c r="N759" i="1"/>
  <c r="N761" i="1" s="1"/>
  <c r="AH341" i="1"/>
  <c r="AL341" i="1" s="1"/>
  <c r="AH256" i="1"/>
  <c r="AH257" i="1" s="1"/>
  <c r="H759" i="1"/>
  <c r="H778" i="1"/>
  <c r="H785" i="1" s="1"/>
  <c r="AC583" i="1"/>
  <c r="AC594" i="1" s="1"/>
  <c r="AC593" i="1"/>
  <c r="AF593" i="1"/>
  <c r="AB593" i="1"/>
  <c r="AB583" i="1"/>
  <c r="AH594" i="1"/>
  <c r="W359" i="1"/>
  <c r="AA358" i="1"/>
  <c r="BL43" i="1"/>
  <c r="BK44" i="1"/>
  <c r="BN499" i="1"/>
  <c r="T48" i="1"/>
  <c r="T941" i="1" s="1"/>
  <c r="BH757" i="1"/>
  <c r="BH778" i="1" s="1"/>
  <c r="BH785" i="1" s="1"/>
  <c r="BH788" i="1" s="1"/>
  <c r="I778" i="1"/>
  <c r="I785" i="1" s="1"/>
  <c r="I759" i="1"/>
  <c r="I761" i="1" s="1"/>
  <c r="I769" i="1" s="1"/>
  <c r="R20" i="1"/>
  <c r="AH55" i="468"/>
  <c r="BD235" i="1"/>
  <c r="BG235" i="1" s="1"/>
  <c r="BC240" i="1"/>
  <c r="BC235" i="1"/>
  <c r="Y746" i="1"/>
  <c r="Y772" i="1"/>
  <c r="Y775" i="1" s="1"/>
  <c r="Y737" i="1"/>
  <c r="AC737" i="1"/>
  <c r="X580" i="1"/>
  <c r="BL570" i="1"/>
  <c r="AB580" i="1"/>
  <c r="AF591" i="1" s="1"/>
  <c r="F995" i="1"/>
  <c r="F1004" i="1" s="1"/>
  <c r="X759" i="1"/>
  <c r="X761" i="1" s="1"/>
  <c r="X778" i="1"/>
  <c r="X785" i="1" s="1"/>
  <c r="BA78" i="1"/>
  <c r="AE41" i="468"/>
  <c r="BK19" i="1"/>
  <c r="BI351" i="1"/>
  <c r="AH359" i="1"/>
  <c r="AD359" i="1"/>
  <c r="AD1033" i="1"/>
  <c r="AD1032" i="1" s="1"/>
  <c r="S582" i="1"/>
  <c r="S570" i="1"/>
  <c r="BJ570" i="1" s="1"/>
  <c r="W582" i="1"/>
  <c r="F27" i="28"/>
  <c r="F63" i="28"/>
  <c r="F36" i="28"/>
  <c r="F41" i="28" s="1"/>
  <c r="F25" i="28"/>
  <c r="G25" i="28"/>
  <c r="E84" i="28"/>
  <c r="F79" i="28"/>
  <c r="I27" i="51"/>
  <c r="I28" i="51"/>
  <c r="AE63" i="28"/>
  <c r="AE36" i="28"/>
  <c r="AE41" i="28" s="1"/>
  <c r="AE25" i="28"/>
  <c r="AE27" i="28"/>
  <c r="AE79" i="28"/>
  <c r="AD84" i="28"/>
  <c r="AD90" i="28" s="1"/>
  <c r="M63" i="28"/>
  <c r="M36" i="28"/>
  <c r="M41" i="28" s="1"/>
  <c r="M25" i="28"/>
  <c r="M27" i="28"/>
  <c r="M28" i="28" s="1"/>
  <c r="L84" i="28"/>
  <c r="M79" i="28"/>
  <c r="N63" i="28"/>
  <c r="N36" i="28"/>
  <c r="N41" i="28" s="1"/>
  <c r="N25" i="28"/>
  <c r="N27" i="28"/>
  <c r="M84" i="28"/>
  <c r="N79" i="28"/>
  <c r="AD63" i="28"/>
  <c r="AD36" i="28"/>
  <c r="AD41" i="28" s="1"/>
  <c r="AD25" i="28"/>
  <c r="AD27" i="28"/>
  <c r="AD79" i="28"/>
  <c r="AC84" i="28"/>
  <c r="AC90" i="28" s="1"/>
  <c r="AE88" i="298"/>
  <c r="AE626" i="298"/>
  <c r="AE629" i="298" s="1"/>
  <c r="AE93" i="298"/>
  <c r="G46" i="51"/>
  <c r="X62" i="359"/>
  <c r="X143" i="359"/>
  <c r="X144" i="359" s="1"/>
  <c r="BB541" i="298"/>
  <c r="BB542" i="298"/>
  <c r="K66" i="3"/>
  <c r="BN46" i="1"/>
  <c r="BN38" i="1"/>
  <c r="AT283" i="298"/>
  <c r="AT284" i="298"/>
  <c r="AT227" i="298"/>
  <c r="AC78" i="28"/>
  <c r="AC83" i="28"/>
  <c r="H91" i="51"/>
  <c r="D9" i="3"/>
  <c r="BG19" i="1"/>
  <c r="BG45" i="1"/>
  <c r="BG43" i="1"/>
  <c r="BH13" i="1"/>
  <c r="BG44" i="1"/>
  <c r="M9" i="313"/>
  <c r="M8" i="267"/>
  <c r="R62" i="359"/>
  <c r="R143" i="359"/>
  <c r="R144" i="359" s="1"/>
  <c r="BJ582" i="1"/>
  <c r="BK582" i="1"/>
  <c r="AU186" i="298"/>
  <c r="BB23" i="298"/>
  <c r="U495" i="1"/>
  <c r="Y495" i="1"/>
  <c r="AU52" i="1"/>
  <c r="AU49" i="1"/>
  <c r="AU57" i="1" s="1"/>
  <c r="AU78" i="1"/>
  <c r="AU53" i="1"/>
  <c r="AU69" i="1"/>
  <c r="S172" i="298"/>
  <c r="S166" i="298"/>
  <c r="W176" i="298" s="1"/>
  <c r="BC176" i="298" s="1"/>
  <c r="W172" i="298"/>
  <c r="R83" i="28"/>
  <c r="R78" i="28"/>
  <c r="AJ143" i="359"/>
  <c r="AJ144" i="359" s="1"/>
  <c r="AJ62" i="359"/>
  <c r="AI775" i="1"/>
  <c r="I43" i="51"/>
  <c r="H45" i="51"/>
  <c r="H47" i="51"/>
  <c r="BE41" i="298"/>
  <c r="I998" i="1"/>
  <c r="BI22" i="1"/>
  <c r="BJ24" i="1" s="1"/>
  <c r="BJ25" i="1" s="1"/>
  <c r="BI229" i="1"/>
  <c r="BI751" i="1"/>
  <c r="AI156" i="298"/>
  <c r="AI142" i="298" s="1"/>
  <c r="AH142" i="298"/>
  <c r="U46" i="298"/>
  <c r="U69" i="298"/>
  <c r="U60" i="298"/>
  <c r="AK46" i="298"/>
  <c r="AK69" i="298"/>
  <c r="AK60" i="298"/>
  <c r="K78" i="28"/>
  <c r="K83" i="28"/>
  <c r="X503" i="1"/>
  <c r="M38" i="3"/>
  <c r="X593" i="1"/>
  <c r="T583" i="1"/>
  <c r="T593" i="1"/>
  <c r="I10" i="313"/>
  <c r="I24" i="313"/>
  <c r="O759" i="1"/>
  <c r="O778" i="1"/>
  <c r="O785" i="1" s="1"/>
  <c r="BI757" i="1"/>
  <c r="BI778" i="1" s="1"/>
  <c r="BI785" i="1" s="1"/>
  <c r="BJ786" i="1" s="1"/>
  <c r="AF268" i="1"/>
  <c r="AF266" i="1"/>
  <c r="J35" i="51"/>
  <c r="AG149" i="298"/>
  <c r="AF983" i="1"/>
  <c r="AJ983" i="1"/>
  <c r="M191" i="298"/>
  <c r="Q171" i="298"/>
  <c r="Q176" i="298"/>
  <c r="S29" i="313"/>
  <c r="S34" i="313" s="1"/>
  <c r="S24" i="313"/>
  <c r="AA354" i="1"/>
  <c r="P83" i="28"/>
  <c r="P78" i="28"/>
  <c r="P593" i="1"/>
  <c r="P583" i="1"/>
  <c r="J43" i="28"/>
  <c r="J46" i="28"/>
  <c r="AV49" i="1"/>
  <c r="AV57" i="1" s="1"/>
  <c r="D50" i="51"/>
  <c r="D19" i="51"/>
  <c r="D82" i="51"/>
  <c r="D33" i="51"/>
  <c r="D72" i="51"/>
  <c r="D10" i="51"/>
  <c r="E95" i="51"/>
  <c r="D65" i="51"/>
  <c r="E94" i="51"/>
  <c r="D24" i="51"/>
  <c r="G998" i="1"/>
  <c r="M78" i="28"/>
  <c r="M83" i="28"/>
  <c r="BE13" i="298"/>
  <c r="BE640" i="298"/>
  <c r="BE39" i="298"/>
  <c r="BE639" i="298"/>
  <c r="T62" i="359"/>
  <c r="T143" i="359"/>
  <c r="T144" i="359" s="1"/>
  <c r="AE519" i="298"/>
  <c r="AE510" i="298"/>
  <c r="AE545" i="298"/>
  <c r="AE548" i="298" s="1"/>
  <c r="AE549" i="298" s="1"/>
  <c r="AE560" i="298"/>
  <c r="J989" i="1"/>
  <c r="K1010" i="1"/>
  <c r="S234" i="1"/>
  <c r="O230" i="1"/>
  <c r="O239" i="1"/>
  <c r="R22" i="313"/>
  <c r="L769" i="1"/>
  <c r="L768" i="1"/>
  <c r="AI122" i="298"/>
  <c r="AH115" i="298"/>
  <c r="AH137" i="298"/>
  <c r="R580" i="1"/>
  <c r="R591" i="1" s="1"/>
  <c r="V580" i="1"/>
  <c r="Q143" i="359"/>
  <c r="Q144" i="359" s="1"/>
  <c r="Q62" i="359"/>
  <c r="K551" i="298"/>
  <c r="K557" i="298" s="1"/>
  <c r="K532" i="298"/>
  <c r="K534" i="298" s="1"/>
  <c r="AA219" i="1"/>
  <c r="AJ593" i="1"/>
  <c r="AJ583" i="1"/>
  <c r="AJ594" i="1" s="1"/>
  <c r="AB22" i="1"/>
  <c r="AB229" i="1"/>
  <c r="AB751" i="1"/>
  <c r="AP74" i="298"/>
  <c r="AP71" i="298"/>
  <c r="G78" i="28"/>
  <c r="G83" i="28"/>
  <c r="AD503" i="1"/>
  <c r="AJ39" i="468"/>
  <c r="BN631" i="1"/>
  <c r="BN626" i="1"/>
  <c r="AD519" i="298"/>
  <c r="AD545" i="298"/>
  <c r="AD548" i="298" s="1"/>
  <c r="AD510" i="298"/>
  <c r="O20" i="1"/>
  <c r="O106" i="1"/>
  <c r="Q182" i="298"/>
  <c r="Q191" i="298"/>
  <c r="Q186" i="298"/>
  <c r="U186" i="298"/>
  <c r="AH144" i="298"/>
  <c r="AH151" i="298" s="1"/>
  <c r="AI158" i="298"/>
  <c r="X358" i="1"/>
  <c r="BL487" i="1"/>
  <c r="AA495" i="1"/>
  <c r="AE495" i="1"/>
  <c r="E13" i="313"/>
  <c r="O48" i="1"/>
  <c r="O941" i="1" s="1"/>
  <c r="O518" i="1"/>
  <c r="O26" i="1"/>
  <c r="O23" i="1"/>
  <c r="S23" i="1"/>
  <c r="D78" i="28"/>
  <c r="D83" i="28"/>
  <c r="W240" i="1"/>
  <c r="W235" i="1"/>
  <c r="T29" i="313"/>
  <c r="T34" i="313" s="1"/>
  <c r="T24" i="313"/>
  <c r="Y62" i="359"/>
  <c r="Y143" i="359"/>
  <c r="Y144" i="359" s="1"/>
  <c r="R788" i="1"/>
  <c r="AW60" i="298"/>
  <c r="AW47" i="298"/>
  <c r="AZ47" i="298" s="1"/>
  <c r="AW69" i="298"/>
  <c r="AW45" i="298"/>
  <c r="AW46" i="298"/>
  <c r="AZ46" i="298" s="1"/>
  <c r="AG143" i="298"/>
  <c r="AG118" i="298"/>
  <c r="P983" i="1"/>
  <c r="T983" i="1"/>
  <c r="AW719" i="1"/>
  <c r="AW722" i="1"/>
  <c r="AW723" i="1" s="1"/>
  <c r="S25" i="28"/>
  <c r="AC62" i="359"/>
  <c r="AC143" i="359"/>
  <c r="AC144" i="359" s="1"/>
  <c r="Q8" i="267"/>
  <c r="M60" i="298"/>
  <c r="M69" i="298"/>
  <c r="M46" i="298"/>
  <c r="Q57" i="298"/>
  <c r="Q48" i="298" s="1"/>
  <c r="Z593" i="1"/>
  <c r="V593" i="1"/>
  <c r="V583" i="1"/>
  <c r="K22" i="298"/>
  <c r="K24" i="298"/>
  <c r="K44" i="298"/>
  <c r="O22" i="298"/>
  <c r="AM45" i="298"/>
  <c r="AM51" i="298" s="1"/>
  <c r="AM46" i="298"/>
  <c r="AM69" i="298"/>
  <c r="AM47" i="298"/>
  <c r="AM60" i="298"/>
  <c r="AC63" i="28"/>
  <c r="AC36" i="28"/>
  <c r="AC41" i="28" s="1"/>
  <c r="AC25" i="28"/>
  <c r="AC27" i="28"/>
  <c r="AC28" i="28" s="1"/>
  <c r="AN46" i="298"/>
  <c r="AN45" i="298"/>
  <c r="AN51" i="298" s="1"/>
  <c r="AN47" i="298"/>
  <c r="AN60" i="298"/>
  <c r="AN69" i="298"/>
  <c r="AQ15" i="468"/>
  <c r="AQ20" i="468" s="1"/>
  <c r="AQ45" i="468"/>
  <c r="AQ98" i="468"/>
  <c r="AQ58" i="468"/>
  <c r="AR45" i="468"/>
  <c r="AB78" i="28"/>
  <c r="AB83" i="28"/>
  <c r="F77" i="51"/>
  <c r="E74" i="51"/>
  <c r="E84" i="51" s="1"/>
  <c r="BB722" i="1"/>
  <c r="V21" i="313"/>
  <c r="M11" i="267"/>
  <c r="E50" i="276"/>
  <c r="W78" i="1"/>
  <c r="W69" i="1"/>
  <c r="W52" i="1"/>
  <c r="AA53" i="1"/>
  <c r="AA49" i="1"/>
  <c r="AA57" i="1" s="1"/>
  <c r="AY18" i="298"/>
  <c r="AZ19" i="298" s="1"/>
  <c r="AY640" i="298"/>
  <c r="AY710" i="298"/>
  <c r="AY716" i="298" s="1"/>
  <c r="AY639" i="298"/>
  <c r="AY638" i="298"/>
  <c r="BL496" i="1"/>
  <c r="BL629" i="1"/>
  <c r="BL626" i="1"/>
  <c r="BL632" i="1" s="1"/>
  <c r="BE638" i="298"/>
  <c r="R79" i="28"/>
  <c r="BD126" i="298"/>
  <c r="BD139" i="298"/>
  <c r="BE139" i="298"/>
  <c r="AJ41" i="468"/>
  <c r="AD19" i="298"/>
  <c r="AD79" i="298"/>
  <c r="AH79" i="298" s="1"/>
  <c r="BE18" i="298"/>
  <c r="BE71" i="298" s="1"/>
  <c r="Q551" i="298"/>
  <c r="Q557" i="298" s="1"/>
  <c r="Q532" i="298"/>
  <c r="Q534" i="298" s="1"/>
  <c r="AG151" i="298"/>
  <c r="BI492" i="1"/>
  <c r="BJ492" i="1"/>
  <c r="BC172" i="298"/>
  <c r="BD172" i="298"/>
  <c r="BC166" i="298"/>
  <c r="AE79" i="298"/>
  <c r="AI79" i="298" s="1"/>
  <c r="AE19" i="298"/>
  <c r="AE71" i="298"/>
  <c r="AE76" i="298"/>
  <c r="AE504" i="1"/>
  <c r="AI504" i="1"/>
  <c r="AN41" i="468"/>
  <c r="AO41" i="468"/>
  <c r="AA78" i="28"/>
  <c r="AA83" i="28"/>
  <c r="BL357" i="1"/>
  <c r="BM357" i="1"/>
  <c r="U62" i="359"/>
  <c r="U143" i="359"/>
  <c r="U144" i="359" s="1"/>
  <c r="G54" i="51"/>
  <c r="AD560" i="298"/>
  <c r="S43" i="28"/>
  <c r="S46" i="28"/>
  <c r="G759" i="1"/>
  <c r="G778" i="1"/>
  <c r="G785" i="1" s="1"/>
  <c r="BG757" i="1"/>
  <c r="BG778" i="1" s="1"/>
  <c r="BG785" i="1" s="1"/>
  <c r="BE42" i="298"/>
  <c r="BE36" i="298"/>
  <c r="E64" i="292"/>
  <c r="E83" i="292"/>
  <c r="Q24" i="313"/>
  <c r="J78" i="28"/>
  <c r="J83" i="28"/>
  <c r="R593" i="1"/>
  <c r="R583" i="1"/>
  <c r="S55" i="468"/>
  <c r="V27" i="28"/>
  <c r="V63" i="28"/>
  <c r="V25" i="28"/>
  <c r="V36" i="28"/>
  <c r="V41" i="28" s="1"/>
  <c r="W25" i="28"/>
  <c r="D29" i="51"/>
  <c r="AI22" i="1"/>
  <c r="AI229" i="1"/>
  <c r="AI751" i="1"/>
  <c r="BN559" i="1"/>
  <c r="U538" i="298"/>
  <c r="U63" i="298" s="1"/>
  <c r="BC63" i="298" s="1"/>
  <c r="U537" i="298"/>
  <c r="N69" i="298"/>
  <c r="N60" i="298"/>
  <c r="N47" i="298"/>
  <c r="R47" i="298"/>
  <c r="N45" i="298"/>
  <c r="N51" i="298" s="1"/>
  <c r="N46" i="298"/>
  <c r="R45" i="298"/>
  <c r="R51" i="298" s="1"/>
  <c r="R57" i="298"/>
  <c r="R48" i="298" s="1"/>
  <c r="P182" i="298"/>
  <c r="P191" i="298"/>
  <c r="P186" i="298"/>
  <c r="T186" i="298"/>
  <c r="BD639" i="298"/>
  <c r="AJ495" i="1"/>
  <c r="AJ503" i="1" s="1"/>
  <c r="AC493" i="298"/>
  <c r="BE493" i="298" s="1"/>
  <c r="BD493" i="298"/>
  <c r="BD494" i="298" s="1"/>
  <c r="BL499" i="1"/>
  <c r="Q24" i="298"/>
  <c r="Q22" i="298"/>
  <c r="Q44" i="298"/>
  <c r="Y80" i="28"/>
  <c r="BL630" i="1"/>
  <c r="BM630" i="1"/>
  <c r="S62" i="359"/>
  <c r="S143" i="359"/>
  <c r="S144" i="359" s="1"/>
  <c r="BC139" i="298"/>
  <c r="BC126" i="298"/>
  <c r="Q19" i="298"/>
  <c r="Q79" i="298"/>
  <c r="N84" i="28"/>
  <c r="AM84" i="28" s="1"/>
  <c r="BK487" i="1"/>
  <c r="AN39" i="468"/>
  <c r="AO39" i="468"/>
  <c r="W239" i="1"/>
  <c r="X16" i="267"/>
  <c r="BY54" i="468"/>
  <c r="AQ60" i="298"/>
  <c r="AQ45" i="298"/>
  <c r="AQ51" i="298" s="1"/>
  <c r="AQ46" i="298"/>
  <c r="AQ47" i="298"/>
  <c r="AQ69" i="298"/>
  <c r="AR47" i="298"/>
  <c r="AR45" i="298"/>
  <c r="AR51" i="298" s="1"/>
  <c r="BM46" i="1"/>
  <c r="BM38" i="1"/>
  <c r="G50" i="51"/>
  <c r="G56" i="51"/>
  <c r="G84" i="51" s="1"/>
  <c r="Z78" i="28"/>
  <c r="Z83" i="28"/>
  <c r="R359" i="1"/>
  <c r="V359" i="1"/>
  <c r="G26" i="1"/>
  <c r="G48" i="1"/>
  <c r="G941" i="1" s="1"/>
  <c r="K23" i="1"/>
  <c r="I1012" i="1"/>
  <c r="H991" i="1"/>
  <c r="H1000" i="1" s="1"/>
  <c r="AF110" i="1"/>
  <c r="AF114" i="1" s="1"/>
  <c r="AF87" i="1"/>
  <c r="AF88" i="1"/>
  <c r="P580" i="1"/>
  <c r="T580" i="1"/>
  <c r="AN110" i="468"/>
  <c r="AP61" i="298"/>
  <c r="AP86" i="298" s="1"/>
  <c r="AP92" i="298" s="1"/>
  <c r="H1011" i="1"/>
  <c r="G1015" i="1"/>
  <c r="G994" i="1" s="1"/>
  <c r="P19" i="298"/>
  <c r="P79" i="298"/>
  <c r="H78" i="28"/>
  <c r="H83" i="28"/>
  <c r="S46" i="298"/>
  <c r="S69" i="298"/>
  <c r="S60" i="298"/>
  <c r="P551" i="298"/>
  <c r="P557" i="298" s="1"/>
  <c r="P532" i="298"/>
  <c r="P534" i="298" s="1"/>
  <c r="AC86" i="298"/>
  <c r="AC87" i="298" s="1"/>
  <c r="BE61" i="298"/>
  <c r="BE86" i="298" s="1"/>
  <c r="BE92" i="298" s="1"/>
  <c r="Z39" i="468"/>
  <c r="F52" i="51"/>
  <c r="F53" i="51"/>
  <c r="F47" i="51"/>
  <c r="F54" i="51"/>
  <c r="J337" i="1"/>
  <c r="BT99" i="468"/>
  <c r="BS98" i="468"/>
  <c r="BS109" i="468" s="1"/>
  <c r="BS110" i="468" s="1"/>
  <c r="R101" i="468"/>
  <c r="I992" i="1"/>
  <c r="I1001" i="1" s="1"/>
  <c r="J1013" i="1"/>
  <c r="AT192" i="298"/>
  <c r="AT187" i="298"/>
  <c r="AU187" i="298"/>
  <c r="AL20" i="468"/>
  <c r="L580" i="1"/>
  <c r="BI570" i="1"/>
  <c r="AB28" i="28"/>
  <c r="AN86" i="28"/>
  <c r="AJ86" i="28"/>
  <c r="AK86" i="28"/>
  <c r="AL86" i="28"/>
  <c r="AM86" i="28"/>
  <c r="F78" i="28"/>
  <c r="F83" i="28"/>
  <c r="Y43" i="28"/>
  <c r="Y42" i="28"/>
  <c r="Y46" i="28"/>
  <c r="Y34" i="313"/>
  <c r="BB192" i="298"/>
  <c r="P44" i="298"/>
  <c r="P24" i="298"/>
  <c r="BC23" i="298"/>
  <c r="P22" i="298"/>
  <c r="T22" i="298"/>
  <c r="W78" i="28"/>
  <c r="W83" i="28"/>
  <c r="BU59" i="468"/>
  <c r="Y83" i="28"/>
  <c r="Y78" i="28"/>
  <c r="S78" i="28"/>
  <c r="S83" i="28"/>
  <c r="AK37" i="28"/>
  <c r="AL37" i="28"/>
  <c r="AM37" i="28"/>
  <c r="AN37" i="28"/>
  <c r="AJ37" i="28"/>
  <c r="T22" i="313"/>
  <c r="T78" i="28"/>
  <c r="T83" i="28"/>
  <c r="BA172" i="298"/>
  <c r="BB172" i="298"/>
  <c r="BA166" i="298"/>
  <c r="AY69" i="298"/>
  <c r="AY74" i="298" s="1"/>
  <c r="AY83" i="298" s="1"/>
  <c r="AY60" i="298"/>
  <c r="M57" i="3"/>
  <c r="BS45" i="468"/>
  <c r="BS61" i="468" s="1"/>
  <c r="BS58" i="468"/>
  <c r="BS59" i="468" s="1"/>
  <c r="BS60" i="468" s="1"/>
  <c r="Q788" i="1"/>
  <c r="K20" i="1"/>
  <c r="AT532" i="298"/>
  <c r="AT534" i="298" s="1"/>
  <c r="AT551" i="298"/>
  <c r="AT557" i="298" s="1"/>
  <c r="F83" i="292"/>
  <c r="P43" i="28"/>
  <c r="P46" i="28"/>
  <c r="AB143" i="359"/>
  <c r="AB144" i="359" s="1"/>
  <c r="AB62" i="359"/>
  <c r="I34" i="313"/>
  <c r="D82" i="292"/>
  <c r="D37" i="51"/>
  <c r="E36" i="51"/>
  <c r="E35" i="51"/>
  <c r="K19" i="298"/>
  <c r="K79" i="298"/>
  <c r="BM492" i="1"/>
  <c r="BD36" i="298"/>
  <c r="BD42" i="298"/>
  <c r="BD40" i="298"/>
  <c r="AW342" i="298"/>
  <c r="AW339" i="298"/>
  <c r="E78" i="28"/>
  <c r="E83" i="28"/>
  <c r="Q22" i="313"/>
  <c r="V503" i="1"/>
  <c r="R98" i="292"/>
  <c r="BW98" i="468"/>
  <c r="BW109" i="468" s="1"/>
  <c r="BX99" i="468"/>
  <c r="AH101" i="468"/>
  <c r="AH109" i="468"/>
  <c r="AH110" i="468" s="1"/>
  <c r="C41" i="292"/>
  <c r="C44" i="292"/>
  <c r="W62" i="359"/>
  <c r="W143" i="359"/>
  <c r="W144" i="359" s="1"/>
  <c r="BB126" i="298"/>
  <c r="BB139" i="298"/>
  <c r="BL46" i="1"/>
  <c r="BL38" i="1"/>
  <c r="Q83" i="28"/>
  <c r="Q78" i="28"/>
  <c r="S20" i="1"/>
  <c r="O83" i="28"/>
  <c r="O78" i="28"/>
  <c r="AV60" i="298"/>
  <c r="AV69" i="298"/>
  <c r="AV46" i="298"/>
  <c r="AY46" i="298" s="1"/>
  <c r="AG110" i="468"/>
  <c r="V78" i="28"/>
  <c r="V83" i="28"/>
  <c r="BM496" i="1"/>
  <c r="BN496" i="1"/>
  <c r="AB43" i="28"/>
  <c r="AB42" i="28"/>
  <c r="AB46" i="28"/>
  <c r="AK84" i="28"/>
  <c r="AN84" i="28"/>
  <c r="AL84" i="28"/>
  <c r="U504" i="1"/>
  <c r="AF21" i="298"/>
  <c r="AF181" i="298"/>
  <c r="AF524" i="298"/>
  <c r="AJ263" i="1"/>
  <c r="AJ265" i="1"/>
  <c r="BL359" i="1"/>
  <c r="BL356" i="1"/>
  <c r="BM356" i="1"/>
  <c r="BB191" i="298"/>
  <c r="BJ496" i="1"/>
  <c r="BJ788" i="1"/>
  <c r="N78" i="28"/>
  <c r="N83" i="28"/>
  <c r="X10" i="313"/>
  <c r="X34" i="313"/>
  <c r="E41" i="292"/>
  <c r="E44" i="292"/>
  <c r="K43" i="28"/>
  <c r="K42" i="28"/>
  <c r="K46" i="28"/>
  <c r="G993" i="1"/>
  <c r="AS283" i="298"/>
  <c r="AS284" i="298"/>
  <c r="AS227" i="298"/>
  <c r="AE78" i="28"/>
  <c r="AD75" i="298"/>
  <c r="AD83" i="298"/>
  <c r="AD87" i="298" s="1"/>
  <c r="AD76" i="298"/>
  <c r="AF109" i="298"/>
  <c r="AE109" i="298"/>
  <c r="BE74" i="298"/>
  <c r="AT22" i="298"/>
  <c r="AT24" i="298"/>
  <c r="AT44" i="298"/>
  <c r="AU22" i="298"/>
  <c r="O85" i="28"/>
  <c r="L370" i="298"/>
  <c r="L372" i="298"/>
  <c r="AC495" i="1"/>
  <c r="AG495" i="1"/>
  <c r="AK503" i="1" s="1"/>
  <c r="BM487" i="1"/>
  <c r="Z28" i="28"/>
  <c r="R27" i="28"/>
  <c r="R28" i="28" s="1"/>
  <c r="R63" i="28"/>
  <c r="R36" i="28"/>
  <c r="R41" i="28" s="1"/>
  <c r="S42" i="28" s="1"/>
  <c r="R25" i="28"/>
  <c r="Y19" i="298"/>
  <c r="AC19" i="298"/>
  <c r="Y79" i="298"/>
  <c r="BL561" i="1"/>
  <c r="BL562" i="1" s="1"/>
  <c r="AB561" i="1"/>
  <c r="AO45" i="298"/>
  <c r="AO51" i="298" s="1"/>
  <c r="AB177" i="298"/>
  <c r="BE14" i="298"/>
  <c r="BE177" i="298" s="1"/>
  <c r="AC358" i="1"/>
  <c r="BF114" i="298"/>
  <c r="BA549" i="298"/>
  <c r="BB549" i="298"/>
  <c r="AA58" i="1"/>
  <c r="BR54" i="468"/>
  <c r="BS54" i="468"/>
  <c r="AK55" i="468"/>
  <c r="AH50" i="468"/>
  <c r="AH61" i="468"/>
  <c r="AH49" i="468"/>
  <c r="AH51" i="468"/>
  <c r="AH485" i="1"/>
  <c r="AL493" i="1" s="1"/>
  <c r="BN484" i="1"/>
  <c r="BN492" i="1" s="1"/>
  <c r="M531" i="1"/>
  <c r="I1014" i="1"/>
  <c r="H993" i="1"/>
  <c r="H1002" i="1" s="1"/>
  <c r="D52" i="1"/>
  <c r="D69" i="1"/>
  <c r="D78" i="1"/>
  <c r="AH143" i="359"/>
  <c r="AH144" i="359" s="1"/>
  <c r="AH62" i="359"/>
  <c r="D27" i="3"/>
  <c r="BG26" i="1"/>
  <c r="BG48" i="1"/>
  <c r="BG941" i="1" s="1"/>
  <c r="BG518" i="1"/>
  <c r="K337" i="1"/>
  <c r="O346" i="1" s="1"/>
  <c r="S354" i="1" s="1"/>
  <c r="BA369" i="298"/>
  <c r="BA431" i="298"/>
  <c r="L28" i="28"/>
  <c r="BN263" i="1"/>
  <c r="BN265" i="1"/>
  <c r="BN261" i="1"/>
  <c r="F24" i="51"/>
  <c r="F10" i="51"/>
  <c r="F19" i="51"/>
  <c r="F94" i="51"/>
  <c r="F95" i="51"/>
  <c r="F72" i="51"/>
  <c r="F82" i="51"/>
  <c r="F46" i="51"/>
  <c r="F33" i="51"/>
  <c r="F65" i="51"/>
  <c r="F29" i="51"/>
  <c r="Y519" i="298"/>
  <c r="BD505" i="298"/>
  <c r="Y545" i="298"/>
  <c r="Y548" i="298" s="1"/>
  <c r="Y549" i="298" s="1"/>
  <c r="Y510" i="298"/>
  <c r="BM626" i="1"/>
  <c r="BM629" i="1"/>
  <c r="BN629" i="1"/>
  <c r="BD13" i="298"/>
  <c r="BD640" i="298"/>
  <c r="BD39" i="298"/>
  <c r="AO47" i="298"/>
  <c r="U84" i="28"/>
  <c r="U90" i="28" s="1"/>
  <c r="BA44" i="298"/>
  <c r="BA24" i="298"/>
  <c r="AF86" i="298"/>
  <c r="AF87" i="298" s="1"/>
  <c r="BA13" i="298"/>
  <c r="BA18" i="298"/>
  <c r="BA41" i="298"/>
  <c r="BA40" i="298"/>
  <c r="BA39" i="298"/>
  <c r="BA640" i="298"/>
  <c r="BA639" i="298"/>
  <c r="BA638" i="298"/>
  <c r="BA42" i="298"/>
  <c r="BB13" i="298"/>
  <c r="BF145" i="298"/>
  <c r="AH152" i="298"/>
  <c r="AH59" i="468"/>
  <c r="AH36" i="468"/>
  <c r="AH41" i="468" s="1"/>
  <c r="AH34" i="468"/>
  <c r="AH39" i="468" s="1"/>
  <c r="L78" i="28"/>
  <c r="L83" i="28"/>
  <c r="AH500" i="1"/>
  <c r="AD500" i="1"/>
  <c r="AN492" i="1"/>
  <c r="D83" i="292"/>
  <c r="H551" i="298"/>
  <c r="H557" i="298" s="1"/>
  <c r="AZ530" i="298"/>
  <c r="AZ551" i="298" s="1"/>
  <c r="AZ557" i="298" s="1"/>
  <c r="H532" i="298"/>
  <c r="AT266" i="298"/>
  <c r="H19" i="298"/>
  <c r="H79" i="298"/>
  <c r="L19" i="298"/>
  <c r="O63" i="28"/>
  <c r="O36" i="28"/>
  <c r="O41" i="28" s="1"/>
  <c r="P42" i="28" s="1"/>
  <c r="O25" i="28"/>
  <c r="O27" i="28"/>
  <c r="L277" i="1"/>
  <c r="L279" i="1"/>
  <c r="G990" i="1"/>
  <c r="G999" i="1" s="1"/>
  <c r="M370" i="298"/>
  <c r="M372" i="298"/>
  <c r="AS266" i="298"/>
  <c r="AS253" i="298"/>
  <c r="AA43" i="28"/>
  <c r="AA42" i="28"/>
  <c r="AA46" i="28"/>
  <c r="AC79" i="28"/>
  <c r="AJ577" i="1"/>
  <c r="AJ588" i="1" s="1"/>
  <c r="AG143" i="359"/>
  <c r="AG144" i="359" s="1"/>
  <c r="AG62" i="359"/>
  <c r="AD71" i="298"/>
  <c r="E34" i="313"/>
  <c r="S22" i="313"/>
  <c r="AC504" i="1"/>
  <c r="Z43" i="28"/>
  <c r="Z42" i="28"/>
  <c r="Z46" i="28"/>
  <c r="AS78" i="1"/>
  <c r="AS69" i="1"/>
  <c r="AS52" i="1"/>
  <c r="AS61" i="298"/>
  <c r="AS86" i="298" s="1"/>
  <c r="AS92" i="298" s="1"/>
  <c r="F41" i="292"/>
  <c r="F44" i="292"/>
  <c r="Z88" i="298"/>
  <c r="Z626" i="298"/>
  <c r="Z629" i="298" s="1"/>
  <c r="Z93" i="298"/>
  <c r="O79" i="28"/>
  <c r="AJ55" i="468"/>
  <c r="W20" i="1"/>
  <c r="W106" i="1"/>
  <c r="BJ587" i="1"/>
  <c r="BK587" i="1"/>
  <c r="V79" i="28"/>
  <c r="AK85" i="28"/>
  <c r="L43" i="28"/>
  <c r="L42" i="28"/>
  <c r="L46" i="28"/>
  <c r="AT334" i="298"/>
  <c r="AT324" i="298"/>
  <c r="W14" i="298"/>
  <c r="AB21" i="298"/>
  <c r="AB181" i="298"/>
  <c r="AB524" i="298"/>
  <c r="E54" i="51"/>
  <c r="U83" i="28"/>
  <c r="U78" i="28"/>
  <c r="AP566" i="1"/>
  <c r="AF65" i="298"/>
  <c r="AN40" i="468"/>
  <c r="AO40" i="468"/>
  <c r="X78" i="28"/>
  <c r="X83" i="28"/>
  <c r="AD143" i="359"/>
  <c r="AD144" i="359" s="1"/>
  <c r="AD62" i="359"/>
  <c r="G95" i="51"/>
  <c r="G29" i="51"/>
  <c r="G65" i="51"/>
  <c r="G19" i="51"/>
  <c r="G94" i="51"/>
  <c r="G82" i="51"/>
  <c r="G37" i="51"/>
  <c r="G33" i="51"/>
  <c r="G10" i="51"/>
  <c r="G72" i="51"/>
  <c r="G24" i="51"/>
  <c r="BI776" i="1"/>
  <c r="BJ776" i="1"/>
  <c r="H24" i="298"/>
  <c r="H22" i="298"/>
  <c r="H44" i="298"/>
  <c r="L22" i="298"/>
  <c r="D65" i="3"/>
  <c r="AV19" i="298"/>
  <c r="AW19" i="298"/>
  <c r="AV79" i="298"/>
  <c r="AY79" i="298" s="1"/>
  <c r="BI332" i="1"/>
  <c r="BI276" i="1"/>
  <c r="T358" i="1"/>
  <c r="BM70" i="1"/>
  <c r="BM113" i="1" s="1"/>
  <c r="H58" i="523" s="1"/>
  <c r="AB113" i="1"/>
  <c r="AB114" i="1" s="1"/>
  <c r="AA139" i="298"/>
  <c r="W126" i="298"/>
  <c r="O139" i="298"/>
  <c r="AE139" i="298"/>
  <c r="J9" i="51"/>
  <c r="D46" i="51"/>
  <c r="D51" i="51"/>
  <c r="D54" i="51" s="1"/>
  <c r="M495" i="1"/>
  <c r="BI487" i="1"/>
  <c r="Q495" i="1"/>
  <c r="AF358" i="298"/>
  <c r="AJ580" i="1"/>
  <c r="AA115" i="1"/>
  <c r="AA864" i="1"/>
  <c r="AA867" i="1" s="1"/>
  <c r="AA121" i="1"/>
  <c r="J30" i="51"/>
  <c r="J26" i="51" s="1"/>
  <c r="I32" i="51"/>
  <c r="F49" i="3"/>
  <c r="W788" i="1"/>
  <c r="AA786" i="1"/>
  <c r="AB776" i="1"/>
  <c r="I78" i="28"/>
  <c r="I83" i="28"/>
  <c r="BW45" i="468"/>
  <c r="BW61" i="468" s="1"/>
  <c r="BW58" i="468"/>
  <c r="C83" i="292"/>
  <c r="W10" i="313"/>
  <c r="W34" i="313"/>
  <c r="AD78" i="28"/>
  <c r="AD83" i="28"/>
  <c r="AI487" i="1"/>
  <c r="AI495" i="1" s="1"/>
  <c r="AI493" i="1"/>
  <c r="AI501" i="1" s="1"/>
  <c r="AF12" i="28"/>
  <c r="F9" i="3"/>
  <c r="D8" i="292"/>
  <c r="BI13" i="1"/>
  <c r="BI19" i="1"/>
  <c r="BI43" i="1"/>
  <c r="BI878" i="1"/>
  <c r="BI877" i="1"/>
  <c r="BI44" i="1"/>
  <c r="BI876" i="1"/>
  <c r="BJ13" i="1"/>
  <c r="BI46" i="1"/>
  <c r="BI45" i="1"/>
  <c r="AF62" i="359"/>
  <c r="AF143" i="359"/>
  <c r="AF144" i="359" s="1"/>
  <c r="S192" i="298"/>
  <c r="AZ21" i="298"/>
  <c r="AZ44" i="298" s="1"/>
  <c r="AZ182" i="298"/>
  <c r="AZ524" i="298"/>
  <c r="BM983" i="1"/>
  <c r="AA39" i="468"/>
  <c r="BH487" i="1"/>
  <c r="O495" i="1"/>
  <c r="AI55" i="468"/>
  <c r="AB71" i="1"/>
  <c r="AB73" i="1" s="1"/>
  <c r="V62" i="359"/>
  <c r="V143" i="359"/>
  <c r="V144" i="359" s="1"/>
  <c r="AV339" i="298"/>
  <c r="AV342" i="298"/>
  <c r="AV343" i="298" s="1"/>
  <c r="O19" i="298"/>
  <c r="AB41" i="468"/>
  <c r="BL940" i="1" l="1"/>
  <c r="AP70" i="298"/>
  <c r="U558" i="298"/>
  <c r="AT79" i="1"/>
  <c r="AT86" i="1"/>
  <c r="AT90" i="1" s="1"/>
  <c r="J86" i="1"/>
  <c r="J110" i="1" s="1"/>
  <c r="J114" i="1" s="1"/>
  <c r="AL81" i="28"/>
  <c r="AD864" i="1"/>
  <c r="AD867" i="1" s="1"/>
  <c r="AD115" i="1"/>
  <c r="G121" i="503"/>
  <c r="G122" i="503" s="1"/>
  <c r="G121" i="523"/>
  <c r="F74" i="298"/>
  <c r="F76" i="298" s="1"/>
  <c r="F80" i="298" s="1"/>
  <c r="AA63" i="522"/>
  <c r="AE768" i="1"/>
  <c r="AO71" i="298"/>
  <c r="L942" i="1"/>
  <c r="F121" i="523"/>
  <c r="F122" i="523" s="1"/>
  <c r="AO74" i="298"/>
  <c r="AO76" i="298" s="1"/>
  <c r="AO80" i="298" s="1"/>
  <c r="Q19" i="267"/>
  <c r="H121" i="504"/>
  <c r="I122" i="504" s="1"/>
  <c r="AO70" i="298"/>
  <c r="AF86" i="28"/>
  <c r="BN570" i="1"/>
  <c r="BN580" i="1" s="1"/>
  <c r="F108" i="504"/>
  <c r="K162" i="523"/>
  <c r="K154" i="523"/>
  <c r="K161" i="523"/>
  <c r="H121" i="503"/>
  <c r="BC52" i="1"/>
  <c r="BC941" i="1"/>
  <c r="BC942" i="1" s="1"/>
  <c r="H69" i="1"/>
  <c r="H70" i="1" s="1"/>
  <c r="H113" i="1" s="1"/>
  <c r="H941" i="1"/>
  <c r="K942" i="1" s="1"/>
  <c r="M942" i="1"/>
  <c r="Z29" i="523"/>
  <c r="AA29" i="523" s="1"/>
  <c r="AA23" i="523"/>
  <c r="G108" i="503"/>
  <c r="J49" i="1"/>
  <c r="F941" i="1"/>
  <c r="E78" i="1"/>
  <c r="E80" i="1" s="1"/>
  <c r="E941" i="1"/>
  <c r="BN787" i="1"/>
  <c r="I24" i="523"/>
  <c r="H108" i="504"/>
  <c r="I108" i="504"/>
  <c r="I121" i="523"/>
  <c r="J122" i="523" s="1"/>
  <c r="H121" i="523"/>
  <c r="E13" i="523"/>
  <c r="BJ941" i="1"/>
  <c r="I108" i="503"/>
  <c r="E122" i="504"/>
  <c r="G119" i="504"/>
  <c r="X943" i="1"/>
  <c r="H108" i="503"/>
  <c r="H32" i="523"/>
  <c r="H16" i="523"/>
  <c r="Z25" i="523"/>
  <c r="H61" i="523"/>
  <c r="H124" i="523"/>
  <c r="C108" i="504"/>
  <c r="BG942" i="1"/>
  <c r="D108" i="504"/>
  <c r="D119" i="504"/>
  <c r="W49" i="1"/>
  <c r="W57" i="1" s="1"/>
  <c r="S941" i="1"/>
  <c r="AE90" i="1"/>
  <c r="AE91" i="1" s="1"/>
  <c r="AB943" i="1"/>
  <c r="F108" i="503"/>
  <c r="C122" i="523"/>
  <c r="C122" i="503"/>
  <c r="C122" i="504"/>
  <c r="U69" i="1"/>
  <c r="U70" i="1" s="1"/>
  <c r="U113" i="1" s="1"/>
  <c r="U941" i="1"/>
  <c r="G11" i="267"/>
  <c r="G18" i="267" s="1"/>
  <c r="G19" i="267" s="1"/>
  <c r="Q941" i="1"/>
  <c r="E51" i="276"/>
  <c r="H51" i="276" s="1"/>
  <c r="V941" i="1"/>
  <c r="BN940" i="1"/>
  <c r="C108" i="503"/>
  <c r="E122" i="523"/>
  <c r="K153" i="523"/>
  <c r="F121" i="504"/>
  <c r="G122" i="504" s="1"/>
  <c r="P78" i="1"/>
  <c r="P80" i="1" s="1"/>
  <c r="P941" i="1"/>
  <c r="T943" i="1" s="1"/>
  <c r="D11" i="267"/>
  <c r="D18" i="267" s="1"/>
  <c r="N941" i="1"/>
  <c r="D119" i="503"/>
  <c r="D108" i="503"/>
  <c r="F122" i="503"/>
  <c r="E122" i="503"/>
  <c r="BM942" i="1"/>
  <c r="I49" i="504"/>
  <c r="D49" i="504"/>
  <c r="C29" i="504"/>
  <c r="H29" i="504"/>
  <c r="F9" i="504"/>
  <c r="C29" i="503"/>
  <c r="H49" i="503"/>
  <c r="F9" i="503"/>
  <c r="G41" i="503"/>
  <c r="I29" i="503"/>
  <c r="U79" i="519"/>
  <c r="V79" i="519" s="1"/>
  <c r="W79" i="519" s="1"/>
  <c r="X79" i="519" s="1"/>
  <c r="Y79" i="519" s="1"/>
  <c r="Z79" i="519" s="1"/>
  <c r="AQ340" i="1"/>
  <c r="AQ348" i="1" s="1"/>
  <c r="AK81" i="28"/>
  <c r="AA69" i="522"/>
  <c r="I29" i="504"/>
  <c r="AM81" i="28"/>
  <c r="F41" i="504"/>
  <c r="AJ81" i="28"/>
  <c r="H41" i="504"/>
  <c r="G49" i="503"/>
  <c r="BO267" i="1"/>
  <c r="C49" i="503"/>
  <c r="AG86" i="28"/>
  <c r="C49" i="504"/>
  <c r="BM119" i="1"/>
  <c r="BM866" i="1" s="1"/>
  <c r="H58" i="503"/>
  <c r="H61" i="503" s="1"/>
  <c r="H58" i="504"/>
  <c r="H61" i="504" s="1"/>
  <c r="H86" i="504" s="1"/>
  <c r="H131" i="504" s="1"/>
  <c r="AM266" i="1"/>
  <c r="AM268" i="1"/>
  <c r="AM459" i="1"/>
  <c r="AM461" i="1"/>
  <c r="BN50" i="1"/>
  <c r="BN51" i="1" s="1"/>
  <c r="F49" i="504"/>
  <c r="BO632" i="1"/>
  <c r="D9" i="503"/>
  <c r="D41" i="503"/>
  <c r="D29" i="503"/>
  <c r="E9" i="503"/>
  <c r="D9" i="504"/>
  <c r="E9" i="504"/>
  <c r="D29" i="504"/>
  <c r="D41" i="504"/>
  <c r="AM348" i="1"/>
  <c r="AM495" i="1"/>
  <c r="AM503" i="1" s="1"/>
  <c r="AM501" i="1"/>
  <c r="I41" i="503"/>
  <c r="I9" i="503"/>
  <c r="BY149" i="1"/>
  <c r="F29" i="504"/>
  <c r="I41" i="504"/>
  <c r="I9" i="504"/>
  <c r="AL256" i="1"/>
  <c r="AL257" i="1" s="1"/>
  <c r="BO311" i="1"/>
  <c r="BO312" i="1" s="1"/>
  <c r="BN256" i="1"/>
  <c r="BO258" i="1" s="1"/>
  <c r="BO313" i="1"/>
  <c r="F29" i="503"/>
  <c r="G29" i="503"/>
  <c r="G9" i="503"/>
  <c r="F41" i="503"/>
  <c r="G9" i="504"/>
  <c r="Z25" i="504"/>
  <c r="H16" i="504"/>
  <c r="BJ69" i="1"/>
  <c r="E13" i="503"/>
  <c r="E124" i="503" s="1"/>
  <c r="E13" i="504"/>
  <c r="E124" i="504" s="1"/>
  <c r="H16" i="503"/>
  <c r="Z25" i="503"/>
  <c r="I24" i="503"/>
  <c r="I24" i="504"/>
  <c r="H29" i="503"/>
  <c r="H9" i="503"/>
  <c r="Z23" i="503"/>
  <c r="H9" i="504"/>
  <c r="Z23" i="504"/>
  <c r="G41" i="504"/>
  <c r="I49" i="503"/>
  <c r="H49" i="504"/>
  <c r="G29" i="504"/>
  <c r="H41" i="503"/>
  <c r="G49" i="504"/>
  <c r="D49" i="503"/>
  <c r="AJ239" i="1"/>
  <c r="BO460" i="1"/>
  <c r="F49" i="503"/>
  <c r="AM342" i="1"/>
  <c r="F63" i="292"/>
  <c r="G13" i="292"/>
  <c r="P18" i="313"/>
  <c r="P27" i="313" s="1"/>
  <c r="P30" i="313" s="1"/>
  <c r="P32" i="313" s="1"/>
  <c r="AF92" i="1"/>
  <c r="AC109" i="298"/>
  <c r="AA83" i="298"/>
  <c r="AA87" i="298" s="1"/>
  <c r="AA88" i="298" s="1"/>
  <c r="H9" i="292"/>
  <c r="H46" i="292" s="1"/>
  <c r="I46" i="292" s="1"/>
  <c r="J46" i="292" s="1"/>
  <c r="F9" i="292"/>
  <c r="F64" i="292" s="1"/>
  <c r="F45" i="292"/>
  <c r="R130" i="519"/>
  <c r="S19" i="519" s="1"/>
  <c r="AF93" i="1"/>
  <c r="AE86" i="28"/>
  <c r="Z101" i="1"/>
  <c r="Z103" i="1" s="1"/>
  <c r="Z90" i="1"/>
  <c r="AX101" i="1"/>
  <c r="AX103" i="1" s="1"/>
  <c r="AX90" i="1"/>
  <c r="AV101" i="1"/>
  <c r="AV103" i="1" s="1"/>
  <c r="AV90" i="1"/>
  <c r="H63" i="292"/>
  <c r="AH71" i="1"/>
  <c r="AH73" i="1" s="1"/>
  <c r="AH74" i="1" s="1"/>
  <c r="Y73" i="522"/>
  <c r="Y74" i="522" s="1"/>
  <c r="Y63" i="522"/>
  <c r="Y69" i="522"/>
  <c r="AL342" i="1"/>
  <c r="Z73" i="522"/>
  <c r="Z74" i="522" s="1"/>
  <c r="Z63" i="522"/>
  <c r="Z69" i="522"/>
  <c r="T78" i="519"/>
  <c r="U78" i="519" s="1"/>
  <c r="AE75" i="298"/>
  <c r="AA76" i="298"/>
  <c r="AA80" i="298" s="1"/>
  <c r="BN540" i="1"/>
  <c r="BN201" i="1" s="1"/>
  <c r="BN196" i="1"/>
  <c r="AH580" i="1"/>
  <c r="AH591" i="1" s="1"/>
  <c r="AH641" i="1"/>
  <c r="AC641" i="1"/>
  <c r="Y641" i="1" s="1"/>
  <c r="U641" i="1" s="1"/>
  <c r="AK641" i="1"/>
  <c r="AK636" i="1" s="1"/>
  <c r="BP509" i="1"/>
  <c r="BN312" i="1"/>
  <c r="AL258" i="1"/>
  <c r="AL461" i="1"/>
  <c r="AL459" i="1"/>
  <c r="AP340" i="1"/>
  <c r="AP348" i="1" s="1"/>
  <c r="AP356" i="1" s="1"/>
  <c r="BP337" i="1"/>
  <c r="BP346" i="1" s="1"/>
  <c r="BP354" i="1" s="1"/>
  <c r="BP578" i="1"/>
  <c r="BP589" i="1" s="1"/>
  <c r="AK348" i="1"/>
  <c r="AK356" i="1" s="1"/>
  <c r="AK350" i="1"/>
  <c r="AO358" i="1" s="1"/>
  <c r="AO342" i="1"/>
  <c r="BP579" i="1"/>
  <c r="BP590" i="1" s="1"/>
  <c r="BP338" i="1"/>
  <c r="AO340" i="1"/>
  <c r="AO492" i="1"/>
  <c r="AN500" i="1"/>
  <c r="AN484" i="1"/>
  <c r="BP526" i="1"/>
  <c r="AJ591" i="1"/>
  <c r="AN591" i="1"/>
  <c r="BP494" i="1"/>
  <c r="BP502" i="1" s="1"/>
  <c r="AJ350" i="1"/>
  <c r="AN342" i="1"/>
  <c r="R111" i="519"/>
  <c r="R144" i="519" s="1"/>
  <c r="S33" i="519" s="1"/>
  <c r="T113" i="519"/>
  <c r="T146" i="519" s="1"/>
  <c r="S112" i="519"/>
  <c r="S145" i="519" s="1"/>
  <c r="AC524" i="298"/>
  <c r="G74" i="298"/>
  <c r="G76" i="298" s="1"/>
  <c r="G80" i="298" s="1"/>
  <c r="J42" i="28"/>
  <c r="J70" i="298"/>
  <c r="T44" i="28"/>
  <c r="AU46" i="298"/>
  <c r="W558" i="298"/>
  <c r="W559" i="298" s="1"/>
  <c r="W54" i="298" s="1"/>
  <c r="W55" i="298" s="1"/>
  <c r="G541" i="298"/>
  <c r="AS74" i="298"/>
  <c r="AS76" i="298" s="1"/>
  <c r="AS80" i="298" s="1"/>
  <c r="AV345" i="298"/>
  <c r="AS70" i="298"/>
  <c r="AU541" i="298"/>
  <c r="BD722" i="298"/>
  <c r="AU69" i="298"/>
  <c r="AU71" i="298" s="1"/>
  <c r="W358" i="1"/>
  <c r="BK521" i="1"/>
  <c r="V522" i="1"/>
  <c r="V78" i="1"/>
  <c r="Z79" i="1" s="1"/>
  <c r="L11" i="267"/>
  <c r="P12" i="267" s="1"/>
  <c r="BJ768" i="1"/>
  <c r="V52" i="1"/>
  <c r="Z58" i="1"/>
  <c r="BM86" i="1"/>
  <c r="AE101" i="1"/>
  <c r="V515" i="1"/>
  <c r="BN354" i="1"/>
  <c r="Z53" i="1"/>
  <c r="Z49" i="1"/>
  <c r="Z57" i="1" s="1"/>
  <c r="V531" i="1"/>
  <c r="V524" i="1"/>
  <c r="V49" i="1"/>
  <c r="V57" i="1" s="1"/>
  <c r="V69" i="1"/>
  <c r="V70" i="1" s="1"/>
  <c r="V113" i="1" s="1"/>
  <c r="N52" i="1"/>
  <c r="R63" i="1"/>
  <c r="R54" i="1" s="1"/>
  <c r="BO354" i="1"/>
  <c r="T53" i="1"/>
  <c r="AA751" i="1"/>
  <c r="V786" i="1"/>
  <c r="BM354" i="1"/>
  <c r="BC225" i="1"/>
  <c r="BC15" i="1"/>
  <c r="BD225" i="1"/>
  <c r="BG225" i="1" s="1"/>
  <c r="BD15" i="1"/>
  <c r="BG15" i="1" s="1"/>
  <c r="N53" i="1"/>
  <c r="P768" i="1"/>
  <c r="AG22" i="1"/>
  <c r="AG518" i="1" s="1"/>
  <c r="AG757" i="1"/>
  <c r="Q786" i="1"/>
  <c r="AK268" i="1"/>
  <c r="AK266" i="1"/>
  <c r="AG18" i="28"/>
  <c r="AG16" i="28" s="1"/>
  <c r="AG17" i="28" s="1"/>
  <c r="BC558" i="298"/>
  <c r="BA371" i="298"/>
  <c r="AS62" i="298"/>
  <c r="AS64" i="298" s="1"/>
  <c r="E18" i="292"/>
  <c r="E28" i="292" s="1"/>
  <c r="AU47" i="298"/>
  <c r="BB558" i="298"/>
  <c r="AU60" i="298"/>
  <c r="AU61" i="298" s="1"/>
  <c r="AU86" i="298" s="1"/>
  <c r="AU92" i="298" s="1"/>
  <c r="BC192" i="298"/>
  <c r="BB560" i="298"/>
  <c r="W45" i="298"/>
  <c r="W51" i="298" s="1"/>
  <c r="AV45" i="298"/>
  <c r="AY45" i="298" s="1"/>
  <c r="F541" i="298"/>
  <c r="BC186" i="298"/>
  <c r="BE519" i="298"/>
  <c r="BE181" i="298" s="1"/>
  <c r="BB60" i="298"/>
  <c r="BB45" i="298"/>
  <c r="BB51" i="298" s="1"/>
  <c r="BB46" i="298"/>
  <c r="I43" i="28"/>
  <c r="I44" i="28" s="1"/>
  <c r="AC181" i="298"/>
  <c r="AC191" i="298" s="1"/>
  <c r="AD239" i="1"/>
  <c r="R768" i="1"/>
  <c r="AL74" i="298"/>
  <c r="AL83" i="298" s="1"/>
  <c r="AL87" i="298" s="1"/>
  <c r="AL88" i="298" s="1"/>
  <c r="AD234" i="1"/>
  <c r="AB358" i="1"/>
  <c r="W541" i="298"/>
  <c r="BC541" i="298" s="1"/>
  <c r="I46" i="28"/>
  <c r="AP339" i="298"/>
  <c r="W46" i="298"/>
  <c r="AA47" i="298"/>
  <c r="J560" i="298"/>
  <c r="AR343" i="298"/>
  <c r="AI144" i="298"/>
  <c r="AI151" i="298" s="1"/>
  <c r="AA229" i="1"/>
  <c r="AA234" i="1" s="1"/>
  <c r="W47" i="298"/>
  <c r="AA52" i="298"/>
  <c r="AA55" i="298" s="1"/>
  <c r="AA57" i="298" s="1"/>
  <c r="AA48" i="298" s="1"/>
  <c r="D69" i="298"/>
  <c r="D71" i="298" s="1"/>
  <c r="E27" i="3"/>
  <c r="E28" i="3" s="1"/>
  <c r="BC79" i="298"/>
  <c r="N78" i="1"/>
  <c r="N80" i="1" s="1"/>
  <c r="AD240" i="1"/>
  <c r="I80" i="28"/>
  <c r="T339" i="1"/>
  <c r="N49" i="1"/>
  <c r="N57" i="1" s="1"/>
  <c r="AD518" i="1"/>
  <c r="BD19" i="298"/>
  <c r="W60" i="298"/>
  <c r="W61" i="298" s="1"/>
  <c r="W86" i="298" s="1"/>
  <c r="H85" i="28"/>
  <c r="W69" i="298"/>
  <c r="J28" i="28"/>
  <c r="BE225" i="1"/>
  <c r="BH14" i="1"/>
  <c r="BH15" i="1" s="1"/>
  <c r="BJ52" i="1"/>
  <c r="BJ78" i="1"/>
  <c r="BJ86" i="1" s="1"/>
  <c r="S45" i="298"/>
  <c r="S51" i="298" s="1"/>
  <c r="N69" i="1"/>
  <c r="N70" i="1" s="1"/>
  <c r="N113" i="1" s="1"/>
  <c r="D46" i="298"/>
  <c r="BK230" i="1"/>
  <c r="BK235" i="1" s="1"/>
  <c r="BK234" i="1"/>
  <c r="BC24" i="298"/>
  <c r="BC22" i="298"/>
  <c r="AR62" i="298"/>
  <c r="AR64" i="298" s="1"/>
  <c r="BC44" i="298"/>
  <c r="BD54" i="298" s="1"/>
  <c r="BD559" i="298" s="1"/>
  <c r="BK500" i="1"/>
  <c r="BJ527" i="1"/>
  <c r="BJ531" i="1" s="1"/>
  <c r="BB722" i="298"/>
  <c r="V24" i="313"/>
  <c r="BI24" i="1"/>
  <c r="BI25" i="1" s="1"/>
  <c r="BM80" i="1"/>
  <c r="P69" i="1"/>
  <c r="P70" i="1" s="1"/>
  <c r="P71" i="1" s="1"/>
  <c r="P73" i="1" s="1"/>
  <c r="AD549" i="298"/>
  <c r="AD26" i="1"/>
  <c r="BJ522" i="1"/>
  <c r="BH518" i="1"/>
  <c r="BH48" i="1"/>
  <c r="BH26" i="1"/>
  <c r="BA182" i="298"/>
  <c r="BB187" i="298" s="1"/>
  <c r="Y44" i="28"/>
  <c r="E52" i="51"/>
  <c r="BA191" i="298"/>
  <c r="BE176" i="298"/>
  <c r="F15" i="313"/>
  <c r="AJ230" i="1"/>
  <c r="BH235" i="1"/>
  <c r="BM339" i="1"/>
  <c r="AJ518" i="1"/>
  <c r="AJ522" i="1" s="1"/>
  <c r="E52" i="1"/>
  <c r="BD79" i="298"/>
  <c r="Z16" i="267"/>
  <c r="Z18" i="267" s="1"/>
  <c r="Z19" i="267" s="1"/>
  <c r="AJ58" i="1" s="1"/>
  <c r="K44" i="28"/>
  <c r="AO342" i="298"/>
  <c r="AO343" i="298" s="1"/>
  <c r="AA187" i="298"/>
  <c r="W187" i="298"/>
  <c r="W192" i="298"/>
  <c r="BK778" i="1"/>
  <c r="BK785" i="1" s="1"/>
  <c r="BK786" i="1" s="1"/>
  <c r="BN359" i="1"/>
  <c r="AF355" i="1"/>
  <c r="R541" i="298"/>
  <c r="P529" i="1"/>
  <c r="P39" i="1" s="1"/>
  <c r="BJ359" i="1"/>
  <c r="BN737" i="1"/>
  <c r="Z80" i="298"/>
  <c r="AE65" i="298"/>
  <c r="AO62" i="298"/>
  <c r="AO64" i="298" s="1"/>
  <c r="L44" i="28"/>
  <c r="F11" i="267"/>
  <c r="F20" i="313" s="1"/>
  <c r="F22" i="313" s="1"/>
  <c r="AC768" i="1"/>
  <c r="P53" i="1"/>
  <c r="E46" i="298"/>
  <c r="E69" i="298"/>
  <c r="E60" i="298"/>
  <c r="E61" i="298" s="1"/>
  <c r="E86" i="298" s="1"/>
  <c r="BM772" i="1"/>
  <c r="BM775" i="1" s="1"/>
  <c r="BM776" i="1" s="1"/>
  <c r="N28" i="28"/>
  <c r="BI278" i="1"/>
  <c r="M542" i="298"/>
  <c r="M541" i="298"/>
  <c r="BL746" i="1"/>
  <c r="BL751" i="1" s="1"/>
  <c r="Z26" i="1"/>
  <c r="Q527" i="1"/>
  <c r="U529" i="1" s="1"/>
  <c r="U39" i="1" s="1"/>
  <c r="G14" i="313"/>
  <c r="AL62" i="298"/>
  <c r="AL64" i="298" s="1"/>
  <c r="BF142" i="298"/>
  <c r="BF156" i="298" s="1"/>
  <c r="Z358" i="1"/>
  <c r="Z47" i="298"/>
  <c r="V45" i="298"/>
  <c r="V51" i="298" s="1"/>
  <c r="V47" i="298"/>
  <c r="V46" i="298"/>
  <c r="V69" i="298"/>
  <c r="Z45" i="298"/>
  <c r="Z51" i="298" s="1"/>
  <c r="Z52" i="298"/>
  <c r="V60" i="298"/>
  <c r="V61" i="298" s="1"/>
  <c r="V86" i="298" s="1"/>
  <c r="BE723" i="1"/>
  <c r="BE725" i="1" s="1"/>
  <c r="Y591" i="1"/>
  <c r="AE80" i="298"/>
  <c r="AB355" i="1"/>
  <c r="T63" i="1"/>
  <c r="P52" i="1"/>
  <c r="E541" i="298"/>
  <c r="E542" i="298"/>
  <c r="AT191" i="298"/>
  <c r="O529" i="1"/>
  <c r="O39" i="1" s="1"/>
  <c r="R62" i="298"/>
  <c r="R64" i="298" s="1"/>
  <c r="BN677" i="1"/>
  <c r="BN701" i="1" s="1"/>
  <c r="V192" i="298"/>
  <c r="V187" i="298"/>
  <c r="BW110" i="468"/>
  <c r="BN697" i="1"/>
  <c r="V560" i="298"/>
  <c r="Z558" i="298"/>
  <c r="BE86" i="1"/>
  <c r="BE90" i="1" s="1"/>
  <c r="T46" i="298"/>
  <c r="T69" i="298"/>
  <c r="T60" i="298"/>
  <c r="I60" i="298"/>
  <c r="I61" i="298" s="1"/>
  <c r="I86" i="298" s="1"/>
  <c r="I45" i="298"/>
  <c r="I46" i="298"/>
  <c r="M57" i="298"/>
  <c r="M48" i="298" s="1"/>
  <c r="I69" i="298"/>
  <c r="AI776" i="1"/>
  <c r="O560" i="298"/>
  <c r="S558" i="298"/>
  <c r="O541" i="298"/>
  <c r="O542" i="298"/>
  <c r="L541" i="298"/>
  <c r="L542" i="298"/>
  <c r="AC39" i="468"/>
  <c r="X192" i="298"/>
  <c r="X187" i="298"/>
  <c r="L522" i="1"/>
  <c r="I558" i="298"/>
  <c r="I560" i="298"/>
  <c r="Q52" i="1"/>
  <c r="AC80" i="298"/>
  <c r="X542" i="298"/>
  <c r="X541" i="298"/>
  <c r="I541" i="298"/>
  <c r="I542" i="298"/>
  <c r="S57" i="298"/>
  <c r="S48" i="298" s="1"/>
  <c r="O69" i="298"/>
  <c r="S70" i="298" s="1"/>
  <c r="O60" i="298"/>
  <c r="O61" i="298" s="1"/>
  <c r="O86" i="298" s="1"/>
  <c r="O46" i="298"/>
  <c r="P22" i="313"/>
  <c r="M45" i="298"/>
  <c r="M51" i="298" s="1"/>
  <c r="X560" i="298"/>
  <c r="AB558" i="298"/>
  <c r="X558" i="298"/>
  <c r="T560" i="298"/>
  <c r="L78" i="1"/>
  <c r="L69" i="1"/>
  <c r="L70" i="1" s="1"/>
  <c r="U29" i="313"/>
  <c r="U34" i="313" s="1"/>
  <c r="AJ1004" i="1"/>
  <c r="O192" i="298"/>
  <c r="S187" i="298"/>
  <c r="Z354" i="1"/>
  <c r="AO110" i="468"/>
  <c r="V558" i="298"/>
  <c r="P57" i="298"/>
  <c r="P48" i="298" s="1"/>
  <c r="L46" i="298"/>
  <c r="L60" i="298"/>
  <c r="L69" i="298"/>
  <c r="AD80" i="298"/>
  <c r="P63" i="1"/>
  <c r="M47" i="298"/>
  <c r="B11" i="267"/>
  <c r="R69" i="1"/>
  <c r="R70" i="1" s="1"/>
  <c r="R113" i="1" s="1"/>
  <c r="X69" i="298"/>
  <c r="AB47" i="298"/>
  <c r="AB45" i="298"/>
  <c r="AB51" i="298" s="1"/>
  <c r="AB52" i="298"/>
  <c r="X47" i="298"/>
  <c r="X60" i="298"/>
  <c r="X61" i="298" s="1"/>
  <c r="X46" i="298"/>
  <c r="X52" i="298" s="1"/>
  <c r="X45" i="298"/>
  <c r="X51" i="298" s="1"/>
  <c r="L52" i="1"/>
  <c r="AW343" i="298"/>
  <c r="AW345" i="298" s="1"/>
  <c r="AH769" i="1"/>
  <c r="M560" i="298"/>
  <c r="M558" i="298"/>
  <c r="BA23" i="298"/>
  <c r="AB88" i="298"/>
  <c r="AB626" i="298"/>
  <c r="AB629" i="298" s="1"/>
  <c r="AB93" i="298"/>
  <c r="E53" i="51"/>
  <c r="BL737" i="1"/>
  <c r="J74" i="298"/>
  <c r="J71" i="298"/>
  <c r="Z21" i="298"/>
  <c r="Z524" i="298"/>
  <c r="Z181" i="298"/>
  <c r="AW560" i="298"/>
  <c r="AW558" i="298"/>
  <c r="AZ558" i="298" s="1"/>
  <c r="R74" i="298"/>
  <c r="R71" i="298"/>
  <c r="AW542" i="298"/>
  <c r="AW541" i="298"/>
  <c r="F62" i="298"/>
  <c r="F64" i="298" s="1"/>
  <c r="S28" i="28"/>
  <c r="AH83" i="28"/>
  <c r="AM83" i="28" s="1"/>
  <c r="BC413" i="298"/>
  <c r="BD414" i="298"/>
  <c r="BC356" i="298"/>
  <c r="O28" i="28"/>
  <c r="BA22" i="298"/>
  <c r="AP62" i="298"/>
  <c r="AP64" i="298" s="1"/>
  <c r="AM75" i="28"/>
  <c r="W357" i="298"/>
  <c r="AA358" i="298"/>
  <c r="AV560" i="298"/>
  <c r="AV558" i="298"/>
  <c r="AY558" i="298" s="1"/>
  <c r="G46" i="28"/>
  <c r="F85" i="28"/>
  <c r="G43" i="28"/>
  <c r="H44" i="28" s="1"/>
  <c r="G80" i="28"/>
  <c r="H42" i="28"/>
  <c r="BM737" i="1"/>
  <c r="AL75" i="28"/>
  <c r="BK518" i="1"/>
  <c r="AE412" i="298"/>
  <c r="BD412" i="298"/>
  <c r="AA356" i="298"/>
  <c r="AA357" i="298" s="1"/>
  <c r="AV542" i="298"/>
  <c r="AV541" i="298"/>
  <c r="BB559" i="298"/>
  <c r="BB54" i="298" s="1"/>
  <c r="BA560" i="298"/>
  <c r="AU45" i="298"/>
  <c r="AU51" i="298" s="1"/>
  <c r="AK75" i="28"/>
  <c r="D534" i="298"/>
  <c r="AY532" i="298"/>
  <c r="N558" i="298"/>
  <c r="N560" i="298"/>
  <c r="AJ75" i="28"/>
  <c r="J61" i="298"/>
  <c r="J86" i="298" s="1"/>
  <c r="AR74" i="298"/>
  <c r="AR71" i="298"/>
  <c r="N192" i="298"/>
  <c r="R187" i="298"/>
  <c r="N534" i="298"/>
  <c r="BA532" i="298"/>
  <c r="W527" i="1"/>
  <c r="AA529" i="1" s="1"/>
  <c r="AA39" i="1" s="1"/>
  <c r="AG776" i="1"/>
  <c r="AG229" i="1"/>
  <c r="AG239" i="1" s="1"/>
  <c r="AZ79" i="1"/>
  <c r="AC40" i="468"/>
  <c r="AG751" i="1"/>
  <c r="U22" i="313"/>
  <c r="U24" i="313"/>
  <c r="H527" i="1"/>
  <c r="H531" i="1" s="1"/>
  <c r="AL39" i="468"/>
  <c r="BV110" i="468"/>
  <c r="BK346" i="1"/>
  <c r="BL354" i="1" s="1"/>
  <c r="BM632" i="1"/>
  <c r="AA107" i="1"/>
  <c r="V34" i="313"/>
  <c r="V22" i="313"/>
  <c r="Y10" i="313"/>
  <c r="J769" i="1"/>
  <c r="J768" i="1"/>
  <c r="J527" i="1"/>
  <c r="N528" i="1" s="1"/>
  <c r="J522" i="1"/>
  <c r="AZ86" i="1"/>
  <c r="AZ90" i="1" s="1"/>
  <c r="W515" i="1"/>
  <c r="AR110" i="468"/>
  <c r="P338" i="1"/>
  <c r="T347" i="1" s="1"/>
  <c r="X355" i="1" s="1"/>
  <c r="BK257" i="1"/>
  <c r="Q235" i="1"/>
  <c r="Q240" i="1"/>
  <c r="W522" i="1"/>
  <c r="AI503" i="1"/>
  <c r="M86" i="1"/>
  <c r="M90" i="1" s="1"/>
  <c r="BL580" i="1"/>
  <c r="AE229" i="1"/>
  <c r="AI234" i="1" s="1"/>
  <c r="AE87" i="1"/>
  <c r="AE22" i="1"/>
  <c r="AI23" i="1" s="1"/>
  <c r="AG1004" i="1"/>
  <c r="BJ504" i="1"/>
  <c r="AE137" i="1"/>
  <c r="BM106" i="1"/>
  <c r="R49" i="1"/>
  <c r="R57" i="1" s="1"/>
  <c r="BM20" i="1"/>
  <c r="R53" i="1"/>
  <c r="Q78" i="1"/>
  <c r="Q79" i="1" s="1"/>
  <c r="AN64" i="28"/>
  <c r="U63" i="1"/>
  <c r="Q69" i="1"/>
  <c r="Q70" i="1" s="1"/>
  <c r="Q113" i="1" s="1"/>
  <c r="P49" i="1"/>
  <c r="P57" i="1" s="1"/>
  <c r="AJ64" i="28"/>
  <c r="W219" i="1"/>
  <c r="Q49" i="1"/>
  <c r="Q57" i="1" s="1"/>
  <c r="AF137" i="1"/>
  <c r="Q53" i="1"/>
  <c r="BL500" i="1"/>
  <c r="AE88" i="1"/>
  <c r="AE107" i="1" s="1"/>
  <c r="P528" i="1"/>
  <c r="H15" i="313"/>
  <c r="S239" i="1"/>
  <c r="Z776" i="1"/>
  <c r="U53" i="1"/>
  <c r="R522" i="1"/>
  <c r="N522" i="1"/>
  <c r="BA79" i="1"/>
  <c r="V53" i="1"/>
  <c r="Y21" i="313"/>
  <c r="AL64" i="28"/>
  <c r="AE110" i="1"/>
  <c r="AE114" i="1" s="1"/>
  <c r="AE121" i="1" s="1"/>
  <c r="K11" i="267"/>
  <c r="K20" i="313" s="1"/>
  <c r="BN693" i="1"/>
  <c r="BN694" i="1"/>
  <c r="H78" i="1"/>
  <c r="H80" i="1" s="1"/>
  <c r="AY86" i="1"/>
  <c r="AY90" i="1" s="1"/>
  <c r="BN695" i="1"/>
  <c r="BJ219" i="1"/>
  <c r="P531" i="1"/>
  <c r="BM495" i="1"/>
  <c r="AY80" i="1"/>
  <c r="BN696" i="1"/>
  <c r="AD23" i="1"/>
  <c r="H14" i="313"/>
  <c r="AG41" i="468"/>
  <c r="BL504" i="1"/>
  <c r="BN699" i="1"/>
  <c r="Z518" i="1"/>
  <c r="BL983" i="1"/>
  <c r="BN698" i="1"/>
  <c r="E69" i="1"/>
  <c r="E70" i="1" s="1"/>
  <c r="E113" i="1" s="1"/>
  <c r="Z23" i="1"/>
  <c r="E52" i="276"/>
  <c r="G52" i="276" s="1"/>
  <c r="H28" i="292"/>
  <c r="AD41" i="468"/>
  <c r="AI678" i="1"/>
  <c r="AI694" i="1" s="1"/>
  <c r="X53" i="1"/>
  <c r="D59" i="51"/>
  <c r="AM64" i="28"/>
  <c r="AI61" i="1"/>
  <c r="AI63" i="1" s="1"/>
  <c r="L49" i="1"/>
  <c r="L57" i="1" s="1"/>
  <c r="T78" i="1"/>
  <c r="T80" i="1" s="1"/>
  <c r="BM769" i="1"/>
  <c r="J11" i="267"/>
  <c r="J18" i="267" s="1"/>
  <c r="AV80" i="1"/>
  <c r="E53" i="276"/>
  <c r="G53" i="276" s="1"/>
  <c r="AE594" i="1"/>
  <c r="V63" i="1"/>
  <c r="Q769" i="1"/>
  <c r="I768" i="1"/>
  <c r="R78" i="1"/>
  <c r="R86" i="1" s="1"/>
  <c r="BL20" i="1"/>
  <c r="BM580" i="1"/>
  <c r="AG39" i="468"/>
  <c r="T52" i="1"/>
  <c r="BM219" i="1"/>
  <c r="R52" i="1"/>
  <c r="BN700" i="1"/>
  <c r="T49" i="1"/>
  <c r="T57" i="1" s="1"/>
  <c r="L53" i="1"/>
  <c r="BN258" i="1"/>
  <c r="H11" i="267"/>
  <c r="BN702" i="1"/>
  <c r="BM350" i="1"/>
  <c r="BM358" i="1" s="1"/>
  <c r="Y22" i="313"/>
  <c r="AF776" i="1"/>
  <c r="U786" i="1"/>
  <c r="C13" i="267"/>
  <c r="U358" i="1"/>
  <c r="AN12" i="28"/>
  <c r="C20" i="313"/>
  <c r="C18" i="313" s="1"/>
  <c r="C27" i="313" s="1"/>
  <c r="C30" i="313" s="1"/>
  <c r="C32" i="313" s="1"/>
  <c r="BK48" i="1"/>
  <c r="W53" i="1"/>
  <c r="AM12" i="28"/>
  <c r="AG594" i="1"/>
  <c r="AH38" i="28"/>
  <c r="AH13" i="28"/>
  <c r="AV79" i="1"/>
  <c r="BN347" i="1"/>
  <c r="F14" i="313"/>
  <c r="AL12" i="28"/>
  <c r="AK12" i="28"/>
  <c r="U49" i="1"/>
  <c r="U57" i="1" s="1"/>
  <c r="AJ12" i="28"/>
  <c r="U78" i="1"/>
  <c r="H49" i="1"/>
  <c r="AD39" i="468"/>
  <c r="T15" i="267"/>
  <c r="T16" i="267" s="1"/>
  <c r="T18" i="267" s="1"/>
  <c r="T19" i="267" s="1"/>
  <c r="AD58" i="1" s="1"/>
  <c r="AD61" i="1" s="1"/>
  <c r="AD63" i="1" s="1"/>
  <c r="AF110" i="468"/>
  <c r="AL41" i="468"/>
  <c r="M14" i="313"/>
  <c r="T69" i="1"/>
  <c r="T70" i="1" s="1"/>
  <c r="T71" i="1" s="1"/>
  <c r="T73" i="1" s="1"/>
  <c r="T15" i="313"/>
  <c r="AX79" i="1"/>
  <c r="AC22" i="1"/>
  <c r="AC751" i="1"/>
  <c r="AC229" i="1"/>
  <c r="Q503" i="1"/>
  <c r="BL257" i="1"/>
  <c r="P591" i="1"/>
  <c r="O63" i="1"/>
  <c r="K69" i="1"/>
  <c r="K70" i="1" s="1"/>
  <c r="K113" i="1" s="1"/>
  <c r="K78" i="1"/>
  <c r="K52" i="1"/>
  <c r="BC69" i="1"/>
  <c r="BC70" i="1" s="1"/>
  <c r="BC113" i="1" s="1"/>
  <c r="BC119" i="1" s="1"/>
  <c r="BK26" i="1"/>
  <c r="BK23" i="1"/>
  <c r="AX80" i="1"/>
  <c r="AH14" i="28"/>
  <c r="AH15" i="28" s="1"/>
  <c r="AI40" i="468"/>
  <c r="W769" i="1"/>
  <c r="AY79" i="1"/>
  <c r="AI62" i="359"/>
  <c r="H52" i="1"/>
  <c r="L63" i="1"/>
  <c r="BI983" i="1"/>
  <c r="AD355" i="1"/>
  <c r="AC115" i="1"/>
  <c r="AC864" i="1"/>
  <c r="AC867" i="1" s="1"/>
  <c r="AC121" i="1"/>
  <c r="P10" i="313"/>
  <c r="P24" i="313"/>
  <c r="P34" i="313"/>
  <c r="AD591" i="1"/>
  <c r="X49" i="1"/>
  <c r="X57" i="1" s="1"/>
  <c r="Y503" i="1"/>
  <c r="AI1024" i="1"/>
  <c r="AI1028" i="1" s="1"/>
  <c r="AI1029" i="1" s="1"/>
  <c r="AI1030" i="1" s="1"/>
  <c r="AI1006" i="1" s="1"/>
  <c r="BC78" i="1"/>
  <c r="BC80" i="1" s="1"/>
  <c r="AH79" i="1"/>
  <c r="AH80" i="1"/>
  <c r="AH86" i="1"/>
  <c r="X12" i="267"/>
  <c r="X13" i="267"/>
  <c r="X15" i="267" s="1"/>
  <c r="F39" i="276"/>
  <c r="H39" i="276"/>
  <c r="G39" i="276"/>
  <c r="BA715" i="1"/>
  <c r="BA718" i="1"/>
  <c r="BB715" i="1"/>
  <c r="AE503" i="1"/>
  <c r="R338" i="1"/>
  <c r="V347" i="1" s="1"/>
  <c r="V339" i="1"/>
  <c r="BC53" i="1"/>
  <c r="AA61" i="1"/>
  <c r="AA63" i="1" s="1"/>
  <c r="BN504" i="1"/>
  <c r="AB591" i="1"/>
  <c r="AG503" i="1"/>
  <c r="X22" i="313"/>
  <c r="AH22" i="1"/>
  <c r="AH751" i="1"/>
  <c r="AH229" i="1"/>
  <c r="F10" i="313"/>
  <c r="F34" i="313"/>
  <c r="F24" i="313"/>
  <c r="BC718" i="1"/>
  <c r="BD715" i="1"/>
  <c r="BC715" i="1"/>
  <c r="V358" i="1"/>
  <c r="BM500" i="1"/>
  <c r="U52" i="1"/>
  <c r="BI580" i="1"/>
  <c r="K15" i="313"/>
  <c r="AZ718" i="1"/>
  <c r="AZ715" i="1"/>
  <c r="AH1036" i="1"/>
  <c r="AH1019" i="1" s="1"/>
  <c r="AH1039" i="1"/>
  <c r="AH1020" i="1" s="1"/>
  <c r="AH1042" i="1"/>
  <c r="AH1021" i="1" s="1"/>
  <c r="AH1045" i="1"/>
  <c r="AH1022" i="1" s="1"/>
  <c r="AH1048" i="1"/>
  <c r="AH1023" i="1" s="1"/>
  <c r="AG355" i="1"/>
  <c r="AB786" i="1"/>
  <c r="X786" i="1"/>
  <c r="X788" i="1"/>
  <c r="C9" i="292"/>
  <c r="C64" i="292" s="1"/>
  <c r="C45" i="292"/>
  <c r="C63" i="292"/>
  <c r="AI80" i="1"/>
  <c r="AI86" i="1"/>
  <c r="AI90" i="1" s="1"/>
  <c r="U522" i="1"/>
  <c r="U515" i="1"/>
  <c r="U527" i="1"/>
  <c r="G63" i="292"/>
  <c r="G45" i="292"/>
  <c r="G9" i="292"/>
  <c r="BA86" i="1"/>
  <c r="X768" i="1"/>
  <c r="X769" i="1"/>
  <c r="AX723" i="1"/>
  <c r="AY71" i="1"/>
  <c r="AY73" i="1" s="1"/>
  <c r="AJ110" i="468"/>
  <c r="BA80" i="1"/>
  <c r="BB788" i="1"/>
  <c r="BB786" i="1"/>
  <c r="W504" i="1"/>
  <c r="F52" i="1"/>
  <c r="F78" i="1"/>
  <c r="F69" i="1"/>
  <c r="AI769" i="1"/>
  <c r="AI768" i="1"/>
  <c r="H786" i="1"/>
  <c r="H788" i="1"/>
  <c r="L786" i="1"/>
  <c r="W495" i="1"/>
  <c r="AA503" i="1" s="1"/>
  <c r="S495" i="1"/>
  <c r="S503" i="1" s="1"/>
  <c r="BJ487" i="1"/>
  <c r="BJ495" i="1" s="1"/>
  <c r="BT110" i="468"/>
  <c r="BK106" i="1"/>
  <c r="H761" i="1"/>
  <c r="BH759" i="1"/>
  <c r="K24" i="313"/>
  <c r="K34" i="313"/>
  <c r="K10" i="313"/>
  <c r="AI348" i="1"/>
  <c r="AI356" i="1" s="1"/>
  <c r="AI342" i="1"/>
  <c r="AI350" i="1" s="1"/>
  <c r="AI358" i="1" s="1"/>
  <c r="BN340" i="1"/>
  <c r="BN348" i="1" s="1"/>
  <c r="BN356" i="1" s="1"/>
  <c r="Z786" i="1"/>
  <c r="Z788" i="1"/>
  <c r="BK20" i="1"/>
  <c r="BC768" i="1"/>
  <c r="BC769" i="1"/>
  <c r="BO338" i="1"/>
  <c r="BO347" i="1" s="1"/>
  <c r="BJ350" i="1"/>
  <c r="BJ358" i="1" s="1"/>
  <c r="Z769" i="1"/>
  <c r="Z768" i="1"/>
  <c r="AE28" i="28"/>
  <c r="J10" i="313"/>
  <c r="J34" i="313"/>
  <c r="J24" i="313"/>
  <c r="N10" i="313"/>
  <c r="BC786" i="1"/>
  <c r="BC788" i="1"/>
  <c r="Z71" i="1"/>
  <c r="Z73" i="1" s="1"/>
  <c r="AD74" i="1" s="1"/>
  <c r="N768" i="1"/>
  <c r="N769" i="1"/>
  <c r="I11" i="267"/>
  <c r="M12" i="267" s="1"/>
  <c r="S78" i="1"/>
  <c r="W79" i="1" s="1"/>
  <c r="S52" i="1"/>
  <c r="S69" i="1"/>
  <c r="BN341" i="1"/>
  <c r="BN349" i="1" s="1"/>
  <c r="BN357" i="1" s="1"/>
  <c r="AH349" i="1"/>
  <c r="AH342" i="1"/>
  <c r="Y776" i="1"/>
  <c r="AC776" i="1"/>
  <c r="N786" i="1"/>
  <c r="N788" i="1"/>
  <c r="S527" i="1"/>
  <c r="S522" i="1"/>
  <c r="AF786" i="1"/>
  <c r="AF788" i="1"/>
  <c r="Y22" i="1"/>
  <c r="Y229" i="1"/>
  <c r="Y751" i="1"/>
  <c r="BD788" i="1"/>
  <c r="BD786" i="1"/>
  <c r="BE786" i="1"/>
  <c r="AG591" i="1"/>
  <c r="D24" i="313"/>
  <c r="H10" i="313"/>
  <c r="D34" i="313"/>
  <c r="BD768" i="1"/>
  <c r="BD769" i="1"/>
  <c r="AW80" i="1"/>
  <c r="AW79" i="1"/>
  <c r="AW86" i="1"/>
  <c r="AW90" i="1" s="1"/>
  <c r="T14" i="313"/>
  <c r="BD52" i="1"/>
  <c r="BD78" i="1"/>
  <c r="BD69" i="1"/>
  <c r="BE49" i="1"/>
  <c r="BE57" i="1" s="1"/>
  <c r="BE53" i="1"/>
  <c r="AD358" i="1"/>
  <c r="AW70" i="1"/>
  <c r="AW113" i="1" s="1"/>
  <c r="AW119" i="1" s="1"/>
  <c r="AW866" i="1" s="1"/>
  <c r="E38" i="3"/>
  <c r="E56" i="3"/>
  <c r="E75" i="3"/>
  <c r="D15" i="313"/>
  <c r="AD786" i="1"/>
  <c r="BB768" i="1"/>
  <c r="BB769" i="1"/>
  <c r="K14" i="313"/>
  <c r="AA504" i="1"/>
  <c r="E768" i="1"/>
  <c r="E769" i="1"/>
  <c r="T527" i="1"/>
  <c r="X529" i="1" s="1"/>
  <c r="X39" i="1" s="1"/>
  <c r="T515" i="1"/>
  <c r="T522" i="1"/>
  <c r="CA154" i="1"/>
  <c r="T30" i="313"/>
  <c r="T31" i="313" s="1"/>
  <c r="J71" i="1"/>
  <c r="J73" i="1" s="1"/>
  <c r="X235" i="1"/>
  <c r="X240" i="1"/>
  <c r="O24" i="313"/>
  <c r="O10" i="313"/>
  <c r="O34" i="313"/>
  <c r="T240" i="1"/>
  <c r="T235" i="1"/>
  <c r="U765" i="1"/>
  <c r="U72" i="1" s="1"/>
  <c r="BK72" i="1" s="1"/>
  <c r="U764" i="1"/>
  <c r="AE355" i="1"/>
  <c r="AI355" i="1"/>
  <c r="BD53" i="1"/>
  <c r="BG53" i="1" s="1"/>
  <c r="P14" i="313"/>
  <c r="P15" i="313"/>
  <c r="BO526" i="1"/>
  <c r="BO509" i="1"/>
  <c r="J14" i="313"/>
  <c r="J15" i="313"/>
  <c r="AB594" i="1"/>
  <c r="AF594" i="1"/>
  <c r="AI70" i="1"/>
  <c r="AI71" i="1" s="1"/>
  <c r="AI73" i="1" s="1"/>
  <c r="BH106" i="1"/>
  <c r="I93" i="51"/>
  <c r="I46" i="51" s="1"/>
  <c r="BN20" i="1"/>
  <c r="Q346" i="1"/>
  <c r="U354" i="1" s="1"/>
  <c r="BI337" i="1"/>
  <c r="BJ346" i="1" s="1"/>
  <c r="I337" i="1"/>
  <c r="BH337" i="1" s="1"/>
  <c r="AP51" i="468"/>
  <c r="AP55" i="468"/>
  <c r="AP50" i="468"/>
  <c r="AP49" i="468"/>
  <c r="AP61" i="468"/>
  <c r="BN461" i="1"/>
  <c r="BN459" i="1"/>
  <c r="F769" i="1"/>
  <c r="F768" i="1"/>
  <c r="BC49" i="1"/>
  <c r="BC57" i="1" s="1"/>
  <c r="F76" i="51"/>
  <c r="BK504" i="1"/>
  <c r="S580" i="1"/>
  <c r="S591" i="1" s="1"/>
  <c r="W580" i="1"/>
  <c r="N11" i="267"/>
  <c r="AB58" i="1"/>
  <c r="E49" i="276"/>
  <c r="X78" i="1"/>
  <c r="X69" i="1"/>
  <c r="X70" i="1" s="1"/>
  <c r="X113" i="1" s="1"/>
  <c r="AB53" i="1"/>
  <c r="AB49" i="1"/>
  <c r="AB57" i="1" s="1"/>
  <c r="X52" i="1"/>
  <c r="X58" i="1" s="1"/>
  <c r="AJ1033" i="1"/>
  <c r="BD49" i="1"/>
  <c r="BW59" i="468"/>
  <c r="BW60" i="468" s="1"/>
  <c r="F788" i="1"/>
  <c r="J786" i="1"/>
  <c r="S583" i="1"/>
  <c r="S593" i="1"/>
  <c r="N15" i="313"/>
  <c r="N14" i="313"/>
  <c r="BN593" i="1"/>
  <c r="BN583" i="1"/>
  <c r="D769" i="1"/>
  <c r="D768" i="1"/>
  <c r="AP101" i="468"/>
  <c r="AP109" i="468"/>
  <c r="AP110" i="468" s="1"/>
  <c r="N240" i="1"/>
  <c r="R235" i="1"/>
  <c r="T786" i="1"/>
  <c r="T788" i="1"/>
  <c r="AC1033" i="1"/>
  <c r="AC1032" i="1" s="1"/>
  <c r="BM583" i="1"/>
  <c r="BM594" i="1" s="1"/>
  <c r="BM593" i="1"/>
  <c r="Y12" i="267"/>
  <c r="Y13" i="267"/>
  <c r="Y15" i="267" s="1"/>
  <c r="M63" i="1"/>
  <c r="M53" i="1"/>
  <c r="I69" i="1"/>
  <c r="I49" i="1"/>
  <c r="M49" i="1"/>
  <c r="M57" i="1" s="1"/>
  <c r="I52" i="1"/>
  <c r="I78" i="1"/>
  <c r="Z110" i="1"/>
  <c r="Z114" i="1" s="1"/>
  <c r="Z88" i="1"/>
  <c r="Z107" i="1" s="1"/>
  <c r="AD87" i="1"/>
  <c r="AC137" i="1"/>
  <c r="AF22" i="1"/>
  <c r="AF23" i="1" s="1"/>
  <c r="AF229" i="1"/>
  <c r="AF751" i="1"/>
  <c r="BN772" i="1"/>
  <c r="BN775" i="1" s="1"/>
  <c r="W786" i="1"/>
  <c r="W787" i="1" s="1"/>
  <c r="W60" i="1" s="1"/>
  <c r="W50" i="1" s="1"/>
  <c r="AL110" i="468"/>
  <c r="AF107" i="1"/>
  <c r="X527" i="1"/>
  <c r="X515" i="1"/>
  <c r="X522" i="1"/>
  <c r="F38" i="276"/>
  <c r="G38" i="276"/>
  <c r="H38" i="276"/>
  <c r="I527" i="1"/>
  <c r="M529" i="1" s="1"/>
  <c r="M39" i="1" s="1"/>
  <c r="I522" i="1"/>
  <c r="BM504" i="1"/>
  <c r="AP36" i="468"/>
  <c r="AP41" i="468" s="1"/>
  <c r="AP34" i="468"/>
  <c r="AP39" i="468" s="1"/>
  <c r="AP59" i="468"/>
  <c r="W583" i="1"/>
  <c r="W593" i="1"/>
  <c r="AA593" i="1"/>
  <c r="BN500" i="1"/>
  <c r="E57" i="51"/>
  <c r="BB78" i="1"/>
  <c r="BB53" i="1"/>
  <c r="BB69" i="1"/>
  <c r="BB52" i="1"/>
  <c r="BB49" i="1"/>
  <c r="BB57" i="1" s="1"/>
  <c r="M786" i="1"/>
  <c r="I786" i="1"/>
  <c r="I788" i="1"/>
  <c r="S338" i="1"/>
  <c r="W347" i="1" s="1"/>
  <c r="AA355" i="1" s="1"/>
  <c r="W339" i="1"/>
  <c r="H13" i="292"/>
  <c r="U338" i="1"/>
  <c r="Y347" i="1" s="1"/>
  <c r="AC355" i="1" s="1"/>
  <c r="Y339" i="1"/>
  <c r="BL339" i="1" s="1"/>
  <c r="BL338" i="1"/>
  <c r="BN746" i="1"/>
  <c r="BN751" i="1" s="1"/>
  <c r="AJ84" i="28"/>
  <c r="R39" i="1"/>
  <c r="J28" i="51"/>
  <c r="J27" i="51"/>
  <c r="AF88" i="298"/>
  <c r="AF626" i="298"/>
  <c r="AF629" i="298" s="1"/>
  <c r="AF93" i="298"/>
  <c r="AB115" i="1"/>
  <c r="AB864" i="1"/>
  <c r="AB867" i="1" s="1"/>
  <c r="AB121" i="1"/>
  <c r="BB74" i="298"/>
  <c r="BB71" i="298"/>
  <c r="M10" i="313"/>
  <c r="M24" i="313"/>
  <c r="M34" i="313"/>
  <c r="BE76" i="298"/>
  <c r="BE83" i="298"/>
  <c r="BE87" i="298" s="1"/>
  <c r="BE93" i="298" s="1"/>
  <c r="BE109" i="298"/>
  <c r="BG52" i="1"/>
  <c r="BG69" i="1"/>
  <c r="BG78" i="1"/>
  <c r="I993" i="1"/>
  <c r="I1002" i="1" s="1"/>
  <c r="J1014" i="1"/>
  <c r="AV61" i="298"/>
  <c r="AV86" i="298" s="1"/>
  <c r="AV92" i="298" s="1"/>
  <c r="AI41" i="468"/>
  <c r="AT71" i="1"/>
  <c r="AT73" i="1" s="1"/>
  <c r="P45" i="298"/>
  <c r="P51" i="298" s="1"/>
  <c r="P46" i="298"/>
  <c r="P60" i="298"/>
  <c r="T57" i="298"/>
  <c r="T48" i="298" s="1"/>
  <c r="P47" i="298"/>
  <c r="P69" i="298"/>
  <c r="T45" i="298"/>
  <c r="T51" i="298" s="1"/>
  <c r="T47" i="298"/>
  <c r="T591" i="1"/>
  <c r="X591" i="1"/>
  <c r="F50" i="276"/>
  <c r="G50" i="276"/>
  <c r="H50" i="276"/>
  <c r="AK74" i="298"/>
  <c r="AK71" i="298"/>
  <c r="BE71" i="1"/>
  <c r="BE73" i="1" s="1"/>
  <c r="U503" i="1"/>
  <c r="W80" i="1"/>
  <c r="W86" i="1"/>
  <c r="AA79" i="1"/>
  <c r="F82" i="292"/>
  <c r="AC503" i="1"/>
  <c r="AY61" i="298"/>
  <c r="AY86" i="298" s="1"/>
  <c r="AY92" i="298" s="1"/>
  <c r="F50" i="51"/>
  <c r="F48" i="51"/>
  <c r="F56" i="51"/>
  <c r="G57" i="51" s="1"/>
  <c r="F49" i="51"/>
  <c r="M15" i="313"/>
  <c r="M20" i="313"/>
  <c r="M18" i="267"/>
  <c r="M13" i="267"/>
  <c r="Q12" i="267"/>
  <c r="G761" i="1"/>
  <c r="BG759" i="1"/>
  <c r="J992" i="1"/>
  <c r="J1001" i="1" s="1"/>
  <c r="K1013" i="1"/>
  <c r="BJ580" i="1"/>
  <c r="BK580" i="1"/>
  <c r="AF115" i="1"/>
  <c r="AF864" i="1"/>
  <c r="AF867" i="1" s="1"/>
  <c r="AF121" i="1"/>
  <c r="V594" i="1"/>
  <c r="Z594" i="1"/>
  <c r="Q187" i="298"/>
  <c r="Q192" i="298"/>
  <c r="U187" i="298"/>
  <c r="H49" i="51"/>
  <c r="H56" i="51"/>
  <c r="H48" i="51"/>
  <c r="AE21" i="298"/>
  <c r="AE181" i="298"/>
  <c r="AE524" i="298"/>
  <c r="D28" i="3"/>
  <c r="BN485" i="1"/>
  <c r="BN493" i="1" s="1"/>
  <c r="BN501" i="1" s="1"/>
  <c r="AH487" i="1"/>
  <c r="AL495" i="1" s="1"/>
  <c r="AH493" i="1"/>
  <c r="AH501" i="1" s="1"/>
  <c r="AI239" i="1"/>
  <c r="AI230" i="1"/>
  <c r="D49" i="3"/>
  <c r="E49" i="3"/>
  <c r="AB191" i="298"/>
  <c r="AB186" i="298"/>
  <c r="AB182" i="298"/>
  <c r="AD88" i="298"/>
  <c r="AD89" i="298" s="1"/>
  <c r="AD626" i="298"/>
  <c r="AD629" i="298" s="1"/>
  <c r="AD93" i="298"/>
  <c r="AB44" i="28"/>
  <c r="AY866" i="1"/>
  <c r="BA171" i="298"/>
  <c r="BB171" i="298"/>
  <c r="H990" i="1"/>
  <c r="I1011" i="1"/>
  <c r="H1015" i="1"/>
  <c r="H994" i="1" s="1"/>
  <c r="H1003" i="1" s="1"/>
  <c r="Q45" i="298"/>
  <c r="Q51" i="298" s="1"/>
  <c r="Q69" i="298"/>
  <c r="U70" i="298" s="1"/>
  <c r="Q60" i="298"/>
  <c r="U57" i="298"/>
  <c r="U48" i="298" s="1"/>
  <c r="Q47" i="298"/>
  <c r="Q46" i="298"/>
  <c r="N61" i="298"/>
  <c r="N86" i="298" s="1"/>
  <c r="Y13" i="313"/>
  <c r="AI26" i="1"/>
  <c r="AI518" i="1"/>
  <c r="BC191" i="298"/>
  <c r="BC171" i="298"/>
  <c r="BD176" i="298"/>
  <c r="BD171" i="298"/>
  <c r="AC43" i="28"/>
  <c r="AC44" i="28" s="1"/>
  <c r="AC42" i="28"/>
  <c r="AC46" i="28"/>
  <c r="AC80" i="28"/>
  <c r="AB85" i="28"/>
  <c r="BM71" i="1"/>
  <c r="BM73" i="1" s="1"/>
  <c r="L66" i="3"/>
  <c r="AE43" i="28"/>
  <c r="AE42" i="28"/>
  <c r="AE46" i="28"/>
  <c r="AE80" i="28"/>
  <c r="AD85" i="28"/>
  <c r="AZ532" i="298"/>
  <c r="H534" i="298"/>
  <c r="W18" i="267"/>
  <c r="W19" i="267" s="1"/>
  <c r="AG58" i="1" s="1"/>
  <c r="S98" i="292"/>
  <c r="N71" i="298"/>
  <c r="N74" i="298"/>
  <c r="N70" i="298"/>
  <c r="R70" i="298"/>
  <c r="Q10" i="313"/>
  <c r="BI239" i="1"/>
  <c r="BJ234" i="1"/>
  <c r="BI230" i="1"/>
  <c r="BA19" i="298"/>
  <c r="BA79" i="298"/>
  <c r="BB19" i="298"/>
  <c r="AF74" i="1"/>
  <c r="BI495" i="1"/>
  <c r="H45" i="298"/>
  <c r="H46" i="298"/>
  <c r="H69" i="298"/>
  <c r="H60" i="298"/>
  <c r="L57" i="298"/>
  <c r="L48" i="298" s="1"/>
  <c r="L47" i="298"/>
  <c r="L45" i="298"/>
  <c r="L51" i="298" s="1"/>
  <c r="AS628" i="298"/>
  <c r="AZ560" i="298"/>
  <c r="BA558" i="298"/>
  <c r="BA370" i="298"/>
  <c r="BA372" i="298"/>
  <c r="R531" i="1"/>
  <c r="R528" i="1"/>
  <c r="BF121" i="298"/>
  <c r="Q44" i="28"/>
  <c r="C82" i="292"/>
  <c r="BX59" i="468"/>
  <c r="M71" i="1"/>
  <c r="M73" i="1" s="1"/>
  <c r="AP628" i="298"/>
  <c r="AQ74" i="298"/>
  <c r="AQ70" i="298"/>
  <c r="AQ71" i="298"/>
  <c r="AR70" i="298"/>
  <c r="AR50" i="468"/>
  <c r="AR49" i="468"/>
  <c r="AR51" i="468"/>
  <c r="AR61" i="468"/>
  <c r="AM61" i="298"/>
  <c r="AM86" i="298" s="1"/>
  <c r="AM92" i="298" s="1"/>
  <c r="G62" i="298"/>
  <c r="G64" i="298" s="1"/>
  <c r="O240" i="1"/>
  <c r="S235" i="1"/>
  <c r="BI786" i="1"/>
  <c r="BI788" i="1"/>
  <c r="U61" i="298"/>
  <c r="U86" i="298" s="1"/>
  <c r="AF14" i="28"/>
  <c r="F27" i="3"/>
  <c r="BI23" i="1"/>
  <c r="BI26" i="1"/>
  <c r="BI48" i="1"/>
  <c r="BI518" i="1"/>
  <c r="BJ521" i="1" s="1"/>
  <c r="BJ23" i="1"/>
  <c r="J43" i="51"/>
  <c r="I45" i="51"/>
  <c r="I47" i="51"/>
  <c r="AL70" i="298"/>
  <c r="H93" i="51"/>
  <c r="BG106" i="1"/>
  <c r="BH20" i="1"/>
  <c r="AD28" i="28"/>
  <c r="BG527" i="1"/>
  <c r="BG515" i="1"/>
  <c r="BG522" i="1"/>
  <c r="AK61" i="298"/>
  <c r="AK86" i="298" s="1"/>
  <c r="AK92" i="298" s="1"/>
  <c r="AB22" i="298"/>
  <c r="AB24" i="298"/>
  <c r="G87" i="51"/>
  <c r="W177" i="298"/>
  <c r="BC14" i="298"/>
  <c r="BC177" i="298" s="1"/>
  <c r="H560" i="298"/>
  <c r="H558" i="298"/>
  <c r="BA559" i="298"/>
  <c r="BA54" i="298" s="1"/>
  <c r="L558" i="298"/>
  <c r="BF152" i="298"/>
  <c r="D61" i="298"/>
  <c r="D86" i="298" s="1"/>
  <c r="S61" i="298"/>
  <c r="S86" i="298" s="1"/>
  <c r="BJ500" i="1"/>
  <c r="AY722" i="298"/>
  <c r="AZ722" i="298"/>
  <c r="AQ36" i="468"/>
  <c r="AQ34" i="468"/>
  <c r="AQ59" i="468"/>
  <c r="AG12" i="298"/>
  <c r="AG125" i="298"/>
  <c r="AG139" i="298" s="1"/>
  <c r="AG126" i="298"/>
  <c r="O527" i="1"/>
  <c r="S529" i="1" s="1"/>
  <c r="S39" i="1" s="1"/>
  <c r="O522" i="1"/>
  <c r="AP83" i="298"/>
  <c r="AP87" i="298" s="1"/>
  <c r="AP93" i="298" s="1"/>
  <c r="AP76" i="298"/>
  <c r="AP80" i="298" s="1"/>
  <c r="AP109" i="298"/>
  <c r="K541" i="298"/>
  <c r="K542" i="298"/>
  <c r="S786" i="1"/>
  <c r="O786" i="1"/>
  <c r="O788" i="1"/>
  <c r="AV71" i="1"/>
  <c r="AV73" i="1" s="1"/>
  <c r="U74" i="298"/>
  <c r="U71" i="298"/>
  <c r="AV110" i="1"/>
  <c r="AV114" i="1" s="1"/>
  <c r="AV121" i="1" s="1"/>
  <c r="AV88" i="1"/>
  <c r="AV107" i="1" s="1"/>
  <c r="AV137" i="1"/>
  <c r="D56" i="3"/>
  <c r="E10" i="3"/>
  <c r="D38" i="3"/>
  <c r="N43" i="28"/>
  <c r="N42" i="28"/>
  <c r="N46" i="28"/>
  <c r="N80" i="28"/>
  <c r="M85" i="28"/>
  <c r="AG150" i="298"/>
  <c r="O761" i="1"/>
  <c r="BI759" i="1"/>
  <c r="AV866" i="1"/>
  <c r="AF52" i="298"/>
  <c r="AF58" i="1"/>
  <c r="S171" i="298"/>
  <c r="W171" i="298"/>
  <c r="S191" i="298"/>
  <c r="AD43" i="28"/>
  <c r="AD42" i="28"/>
  <c r="AD46" i="28"/>
  <c r="AC85" i="28"/>
  <c r="AJ85" i="28" s="1"/>
  <c r="AD80" i="28"/>
  <c r="AI39" i="468"/>
  <c r="S74" i="298"/>
  <c r="S71" i="298"/>
  <c r="AX110" i="1"/>
  <c r="AX114" i="1" s="1"/>
  <c r="AX121" i="1" s="1"/>
  <c r="AX88" i="1"/>
  <c r="AX107" i="1" s="1"/>
  <c r="AX137" i="1"/>
  <c r="K560" i="298"/>
  <c r="K558" i="298"/>
  <c r="O558" i="298"/>
  <c r="BI277" i="1"/>
  <c r="BI279" i="1"/>
  <c r="AT335" i="298"/>
  <c r="AU335" i="298"/>
  <c r="AT338" i="298"/>
  <c r="AS86" i="1"/>
  <c r="AS80" i="1"/>
  <c r="BD519" i="298"/>
  <c r="BD545" i="298"/>
  <c r="BD548" i="298" s="1"/>
  <c r="BD549" i="298" s="1"/>
  <c r="BD510" i="298"/>
  <c r="R43" i="28"/>
  <c r="R44" i="28" s="1"/>
  <c r="R42" i="28"/>
  <c r="R46" i="28"/>
  <c r="R80" i="28"/>
  <c r="Q85" i="28"/>
  <c r="P28" i="28"/>
  <c r="AJ266" i="1"/>
  <c r="AJ268" i="1"/>
  <c r="AT558" i="298"/>
  <c r="AT560" i="298"/>
  <c r="AU558" i="298"/>
  <c r="BE494" i="298"/>
  <c r="BL358" i="1"/>
  <c r="AQ35" i="468"/>
  <c r="M71" i="298"/>
  <c r="M74" i="298"/>
  <c r="E15" i="313"/>
  <c r="I14" i="313"/>
  <c r="BA71" i="1"/>
  <c r="BA73" i="1" s="1"/>
  <c r="AH143" i="298"/>
  <c r="AH150" i="298" s="1"/>
  <c r="AH118" i="298"/>
  <c r="L1010" i="1"/>
  <c r="K989" i="1"/>
  <c r="U45" i="298"/>
  <c r="U51" i="298" s="1"/>
  <c r="M43" i="28"/>
  <c r="M44" i="28" s="1"/>
  <c r="M42" i="28"/>
  <c r="M46" i="28"/>
  <c r="L85" i="28"/>
  <c r="M80" i="28"/>
  <c r="BE866" i="1"/>
  <c r="AT137" i="1"/>
  <c r="Q13" i="313"/>
  <c r="AA26" i="1"/>
  <c r="AA23" i="1"/>
  <c r="AA518" i="1"/>
  <c r="AE521" i="1" s="1"/>
  <c r="AQ101" i="468"/>
  <c r="AQ109" i="468"/>
  <c r="AQ110" i="468" s="1"/>
  <c r="AM70" i="298"/>
  <c r="AM74" i="298"/>
  <c r="AM71" i="298"/>
  <c r="O43" i="28"/>
  <c r="O42" i="28"/>
  <c r="O46" i="28"/>
  <c r="O80" i="28"/>
  <c r="N85" i="28"/>
  <c r="AM85" i="28" s="1"/>
  <c r="Y21" i="298"/>
  <c r="AC22" i="298" s="1"/>
  <c r="Y181" i="298"/>
  <c r="Y524" i="298"/>
  <c r="AT541" i="298"/>
  <c r="AT542" i="298"/>
  <c r="N57" i="3"/>
  <c r="BE628" i="298"/>
  <c r="G59" i="51"/>
  <c r="AQ61" i="298"/>
  <c r="AQ86" i="298" s="1"/>
  <c r="AQ92" i="298" s="1"/>
  <c r="BT59" i="468"/>
  <c r="BT60" i="468" s="1"/>
  <c r="BA866" i="1"/>
  <c r="AI115" i="298"/>
  <c r="AI137" i="298"/>
  <c r="BB176" i="298"/>
  <c r="T594" i="1"/>
  <c r="X594" i="1"/>
  <c r="U47" i="298"/>
  <c r="BK583" i="1"/>
  <c r="BK593" i="1"/>
  <c r="BL593" i="1"/>
  <c r="V528" i="1"/>
  <c r="E11" i="267"/>
  <c r="O52" i="1"/>
  <c r="O53" i="1"/>
  <c r="O78" i="1"/>
  <c r="O49" i="1"/>
  <c r="O57" i="1" s="1"/>
  <c r="O69" i="1"/>
  <c r="S63" i="1"/>
  <c r="S53" i="1"/>
  <c r="S49" i="1"/>
  <c r="S57" i="1" s="1"/>
  <c r="AC24" i="298"/>
  <c r="J93" i="51"/>
  <c r="J33" i="51" s="1"/>
  <c r="BI20" i="1"/>
  <c r="BI106" i="1"/>
  <c r="BJ20" i="1"/>
  <c r="BA45" i="298"/>
  <c r="BA51" i="298" s="1"/>
  <c r="BA69" i="298"/>
  <c r="BB70" i="298" s="1"/>
  <c r="BA60" i="298"/>
  <c r="BA47" i="298"/>
  <c r="BA46" i="298"/>
  <c r="BE510" i="298"/>
  <c r="AX71" i="1"/>
  <c r="AX73" i="1" s="1"/>
  <c r="AC88" i="298"/>
  <c r="AC626" i="298"/>
  <c r="AC629" i="298" s="1"/>
  <c r="AC93" i="298"/>
  <c r="I991" i="1"/>
  <c r="I1000" i="1" s="1"/>
  <c r="J1012" i="1"/>
  <c r="G48" i="51"/>
  <c r="Q542" i="298"/>
  <c r="Q541" i="298"/>
  <c r="D74" i="51"/>
  <c r="D77" i="51" s="1"/>
  <c r="E77" i="51"/>
  <c r="AQ49" i="468"/>
  <c r="AQ51" i="468"/>
  <c r="AQ50" i="468"/>
  <c r="AQ61" i="468"/>
  <c r="AQ55" i="468"/>
  <c r="AR55" i="468"/>
  <c r="M61" i="298"/>
  <c r="M86" i="298" s="1"/>
  <c r="AW51" i="298"/>
  <c r="AZ51" i="298" s="1"/>
  <c r="AZ45" i="298"/>
  <c r="AH149" i="298"/>
  <c r="AU70" i="1"/>
  <c r="AU113" i="1" s="1"/>
  <c r="AU119" i="1" s="1"/>
  <c r="BJ593" i="1"/>
  <c r="BJ583" i="1"/>
  <c r="BJ594" i="1" s="1"/>
  <c r="Q560" i="298"/>
  <c r="Q558" i="298"/>
  <c r="K45" i="298"/>
  <c r="K60" i="298"/>
  <c r="K69" i="298"/>
  <c r="K46" i="298"/>
  <c r="O57" i="298"/>
  <c r="O48" i="298" s="1"/>
  <c r="O47" i="298"/>
  <c r="O45" i="298"/>
  <c r="O51" i="298" s="1"/>
  <c r="AW74" i="298"/>
  <c r="AW71" i="298"/>
  <c r="AZ71" i="298" s="1"/>
  <c r="AW70" i="298"/>
  <c r="AZ70" i="298" s="1"/>
  <c r="BL495" i="1"/>
  <c r="AD21" i="298"/>
  <c r="AD181" i="298"/>
  <c r="AD524" i="298"/>
  <c r="AB230" i="1"/>
  <c r="AB239" i="1"/>
  <c r="AB234" i="1"/>
  <c r="V591" i="1"/>
  <c r="Z591" i="1"/>
  <c r="J998" i="1"/>
  <c r="G995" i="1"/>
  <c r="G1004" i="1" s="1"/>
  <c r="N38" i="3"/>
  <c r="AI149" i="298"/>
  <c r="N531" i="1"/>
  <c r="AS70" i="1"/>
  <c r="AS113" i="1" s="1"/>
  <c r="AS119" i="1" s="1"/>
  <c r="BN268" i="1"/>
  <c r="BN266" i="1"/>
  <c r="D80" i="1"/>
  <c r="D86" i="1"/>
  <c r="BE62" i="298"/>
  <c r="BE64" i="298" s="1"/>
  <c r="D70" i="1"/>
  <c r="D113" i="1" s="1"/>
  <c r="AT60" i="298"/>
  <c r="AT47" i="298"/>
  <c r="AT45" i="298"/>
  <c r="AT51" i="298" s="1"/>
  <c r="AT69" i="298"/>
  <c r="AT46" i="298"/>
  <c r="E46" i="292"/>
  <c r="E82" i="292"/>
  <c r="AO628" i="298"/>
  <c r="BV60" i="468"/>
  <c r="P560" i="298"/>
  <c r="P558" i="298"/>
  <c r="T558" i="298"/>
  <c r="G49" i="51"/>
  <c r="P187" i="298"/>
  <c r="P192" i="298"/>
  <c r="T187" i="298"/>
  <c r="V46" i="28"/>
  <c r="V43" i="28"/>
  <c r="V42" i="28"/>
  <c r="U85" i="28"/>
  <c r="V80" i="28"/>
  <c r="W42" i="28"/>
  <c r="AZ71" i="1"/>
  <c r="AZ73" i="1" s="1"/>
  <c r="BE19" i="298"/>
  <c r="BE79" i="298"/>
  <c r="AN74" i="298"/>
  <c r="AN70" i="298"/>
  <c r="AN71" i="298"/>
  <c r="R13" i="313"/>
  <c r="AB518" i="1"/>
  <c r="AF521" i="1" s="1"/>
  <c r="AB26" i="1"/>
  <c r="AB23" i="1"/>
  <c r="AG146" i="298"/>
  <c r="AU86" i="1"/>
  <c r="AU79" i="1"/>
  <c r="AU80" i="1"/>
  <c r="F46" i="28"/>
  <c r="F42" i="28"/>
  <c r="F43" i="28"/>
  <c r="E85" i="28"/>
  <c r="F80" i="28"/>
  <c r="G42" i="28"/>
  <c r="AX866" i="1"/>
  <c r="BX110" i="468"/>
  <c r="AF182" i="298"/>
  <c r="AF191" i="298"/>
  <c r="AF186" i="298"/>
  <c r="G78" i="1"/>
  <c r="G69" i="1"/>
  <c r="G52" i="1"/>
  <c r="K49" i="1"/>
  <c r="AZ866" i="1"/>
  <c r="BG788" i="1"/>
  <c r="BH786" i="1"/>
  <c r="BB47" i="298"/>
  <c r="W70" i="1"/>
  <c r="W113" i="1" s="1"/>
  <c r="AN61" i="298"/>
  <c r="AN86" i="298" s="1"/>
  <c r="AN92" i="298" s="1"/>
  <c r="AW61" i="298"/>
  <c r="AW86" i="298" s="1"/>
  <c r="AW92" i="298" s="1"/>
  <c r="BN632" i="1"/>
  <c r="V28" i="28"/>
  <c r="W28" i="28"/>
  <c r="Z44" i="28"/>
  <c r="AA44" i="28"/>
  <c r="P542" i="298"/>
  <c r="P541" i="298"/>
  <c r="D13" i="292"/>
  <c r="D9" i="292"/>
  <c r="D63" i="292"/>
  <c r="D45" i="292"/>
  <c r="E13" i="292"/>
  <c r="F10" i="3"/>
  <c r="G9" i="3"/>
  <c r="G15" i="3"/>
  <c r="F75" i="3"/>
  <c r="F56" i="3"/>
  <c r="F38" i="3"/>
  <c r="J32" i="51"/>
  <c r="BM561" i="1"/>
  <c r="BM562" i="1" s="1"/>
  <c r="AF561" i="1"/>
  <c r="AZ69" i="298"/>
  <c r="AZ74" i="298" s="1"/>
  <c r="AZ60" i="298"/>
  <c r="AF13" i="28"/>
  <c r="AF40" i="28"/>
  <c r="AF38" i="28"/>
  <c r="AG13" i="28"/>
  <c r="E87" i="51"/>
  <c r="AY109" i="298"/>
  <c r="AC549" i="298"/>
  <c r="AF24" i="298"/>
  <c r="AF22" i="298"/>
  <c r="AV71" i="298"/>
  <c r="AY71" i="298" s="1"/>
  <c r="AV74" i="298"/>
  <c r="N346" i="1"/>
  <c r="R354" i="1" s="1"/>
  <c r="X18" i="267"/>
  <c r="X19" i="267" s="1"/>
  <c r="AH58" i="1" s="1"/>
  <c r="AH61" i="1" s="1"/>
  <c r="AH63" i="1" s="1"/>
  <c r="G788" i="1"/>
  <c r="K786" i="1"/>
  <c r="BM229" i="1"/>
  <c r="BM751" i="1"/>
  <c r="BM757" i="1"/>
  <c r="F28" i="28"/>
  <c r="G28" i="28"/>
  <c r="B1021" i="1"/>
  <c r="AT101" i="1" l="1"/>
  <c r="AT103" i="1" s="1"/>
  <c r="U942" i="1"/>
  <c r="AT110" i="1"/>
  <c r="AT114" i="1" s="1"/>
  <c r="AT115" i="1" s="1"/>
  <c r="AT88" i="1"/>
  <c r="AT107" i="1" s="1"/>
  <c r="AO83" i="298"/>
  <c r="AO87" i="298" s="1"/>
  <c r="AO88" i="298" s="1"/>
  <c r="H122" i="503"/>
  <c r="H125" i="503" s="1"/>
  <c r="J88" i="1"/>
  <c r="J107" i="1" s="1"/>
  <c r="J101" i="1"/>
  <c r="J103" i="1" s="1"/>
  <c r="J90" i="1"/>
  <c r="H122" i="504"/>
  <c r="H125" i="504" s="1"/>
  <c r="F83" i="298"/>
  <c r="F87" i="298" s="1"/>
  <c r="F93" i="298" s="1"/>
  <c r="J75" i="298"/>
  <c r="F51" i="276"/>
  <c r="H122" i="523"/>
  <c r="H125" i="523" s="1"/>
  <c r="D13" i="267"/>
  <c r="D20" i="313"/>
  <c r="D22" i="313" s="1"/>
  <c r="G122" i="523"/>
  <c r="BM768" i="1"/>
  <c r="AP75" i="298"/>
  <c r="AO75" i="298"/>
  <c r="AO109" i="298"/>
  <c r="G13" i="267"/>
  <c r="BN257" i="1"/>
  <c r="AF91" i="1"/>
  <c r="G12" i="267"/>
  <c r="G20" i="313"/>
  <c r="G21" i="313" s="1"/>
  <c r="I122" i="503"/>
  <c r="AE93" i="1"/>
  <c r="AE92" i="1"/>
  <c r="P79" i="1"/>
  <c r="P86" i="1"/>
  <c r="P90" i="1" s="1"/>
  <c r="I942" i="1"/>
  <c r="G51" i="276"/>
  <c r="E86" i="1"/>
  <c r="E101" i="1" s="1"/>
  <c r="E103" i="1" s="1"/>
  <c r="I79" i="1"/>
  <c r="J942" i="1"/>
  <c r="Q942" i="1"/>
  <c r="W942" i="1"/>
  <c r="R942" i="1"/>
  <c r="P942" i="1"/>
  <c r="BK941" i="1"/>
  <c r="F13" i="523"/>
  <c r="H86" i="523"/>
  <c r="H130" i="523" s="1"/>
  <c r="H66" i="523"/>
  <c r="T942" i="1"/>
  <c r="Z32" i="523"/>
  <c r="Z34" i="523" s="1"/>
  <c r="AA34" i="523" s="1"/>
  <c r="AA32" i="523" s="1"/>
  <c r="AA33" i="523" s="1"/>
  <c r="Z27" i="523"/>
  <c r="AA27" i="523" s="1"/>
  <c r="AA25" i="523" s="1"/>
  <c r="AA26" i="523" s="1"/>
  <c r="N942" i="1"/>
  <c r="BJ942" i="1"/>
  <c r="E32" i="523"/>
  <c r="E16" i="523"/>
  <c r="E124" i="523"/>
  <c r="E125" i="523" s="1"/>
  <c r="V943" i="1"/>
  <c r="Z943" i="1"/>
  <c r="X942" i="1"/>
  <c r="U943" i="1"/>
  <c r="O942" i="1"/>
  <c r="BI941" i="1"/>
  <c r="BJ943" i="1" s="1"/>
  <c r="D13" i="523"/>
  <c r="S942" i="1"/>
  <c r="H34" i="523"/>
  <c r="H51" i="523"/>
  <c r="H44" i="523"/>
  <c r="H75" i="523"/>
  <c r="F122" i="504"/>
  <c r="H59" i="523"/>
  <c r="H942" i="1"/>
  <c r="F942" i="1"/>
  <c r="G942" i="1"/>
  <c r="E942" i="1"/>
  <c r="C13" i="523"/>
  <c r="BH941" i="1"/>
  <c r="BH942" i="1" s="1"/>
  <c r="E125" i="503"/>
  <c r="W943" i="1"/>
  <c r="V942" i="1"/>
  <c r="E125" i="504"/>
  <c r="I122" i="523"/>
  <c r="AA93" i="298"/>
  <c r="AA626" i="298"/>
  <c r="AA629" i="298" s="1"/>
  <c r="H86" i="503"/>
  <c r="H130" i="503" s="1"/>
  <c r="Z27" i="503"/>
  <c r="AA27" i="503" s="1"/>
  <c r="Z32" i="503"/>
  <c r="H32" i="504"/>
  <c r="H32" i="503"/>
  <c r="H59" i="503" s="1"/>
  <c r="AM350" i="1"/>
  <c r="AM358" i="1" s="1"/>
  <c r="AM356" i="1"/>
  <c r="E16" i="504"/>
  <c r="E16" i="503"/>
  <c r="BL60" i="1"/>
  <c r="F13" i="503"/>
  <c r="F124" i="503" s="1"/>
  <c r="F125" i="503" s="1"/>
  <c r="F13" i="504"/>
  <c r="F124" i="504" s="1"/>
  <c r="Z32" i="504"/>
  <c r="Z27" i="504"/>
  <c r="AA27" i="504" s="1"/>
  <c r="H66" i="504"/>
  <c r="AJ240" i="1"/>
  <c r="H66" i="503"/>
  <c r="Z29" i="504"/>
  <c r="AA29" i="504" s="1"/>
  <c r="AA23" i="504"/>
  <c r="D13" i="503"/>
  <c r="D124" i="503" s="1"/>
  <c r="D125" i="503" s="1"/>
  <c r="D13" i="504"/>
  <c r="D124" i="504" s="1"/>
  <c r="D125" i="504" s="1"/>
  <c r="AA23" i="503"/>
  <c r="Z29" i="503"/>
  <c r="AA29" i="503" s="1"/>
  <c r="BH78" i="1"/>
  <c r="BH79" i="1" s="1"/>
  <c r="C13" i="504"/>
  <c r="C124" i="504" s="1"/>
  <c r="C125" i="504" s="1"/>
  <c r="C13" i="503"/>
  <c r="C124" i="503" s="1"/>
  <c r="C125" i="503" s="1"/>
  <c r="BN198" i="1"/>
  <c r="E32" i="503"/>
  <c r="E32" i="504"/>
  <c r="H64" i="292"/>
  <c r="I64" i="292" s="1"/>
  <c r="J64" i="292" s="1"/>
  <c r="F46" i="292"/>
  <c r="F14" i="292"/>
  <c r="H29" i="292"/>
  <c r="H14" i="292"/>
  <c r="AA91" i="1"/>
  <c r="AL350" i="1"/>
  <c r="V78" i="519"/>
  <c r="W78" i="519" s="1"/>
  <c r="X78" i="519" s="1"/>
  <c r="Y78" i="519" s="1"/>
  <c r="Z78" i="519" s="1"/>
  <c r="AA78" i="519" s="1"/>
  <c r="AB78" i="519" s="1"/>
  <c r="T64" i="519"/>
  <c r="S97" i="519"/>
  <c r="S130" i="519" s="1"/>
  <c r="T19" i="519" s="1"/>
  <c r="BR101" i="1"/>
  <c r="BR103" i="1" s="1"/>
  <c r="BE93" i="1"/>
  <c r="AV93" i="1"/>
  <c r="AU101" i="1"/>
  <c r="AU103" i="1" s="1"/>
  <c r="AU90" i="1"/>
  <c r="AV92" i="1" s="1"/>
  <c r="AS101" i="1"/>
  <c r="AS103" i="1" s="1"/>
  <c r="AS90" i="1"/>
  <c r="AS93" i="1" s="1"/>
  <c r="W101" i="1"/>
  <c r="W103" i="1" s="1"/>
  <c r="W90" i="1"/>
  <c r="AH101" i="1"/>
  <c r="AH103" i="1" s="1"/>
  <c r="AH90" i="1"/>
  <c r="AZ93" i="1"/>
  <c r="AZ92" i="1"/>
  <c r="BJ101" i="1"/>
  <c r="BJ103" i="1" s="1"/>
  <c r="BJ90" i="1"/>
  <c r="AX93" i="1"/>
  <c r="AX92" i="1"/>
  <c r="AY93" i="1"/>
  <c r="AY92" i="1"/>
  <c r="D101" i="1"/>
  <c r="D103" i="1" s="1"/>
  <c r="D90" i="1"/>
  <c r="AI93" i="1"/>
  <c r="AI92" i="1"/>
  <c r="AW92" i="1"/>
  <c r="AW93" i="1"/>
  <c r="BA101" i="1"/>
  <c r="BA103" i="1" s="1"/>
  <c r="BA90" i="1"/>
  <c r="AT93" i="1"/>
  <c r="Z93" i="1"/>
  <c r="AD92" i="1"/>
  <c r="R101" i="1"/>
  <c r="R103" i="1" s="1"/>
  <c r="R90" i="1"/>
  <c r="BM88" i="1"/>
  <c r="BM107" i="1" s="1"/>
  <c r="BM90" i="1"/>
  <c r="G83" i="298"/>
  <c r="G87" i="298" s="1"/>
  <c r="G88" i="298" s="1"/>
  <c r="AE103" i="1"/>
  <c r="W51" i="1"/>
  <c r="W198" i="1"/>
  <c r="AD641" i="1"/>
  <c r="Z641" i="1" s="1"/>
  <c r="V641" i="1" s="1"/>
  <c r="AL641" i="1"/>
  <c r="AH636" i="1"/>
  <c r="AI636" i="1"/>
  <c r="AS75" i="298"/>
  <c r="BC559" i="298"/>
  <c r="BC54" i="298" s="1"/>
  <c r="BC55" i="298" s="1"/>
  <c r="W57" i="298"/>
  <c r="W48" i="298" s="1"/>
  <c r="AI101" i="1"/>
  <c r="AI103" i="1" s="1"/>
  <c r="AL501" i="1"/>
  <c r="AO536" i="1"/>
  <c r="AO544" i="1" s="1"/>
  <c r="BO341" i="1"/>
  <c r="BO349" i="1" s="1"/>
  <c r="BO357" i="1" s="1"/>
  <c r="AP341" i="1"/>
  <c r="BP341" i="1" s="1"/>
  <c r="AN343" i="1"/>
  <c r="AJ358" i="1"/>
  <c r="AN358" i="1"/>
  <c r="AO500" i="1"/>
  <c r="AP492" i="1"/>
  <c r="AO484" i="1"/>
  <c r="AO348" i="1"/>
  <c r="AO356" i="1" s="1"/>
  <c r="BP340" i="1"/>
  <c r="BP347" i="1"/>
  <c r="BP355" i="1" s="1"/>
  <c r="AP517" i="1"/>
  <c r="AP536" i="1" s="1"/>
  <c r="AP544" i="1" s="1"/>
  <c r="AO343" i="1"/>
  <c r="BO484" i="1"/>
  <c r="BO492" i="1" s="1"/>
  <c r="BO500" i="1" s="1"/>
  <c r="AQ566" i="1"/>
  <c r="BP566" i="1" s="1"/>
  <c r="T34" i="519"/>
  <c r="AA79" i="519"/>
  <c r="S111" i="519"/>
  <c r="S144" i="519" s="1"/>
  <c r="T33" i="519" s="1"/>
  <c r="AS109" i="298"/>
  <c r="AS83" i="298"/>
  <c r="AS87" i="298" s="1"/>
  <c r="AS93" i="298" s="1"/>
  <c r="L18" i="267"/>
  <c r="P19" i="267"/>
  <c r="L13" i="267"/>
  <c r="D74" i="298"/>
  <c r="D83" i="298" s="1"/>
  <c r="D87" i="298" s="1"/>
  <c r="BE530" i="298"/>
  <c r="BE532" i="298" s="1"/>
  <c r="BE534" i="298" s="1"/>
  <c r="BE524" i="298"/>
  <c r="AV70" i="298"/>
  <c r="AY70" i="298" s="1"/>
  <c r="AU74" i="298"/>
  <c r="AU76" i="298" s="1"/>
  <c r="AU80" i="298" s="1"/>
  <c r="V80" i="1"/>
  <c r="V86" i="1"/>
  <c r="L20" i="313"/>
  <c r="P31" i="313" s="1"/>
  <c r="H50" i="292"/>
  <c r="H51" i="292" s="1"/>
  <c r="H76" i="292" s="1"/>
  <c r="H79" i="292" s="1"/>
  <c r="L12" i="267"/>
  <c r="BM137" i="1"/>
  <c r="AL75" i="298"/>
  <c r="AL109" i="298"/>
  <c r="AS65" i="298"/>
  <c r="AL76" i="298"/>
  <c r="AL80" i="298" s="1"/>
  <c r="BH527" i="1"/>
  <c r="BH524" i="1" s="1"/>
  <c r="BI521" i="1"/>
  <c r="Z515" i="1"/>
  <c r="AD521" i="1"/>
  <c r="BK519" i="1"/>
  <c r="BL521" i="1"/>
  <c r="AD527" i="1"/>
  <c r="AH529" i="1" s="1"/>
  <c r="AH521" i="1"/>
  <c r="Z61" i="1"/>
  <c r="Z63" i="1" s="1"/>
  <c r="V71" i="1"/>
  <c r="V73" i="1" s="1"/>
  <c r="Z74" i="1" s="1"/>
  <c r="BE88" i="1"/>
  <c r="BE107" i="1" s="1"/>
  <c r="BE101" i="1"/>
  <c r="BE103" i="1" s="1"/>
  <c r="BD57" i="1"/>
  <c r="BG57" i="1" s="1"/>
  <c r="BG49" i="1"/>
  <c r="BG524" i="1"/>
  <c r="BG531" i="1"/>
  <c r="AZ137" i="1"/>
  <c r="AZ101" i="1"/>
  <c r="AZ103" i="1" s="1"/>
  <c r="AX87" i="1"/>
  <c r="AW101" i="1"/>
  <c r="AW103" i="1" s="1"/>
  <c r="BM110" i="1"/>
  <c r="BM114" i="1" s="1"/>
  <c r="BM115" i="1" s="1"/>
  <c r="BM101" i="1"/>
  <c r="BM103" i="1" s="1"/>
  <c r="AY88" i="1"/>
  <c r="AY107" i="1" s="1"/>
  <c r="AY101" i="1"/>
  <c r="AY103" i="1" s="1"/>
  <c r="M88" i="1"/>
  <c r="M107" i="1" s="1"/>
  <c r="M101" i="1"/>
  <c r="M103" i="1" s="1"/>
  <c r="AG31" i="28"/>
  <c r="AG33" i="28" s="1"/>
  <c r="AG65" i="28"/>
  <c r="AG20" i="28"/>
  <c r="AF102" i="1"/>
  <c r="AG22" i="28"/>
  <c r="AG23" i="28" s="1"/>
  <c r="AG24" i="28" s="1"/>
  <c r="N79" i="1"/>
  <c r="AG778" i="1"/>
  <c r="AG759" i="1"/>
  <c r="AG761" i="1" s="1"/>
  <c r="BN757" i="1"/>
  <c r="BN759" i="1" s="1"/>
  <c r="BN761" i="1" s="1"/>
  <c r="AG26" i="1"/>
  <c r="W13" i="313"/>
  <c r="W15" i="313" s="1"/>
  <c r="AG66" i="28"/>
  <c r="AU62" i="298"/>
  <c r="AU64" i="298" s="1"/>
  <c r="BE137" i="1"/>
  <c r="AA239" i="1"/>
  <c r="BE110" i="1"/>
  <c r="BE114" i="1" s="1"/>
  <c r="BE115" i="1" s="1"/>
  <c r="CC149" i="1"/>
  <c r="CB149" i="1" s="1"/>
  <c r="CC154" i="1"/>
  <c r="BH69" i="1"/>
  <c r="BH70" i="1" s="1"/>
  <c r="BH113" i="1" s="1"/>
  <c r="BH119" i="1" s="1"/>
  <c r="BH52" i="1"/>
  <c r="BH49" i="1"/>
  <c r="BH57" i="1" s="1"/>
  <c r="BH53" i="1"/>
  <c r="P36" i="313"/>
  <c r="AV51" i="298"/>
  <c r="AY51" i="298" s="1"/>
  <c r="BC46" i="298"/>
  <c r="J44" i="28"/>
  <c r="N86" i="1"/>
  <c r="N90" i="1" s="1"/>
  <c r="BC60" i="298"/>
  <c r="E19" i="292"/>
  <c r="E29" i="292" s="1"/>
  <c r="BC47" i="298"/>
  <c r="BC69" i="298"/>
  <c r="BC70" i="298" s="1"/>
  <c r="AJ515" i="1"/>
  <c r="AC182" i="298"/>
  <c r="AC192" i="298" s="1"/>
  <c r="AA230" i="1"/>
  <c r="AA235" i="1" s="1"/>
  <c r="BJ524" i="1"/>
  <c r="W62" i="298"/>
  <c r="W64" i="298" s="1"/>
  <c r="AA65" i="298" s="1"/>
  <c r="BK240" i="1"/>
  <c r="BC45" i="298"/>
  <c r="BC51" i="298" s="1"/>
  <c r="L528" i="1"/>
  <c r="P113" i="1"/>
  <c r="BA192" i="298"/>
  <c r="BA187" i="298"/>
  <c r="AD522" i="1"/>
  <c r="AD515" i="1"/>
  <c r="AA70" i="298"/>
  <c r="W71" i="298"/>
  <c r="W74" i="298"/>
  <c r="W75" i="298" s="1"/>
  <c r="W70" i="298"/>
  <c r="AJ527" i="1"/>
  <c r="AJ531" i="1" s="1"/>
  <c r="BJ80" i="1"/>
  <c r="AP343" i="298"/>
  <c r="C18" i="292"/>
  <c r="C19" i="292" s="1"/>
  <c r="BN776" i="1"/>
  <c r="L338" i="1"/>
  <c r="P347" i="1" s="1"/>
  <c r="T355" i="1" s="1"/>
  <c r="BF144" i="298"/>
  <c r="BF151" i="298" s="1"/>
  <c r="T74" i="1"/>
  <c r="BH519" i="1"/>
  <c r="BH522" i="1"/>
  <c r="BH515" i="1"/>
  <c r="AJ83" i="28"/>
  <c r="Z55" i="298"/>
  <c r="Z57" i="298" s="1"/>
  <c r="Z48" i="298" s="1"/>
  <c r="BK788" i="1"/>
  <c r="L80" i="1"/>
  <c r="L86" i="1"/>
  <c r="L90" i="1" s="1"/>
  <c r="BL757" i="1"/>
  <c r="BL759" i="1" s="1"/>
  <c r="BL761" i="1" s="1"/>
  <c r="AE518" i="1"/>
  <c r="BL229" i="1"/>
  <c r="BM234" i="1" s="1"/>
  <c r="AZ110" i="1"/>
  <c r="AZ114" i="1" s="1"/>
  <c r="AZ121" i="1" s="1"/>
  <c r="AE23" i="1"/>
  <c r="AE26" i="1"/>
  <c r="U13" i="313"/>
  <c r="U18" i="313" s="1"/>
  <c r="U27" i="313" s="1"/>
  <c r="U30" i="313" s="1"/>
  <c r="AF89" i="298"/>
  <c r="M110" i="1"/>
  <c r="M114" i="1" s="1"/>
  <c r="M864" i="1" s="1"/>
  <c r="M867" i="1" s="1"/>
  <c r="E62" i="298"/>
  <c r="E64" i="298" s="1"/>
  <c r="U62" i="298"/>
  <c r="U64" i="298" s="1"/>
  <c r="F18" i="267"/>
  <c r="J19" i="267" s="1"/>
  <c r="F13" i="267"/>
  <c r="BF149" i="298"/>
  <c r="F18" i="313"/>
  <c r="F27" i="313" s="1"/>
  <c r="F30" i="313" s="1"/>
  <c r="F32" i="313" s="1"/>
  <c r="AE239" i="1"/>
  <c r="AP65" i="298"/>
  <c r="P339" i="1"/>
  <c r="X55" i="298"/>
  <c r="X57" i="298" s="1"/>
  <c r="X48" i="298" s="1"/>
  <c r="AE230" i="1"/>
  <c r="AI235" i="1" s="1"/>
  <c r="AE234" i="1"/>
  <c r="AB55" i="298"/>
  <c r="AB57" i="298" s="1"/>
  <c r="AB48" i="298" s="1"/>
  <c r="O44" i="28"/>
  <c r="AI700" i="1"/>
  <c r="AZ88" i="1"/>
  <c r="AZ107" i="1" s="1"/>
  <c r="O62" i="298"/>
  <c r="O64" i="298" s="1"/>
  <c r="AI690" i="1"/>
  <c r="H20" i="313"/>
  <c r="F12" i="267"/>
  <c r="AZ87" i="1"/>
  <c r="E71" i="298"/>
  <c r="E74" i="298"/>
  <c r="H53" i="276"/>
  <c r="AG230" i="1"/>
  <c r="AG240" i="1" s="1"/>
  <c r="AG234" i="1"/>
  <c r="M62" i="298"/>
  <c r="M64" i="298" s="1"/>
  <c r="X71" i="298"/>
  <c r="X74" i="298"/>
  <c r="AB70" i="298"/>
  <c r="L61" i="298"/>
  <c r="L86" i="298" s="1"/>
  <c r="B18" i="267"/>
  <c r="T86" i="1"/>
  <c r="T90" i="1" s="1"/>
  <c r="AI677" i="1"/>
  <c r="AI701" i="1" s="1"/>
  <c r="L74" i="298"/>
  <c r="L71" i="298"/>
  <c r="B13" i="267"/>
  <c r="V71" i="298"/>
  <c r="Z70" i="298"/>
  <c r="V74" i="298"/>
  <c r="BN689" i="1"/>
  <c r="T79" i="1"/>
  <c r="AE864" i="1"/>
  <c r="AE867" i="1" s="1"/>
  <c r="I70" i="298"/>
  <c r="I74" i="298"/>
  <c r="M75" i="298" s="1"/>
  <c r="I71" i="298"/>
  <c r="J12" i="267"/>
  <c r="J13" i="267"/>
  <c r="F52" i="276"/>
  <c r="Q86" i="1"/>
  <c r="Q90" i="1" s="1"/>
  <c r="Q92" i="1" s="1"/>
  <c r="H52" i="276"/>
  <c r="J20" i="313"/>
  <c r="J18" i="313" s="1"/>
  <c r="J27" i="313" s="1"/>
  <c r="J30" i="313" s="1"/>
  <c r="B20" i="313"/>
  <c r="F21" i="313" s="1"/>
  <c r="X62" i="298"/>
  <c r="X64" i="298" s="1"/>
  <c r="X86" i="298"/>
  <c r="V62" i="298"/>
  <c r="V64" i="298" s="1"/>
  <c r="W531" i="1"/>
  <c r="W524" i="1"/>
  <c r="X70" i="298"/>
  <c r="T74" i="298"/>
  <c r="T71" i="298"/>
  <c r="X79" i="1"/>
  <c r="AY87" i="298"/>
  <c r="AY88" i="298" s="1"/>
  <c r="U79" i="1"/>
  <c r="K12" i="267"/>
  <c r="BM591" i="1"/>
  <c r="BK515" i="1"/>
  <c r="L79" i="1"/>
  <c r="BK522" i="1"/>
  <c r="O71" i="298"/>
  <c r="O74" i="298"/>
  <c r="K13" i="267"/>
  <c r="I62" i="298"/>
  <c r="I64" i="298" s="1"/>
  <c r="M70" i="298"/>
  <c r="Q531" i="1"/>
  <c r="AK358" i="1"/>
  <c r="K18" i="267"/>
  <c r="K19" i="267" s="1"/>
  <c r="V70" i="298"/>
  <c r="T61" i="298"/>
  <c r="T62" i="298" s="1"/>
  <c r="T64" i="298" s="1"/>
  <c r="Q528" i="1"/>
  <c r="W528" i="1"/>
  <c r="BK527" i="1"/>
  <c r="BK528" i="1" s="1"/>
  <c r="L529" i="1"/>
  <c r="L39" i="1" s="1"/>
  <c r="AN83" i="28"/>
  <c r="AK83" i="28"/>
  <c r="AL83" i="28"/>
  <c r="S62" i="298"/>
  <c r="S64" i="298" s="1"/>
  <c r="AR76" i="298"/>
  <c r="AR80" i="298" s="1"/>
  <c r="AR83" i="298"/>
  <c r="AR87" i="298" s="1"/>
  <c r="AR109" i="298"/>
  <c r="D542" i="298"/>
  <c r="D541" i="298"/>
  <c r="AY534" i="298"/>
  <c r="J83" i="298"/>
  <c r="J87" i="298" s="1"/>
  <c r="J76" i="298"/>
  <c r="J80" i="298" s="1"/>
  <c r="J62" i="298"/>
  <c r="J64" i="298" s="1"/>
  <c r="J65" i="298" s="1"/>
  <c r="AE358" i="298"/>
  <c r="R76" i="298"/>
  <c r="R80" i="298" s="1"/>
  <c r="R83" i="298"/>
  <c r="R87" i="298" s="1"/>
  <c r="AN62" i="298"/>
  <c r="AN64" i="298" s="1"/>
  <c r="AO65" i="298" s="1"/>
  <c r="AY62" i="298"/>
  <c r="AY64" i="298" s="1"/>
  <c r="BE414" i="298"/>
  <c r="BD413" i="298"/>
  <c r="BD356" i="298"/>
  <c r="N541" i="298"/>
  <c r="N542" i="298"/>
  <c r="BA534" i="298"/>
  <c r="BB57" i="298"/>
  <c r="BB48" i="298" s="1"/>
  <c r="BB55" i="298"/>
  <c r="AE356" i="298"/>
  <c r="AE357" i="298" s="1"/>
  <c r="BE412" i="298"/>
  <c r="Z186" i="298"/>
  <c r="Z191" i="298"/>
  <c r="Z182" i="298"/>
  <c r="AH146" i="298"/>
  <c r="AH153" i="298" s="1"/>
  <c r="D62" i="298"/>
  <c r="D64" i="298" s="1"/>
  <c r="N62" i="298"/>
  <c r="N64" i="298" s="1"/>
  <c r="AV62" i="298"/>
  <c r="AV64" i="298" s="1"/>
  <c r="Z22" i="298"/>
  <c r="Z24" i="298"/>
  <c r="BC357" i="298"/>
  <c r="BD358" i="298"/>
  <c r="AE115" i="1"/>
  <c r="Q80" i="1"/>
  <c r="N12" i="267"/>
  <c r="BO355" i="1"/>
  <c r="J531" i="1"/>
  <c r="N529" i="1"/>
  <c r="N39" i="1" s="1"/>
  <c r="BA87" i="1"/>
  <c r="AI702" i="1"/>
  <c r="AI695" i="1"/>
  <c r="BN229" i="1"/>
  <c r="BN234" i="1" s="1"/>
  <c r="AI693" i="1"/>
  <c r="V79" i="1"/>
  <c r="BK354" i="1"/>
  <c r="AD52" i="298"/>
  <c r="AD55" i="298" s="1"/>
  <c r="AD57" i="298" s="1"/>
  <c r="AD48" i="298" s="1"/>
  <c r="AY137" i="1"/>
  <c r="AY110" i="1"/>
  <c r="AY114" i="1" s="1"/>
  <c r="AY121" i="1" s="1"/>
  <c r="AY87" i="1"/>
  <c r="Z522" i="1"/>
  <c r="F53" i="276"/>
  <c r="Z527" i="1"/>
  <c r="AD529" i="1" s="1"/>
  <c r="H86" i="1"/>
  <c r="H79" i="1"/>
  <c r="N71" i="1"/>
  <c r="N73" i="1" s="1"/>
  <c r="N74" i="1" s="1"/>
  <c r="U86" i="1"/>
  <c r="U90" i="1" s="1"/>
  <c r="AI698" i="1"/>
  <c r="BM22" i="1"/>
  <c r="BN24" i="1" s="1"/>
  <c r="BN25" i="1" s="1"/>
  <c r="U80" i="1"/>
  <c r="AI697" i="1"/>
  <c r="AI699" i="1"/>
  <c r="AI696" i="1"/>
  <c r="H13" i="267"/>
  <c r="H18" i="267"/>
  <c r="X61" i="1"/>
  <c r="X63" i="1" s="1"/>
  <c r="H12" i="267"/>
  <c r="BK69" i="1"/>
  <c r="C22" i="313"/>
  <c r="BK53" i="1"/>
  <c r="BK78" i="1"/>
  <c r="BK80" i="1" s="1"/>
  <c r="AG23" i="1"/>
  <c r="K71" i="1"/>
  <c r="K73" i="1" s="1"/>
  <c r="BK52" i="1"/>
  <c r="BK49" i="1"/>
  <c r="BK57" i="1" s="1"/>
  <c r="F18" i="292"/>
  <c r="F23" i="292" s="1"/>
  <c r="R80" i="1"/>
  <c r="AH18" i="28"/>
  <c r="AJ18" i="28" s="1"/>
  <c r="R79" i="1"/>
  <c r="BN591" i="1"/>
  <c r="E76" i="51"/>
  <c r="BJ591" i="1"/>
  <c r="BN22" i="1"/>
  <c r="BN26" i="1" s="1"/>
  <c r="AL14" i="28"/>
  <c r="AK14" i="28"/>
  <c r="AN14" i="28"/>
  <c r="AJ14" i="28"/>
  <c r="AF234" i="1"/>
  <c r="BN594" i="1"/>
  <c r="E71" i="1"/>
  <c r="E73" i="1" s="1"/>
  <c r="AM14" i="28"/>
  <c r="BC79" i="1"/>
  <c r="C46" i="292"/>
  <c r="AC230" i="1"/>
  <c r="AC240" i="1" s="1"/>
  <c r="AC239" i="1"/>
  <c r="G58" i="51"/>
  <c r="BJ503" i="1"/>
  <c r="AZ74" i="1"/>
  <c r="AC518" i="1"/>
  <c r="AG521" i="1" s="1"/>
  <c r="AC26" i="1"/>
  <c r="S13" i="313"/>
  <c r="K80" i="1"/>
  <c r="K86" i="1"/>
  <c r="Z355" i="1"/>
  <c r="BI346" i="1"/>
  <c r="BJ354" i="1" s="1"/>
  <c r="N338" i="1"/>
  <c r="R347" i="1" s="1"/>
  <c r="V355" i="1" s="1"/>
  <c r="R339" i="1"/>
  <c r="BA719" i="1"/>
  <c r="BA722" i="1"/>
  <c r="BB719" i="1"/>
  <c r="BD79" i="1"/>
  <c r="AZ719" i="1"/>
  <c r="AZ722" i="1"/>
  <c r="AZ723" i="1" s="1"/>
  <c r="AF116" i="1"/>
  <c r="AU71" i="1"/>
  <c r="AU73" i="1" s="1"/>
  <c r="AU74" i="1" s="1"/>
  <c r="AH87" i="1"/>
  <c r="AH110" i="1"/>
  <c r="AH114" i="1" s="1"/>
  <c r="AH88" i="1"/>
  <c r="AH107" i="1" s="1"/>
  <c r="BD719" i="1"/>
  <c r="BC722" i="1"/>
  <c r="BC719" i="1"/>
  <c r="AH230" i="1"/>
  <c r="AH239" i="1"/>
  <c r="AH234" i="1"/>
  <c r="BC86" i="1"/>
  <c r="BC90" i="1" s="1"/>
  <c r="X13" i="313"/>
  <c r="AH26" i="1"/>
  <c r="AH518" i="1"/>
  <c r="AH23" i="1"/>
  <c r="AJ1048" i="1"/>
  <c r="AJ1023" i="1" s="1"/>
  <c r="AJ1045" i="1"/>
  <c r="AJ1022" i="1" s="1"/>
  <c r="AJ1042" i="1"/>
  <c r="AJ1021" i="1" s="1"/>
  <c r="AJ1039" i="1"/>
  <c r="AJ1020" i="1" s="1"/>
  <c r="AJ1036" i="1"/>
  <c r="AJ1019" i="1" s="1"/>
  <c r="AG1036" i="1"/>
  <c r="AG1019" i="1" s="1"/>
  <c r="AG1039" i="1"/>
  <c r="AG1020" i="1" s="1"/>
  <c r="AG1042" i="1"/>
  <c r="AG1021" i="1" s="1"/>
  <c r="AG1045" i="1"/>
  <c r="AG1022" i="1" s="1"/>
  <c r="AG1048" i="1"/>
  <c r="AG1023" i="1" s="1"/>
  <c r="AI74" i="1"/>
  <c r="O13" i="313"/>
  <c r="Y26" i="1"/>
  <c r="Y23" i="1"/>
  <c r="Y518" i="1"/>
  <c r="AC521" i="1" s="1"/>
  <c r="Y48" i="1"/>
  <c r="AC23" i="1"/>
  <c r="G14" i="292"/>
  <c r="O338" i="1"/>
  <c r="S339" i="1"/>
  <c r="AK359" i="1"/>
  <c r="U524" i="1"/>
  <c r="U531" i="1"/>
  <c r="U528" i="1"/>
  <c r="W503" i="1"/>
  <c r="Y529" i="1"/>
  <c r="AF239" i="1"/>
  <c r="AF230" i="1"/>
  <c r="AF235" i="1" s="1"/>
  <c r="AJ234" i="1"/>
  <c r="W529" i="1"/>
  <c r="S531" i="1"/>
  <c r="AI110" i="1"/>
  <c r="AI88" i="1"/>
  <c r="AI107" i="1" s="1"/>
  <c r="AI87" i="1"/>
  <c r="BB70" i="1"/>
  <c r="BB113" i="1" s="1"/>
  <c r="BB119" i="1" s="1"/>
  <c r="BB866" i="1" s="1"/>
  <c r="AF518" i="1"/>
  <c r="AJ521" i="1" s="1"/>
  <c r="V13" i="313"/>
  <c r="V14" i="313" s="1"/>
  <c r="AF26" i="1"/>
  <c r="AJ23" i="1"/>
  <c r="AW71" i="1"/>
  <c r="AW73" i="1" s="1"/>
  <c r="AW74" i="1" s="1"/>
  <c r="H769" i="1"/>
  <c r="H768" i="1"/>
  <c r="BH761" i="1"/>
  <c r="BO340" i="1"/>
  <c r="BO348" i="1" s="1"/>
  <c r="BO356" i="1" s="1"/>
  <c r="AK1032" i="1"/>
  <c r="Y234" i="1"/>
  <c r="Y230" i="1"/>
  <c r="Y239" i="1"/>
  <c r="AC234" i="1"/>
  <c r="R71" i="1"/>
  <c r="R73" i="1" s="1"/>
  <c r="I70" i="1"/>
  <c r="I113" i="1" s="1"/>
  <c r="AB79" i="1"/>
  <c r="X80" i="1"/>
  <c r="X86" i="1"/>
  <c r="I10" i="51"/>
  <c r="I37" i="51"/>
  <c r="I29" i="51"/>
  <c r="I54" i="51"/>
  <c r="I24" i="51"/>
  <c r="I33" i="51"/>
  <c r="I72" i="51"/>
  <c r="I65" i="51"/>
  <c r="I82" i="51"/>
  <c r="I19" i="51"/>
  <c r="I77" i="51"/>
  <c r="BB86" i="1"/>
  <c r="BB80" i="1"/>
  <c r="BB79" i="1"/>
  <c r="M346" i="1"/>
  <c r="Q354" i="1" s="1"/>
  <c r="BD86" i="1"/>
  <c r="BD80" i="1"/>
  <c r="BE79" i="1"/>
  <c r="BA137" i="1"/>
  <c r="AW137" i="1"/>
  <c r="AW87" i="1"/>
  <c r="AW110" i="1"/>
  <c r="AW114" i="1" s="1"/>
  <c r="AW88" i="1"/>
  <c r="AW107" i="1" s="1"/>
  <c r="BA88" i="1"/>
  <c r="BA107" i="1" s="1"/>
  <c r="BM347" i="1"/>
  <c r="AB61" i="1"/>
  <c r="AB63" i="1" s="1"/>
  <c r="AB54" i="1" s="1"/>
  <c r="BK495" i="1"/>
  <c r="BK503" i="1" s="1"/>
  <c r="BK787" i="1"/>
  <c r="BK60" i="1" s="1"/>
  <c r="F24" i="523" s="1"/>
  <c r="F15" i="523" s="1"/>
  <c r="F26" i="523" s="1"/>
  <c r="X71" i="1"/>
  <c r="X73" i="1" s="1"/>
  <c r="AB74" i="1" s="1"/>
  <c r="I531" i="1"/>
  <c r="M528" i="1"/>
  <c r="I13" i="267"/>
  <c r="I20" i="313"/>
  <c r="I18" i="267"/>
  <c r="M19" i="267" s="1"/>
  <c r="AG515" i="1"/>
  <c r="AG522" i="1"/>
  <c r="AG527" i="1"/>
  <c r="W594" i="1"/>
  <c r="AA594" i="1"/>
  <c r="H49" i="276"/>
  <c r="F49" i="276"/>
  <c r="G49" i="276"/>
  <c r="S70" i="1"/>
  <c r="S113" i="1" s="1"/>
  <c r="BA74" i="1"/>
  <c r="AB1033" i="1"/>
  <c r="AB1032" i="1" s="1"/>
  <c r="T531" i="1"/>
  <c r="T528" i="1"/>
  <c r="T524" i="1"/>
  <c r="X531" i="1"/>
  <c r="X528" i="1"/>
  <c r="X524" i="1"/>
  <c r="AH350" i="1"/>
  <c r="BN342" i="1"/>
  <c r="BN350" i="1" s="1"/>
  <c r="BN358" i="1" s="1"/>
  <c r="T32" i="313"/>
  <c r="Z121" i="1"/>
  <c r="Z115" i="1"/>
  <c r="Z864" i="1"/>
  <c r="Z867" i="1" s="1"/>
  <c r="F70" i="1"/>
  <c r="F113" i="1" s="1"/>
  <c r="BD70" i="1"/>
  <c r="BD113" i="1" s="1"/>
  <c r="BD119" i="1" s="1"/>
  <c r="BK358" i="1"/>
  <c r="BA110" i="1"/>
  <c r="BA114" i="1" s="1"/>
  <c r="BA121" i="1" s="1"/>
  <c r="G64" i="292"/>
  <c r="G46" i="292"/>
  <c r="I86" i="1"/>
  <c r="M79" i="1"/>
  <c r="I80" i="1"/>
  <c r="F86" i="1"/>
  <c r="F80" i="1"/>
  <c r="J79" i="1"/>
  <c r="R12" i="267"/>
  <c r="N20" i="313"/>
  <c r="N13" i="267"/>
  <c r="N16" i="267" s="1"/>
  <c r="N18" i="267" s="1"/>
  <c r="N19" i="267" s="1"/>
  <c r="R19" i="267"/>
  <c r="Q338" i="1"/>
  <c r="U347" i="1" s="1"/>
  <c r="Y355" i="1" s="1"/>
  <c r="U339" i="1"/>
  <c r="BK339" i="1" s="1"/>
  <c r="BK338" i="1"/>
  <c r="BL347" i="1" s="1"/>
  <c r="S86" i="1"/>
  <c r="S80" i="1"/>
  <c r="AK157" i="1"/>
  <c r="AH1024" i="1"/>
  <c r="AH1028" i="1" s="1"/>
  <c r="AH1029" i="1" s="1"/>
  <c r="AH1030" i="1" s="1"/>
  <c r="AH1006" i="1" s="1"/>
  <c r="AH357" i="1"/>
  <c r="AL357" i="1"/>
  <c r="AI113" i="1"/>
  <c r="W591" i="1"/>
  <c r="AA591" i="1"/>
  <c r="BL22" i="1"/>
  <c r="BM24" i="1" s="1"/>
  <c r="BM25" i="1" s="1"/>
  <c r="BX60" i="468"/>
  <c r="AB529" i="1"/>
  <c r="J45" i="51"/>
  <c r="J46" i="51"/>
  <c r="J47" i="51"/>
  <c r="T113" i="1"/>
  <c r="BK70" i="1"/>
  <c r="BK113" i="1" s="1"/>
  <c r="F58" i="523" s="1"/>
  <c r="D14" i="292"/>
  <c r="E14" i="292"/>
  <c r="D64" i="292"/>
  <c r="D46" i="292"/>
  <c r="BO566" i="1"/>
  <c r="BO576" i="1" s="1"/>
  <c r="BO587" i="1" s="1"/>
  <c r="AS71" i="1"/>
  <c r="AS73" i="1" s="1"/>
  <c r="AT74" i="1" s="1"/>
  <c r="AG24" i="298"/>
  <c r="D71" i="1"/>
  <c r="D73" i="1" s="1"/>
  <c r="E50" i="292"/>
  <c r="BJ110" i="1"/>
  <c r="BJ88" i="1"/>
  <c r="BJ107" i="1" s="1"/>
  <c r="BJ137" i="1"/>
  <c r="S83" i="298"/>
  <c r="S87" i="298" s="1"/>
  <c r="S76" i="298"/>
  <c r="S80" i="298" s="1"/>
  <c r="AF15" i="28"/>
  <c r="N83" i="298"/>
  <c r="N87" i="298" s="1"/>
  <c r="N75" i="298"/>
  <c r="N76" i="298"/>
  <c r="N80" i="298" s="1"/>
  <c r="R75" i="298"/>
  <c r="BK591" i="1"/>
  <c r="BL591" i="1"/>
  <c r="P61" i="298"/>
  <c r="AZ83" i="298"/>
  <c r="AZ109" i="298"/>
  <c r="AW75" i="298"/>
  <c r="AZ75" i="298" s="1"/>
  <c r="AW76" i="298"/>
  <c r="AW83" i="298"/>
  <c r="AW87" i="298" s="1"/>
  <c r="AW109" i="298"/>
  <c r="O70" i="1"/>
  <c r="O113" i="1" s="1"/>
  <c r="G70" i="1"/>
  <c r="G113" i="1" s="1"/>
  <c r="AI522" i="1"/>
  <c r="AI527" i="1"/>
  <c r="AI515" i="1"/>
  <c r="M22" i="313"/>
  <c r="Q21" i="313"/>
  <c r="M18" i="313"/>
  <c r="M27" i="313" s="1"/>
  <c r="M30" i="313" s="1"/>
  <c r="W110" i="1"/>
  <c r="W114" i="1" s="1"/>
  <c r="W88" i="1"/>
  <c r="W107" i="1" s="1"/>
  <c r="AA87" i="1"/>
  <c r="K22" i="313"/>
  <c r="K18" i="313"/>
  <c r="K27" i="313" s="1"/>
  <c r="K30" i="313" s="1"/>
  <c r="K998" i="1"/>
  <c r="AS110" i="1"/>
  <c r="AS114" i="1" s="1"/>
  <c r="AS115" i="1" s="1"/>
  <c r="AS88" i="1"/>
  <c r="AS107" i="1" s="1"/>
  <c r="AS137" i="1"/>
  <c r="O768" i="1"/>
  <c r="O769" i="1"/>
  <c r="BI761" i="1"/>
  <c r="AW62" i="298"/>
  <c r="AW64" i="298" s="1"/>
  <c r="AU87" i="1"/>
  <c r="AU110" i="1"/>
  <c r="AU114" i="1" s="1"/>
  <c r="AU121" i="1" s="1"/>
  <c r="AU88" i="1"/>
  <c r="AU107" i="1" s="1"/>
  <c r="AU137" i="1"/>
  <c r="AN75" i="298"/>
  <c r="AN83" i="298"/>
  <c r="AN87" i="298" s="1"/>
  <c r="AN93" i="298" s="1"/>
  <c r="AN76" i="298"/>
  <c r="AN80" i="298" s="1"/>
  <c r="AN109" i="298"/>
  <c r="BE549" i="298"/>
  <c r="AB240" i="1"/>
  <c r="AB235" i="1"/>
  <c r="BK594" i="1"/>
  <c r="BL594" i="1"/>
  <c r="L989" i="1"/>
  <c r="M1010" i="1"/>
  <c r="AQ40" i="468"/>
  <c r="AR40" i="468"/>
  <c r="AT339" i="298"/>
  <c r="AT342" i="298"/>
  <c r="AU339" i="298"/>
  <c r="O531" i="1"/>
  <c r="O528" i="1"/>
  <c r="S528" i="1"/>
  <c r="D84" i="51"/>
  <c r="K992" i="1"/>
  <c r="K1001" i="1" s="1"/>
  <c r="L1013" i="1"/>
  <c r="BE88" i="298"/>
  <c r="BE626" i="298"/>
  <c r="BE629" i="298" s="1"/>
  <c r="AW628" i="298"/>
  <c r="BE191" i="298"/>
  <c r="BE182" i="298"/>
  <c r="G80" i="1"/>
  <c r="G86" i="1"/>
  <c r="K79" i="1"/>
  <c r="AN628" i="298"/>
  <c r="J72" i="51"/>
  <c r="J95" i="51"/>
  <c r="J94" i="51"/>
  <c r="J19" i="51"/>
  <c r="J24" i="51"/>
  <c r="J77" i="51"/>
  <c r="J65" i="51"/>
  <c r="J82" i="51"/>
  <c r="J54" i="51"/>
  <c r="J10" i="51"/>
  <c r="J37" i="51"/>
  <c r="AQ62" i="298"/>
  <c r="AQ64" i="298" s="1"/>
  <c r="Y186" i="298"/>
  <c r="Y182" i="298"/>
  <c r="Y191" i="298"/>
  <c r="AH12" i="298"/>
  <c r="AH125" i="298"/>
  <c r="AH139" i="298" s="1"/>
  <c r="AH126" i="298"/>
  <c r="I990" i="1"/>
  <c r="J1011" i="1"/>
  <c r="I1015" i="1"/>
  <c r="I994" i="1" s="1"/>
  <c r="I1003" i="1" s="1"/>
  <c r="AT121" i="1"/>
  <c r="BE80" i="298"/>
  <c r="BM239" i="1"/>
  <c r="BM230" i="1"/>
  <c r="BN561" i="1"/>
  <c r="BN562" i="1" s="1"/>
  <c r="AJ561" i="1"/>
  <c r="BO561" i="1" s="1"/>
  <c r="H9" i="3"/>
  <c r="G36" i="3"/>
  <c r="G27" i="3"/>
  <c r="G42" i="3"/>
  <c r="H15" i="3"/>
  <c r="G25" i="3"/>
  <c r="AG44" i="298"/>
  <c r="AG160" i="298"/>
  <c r="AG153" i="298"/>
  <c r="AT71" i="298"/>
  <c r="AT74" i="298"/>
  <c r="AT70" i="298"/>
  <c r="AD182" i="298"/>
  <c r="AD191" i="298"/>
  <c r="AD186" i="298"/>
  <c r="AQ628" i="298"/>
  <c r="Y22" i="298"/>
  <c r="Y44" i="298"/>
  <c r="Y24" i="298"/>
  <c r="BD21" i="298"/>
  <c r="BE23" i="298" s="1"/>
  <c r="AC186" i="298"/>
  <c r="U83" i="298"/>
  <c r="U87" i="298" s="1"/>
  <c r="U76" i="298"/>
  <c r="U80" i="298" s="1"/>
  <c r="H84" i="51"/>
  <c r="H24" i="51"/>
  <c r="H65" i="51"/>
  <c r="H19" i="51"/>
  <c r="H72" i="51"/>
  <c r="H94" i="51"/>
  <c r="H95" i="51"/>
  <c r="H77" i="51"/>
  <c r="H54" i="51"/>
  <c r="H37" i="51"/>
  <c r="H82" i="51"/>
  <c r="H10" i="51"/>
  <c r="H33" i="51"/>
  <c r="H29" i="51"/>
  <c r="I95" i="51"/>
  <c r="I94" i="51"/>
  <c r="H46" i="51"/>
  <c r="Q71" i="1"/>
  <c r="Q73" i="1" s="1"/>
  <c r="Q74" i="1" s="1"/>
  <c r="AE44" i="28"/>
  <c r="Y18" i="313"/>
  <c r="Y27" i="313" s="1"/>
  <c r="Y30" i="313" s="1"/>
  <c r="Y15" i="313"/>
  <c r="H999" i="1"/>
  <c r="H995" i="1"/>
  <c r="H1004" i="1" s="1"/>
  <c r="F59" i="51"/>
  <c r="F57" i="51"/>
  <c r="F58" i="51"/>
  <c r="F84" i="51"/>
  <c r="AG18" i="298"/>
  <c r="AG13" i="298"/>
  <c r="AG14" i="298" s="1"/>
  <c r="AG73" i="298"/>
  <c r="AG84" i="298"/>
  <c r="AG505" i="298"/>
  <c r="H61" i="298"/>
  <c r="H86" i="298" s="1"/>
  <c r="M66" i="3"/>
  <c r="BA70" i="298"/>
  <c r="BA74" i="298"/>
  <c r="BB75" i="298" s="1"/>
  <c r="BA71" i="298"/>
  <c r="AA527" i="1"/>
  <c r="AE529" i="1" s="1"/>
  <c r="AE530" i="1" s="1"/>
  <c r="AA522" i="1"/>
  <c r="AA515" i="1"/>
  <c r="I49" i="51"/>
  <c r="I56" i="51"/>
  <c r="I50" i="51"/>
  <c r="I48" i="51"/>
  <c r="H70" i="298"/>
  <c r="H71" i="298"/>
  <c r="H74" i="298"/>
  <c r="L70" i="298"/>
  <c r="AU628" i="298"/>
  <c r="AE191" i="298"/>
  <c r="AE186" i="298"/>
  <c r="AE182" i="298"/>
  <c r="AL93" i="298"/>
  <c r="AD22" i="298"/>
  <c r="AD24" i="298"/>
  <c r="J991" i="1"/>
  <c r="J1000" i="1" s="1"/>
  <c r="K1012" i="1"/>
  <c r="BM759" i="1"/>
  <c r="BM761" i="1" s="1"/>
  <c r="BM778" i="1"/>
  <c r="BM785" i="1" s="1"/>
  <c r="L113" i="1"/>
  <c r="W71" i="1"/>
  <c r="W73" i="1" s="1"/>
  <c r="AF187" i="298"/>
  <c r="AF192" i="298"/>
  <c r="AO626" i="298"/>
  <c r="AO629" i="298" s="1"/>
  <c r="AZ61" i="298"/>
  <c r="AZ86" i="298" s="1"/>
  <c r="AZ92" i="298" s="1"/>
  <c r="L71" i="1"/>
  <c r="L73" i="1" s="1"/>
  <c r="AT61" i="298"/>
  <c r="AT86" i="298" s="1"/>
  <c r="AT92" i="298" s="1"/>
  <c r="AQ39" i="468"/>
  <c r="AR39" i="468"/>
  <c r="J115" i="1"/>
  <c r="J864" i="1"/>
  <c r="J867" i="1" s="1"/>
  <c r="J121" i="1"/>
  <c r="BE21" i="298"/>
  <c r="AY74" i="1"/>
  <c r="BN487" i="1"/>
  <c r="BN495" i="1" s="1"/>
  <c r="BN503" i="1" s="1"/>
  <c r="AH495" i="1"/>
  <c r="AH503" i="1" s="1"/>
  <c r="AE24" i="298"/>
  <c r="AE22" i="298"/>
  <c r="AK83" i="298"/>
  <c r="AK87" i="298" s="1"/>
  <c r="AK88" i="298" s="1"/>
  <c r="AL89" i="298" s="1"/>
  <c r="AK76" i="298"/>
  <c r="AK80" i="298" s="1"/>
  <c r="AK109" i="298"/>
  <c r="BU60" i="468"/>
  <c r="AD44" i="28"/>
  <c r="AQ41" i="468"/>
  <c r="AR41" i="468"/>
  <c r="AQ76" i="298"/>
  <c r="AQ80" i="298" s="1"/>
  <c r="AQ75" i="298"/>
  <c r="AQ83" i="298"/>
  <c r="AQ87" i="298" s="1"/>
  <c r="AQ93" i="298" s="1"/>
  <c r="AQ109" i="298"/>
  <c r="AR75" i="298"/>
  <c r="AB187" i="298"/>
  <c r="AB192" i="298"/>
  <c r="AE89" i="298"/>
  <c r="BC866" i="1"/>
  <c r="AV628" i="298"/>
  <c r="BC71" i="1"/>
  <c r="BC73" i="1" s="1"/>
  <c r="O57" i="3"/>
  <c r="AK62" i="298"/>
  <c r="AK64" i="298" s="1"/>
  <c r="AL65" i="298" s="1"/>
  <c r="AU70" i="298"/>
  <c r="Q61" i="298"/>
  <c r="Q86" i="298" s="1"/>
  <c r="H71" i="1"/>
  <c r="H73" i="1" s="1"/>
  <c r="V44" i="28"/>
  <c r="W44" i="28"/>
  <c r="D88" i="1"/>
  <c r="D107" i="1" s="1"/>
  <c r="D110" i="1"/>
  <c r="D114" i="1" s="1"/>
  <c r="AU866" i="1"/>
  <c r="O86" i="1"/>
  <c r="O79" i="1"/>
  <c r="O80" i="1"/>
  <c r="S79" i="1"/>
  <c r="BA55" i="298"/>
  <c r="BA57" i="298"/>
  <c r="BA48" i="298" s="1"/>
  <c r="BI515" i="1"/>
  <c r="BI527" i="1"/>
  <c r="BJ529" i="1" s="1"/>
  <c r="BJ530" i="1" s="1"/>
  <c r="BI522" i="1"/>
  <c r="BI519" i="1"/>
  <c r="BJ519" i="1"/>
  <c r="Q70" i="298"/>
  <c r="Q74" i="298"/>
  <c r="U75" i="298" s="1"/>
  <c r="Q71" i="298"/>
  <c r="K46" i="292"/>
  <c r="R88" i="1"/>
  <c r="R107" i="1" s="1"/>
  <c r="R110" i="1"/>
  <c r="R114" i="1" s="1"/>
  <c r="J29" i="51"/>
  <c r="BN58" i="1"/>
  <c r="I22" i="523" s="1"/>
  <c r="AF61" i="1"/>
  <c r="AF18" i="28"/>
  <c r="AF16" i="28" s="1"/>
  <c r="AF17" i="28" s="1"/>
  <c r="D18" i="292"/>
  <c r="BI69" i="1"/>
  <c r="BI53" i="1"/>
  <c r="BI52" i="1"/>
  <c r="BI49" i="1"/>
  <c r="BI57" i="1" s="1"/>
  <c r="BI78" i="1"/>
  <c r="BJ53" i="1"/>
  <c r="BJ49" i="1"/>
  <c r="BJ57" i="1" s="1"/>
  <c r="U71" i="1"/>
  <c r="U73" i="1" s="1"/>
  <c r="J993" i="1"/>
  <c r="J1002" i="1" s="1"/>
  <c r="K1014" i="1"/>
  <c r="Q15" i="313"/>
  <c r="Q14" i="313"/>
  <c r="Q18" i="313"/>
  <c r="Q27" i="313" s="1"/>
  <c r="Q30" i="313" s="1"/>
  <c r="BM503" i="1"/>
  <c r="AV76" i="298"/>
  <c r="AV83" i="298"/>
  <c r="AV87" i="298" s="1"/>
  <c r="AV109" i="298"/>
  <c r="AF55" i="298"/>
  <c r="AM62" i="298"/>
  <c r="AM64" i="298" s="1"/>
  <c r="AM65" i="298" s="1"/>
  <c r="BI235" i="1"/>
  <c r="BI240" i="1"/>
  <c r="BJ235" i="1"/>
  <c r="H50" i="51"/>
  <c r="AY628" i="298"/>
  <c r="P70" i="298"/>
  <c r="P74" i="298"/>
  <c r="P71" i="298"/>
  <c r="T70" i="298"/>
  <c r="K71" i="298"/>
  <c r="K70" i="298"/>
  <c r="K74" i="298"/>
  <c r="O70" i="298"/>
  <c r="E20" i="313"/>
  <c r="E18" i="267"/>
  <c r="E13" i="267"/>
  <c r="I12" i="267"/>
  <c r="AM75" i="298"/>
  <c r="AM83" i="298"/>
  <c r="AM87" i="298" s="1"/>
  <c r="AM76" i="298"/>
  <c r="AM80" i="298" s="1"/>
  <c r="AM109" i="298"/>
  <c r="BD181" i="298"/>
  <c r="BE186" i="298" s="1"/>
  <c r="BD524" i="298"/>
  <c r="BD530" i="298"/>
  <c r="N44" i="28"/>
  <c r="AV115" i="1"/>
  <c r="AV864" i="1"/>
  <c r="AV867" i="1" s="1"/>
  <c r="AP88" i="298"/>
  <c r="AP626" i="298"/>
  <c r="AP629" i="298" s="1"/>
  <c r="AM628" i="298"/>
  <c r="H541" i="298"/>
  <c r="H542" i="298"/>
  <c r="AZ534" i="298"/>
  <c r="S44" i="28"/>
  <c r="H59" i="51"/>
  <c r="H57" i="51"/>
  <c r="H58" i="51"/>
  <c r="G769" i="1"/>
  <c r="G768" i="1"/>
  <c r="BG761" i="1"/>
  <c r="BG86" i="1"/>
  <c r="BG80" i="1"/>
  <c r="F44" i="28"/>
  <c r="G44" i="28"/>
  <c r="AI143" i="298"/>
  <c r="BF115" i="298"/>
  <c r="AI118" i="298"/>
  <c r="AB527" i="1"/>
  <c r="AF529" i="1" s="1"/>
  <c r="AF530" i="1" s="1"/>
  <c r="AB515" i="1"/>
  <c r="AB522" i="1"/>
  <c r="AO93" i="298"/>
  <c r="AX115" i="1"/>
  <c r="AX864" i="1"/>
  <c r="AX867" i="1" s="1"/>
  <c r="R15" i="313"/>
  <c r="R18" i="313"/>
  <c r="R27" i="313" s="1"/>
  <c r="R30" i="313" s="1"/>
  <c r="R14" i="313"/>
  <c r="O38" i="3"/>
  <c r="K61" i="298"/>
  <c r="K86" i="298" s="1"/>
  <c r="W63" i="1"/>
  <c r="W61" i="1"/>
  <c r="AT87" i="1"/>
  <c r="M76" i="298"/>
  <c r="M80" i="298" s="1"/>
  <c r="M83" i="298"/>
  <c r="M87" i="298" s="1"/>
  <c r="AV87" i="1"/>
  <c r="F28" i="3"/>
  <c r="P44" i="28"/>
  <c r="AI240" i="1"/>
  <c r="BG70" i="1"/>
  <c r="BG113" i="1" s="1"/>
  <c r="BG119" i="1" s="1"/>
  <c r="BB76" i="298"/>
  <c r="BB80" i="298" s="1"/>
  <c r="BB83" i="298"/>
  <c r="BB109" i="298"/>
  <c r="BJ39" i="1"/>
  <c r="BJ40" i="1" s="1"/>
  <c r="N92" i="1" l="1"/>
  <c r="F88" i="298"/>
  <c r="D18" i="313"/>
  <c r="D27" i="313" s="1"/>
  <c r="D30" i="313" s="1"/>
  <c r="D32" i="313" s="1"/>
  <c r="H21" i="313"/>
  <c r="E110" i="1"/>
  <c r="E114" i="1" s="1"/>
  <c r="G18" i="313"/>
  <c r="G27" i="313" s="1"/>
  <c r="G30" i="313" s="1"/>
  <c r="G31" i="313" s="1"/>
  <c r="K21" i="313"/>
  <c r="G22" i="313"/>
  <c r="E90" i="1"/>
  <c r="E88" i="1"/>
  <c r="E107" i="1" s="1"/>
  <c r="P92" i="1"/>
  <c r="P88" i="1"/>
  <c r="P107" i="1" s="1"/>
  <c r="P101" i="1"/>
  <c r="P103" i="1" s="1"/>
  <c r="P110" i="1"/>
  <c r="P114" i="1" s="1"/>
  <c r="P115" i="1" s="1"/>
  <c r="H85" i="523"/>
  <c r="H71" i="523"/>
  <c r="E34" i="523"/>
  <c r="E58" i="523"/>
  <c r="E61" i="523" s="1"/>
  <c r="E51" i="523"/>
  <c r="E44" i="523"/>
  <c r="E75" i="523"/>
  <c r="Y941" i="1"/>
  <c r="Z60" i="523"/>
  <c r="Z61" i="523" s="1"/>
  <c r="C124" i="523"/>
  <c r="C125" i="523" s="1"/>
  <c r="C32" i="523"/>
  <c r="F125" i="504"/>
  <c r="D32" i="523"/>
  <c r="E35" i="523" s="1"/>
  <c r="D124" i="523"/>
  <c r="D125" i="523" s="1"/>
  <c r="D16" i="523"/>
  <c r="D17" i="523"/>
  <c r="D14" i="523"/>
  <c r="D21" i="523" s="1"/>
  <c r="D22" i="523" s="1"/>
  <c r="F32" i="523"/>
  <c r="F59" i="523" s="1"/>
  <c r="F14" i="523"/>
  <c r="F21" i="523" s="1"/>
  <c r="F22" i="523" s="1"/>
  <c r="F16" i="523"/>
  <c r="F17" i="523"/>
  <c r="F61" i="523"/>
  <c r="F124" i="523"/>
  <c r="F125" i="523" s="1"/>
  <c r="H46" i="523"/>
  <c r="BI942" i="1"/>
  <c r="BI943" i="1"/>
  <c r="E17" i="523"/>
  <c r="BK942" i="1"/>
  <c r="BK943" i="1"/>
  <c r="H53" i="523"/>
  <c r="E14" i="523"/>
  <c r="E21" i="523" s="1"/>
  <c r="E22" i="523" s="1"/>
  <c r="BL787" i="1"/>
  <c r="G24" i="523"/>
  <c r="E14" i="504"/>
  <c r="E21" i="504" s="1"/>
  <c r="E22" i="504" s="1"/>
  <c r="AA25" i="503"/>
  <c r="AA26" i="503" s="1"/>
  <c r="E14" i="503"/>
  <c r="E21" i="503" s="1"/>
  <c r="E22" i="503" s="1"/>
  <c r="T112" i="519"/>
  <c r="T145" i="519" s="1"/>
  <c r="U34" i="519" s="1"/>
  <c r="U112" i="519" s="1"/>
  <c r="U145" i="519" s="1"/>
  <c r="BH86" i="1"/>
  <c r="BH137" i="1" s="1"/>
  <c r="D76" i="298"/>
  <c r="D80" i="298" s="1"/>
  <c r="BL50" i="1"/>
  <c r="BL51" i="1" s="1"/>
  <c r="AL636" i="1"/>
  <c r="AM636" i="1"/>
  <c r="AM634" i="1" s="1"/>
  <c r="D14" i="504"/>
  <c r="D21" i="504" s="1"/>
  <c r="D22" i="504" s="1"/>
  <c r="D16" i="504"/>
  <c r="D17" i="504"/>
  <c r="D16" i="503"/>
  <c r="D14" i="503"/>
  <c r="D21" i="503" s="1"/>
  <c r="D22" i="503" s="1"/>
  <c r="D17" i="503"/>
  <c r="AA25" i="504"/>
  <c r="AA26" i="504" s="1"/>
  <c r="BO562" i="1"/>
  <c r="H85" i="503"/>
  <c r="H71" i="503"/>
  <c r="H85" i="504"/>
  <c r="H71" i="504"/>
  <c r="I22" i="503"/>
  <c r="I22" i="504"/>
  <c r="Z34" i="504"/>
  <c r="AA34" i="504" s="1"/>
  <c r="AA32" i="504" s="1"/>
  <c r="AA33" i="504" s="1"/>
  <c r="F16" i="504"/>
  <c r="F14" i="504"/>
  <c r="F21" i="504" s="1"/>
  <c r="F22" i="504" s="1"/>
  <c r="F17" i="504"/>
  <c r="F14" i="503"/>
  <c r="F21" i="503" s="1"/>
  <c r="F22" i="503" s="1"/>
  <c r="F17" i="503"/>
  <c r="F16" i="503"/>
  <c r="G24" i="503"/>
  <c r="G24" i="504"/>
  <c r="E17" i="503"/>
  <c r="E17" i="504"/>
  <c r="H34" i="504"/>
  <c r="H51" i="504"/>
  <c r="H53" i="504" s="1"/>
  <c r="H75" i="504"/>
  <c r="H44" i="504"/>
  <c r="H46" i="504" s="1"/>
  <c r="Z34" i="503"/>
  <c r="AA34" i="503" s="1"/>
  <c r="AA32" i="503" s="1"/>
  <c r="AA33" i="503" s="1"/>
  <c r="H51" i="503"/>
  <c r="H53" i="503" s="1"/>
  <c r="H34" i="503"/>
  <c r="H44" i="503"/>
  <c r="H46" i="503" s="1"/>
  <c r="H75" i="503"/>
  <c r="BH80" i="1"/>
  <c r="H59" i="504"/>
  <c r="F58" i="503"/>
  <c r="F61" i="503" s="1"/>
  <c r="F58" i="504"/>
  <c r="F61" i="504" s="1"/>
  <c r="F24" i="503"/>
  <c r="F15" i="503" s="1"/>
  <c r="F26" i="503" s="1"/>
  <c r="F24" i="504"/>
  <c r="F15" i="504" s="1"/>
  <c r="F26" i="504" s="1"/>
  <c r="E51" i="504"/>
  <c r="E75" i="504"/>
  <c r="E58" i="504"/>
  <c r="E61" i="504" s="1"/>
  <c r="E44" i="504"/>
  <c r="E34" i="504"/>
  <c r="E75" i="503"/>
  <c r="E58" i="503"/>
  <c r="E61" i="503" s="1"/>
  <c r="E34" i="503"/>
  <c r="E44" i="503"/>
  <c r="E51" i="503"/>
  <c r="AP358" i="1"/>
  <c r="G93" i="298"/>
  <c r="BC57" i="298"/>
  <c r="BC48" i="298" s="1"/>
  <c r="U91" i="1"/>
  <c r="AI91" i="1"/>
  <c r="AT92" i="1"/>
  <c r="I101" i="1"/>
  <c r="I103" i="1" s="1"/>
  <c r="I90" i="1"/>
  <c r="M92" i="1" s="1"/>
  <c r="X101" i="1"/>
  <c r="X103" i="1" s="1"/>
  <c r="X90" i="1"/>
  <c r="X91" i="1" s="1"/>
  <c r="K101" i="1"/>
  <c r="K103" i="1" s="1"/>
  <c r="K90" i="1"/>
  <c r="T93" i="1"/>
  <c r="T92" i="1"/>
  <c r="W93" i="1"/>
  <c r="AA92" i="1"/>
  <c r="G101" i="1"/>
  <c r="G103" i="1" s="1"/>
  <c r="G90" i="1"/>
  <c r="BG101" i="1"/>
  <c r="BG103" i="1" s="1"/>
  <c r="BG90" i="1"/>
  <c r="BG93" i="1" s="1"/>
  <c r="H101" i="1"/>
  <c r="H103" i="1" s="1"/>
  <c r="H90" i="1"/>
  <c r="H92" i="1" s="1"/>
  <c r="V88" i="1"/>
  <c r="V107" i="1" s="1"/>
  <c r="V90" i="1"/>
  <c r="V91" i="1" s="1"/>
  <c r="U93" i="1"/>
  <c r="U92" i="1"/>
  <c r="BD101" i="1"/>
  <c r="BD103" i="1" s="1"/>
  <c r="BD90" i="1"/>
  <c r="S101" i="1"/>
  <c r="S103" i="1" s="1"/>
  <c r="S90" i="1"/>
  <c r="T91" i="1" s="1"/>
  <c r="BC93" i="1"/>
  <c r="BM93" i="1"/>
  <c r="BJ93" i="1"/>
  <c r="BB101" i="1"/>
  <c r="BB103" i="1" s="1"/>
  <c r="BB90" i="1"/>
  <c r="BA92" i="1"/>
  <c r="BA93" i="1"/>
  <c r="AH92" i="1"/>
  <c r="AH93" i="1"/>
  <c r="O101" i="1"/>
  <c r="O103" i="1" s="1"/>
  <c r="O90" i="1"/>
  <c r="F101" i="1"/>
  <c r="F103" i="1" s="1"/>
  <c r="F90" i="1"/>
  <c r="J92" i="1" s="1"/>
  <c r="R92" i="1"/>
  <c r="AU92" i="1"/>
  <c r="AU93" i="1"/>
  <c r="T97" i="519"/>
  <c r="T130" i="519" s="1"/>
  <c r="U19" i="519" s="1"/>
  <c r="AU75" i="298"/>
  <c r="AV75" i="298"/>
  <c r="AY75" i="298" s="1"/>
  <c r="AS626" i="298"/>
  <c r="AS629" i="298" s="1"/>
  <c r="AS88" i="298"/>
  <c r="AL503" i="1"/>
  <c r="BP349" i="1"/>
  <c r="BP357" i="1" s="1"/>
  <c r="BP348" i="1"/>
  <c r="BP356" i="1" s="1"/>
  <c r="BP576" i="1"/>
  <c r="BP587" i="1" s="1"/>
  <c r="L19" i="267"/>
  <c r="AQ492" i="1"/>
  <c r="AP500" i="1"/>
  <c r="AP484" i="1"/>
  <c r="AO351" i="1"/>
  <c r="AO359" i="1" s="1"/>
  <c r="AO251" i="1"/>
  <c r="AQ517" i="1"/>
  <c r="AQ536" i="1" s="1"/>
  <c r="AQ544" i="1" s="1"/>
  <c r="AN517" i="1"/>
  <c r="AM544" i="1"/>
  <c r="BO517" i="1"/>
  <c r="AN351" i="1"/>
  <c r="AN359" i="1" s="1"/>
  <c r="AN251" i="1"/>
  <c r="AN148" i="1" s="1"/>
  <c r="AQ356" i="1"/>
  <c r="V101" i="1"/>
  <c r="V103" i="1" s="1"/>
  <c r="T111" i="519"/>
  <c r="T144" i="519" s="1"/>
  <c r="U33" i="519" s="1"/>
  <c r="U111" i="519" s="1"/>
  <c r="U144" i="519" s="1"/>
  <c r="AC78" i="519"/>
  <c r="AB79" i="519"/>
  <c r="V110" i="1"/>
  <c r="V114" i="1" s="1"/>
  <c r="V864" i="1" s="1"/>
  <c r="V867" i="1" s="1"/>
  <c r="L18" i="313"/>
  <c r="L27" i="313" s="1"/>
  <c r="L30" i="313" s="1"/>
  <c r="L32" i="313" s="1"/>
  <c r="AU83" i="298"/>
  <c r="AU87" i="298" s="1"/>
  <c r="AU88" i="298" s="1"/>
  <c r="G109" i="298"/>
  <c r="Z87" i="1"/>
  <c r="BE551" i="298"/>
  <c r="BE557" i="298" s="1"/>
  <c r="BE560" i="298" s="1"/>
  <c r="AU109" i="298"/>
  <c r="H98" i="292"/>
  <c r="V87" i="1"/>
  <c r="P21" i="313"/>
  <c r="H69" i="292"/>
  <c r="H71" i="292" s="1"/>
  <c r="H53" i="292"/>
  <c r="H68" i="292"/>
  <c r="L22" i="313"/>
  <c r="BF158" i="298"/>
  <c r="BH528" i="1"/>
  <c r="BH531" i="1"/>
  <c r="AV65" i="298"/>
  <c r="AY65" i="298" s="1"/>
  <c r="AD531" i="1"/>
  <c r="BM121" i="1"/>
  <c r="AD524" i="1"/>
  <c r="AD39" i="1"/>
  <c r="AD40" i="1" s="1"/>
  <c r="AD530" i="1"/>
  <c r="AB39" i="1"/>
  <c r="AB40" i="1" s="1"/>
  <c r="AB530" i="1"/>
  <c r="AH39" i="1"/>
  <c r="AH40" i="1" s="1"/>
  <c r="AH530" i="1"/>
  <c r="W14" i="313"/>
  <c r="AE522" i="1"/>
  <c r="AI521" i="1"/>
  <c r="BM864" i="1"/>
  <c r="BM867" i="1" s="1"/>
  <c r="BC137" i="1"/>
  <c r="BC101" i="1"/>
  <c r="BC103" i="1" s="1"/>
  <c r="U110" i="1"/>
  <c r="U114" i="1" s="1"/>
  <c r="U115" i="1" s="1"/>
  <c r="U101" i="1"/>
  <c r="U103" i="1" s="1"/>
  <c r="L110" i="1"/>
  <c r="L114" i="1" s="1"/>
  <c r="L121" i="1" s="1"/>
  <c r="L101" i="1"/>
  <c r="L103" i="1" s="1"/>
  <c r="R87" i="1"/>
  <c r="N101" i="1"/>
  <c r="N103" i="1" s="1"/>
  <c r="AG78" i="28"/>
  <c r="AF83" i="28"/>
  <c r="AG59" i="28"/>
  <c r="T88" i="1"/>
  <c r="T107" i="1" s="1"/>
  <c r="T101" i="1"/>
  <c r="T103" i="1" s="1"/>
  <c r="Q88" i="1"/>
  <c r="Q107" i="1" s="1"/>
  <c r="Q101" i="1"/>
  <c r="Q103" i="1" s="1"/>
  <c r="BE121" i="1"/>
  <c r="BE864" i="1"/>
  <c r="BE867" i="1" s="1"/>
  <c r="AZ864" i="1"/>
  <c r="AZ867" i="1" s="1"/>
  <c r="AZ115" i="1"/>
  <c r="AE116" i="1"/>
  <c r="P87" i="1"/>
  <c r="AD116" i="1"/>
  <c r="AT116" i="1"/>
  <c r="BK61" i="1"/>
  <c r="BK50" i="1"/>
  <c r="AG768" i="1"/>
  <c r="AG769" i="1"/>
  <c r="AG785" i="1"/>
  <c r="BN778" i="1"/>
  <c r="L339" i="1"/>
  <c r="H338" i="1"/>
  <c r="L347" i="1" s="1"/>
  <c r="P355" i="1" s="1"/>
  <c r="N88" i="1"/>
  <c r="N107" i="1" s="1"/>
  <c r="N137" i="1"/>
  <c r="AA240" i="1"/>
  <c r="Y14" i="313"/>
  <c r="BC71" i="298"/>
  <c r="N110" i="1"/>
  <c r="N114" i="1" s="1"/>
  <c r="N115" i="1" s="1"/>
  <c r="N87" i="1"/>
  <c r="BL230" i="1"/>
  <c r="BL235" i="1" s="1"/>
  <c r="BL234" i="1"/>
  <c r="BL239" i="1"/>
  <c r="BL778" i="1"/>
  <c r="BL785" i="1" s="1"/>
  <c r="BL788" i="1" s="1"/>
  <c r="AW65" i="298"/>
  <c r="AZ65" i="298" s="1"/>
  <c r="L88" i="1"/>
  <c r="L107" i="1" s="1"/>
  <c r="AJ524" i="1"/>
  <c r="AA75" i="298"/>
  <c r="W76" i="298"/>
  <c r="W80" i="298" s="1"/>
  <c r="W83" i="298"/>
  <c r="W87" i="298" s="1"/>
  <c r="AE515" i="1"/>
  <c r="AK1033" i="1"/>
  <c r="F31" i="313"/>
  <c r="AE527" i="1"/>
  <c r="AI529" i="1" s="1"/>
  <c r="BA61" i="298"/>
  <c r="BA86" i="298" s="1"/>
  <c r="BA92" i="298" s="1"/>
  <c r="BA628" i="298" s="1"/>
  <c r="U88" i="1"/>
  <c r="U107" i="1" s="1"/>
  <c r="L87" i="1"/>
  <c r="BI39" i="1"/>
  <c r="BI40" i="1" s="1"/>
  <c r="I65" i="298"/>
  <c r="Q137" i="1"/>
  <c r="M115" i="1"/>
  <c r="L21" i="313"/>
  <c r="U15" i="313"/>
  <c r="F19" i="267"/>
  <c r="AE235" i="1"/>
  <c r="M121" i="1"/>
  <c r="U14" i="313"/>
  <c r="V109" i="298"/>
  <c r="AY93" i="298"/>
  <c r="AE240" i="1"/>
  <c r="U87" i="1"/>
  <c r="S65" i="298"/>
  <c r="U109" i="298"/>
  <c r="AH20" i="28"/>
  <c r="AH19" i="28"/>
  <c r="H18" i="313"/>
  <c r="H27" i="313" s="1"/>
  <c r="H30" i="313" s="1"/>
  <c r="H32" i="313" s="1"/>
  <c r="J21" i="313"/>
  <c r="H22" i="313"/>
  <c r="J22" i="313"/>
  <c r="W65" i="298"/>
  <c r="H62" i="298"/>
  <c r="H64" i="298" s="1"/>
  <c r="H65" i="298" s="1"/>
  <c r="O109" i="298"/>
  <c r="X137" i="1"/>
  <c r="E76" i="298"/>
  <c r="E80" i="298" s="1"/>
  <c r="E83" i="298"/>
  <c r="E87" i="298" s="1"/>
  <c r="AY864" i="1"/>
  <c r="AY867" i="1" s="1"/>
  <c r="T110" i="1"/>
  <c r="T114" i="1" s="1"/>
  <c r="T115" i="1" s="1"/>
  <c r="AY115" i="1"/>
  <c r="T87" i="1"/>
  <c r="AH31" i="28"/>
  <c r="AN31" i="28" s="1"/>
  <c r="X109" i="298"/>
  <c r="AB65" i="298"/>
  <c r="X65" i="298"/>
  <c r="V65" i="298"/>
  <c r="Z65" i="298"/>
  <c r="BK531" i="1"/>
  <c r="BK524" i="1"/>
  <c r="S75" i="298"/>
  <c r="AH22" i="28"/>
  <c r="AJ22" i="28" s="1"/>
  <c r="T86" i="298"/>
  <c r="BC61" i="298"/>
  <c r="B18" i="313"/>
  <c r="B27" i="313" s="1"/>
  <c r="B30" i="313" s="1"/>
  <c r="B32" i="313" s="1"/>
  <c r="B22" i="313"/>
  <c r="BI529" i="1"/>
  <c r="BI530" i="1" s="1"/>
  <c r="L76" i="298"/>
  <c r="L80" i="298" s="1"/>
  <c r="L83" i="298"/>
  <c r="L87" i="298" s="1"/>
  <c r="AM18" i="28"/>
  <c r="M65" i="298"/>
  <c r="V76" i="298"/>
  <c r="V80" i="298" s="1"/>
  <c r="V75" i="298"/>
  <c r="V83" i="298"/>
  <c r="V87" i="298" s="1"/>
  <c r="Z75" i="298"/>
  <c r="AH160" i="298"/>
  <c r="Q109" i="298"/>
  <c r="I75" i="298"/>
  <c r="I76" i="298"/>
  <c r="I80" i="298" s="1"/>
  <c r="I83" i="298"/>
  <c r="I87" i="298" s="1"/>
  <c r="AH44" i="298"/>
  <c r="AH46" i="298" s="1"/>
  <c r="AP89" i="298"/>
  <c r="AI689" i="1"/>
  <c r="AY626" i="298"/>
  <c r="AY629" i="298" s="1"/>
  <c r="Q87" i="1"/>
  <c r="L62" i="298"/>
  <c r="L64" i="298" s="1"/>
  <c r="O76" i="298"/>
  <c r="O80" i="298" s="1"/>
  <c r="O83" i="298"/>
  <c r="O87" i="298" s="1"/>
  <c r="H19" i="267"/>
  <c r="W109" i="298"/>
  <c r="T83" i="298"/>
  <c r="BC74" i="298"/>
  <c r="T76" i="298"/>
  <c r="T80" i="298" s="1"/>
  <c r="S137" i="1"/>
  <c r="X83" i="298"/>
  <c r="X87" i="298" s="1"/>
  <c r="X76" i="298"/>
  <c r="X80" i="298" s="1"/>
  <c r="X75" i="298"/>
  <c r="AB75" i="298"/>
  <c r="AN18" i="28"/>
  <c r="Q110" i="1"/>
  <c r="Q114" i="1" s="1"/>
  <c r="Q115" i="1" s="1"/>
  <c r="BK86" i="1"/>
  <c r="P109" i="298"/>
  <c r="N21" i="313"/>
  <c r="J88" i="298"/>
  <c r="J89" i="298" s="1"/>
  <c r="J93" i="298"/>
  <c r="J626" i="298"/>
  <c r="J629" i="298" s="1"/>
  <c r="AN65" i="298"/>
  <c r="N65" i="298"/>
  <c r="R65" i="298"/>
  <c r="AY542" i="298"/>
  <c r="AY541" i="298"/>
  <c r="BA541" i="298"/>
  <c r="BA542" i="298"/>
  <c r="R88" i="298"/>
  <c r="R626" i="298"/>
  <c r="R629" i="298" s="1"/>
  <c r="R93" i="298"/>
  <c r="Z192" i="298"/>
  <c r="Z187" i="298"/>
  <c r="AR88" i="298"/>
  <c r="AR626" i="298"/>
  <c r="AR629" i="298" s="1"/>
  <c r="AR93" i="298"/>
  <c r="BD357" i="298"/>
  <c r="BE358" i="298"/>
  <c r="K62" i="298"/>
  <c r="K64" i="298" s="1"/>
  <c r="BE413" i="298"/>
  <c r="BE356" i="298"/>
  <c r="BE357" i="298" s="1"/>
  <c r="H88" i="1"/>
  <c r="H107" i="1" s="1"/>
  <c r="AJ1024" i="1"/>
  <c r="AJ1028" i="1" s="1"/>
  <c r="AJ1029" i="1" s="1"/>
  <c r="AJ1030" i="1" s="1"/>
  <c r="AJ1006" i="1" s="1"/>
  <c r="R74" i="1"/>
  <c r="H87" i="1"/>
  <c r="AD528" i="1"/>
  <c r="BN23" i="1"/>
  <c r="Z528" i="1"/>
  <c r="H110" i="1"/>
  <c r="H114" i="1" s="1"/>
  <c r="H115" i="1" s="1"/>
  <c r="W137" i="1"/>
  <c r="BN518" i="1"/>
  <c r="BN515" i="1" s="1"/>
  <c r="Z531" i="1"/>
  <c r="Z524" i="1"/>
  <c r="W87" i="1"/>
  <c r="BM518" i="1"/>
  <c r="BN239" i="1"/>
  <c r="AH16" i="28"/>
  <c r="AJ16" i="28" s="1"/>
  <c r="AH65" i="28"/>
  <c r="K137" i="1"/>
  <c r="BM26" i="1"/>
  <c r="F19" i="292"/>
  <c r="F29" i="292" s="1"/>
  <c r="F28" i="292"/>
  <c r="F33" i="292"/>
  <c r="AL18" i="28"/>
  <c r="BK79" i="1"/>
  <c r="AH66" i="28"/>
  <c r="U137" i="1"/>
  <c r="AK18" i="28"/>
  <c r="BL503" i="1"/>
  <c r="AG235" i="1"/>
  <c r="T137" i="1"/>
  <c r="V137" i="1"/>
  <c r="O137" i="1"/>
  <c r="BB71" i="1"/>
  <c r="BB73" i="1" s="1"/>
  <c r="BB74" i="1" s="1"/>
  <c r="K88" i="1"/>
  <c r="K107" i="1" s="1"/>
  <c r="K110" i="1"/>
  <c r="K114" i="1" s="1"/>
  <c r="L137" i="1"/>
  <c r="M137" i="1"/>
  <c r="S18" i="313"/>
  <c r="S27" i="313" s="1"/>
  <c r="S30" i="313" s="1"/>
  <c r="S32" i="313" s="1"/>
  <c r="S15" i="313"/>
  <c r="V74" i="1"/>
  <c r="AC527" i="1"/>
  <c r="AC515" i="1"/>
  <c r="AC522" i="1"/>
  <c r="BJ70" i="1"/>
  <c r="BJ113" i="1" s="1"/>
  <c r="BJ119" i="1" s="1"/>
  <c r="AH240" i="1"/>
  <c r="AH235" i="1"/>
  <c r="X18" i="313"/>
  <c r="X27" i="313" s="1"/>
  <c r="X30" i="313" s="1"/>
  <c r="X15" i="313"/>
  <c r="X14" i="313"/>
  <c r="AH115" i="1"/>
  <c r="AH864" i="1"/>
  <c r="AH867" i="1" s="1"/>
  <c r="AH121" i="1"/>
  <c r="BA723" i="1"/>
  <c r="BB723" i="1"/>
  <c r="AH515" i="1"/>
  <c r="AH522" i="1"/>
  <c r="AH527" i="1"/>
  <c r="BM23" i="1"/>
  <c r="BA864" i="1"/>
  <c r="BA867" i="1" s="1"/>
  <c r="BN230" i="1"/>
  <c r="BN240" i="1" s="1"/>
  <c r="BC88" i="1"/>
  <c r="BC107" i="1" s="1"/>
  <c r="AS121" i="1"/>
  <c r="BC110" i="1"/>
  <c r="BC114" i="1" s="1"/>
  <c r="BC121" i="1" s="1"/>
  <c r="BK63" i="1"/>
  <c r="S71" i="1"/>
  <c r="S73" i="1" s="1"/>
  <c r="W74" i="1" s="1"/>
  <c r="BD723" i="1"/>
  <c r="BD725" i="1" s="1"/>
  <c r="BC723" i="1"/>
  <c r="BC725" i="1" s="1"/>
  <c r="AI114" i="1"/>
  <c r="AI121" i="1" s="1"/>
  <c r="AV74" i="1"/>
  <c r="J338" i="1"/>
  <c r="N339" i="1"/>
  <c r="BC87" i="1"/>
  <c r="BA115" i="1"/>
  <c r="BI70" i="1"/>
  <c r="BI113" i="1" s="1"/>
  <c r="BI119" i="1" s="1"/>
  <c r="BI866" i="1" s="1"/>
  <c r="AX74" i="1"/>
  <c r="BL518" i="1"/>
  <c r="BM521" i="1" s="1"/>
  <c r="BL26" i="1"/>
  <c r="BL23" i="1"/>
  <c r="AF1036" i="1"/>
  <c r="AF1019" i="1" s="1"/>
  <c r="AF1039" i="1"/>
  <c r="AF1020" i="1" s="1"/>
  <c r="AF1042" i="1"/>
  <c r="AF1021" i="1" s="1"/>
  <c r="AF1045" i="1"/>
  <c r="AF1022" i="1" s="1"/>
  <c r="AF1048" i="1"/>
  <c r="AF1023" i="1" s="1"/>
  <c r="BD866" i="1"/>
  <c r="I22" i="313"/>
  <c r="I18" i="313"/>
  <c r="I27" i="313" s="1"/>
  <c r="I30" i="313" s="1"/>
  <c r="I32" i="313" s="1"/>
  <c r="S347" i="1"/>
  <c r="W355" i="1" s="1"/>
  <c r="K338" i="1"/>
  <c r="K339" i="1" s="1"/>
  <c r="O339" i="1"/>
  <c r="BD110" i="1"/>
  <c r="BD114" i="1" s="1"/>
  <c r="BD121" i="1" s="1"/>
  <c r="BD88" i="1"/>
  <c r="BD107" i="1" s="1"/>
  <c r="BD137" i="1"/>
  <c r="BE87" i="1"/>
  <c r="O11" i="267"/>
  <c r="AC49" i="1"/>
  <c r="AC57" i="1" s="1"/>
  <c r="Y69" i="1"/>
  <c r="E48" i="276"/>
  <c r="Y52" i="1"/>
  <c r="Y58" i="1" s="1"/>
  <c r="Y53" i="1"/>
  <c r="Y78" i="1"/>
  <c r="AC53" i="1"/>
  <c r="Y757" i="1"/>
  <c r="Y49" i="1"/>
  <c r="Y57" i="1" s="1"/>
  <c r="BL48" i="1"/>
  <c r="Y527" i="1"/>
  <c r="AC529" i="1" s="1"/>
  <c r="Y522" i="1"/>
  <c r="Y515" i="1"/>
  <c r="O71" i="1"/>
  <c r="O73" i="1" s="1"/>
  <c r="O74" i="1" s="1"/>
  <c r="S110" i="1"/>
  <c r="S114" i="1" s="1"/>
  <c r="S88" i="1"/>
  <c r="S107" i="1" s="1"/>
  <c r="AW864" i="1"/>
  <c r="AW867" i="1" s="1"/>
  <c r="AW115" i="1"/>
  <c r="AG524" i="1"/>
  <c r="AG531" i="1"/>
  <c r="O15" i="313"/>
  <c r="O14" i="313"/>
  <c r="S14" i="313"/>
  <c r="I88" i="1"/>
  <c r="I107" i="1" s="1"/>
  <c r="I87" i="1"/>
  <c r="I110" i="1"/>
  <c r="I114" i="1" s="1"/>
  <c r="M87" i="1"/>
  <c r="W39" i="1"/>
  <c r="BK39" i="1" s="1"/>
  <c r="BK40" i="1" s="1"/>
  <c r="BK529" i="1"/>
  <c r="BK530" i="1" s="1"/>
  <c r="AA1033" i="1"/>
  <c r="AA1032" i="1" s="1"/>
  <c r="AG1024" i="1"/>
  <c r="AG1028" i="1" s="1"/>
  <c r="AG1029" i="1" s="1"/>
  <c r="AG1030" i="1" s="1"/>
  <c r="AG1006" i="1" s="1"/>
  <c r="AG1007" i="1" s="1"/>
  <c r="Y240" i="1"/>
  <c r="Y235" i="1"/>
  <c r="AC235" i="1"/>
  <c r="M338" i="1"/>
  <c r="Q339" i="1"/>
  <c r="BJ339" i="1" s="1"/>
  <c r="BJ338" i="1"/>
  <c r="V15" i="313"/>
  <c r="V18" i="313"/>
  <c r="V27" i="313" s="1"/>
  <c r="V30" i="313" s="1"/>
  <c r="AF240" i="1"/>
  <c r="AJ235" i="1"/>
  <c r="F71" i="1"/>
  <c r="F73" i="1" s="1"/>
  <c r="J74" i="1" s="1"/>
  <c r="M21" i="313"/>
  <c r="J87" i="1"/>
  <c r="F110" i="1"/>
  <c r="F114" i="1" s="1"/>
  <c r="F88" i="1"/>
  <c r="F107" i="1" s="1"/>
  <c r="I71" i="1"/>
  <c r="I73" i="1" s="1"/>
  <c r="BH769" i="1"/>
  <c r="BH768" i="1"/>
  <c r="N18" i="313"/>
  <c r="N27" i="313" s="1"/>
  <c r="N30" i="313" s="1"/>
  <c r="N22" i="313"/>
  <c r="R21" i="313"/>
  <c r="H74" i="1"/>
  <c r="AF527" i="1"/>
  <c r="AJ529" i="1" s="1"/>
  <c r="AF515" i="1"/>
  <c r="AF522" i="1"/>
  <c r="BN355" i="1"/>
  <c r="BM355" i="1"/>
  <c r="AW121" i="1"/>
  <c r="Y39" i="1"/>
  <c r="BL39" i="1" s="1"/>
  <c r="BL40" i="1" s="1"/>
  <c r="BL529" i="1"/>
  <c r="BL530" i="1" s="1"/>
  <c r="AH358" i="1"/>
  <c r="BD87" i="1"/>
  <c r="BG87" i="1" s="1"/>
  <c r="BB88" i="1"/>
  <c r="BB107" i="1" s="1"/>
  <c r="BB110" i="1"/>
  <c r="BB114" i="1" s="1"/>
  <c r="BB87" i="1"/>
  <c r="BB137" i="1"/>
  <c r="BH71" i="1"/>
  <c r="BH73" i="1" s="1"/>
  <c r="X87" i="1"/>
  <c r="AB87" i="1"/>
  <c r="X88" i="1"/>
  <c r="X107" i="1" s="1"/>
  <c r="X110" i="1"/>
  <c r="X114" i="1" s="1"/>
  <c r="P137" i="1"/>
  <c r="X74" i="1"/>
  <c r="I19" i="267"/>
  <c r="BK71" i="1"/>
  <c r="BK73" i="1" s="1"/>
  <c r="BD71" i="1"/>
  <c r="BD73" i="1" s="1"/>
  <c r="BE74" i="1" s="1"/>
  <c r="R31" i="313"/>
  <c r="R32" i="313"/>
  <c r="Q32" i="313"/>
  <c r="Q36" i="313" s="1"/>
  <c r="Q31" i="313"/>
  <c r="AF39" i="1"/>
  <c r="AF40" i="1" s="1"/>
  <c r="U31" i="313"/>
  <c r="U32" i="313"/>
  <c r="R115" i="1"/>
  <c r="R864" i="1"/>
  <c r="R867" i="1" s="1"/>
  <c r="R121" i="1"/>
  <c r="E115" i="1"/>
  <c r="E121" i="1"/>
  <c r="BA76" i="298"/>
  <c r="BA80" i="298" s="1"/>
  <c r="BA83" i="298"/>
  <c r="BA75" i="298"/>
  <c r="BA109" i="298"/>
  <c r="AG55" i="298"/>
  <c r="AG54" i="298" s="1"/>
  <c r="BM240" i="1"/>
  <c r="S88" i="298"/>
  <c r="S626" i="298"/>
  <c r="S629" i="298" s="1"/>
  <c r="S93" i="298"/>
  <c r="K993" i="1"/>
  <c r="K1002" i="1" s="1"/>
  <c r="L1014" i="1"/>
  <c r="BE22" i="298"/>
  <c r="BE24" i="298"/>
  <c r="AG19" i="298"/>
  <c r="L992" i="1"/>
  <c r="L1001" i="1" s="1"/>
  <c r="M1013" i="1"/>
  <c r="AI531" i="1"/>
  <c r="AI524" i="1"/>
  <c r="AG21" i="298"/>
  <c r="AH24" i="298"/>
  <c r="AM88" i="298"/>
  <c r="AM89" i="298" s="1"/>
  <c r="AM626" i="298"/>
  <c r="AM629" i="298" s="1"/>
  <c r="BL769" i="1"/>
  <c r="BL768" i="1"/>
  <c r="AM93" i="298"/>
  <c r="BH866" i="1"/>
  <c r="F87" i="51"/>
  <c r="F85" i="51"/>
  <c r="F86" i="51"/>
  <c r="G85" i="51"/>
  <c r="G86" i="51"/>
  <c r="AH13" i="298"/>
  <c r="AH14" i="298" s="1"/>
  <c r="AH55" i="298" s="1"/>
  <c r="AH54" i="298" s="1"/>
  <c r="AH18" i="298"/>
  <c r="AH19" i="298" s="1"/>
  <c r="AH505" i="298"/>
  <c r="AH73" i="298"/>
  <c r="AH84" i="298"/>
  <c r="L1012" i="1"/>
  <c r="K991" i="1"/>
  <c r="K1000" i="1" s="1"/>
  <c r="AB524" i="1"/>
  <c r="AB531" i="1"/>
  <c r="AB528" i="1"/>
  <c r="P75" i="298"/>
  <c r="P83" i="298"/>
  <c r="P76" i="298"/>
  <c r="P80" i="298" s="1"/>
  <c r="S109" i="298"/>
  <c r="T75" i="298"/>
  <c r="R109" i="298"/>
  <c r="AK93" i="298"/>
  <c r="U74" i="1"/>
  <c r="L46" i="292"/>
  <c r="I58" i="51"/>
  <c r="I59" i="51"/>
  <c r="I57" i="51"/>
  <c r="I84" i="51"/>
  <c r="Y187" i="298"/>
  <c r="Y192" i="298"/>
  <c r="W115" i="1"/>
  <c r="W864" i="1"/>
  <c r="W867" i="1" s="1"/>
  <c r="W121" i="1"/>
  <c r="AW88" i="298"/>
  <c r="AW626" i="298"/>
  <c r="AW629" i="298" s="1"/>
  <c r="P38" i="3"/>
  <c r="N66" i="3"/>
  <c r="H86" i="51"/>
  <c r="H87" i="51"/>
  <c r="H85" i="51"/>
  <c r="AD187" i="298"/>
  <c r="AD192" i="298"/>
  <c r="AZ76" i="298"/>
  <c r="AW80" i="298"/>
  <c r="AZ80" i="298" s="1"/>
  <c r="E22" i="313"/>
  <c r="I21" i="313"/>
  <c r="E18" i="313"/>
  <c r="E27" i="313" s="1"/>
  <c r="E30" i="313" s="1"/>
  <c r="E32" i="313" s="1"/>
  <c r="AF63" i="1"/>
  <c r="AF54" i="1" s="1"/>
  <c r="G55" i="3"/>
  <c r="G56" i="3" s="1"/>
  <c r="G37" i="3"/>
  <c r="AQ65" i="298"/>
  <c r="AR65" i="298"/>
  <c r="AT343" i="298"/>
  <c r="AU343" i="298"/>
  <c r="AU345" i="298" s="1"/>
  <c r="AN88" i="298"/>
  <c r="AN626" i="298"/>
  <c r="AN629" i="298" s="1"/>
  <c r="AF57" i="298"/>
  <c r="AF48" i="298" s="1"/>
  <c r="AI12" i="298"/>
  <c r="AI125" i="298"/>
  <c r="AA74" i="1"/>
  <c r="I9" i="3"/>
  <c r="H36" i="3"/>
  <c r="H42" i="3"/>
  <c r="H25" i="3"/>
  <c r="G110" i="1"/>
  <c r="G114" i="1" s="1"/>
  <c r="G88" i="1"/>
  <c r="G107" i="1" s="1"/>
  <c r="J137" i="1"/>
  <c r="I137" i="1"/>
  <c r="K87" i="1"/>
  <c r="M32" i="313"/>
  <c r="M31" i="313"/>
  <c r="BG71" i="1"/>
  <c r="BG73" i="1" s="1"/>
  <c r="BF122" i="298"/>
  <c r="BF118" i="298"/>
  <c r="AY76" i="298"/>
  <c r="AV80" i="298"/>
  <c r="AY80" i="298" s="1"/>
  <c r="BI79" i="1"/>
  <c r="BI80" i="1"/>
  <c r="BI86" i="1"/>
  <c r="BJ79" i="1"/>
  <c r="Q75" i="298"/>
  <c r="Q83" i="298"/>
  <c r="Q87" i="298" s="1"/>
  <c r="Q76" i="298"/>
  <c r="Q80" i="298" s="1"/>
  <c r="T109" i="298"/>
  <c r="O110" i="1"/>
  <c r="O114" i="1" s="1"/>
  <c r="O87" i="1"/>
  <c r="O88" i="1"/>
  <c r="O107" i="1" s="1"/>
  <c r="R137" i="1"/>
  <c r="S87" i="1"/>
  <c r="P57" i="3"/>
  <c r="AC187" i="298"/>
  <c r="U88" i="298"/>
  <c r="U626" i="298"/>
  <c r="U629" i="298" s="1"/>
  <c r="U93" i="298"/>
  <c r="K31" i="313"/>
  <c r="K32" i="313"/>
  <c r="AZ87" i="298"/>
  <c r="AZ93" i="298" s="1"/>
  <c r="D87" i="51"/>
  <c r="E85" i="51"/>
  <c r="E86" i="51"/>
  <c r="P86" i="298"/>
  <c r="BB61" i="298"/>
  <c r="AE187" i="298"/>
  <c r="AE192" i="298"/>
  <c r="AT62" i="298"/>
  <c r="AT64" i="298" s="1"/>
  <c r="BM788" i="1"/>
  <c r="BE192" i="298"/>
  <c r="AU115" i="1"/>
  <c r="AU864" i="1"/>
  <c r="AU867" i="1" s="1"/>
  <c r="P62" i="298"/>
  <c r="P64" i="298" s="1"/>
  <c r="N88" i="298"/>
  <c r="N626" i="298"/>
  <c r="N629" i="298" s="1"/>
  <c r="N93" i="298"/>
  <c r="E68" i="292"/>
  <c r="E51" i="292"/>
  <c r="AQ88" i="298"/>
  <c r="AQ626" i="298"/>
  <c r="AQ629" i="298" s="1"/>
  <c r="AT628" i="298"/>
  <c r="BM765" i="1"/>
  <c r="BM764" i="1"/>
  <c r="H76" i="298"/>
  <c r="H80" i="298" s="1"/>
  <c r="H83" i="298"/>
  <c r="H87" i="298" s="1"/>
  <c r="H75" i="298"/>
  <c r="K109" i="298"/>
  <c r="J109" i="298"/>
  <c r="I109" i="298"/>
  <c r="L75" i="298"/>
  <c r="H109" i="298"/>
  <c r="Y31" i="313"/>
  <c r="Y32" i="313"/>
  <c r="Y36" i="313" s="1"/>
  <c r="AV88" i="298"/>
  <c r="AV626" i="298"/>
  <c r="AV629" i="298" s="1"/>
  <c r="AT76" i="298"/>
  <c r="AT80" i="298" s="1"/>
  <c r="AT75" i="298"/>
  <c r="AT83" i="298"/>
  <c r="AT87" i="298" s="1"/>
  <c r="AT109" i="298"/>
  <c r="AG27" i="28"/>
  <c r="AG36" i="28"/>
  <c r="AG41" i="28" s="1"/>
  <c r="AG63" i="28"/>
  <c r="AG79" i="28"/>
  <c r="AF84" i="28"/>
  <c r="AF90" i="28" s="1"/>
  <c r="AZ542" i="298"/>
  <c r="AZ541" i="298"/>
  <c r="J32" i="313"/>
  <c r="J31" i="313"/>
  <c r="G137" i="1"/>
  <c r="AV93" i="298"/>
  <c r="L74" i="1"/>
  <c r="P74" i="1"/>
  <c r="J990" i="1"/>
  <c r="K1011" i="1"/>
  <c r="J1015" i="1"/>
  <c r="J994" i="1" s="1"/>
  <c r="J1003" i="1" s="1"/>
  <c r="M989" i="1"/>
  <c r="N1010" i="1"/>
  <c r="F76" i="292"/>
  <c r="BK119" i="1"/>
  <c r="BG866" i="1"/>
  <c r="AI150" i="298"/>
  <c r="AI146" i="298"/>
  <c r="BF143" i="298"/>
  <c r="BD532" i="298"/>
  <c r="BD534" i="298" s="1"/>
  <c r="BD551" i="298"/>
  <c r="BD557" i="298" s="1"/>
  <c r="BD186" i="298"/>
  <c r="BD191" i="298"/>
  <c r="BD182" i="298"/>
  <c r="BE187" i="298" s="1"/>
  <c r="K76" i="298"/>
  <c r="K80" i="298" s="1"/>
  <c r="K75" i="298"/>
  <c r="K83" i="298"/>
  <c r="K87" i="298" s="1"/>
  <c r="M109" i="298"/>
  <c r="N109" i="298"/>
  <c r="O75" i="298"/>
  <c r="L109" i="298"/>
  <c r="BI524" i="1"/>
  <c r="BI531" i="1"/>
  <c r="BI528" i="1"/>
  <c r="BJ528" i="1"/>
  <c r="D115" i="1"/>
  <c r="D121" i="1"/>
  <c r="Q62" i="298"/>
  <c r="Q64" i="298" s="1"/>
  <c r="AZ628" i="298"/>
  <c r="AE39" i="1"/>
  <c r="AE40" i="1" s="1"/>
  <c r="AG510" i="298"/>
  <c r="AG545" i="298"/>
  <c r="BD24" i="298"/>
  <c r="BD22" i="298"/>
  <c r="I999" i="1"/>
  <c r="I995" i="1"/>
  <c r="I1004" i="1" s="1"/>
  <c r="AW93" i="298"/>
  <c r="L998" i="1"/>
  <c r="D88" i="298"/>
  <c r="D93" i="298"/>
  <c r="BE537" i="298"/>
  <c r="BE538" i="298"/>
  <c r="M88" i="298"/>
  <c r="M626" i="298"/>
  <c r="M629" i="298" s="1"/>
  <c r="M93" i="298"/>
  <c r="D17" i="3"/>
  <c r="BG88" i="1"/>
  <c r="BG107" i="1" s="1"/>
  <c r="BG110" i="1"/>
  <c r="BG114" i="1" s="1"/>
  <c r="BG121" i="1" s="1"/>
  <c r="BG137" i="1"/>
  <c r="BG768" i="1"/>
  <c r="BG769" i="1"/>
  <c r="D23" i="292"/>
  <c r="D28" i="292"/>
  <c r="D33" i="292"/>
  <c r="D19" i="292"/>
  <c r="E23" i="292"/>
  <c r="E33" i="292"/>
  <c r="AF22" i="28"/>
  <c r="AF31" i="28"/>
  <c r="AF19" i="28"/>
  <c r="AF20" i="28"/>
  <c r="AF66" i="28"/>
  <c r="AF65" i="28"/>
  <c r="AG19" i="28"/>
  <c r="K64" i="292"/>
  <c r="AZ62" i="298"/>
  <c r="AZ64" i="298" s="1"/>
  <c r="H84" i="292"/>
  <c r="H137" i="1"/>
  <c r="AA524" i="1"/>
  <c r="AA531" i="1"/>
  <c r="AA528" i="1"/>
  <c r="BI769" i="1"/>
  <c r="BI768" i="1"/>
  <c r="G71" i="1"/>
  <c r="G73" i="1" s="1"/>
  <c r="K74" i="1" s="1"/>
  <c r="J49" i="51"/>
  <c r="J48" i="51"/>
  <c r="J50" i="51"/>
  <c r="J56" i="51"/>
  <c r="Y47" i="298"/>
  <c r="BD44" i="298"/>
  <c r="Y45" i="298"/>
  <c r="Y51" i="298" s="1"/>
  <c r="Y46" i="298"/>
  <c r="Y52" i="298" s="1"/>
  <c r="Y60" i="298"/>
  <c r="Y69" i="298"/>
  <c r="Y530" i="298"/>
  <c r="AC47" i="298"/>
  <c r="AC45" i="298"/>
  <c r="AC51" i="298" s="1"/>
  <c r="AG45" i="298"/>
  <c r="AG51" i="298" s="1"/>
  <c r="AG46" i="298"/>
  <c r="AG69" i="298"/>
  <c r="AG52" i="298"/>
  <c r="AG60" i="298"/>
  <c r="AG47" i="298"/>
  <c r="AG530" i="298"/>
  <c r="B1022" i="1"/>
  <c r="BL198" i="1" l="1"/>
  <c r="G32" i="313"/>
  <c r="C50" i="292"/>
  <c r="E17" i="3"/>
  <c r="E44" i="3" s="1"/>
  <c r="BH90" i="1"/>
  <c r="BH92" i="1" s="1"/>
  <c r="E53" i="523"/>
  <c r="BH101" i="1"/>
  <c r="BH103" i="1" s="1"/>
  <c r="E86" i="523"/>
  <c r="E130" i="523" s="1"/>
  <c r="E66" i="523"/>
  <c r="C32" i="503"/>
  <c r="C58" i="503" s="1"/>
  <c r="C61" i="503" s="1"/>
  <c r="C66" i="503" s="1"/>
  <c r="BL941" i="1"/>
  <c r="G13" i="523"/>
  <c r="C32" i="504"/>
  <c r="C75" i="504" s="1"/>
  <c r="F62" i="523"/>
  <c r="F86" i="523"/>
  <c r="F130" i="523" s="1"/>
  <c r="F66" i="523"/>
  <c r="AB942" i="1"/>
  <c r="Y943" i="1"/>
  <c r="AC943" i="1"/>
  <c r="Z942" i="1"/>
  <c r="AA942" i="1"/>
  <c r="Y942" i="1"/>
  <c r="F35" i="523"/>
  <c r="F33" i="523"/>
  <c r="F34" i="523"/>
  <c r="F51" i="523"/>
  <c r="F44" i="523"/>
  <c r="F75" i="523"/>
  <c r="BH88" i="1"/>
  <c r="BH107" i="1" s="1"/>
  <c r="D34" i="523"/>
  <c r="D33" i="523"/>
  <c r="D51" i="523"/>
  <c r="D58" i="523"/>
  <c r="D61" i="523" s="1"/>
  <c r="D35" i="523"/>
  <c r="D75" i="523"/>
  <c r="D44" i="523"/>
  <c r="E45" i="523" s="1"/>
  <c r="E46" i="523"/>
  <c r="C58" i="523"/>
  <c r="C61" i="523" s="1"/>
  <c r="C66" i="523" s="1"/>
  <c r="C51" i="523"/>
  <c r="C53" i="523" s="1"/>
  <c r="C34" i="523"/>
  <c r="C75" i="523"/>
  <c r="C44" i="523"/>
  <c r="BH87" i="1"/>
  <c r="BH110" i="1"/>
  <c r="BH114" i="1" s="1"/>
  <c r="BH121" i="1" s="1"/>
  <c r="E33" i="523"/>
  <c r="U97" i="519"/>
  <c r="AO1048" i="1"/>
  <c r="AO1045" i="1"/>
  <c r="AO1042" i="1"/>
  <c r="AO1039" i="1"/>
  <c r="AO1036" i="1"/>
  <c r="F86" i="504"/>
  <c r="F131" i="504" s="1"/>
  <c r="F66" i="504"/>
  <c r="F86" i="503"/>
  <c r="F130" i="503" s="1"/>
  <c r="F66" i="503"/>
  <c r="G13" i="503"/>
  <c r="G124" i="503" s="1"/>
  <c r="G125" i="503" s="1"/>
  <c r="G13" i="504"/>
  <c r="G124" i="504" s="1"/>
  <c r="G125" i="504" s="1"/>
  <c r="BN768" i="1"/>
  <c r="BN764" i="1" s="1"/>
  <c r="BN769" i="1"/>
  <c r="BN765" i="1" s="1"/>
  <c r="D32" i="503"/>
  <c r="D32" i="504"/>
  <c r="E46" i="504"/>
  <c r="F62" i="504"/>
  <c r="E86" i="504"/>
  <c r="E131" i="504" s="1"/>
  <c r="E66" i="504"/>
  <c r="BK90" i="1"/>
  <c r="BK91" i="1" s="1"/>
  <c r="F32" i="503"/>
  <c r="F32" i="504"/>
  <c r="E53" i="503"/>
  <c r="E46" i="503"/>
  <c r="F62" i="503"/>
  <c r="E66" i="503"/>
  <c r="E86" i="503"/>
  <c r="E130" i="503" s="1"/>
  <c r="E53" i="504"/>
  <c r="L92" i="1"/>
  <c r="W91" i="1"/>
  <c r="K92" i="1"/>
  <c r="BD92" i="1"/>
  <c r="BG92" i="1" s="1"/>
  <c r="BD93" i="1"/>
  <c r="BE92" i="1"/>
  <c r="BB92" i="1"/>
  <c r="BB93" i="1"/>
  <c r="V93" i="1"/>
  <c r="V92" i="1"/>
  <c r="Z92" i="1"/>
  <c r="BI101" i="1"/>
  <c r="BI103" i="1" s="1"/>
  <c r="BI90" i="1"/>
  <c r="BC92" i="1"/>
  <c r="O92" i="1"/>
  <c r="I92" i="1"/>
  <c r="W92" i="1"/>
  <c r="S92" i="1"/>
  <c r="X92" i="1"/>
  <c r="X93" i="1"/>
  <c r="AB92" i="1"/>
  <c r="AS89" i="298"/>
  <c r="BK51" i="1"/>
  <c r="BK198" i="1"/>
  <c r="BO536" i="1"/>
  <c r="BO544" i="1" s="1"/>
  <c r="AU93" i="298"/>
  <c r="AU626" i="298"/>
  <c r="AU629" i="298" s="1"/>
  <c r="V121" i="1"/>
  <c r="AN536" i="1"/>
  <c r="BP517" i="1"/>
  <c r="AN252" i="1"/>
  <c r="AO148" i="1"/>
  <c r="AO252" i="1"/>
  <c r="AQ500" i="1"/>
  <c r="AQ484" i="1"/>
  <c r="BP484" i="1" s="1"/>
  <c r="BP492" i="1" s="1"/>
  <c r="BP500" i="1" s="1"/>
  <c r="L31" i="313"/>
  <c r="V115" i="1"/>
  <c r="Z116" i="1" s="1"/>
  <c r="V34" i="519"/>
  <c r="V112" i="519" s="1"/>
  <c r="V145" i="519" s="1"/>
  <c r="W34" i="519" s="1"/>
  <c r="W112" i="519" s="1"/>
  <c r="W145" i="519" s="1"/>
  <c r="X34" i="519" s="1"/>
  <c r="AC79" i="519"/>
  <c r="AD78" i="519"/>
  <c r="BE558" i="298"/>
  <c r="P121" i="1"/>
  <c r="P864" i="1"/>
  <c r="P867" i="1" s="1"/>
  <c r="AC39" i="1"/>
  <c r="AC530" i="1"/>
  <c r="AJ39" i="1"/>
  <c r="AJ40" i="1" s="1"/>
  <c r="AJ530" i="1"/>
  <c r="U121" i="1"/>
  <c r="U864" i="1"/>
  <c r="U867" i="1" s="1"/>
  <c r="AI39" i="1"/>
  <c r="AI40" i="1" s="1"/>
  <c r="AI530" i="1"/>
  <c r="BM527" i="1"/>
  <c r="BM524" i="1" s="1"/>
  <c r="BN521" i="1"/>
  <c r="F50" i="292"/>
  <c r="F68" i="292" s="1"/>
  <c r="BK101" i="1"/>
  <c r="BK103" i="1" s="1"/>
  <c r="AH116" i="1"/>
  <c r="AA102" i="1"/>
  <c r="AW116" i="1"/>
  <c r="AE102" i="1"/>
  <c r="BA116" i="1"/>
  <c r="Q102" i="1"/>
  <c r="AU116" i="1"/>
  <c r="AT102" i="1"/>
  <c r="H339" i="1"/>
  <c r="H102" i="1"/>
  <c r="AZ102" i="1"/>
  <c r="N116" i="1"/>
  <c r="T116" i="1"/>
  <c r="U102" i="1"/>
  <c r="Z102" i="1"/>
  <c r="AD102" i="1"/>
  <c r="AY116" i="1"/>
  <c r="V102" i="1"/>
  <c r="BL240" i="1"/>
  <c r="AG48" i="1"/>
  <c r="AG788" i="1"/>
  <c r="AG786" i="1"/>
  <c r="BN785" i="1"/>
  <c r="N121" i="1"/>
  <c r="N864" i="1"/>
  <c r="N867" i="1" s="1"/>
  <c r="BM235" i="1"/>
  <c r="AE528" i="1"/>
  <c r="AH59" i="28"/>
  <c r="BL786" i="1"/>
  <c r="BM786" i="1"/>
  <c r="AE531" i="1"/>
  <c r="AE524" i="1"/>
  <c r="BA62" i="298"/>
  <c r="BA64" i="298" s="1"/>
  <c r="BA65" i="298" s="1"/>
  <c r="AI528" i="1"/>
  <c r="H31" i="313"/>
  <c r="W88" i="298"/>
  <c r="AA89" i="298" s="1"/>
  <c r="W626" i="298"/>
  <c r="W629" i="298" s="1"/>
  <c r="W93" i="298"/>
  <c r="BA87" i="298"/>
  <c r="BA93" i="298" s="1"/>
  <c r="AK1036" i="1"/>
  <c r="AK1019" i="1" s="1"/>
  <c r="AK1042" i="1"/>
  <c r="AK1021" i="1" s="1"/>
  <c r="AK1039" i="1"/>
  <c r="AK1020" i="1" s="1"/>
  <c r="AL1032" i="1"/>
  <c r="AG83" i="28"/>
  <c r="Q116" i="1"/>
  <c r="AH78" i="28"/>
  <c r="AL78" i="28" s="1"/>
  <c r="AM31" i="28"/>
  <c r="AL31" i="28"/>
  <c r="AH33" i="28"/>
  <c r="AK31" i="28"/>
  <c r="AH32" i="28"/>
  <c r="AJ31" i="28"/>
  <c r="AH17" i="28"/>
  <c r="AN22" i="28"/>
  <c r="AH23" i="28"/>
  <c r="AH24" i="28" s="1"/>
  <c r="AL24" i="28" s="1"/>
  <c r="L65" i="298"/>
  <c r="AZ116" i="1"/>
  <c r="AH69" i="298"/>
  <c r="AH74" i="298" s="1"/>
  <c r="AH45" i="298"/>
  <c r="AH51" i="298" s="1"/>
  <c r="AN16" i="28"/>
  <c r="AH52" i="298"/>
  <c r="AM16" i="28"/>
  <c r="AL16" i="28"/>
  <c r="AH47" i="298"/>
  <c r="AN89" i="298"/>
  <c r="E88" i="298"/>
  <c r="E93" i="298"/>
  <c r="AH530" i="298"/>
  <c r="AH551" i="298" s="1"/>
  <c r="AH557" i="298" s="1"/>
  <c r="AH60" i="298"/>
  <c r="AH61" i="298" s="1"/>
  <c r="AH62" i="298" s="1"/>
  <c r="AH64" i="298" s="1"/>
  <c r="AH65" i="298" s="1"/>
  <c r="I88" i="298"/>
  <c r="I626" i="298"/>
  <c r="I629" i="298" s="1"/>
  <c r="I93" i="298"/>
  <c r="H121" i="1"/>
  <c r="H864" i="1"/>
  <c r="H867" i="1" s="1"/>
  <c r="L88" i="298"/>
  <c r="L626" i="298"/>
  <c r="L629" i="298" s="1"/>
  <c r="L93" i="298"/>
  <c r="V93" i="298"/>
  <c r="V88" i="298"/>
  <c r="V626" i="298"/>
  <c r="V629" i="298" s="1"/>
  <c r="BK137" i="1"/>
  <c r="Q121" i="1"/>
  <c r="BK110" i="1"/>
  <c r="BK114" i="1" s="1"/>
  <c r="BK121" i="1" s="1"/>
  <c r="BC86" i="298"/>
  <c r="BC92" i="298" s="1"/>
  <c r="BC62" i="298"/>
  <c r="BC64" i="298" s="1"/>
  <c r="BC76" i="298"/>
  <c r="BC80" i="298" s="1"/>
  <c r="BC83" i="298"/>
  <c r="BC75" i="298"/>
  <c r="BC109" i="298"/>
  <c r="Q864" i="1"/>
  <c r="Q867" i="1" s="1"/>
  <c r="BK88" i="1"/>
  <c r="BK107" i="1" s="1"/>
  <c r="BK87" i="1"/>
  <c r="BN522" i="1"/>
  <c r="O93" i="298"/>
  <c r="O88" i="298"/>
  <c r="S89" i="298" s="1"/>
  <c r="O626" i="298"/>
  <c r="O629" i="298" s="1"/>
  <c r="X88" i="298"/>
  <c r="X626" i="298"/>
  <c r="X629" i="298" s="1"/>
  <c r="X93" i="298"/>
  <c r="AM22" i="28"/>
  <c r="AL22" i="28"/>
  <c r="AK22" i="28"/>
  <c r="BN527" i="1"/>
  <c r="BN531" i="1" s="1"/>
  <c r="T87" i="298"/>
  <c r="BN519" i="1"/>
  <c r="AK16" i="28"/>
  <c r="K65" i="298"/>
  <c r="O65" i="298"/>
  <c r="AV89" i="298"/>
  <c r="AY89" i="298" s="1"/>
  <c r="BM515" i="1"/>
  <c r="BM522" i="1"/>
  <c r="BM519" i="1"/>
  <c r="AO89" i="298"/>
  <c r="AW89" i="298"/>
  <c r="AZ89" i="298" s="1"/>
  <c r="BL519" i="1"/>
  <c r="F24" i="292"/>
  <c r="F34" i="292"/>
  <c r="F79" i="292"/>
  <c r="F84" i="292" s="1"/>
  <c r="AF528" i="1"/>
  <c r="BN235" i="1"/>
  <c r="BC74" i="1"/>
  <c r="BI71" i="1"/>
  <c r="BI73" i="1" s="1"/>
  <c r="BI74" i="1" s="1"/>
  <c r="BL527" i="1"/>
  <c r="BM529" i="1" s="1"/>
  <c r="BM530" i="1" s="1"/>
  <c r="BL515" i="1"/>
  <c r="BL522" i="1"/>
  <c r="AC531" i="1"/>
  <c r="AC524" i="1"/>
  <c r="BJ71" i="1"/>
  <c r="BJ73" i="1" s="1"/>
  <c r="BK74" i="1" s="1"/>
  <c r="AG528" i="1"/>
  <c r="K864" i="1"/>
  <c r="K867" i="1" s="1"/>
  <c r="K115" i="1"/>
  <c r="K121" i="1"/>
  <c r="AG529" i="1"/>
  <c r="N347" i="1"/>
  <c r="R355" i="1" s="1"/>
  <c r="J339" i="1"/>
  <c r="AI115" i="1"/>
  <c r="X31" i="313"/>
  <c r="X32" i="313"/>
  <c r="X36" i="313" s="1"/>
  <c r="BD74" i="1"/>
  <c r="BG74" i="1" s="1"/>
  <c r="AX116" i="1"/>
  <c r="L864" i="1"/>
  <c r="L867" i="1" s="1"/>
  <c r="BC864" i="1"/>
  <c r="BC867" i="1" s="1"/>
  <c r="L115" i="1"/>
  <c r="BC115" i="1"/>
  <c r="T121" i="1"/>
  <c r="T864" i="1"/>
  <c r="T867" i="1" s="1"/>
  <c r="AH524" i="1"/>
  <c r="AH531" i="1"/>
  <c r="AH528" i="1"/>
  <c r="AI864" i="1"/>
  <c r="AI867" i="1" s="1"/>
  <c r="AE1036" i="1"/>
  <c r="AE1019" i="1" s="1"/>
  <c r="AE1039" i="1"/>
  <c r="AE1020" i="1" s="1"/>
  <c r="AE1042" i="1"/>
  <c r="AE1021" i="1" s="1"/>
  <c r="AE1045" i="1"/>
  <c r="AE1022" i="1" s="1"/>
  <c r="AE1048" i="1"/>
  <c r="AE1023" i="1" s="1"/>
  <c r="BH74" i="1"/>
  <c r="BD115" i="1"/>
  <c r="BD864" i="1"/>
  <c r="BD867" i="1" s="1"/>
  <c r="F115" i="1"/>
  <c r="F121" i="1"/>
  <c r="O347" i="1"/>
  <c r="S355" i="1" s="1"/>
  <c r="S74" i="1"/>
  <c r="BB121" i="1"/>
  <c r="BB115" i="1"/>
  <c r="BB864" i="1"/>
  <c r="BB867" i="1" s="1"/>
  <c r="R116" i="1"/>
  <c r="I74" i="1"/>
  <c r="M74" i="1"/>
  <c r="S121" i="1"/>
  <c r="S864" i="1"/>
  <c r="S867" i="1" s="1"/>
  <c r="S115" i="1"/>
  <c r="AF524" i="1"/>
  <c r="AF531" i="1"/>
  <c r="AJ528" i="1"/>
  <c r="Z1033" i="1"/>
  <c r="Z1032" i="1" s="1"/>
  <c r="Y61" i="1"/>
  <c r="BL58" i="1"/>
  <c r="G22" i="523" s="1"/>
  <c r="AK155" i="1"/>
  <c r="AQ358" i="1"/>
  <c r="AL358" i="1"/>
  <c r="AP342" i="1"/>
  <c r="Q347" i="1"/>
  <c r="U355" i="1" s="1"/>
  <c r="I338" i="1"/>
  <c r="M339" i="1"/>
  <c r="BI339" i="1" s="1"/>
  <c r="BI338" i="1"/>
  <c r="BJ347" i="1" s="1"/>
  <c r="I31" i="313"/>
  <c r="F48" i="276"/>
  <c r="G48" i="276"/>
  <c r="H48" i="276"/>
  <c r="AF1024" i="1"/>
  <c r="AF1028" i="1" s="1"/>
  <c r="AF1029" i="1" s="1"/>
  <c r="AF1030" i="1" s="1"/>
  <c r="AF1006" i="1" s="1"/>
  <c r="AF1007" i="1" s="1"/>
  <c r="Y531" i="1"/>
  <c r="Y524" i="1"/>
  <c r="Y528" i="1"/>
  <c r="AC528" i="1"/>
  <c r="Y759" i="1"/>
  <c r="Y761" i="1" s="1"/>
  <c r="Y778" i="1"/>
  <c r="Y785" i="1" s="1"/>
  <c r="Y70" i="1"/>
  <c r="BM53" i="1"/>
  <c r="BM49" i="1"/>
  <c r="BM57" i="1" s="1"/>
  <c r="BM60" i="1"/>
  <c r="H24" i="523" s="1"/>
  <c r="BL78" i="1"/>
  <c r="BL69" i="1"/>
  <c r="BL53" i="1"/>
  <c r="BL49" i="1"/>
  <c r="BL57" i="1" s="1"/>
  <c r="G18" i="292"/>
  <c r="BL52" i="1"/>
  <c r="N32" i="313"/>
  <c r="N36" i="313" s="1"/>
  <c r="N31" i="313"/>
  <c r="I115" i="1"/>
  <c r="I864" i="1"/>
  <c r="I867" i="1" s="1"/>
  <c r="I121" i="1"/>
  <c r="O20" i="313"/>
  <c r="S12" i="267"/>
  <c r="O13" i="267"/>
  <c r="O12" i="267"/>
  <c r="V32" i="313"/>
  <c r="V36" i="313" s="1"/>
  <c r="V31" i="313"/>
  <c r="BK347" i="1"/>
  <c r="BL355" i="1" s="1"/>
  <c r="Y80" i="1"/>
  <c r="AC79" i="1"/>
  <c r="Y86" i="1"/>
  <c r="Z55" i="523" s="1"/>
  <c r="Z57" i="523" s="1"/>
  <c r="Z58" i="523" s="1"/>
  <c r="Y79" i="1"/>
  <c r="X115" i="1"/>
  <c r="X864" i="1"/>
  <c r="X867" i="1" s="1"/>
  <c r="X121" i="1"/>
  <c r="BJ866" i="1"/>
  <c r="E53" i="292"/>
  <c r="E69" i="292"/>
  <c r="E76" i="292"/>
  <c r="E79" i="292" s="1"/>
  <c r="AT65" i="298"/>
  <c r="AU65" i="298"/>
  <c r="AZ88" i="298"/>
  <c r="AZ626" i="298"/>
  <c r="AZ629" i="298" s="1"/>
  <c r="Q88" i="298"/>
  <c r="Q89" i="298" s="1"/>
  <c r="Q626" i="298"/>
  <c r="Q629" i="298" s="1"/>
  <c r="Q93" i="298"/>
  <c r="AG61" i="298"/>
  <c r="AG62" i="298" s="1"/>
  <c r="AG64" i="298" s="1"/>
  <c r="AF33" i="28"/>
  <c r="AF32" i="28"/>
  <c r="AF59" i="28"/>
  <c r="AF78" i="28"/>
  <c r="AE83" i="28"/>
  <c r="AG32" i="28"/>
  <c r="Q65" i="298"/>
  <c r="U65" i="298"/>
  <c r="H88" i="298"/>
  <c r="H626" i="298"/>
  <c r="H629" i="298" s="1"/>
  <c r="H93" i="298"/>
  <c r="C68" i="292"/>
  <c r="C51" i="292"/>
  <c r="K88" i="298"/>
  <c r="K626" i="298"/>
  <c r="K629" i="298" s="1"/>
  <c r="K93" i="298"/>
  <c r="BF126" i="298"/>
  <c r="BF125" i="298"/>
  <c r="BF159" i="298"/>
  <c r="O66" i="3"/>
  <c r="AF23" i="28"/>
  <c r="AF24" i="28" s="1"/>
  <c r="BD187" i="298"/>
  <c r="BD192" i="298"/>
  <c r="H37" i="3"/>
  <c r="H55" i="3"/>
  <c r="H56" i="3" s="1"/>
  <c r="AH510" i="298"/>
  <c r="AH545" i="298"/>
  <c r="AH548" i="298" s="1"/>
  <c r="AH549" i="298" s="1"/>
  <c r="E19" i="3"/>
  <c r="E32" i="3"/>
  <c r="E18" i="3"/>
  <c r="E20" i="3"/>
  <c r="E51" i="3"/>
  <c r="BK866" i="1"/>
  <c r="AG70" i="298"/>
  <c r="AG74" i="298"/>
  <c r="AG71" i="298"/>
  <c r="J58" i="51"/>
  <c r="J59" i="51"/>
  <c r="J57" i="51"/>
  <c r="J84" i="51"/>
  <c r="H91" i="292"/>
  <c r="D50" i="292"/>
  <c r="F17" i="3"/>
  <c r="BI110" i="1"/>
  <c r="BI114" i="1" s="1"/>
  <c r="BI88" i="1"/>
  <c r="BI107" i="1" s="1"/>
  <c r="BI87" i="1"/>
  <c r="BI137" i="1"/>
  <c r="BJ87" i="1"/>
  <c r="M46" i="292"/>
  <c r="N89" i="298"/>
  <c r="R89" i="298"/>
  <c r="J9" i="3"/>
  <c r="I36" i="3"/>
  <c r="AH21" i="298"/>
  <c r="AI24" i="298"/>
  <c r="AI21" i="298" s="1"/>
  <c r="O1010" i="1"/>
  <c r="N989" i="1"/>
  <c r="P65" i="298"/>
  <c r="T65" i="298"/>
  <c r="Q38" i="3"/>
  <c r="AG30" i="298"/>
  <c r="AG22" i="298"/>
  <c r="AI18" i="298"/>
  <c r="AI13" i="298"/>
  <c r="AI14" i="298" s="1"/>
  <c r="AI505" i="298"/>
  <c r="AI73" i="298"/>
  <c r="BF73" i="298" s="1"/>
  <c r="AI84" i="298"/>
  <c r="BF84" i="298" s="1"/>
  <c r="BF12" i="298"/>
  <c r="BF13" i="298" s="1"/>
  <c r="H116" i="1"/>
  <c r="AG551" i="298"/>
  <c r="AG532" i="298"/>
  <c r="AT88" i="298"/>
  <c r="AT89" i="298" s="1"/>
  <c r="AT626" i="298"/>
  <c r="AT629" i="298" s="1"/>
  <c r="M998" i="1"/>
  <c r="AI126" i="298"/>
  <c r="AI139" i="298"/>
  <c r="BD541" i="298"/>
  <c r="BD542" i="298"/>
  <c r="U116" i="1"/>
  <c r="Y551" i="298"/>
  <c r="Y557" i="298" s="1"/>
  <c r="Y532" i="298"/>
  <c r="Y534" i="298" s="1"/>
  <c r="BG115" i="1"/>
  <c r="BG864" i="1"/>
  <c r="BG867" i="1" s="1"/>
  <c r="AV116" i="1"/>
  <c r="BF150" i="298"/>
  <c r="BF157" i="298"/>
  <c r="BF146" i="298"/>
  <c r="K990" i="1"/>
  <c r="L1011" i="1"/>
  <c r="K1015" i="1"/>
  <c r="K994" i="1" s="1"/>
  <c r="K1003" i="1" s="1"/>
  <c r="AM157" i="1"/>
  <c r="L993" i="1"/>
  <c r="L1002" i="1" s="1"/>
  <c r="M1014" i="1"/>
  <c r="BD45" i="298"/>
  <c r="BD51" i="298" s="1"/>
  <c r="BD46" i="298"/>
  <c r="BD69" i="298"/>
  <c r="BD47" i="298"/>
  <c r="BD60" i="298"/>
  <c r="BE47" i="298"/>
  <c r="BE45" i="298"/>
  <c r="BE51" i="298" s="1"/>
  <c r="Y71" i="298"/>
  <c r="Y70" i="298"/>
  <c r="Y74" i="298"/>
  <c r="AC70" i="298"/>
  <c r="AI44" i="298"/>
  <c r="AI160" i="298"/>
  <c r="AI153" i="298"/>
  <c r="J999" i="1"/>
  <c r="J995" i="1"/>
  <c r="J1004" i="1" s="1"/>
  <c r="BJ114" i="1"/>
  <c r="BJ121" i="1" s="1"/>
  <c r="AA116" i="1"/>
  <c r="I87" i="51"/>
  <c r="I85" i="51"/>
  <c r="I86" i="51"/>
  <c r="Y61" i="298"/>
  <c r="L64" i="292"/>
  <c r="D44" i="3"/>
  <c r="D32" i="3"/>
  <c r="D19" i="3"/>
  <c r="D51" i="3"/>
  <c r="D66" i="3"/>
  <c r="AG548" i="298"/>
  <c r="AG549" i="298" s="1"/>
  <c r="BB86" i="298"/>
  <c r="BB62" i="298"/>
  <c r="BB64" i="298" s="1"/>
  <c r="N1013" i="1"/>
  <c r="M992" i="1"/>
  <c r="M1001" i="1" s="1"/>
  <c r="BE54" i="298"/>
  <c r="BE559" i="298" s="1"/>
  <c r="D24" i="292"/>
  <c r="D34" i="292"/>
  <c r="D29" i="292"/>
  <c r="E34" i="292"/>
  <c r="E24" i="292"/>
  <c r="BD560" i="298"/>
  <c r="BD558" i="298"/>
  <c r="AT93" i="298"/>
  <c r="Y55" i="298"/>
  <c r="BD52" i="298"/>
  <c r="AG43" i="28"/>
  <c r="AF85" i="28"/>
  <c r="AG80" i="28"/>
  <c r="AG46" i="28"/>
  <c r="AQ89" i="298"/>
  <c r="AR89" i="298"/>
  <c r="Q57" i="3"/>
  <c r="P87" i="298"/>
  <c r="G115" i="1"/>
  <c r="G121" i="1"/>
  <c r="O115" i="1"/>
  <c r="O864" i="1"/>
  <c r="O867" i="1" s="1"/>
  <c r="O121" i="1"/>
  <c r="L991" i="1"/>
  <c r="L1000" i="1" s="1"/>
  <c r="M1012" i="1"/>
  <c r="AK1045" i="1"/>
  <c r="AK1022" i="1" s="1"/>
  <c r="BH864" i="1" l="1"/>
  <c r="BH867" i="1" s="1"/>
  <c r="BH115" i="1"/>
  <c r="E76" i="3"/>
  <c r="E66" i="3"/>
  <c r="BH93" i="1"/>
  <c r="C58" i="504"/>
  <c r="C61" i="504" s="1"/>
  <c r="C66" i="504" s="1"/>
  <c r="C71" i="504" s="1"/>
  <c r="C34" i="504"/>
  <c r="C51" i="504"/>
  <c r="C53" i="504" s="1"/>
  <c r="C44" i="504"/>
  <c r="E131" i="523"/>
  <c r="BM943" i="1"/>
  <c r="BL942" i="1"/>
  <c r="BL943" i="1"/>
  <c r="D62" i="523"/>
  <c r="D86" i="523"/>
  <c r="D130" i="523" s="1"/>
  <c r="D131" i="523" s="1"/>
  <c r="D66" i="523"/>
  <c r="E67" i="523" s="1"/>
  <c r="E85" i="523"/>
  <c r="E71" i="523"/>
  <c r="F45" i="523"/>
  <c r="F46" i="523"/>
  <c r="C75" i="503"/>
  <c r="D53" i="523"/>
  <c r="D52" i="523"/>
  <c r="F67" i="523"/>
  <c r="F85" i="523"/>
  <c r="F71" i="523"/>
  <c r="C34" i="503"/>
  <c r="C85" i="523"/>
  <c r="C130" i="523" s="1"/>
  <c r="C71" i="523"/>
  <c r="E62" i="523"/>
  <c r="BS48" i="1"/>
  <c r="BS49" i="1" s="1"/>
  <c r="AG941" i="1"/>
  <c r="AB60" i="523"/>
  <c r="AB61" i="523" s="1"/>
  <c r="F52" i="523"/>
  <c r="F53" i="523"/>
  <c r="C44" i="503"/>
  <c r="C51" i="503"/>
  <c r="C53" i="503" s="1"/>
  <c r="D46" i="523"/>
  <c r="D45" i="523"/>
  <c r="G16" i="523"/>
  <c r="G32" i="523"/>
  <c r="G17" i="523"/>
  <c r="G124" i="523"/>
  <c r="G125" i="523" s="1"/>
  <c r="G14" i="523"/>
  <c r="G21" i="523" s="1"/>
  <c r="H14" i="523"/>
  <c r="H21" i="523" s="1"/>
  <c r="H17" i="523"/>
  <c r="E52" i="523"/>
  <c r="E132" i="504"/>
  <c r="BK93" i="1"/>
  <c r="E131" i="503"/>
  <c r="G22" i="503"/>
  <c r="G22" i="504"/>
  <c r="G14" i="504"/>
  <c r="G21" i="504" s="1"/>
  <c r="G16" i="504"/>
  <c r="H14" i="504"/>
  <c r="H21" i="504" s="1"/>
  <c r="H17" i="504"/>
  <c r="G17" i="504"/>
  <c r="G14" i="503"/>
  <c r="G21" i="503" s="1"/>
  <c r="G16" i="503"/>
  <c r="G17" i="503"/>
  <c r="H14" i="503"/>
  <c r="H21" i="503" s="1"/>
  <c r="H17" i="503"/>
  <c r="F85" i="504"/>
  <c r="F71" i="504"/>
  <c r="H24" i="503"/>
  <c r="H24" i="504"/>
  <c r="F85" i="503"/>
  <c r="F71" i="503"/>
  <c r="BK92" i="1"/>
  <c r="F33" i="504"/>
  <c r="F51" i="504"/>
  <c r="F59" i="504"/>
  <c r="F44" i="504"/>
  <c r="F35" i="504"/>
  <c r="F34" i="504"/>
  <c r="F75" i="504"/>
  <c r="E85" i="504"/>
  <c r="E71" i="504"/>
  <c r="F67" i="504"/>
  <c r="C71" i="503"/>
  <c r="C85" i="503"/>
  <c r="C130" i="503" s="1"/>
  <c r="E85" i="503"/>
  <c r="F67" i="503"/>
  <c r="E71" i="503"/>
  <c r="D51" i="504"/>
  <c r="D75" i="504"/>
  <c r="D33" i="504"/>
  <c r="D58" i="504"/>
  <c r="D61" i="504" s="1"/>
  <c r="D44" i="504"/>
  <c r="D35" i="504"/>
  <c r="D34" i="504"/>
  <c r="E35" i="504"/>
  <c r="E33" i="504"/>
  <c r="F33" i="503"/>
  <c r="F59" i="503"/>
  <c r="F35" i="503"/>
  <c r="F44" i="503"/>
  <c r="F75" i="503"/>
  <c r="F34" i="503"/>
  <c r="F51" i="503"/>
  <c r="D58" i="503"/>
  <c r="D61" i="503" s="1"/>
  <c r="D33" i="503"/>
  <c r="D75" i="503"/>
  <c r="D34" i="503"/>
  <c r="D35" i="503"/>
  <c r="D44" i="503"/>
  <c r="D51" i="503"/>
  <c r="E33" i="503"/>
  <c r="E35" i="503"/>
  <c r="BI91" i="1"/>
  <c r="BJ91" i="1"/>
  <c r="Y101" i="1"/>
  <c r="Y103" i="1" s="1"/>
  <c r="Y90" i="1"/>
  <c r="BI92" i="1"/>
  <c r="BI93" i="1"/>
  <c r="BJ92" i="1"/>
  <c r="AL1033" i="1"/>
  <c r="V116" i="1"/>
  <c r="BM39" i="1"/>
  <c r="BM40" i="1" s="1"/>
  <c r="AC40" i="1"/>
  <c r="AO155" i="1"/>
  <c r="AO180" i="1"/>
  <c r="AN155" i="1"/>
  <c r="AN180" i="1"/>
  <c r="BP536" i="1"/>
  <c r="BP544" i="1" s="1"/>
  <c r="AN544" i="1"/>
  <c r="AP343" i="1"/>
  <c r="AP351" i="1" s="1"/>
  <c r="V33" i="519"/>
  <c r="V111" i="519" s="1"/>
  <c r="V144" i="519" s="1"/>
  <c r="W33" i="519" s="1"/>
  <c r="X112" i="519"/>
  <c r="X145" i="519" s="1"/>
  <c r="Y34" i="519" s="1"/>
  <c r="Y112" i="519" s="1"/>
  <c r="Y145" i="519" s="1"/>
  <c r="Z34" i="519" s="1"/>
  <c r="Z112" i="519" s="1"/>
  <c r="Z145" i="519" s="1"/>
  <c r="AA34" i="519" s="1"/>
  <c r="AA112" i="519" s="1"/>
  <c r="AA145" i="519" s="1"/>
  <c r="AB34" i="519" s="1"/>
  <c r="AB112" i="519" s="1"/>
  <c r="AB145" i="519" s="1"/>
  <c r="AC34" i="519" s="1"/>
  <c r="AC112" i="519" s="1"/>
  <c r="AC145" i="519" s="1"/>
  <c r="AD34" i="519" s="1"/>
  <c r="AD112" i="519" s="1"/>
  <c r="AE78" i="519"/>
  <c r="AD79" i="519"/>
  <c r="BM531" i="1"/>
  <c r="AG39" i="1"/>
  <c r="AG530" i="1"/>
  <c r="F51" i="292"/>
  <c r="F54" i="292" s="1"/>
  <c r="W116" i="1"/>
  <c r="N102" i="1"/>
  <c r="AB116" i="1"/>
  <c r="O102" i="1"/>
  <c r="BB116" i="1"/>
  <c r="K102" i="1"/>
  <c r="BA102" i="1"/>
  <c r="R102" i="1"/>
  <c r="BC102" i="1"/>
  <c r="AY102" i="1"/>
  <c r="J116" i="1"/>
  <c r="AU102" i="1"/>
  <c r="AV102" i="1"/>
  <c r="BE116" i="1"/>
  <c r="AW102" i="1"/>
  <c r="AX102" i="1"/>
  <c r="I102" i="1"/>
  <c r="P116" i="1"/>
  <c r="AH102" i="1"/>
  <c r="BH102" i="1"/>
  <c r="T102" i="1"/>
  <c r="AI116" i="1"/>
  <c r="M102" i="1"/>
  <c r="BM787" i="1"/>
  <c r="BM50" i="1"/>
  <c r="BN788" i="1"/>
  <c r="BN786" i="1"/>
  <c r="AG69" i="1"/>
  <c r="AG70" i="1" s="1"/>
  <c r="AG53" i="1"/>
  <c r="W11" i="267"/>
  <c r="AG49" i="1"/>
  <c r="AG57" i="1" s="1"/>
  <c r="AG61" i="1" s="1"/>
  <c r="AD11" i="267"/>
  <c r="W20" i="313" s="1"/>
  <c r="AG52" i="1"/>
  <c r="E40" i="276"/>
  <c r="AG78" i="1"/>
  <c r="BN48" i="1"/>
  <c r="AH70" i="298"/>
  <c r="AH71" i="298"/>
  <c r="AK24" i="28"/>
  <c r="AJ24" i="28"/>
  <c r="BA88" i="298"/>
  <c r="BA89" i="298" s="1"/>
  <c r="AH27" i="28"/>
  <c r="AJ27" i="28" s="1"/>
  <c r="W89" i="298"/>
  <c r="AH36" i="28"/>
  <c r="AK36" i="28" s="1"/>
  <c r="BA626" i="298"/>
  <c r="BA629" i="298" s="1"/>
  <c r="AN78" i="28"/>
  <c r="AM78" i="28"/>
  <c r="AK78" i="28"/>
  <c r="AJ78" i="28"/>
  <c r="I89" i="298"/>
  <c r="AG84" i="28"/>
  <c r="AG90" i="28" s="1"/>
  <c r="AH532" i="298"/>
  <c r="AN24" i="28"/>
  <c r="AM24" i="28"/>
  <c r="M89" i="298"/>
  <c r="AH79" i="28"/>
  <c r="AJ79" i="28" s="1"/>
  <c r="AH63" i="28"/>
  <c r="AH25" i="28"/>
  <c r="AU89" i="298"/>
  <c r="BN524" i="1"/>
  <c r="BC628" i="298"/>
  <c r="BK864" i="1"/>
  <c r="BK867" i="1" s="1"/>
  <c r="BK115" i="1"/>
  <c r="U89" i="298"/>
  <c r="BC87" i="298"/>
  <c r="BL528" i="1"/>
  <c r="AB89" i="298"/>
  <c r="BL531" i="1"/>
  <c r="BL524" i="1"/>
  <c r="V89" i="298"/>
  <c r="Z89" i="298"/>
  <c r="X116" i="1"/>
  <c r="T93" i="298"/>
  <c r="T88" i="298"/>
  <c r="X89" i="298" s="1"/>
  <c r="T626" i="298"/>
  <c r="T629" i="298" s="1"/>
  <c r="BN528" i="1"/>
  <c r="BJ74" i="1"/>
  <c r="BM528" i="1"/>
  <c r="K116" i="1"/>
  <c r="L116" i="1"/>
  <c r="BN529" i="1"/>
  <c r="BN530" i="1" s="1"/>
  <c r="BK355" i="1"/>
  <c r="AD1036" i="1"/>
  <c r="AD1019" i="1" s="1"/>
  <c r="AD1039" i="1"/>
  <c r="AD1020" i="1" s="1"/>
  <c r="AD1042" i="1"/>
  <c r="AD1021" i="1" s="1"/>
  <c r="AD1045" i="1"/>
  <c r="AD1022" i="1" s="1"/>
  <c r="AD1048" i="1"/>
  <c r="AD1023" i="1" s="1"/>
  <c r="BC116" i="1"/>
  <c r="BM79" i="1"/>
  <c r="BL80" i="1"/>
  <c r="BL79" i="1"/>
  <c r="Y63" i="1"/>
  <c r="BL61" i="1"/>
  <c r="G15" i="523" s="1"/>
  <c r="G26" i="523" s="1"/>
  <c r="Y1033" i="1"/>
  <c r="Y1032" i="1" s="1"/>
  <c r="O16" i="267"/>
  <c r="O18" i="267" s="1"/>
  <c r="O19" i="267" s="1"/>
  <c r="S15" i="267"/>
  <c r="S16" i="267" s="1"/>
  <c r="S18" i="267" s="1"/>
  <c r="S19" i="267" s="1"/>
  <c r="Y113" i="1"/>
  <c r="BL70" i="1"/>
  <c r="BL113" i="1" s="1"/>
  <c r="G58" i="523" s="1"/>
  <c r="Y71" i="1"/>
  <c r="Y73" i="1" s="1"/>
  <c r="Y786" i="1"/>
  <c r="Y788" i="1"/>
  <c r="AC786" i="1"/>
  <c r="Y88" i="1"/>
  <c r="Y107" i="1" s="1"/>
  <c r="Y110" i="1"/>
  <c r="AB137" i="1"/>
  <c r="AC87" i="1"/>
  <c r="Y87" i="1"/>
  <c r="Z137" i="1"/>
  <c r="Y137" i="1"/>
  <c r="BL86" i="1"/>
  <c r="AA137" i="1"/>
  <c r="Y768" i="1"/>
  <c r="Y769" i="1"/>
  <c r="S21" i="313"/>
  <c r="O22" i="313"/>
  <c r="S31" i="313"/>
  <c r="O21" i="313"/>
  <c r="O18" i="313"/>
  <c r="O27" i="313" s="1"/>
  <c r="O30" i="313" s="1"/>
  <c r="H23" i="292"/>
  <c r="H33" i="292"/>
  <c r="G19" i="292"/>
  <c r="G28" i="292"/>
  <c r="G23" i="292"/>
  <c r="G33" i="292"/>
  <c r="I116" i="1"/>
  <c r="M116" i="1"/>
  <c r="AE1024" i="1"/>
  <c r="AE1028" i="1" s="1"/>
  <c r="AE1029" i="1" s="1"/>
  <c r="AE1030" i="1" s="1"/>
  <c r="AE1006" i="1" s="1"/>
  <c r="AE1007" i="1" s="1"/>
  <c r="M347" i="1"/>
  <c r="Q355" i="1" s="1"/>
  <c r="I339" i="1"/>
  <c r="BH339" i="1" s="1"/>
  <c r="BH338" i="1"/>
  <c r="BI347" i="1" s="1"/>
  <c r="BJ355" i="1" s="1"/>
  <c r="BD116" i="1"/>
  <c r="BG116" i="1" s="1"/>
  <c r="AF27" i="28"/>
  <c r="AF36" i="28"/>
  <c r="AF41" i="28" s="1"/>
  <c r="AF25" i="28"/>
  <c r="AF63" i="28"/>
  <c r="AF79" i="28"/>
  <c r="AE84" i="28"/>
  <c r="AE90" i="28" s="1"/>
  <c r="AG25" i="28"/>
  <c r="AI22" i="298"/>
  <c r="AI30" i="298"/>
  <c r="F44" i="3"/>
  <c r="F32" i="3"/>
  <c r="F18" i="3"/>
  <c r="F20" i="3"/>
  <c r="F51" i="3"/>
  <c r="F19" i="3"/>
  <c r="G24" i="3"/>
  <c r="F66" i="3"/>
  <c r="F76" i="3"/>
  <c r="G17" i="3"/>
  <c r="AH558" i="298"/>
  <c r="AH560" i="298"/>
  <c r="O1013" i="1"/>
  <c r="N992" i="1"/>
  <c r="N1001" i="1" s="1"/>
  <c r="L990" i="1"/>
  <c r="M1011" i="1"/>
  <c r="L1015" i="1"/>
  <c r="L994" i="1" s="1"/>
  <c r="L1003" i="1" s="1"/>
  <c r="AH30" i="298"/>
  <c r="AH22" i="298"/>
  <c r="D68" i="292"/>
  <c r="D51" i="292"/>
  <c r="P66" i="3"/>
  <c r="BH116" i="1"/>
  <c r="Y86" i="298"/>
  <c r="BD61" i="298"/>
  <c r="BD86" i="298" s="1"/>
  <c r="BD92" i="298" s="1"/>
  <c r="BF160" i="298"/>
  <c r="BF153" i="298"/>
  <c r="BB92" i="298"/>
  <c r="BB87" i="298"/>
  <c r="AI19" i="298"/>
  <c r="BF18" i="298"/>
  <c r="BF19" i="298" s="1"/>
  <c r="J86" i="51"/>
  <c r="J87" i="51"/>
  <c r="J85" i="51"/>
  <c r="AG65" i="298"/>
  <c r="H89" i="298"/>
  <c r="L89" i="298"/>
  <c r="P88" i="298"/>
  <c r="P626" i="298"/>
  <c r="P629" i="298" s="1"/>
  <c r="P93" i="298"/>
  <c r="E45" i="3"/>
  <c r="E59" i="3"/>
  <c r="E46" i="3"/>
  <c r="BI115" i="1"/>
  <c r="BI864" i="1"/>
  <c r="BI867" i="1" s="1"/>
  <c r="BI121" i="1"/>
  <c r="BJ115" i="1"/>
  <c r="BJ864" i="1"/>
  <c r="BJ867" i="1" s="1"/>
  <c r="AG557" i="298"/>
  <c r="M993" i="1"/>
  <c r="M1002" i="1" s="1"/>
  <c r="N1014" i="1"/>
  <c r="N46" i="292"/>
  <c r="K89" i="298"/>
  <c r="O89" i="298"/>
  <c r="K999" i="1"/>
  <c r="K995" i="1"/>
  <c r="K1004" i="1" s="1"/>
  <c r="BB65" i="298"/>
  <c r="BC65" i="298"/>
  <c r="K9" i="3"/>
  <c r="J36" i="3"/>
  <c r="AL157" i="1"/>
  <c r="BO150" i="1"/>
  <c r="AG75" i="298"/>
  <c r="AG83" i="298"/>
  <c r="AG76" i="298"/>
  <c r="AG80" i="298" s="1"/>
  <c r="AH75" i="298"/>
  <c r="AH83" i="298"/>
  <c r="AH76" i="298"/>
  <c r="AH80" i="298" s="1"/>
  <c r="C69" i="292"/>
  <c r="C71" i="292" s="1"/>
  <c r="C76" i="292"/>
  <c r="C79" i="292" s="1"/>
  <c r="C84" i="292" s="1"/>
  <c r="C91" i="292" s="1"/>
  <c r="C53" i="292"/>
  <c r="E84" i="292"/>
  <c r="AI55" i="298"/>
  <c r="BF14" i="298"/>
  <c r="D34" i="3"/>
  <c r="D30" i="3"/>
  <c r="Y542" i="298"/>
  <c r="Y541" i="298"/>
  <c r="E71" i="292"/>
  <c r="I37" i="3"/>
  <c r="I55" i="3"/>
  <c r="I56" i="3" s="1"/>
  <c r="N998" i="1"/>
  <c r="M991" i="1"/>
  <c r="M1000" i="1" s="1"/>
  <c r="N1012" i="1"/>
  <c r="D59" i="3"/>
  <c r="D62" i="3" s="1"/>
  <c r="D46" i="3"/>
  <c r="P1010" i="1"/>
  <c r="O989" i="1"/>
  <c r="AI46" i="298"/>
  <c r="AI69" i="298"/>
  <c r="AI52" i="298"/>
  <c r="BF52" i="298" s="1"/>
  <c r="AI60" i="298"/>
  <c r="AI47" i="298"/>
  <c r="AI45" i="298"/>
  <c r="AI51" i="298" s="1"/>
  <c r="AI530" i="298"/>
  <c r="BF44" i="298"/>
  <c r="Y560" i="298"/>
  <c r="Y558" i="298"/>
  <c r="AC558" i="298"/>
  <c r="AG36" i="298"/>
  <c r="AG42" i="298"/>
  <c r="AI510" i="298"/>
  <c r="AI545" i="298"/>
  <c r="BF505" i="298"/>
  <c r="BF510" i="298" s="1"/>
  <c r="BF21" i="298"/>
  <c r="E34" i="3"/>
  <c r="E33" i="3"/>
  <c r="E30" i="3"/>
  <c r="M64" i="292"/>
  <c r="F91" i="292"/>
  <c r="O116" i="1"/>
  <c r="S116" i="1"/>
  <c r="Y57" i="298"/>
  <c r="Y48" i="298" s="1"/>
  <c r="BD55" i="298"/>
  <c r="BD57" i="298" s="1"/>
  <c r="BD48" i="298" s="1"/>
  <c r="BD71" i="298"/>
  <c r="BD70" i="298"/>
  <c r="BE70" i="298"/>
  <c r="Y62" i="298"/>
  <c r="Y64" i="298" s="1"/>
  <c r="Y76" i="298"/>
  <c r="Y80" i="298" s="1"/>
  <c r="Y75" i="298"/>
  <c r="Y83" i="298"/>
  <c r="AC75" i="298"/>
  <c r="AB109" i="298"/>
  <c r="BD74" i="298"/>
  <c r="AA109" i="298"/>
  <c r="Y109" i="298"/>
  <c r="Z109" i="298"/>
  <c r="AH86" i="298"/>
  <c r="AH100" i="298" s="1"/>
  <c r="AH533" i="298"/>
  <c r="AG86" i="298"/>
  <c r="AG100" i="298" s="1"/>
  <c r="AG533" i="298"/>
  <c r="AG534" i="298" s="1"/>
  <c r="F80" i="292"/>
  <c r="B1023" i="1"/>
  <c r="C85" i="504" l="1"/>
  <c r="C131" i="504" s="1"/>
  <c r="G59" i="523"/>
  <c r="D85" i="523"/>
  <c r="D71" i="523"/>
  <c r="G61" i="523"/>
  <c r="D67" i="523"/>
  <c r="BN941" i="1"/>
  <c r="I13" i="523"/>
  <c r="H33" i="523"/>
  <c r="G35" i="523"/>
  <c r="G33" i="523"/>
  <c r="G34" i="523"/>
  <c r="G51" i="523"/>
  <c r="G44" i="523"/>
  <c r="G75" i="523"/>
  <c r="H35" i="523"/>
  <c r="AG942" i="1"/>
  <c r="AH942" i="1"/>
  <c r="AI942" i="1"/>
  <c r="AG943" i="1"/>
  <c r="BL63" i="1"/>
  <c r="G15" i="504"/>
  <c r="G26" i="504" s="1"/>
  <c r="G15" i="503"/>
  <c r="G26" i="503" s="1"/>
  <c r="BO157" i="1"/>
  <c r="BO970" i="1"/>
  <c r="BO976" i="1" s="1"/>
  <c r="BO982" i="1" s="1"/>
  <c r="I13" i="504"/>
  <c r="I124" i="504" s="1"/>
  <c r="I125" i="504" s="1"/>
  <c r="I13" i="503"/>
  <c r="I124" i="503" s="1"/>
  <c r="I125" i="503" s="1"/>
  <c r="G58" i="503"/>
  <c r="G61" i="503" s="1"/>
  <c r="G58" i="504"/>
  <c r="G61" i="504" s="1"/>
  <c r="F46" i="503"/>
  <c r="F45" i="503"/>
  <c r="D45" i="504"/>
  <c r="D46" i="504"/>
  <c r="E45" i="504"/>
  <c r="D66" i="504"/>
  <c r="D62" i="504"/>
  <c r="D86" i="504"/>
  <c r="D131" i="504" s="1"/>
  <c r="D132" i="504" s="1"/>
  <c r="E62" i="504"/>
  <c r="F46" i="504"/>
  <c r="F45" i="504"/>
  <c r="G32" i="503"/>
  <c r="G32" i="504"/>
  <c r="D52" i="504"/>
  <c r="D53" i="504"/>
  <c r="E52" i="504"/>
  <c r="D46" i="503"/>
  <c r="D45" i="503"/>
  <c r="E45" i="503"/>
  <c r="F53" i="504"/>
  <c r="F52" i="504"/>
  <c r="D52" i="503"/>
  <c r="D53" i="503"/>
  <c r="E52" i="503"/>
  <c r="D62" i="503"/>
  <c r="D86" i="503"/>
  <c r="D130" i="503" s="1"/>
  <c r="D131" i="503" s="1"/>
  <c r="D66" i="503"/>
  <c r="E62" i="503"/>
  <c r="F52" i="503"/>
  <c r="F53" i="503"/>
  <c r="Y91" i="1"/>
  <c r="Z91" i="1"/>
  <c r="BL101" i="1"/>
  <c r="BL103" i="1" s="1"/>
  <c r="BL90" i="1"/>
  <c r="Y92" i="1"/>
  <c r="Y93" i="1"/>
  <c r="AC92" i="1"/>
  <c r="BM51" i="1"/>
  <c r="BM198" i="1"/>
  <c r="AL1045" i="1"/>
  <c r="AL1022" i="1" s="1"/>
  <c r="AL1042" i="1"/>
  <c r="AL1021" i="1" s="1"/>
  <c r="AL1039" i="1"/>
  <c r="AL1020" i="1" s="1"/>
  <c r="AL1036" i="1"/>
  <c r="AL1019" i="1" s="1"/>
  <c r="AM1032" i="1"/>
  <c r="F53" i="292"/>
  <c r="F52" i="292"/>
  <c r="BN39" i="1"/>
  <c r="BN40" i="1" s="1"/>
  <c r="AG40" i="1"/>
  <c r="AP251" i="1"/>
  <c r="AN187" i="1"/>
  <c r="AN270" i="1"/>
  <c r="AO187" i="1"/>
  <c r="AO270" i="1"/>
  <c r="BO343" i="1"/>
  <c r="BO351" i="1" s="1"/>
  <c r="BO359" i="1" s="1"/>
  <c r="AQ342" i="1"/>
  <c r="W111" i="519"/>
  <c r="W144" i="519" s="1"/>
  <c r="X33" i="519" s="1"/>
  <c r="AF78" i="519"/>
  <c r="AG78" i="519" s="1"/>
  <c r="AE79" i="519"/>
  <c r="AD145" i="519"/>
  <c r="AE34" i="519" s="1"/>
  <c r="AE112" i="519" s="1"/>
  <c r="F69" i="292"/>
  <c r="F71" i="292" s="1"/>
  <c r="BK102" i="1"/>
  <c r="X102" i="1"/>
  <c r="AB102" i="1"/>
  <c r="BI116" i="1"/>
  <c r="J102" i="1"/>
  <c r="BB102" i="1"/>
  <c r="AI102" i="1"/>
  <c r="S102" i="1"/>
  <c r="W102" i="1"/>
  <c r="BD102" i="1"/>
  <c r="BG102" i="1" s="1"/>
  <c r="BE102" i="1"/>
  <c r="L102" i="1"/>
  <c r="P102" i="1"/>
  <c r="BN53" i="1"/>
  <c r="BN78" i="1"/>
  <c r="BN52" i="1"/>
  <c r="BN69" i="1"/>
  <c r="BN49" i="1"/>
  <c r="BN57" i="1" s="1"/>
  <c r="W12" i="267"/>
  <c r="W13" i="267"/>
  <c r="W15" i="267" s="1"/>
  <c r="AG63" i="1"/>
  <c r="AG54" i="1" s="1"/>
  <c r="BN61" i="1"/>
  <c r="I15" i="523" s="1"/>
  <c r="I26" i="523" s="1"/>
  <c r="BK116" i="1"/>
  <c r="AG80" i="1"/>
  <c r="AG86" i="1"/>
  <c r="AB55" i="523" s="1"/>
  <c r="AB57" i="523" s="1"/>
  <c r="AB58" i="523" s="1"/>
  <c r="AG79" i="1"/>
  <c r="H40" i="276"/>
  <c r="F40" i="276"/>
  <c r="G40" i="276"/>
  <c r="W21" i="313"/>
  <c r="W22" i="313"/>
  <c r="W18" i="313"/>
  <c r="W27" i="313" s="1"/>
  <c r="W30" i="313" s="1"/>
  <c r="AG71" i="1"/>
  <c r="AG73" i="1" s="1"/>
  <c r="AG113" i="1"/>
  <c r="BN70" i="1"/>
  <c r="BN113" i="1" s="1"/>
  <c r="I58" i="523" s="1"/>
  <c r="AN27" i="28"/>
  <c r="AH41" i="28"/>
  <c r="AK41" i="28" s="1"/>
  <c r="AM27" i="28"/>
  <c r="AH28" i="28"/>
  <c r="AJ36" i="28"/>
  <c r="AL27" i="28"/>
  <c r="AN36" i="28"/>
  <c r="AH534" i="298"/>
  <c r="AL36" i="28"/>
  <c r="AK27" i="28"/>
  <c r="AM36" i="28"/>
  <c r="AN79" i="28"/>
  <c r="AL79" i="28"/>
  <c r="AM79" i="28"/>
  <c r="AK79" i="28"/>
  <c r="BF30" i="298"/>
  <c r="BF36" i="298" s="1"/>
  <c r="BD62" i="298"/>
  <c r="BD64" i="298" s="1"/>
  <c r="BE65" i="298" s="1"/>
  <c r="Y87" i="298"/>
  <c r="Y88" i="298" s="1"/>
  <c r="BC626" i="298"/>
  <c r="BC629" i="298" s="1"/>
  <c r="BC88" i="298"/>
  <c r="BC93" i="298"/>
  <c r="BF79" i="298"/>
  <c r="AG87" i="298"/>
  <c r="AG88" i="298" s="1"/>
  <c r="AG89" i="298" s="1"/>
  <c r="Y114" i="1"/>
  <c r="Y121" i="1" s="1"/>
  <c r="E31" i="3"/>
  <c r="AC1036" i="1"/>
  <c r="AC1019" i="1" s="1"/>
  <c r="AC1039" i="1"/>
  <c r="AC1020" i="1" s="1"/>
  <c r="AC1042" i="1"/>
  <c r="AC1021" i="1" s="1"/>
  <c r="AC1045" i="1"/>
  <c r="AC1022" i="1" s="1"/>
  <c r="AC1048" i="1"/>
  <c r="AC1023" i="1" s="1"/>
  <c r="G76" i="292"/>
  <c r="G79" i="292" s="1"/>
  <c r="BL119" i="1"/>
  <c r="AC74" i="1"/>
  <c r="Y74" i="1"/>
  <c r="O31" i="313"/>
  <c r="O32" i="313"/>
  <c r="O36" i="313" s="1"/>
  <c r="BO342" i="1"/>
  <c r="BO350" i="1" s="1"/>
  <c r="BO358" i="1" s="1"/>
  <c r="G50" i="292"/>
  <c r="BL87" i="1"/>
  <c r="BL137" i="1"/>
  <c r="BM87" i="1"/>
  <c r="BL110" i="1"/>
  <c r="BL114" i="1" s="1"/>
  <c r="BL88" i="1"/>
  <c r="BL107" i="1" s="1"/>
  <c r="AL359" i="1"/>
  <c r="BL71" i="1"/>
  <c r="BL73" i="1" s="1"/>
  <c r="G29" i="292"/>
  <c r="G34" i="292"/>
  <c r="H34" i="292"/>
  <c r="H24" i="292"/>
  <c r="G24" i="292"/>
  <c r="AD1024" i="1"/>
  <c r="AD1028" i="1" s="1"/>
  <c r="AD1029" i="1" s="1"/>
  <c r="AD1030" i="1" s="1"/>
  <c r="AD1006" i="1" s="1"/>
  <c r="AC52" i="298"/>
  <c r="AC58" i="1"/>
  <c r="X1033" i="1"/>
  <c r="X1032" i="1" s="1"/>
  <c r="N64" i="292"/>
  <c r="P989" i="1"/>
  <c r="Q1010" i="1"/>
  <c r="F45" i="3"/>
  <c r="F59" i="3"/>
  <c r="F46" i="3"/>
  <c r="AM543" i="1"/>
  <c r="AG560" i="298"/>
  <c r="AG558" i="298"/>
  <c r="P1013" i="1"/>
  <c r="O992" i="1"/>
  <c r="O1001" i="1" s="1"/>
  <c r="AI36" i="298"/>
  <c r="AI42" i="298"/>
  <c r="J37" i="3"/>
  <c r="J55" i="3"/>
  <c r="J56" i="3" s="1"/>
  <c r="BJ116" i="1"/>
  <c r="Q66" i="3"/>
  <c r="AI532" i="298"/>
  <c r="AI551" i="298"/>
  <c r="BF530" i="298"/>
  <c r="BF532" i="298" s="1"/>
  <c r="BB88" i="298"/>
  <c r="BB626" i="298"/>
  <c r="D69" i="292"/>
  <c r="D54" i="292"/>
  <c r="D76" i="292"/>
  <c r="D79" i="292" s="1"/>
  <c r="D53" i="292"/>
  <c r="D52" i="292"/>
  <c r="E54" i="292"/>
  <c r="E52" i="292"/>
  <c r="BD76" i="298"/>
  <c r="BD80" i="298" s="1"/>
  <c r="BD83" i="298"/>
  <c r="BD87" i="298" s="1"/>
  <c r="BD75" i="298"/>
  <c r="BD109" i="298"/>
  <c r="BE75" i="298"/>
  <c r="L9" i="3"/>
  <c r="K36" i="3"/>
  <c r="G19" i="3"/>
  <c r="G44" i="3"/>
  <c r="G32" i="3"/>
  <c r="G18" i="3"/>
  <c r="G51" i="3"/>
  <c r="G65" i="3"/>
  <c r="H17" i="3"/>
  <c r="E60" i="3"/>
  <c r="E77" i="3"/>
  <c r="E78" i="3"/>
  <c r="E62" i="3"/>
  <c r="BB628" i="298"/>
  <c r="BB93" i="298"/>
  <c r="AH87" i="298"/>
  <c r="AH88" i="298" s="1"/>
  <c r="AH89" i="298" s="1"/>
  <c r="Y65" i="298"/>
  <c r="AC65" i="298"/>
  <c r="AI61" i="298"/>
  <c r="AI62" i="298" s="1"/>
  <c r="AI64" i="298" s="1"/>
  <c r="AH36" i="298"/>
  <c r="AH42" i="298"/>
  <c r="AI54" i="298"/>
  <c r="BF54" i="298" s="1"/>
  <c r="BF55" i="298"/>
  <c r="O46" i="292"/>
  <c r="O1012" i="1"/>
  <c r="N991" i="1"/>
  <c r="N1000" i="1" s="1"/>
  <c r="BF45" i="298"/>
  <c r="BF51" i="298" s="1"/>
  <c r="BF46" i="298"/>
  <c r="BF69" i="298"/>
  <c r="BF47" i="298"/>
  <c r="BF60" i="298"/>
  <c r="AI70" i="298"/>
  <c r="AI74" i="298"/>
  <c r="AI71" i="298"/>
  <c r="N993" i="1"/>
  <c r="N1002" i="1" s="1"/>
  <c r="O1014" i="1"/>
  <c r="P89" i="298"/>
  <c r="T89" i="298"/>
  <c r="BD628" i="298"/>
  <c r="M990" i="1"/>
  <c r="N1011" i="1"/>
  <c r="M1015" i="1"/>
  <c r="M994" i="1" s="1"/>
  <c r="M1003" i="1" s="1"/>
  <c r="AF43" i="28"/>
  <c r="AF42" i="28"/>
  <c r="AF80" i="28"/>
  <c r="AE85" i="28"/>
  <c r="AF46" i="28"/>
  <c r="AG42" i="28"/>
  <c r="BF22" i="298"/>
  <c r="BF24" i="298"/>
  <c r="AI548" i="298"/>
  <c r="AI549" i="298" s="1"/>
  <c r="BF545" i="298"/>
  <c r="BF548" i="298" s="1"/>
  <c r="BF549" i="298" s="1"/>
  <c r="E91" i="292"/>
  <c r="F85" i="292"/>
  <c r="O998" i="1"/>
  <c r="L999" i="1"/>
  <c r="L995" i="1"/>
  <c r="L1004" i="1" s="1"/>
  <c r="F34" i="3"/>
  <c r="F33" i="3"/>
  <c r="F30" i="3"/>
  <c r="F31" i="3" s="1"/>
  <c r="AF28" i="28"/>
  <c r="AG28" i="28"/>
  <c r="AK1048" i="1"/>
  <c r="AK1023" i="1" s="1"/>
  <c r="BN942" i="1" l="1"/>
  <c r="BN943" i="1"/>
  <c r="G46" i="523"/>
  <c r="G45" i="523"/>
  <c r="H45" i="523"/>
  <c r="G52" i="523"/>
  <c r="G53" i="523"/>
  <c r="H52" i="523"/>
  <c r="G62" i="523"/>
  <c r="G86" i="523"/>
  <c r="G130" i="523" s="1"/>
  <c r="G66" i="523"/>
  <c r="H62" i="523"/>
  <c r="I32" i="523"/>
  <c r="I59" i="523" s="1"/>
  <c r="I14" i="523"/>
  <c r="I21" i="523" s="1"/>
  <c r="I17" i="523"/>
  <c r="I61" i="523"/>
  <c r="I124" i="523"/>
  <c r="I125" i="523" s="1"/>
  <c r="I16" i="523"/>
  <c r="BN63" i="1"/>
  <c r="I15" i="504"/>
  <c r="I26" i="504" s="1"/>
  <c r="I15" i="503"/>
  <c r="I26" i="503" s="1"/>
  <c r="BN119" i="1"/>
  <c r="BN866" i="1" s="1"/>
  <c r="I58" i="503"/>
  <c r="I61" i="503" s="1"/>
  <c r="I58" i="504"/>
  <c r="I61" i="504" s="1"/>
  <c r="I17" i="503"/>
  <c r="I16" i="503"/>
  <c r="I14" i="503"/>
  <c r="I21" i="503" s="1"/>
  <c r="AM1033" i="1"/>
  <c r="H62" i="504"/>
  <c r="G62" i="504"/>
  <c r="G86" i="504"/>
  <c r="G131" i="504" s="1"/>
  <c r="G66" i="504"/>
  <c r="I17" i="504"/>
  <c r="I16" i="504"/>
  <c r="I14" i="504"/>
  <c r="I21" i="504" s="1"/>
  <c r="G66" i="503"/>
  <c r="G62" i="503"/>
  <c r="G86" i="503"/>
  <c r="G130" i="503" s="1"/>
  <c r="H62" i="503"/>
  <c r="D85" i="503"/>
  <c r="D71" i="503"/>
  <c r="D67" i="503"/>
  <c r="E67" i="503"/>
  <c r="G51" i="503"/>
  <c r="G33" i="503"/>
  <c r="G44" i="503"/>
  <c r="G35" i="503"/>
  <c r="G34" i="503"/>
  <c r="G75" i="503"/>
  <c r="G59" i="503"/>
  <c r="H35" i="503"/>
  <c r="H33" i="503"/>
  <c r="G59" i="504"/>
  <c r="G51" i="504"/>
  <c r="G34" i="504"/>
  <c r="G33" i="504"/>
  <c r="G75" i="504"/>
  <c r="H35" i="504"/>
  <c r="G35" i="504"/>
  <c r="H33" i="504"/>
  <c r="G44" i="504"/>
  <c r="D71" i="504"/>
  <c r="D67" i="504"/>
  <c r="D85" i="504"/>
  <c r="E67" i="504"/>
  <c r="BL91" i="1"/>
  <c r="BM91" i="1"/>
  <c r="AG101" i="1"/>
  <c r="AG103" i="1" s="1"/>
  <c r="AG90" i="1"/>
  <c r="BL93" i="1"/>
  <c r="BL92" i="1"/>
  <c r="BM92" i="1"/>
  <c r="AP359" i="1"/>
  <c r="AO271" i="1"/>
  <c r="AO273" i="1"/>
  <c r="AQ343" i="1"/>
  <c r="BP342" i="1"/>
  <c r="BP350" i="1" s="1"/>
  <c r="BP358" i="1" s="1"/>
  <c r="F70" i="292"/>
  <c r="AN273" i="1"/>
  <c r="AN271" i="1"/>
  <c r="AP148" i="1"/>
  <c r="AP252" i="1"/>
  <c r="AE145" i="519"/>
  <c r="AF34" i="519" s="1"/>
  <c r="AF79" i="519"/>
  <c r="AG79" i="519" s="1"/>
  <c r="X111" i="519"/>
  <c r="X144" i="519" s="1"/>
  <c r="Y33" i="519" s="1"/>
  <c r="BI102" i="1"/>
  <c r="BJ102" i="1"/>
  <c r="W31" i="313"/>
  <c r="W32" i="313"/>
  <c r="W36" i="313" s="1"/>
  <c r="AG87" i="1"/>
  <c r="AG110" i="1"/>
  <c r="AG114" i="1" s="1"/>
  <c r="AG137" i="1"/>
  <c r="AG88" i="1"/>
  <c r="AG107" i="1" s="1"/>
  <c r="BN86" i="1"/>
  <c r="AH137" i="1"/>
  <c r="AI137" i="1"/>
  <c r="AG74" i="1"/>
  <c r="BN73" i="1"/>
  <c r="BN74" i="1" s="1"/>
  <c r="BN71" i="1"/>
  <c r="BN79" i="1"/>
  <c r="BN80" i="1"/>
  <c r="AJ41" i="28"/>
  <c r="AN41" i="28"/>
  <c r="AM41" i="28"/>
  <c r="AG85" i="28"/>
  <c r="AH80" i="28"/>
  <c r="AN80" i="28" s="1"/>
  <c r="AH43" i="28"/>
  <c r="AH44" i="28" s="1"/>
  <c r="AH42" i="28"/>
  <c r="AL41" i="28"/>
  <c r="AH46" i="28"/>
  <c r="BF42" i="298"/>
  <c r="BD65" i="298"/>
  <c r="Y93" i="298"/>
  <c r="Y626" i="298"/>
  <c r="Y629" i="298" s="1"/>
  <c r="Y115" i="1"/>
  <c r="Y864" i="1"/>
  <c r="Y867" i="1" s="1"/>
  <c r="AB1036" i="1"/>
  <c r="AB1019" i="1" s="1"/>
  <c r="AB1039" i="1"/>
  <c r="AB1020" i="1" s="1"/>
  <c r="AB1042" i="1"/>
  <c r="AB1021" i="1" s="1"/>
  <c r="AB1045" i="1"/>
  <c r="AB1022" i="1" s="1"/>
  <c r="AB1048" i="1"/>
  <c r="AB1023" i="1" s="1"/>
  <c r="G68" i="292"/>
  <c r="G51" i="292"/>
  <c r="W1033" i="1"/>
  <c r="W1032" i="1" s="1"/>
  <c r="BL866" i="1"/>
  <c r="BL121" i="1"/>
  <c r="BL74" i="1"/>
  <c r="BM74" i="1"/>
  <c r="H80" i="292"/>
  <c r="G84" i="292"/>
  <c r="G80" i="292"/>
  <c r="BE52" i="298"/>
  <c r="AC55" i="298"/>
  <c r="AC61" i="1"/>
  <c r="BM58" i="1"/>
  <c r="H22" i="523" s="1"/>
  <c r="BL115" i="1"/>
  <c r="BL864" i="1"/>
  <c r="BL867" i="1" s="1"/>
  <c r="AC1024" i="1"/>
  <c r="AC1028" i="1" s="1"/>
  <c r="AC1029" i="1" s="1"/>
  <c r="AC1030" i="1" s="1"/>
  <c r="AC1006" i="1" s="1"/>
  <c r="AC1007" i="1" s="1"/>
  <c r="AI65" i="298"/>
  <c r="BF64" i="298"/>
  <c r="BF65" i="298" s="1"/>
  <c r="BD88" i="298"/>
  <c r="BD626" i="298"/>
  <c r="BD629" i="298" s="1"/>
  <c r="H32" i="3"/>
  <c r="H18" i="3"/>
  <c r="H19" i="3"/>
  <c r="H51" i="3"/>
  <c r="H44" i="3"/>
  <c r="H65" i="3"/>
  <c r="I17" i="3"/>
  <c r="F60" i="3"/>
  <c r="F77" i="3"/>
  <c r="F78" i="3"/>
  <c r="F62" i="3"/>
  <c r="D80" i="292"/>
  <c r="D84" i="292"/>
  <c r="E80" i="292"/>
  <c r="G45" i="3"/>
  <c r="G46" i="3"/>
  <c r="G33" i="3"/>
  <c r="G34" i="3"/>
  <c r="G30" i="3"/>
  <c r="G31" i="3" s="1"/>
  <c r="P1014" i="1"/>
  <c r="O993" i="1"/>
  <c r="O1002" i="1" s="1"/>
  <c r="D70" i="292"/>
  <c r="D71" i="292"/>
  <c r="E70" i="292"/>
  <c r="R1010" i="1"/>
  <c r="Q989" i="1"/>
  <c r="K37" i="3"/>
  <c r="K55" i="3"/>
  <c r="K56" i="3" s="1"/>
  <c r="BB629" i="298"/>
  <c r="P998" i="1"/>
  <c r="O1011" i="1"/>
  <c r="N990" i="1"/>
  <c r="N1015" i="1"/>
  <c r="N994" i="1" s="1"/>
  <c r="N1003" i="1" s="1"/>
  <c r="G48" i="3"/>
  <c r="G80" i="3" s="1"/>
  <c r="P46" i="292"/>
  <c r="BF70" i="298"/>
  <c r="BF71" i="298"/>
  <c r="M9" i="3"/>
  <c r="L36" i="3"/>
  <c r="BB89" i="298"/>
  <c r="BC89" i="298"/>
  <c r="AI86" i="298"/>
  <c r="AI100" i="298" s="1"/>
  <c r="BF100" i="298" s="1"/>
  <c r="AI533" i="298"/>
  <c r="BF533" i="298" s="1"/>
  <c r="BF534" i="298" s="1"/>
  <c r="BF61" i="298"/>
  <c r="BF86" i="298" s="1"/>
  <c r="M999" i="1"/>
  <c r="M995" i="1"/>
  <c r="M1004" i="1" s="1"/>
  <c r="Y89" i="298"/>
  <c r="AC89" i="298"/>
  <c r="BD93" i="298"/>
  <c r="P1012" i="1"/>
  <c r="O991" i="1"/>
  <c r="O1000" i="1" s="1"/>
  <c r="O64" i="292"/>
  <c r="AF44" i="28"/>
  <c r="AG44" i="28"/>
  <c r="AI75" i="298"/>
  <c r="AI83" i="298"/>
  <c r="AI76" i="298"/>
  <c r="AI80" i="298" s="1"/>
  <c r="BF74" i="298"/>
  <c r="AI557" i="298"/>
  <c r="BF551" i="298"/>
  <c r="P992" i="1"/>
  <c r="P1001" i="1" s="1"/>
  <c r="Q1013" i="1"/>
  <c r="AL1048" i="1"/>
  <c r="AL1023" i="1" s="1"/>
  <c r="AL1024" i="1" s="1"/>
  <c r="B1035" i="1"/>
  <c r="B1038" i="1"/>
  <c r="B1041" i="1"/>
  <c r="B1044" i="1"/>
  <c r="B1047" i="1"/>
  <c r="P1054" i="1"/>
  <c r="Q1054" i="1"/>
  <c r="R1054" i="1"/>
  <c r="S1054" i="1"/>
  <c r="T1054" i="1"/>
  <c r="U1054" i="1"/>
  <c r="V1054" i="1"/>
  <c r="W1054" i="1"/>
  <c r="X1054" i="1"/>
  <c r="Y1054" i="1"/>
  <c r="Z1054" i="1"/>
  <c r="AA1054" i="1"/>
  <c r="AB1054" i="1"/>
  <c r="AC1054" i="1"/>
  <c r="AD1054" i="1"/>
  <c r="AE1054" i="1"/>
  <c r="AF1054" i="1"/>
  <c r="R1055" i="1"/>
  <c r="R1063" i="1" s="1"/>
  <c r="AB1055" i="1"/>
  <c r="AF1063" i="1" s="1"/>
  <c r="AC1055" i="1"/>
  <c r="AE1055" i="1"/>
  <c r="AD1059" i="1" s="1"/>
  <c r="BK1055" i="1"/>
  <c r="BL1055" i="1"/>
  <c r="BM1055" i="1"/>
  <c r="BN1055" i="1"/>
  <c r="L1056" i="1"/>
  <c r="M1056" i="1"/>
  <c r="N1056" i="1"/>
  <c r="O1056" i="1"/>
  <c r="P1056" i="1"/>
  <c r="Q1056" i="1"/>
  <c r="R1056" i="1"/>
  <c r="S1056" i="1"/>
  <c r="T1056" i="1"/>
  <c r="U1056" i="1"/>
  <c r="V1056" i="1"/>
  <c r="W1056" i="1"/>
  <c r="X1056" i="1"/>
  <c r="Y1056" i="1"/>
  <c r="Z1056" i="1"/>
  <c r="AA1056" i="1"/>
  <c r="AB1056" i="1"/>
  <c r="AF1064" i="1" s="1"/>
  <c r="AC1056" i="1"/>
  <c r="AD1056" i="1"/>
  <c r="AE1056" i="1"/>
  <c r="BK1058" i="1"/>
  <c r="BL1058" i="1"/>
  <c r="BM1058" i="1"/>
  <c r="BN1058" i="1"/>
  <c r="AE1059" i="1"/>
  <c r="BK1059" i="1"/>
  <c r="BL1059" i="1"/>
  <c r="BM1059" i="1"/>
  <c r="BN1059" i="1"/>
  <c r="AA167" i="1"/>
  <c r="AA224" i="1" s="1"/>
  <c r="AD167" i="1"/>
  <c r="Z167" i="1"/>
  <c r="Z224" i="1" s="1"/>
  <c r="Y167" i="1"/>
  <c r="Y224" i="1" s="1"/>
  <c r="X167" i="1"/>
  <c r="X224" i="1" s="1"/>
  <c r="W167" i="1"/>
  <c r="W14" i="1" s="1"/>
  <c r="W54" i="1" s="1"/>
  <c r="V167" i="1"/>
  <c r="V224" i="1" s="1"/>
  <c r="U167" i="1"/>
  <c r="U224" i="1" s="1"/>
  <c r="T167" i="1"/>
  <c r="T224" i="1" s="1"/>
  <c r="S167" i="1"/>
  <c r="S224" i="1" s="1"/>
  <c r="Q167" i="1"/>
  <c r="P167" i="1"/>
  <c r="AJ167" i="1"/>
  <c r="AJ14" i="1" s="1"/>
  <c r="AI167" i="1"/>
  <c r="AH167" i="1"/>
  <c r="O167" i="1"/>
  <c r="O14" i="1" s="1"/>
  <c r="O54" i="1" s="1"/>
  <c r="N167" i="1"/>
  <c r="N14" i="1" s="1"/>
  <c r="N54" i="1" s="1"/>
  <c r="M167" i="1"/>
  <c r="M14" i="1" s="1"/>
  <c r="M54" i="1" s="1"/>
  <c r="L167" i="1"/>
  <c r="L14" i="1" s="1"/>
  <c r="L54" i="1" s="1"/>
  <c r="BN272" i="1"/>
  <c r="AK1024" i="1"/>
  <c r="BN164" i="1"/>
  <c r="BN512" i="1"/>
  <c r="BM512" i="1"/>
  <c r="BL512" i="1"/>
  <c r="BK512" i="1"/>
  <c r="BJ512" i="1"/>
  <c r="BI512" i="1"/>
  <c r="BM164" i="1"/>
  <c r="BL164" i="1"/>
  <c r="BK164" i="1"/>
  <c r="BJ164" i="1"/>
  <c r="BI164" i="1"/>
  <c r="BM253" i="1"/>
  <c r="BM163" i="1" s="1"/>
  <c r="BL253" i="1"/>
  <c r="BL163" i="1" s="1"/>
  <c r="BK253" i="1"/>
  <c r="BK163" i="1" s="1"/>
  <c r="BJ253" i="1"/>
  <c r="BJ163" i="1" s="1"/>
  <c r="BI253" i="1"/>
  <c r="BI163" i="1" s="1"/>
  <c r="BJ787" i="1"/>
  <c r="BJ60" i="1" s="1"/>
  <c r="E24" i="523" s="1"/>
  <c r="E15" i="523" s="1"/>
  <c r="E26" i="523" s="1"/>
  <c r="BI787" i="1"/>
  <c r="BI60" i="1" s="1"/>
  <c r="D24" i="523" s="1"/>
  <c r="D15" i="523" s="1"/>
  <c r="D26" i="523" s="1"/>
  <c r="D4" i="198"/>
  <c r="K139" i="198" s="1"/>
  <c r="C8" i="198"/>
  <c r="D8" i="198"/>
  <c r="E8" i="198"/>
  <c r="F8" i="198"/>
  <c r="G8" i="198"/>
  <c r="H8" i="198"/>
  <c r="I8" i="198"/>
  <c r="C13" i="198"/>
  <c r="C125" i="198" s="1"/>
  <c r="C126" i="198" s="1"/>
  <c r="D13" i="198"/>
  <c r="D125" i="198" s="1"/>
  <c r="D126" i="198" s="1"/>
  <c r="E13" i="198"/>
  <c r="E125" i="198" s="1"/>
  <c r="F13" i="198"/>
  <c r="F125" i="198" s="1"/>
  <c r="G13" i="198"/>
  <c r="G125" i="198" s="1"/>
  <c r="H13" i="198"/>
  <c r="H125" i="198" s="1"/>
  <c r="I13" i="198"/>
  <c r="I125" i="198" s="1"/>
  <c r="F25" i="198"/>
  <c r="F16" i="198" s="1"/>
  <c r="G16" i="198"/>
  <c r="I16" i="198"/>
  <c r="G23" i="198"/>
  <c r="I23" i="198"/>
  <c r="G25" i="198"/>
  <c r="H25" i="198"/>
  <c r="I25" i="198"/>
  <c r="C29" i="198"/>
  <c r="D29" i="198"/>
  <c r="E29" i="198"/>
  <c r="F29" i="198"/>
  <c r="G29" i="198"/>
  <c r="H29" i="198"/>
  <c r="I29" i="198"/>
  <c r="K158" i="198" s="1"/>
  <c r="AA31" i="198"/>
  <c r="C49" i="198"/>
  <c r="D49" i="198"/>
  <c r="D66" i="198" s="1"/>
  <c r="E49" i="198"/>
  <c r="E66" i="198" s="1"/>
  <c r="F49" i="198"/>
  <c r="F66" i="198" s="1"/>
  <c r="G49" i="198"/>
  <c r="H49" i="198"/>
  <c r="H66" i="198" s="1"/>
  <c r="I49" i="198"/>
  <c r="Z52" i="198"/>
  <c r="AA52" i="198"/>
  <c r="AB52" i="198"/>
  <c r="C56" i="198"/>
  <c r="D56" i="198"/>
  <c r="E56" i="198"/>
  <c r="F56" i="198"/>
  <c r="G56" i="198"/>
  <c r="H56" i="198"/>
  <c r="I56" i="198"/>
  <c r="J56" i="198"/>
  <c r="Z56" i="198"/>
  <c r="AA56" i="198"/>
  <c r="AB56" i="198"/>
  <c r="D57" i="198"/>
  <c r="E57" i="198" s="1"/>
  <c r="F57" i="198" s="1"/>
  <c r="G57" i="198" s="1"/>
  <c r="H57" i="198" s="1"/>
  <c r="I57" i="198" s="1"/>
  <c r="J57" i="198" s="1"/>
  <c r="K57" i="198" s="1"/>
  <c r="L57" i="198" s="1"/>
  <c r="M57" i="198" s="1"/>
  <c r="N57" i="198" s="1"/>
  <c r="O57" i="198" s="1"/>
  <c r="P57" i="198" s="1"/>
  <c r="Q57" i="198" s="1"/>
  <c r="R57" i="198" s="1"/>
  <c r="S57" i="198" s="1"/>
  <c r="T57" i="198" s="1"/>
  <c r="U57" i="198" s="1"/>
  <c r="V57" i="198" s="1"/>
  <c r="Z57" i="198"/>
  <c r="AA57" i="198"/>
  <c r="AB57" i="198"/>
  <c r="D60" i="198"/>
  <c r="F59" i="198"/>
  <c r="G59" i="198"/>
  <c r="H59" i="198"/>
  <c r="I59" i="198"/>
  <c r="Z61" i="198"/>
  <c r="AA61" i="198"/>
  <c r="AB61" i="198"/>
  <c r="A65" i="198"/>
  <c r="A66" i="198"/>
  <c r="Z66" i="198"/>
  <c r="AA66" i="198"/>
  <c r="AB66" i="198"/>
  <c r="AC66" i="198"/>
  <c r="C70" i="198"/>
  <c r="D70" i="198"/>
  <c r="E70" i="198"/>
  <c r="F70" i="198"/>
  <c r="G70" i="198"/>
  <c r="H70" i="198"/>
  <c r="I70" i="198"/>
  <c r="C73" i="198"/>
  <c r="D73" i="198"/>
  <c r="E73" i="198"/>
  <c r="F73" i="198"/>
  <c r="G73" i="198"/>
  <c r="H73" i="198"/>
  <c r="I73" i="198"/>
  <c r="C75" i="198"/>
  <c r="D75" i="198"/>
  <c r="E75" i="198"/>
  <c r="F75" i="198"/>
  <c r="G75" i="198"/>
  <c r="H75" i="198"/>
  <c r="I75" i="198"/>
  <c r="D100" i="198"/>
  <c r="J84" i="198" s="1"/>
  <c r="H88" i="198"/>
  <c r="I88" i="198"/>
  <c r="J88" i="198"/>
  <c r="G85" i="523" l="1"/>
  <c r="G71" i="523"/>
  <c r="H67" i="523"/>
  <c r="G67" i="523"/>
  <c r="I51" i="523"/>
  <c r="I34" i="523"/>
  <c r="I35" i="523"/>
  <c r="I33" i="523"/>
  <c r="I75" i="523"/>
  <c r="I44" i="523"/>
  <c r="G131" i="523"/>
  <c r="F131" i="523"/>
  <c r="I62" i="523"/>
  <c r="I86" i="523"/>
  <c r="I66" i="523"/>
  <c r="H109" i="198"/>
  <c r="G109" i="198"/>
  <c r="F109" i="198"/>
  <c r="I109" i="198"/>
  <c r="E109" i="198"/>
  <c r="D109" i="198"/>
  <c r="C109" i="198"/>
  <c r="AM1045" i="1"/>
  <c r="AM1022" i="1" s="1"/>
  <c r="AM1042" i="1"/>
  <c r="AM1021" i="1" s="1"/>
  <c r="AM1039" i="1"/>
  <c r="AM1020" i="1" s="1"/>
  <c r="AM1036" i="1"/>
  <c r="AM1019" i="1" s="1"/>
  <c r="G132" i="504"/>
  <c r="F132" i="504"/>
  <c r="I32" i="504"/>
  <c r="I59" i="504" s="1"/>
  <c r="I32" i="503"/>
  <c r="I59" i="503" s="1"/>
  <c r="G131" i="503"/>
  <c r="F131" i="503"/>
  <c r="G85" i="503"/>
  <c r="G67" i="503"/>
  <c r="G71" i="503"/>
  <c r="H67" i="503"/>
  <c r="I66" i="504"/>
  <c r="I86" i="504"/>
  <c r="I131" i="504" s="1"/>
  <c r="I62" i="504"/>
  <c r="I62" i="503"/>
  <c r="I86" i="503"/>
  <c r="I130" i="503" s="1"/>
  <c r="I66" i="503"/>
  <c r="G67" i="504"/>
  <c r="G85" i="504"/>
  <c r="G71" i="504"/>
  <c r="H67" i="504"/>
  <c r="AN1032" i="1"/>
  <c r="E24" i="503"/>
  <c r="E15" i="503" s="1"/>
  <c r="E26" i="503" s="1"/>
  <c r="E24" i="504"/>
  <c r="E15" i="504" s="1"/>
  <c r="E26" i="504" s="1"/>
  <c r="BI50" i="1"/>
  <c r="BI51" i="1" s="1"/>
  <c r="D24" i="503"/>
  <c r="D15" i="503" s="1"/>
  <c r="D26" i="503" s="1"/>
  <c r="D24" i="504"/>
  <c r="D15" i="504" s="1"/>
  <c r="D26" i="504" s="1"/>
  <c r="H23" i="198"/>
  <c r="H22" i="503"/>
  <c r="H22" i="504"/>
  <c r="J83" i="504"/>
  <c r="J83" i="503"/>
  <c r="G45" i="504"/>
  <c r="G46" i="504"/>
  <c r="H45" i="504"/>
  <c r="G45" i="503"/>
  <c r="G46" i="503"/>
  <c r="H45" i="503"/>
  <c r="G52" i="504"/>
  <c r="G53" i="504"/>
  <c r="H52" i="504"/>
  <c r="G53" i="503"/>
  <c r="H52" i="503"/>
  <c r="G52" i="503"/>
  <c r="AF112" i="519"/>
  <c r="AF145" i="519" s="1"/>
  <c r="AG34" i="519" s="1"/>
  <c r="AG112" i="519" s="1"/>
  <c r="AG145" i="519" s="1"/>
  <c r="AG91" i="1"/>
  <c r="AH91" i="1"/>
  <c r="BS101" i="1"/>
  <c r="BS103" i="1" s="1"/>
  <c r="AG92" i="1"/>
  <c r="AG93" i="1"/>
  <c r="BN101" i="1"/>
  <c r="BN103" i="1" s="1"/>
  <c r="BN90" i="1"/>
  <c r="BN91" i="1" s="1"/>
  <c r="AM155" i="1"/>
  <c r="Z24" i="198"/>
  <c r="AA24" i="198" s="1"/>
  <c r="K142" i="198"/>
  <c r="K143" i="198" s="1"/>
  <c r="L147" i="198" s="1"/>
  <c r="K159" i="198"/>
  <c r="I66" i="198"/>
  <c r="K150" i="198"/>
  <c r="BO251" i="1"/>
  <c r="BN267" i="1"/>
  <c r="BN194" i="1"/>
  <c r="AP1041" i="1"/>
  <c r="AO1019" i="1"/>
  <c r="C33" i="198"/>
  <c r="C35" i="198" s="1"/>
  <c r="E33" i="198"/>
  <c r="E35" i="198" s="1"/>
  <c r="I42" i="198"/>
  <c r="E42" i="198"/>
  <c r="F65" i="198"/>
  <c r="F42" i="198"/>
  <c r="D42" i="198"/>
  <c r="H65" i="198"/>
  <c r="H42" i="198"/>
  <c r="G65" i="198"/>
  <c r="G42" i="198"/>
  <c r="D33" i="198"/>
  <c r="D45" i="198" s="1"/>
  <c r="D47" i="198" s="1"/>
  <c r="I33" i="198"/>
  <c r="I52" i="198" s="1"/>
  <c r="I54" i="198" s="1"/>
  <c r="H33" i="198"/>
  <c r="H60" i="198" s="1"/>
  <c r="G33" i="198"/>
  <c r="G60" i="198" s="1"/>
  <c r="F33" i="198"/>
  <c r="F76" i="198" s="1"/>
  <c r="AP155" i="1"/>
  <c r="AP180" i="1"/>
  <c r="AQ351" i="1"/>
  <c r="AQ359" i="1" s="1"/>
  <c r="AQ251" i="1"/>
  <c r="BP343" i="1"/>
  <c r="BP351" i="1" s="1"/>
  <c r="BP359" i="1" s="1"/>
  <c r="AO1020" i="1"/>
  <c r="AP1038" i="1"/>
  <c r="AM1048" i="1"/>
  <c r="AM1023" i="1" s="1"/>
  <c r="AO1022" i="1"/>
  <c r="AP1044" i="1"/>
  <c r="Y111" i="519"/>
  <c r="Y144" i="519" s="1"/>
  <c r="Z33" i="519" s="1"/>
  <c r="BN165" i="1"/>
  <c r="BN167" i="1" s="1"/>
  <c r="BN174" i="1" s="1"/>
  <c r="BN15" i="1" s="1"/>
  <c r="I10" i="523" s="1"/>
  <c r="BN513" i="1"/>
  <c r="BN177" i="1" s="1"/>
  <c r="BK165" i="1"/>
  <c r="BK167" i="1" s="1"/>
  <c r="BK174" i="1" s="1"/>
  <c r="BK15" i="1" s="1"/>
  <c r="F10" i="523" s="1"/>
  <c r="BK513" i="1"/>
  <c r="BK177" i="1" s="1"/>
  <c r="BM165" i="1"/>
  <c r="BM167" i="1" s="1"/>
  <c r="BM174" i="1" s="1"/>
  <c r="BM15" i="1" s="1"/>
  <c r="H10" i="523" s="1"/>
  <c r="BM513" i="1"/>
  <c r="BM177" i="1" s="1"/>
  <c r="BL165" i="1"/>
  <c r="BL167" i="1" s="1"/>
  <c r="BL174" i="1" s="1"/>
  <c r="BL513" i="1"/>
  <c r="BL177" i="1" s="1"/>
  <c r="BI165" i="1"/>
  <c r="BI167" i="1" s="1"/>
  <c r="BI174" i="1" s="1"/>
  <c r="BI513" i="1"/>
  <c r="BI177" i="1" s="1"/>
  <c r="BJ165" i="1"/>
  <c r="BJ167" i="1" s="1"/>
  <c r="BJ513" i="1"/>
  <c r="BJ177" i="1" s="1"/>
  <c r="AH14" i="1"/>
  <c r="AH54" i="1" s="1"/>
  <c r="AH174" i="1"/>
  <c r="AH15" i="1" s="1"/>
  <c r="AI14" i="1"/>
  <c r="AI174" i="1"/>
  <c r="AI15" i="1" s="1"/>
  <c r="AD224" i="1"/>
  <c r="BM224" i="1" s="1"/>
  <c r="AD174" i="1"/>
  <c r="AD15" i="1" s="1"/>
  <c r="BL102" i="1"/>
  <c r="BM102" i="1"/>
  <c r="L1005" i="1"/>
  <c r="O1005" i="1"/>
  <c r="AC116" i="1"/>
  <c r="N1005" i="1"/>
  <c r="M1005" i="1"/>
  <c r="BN87" i="1"/>
  <c r="BN137" i="1"/>
  <c r="BN110" i="1"/>
  <c r="BN114" i="1" s="1"/>
  <c r="BN88" i="1"/>
  <c r="BN107" i="1" s="1"/>
  <c r="BJ50" i="1"/>
  <c r="AJ225" i="1"/>
  <c r="AG121" i="1"/>
  <c r="AG115" i="1"/>
  <c r="AG864" i="1"/>
  <c r="AG867" i="1" s="1"/>
  <c r="BN72" i="1"/>
  <c r="AN43" i="28"/>
  <c r="AK80" i="28"/>
  <c r="AK43" i="28"/>
  <c r="AJ80" i="28"/>
  <c r="AM80" i="28"/>
  <c r="AM43" i="28"/>
  <c r="AL80" i="28"/>
  <c r="AL43" i="28"/>
  <c r="AJ43" i="28"/>
  <c r="BM1056" i="1"/>
  <c r="AA1064" i="1"/>
  <c r="Y116" i="1"/>
  <c r="X1064" i="1"/>
  <c r="AD1064" i="1"/>
  <c r="AC1064" i="1"/>
  <c r="AI87" i="298"/>
  <c r="AI88" i="298" s="1"/>
  <c r="AI89" i="298" s="1"/>
  <c r="BF62" i="298"/>
  <c r="BF63" i="298" s="1"/>
  <c r="E50" i="198"/>
  <c r="AA53" i="198"/>
  <c r="BM1060" i="1"/>
  <c r="BM1061" i="1" s="1"/>
  <c r="Q1059" i="1"/>
  <c r="AA1059" i="1"/>
  <c r="T14" i="1"/>
  <c r="T54" i="1" s="1"/>
  <c r="P1064" i="1"/>
  <c r="AI224" i="1"/>
  <c r="AH224" i="1"/>
  <c r="AB53" i="198"/>
  <c r="Y1064" i="1"/>
  <c r="F14" i="198"/>
  <c r="F22" i="198" s="1"/>
  <c r="F23" i="198" s="1"/>
  <c r="AB58" i="198"/>
  <c r="AB59" i="198" s="1"/>
  <c r="D17" i="198"/>
  <c r="S1064" i="1"/>
  <c r="R1064" i="1"/>
  <c r="Q1064" i="1"/>
  <c r="AA14" i="1"/>
  <c r="AA54" i="1" s="1"/>
  <c r="D14" i="198"/>
  <c r="D22" i="198" s="1"/>
  <c r="D23" i="198" s="1"/>
  <c r="V14" i="1"/>
  <c r="V54" i="1" s="1"/>
  <c r="Z62" i="198"/>
  <c r="G14" i="198"/>
  <c r="G22" i="198" s="1"/>
  <c r="X14" i="1"/>
  <c r="X54" i="1" s="1"/>
  <c r="Z14" i="1"/>
  <c r="Z54" i="1" s="1"/>
  <c r="I14" i="198"/>
  <c r="I22" i="198" s="1"/>
  <c r="BN1060" i="1"/>
  <c r="BN1061" i="1" s="1"/>
  <c r="E14" i="198"/>
  <c r="E22" i="198" s="1"/>
  <c r="E23" i="198" s="1"/>
  <c r="I30" i="198"/>
  <c r="I27" i="198"/>
  <c r="H50" i="198"/>
  <c r="G27" i="198"/>
  <c r="W1064" i="1"/>
  <c r="G50" i="198"/>
  <c r="F27" i="198"/>
  <c r="V1064" i="1"/>
  <c r="AA58" i="198"/>
  <c r="AA59" i="198" s="1"/>
  <c r="U1064" i="1"/>
  <c r="H14" i="198"/>
  <c r="H22" i="198" s="1"/>
  <c r="AJ174" i="1"/>
  <c r="AJ15" i="1" s="1"/>
  <c r="T1064" i="1"/>
  <c r="AA1036" i="1"/>
  <c r="AA1019" i="1" s="1"/>
  <c r="AA1039" i="1"/>
  <c r="AA1020" i="1" s="1"/>
  <c r="AA1042" i="1"/>
  <c r="AA1021" i="1" s="1"/>
  <c r="AA1045" i="1"/>
  <c r="AA1022" i="1" s="1"/>
  <c r="AA1048" i="1"/>
  <c r="AA1023" i="1" s="1"/>
  <c r="G66" i="198"/>
  <c r="D18" i="198"/>
  <c r="U14" i="1"/>
  <c r="U54" i="1" s="1"/>
  <c r="G59" i="3"/>
  <c r="G60" i="3" s="1"/>
  <c r="AC63" i="1"/>
  <c r="AC54" i="1" s="1"/>
  <c r="BM61" i="1"/>
  <c r="H15" i="523" s="1"/>
  <c r="H26" i="523" s="1"/>
  <c r="AL155" i="1"/>
  <c r="I65" i="198"/>
  <c r="AC57" i="298"/>
  <c r="AC48" i="298" s="1"/>
  <c r="BE55" i="298"/>
  <c r="BE57" i="298" s="1"/>
  <c r="BE48" i="298" s="1"/>
  <c r="BL1060" i="1"/>
  <c r="BL1061" i="1" s="1"/>
  <c r="F17" i="198"/>
  <c r="BK1060" i="1"/>
  <c r="BK1061" i="1" s="1"/>
  <c r="E17" i="198"/>
  <c r="AE1064" i="1"/>
  <c r="C65" i="198"/>
  <c r="Y14" i="1"/>
  <c r="Y54" i="1" s="1"/>
  <c r="BM116" i="1"/>
  <c r="BL116" i="1"/>
  <c r="C30" i="198"/>
  <c r="H85" i="292"/>
  <c r="G91" i="292"/>
  <c r="G85" i="292"/>
  <c r="BL224" i="1"/>
  <c r="H62" i="198"/>
  <c r="Z1064" i="1"/>
  <c r="G69" i="292"/>
  <c r="H54" i="292"/>
  <c r="G52" i="292"/>
  <c r="H52" i="292"/>
  <c r="G53" i="292"/>
  <c r="G54" i="292"/>
  <c r="Z26" i="198"/>
  <c r="BN1056" i="1"/>
  <c r="V1033" i="1"/>
  <c r="V1032" i="1" s="1"/>
  <c r="AB1024" i="1"/>
  <c r="AB1028" i="1" s="1"/>
  <c r="AB1029" i="1" s="1"/>
  <c r="AB1030" i="1" s="1"/>
  <c r="AB1006" i="1" s="1"/>
  <c r="AB1007" i="1" s="1"/>
  <c r="E101" i="198"/>
  <c r="Z58" i="198"/>
  <c r="Z59" i="198" s="1"/>
  <c r="AJ224" i="1"/>
  <c r="BL1056" i="1"/>
  <c r="G62" i="198"/>
  <c r="F62" i="198"/>
  <c r="I17" i="198"/>
  <c r="I50" i="198"/>
  <c r="I9" i="198"/>
  <c r="I14" i="292" s="1"/>
  <c r="AB1064" i="1"/>
  <c r="M9" i="267"/>
  <c r="M11" i="313" s="1"/>
  <c r="W1005" i="1"/>
  <c r="W225" i="1"/>
  <c r="W1055" i="1"/>
  <c r="AB1059" i="1"/>
  <c r="D9" i="198"/>
  <c r="E9" i="198"/>
  <c r="D102" i="198"/>
  <c r="E102" i="198" s="1"/>
  <c r="F18" i="198"/>
  <c r="F50" i="198"/>
  <c r="F9" i="198"/>
  <c r="F30" i="198"/>
  <c r="G18" i="198"/>
  <c r="G9" i="198"/>
  <c r="P14" i="1"/>
  <c r="P54" i="1" s="1"/>
  <c r="P224" i="1"/>
  <c r="Q224" i="1"/>
  <c r="Q14" i="1"/>
  <c r="Q54" i="1" s="1"/>
  <c r="H48" i="3"/>
  <c r="H80" i="3" s="1"/>
  <c r="AB62" i="198"/>
  <c r="H9" i="198"/>
  <c r="H46" i="3"/>
  <c r="H45" i="3"/>
  <c r="T142" i="1"/>
  <c r="AA62" i="198"/>
  <c r="G17" i="198"/>
  <c r="P64" i="292"/>
  <c r="R989" i="1"/>
  <c r="S1010" i="1"/>
  <c r="I62" i="198"/>
  <c r="D50" i="198"/>
  <c r="E18" i="198"/>
  <c r="BI61" i="1"/>
  <c r="BI63" i="1"/>
  <c r="D25" i="198"/>
  <c r="D16" i="198" s="1"/>
  <c r="D27" i="198" s="1"/>
  <c r="C50" i="198"/>
  <c r="C66" i="198"/>
  <c r="BJ63" i="1"/>
  <c r="E25" i="198"/>
  <c r="E16" i="198" s="1"/>
  <c r="E27" i="198" s="1"/>
  <c r="BJ61" i="1"/>
  <c r="Q46" i="292"/>
  <c r="G30" i="198"/>
  <c r="Z9" i="267"/>
  <c r="AJ1005" i="1"/>
  <c r="AJ1007" i="1" s="1"/>
  <c r="Q992" i="1"/>
  <c r="Q1001" i="1" s="1"/>
  <c r="R1013" i="1"/>
  <c r="W224" i="1"/>
  <c r="BK224" i="1" s="1"/>
  <c r="Q998" i="1"/>
  <c r="D85" i="292"/>
  <c r="D91" i="292"/>
  <c r="E85" i="292"/>
  <c r="I32" i="3"/>
  <c r="I44" i="3"/>
  <c r="I18" i="3"/>
  <c r="I19" i="3"/>
  <c r="I51" i="3"/>
  <c r="I65" i="3"/>
  <c r="I48" i="3" s="1"/>
  <c r="J17" i="3"/>
  <c r="H30" i="198"/>
  <c r="AI560" i="298"/>
  <c r="AI558" i="298"/>
  <c r="BF557" i="298"/>
  <c r="AD14" i="1"/>
  <c r="E125" i="292"/>
  <c r="U144" i="1"/>
  <c r="T141" i="1" s="1"/>
  <c r="E30" i="198"/>
  <c r="S14" i="1"/>
  <c r="S54" i="1" s="1"/>
  <c r="E65" i="198"/>
  <c r="D30" i="198"/>
  <c r="BF75" i="298"/>
  <c r="BF76" i="298"/>
  <c r="BF80" i="298" s="1"/>
  <c r="BF83" i="298"/>
  <c r="BF87" i="298" s="1"/>
  <c r="Q1012" i="1"/>
  <c r="P991" i="1"/>
  <c r="P1000" i="1" s="1"/>
  <c r="D65" i="198"/>
  <c r="AI534" i="298"/>
  <c r="H34" i="3"/>
  <c r="H33" i="3"/>
  <c r="I18" i="198"/>
  <c r="I34" i="292" s="1"/>
  <c r="J34" i="292" s="1"/>
  <c r="K34" i="292" s="1"/>
  <c r="L34" i="292" s="1"/>
  <c r="M34" i="292" s="1"/>
  <c r="N34" i="292" s="1"/>
  <c r="O34" i="292" s="1"/>
  <c r="P34" i="292" s="1"/>
  <c r="Q34" i="292" s="1"/>
  <c r="R34" i="292" s="1"/>
  <c r="S34" i="292" s="1"/>
  <c r="Q1014" i="1"/>
  <c r="P993" i="1"/>
  <c r="P1002" i="1" s="1"/>
  <c r="H18" i="198"/>
  <c r="N999" i="1"/>
  <c r="N995" i="1"/>
  <c r="N1004" i="1" s="1"/>
  <c r="BD89" i="298"/>
  <c r="BE89" i="298"/>
  <c r="AL1028" i="1"/>
  <c r="AM189" i="1"/>
  <c r="L37" i="3"/>
  <c r="L55" i="3"/>
  <c r="L56" i="3" s="1"/>
  <c r="P1011" i="1"/>
  <c r="O990" i="1"/>
  <c r="O1015" i="1"/>
  <c r="O994" i="1" s="1"/>
  <c r="O1003" i="1" s="1"/>
  <c r="H17" i="198"/>
  <c r="AT20" i="468"/>
  <c r="AK1028" i="1"/>
  <c r="BO182" i="1"/>
  <c r="AS20" i="468"/>
  <c r="N9" i="3"/>
  <c r="M36" i="3"/>
  <c r="I130" i="523" l="1"/>
  <c r="H131" i="523" s="1"/>
  <c r="I53" i="523"/>
  <c r="I52" i="523"/>
  <c r="I67" i="523"/>
  <c r="I85" i="523"/>
  <c r="I71" i="523"/>
  <c r="I45" i="523"/>
  <c r="I46" i="523"/>
  <c r="AM1024" i="1"/>
  <c r="AM1028" i="1" s="1"/>
  <c r="AN1048" i="1"/>
  <c r="AN1023" i="1" s="1"/>
  <c r="AN1045" i="1"/>
  <c r="AN1022" i="1" s="1"/>
  <c r="AN1042" i="1"/>
  <c r="AN1021" i="1" s="1"/>
  <c r="AN1039" i="1"/>
  <c r="AN1020" i="1" s="1"/>
  <c r="AN1036" i="1"/>
  <c r="AN1019" i="1" s="1"/>
  <c r="I85" i="504"/>
  <c r="I67" i="504"/>
  <c r="I71" i="504"/>
  <c r="H10" i="503"/>
  <c r="H10" i="504"/>
  <c r="H132" i="504"/>
  <c r="H15" i="504"/>
  <c r="H26" i="504" s="1"/>
  <c r="H15" i="503"/>
  <c r="H26" i="503" s="1"/>
  <c r="I67" i="503"/>
  <c r="I85" i="503"/>
  <c r="I71" i="503"/>
  <c r="I51" i="504"/>
  <c r="I35" i="504"/>
  <c r="I33" i="504"/>
  <c r="I34" i="504"/>
  <c r="I44" i="504"/>
  <c r="I75" i="504"/>
  <c r="BI198" i="1"/>
  <c r="I35" i="503"/>
  <c r="I51" i="503"/>
  <c r="I33" i="503"/>
  <c r="I34" i="503"/>
  <c r="I75" i="503"/>
  <c r="I44" i="503"/>
  <c r="H131" i="503"/>
  <c r="F10" i="503"/>
  <c r="F10" i="504"/>
  <c r="I10" i="504"/>
  <c r="I10" i="503"/>
  <c r="BO252" i="1"/>
  <c r="BO256" i="1"/>
  <c r="BO257" i="1" s="1"/>
  <c r="BO263" i="1"/>
  <c r="Z30" i="198"/>
  <c r="AA30" i="198" s="1"/>
  <c r="BO148" i="1"/>
  <c r="BN93" i="1"/>
  <c r="BN92" i="1"/>
  <c r="I45" i="198"/>
  <c r="I47" i="198" s="1"/>
  <c r="F45" i="198"/>
  <c r="F47" i="198" s="1"/>
  <c r="K162" i="198"/>
  <c r="H45" i="198"/>
  <c r="K163" i="198"/>
  <c r="G45" i="198"/>
  <c r="C45" i="198"/>
  <c r="D46" i="198" s="1"/>
  <c r="E45" i="198"/>
  <c r="C52" i="198"/>
  <c r="C54" i="198" s="1"/>
  <c r="K151" i="198"/>
  <c r="K155" i="198" s="1"/>
  <c r="K154" i="198"/>
  <c r="E59" i="198"/>
  <c r="E62" i="198" s="1"/>
  <c r="E87" i="198" s="1"/>
  <c r="E131" i="198" s="1"/>
  <c r="E52" i="198"/>
  <c r="E54" i="198" s="1"/>
  <c r="C76" i="198"/>
  <c r="C59" i="198"/>
  <c r="C62" i="198" s="1"/>
  <c r="C67" i="198" s="1"/>
  <c r="C72" i="198" s="1"/>
  <c r="F52" i="198"/>
  <c r="F54" i="198" s="1"/>
  <c r="BJ51" i="1"/>
  <c r="BJ198" i="1"/>
  <c r="E76" i="198"/>
  <c r="F34" i="198"/>
  <c r="I35" i="198"/>
  <c r="E36" i="198"/>
  <c r="F35" i="198"/>
  <c r="AI1005" i="1"/>
  <c r="AI1007" i="1" s="1"/>
  <c r="AI54" i="1"/>
  <c r="AD25" i="1"/>
  <c r="AD54" i="1"/>
  <c r="AO1021" i="1"/>
  <c r="AP1035" i="1"/>
  <c r="AP1036" i="1" s="1"/>
  <c r="AP1019" i="1" s="1"/>
  <c r="H35" i="198"/>
  <c r="F67" i="198"/>
  <c r="F86" i="198" s="1"/>
  <c r="F36" i="198"/>
  <c r="H10" i="198"/>
  <c r="F10" i="198"/>
  <c r="H52" i="198"/>
  <c r="I53" i="198" s="1"/>
  <c r="H76" i="198"/>
  <c r="I10" i="198"/>
  <c r="AH1005" i="1"/>
  <c r="AH1007" i="1" s="1"/>
  <c r="AH25" i="1"/>
  <c r="E34" i="198"/>
  <c r="D52" i="198"/>
  <c r="D36" i="198"/>
  <c r="D34" i="198"/>
  <c r="H67" i="198"/>
  <c r="H86" i="198" s="1"/>
  <c r="V8" i="292" s="1"/>
  <c r="D59" i="198"/>
  <c r="D62" i="198" s="1"/>
  <c r="D67" i="198" s="1"/>
  <c r="D72" i="198" s="1"/>
  <c r="D35" i="198"/>
  <c r="F60" i="198"/>
  <c r="D76" i="198"/>
  <c r="G76" i="198"/>
  <c r="G35" i="198"/>
  <c r="H36" i="198"/>
  <c r="H34" i="198"/>
  <c r="G36" i="198"/>
  <c r="G34" i="198"/>
  <c r="G52" i="198"/>
  <c r="I60" i="198"/>
  <c r="AQ148" i="1"/>
  <c r="AQ252" i="1"/>
  <c r="BP251" i="1"/>
  <c r="BP252" i="1" s="1"/>
  <c r="AP187" i="1"/>
  <c r="AP270" i="1"/>
  <c r="AP271" i="1" s="1"/>
  <c r="I36" i="198"/>
  <c r="AP1042" i="1"/>
  <c r="AP1021" i="1" s="1"/>
  <c r="AQ1041" i="1"/>
  <c r="AQ1042" i="1" s="1"/>
  <c r="AQ1021" i="1" s="1"/>
  <c r="AQ1044" i="1"/>
  <c r="AQ1045" i="1" s="1"/>
  <c r="AQ1022" i="1" s="1"/>
  <c r="AP1045" i="1"/>
  <c r="AP1022" i="1" s="1"/>
  <c r="AQ1038" i="1"/>
  <c r="AQ1039" i="1" s="1"/>
  <c r="AQ1020" i="1" s="1"/>
  <c r="AP1039" i="1"/>
  <c r="AP1020" i="1" s="1"/>
  <c r="Z111" i="519"/>
  <c r="Z144" i="519" s="1"/>
  <c r="AA33" i="519" s="1"/>
  <c r="I34" i="198"/>
  <c r="I76" i="198"/>
  <c r="AH225" i="1"/>
  <c r="AE9" i="267"/>
  <c r="X11" i="313" s="1"/>
  <c r="X9" i="267"/>
  <c r="BN14" i="1"/>
  <c r="BN54" i="1" s="1"/>
  <c r="I18" i="523" s="1"/>
  <c r="AI225" i="1"/>
  <c r="AF9" i="267"/>
  <c r="Y11" i="313" s="1"/>
  <c r="Y9" i="267"/>
  <c r="BJ14" i="1"/>
  <c r="BJ54" i="1" s="1"/>
  <c r="E18" i="523" s="1"/>
  <c r="BJ174" i="1"/>
  <c r="BJ15" i="1" s="1"/>
  <c r="E10" i="523" s="1"/>
  <c r="Q9" i="267"/>
  <c r="Q11" i="313" s="1"/>
  <c r="K9" i="267"/>
  <c r="K11" i="313" s="1"/>
  <c r="Y102" i="1"/>
  <c r="AC102" i="1"/>
  <c r="AG116" i="1"/>
  <c r="P9" i="267"/>
  <c r="P11" i="313" s="1"/>
  <c r="V1005" i="1"/>
  <c r="J9" i="267"/>
  <c r="J11" i="313" s="1"/>
  <c r="BN864" i="1"/>
  <c r="BN867" i="1" s="1"/>
  <c r="BN115" i="1"/>
  <c r="BN121" i="1"/>
  <c r="T1055" i="1"/>
  <c r="S1059" i="1" s="1"/>
  <c r="BF88" i="298"/>
  <c r="BF89" i="298" s="1"/>
  <c r="L9" i="267"/>
  <c r="L11" i="313" s="1"/>
  <c r="BN224" i="1"/>
  <c r="T1005" i="1"/>
  <c r="T225" i="1"/>
  <c r="V1055" i="1"/>
  <c r="V1063" i="1" s="1"/>
  <c r="V225" i="1"/>
  <c r="U1055" i="1"/>
  <c r="T1059" i="1" s="1"/>
  <c r="AA1055" i="1"/>
  <c r="Z1059" i="1" s="1"/>
  <c r="AA1005" i="1"/>
  <c r="AA225" i="1"/>
  <c r="H63" i="198"/>
  <c r="BL14" i="1"/>
  <c r="N9" i="267"/>
  <c r="N11" i="313" s="1"/>
  <c r="X1055" i="1"/>
  <c r="X1005" i="1"/>
  <c r="X225" i="1"/>
  <c r="H87" i="198"/>
  <c r="V9" i="292" s="1"/>
  <c r="Y225" i="1"/>
  <c r="Z225" i="1"/>
  <c r="Z1055" i="1"/>
  <c r="Y1059" i="1" s="1"/>
  <c r="Z1005" i="1"/>
  <c r="I63" i="198"/>
  <c r="BK14" i="1"/>
  <c r="BK54" i="1" s="1"/>
  <c r="F18" i="523" s="1"/>
  <c r="G67" i="198"/>
  <c r="Z1036" i="1"/>
  <c r="Z1019" i="1" s="1"/>
  <c r="Z1039" i="1"/>
  <c r="Z1020" i="1" s="1"/>
  <c r="Z1042" i="1"/>
  <c r="Z1021" i="1" s="1"/>
  <c r="Z1045" i="1"/>
  <c r="Z1022" i="1" s="1"/>
  <c r="Z1048" i="1"/>
  <c r="Z1023" i="1" s="1"/>
  <c r="BO180" i="1"/>
  <c r="Y1005" i="1"/>
  <c r="Y1055" i="1"/>
  <c r="Z33" i="198"/>
  <c r="Z28" i="198"/>
  <c r="AA28" i="198" s="1"/>
  <c r="AA26" i="198" s="1"/>
  <c r="AA27" i="198" s="1"/>
  <c r="O9" i="267"/>
  <c r="O11" i="313" s="1"/>
  <c r="BM63" i="1"/>
  <c r="H16" i="198"/>
  <c r="H27" i="198" s="1"/>
  <c r="U225" i="1"/>
  <c r="U1005" i="1"/>
  <c r="AM187" i="1"/>
  <c r="G71" i="292"/>
  <c r="H70" i="292"/>
  <c r="G70" i="292"/>
  <c r="G63" i="3"/>
  <c r="G70" i="3" s="1"/>
  <c r="G97" i="3" s="1"/>
  <c r="U1033" i="1"/>
  <c r="U1032" i="1" s="1"/>
  <c r="M37" i="3"/>
  <c r="M55" i="3"/>
  <c r="M56" i="3" s="1"/>
  <c r="O9" i="3"/>
  <c r="N36" i="3"/>
  <c r="O999" i="1"/>
  <c r="O995" i="1"/>
  <c r="O1004" i="1" s="1"/>
  <c r="R1014" i="1"/>
  <c r="Q993" i="1"/>
  <c r="Q1002" i="1" s="1"/>
  <c r="Q991" i="1"/>
  <c r="Q1000" i="1" s="1"/>
  <c r="R1012" i="1"/>
  <c r="D122" i="292"/>
  <c r="E123" i="292"/>
  <c r="J14" i="292"/>
  <c r="K14" i="292" s="1"/>
  <c r="L14" i="292" s="1"/>
  <c r="M14" i="292" s="1"/>
  <c r="N14" i="292" s="1"/>
  <c r="O14" i="292" s="1"/>
  <c r="P14" i="292" s="1"/>
  <c r="Q14" i="292" s="1"/>
  <c r="R14" i="292" s="1"/>
  <c r="S14" i="292" s="1"/>
  <c r="I9" i="292"/>
  <c r="P990" i="1"/>
  <c r="Q1011" i="1"/>
  <c r="P1015" i="1"/>
  <c r="P994" i="1" s="1"/>
  <c r="P1003" i="1" s="1"/>
  <c r="G9" i="267"/>
  <c r="G11" i="313" s="1"/>
  <c r="Q1005" i="1"/>
  <c r="Q225" i="1"/>
  <c r="Q1055" i="1"/>
  <c r="AS58" i="468"/>
  <c r="AS35" i="468" s="1"/>
  <c r="AS40" i="468" s="1"/>
  <c r="AS98" i="468"/>
  <c r="AS45" i="468"/>
  <c r="BZ25" i="468"/>
  <c r="BY10" i="468"/>
  <c r="T9" i="267"/>
  <c r="T11" i="313" s="1"/>
  <c r="AD225" i="1"/>
  <c r="AD1005" i="1"/>
  <c r="AD1007" i="1" s="1"/>
  <c r="AD1055" i="1"/>
  <c r="BM14" i="1"/>
  <c r="J19" i="3"/>
  <c r="J51" i="3"/>
  <c r="J44" i="3"/>
  <c r="J32" i="3"/>
  <c r="J18" i="3"/>
  <c r="J65" i="3"/>
  <c r="J48" i="3" s="1"/>
  <c r="K17" i="3"/>
  <c r="S1013" i="1"/>
  <c r="R992" i="1"/>
  <c r="R1001" i="1" s="1"/>
  <c r="I67" i="198"/>
  <c r="BJ224" i="1"/>
  <c r="F87" i="198"/>
  <c r="F131" i="198" s="1"/>
  <c r="BO206" i="1"/>
  <c r="BO189" i="1"/>
  <c r="T1010" i="1"/>
  <c r="S989" i="1"/>
  <c r="F9" i="267"/>
  <c r="F11" i="313" s="1"/>
  <c r="P1055" i="1"/>
  <c r="P1005" i="1"/>
  <c r="P225" i="1"/>
  <c r="R46" i="292"/>
  <c r="I9" i="267"/>
  <c r="I11" i="313" s="1"/>
  <c r="S1055" i="1"/>
  <c r="S1005" i="1"/>
  <c r="S225" i="1"/>
  <c r="U142" i="1"/>
  <c r="U143" i="1" s="1"/>
  <c r="T143" i="1"/>
  <c r="I87" i="198"/>
  <c r="V1059" i="1"/>
  <c r="G63" i="198"/>
  <c r="G87" i="198"/>
  <c r="G131" i="198" s="1"/>
  <c r="I46" i="3"/>
  <c r="I45" i="3"/>
  <c r="I59" i="3"/>
  <c r="R998" i="1"/>
  <c r="H59" i="3"/>
  <c r="AT58" i="468"/>
  <c r="AT45" i="468"/>
  <c r="AT98" i="468"/>
  <c r="I34" i="3"/>
  <c r="I33" i="3"/>
  <c r="J98" i="51"/>
  <c r="BI14" i="1"/>
  <c r="BI15" i="1" s="1"/>
  <c r="D10" i="523" s="1"/>
  <c r="AU20" i="468"/>
  <c r="BF560" i="298"/>
  <c r="BF558" i="298"/>
  <c r="Q64" i="292"/>
  <c r="AN1024" i="1" l="1"/>
  <c r="AN1028" i="1" s="1"/>
  <c r="I45" i="503"/>
  <c r="I46" i="503"/>
  <c r="I53" i="504"/>
  <c r="I52" i="504"/>
  <c r="E18" i="503"/>
  <c r="E18" i="504"/>
  <c r="I53" i="503"/>
  <c r="I52" i="503"/>
  <c r="I46" i="504"/>
  <c r="I45" i="504"/>
  <c r="E10" i="503"/>
  <c r="E10" i="504"/>
  <c r="I18" i="503"/>
  <c r="I18" i="504"/>
  <c r="BO155" i="1"/>
  <c r="BO968" i="1"/>
  <c r="F18" i="504"/>
  <c r="F18" i="503"/>
  <c r="D10" i="503"/>
  <c r="D10" i="504"/>
  <c r="Z35" i="198"/>
  <c r="AA35" i="198" s="1"/>
  <c r="AA33" i="198" s="1"/>
  <c r="AA34" i="198" s="1"/>
  <c r="F46" i="198"/>
  <c r="F63" i="198"/>
  <c r="E132" i="198"/>
  <c r="H46" i="198"/>
  <c r="H47" i="198"/>
  <c r="G46" i="198"/>
  <c r="G47" i="198"/>
  <c r="E46" i="198"/>
  <c r="E47" i="198"/>
  <c r="I46" i="198"/>
  <c r="E67" i="198"/>
  <c r="E86" i="198" s="1"/>
  <c r="F53" i="198"/>
  <c r="E53" i="198"/>
  <c r="F72" i="198"/>
  <c r="G68" i="198"/>
  <c r="E19" i="198"/>
  <c r="I19" i="198"/>
  <c r="BI54" i="1"/>
  <c r="D18" i="523" s="1"/>
  <c r="BM54" i="1"/>
  <c r="H18" i="523" s="1"/>
  <c r="BL15" i="1"/>
  <c r="G10" i="523" s="1"/>
  <c r="BL54" i="1"/>
  <c r="G18" i="523" s="1"/>
  <c r="F19" i="198"/>
  <c r="AQ1035" i="1"/>
  <c r="AQ1036" i="1" s="1"/>
  <c r="AQ1019" i="1" s="1"/>
  <c r="H53" i="198"/>
  <c r="H54" i="198"/>
  <c r="D54" i="198"/>
  <c r="D53" i="198"/>
  <c r="H72" i="198"/>
  <c r="D10" i="198"/>
  <c r="D87" i="198"/>
  <c r="D131" i="198" s="1"/>
  <c r="D132" i="198" s="1"/>
  <c r="D63" i="198"/>
  <c r="E10" i="198"/>
  <c r="E63" i="198"/>
  <c r="G53" i="198"/>
  <c r="G54" i="198"/>
  <c r="AP273" i="1"/>
  <c r="AQ155" i="1"/>
  <c r="AQ180" i="1"/>
  <c r="BP148" i="1"/>
  <c r="BP155" i="1" s="1"/>
  <c r="AO1023" i="1"/>
  <c r="AO1024" i="1" s="1"/>
  <c r="AP1047" i="1"/>
  <c r="AA111" i="519"/>
  <c r="AA144" i="519" s="1"/>
  <c r="AB33" i="519" s="1"/>
  <c r="BN225" i="1"/>
  <c r="BJ225" i="1"/>
  <c r="BN116" i="1"/>
  <c r="AG102" i="1"/>
  <c r="H131" i="198"/>
  <c r="G132" i="198" s="1"/>
  <c r="U1063" i="1"/>
  <c r="Y1063" i="1"/>
  <c r="AE1063" i="1"/>
  <c r="AA1063" i="1"/>
  <c r="BL225" i="1"/>
  <c r="U1059" i="1"/>
  <c r="Z1063" i="1"/>
  <c r="H68" i="198"/>
  <c r="BK225" i="1"/>
  <c r="C86" i="198"/>
  <c r="C131" i="198" s="1"/>
  <c r="G71" i="3"/>
  <c r="G77" i="3" s="1"/>
  <c r="G72" i="198"/>
  <c r="G88" i="3"/>
  <c r="G86" i="198"/>
  <c r="AB1063" i="1"/>
  <c r="W1059" i="1"/>
  <c r="X1063" i="1"/>
  <c r="AC1063" i="1"/>
  <c r="X1059" i="1"/>
  <c r="Y1036" i="1"/>
  <c r="Y1019" i="1" s="1"/>
  <c r="Y1039" i="1"/>
  <c r="Y1020" i="1" s="1"/>
  <c r="Y1042" i="1"/>
  <c r="Y1021" i="1" s="1"/>
  <c r="Y1045" i="1"/>
  <c r="Y1022" i="1" s="1"/>
  <c r="Y1048" i="1"/>
  <c r="Y1023" i="1" s="1"/>
  <c r="D86" i="198"/>
  <c r="D68" i="198"/>
  <c r="BO204" i="1"/>
  <c r="BO187" i="1"/>
  <c r="T1033" i="1"/>
  <c r="T1032" i="1" s="1"/>
  <c r="BO270" i="1"/>
  <c r="BO265" i="1" s="1"/>
  <c r="AT59" i="468"/>
  <c r="AT34" i="468"/>
  <c r="AT36" i="468"/>
  <c r="S46" i="292"/>
  <c r="T989" i="1"/>
  <c r="U1010" i="1"/>
  <c r="AC1059" i="1"/>
  <c r="AD1063" i="1"/>
  <c r="BM225" i="1"/>
  <c r="BY45" i="468"/>
  <c r="BY61" i="468" s="1"/>
  <c r="BY58" i="468"/>
  <c r="BY59" i="468" s="1"/>
  <c r="BY60" i="468" s="1"/>
  <c r="BI225" i="1"/>
  <c r="F132" i="198"/>
  <c r="I68" i="198"/>
  <c r="I72" i="198"/>
  <c r="BF93" i="298" s="1"/>
  <c r="I86" i="198"/>
  <c r="V12" i="292" s="1"/>
  <c r="H60" i="3"/>
  <c r="H63" i="3"/>
  <c r="H70" i="3" s="1"/>
  <c r="AS50" i="468"/>
  <c r="AS61" i="468"/>
  <c r="AS49" i="468"/>
  <c r="AS51" i="468"/>
  <c r="AT55" i="468"/>
  <c r="AS55" i="468"/>
  <c r="P9" i="3"/>
  <c r="O36" i="3"/>
  <c r="S1063" i="1"/>
  <c r="R1059" i="1"/>
  <c r="S992" i="1"/>
  <c r="S1001" i="1" s="1"/>
  <c r="T1013" i="1"/>
  <c r="AS101" i="468"/>
  <c r="AS109" i="468"/>
  <c r="BZ99" i="468"/>
  <c r="BY98" i="468"/>
  <c r="BY109" i="468" s="1"/>
  <c r="BY110" i="468" s="1"/>
  <c r="N37" i="3"/>
  <c r="N55" i="3"/>
  <c r="N56" i="3" s="1"/>
  <c r="K19" i="3"/>
  <c r="K18" i="3"/>
  <c r="K32" i="3"/>
  <c r="K51" i="3"/>
  <c r="K44" i="3"/>
  <c r="K65" i="3"/>
  <c r="K48" i="3" s="1"/>
  <c r="L17" i="3"/>
  <c r="C107" i="292"/>
  <c r="C130" i="292" s="1"/>
  <c r="E108" i="292"/>
  <c r="E130" i="292" s="1"/>
  <c r="G110" i="292"/>
  <c r="H107" i="292"/>
  <c r="W8" i="292" s="1"/>
  <c r="H108" i="292"/>
  <c r="F107" i="292"/>
  <c r="G107" i="292"/>
  <c r="D108" i="292"/>
  <c r="D130" i="292" s="1"/>
  <c r="F108" i="292"/>
  <c r="F130" i="292" s="1"/>
  <c r="G108" i="292"/>
  <c r="G130" i="292" s="1"/>
  <c r="D107" i="292"/>
  <c r="H117" i="292"/>
  <c r="E107" i="292"/>
  <c r="D124" i="292"/>
  <c r="W1063" i="1"/>
  <c r="R991" i="1"/>
  <c r="R1000" i="1" s="1"/>
  <c r="S1012" i="1"/>
  <c r="I63" i="3"/>
  <c r="I70" i="3" s="1"/>
  <c r="I60" i="3"/>
  <c r="AS34" i="468"/>
  <c r="AS39" i="468" s="1"/>
  <c r="AS59" i="468"/>
  <c r="AS36" i="468"/>
  <c r="AS41" i="468" s="1"/>
  <c r="Q990" i="1"/>
  <c r="R1011" i="1"/>
  <c r="Q1015" i="1"/>
  <c r="Q994" i="1" s="1"/>
  <c r="Q1003" i="1" s="1"/>
  <c r="R64" i="292"/>
  <c r="P1063" i="1"/>
  <c r="T1063" i="1"/>
  <c r="J34" i="3"/>
  <c r="J33" i="3"/>
  <c r="P999" i="1"/>
  <c r="P995" i="1"/>
  <c r="P1004" i="1" s="1"/>
  <c r="J59" i="3"/>
  <c r="J45" i="3"/>
  <c r="J46" i="3"/>
  <c r="P1059" i="1"/>
  <c r="Q1063" i="1"/>
  <c r="J9" i="292"/>
  <c r="I19" i="292"/>
  <c r="I41" i="292"/>
  <c r="I82" i="292" s="1"/>
  <c r="I59" i="292"/>
  <c r="I83" i="292" s="1"/>
  <c r="I91" i="292"/>
  <c r="R993" i="1"/>
  <c r="R1002" i="1" s="1"/>
  <c r="S1014" i="1"/>
  <c r="AU58" i="468"/>
  <c r="AU45" i="468"/>
  <c r="AU98" i="468"/>
  <c r="BO483" i="1"/>
  <c r="BO491" i="1" s="1"/>
  <c r="BO499" i="1" s="1"/>
  <c r="AT35" i="468"/>
  <c r="AT40" i="468" s="1"/>
  <c r="S998" i="1"/>
  <c r="AT101" i="468"/>
  <c r="AT109" i="468"/>
  <c r="V13" i="292"/>
  <c r="I131" i="198"/>
  <c r="AT49" i="468"/>
  <c r="AT50" i="468"/>
  <c r="AT61" i="468"/>
  <c r="AT51" i="468"/>
  <c r="AV15" i="468" l="1"/>
  <c r="AV10" i="468" s="1"/>
  <c r="AN483" i="1" s="1"/>
  <c r="AN491" i="1" s="1"/>
  <c r="AN499" i="1" s="1"/>
  <c r="D18" i="503"/>
  <c r="D18" i="504"/>
  <c r="G18" i="503"/>
  <c r="G18" i="504"/>
  <c r="H18" i="503"/>
  <c r="H18" i="504"/>
  <c r="BO268" i="1"/>
  <c r="BO266" i="1"/>
  <c r="BO974" i="1"/>
  <c r="BO980" i="1" s="1"/>
  <c r="G10" i="503"/>
  <c r="G10" i="504"/>
  <c r="E68" i="198"/>
  <c r="F68" i="198"/>
  <c r="E72" i="198"/>
  <c r="G10" i="198"/>
  <c r="H19" i="198"/>
  <c r="D19" i="198"/>
  <c r="G19" i="198"/>
  <c r="AQ270" i="1"/>
  <c r="AQ187" i="1"/>
  <c r="BP180" i="1"/>
  <c r="AU55" i="468"/>
  <c r="AU35" i="468"/>
  <c r="AO1028" i="1"/>
  <c r="AW15" i="468"/>
  <c r="AW20" i="468" s="1"/>
  <c r="AP1048" i="1"/>
  <c r="AP1023" i="1" s="1"/>
  <c r="AP1024" i="1" s="1"/>
  <c r="AQ1047" i="1"/>
  <c r="AQ1048" i="1" s="1"/>
  <c r="AQ1023" i="1" s="1"/>
  <c r="AQ1024" i="1" s="1"/>
  <c r="AB111" i="519"/>
  <c r="AB144" i="519" s="1"/>
  <c r="AC33" i="519" s="1"/>
  <c r="BN102" i="1"/>
  <c r="H71" i="3"/>
  <c r="H78" i="3" s="1"/>
  <c r="G76" i="3"/>
  <c r="G75" i="3"/>
  <c r="G78" i="3"/>
  <c r="G72" i="3"/>
  <c r="X1036" i="1"/>
  <c r="X1019" i="1" s="1"/>
  <c r="X1039" i="1"/>
  <c r="X1020" i="1" s="1"/>
  <c r="X1042" i="1"/>
  <c r="X1021" i="1" s="1"/>
  <c r="X1045" i="1"/>
  <c r="X1022" i="1" s="1"/>
  <c r="X1048" i="1"/>
  <c r="X1023" i="1" s="1"/>
  <c r="BO273" i="1"/>
  <c r="BO271" i="1"/>
  <c r="S1033" i="1"/>
  <c r="S1032" i="1" s="1"/>
  <c r="E131" i="292"/>
  <c r="AT41" i="468"/>
  <c r="S64" i="292"/>
  <c r="BO485" i="1"/>
  <c r="BO493" i="1" s="1"/>
  <c r="BO501" i="1" s="1"/>
  <c r="AU109" i="468"/>
  <c r="AU101" i="468"/>
  <c r="J60" i="3"/>
  <c r="J63" i="3"/>
  <c r="J70" i="3" s="1"/>
  <c r="AU50" i="468"/>
  <c r="AU49" i="468"/>
  <c r="AU51" i="468"/>
  <c r="AU61" i="468"/>
  <c r="K9" i="292"/>
  <c r="J41" i="292"/>
  <c r="J82" i="292" s="1"/>
  <c r="J59" i="292"/>
  <c r="J83" i="292" s="1"/>
  <c r="J91" i="292"/>
  <c r="AU59" i="468"/>
  <c r="AU36" i="468"/>
  <c r="AU34" i="468"/>
  <c r="L44" i="3"/>
  <c r="L18" i="3"/>
  <c r="L19" i="3"/>
  <c r="L51" i="3"/>
  <c r="L32" i="3"/>
  <c r="L65" i="3"/>
  <c r="L48" i="3" s="1"/>
  <c r="M17" i="3"/>
  <c r="U989" i="1"/>
  <c r="V1010" i="1"/>
  <c r="T998" i="1"/>
  <c r="H132" i="198"/>
  <c r="K46" i="3"/>
  <c r="K45" i="3"/>
  <c r="K59" i="3"/>
  <c r="AS110" i="468"/>
  <c r="H97" i="3"/>
  <c r="H88" i="3"/>
  <c r="S993" i="1"/>
  <c r="S1002" i="1" s="1"/>
  <c r="T1014" i="1"/>
  <c r="T1012" i="1"/>
  <c r="S991" i="1"/>
  <c r="S1000" i="1" s="1"/>
  <c r="F131" i="292"/>
  <c r="W9" i="292"/>
  <c r="H130" i="292"/>
  <c r="O37" i="3"/>
  <c r="O55" i="3"/>
  <c r="O56" i="3" s="1"/>
  <c r="I88" i="3"/>
  <c r="I97" i="3"/>
  <c r="R990" i="1"/>
  <c r="S1011" i="1"/>
  <c r="R1015" i="1"/>
  <c r="R994" i="1" s="1"/>
  <c r="R1003" i="1" s="1"/>
  <c r="Q999" i="1"/>
  <c r="Q995" i="1"/>
  <c r="Q1004" i="1" s="1"/>
  <c r="D131" i="292"/>
  <c r="K34" i="3"/>
  <c r="K33" i="3"/>
  <c r="T992" i="1"/>
  <c r="T1001" i="1" s="1"/>
  <c r="U1013" i="1"/>
  <c r="Q9" i="3"/>
  <c r="P36" i="3"/>
  <c r="AT110" i="468"/>
  <c r="AG93" i="298"/>
  <c r="AG94" i="298" s="1"/>
  <c r="AH93" i="298"/>
  <c r="AH94" i="298" s="1"/>
  <c r="AH97" i="298" s="1"/>
  <c r="AI93" i="298"/>
  <c r="AI94" i="298" s="1"/>
  <c r="AI97" i="298" s="1"/>
  <c r="AT39" i="468"/>
  <c r="J19" i="292"/>
  <c r="I51" i="292"/>
  <c r="I24" i="292"/>
  <c r="I29" i="292"/>
  <c r="E124" i="292"/>
  <c r="H106" i="292"/>
  <c r="W7" i="292" s="1"/>
  <c r="AV98" i="468" l="1"/>
  <c r="AV101" i="468" s="1"/>
  <c r="AV58" i="468"/>
  <c r="AV35" i="468" s="1"/>
  <c r="AV40" i="468" s="1"/>
  <c r="AV20" i="468"/>
  <c r="AN485" i="1"/>
  <c r="AN493" i="1" s="1"/>
  <c r="AN501" i="1" s="1"/>
  <c r="BP187" i="1"/>
  <c r="BP204" i="1"/>
  <c r="AQ273" i="1"/>
  <c r="AQ271" i="1"/>
  <c r="BP270" i="1"/>
  <c r="AV45" i="468"/>
  <c r="AV55" i="468" s="1"/>
  <c r="AW10" i="468"/>
  <c r="AU40" i="468"/>
  <c r="AU41" i="468"/>
  <c r="AU39" i="468"/>
  <c r="AP1028" i="1"/>
  <c r="AX15" i="468"/>
  <c r="AX20" i="468" s="1"/>
  <c r="AQ1028" i="1"/>
  <c r="AY15" i="468"/>
  <c r="AY20" i="468" s="1"/>
  <c r="AC111" i="519"/>
  <c r="AC144" i="519" s="1"/>
  <c r="AD33" i="519" s="1"/>
  <c r="H76" i="3"/>
  <c r="H75" i="3"/>
  <c r="H77" i="3"/>
  <c r="I71" i="3"/>
  <c r="I72" i="3" s="1"/>
  <c r="H72" i="3"/>
  <c r="W1036" i="1"/>
  <c r="W1019" i="1" s="1"/>
  <c r="W1039" i="1"/>
  <c r="W1020" i="1" s="1"/>
  <c r="W1042" i="1"/>
  <c r="W1021" i="1" s="1"/>
  <c r="W1045" i="1"/>
  <c r="W1022" i="1" s="1"/>
  <c r="W1048" i="1"/>
  <c r="W1023" i="1" s="1"/>
  <c r="R1033" i="1"/>
  <c r="R1032" i="1" s="1"/>
  <c r="T991" i="1"/>
  <c r="T1000" i="1" s="1"/>
  <c r="U1012" i="1"/>
  <c r="W1010" i="1"/>
  <c r="V989" i="1"/>
  <c r="Q36" i="3"/>
  <c r="T993" i="1"/>
  <c r="T1002" i="1" s="1"/>
  <c r="U1014" i="1"/>
  <c r="U998" i="1"/>
  <c r="L45" i="3"/>
  <c r="L46" i="3"/>
  <c r="L59" i="3"/>
  <c r="AG108" i="298"/>
  <c r="AG97" i="298"/>
  <c r="BF97" i="298" s="1"/>
  <c r="BF94" i="298"/>
  <c r="S990" i="1"/>
  <c r="T1011" i="1"/>
  <c r="S1015" i="1"/>
  <c r="S994" i="1" s="1"/>
  <c r="S1003" i="1" s="1"/>
  <c r="L9" i="292"/>
  <c r="K41" i="292"/>
  <c r="K82" i="292" s="1"/>
  <c r="K59" i="292"/>
  <c r="K83" i="292" s="1"/>
  <c r="K91" i="292"/>
  <c r="I97" i="292"/>
  <c r="I76" i="292"/>
  <c r="I79" i="292" s="1"/>
  <c r="I52" i="292"/>
  <c r="I69" i="292"/>
  <c r="I54" i="292"/>
  <c r="I53" i="292"/>
  <c r="R999" i="1"/>
  <c r="R995" i="1"/>
  <c r="R1004" i="1" s="1"/>
  <c r="J88" i="3"/>
  <c r="J97" i="3"/>
  <c r="J29" i="292"/>
  <c r="J24" i="292"/>
  <c r="J51" i="292"/>
  <c r="K19" i="292"/>
  <c r="K63" i="3"/>
  <c r="K70" i="3" s="1"/>
  <c r="K60" i="3"/>
  <c r="M19" i="3"/>
  <c r="M44" i="3"/>
  <c r="M18" i="3"/>
  <c r="M51" i="3"/>
  <c r="M32" i="3"/>
  <c r="M65" i="3"/>
  <c r="M48" i="3" s="1"/>
  <c r="N17" i="3"/>
  <c r="P37" i="3"/>
  <c r="P55" i="3"/>
  <c r="P56" i="3" s="1"/>
  <c r="L33" i="3"/>
  <c r="L34" i="3"/>
  <c r="AU110" i="468"/>
  <c r="G131" i="292"/>
  <c r="U992" i="1"/>
  <c r="U1001" i="1" s="1"/>
  <c r="V1013" i="1"/>
  <c r="AV59" i="468" l="1"/>
  <c r="AV36" i="468"/>
  <c r="AV41" i="468" s="1"/>
  <c r="AV34" i="468"/>
  <c r="AV39" i="468" s="1"/>
  <c r="AZ59" i="468"/>
  <c r="AV109" i="468"/>
  <c r="AV110" i="468" s="1"/>
  <c r="CA25" i="468"/>
  <c r="BP273" i="1"/>
  <c r="BP271" i="1"/>
  <c r="AW58" i="468"/>
  <c r="AW35" i="468" s="1"/>
  <c r="AW40" i="468" s="1"/>
  <c r="AO483" i="1"/>
  <c r="AV49" i="468"/>
  <c r="AV50" i="468"/>
  <c r="AV61" i="468"/>
  <c r="AV51" i="468"/>
  <c r="AW45" i="468"/>
  <c r="AW50" i="468" s="1"/>
  <c r="BZ10" i="468"/>
  <c r="BZ58" i="468" s="1"/>
  <c r="BZ59" i="468" s="1"/>
  <c r="BZ60" i="468" s="1"/>
  <c r="AW98" i="468"/>
  <c r="CA99" i="468" s="1"/>
  <c r="AX10" i="468"/>
  <c r="AY10" i="468"/>
  <c r="AD111" i="519"/>
  <c r="AD144" i="519" s="1"/>
  <c r="AE33" i="519" s="1"/>
  <c r="I75" i="3"/>
  <c r="I76" i="3"/>
  <c r="I78" i="3"/>
  <c r="I77" i="3"/>
  <c r="J71" i="3"/>
  <c r="J75" i="3" s="1"/>
  <c r="V1036" i="1"/>
  <c r="V1019" i="1" s="1"/>
  <c r="V1039" i="1"/>
  <c r="V1020" i="1" s="1"/>
  <c r="V1042" i="1"/>
  <c r="V1021" i="1" s="1"/>
  <c r="V1045" i="1"/>
  <c r="V1022" i="1" s="1"/>
  <c r="V1048" i="1"/>
  <c r="V1023" i="1" s="1"/>
  <c r="Q1033" i="1"/>
  <c r="Q1032" i="1" s="1"/>
  <c r="Q37" i="3"/>
  <c r="Q55" i="3"/>
  <c r="Q56" i="3" s="1"/>
  <c r="N19" i="3"/>
  <c r="N32" i="3"/>
  <c r="N44" i="3"/>
  <c r="N18" i="3"/>
  <c r="N51" i="3"/>
  <c r="N65" i="3"/>
  <c r="N48" i="3" s="1"/>
  <c r="O17" i="3"/>
  <c r="M33" i="3"/>
  <c r="M34" i="3"/>
  <c r="AN487" i="1"/>
  <c r="M9" i="292"/>
  <c r="L41" i="292"/>
  <c r="L82" i="292" s="1"/>
  <c r="L91" i="292"/>
  <c r="L59" i="292"/>
  <c r="L83" i="292" s="1"/>
  <c r="X1010" i="1"/>
  <c r="W989" i="1"/>
  <c r="T990" i="1"/>
  <c r="U1011" i="1"/>
  <c r="T1015" i="1"/>
  <c r="T994" i="1" s="1"/>
  <c r="T1003" i="1" s="1"/>
  <c r="S999" i="1"/>
  <c r="S995" i="1"/>
  <c r="S1004" i="1" s="1"/>
  <c r="M45" i="3"/>
  <c r="M59" i="3"/>
  <c r="M46" i="3"/>
  <c r="U993" i="1"/>
  <c r="U1002" i="1" s="1"/>
  <c r="V1014" i="1"/>
  <c r="K97" i="3"/>
  <c r="V992" i="1"/>
  <c r="V1001" i="1" s="1"/>
  <c r="W1013" i="1"/>
  <c r="I70" i="292"/>
  <c r="I71" i="292"/>
  <c r="K51" i="292"/>
  <c r="K29" i="292"/>
  <c r="K24" i="292"/>
  <c r="L19" i="292"/>
  <c r="J53" i="292"/>
  <c r="J54" i="292"/>
  <c r="J52" i="292"/>
  <c r="J69" i="292"/>
  <c r="J97" i="292"/>
  <c r="J76" i="292"/>
  <c r="J79" i="292" s="1"/>
  <c r="I80" i="292"/>
  <c r="I84" i="292"/>
  <c r="AH108" i="298"/>
  <c r="AG109" i="298"/>
  <c r="L60" i="3"/>
  <c r="L63" i="3"/>
  <c r="L70" i="3" s="1"/>
  <c r="L97" i="3" s="1"/>
  <c r="K86" i="3"/>
  <c r="K88" i="3" s="1"/>
  <c r="D90" i="3" s="1"/>
  <c r="U991" i="1"/>
  <c r="U1000" i="1" s="1"/>
  <c r="V1012" i="1"/>
  <c r="V998" i="1"/>
  <c r="AZ60" i="468" l="1"/>
  <c r="BD60" i="468"/>
  <c r="AZ110" i="468"/>
  <c r="AP483" i="1"/>
  <c r="AQ483" i="1"/>
  <c r="AQ485" i="1" s="1"/>
  <c r="AW34" i="468"/>
  <c r="AW39" i="468" s="1"/>
  <c r="AW55" i="468"/>
  <c r="AW49" i="468"/>
  <c r="AW61" i="468"/>
  <c r="AW51" i="468"/>
  <c r="BZ45" i="468"/>
  <c r="BZ61" i="468" s="1"/>
  <c r="K71" i="3"/>
  <c r="K75" i="3" s="1"/>
  <c r="J78" i="3"/>
  <c r="J72" i="3"/>
  <c r="AX45" i="468"/>
  <c r="AX55" i="468" s="1"/>
  <c r="AX58" i="468"/>
  <c r="AX35" i="468" s="1"/>
  <c r="AX40" i="468" s="1"/>
  <c r="AX98" i="468"/>
  <c r="AX101" i="468" s="1"/>
  <c r="CB25" i="468"/>
  <c r="AY45" i="468"/>
  <c r="BA59" i="468"/>
  <c r="BE60" i="468" s="1"/>
  <c r="AY58" i="468"/>
  <c r="AY34" i="468" s="1"/>
  <c r="CA10" i="468"/>
  <c r="CA58" i="468" s="1"/>
  <c r="AW36" i="468"/>
  <c r="AW41" i="468" s="1"/>
  <c r="AY98" i="468"/>
  <c r="AW59" i="468"/>
  <c r="AZ45" i="468"/>
  <c r="AZ61" i="468" s="1"/>
  <c r="AN495" i="1"/>
  <c r="AN503" i="1" s="1"/>
  <c r="AN488" i="1"/>
  <c r="AN449" i="1" s="1"/>
  <c r="AO491" i="1"/>
  <c r="AO499" i="1" s="1"/>
  <c r="AO485" i="1"/>
  <c r="AW109" i="468"/>
  <c r="AW110" i="468" s="1"/>
  <c r="AW101" i="468"/>
  <c r="BZ98" i="468"/>
  <c r="BZ109" i="468" s="1"/>
  <c r="BZ110" i="468" s="1"/>
  <c r="AE111" i="519"/>
  <c r="AE144" i="519" s="1"/>
  <c r="AF33" i="519" s="1"/>
  <c r="J77" i="3"/>
  <c r="J76" i="3"/>
  <c r="U1036" i="1"/>
  <c r="U1019" i="1" s="1"/>
  <c r="U1039" i="1"/>
  <c r="U1020" i="1" s="1"/>
  <c r="U1042" i="1"/>
  <c r="U1021" i="1" s="1"/>
  <c r="U1045" i="1"/>
  <c r="U1022" i="1" s="1"/>
  <c r="U1048" i="1"/>
  <c r="U1023" i="1" s="1"/>
  <c r="P1033" i="1"/>
  <c r="P1032" i="1" s="1"/>
  <c r="AL156" i="1"/>
  <c r="BO487" i="1"/>
  <c r="BO495" i="1" s="1"/>
  <c r="BO503" i="1" s="1"/>
  <c r="U990" i="1"/>
  <c r="V1011" i="1"/>
  <c r="U1015" i="1"/>
  <c r="U994" i="1" s="1"/>
  <c r="U1003" i="1" s="1"/>
  <c r="N9" i="292"/>
  <c r="M91" i="292"/>
  <c r="M41" i="292"/>
  <c r="M82" i="292" s="1"/>
  <c r="M59" i="292"/>
  <c r="M83" i="292" s="1"/>
  <c r="J80" i="292"/>
  <c r="J84" i="292"/>
  <c r="T999" i="1"/>
  <c r="T995" i="1"/>
  <c r="T1004" i="1" s="1"/>
  <c r="V991" i="1"/>
  <c r="V1000" i="1" s="1"/>
  <c r="W1012" i="1"/>
  <c r="AK156" i="1"/>
  <c r="AK152" i="1"/>
  <c r="AK215" i="1" s="1"/>
  <c r="O19" i="3"/>
  <c r="O32" i="3"/>
  <c r="O44" i="3"/>
  <c r="O18" i="3"/>
  <c r="O51" i="3"/>
  <c r="O65" i="3"/>
  <c r="P17" i="3"/>
  <c r="W998" i="1"/>
  <c r="J70" i="292"/>
  <c r="J71" i="292"/>
  <c r="X1013" i="1"/>
  <c r="W992" i="1"/>
  <c r="W1001" i="1" s="1"/>
  <c r="V993" i="1"/>
  <c r="V1002" i="1" s="1"/>
  <c r="W1014" i="1"/>
  <c r="Y1010" i="1"/>
  <c r="X989" i="1"/>
  <c r="M19" i="292"/>
  <c r="L29" i="292"/>
  <c r="L51" i="292"/>
  <c r="L24" i="292"/>
  <c r="N46" i="3"/>
  <c r="N59" i="3"/>
  <c r="N45" i="3"/>
  <c r="N34" i="3"/>
  <c r="N33" i="3"/>
  <c r="AI108" i="298"/>
  <c r="AH109" i="298"/>
  <c r="L88" i="3"/>
  <c r="L89" i="3" s="1"/>
  <c r="M63" i="3"/>
  <c r="M70" i="3" s="1"/>
  <c r="M97" i="3" s="1"/>
  <c r="M60" i="3"/>
  <c r="K52" i="292"/>
  <c r="K53" i="292"/>
  <c r="K76" i="292"/>
  <c r="K79" i="292" s="1"/>
  <c r="K69" i="292"/>
  <c r="K54" i="292"/>
  <c r="K97" i="292"/>
  <c r="I92" i="292"/>
  <c r="I100" i="292" s="1"/>
  <c r="I85" i="292"/>
  <c r="AN450" i="1" l="1"/>
  <c r="AQ491" i="1"/>
  <c r="AQ499" i="1" s="1"/>
  <c r="BP483" i="1"/>
  <c r="BP491" i="1" s="1"/>
  <c r="BP499" i="1" s="1"/>
  <c r="AP491" i="1"/>
  <c r="AP499" i="1" s="1"/>
  <c r="AP485" i="1"/>
  <c r="BP485" i="1" s="1"/>
  <c r="BP493" i="1" s="1"/>
  <c r="BP501" i="1" s="1"/>
  <c r="K78" i="3"/>
  <c r="L71" i="3"/>
  <c r="L77" i="3" s="1"/>
  <c r="K77" i="3"/>
  <c r="K72" i="3"/>
  <c r="CB99" i="468"/>
  <c r="K76" i="3"/>
  <c r="AY55" i="468"/>
  <c r="AY50" i="468"/>
  <c r="BA60" i="468"/>
  <c r="AY51" i="468"/>
  <c r="AY61" i="468"/>
  <c r="AX50" i="468"/>
  <c r="AX61" i="468"/>
  <c r="AX49" i="468"/>
  <c r="AX51" i="468"/>
  <c r="BB59" i="468"/>
  <c r="AX59" i="468"/>
  <c r="AX36" i="468"/>
  <c r="AX41" i="468" s="1"/>
  <c r="AY35" i="468"/>
  <c r="AY40" i="468" s="1"/>
  <c r="AX34" i="468"/>
  <c r="AX39" i="468" s="1"/>
  <c r="AY36" i="468"/>
  <c r="AY49" i="468"/>
  <c r="AX109" i="468"/>
  <c r="BB110" i="468" s="1"/>
  <c r="AY59" i="468"/>
  <c r="BC59" i="468"/>
  <c r="CA45" i="468"/>
  <c r="CA61" i="468" s="1"/>
  <c r="CB45" i="468"/>
  <c r="CB61" i="468" s="1"/>
  <c r="BA110" i="468"/>
  <c r="AY109" i="468"/>
  <c r="BC110" i="468" s="1"/>
  <c r="AY101" i="468"/>
  <c r="CA98" i="468"/>
  <c r="CA109" i="468" s="1"/>
  <c r="CB110" i="468" s="1"/>
  <c r="AN496" i="1"/>
  <c r="AN504" i="1" s="1"/>
  <c r="AN149" i="1"/>
  <c r="AQ493" i="1"/>
  <c r="AQ501" i="1" s="1"/>
  <c r="AO493" i="1"/>
  <c r="AO501" i="1" s="1"/>
  <c r="AO487" i="1"/>
  <c r="CB59" i="468"/>
  <c r="CA59" i="468"/>
  <c r="AF111" i="519"/>
  <c r="AF144" i="519" s="1"/>
  <c r="AG33" i="519" s="1"/>
  <c r="AG111" i="519" s="1"/>
  <c r="AG144" i="519" s="1"/>
  <c r="AK214" i="1"/>
  <c r="AK220" i="1"/>
  <c r="AK12" i="1"/>
  <c r="AC51" i="523" s="1"/>
  <c r="AC52" i="523" s="1"/>
  <c r="U1024" i="1"/>
  <c r="U1028" i="1" s="1"/>
  <c r="U1029" i="1" s="1"/>
  <c r="U1030" i="1" s="1"/>
  <c r="U1006" i="1" s="1"/>
  <c r="U1007" i="1" s="1"/>
  <c r="T1036" i="1"/>
  <c r="T1019" i="1" s="1"/>
  <c r="T1039" i="1"/>
  <c r="T1020" i="1" s="1"/>
  <c r="T1042" i="1"/>
  <c r="T1021" i="1" s="1"/>
  <c r="T1045" i="1"/>
  <c r="T1022" i="1" s="1"/>
  <c r="T1048" i="1"/>
  <c r="T1023" i="1" s="1"/>
  <c r="O1033" i="1"/>
  <c r="O1032" i="1" s="1"/>
  <c r="AL152" i="1"/>
  <c r="AL215" i="1" s="1"/>
  <c r="BO488" i="1"/>
  <c r="BO496" i="1" s="1"/>
  <c r="BO504" i="1" s="1"/>
  <c r="X1014" i="1"/>
  <c r="W993" i="1"/>
  <c r="W1002" i="1" s="1"/>
  <c r="O46" i="3"/>
  <c r="O45" i="3"/>
  <c r="X998" i="1"/>
  <c r="AB998" i="1"/>
  <c r="K70" i="292"/>
  <c r="K71" i="292"/>
  <c r="O34" i="3"/>
  <c r="O33" i="3"/>
  <c r="Y1013" i="1"/>
  <c r="X992" i="1"/>
  <c r="J85" i="292"/>
  <c r="J92" i="292"/>
  <c r="J100" i="292" s="1"/>
  <c r="L53" i="292"/>
  <c r="L76" i="292"/>
  <c r="L79" i="292" s="1"/>
  <c r="L52" i="292"/>
  <c r="L69" i="292"/>
  <c r="L54" i="292"/>
  <c r="L97" i="292"/>
  <c r="K80" i="292"/>
  <c r="K84" i="292"/>
  <c r="X1012" i="1"/>
  <c r="W991" i="1"/>
  <c r="W1000" i="1" s="1"/>
  <c r="N63" i="3"/>
  <c r="N70" i="3" s="1"/>
  <c r="N97" i="3" s="1"/>
  <c r="N60" i="3"/>
  <c r="M29" i="292"/>
  <c r="N19" i="292"/>
  <c r="M51" i="292"/>
  <c r="M24" i="292"/>
  <c r="O48" i="3"/>
  <c r="O59" i="3" s="1"/>
  <c r="AK159" i="1"/>
  <c r="I117" i="292"/>
  <c r="I101" i="292"/>
  <c r="I103" i="292"/>
  <c r="O9" i="292"/>
  <c r="N91" i="292"/>
  <c r="N41" i="292"/>
  <c r="N82" i="292" s="1"/>
  <c r="N59" i="292"/>
  <c r="N83" i="292" s="1"/>
  <c r="Z1010" i="1"/>
  <c r="Y989" i="1"/>
  <c r="V990" i="1"/>
  <c r="W1011" i="1"/>
  <c r="V1015" i="1"/>
  <c r="V994" i="1" s="1"/>
  <c r="V1003" i="1" s="1"/>
  <c r="P32" i="3"/>
  <c r="P19" i="3"/>
  <c r="P44" i="3"/>
  <c r="P51" i="3"/>
  <c r="P18" i="3"/>
  <c r="P65" i="3"/>
  <c r="Q17" i="3"/>
  <c r="U999" i="1"/>
  <c r="U995" i="1"/>
  <c r="U1004" i="1" s="1"/>
  <c r="BF108" i="298"/>
  <c r="BF109" i="298" s="1"/>
  <c r="AI109" i="298"/>
  <c r="AK219" i="1" l="1"/>
  <c r="AK99" i="1"/>
  <c r="BT12" i="1"/>
  <c r="BT13" i="1" s="1"/>
  <c r="AP493" i="1"/>
  <c r="AP501" i="1" s="1"/>
  <c r="L76" i="3"/>
  <c r="L78" i="3"/>
  <c r="L72" i="3"/>
  <c r="M71" i="3"/>
  <c r="M75" i="3" s="1"/>
  <c r="L75" i="3"/>
  <c r="AL220" i="1"/>
  <c r="AL214" i="1"/>
  <c r="AL219" i="1" s="1"/>
  <c r="BC60" i="468"/>
  <c r="AX110" i="468"/>
  <c r="AY41" i="468"/>
  <c r="BB60" i="468"/>
  <c r="BF60" i="468"/>
  <c r="BG60" i="468"/>
  <c r="CA110" i="468"/>
  <c r="AY39" i="468"/>
  <c r="AY110" i="468"/>
  <c r="AN181" i="1"/>
  <c r="AP487" i="1"/>
  <c r="AO495" i="1"/>
  <c r="AO503" i="1" s="1"/>
  <c r="AO488" i="1"/>
  <c r="AO449" i="1" s="1"/>
  <c r="CB60" i="468"/>
  <c r="CA60" i="468"/>
  <c r="AK678" i="1"/>
  <c r="AK696" i="1" s="1"/>
  <c r="AA7" i="267"/>
  <c r="AA8" i="267" s="1"/>
  <c r="AK43" i="1"/>
  <c r="AK46" i="1"/>
  <c r="AK45" i="1"/>
  <c r="AK44" i="1"/>
  <c r="AK878" i="1"/>
  <c r="AK877" i="1"/>
  <c r="AK876" i="1"/>
  <c r="AL159" i="1"/>
  <c r="AL12" i="1"/>
  <c r="V1024" i="1"/>
  <c r="V1028" i="1" s="1"/>
  <c r="V1029" i="1" s="1"/>
  <c r="V1030" i="1" s="1"/>
  <c r="V1006" i="1" s="1"/>
  <c r="V1007" i="1" s="1"/>
  <c r="S1036" i="1"/>
  <c r="S1019" i="1" s="1"/>
  <c r="S1039" i="1"/>
  <c r="S1020" i="1" s="1"/>
  <c r="S1042" i="1"/>
  <c r="S1021" i="1" s="1"/>
  <c r="S1045" i="1"/>
  <c r="S1022" i="1" s="1"/>
  <c r="S1048" i="1"/>
  <c r="S1023" i="1" s="1"/>
  <c r="N1033" i="1"/>
  <c r="N1032" i="1" s="1"/>
  <c r="T1024" i="1"/>
  <c r="T1028" i="1" s="1"/>
  <c r="T1029" i="1" s="1"/>
  <c r="T1030" i="1" s="1"/>
  <c r="T1006" i="1" s="1"/>
  <c r="T1007" i="1" s="1"/>
  <c r="O60" i="3"/>
  <c r="O63" i="3"/>
  <c r="O70" i="3" s="1"/>
  <c r="O97" i="3" s="1"/>
  <c r="P34" i="3"/>
  <c r="P33" i="3"/>
  <c r="X1011" i="1"/>
  <c r="W990" i="1"/>
  <c r="W1015" i="1"/>
  <c r="W994" i="1" s="1"/>
  <c r="W1003" i="1" s="1"/>
  <c r="L80" i="292"/>
  <c r="L84" i="292"/>
  <c r="V999" i="1"/>
  <c r="V995" i="1"/>
  <c r="V1004" i="1" s="1"/>
  <c r="M53" i="292"/>
  <c r="M54" i="292"/>
  <c r="M76" i="292"/>
  <c r="M79" i="292" s="1"/>
  <c r="M52" i="292"/>
  <c r="M69" i="292"/>
  <c r="M97" i="292"/>
  <c r="L70" i="292"/>
  <c r="L71" i="292"/>
  <c r="P9" i="292"/>
  <c r="O91" i="292"/>
  <c r="O41" i="292"/>
  <c r="O82" i="292" s="1"/>
  <c r="O59" i="292"/>
  <c r="O83" i="292" s="1"/>
  <c r="N51" i="292"/>
  <c r="N29" i="292"/>
  <c r="O19" i="292"/>
  <c r="N24" i="292"/>
  <c r="Y1012" i="1"/>
  <c r="X991" i="1"/>
  <c r="I104" i="292"/>
  <c r="I108" i="292"/>
  <c r="I107" i="292"/>
  <c r="W12" i="292" s="1"/>
  <c r="I106" i="292"/>
  <c r="W11" i="292" s="1"/>
  <c r="K92" i="292"/>
  <c r="K100" i="292" s="1"/>
  <c r="K85" i="292"/>
  <c r="Q19" i="3"/>
  <c r="Q44" i="3"/>
  <c r="Q32" i="3"/>
  <c r="Q51" i="3"/>
  <c r="Q18" i="3"/>
  <c r="Q65" i="3"/>
  <c r="Q48" i="3" s="1"/>
  <c r="J117" i="292"/>
  <c r="J101" i="292"/>
  <c r="J103" i="292"/>
  <c r="X993" i="1"/>
  <c r="Y1014" i="1"/>
  <c r="Y998" i="1"/>
  <c r="AC998" i="1"/>
  <c r="AB1001" i="1"/>
  <c r="X1001" i="1"/>
  <c r="Z989" i="1"/>
  <c r="AA1010" i="1"/>
  <c r="E9" i="276"/>
  <c r="AK13" i="1"/>
  <c r="AK19" i="1"/>
  <c r="AK1027" i="1"/>
  <c r="AK1029" i="1" s="1"/>
  <c r="AK1030" i="1" s="1"/>
  <c r="AK1006" i="1" s="1"/>
  <c r="AK990" i="1"/>
  <c r="AK999" i="1" s="1"/>
  <c r="AK732" i="1"/>
  <c r="AK993" i="1"/>
  <c r="AK1002" i="1" s="1"/>
  <c r="AK992" i="1"/>
  <c r="AK1001" i="1" s="1"/>
  <c r="AK989" i="1"/>
  <c r="AK994" i="1"/>
  <c r="AK1003" i="1" s="1"/>
  <c r="AK991" i="1"/>
  <c r="AK1000" i="1" s="1"/>
  <c r="BO1055" i="1"/>
  <c r="BO1056" i="1" s="1"/>
  <c r="AC52" i="198"/>
  <c r="AC53" i="198" s="1"/>
  <c r="Y992" i="1"/>
  <c r="Z1013" i="1"/>
  <c r="P46" i="3"/>
  <c r="P45" i="3"/>
  <c r="P48" i="3"/>
  <c r="P59" i="3" s="1"/>
  <c r="AO450" i="1" l="1"/>
  <c r="AN463" i="1"/>
  <c r="AN466" i="1" s="1"/>
  <c r="M77" i="3"/>
  <c r="M78" i="3"/>
  <c r="M72" i="3"/>
  <c r="N71" i="3"/>
  <c r="N76" i="3" s="1"/>
  <c r="M76" i="3"/>
  <c r="AB7" i="267"/>
  <c r="AB8" i="267" s="1"/>
  <c r="E8" i="276"/>
  <c r="F8" i="276" s="1"/>
  <c r="AL44" i="1"/>
  <c r="AL45" i="1"/>
  <c r="AL678" i="1"/>
  <c r="AL99" i="1"/>
  <c r="AL43" i="1"/>
  <c r="AL46" i="1"/>
  <c r="AL732" i="1"/>
  <c r="AL737" i="1" s="1"/>
  <c r="AL878" i="1"/>
  <c r="AL876" i="1"/>
  <c r="AL877" i="1"/>
  <c r="AN156" i="1"/>
  <c r="AN188" i="1"/>
  <c r="AO496" i="1"/>
  <c r="AO504" i="1" s="1"/>
  <c r="AQ487" i="1"/>
  <c r="BP487" i="1" s="1"/>
  <c r="BP495" i="1" s="1"/>
  <c r="BP503" i="1" s="1"/>
  <c r="AP495" i="1"/>
  <c r="AP503" i="1" s="1"/>
  <c r="AP488" i="1"/>
  <c r="AP449" i="1" s="1"/>
  <c r="AP450" i="1" s="1"/>
  <c r="AK697" i="1"/>
  <c r="AK698" i="1"/>
  <c r="AK699" i="1"/>
  <c r="AK693" i="1"/>
  <c r="AK690" i="1"/>
  <c r="AK694" i="1"/>
  <c r="AK695" i="1"/>
  <c r="AK677" i="1"/>
  <c r="AK701" i="1" s="1"/>
  <c r="AK700" i="1"/>
  <c r="AK702" i="1"/>
  <c r="AL993" i="1"/>
  <c r="AK737" i="1"/>
  <c r="AK746" i="1"/>
  <c r="R1036" i="1"/>
  <c r="R1019" i="1" s="1"/>
  <c r="R1039" i="1"/>
  <c r="R1020" i="1" s="1"/>
  <c r="R1042" i="1"/>
  <c r="R1021" i="1" s="1"/>
  <c r="R1045" i="1"/>
  <c r="R1022" i="1" s="1"/>
  <c r="R1048" i="1"/>
  <c r="R1023" i="1" s="1"/>
  <c r="W1024" i="1"/>
  <c r="W1028" i="1" s="1"/>
  <c r="W1029" i="1" s="1"/>
  <c r="W1030" i="1" s="1"/>
  <c r="W1006" i="1" s="1"/>
  <c r="W1007" i="1" s="1"/>
  <c r="M1033" i="1"/>
  <c r="M1032" i="1" s="1"/>
  <c r="S1024" i="1"/>
  <c r="S1028" i="1" s="1"/>
  <c r="S1029" i="1" s="1"/>
  <c r="S1030" i="1" s="1"/>
  <c r="S1006" i="1" s="1"/>
  <c r="S1007" i="1" s="1"/>
  <c r="AL991" i="1"/>
  <c r="AL1027" i="1"/>
  <c r="AL19" i="1"/>
  <c r="AL13" i="1"/>
  <c r="AL989" i="1"/>
  <c r="AL994" i="1"/>
  <c r="AL990" i="1"/>
  <c r="AL992" i="1"/>
  <c r="BO149" i="1"/>
  <c r="AM152" i="1"/>
  <c r="AM215" i="1" s="1"/>
  <c r="AM156" i="1"/>
  <c r="AA989" i="1"/>
  <c r="AD998" i="1"/>
  <c r="Z998" i="1"/>
  <c r="O29" i="292"/>
  <c r="P19" i="292"/>
  <c r="O51" i="292"/>
  <c r="O24" i="292"/>
  <c r="AK20" i="1"/>
  <c r="J104" i="292"/>
  <c r="J108" i="292"/>
  <c r="J130" i="292" s="1"/>
  <c r="J107" i="292"/>
  <c r="J106" i="292"/>
  <c r="N52" i="292"/>
  <c r="N53" i="292"/>
  <c r="N69" i="292"/>
  <c r="N54" i="292"/>
  <c r="N76" i="292"/>
  <c r="N79" i="292" s="1"/>
  <c r="N97" i="292"/>
  <c r="AK995" i="1"/>
  <c r="AK1004" i="1" s="1"/>
  <c r="AK998" i="1"/>
  <c r="AA1013" i="1"/>
  <c r="AA992" i="1" s="1"/>
  <c r="Z992" i="1"/>
  <c r="Q34" i="3"/>
  <c r="Q33" i="3"/>
  <c r="AB1000" i="1"/>
  <c r="X1000" i="1"/>
  <c r="Q59" i="3"/>
  <c r="Q46" i="3"/>
  <c r="Q45" i="3"/>
  <c r="Y991" i="1"/>
  <c r="Z1012" i="1"/>
  <c r="AK772" i="1"/>
  <c r="Q9" i="292"/>
  <c r="P91" i="292"/>
  <c r="P41" i="292"/>
  <c r="P82" i="292" s="1"/>
  <c r="P59" i="292"/>
  <c r="P83" i="292" s="1"/>
  <c r="F9" i="276"/>
  <c r="G9" i="276"/>
  <c r="H9" i="276"/>
  <c r="I130" i="292"/>
  <c r="W13" i="292"/>
  <c r="AC1001" i="1"/>
  <c r="Y1001" i="1"/>
  <c r="P60" i="3"/>
  <c r="P63" i="3"/>
  <c r="P70" i="3" s="1"/>
  <c r="L85" i="292"/>
  <c r="L92" i="292"/>
  <c r="L100" i="292" s="1"/>
  <c r="K117" i="292"/>
  <c r="K101" i="292"/>
  <c r="K103" i="292"/>
  <c r="Z1014" i="1"/>
  <c r="Y993" i="1"/>
  <c r="M70" i="292"/>
  <c r="M71" i="292"/>
  <c r="W999" i="1"/>
  <c r="W995" i="1"/>
  <c r="W1004" i="1" s="1"/>
  <c r="X990" i="1"/>
  <c r="Y1011" i="1"/>
  <c r="X1015" i="1"/>
  <c r="X994" i="1" s="1"/>
  <c r="M80" i="292"/>
  <c r="M84" i="292"/>
  <c r="AB1002" i="1"/>
  <c r="X1002" i="1"/>
  <c r="AM214" i="1" l="1"/>
  <c r="AM220" i="1"/>
  <c r="BO215" i="1"/>
  <c r="BO220" i="1" s="1"/>
  <c r="BO156" i="1"/>
  <c r="BO969" i="1"/>
  <c r="AK22" i="1"/>
  <c r="AK518" i="1" s="1"/>
  <c r="AM12" i="1"/>
  <c r="AN464" i="1"/>
  <c r="N75" i="3"/>
  <c r="N78" i="3"/>
  <c r="N77" i="3"/>
  <c r="N72" i="3"/>
  <c r="O71" i="3"/>
  <c r="P71" i="3" s="1"/>
  <c r="AL20" i="1"/>
  <c r="AL106" i="1"/>
  <c r="AL677" i="1"/>
  <c r="AL694" i="1"/>
  <c r="AL699" i="1"/>
  <c r="AL693" i="1"/>
  <c r="AL700" i="1"/>
  <c r="AL695" i="1"/>
  <c r="AL690" i="1"/>
  <c r="AL702" i="1"/>
  <c r="AL698" i="1"/>
  <c r="AL697" i="1"/>
  <c r="AL696" i="1"/>
  <c r="AL746" i="1"/>
  <c r="AL22" i="1" s="1"/>
  <c r="AO149" i="1"/>
  <c r="AO156" i="1" s="1"/>
  <c r="G8" i="276"/>
  <c r="H8" i="276"/>
  <c r="AP496" i="1"/>
  <c r="AP504" i="1" s="1"/>
  <c r="AP149" i="1"/>
  <c r="AP181" i="1" s="1"/>
  <c r="AQ495" i="1"/>
  <c r="AQ503" i="1" s="1"/>
  <c r="AQ488" i="1"/>
  <c r="AL1002" i="1"/>
  <c r="AL1029" i="1"/>
  <c r="AL1030" i="1" s="1"/>
  <c r="AL1006" i="1" s="1"/>
  <c r="AL1000" i="1"/>
  <c r="AL1001" i="1"/>
  <c r="AL999" i="1"/>
  <c r="AL1003" i="1"/>
  <c r="AL998" i="1"/>
  <c r="AK689" i="1"/>
  <c r="AK757" i="1"/>
  <c r="AK229" i="1"/>
  <c r="AK751" i="1"/>
  <c r="Q1036" i="1"/>
  <c r="Q1019" i="1" s="1"/>
  <c r="Q1039" i="1"/>
  <c r="Q1020" i="1" s="1"/>
  <c r="Q1042" i="1"/>
  <c r="Q1021" i="1" s="1"/>
  <c r="Q1045" i="1"/>
  <c r="Q1022" i="1" s="1"/>
  <c r="Q1048" i="1"/>
  <c r="Q1023" i="1" s="1"/>
  <c r="L1033" i="1"/>
  <c r="L1032" i="1" s="1"/>
  <c r="R1024" i="1"/>
  <c r="R1028" i="1" s="1"/>
  <c r="R1029" i="1" s="1"/>
  <c r="R1030" i="1" s="1"/>
  <c r="R1006" i="1" s="1"/>
  <c r="R1007" i="1" s="1"/>
  <c r="AL995" i="1"/>
  <c r="AL772" i="1"/>
  <c r="AL775" i="1" s="1"/>
  <c r="BO181" i="1"/>
  <c r="AM188" i="1"/>
  <c r="BO152" i="1"/>
  <c r="AM159" i="1"/>
  <c r="O53" i="292"/>
  <c r="O52" i="292"/>
  <c r="O76" i="292"/>
  <c r="O79" i="292" s="1"/>
  <c r="O69" i="292"/>
  <c r="O54" i="292"/>
  <c r="O97" i="292"/>
  <c r="AA1001" i="1"/>
  <c r="AE1001" i="1"/>
  <c r="AK163" i="1"/>
  <c r="Q19" i="292"/>
  <c r="P29" i="292"/>
  <c r="P51" i="292"/>
  <c r="P24" i="292"/>
  <c r="Q63" i="3"/>
  <c r="Q70" i="3" s="1"/>
  <c r="Q60" i="3"/>
  <c r="P95" i="3"/>
  <c r="P97" i="3" s="1"/>
  <c r="N80" i="292"/>
  <c r="N84" i="292"/>
  <c r="R9" i="292"/>
  <c r="Q91" i="292"/>
  <c r="Q41" i="292"/>
  <c r="Q82" i="292" s="1"/>
  <c r="Q59" i="292"/>
  <c r="Q83" i="292" s="1"/>
  <c r="AK164" i="1"/>
  <c r="AC1002" i="1"/>
  <c r="Y1002" i="1"/>
  <c r="AK775" i="1"/>
  <c r="Z993" i="1"/>
  <c r="AA1014" i="1"/>
  <c r="AA993" i="1" s="1"/>
  <c r="N70" i="292"/>
  <c r="N71" i="292"/>
  <c r="X999" i="1"/>
  <c r="AB999" i="1"/>
  <c r="X995" i="1"/>
  <c r="AA1012" i="1"/>
  <c r="AA991" i="1" s="1"/>
  <c r="Z991" i="1"/>
  <c r="L103" i="292"/>
  <c r="L117" i="292"/>
  <c r="L101" i="292"/>
  <c r="Y1000" i="1"/>
  <c r="AC1000" i="1"/>
  <c r="M92" i="292"/>
  <c r="M100" i="292" s="1"/>
  <c r="M85" i="292"/>
  <c r="I131" i="292"/>
  <c r="H131" i="292"/>
  <c r="X1024" i="1"/>
  <c r="X1028" i="1" s="1"/>
  <c r="X1029" i="1" s="1"/>
  <c r="X1030" i="1" s="1"/>
  <c r="X1006" i="1" s="1"/>
  <c r="X1007" i="1" s="1"/>
  <c r="AD1001" i="1"/>
  <c r="Z1001" i="1"/>
  <c r="X1003" i="1"/>
  <c r="AB1003" i="1"/>
  <c r="Y990" i="1"/>
  <c r="Z1011" i="1"/>
  <c r="Y1015" i="1"/>
  <c r="Y994" i="1" s="1"/>
  <c r="K104" i="292"/>
  <c r="K108" i="292"/>
  <c r="K130" i="292" s="1"/>
  <c r="J131" i="292" s="1"/>
  <c r="K107" i="292"/>
  <c r="K106" i="292"/>
  <c r="AE998" i="1"/>
  <c r="AA998" i="1"/>
  <c r="BP488" i="1" l="1"/>
  <c r="BP496" i="1" s="1"/>
  <c r="BP504" i="1" s="1"/>
  <c r="AQ449" i="1"/>
  <c r="E7" i="276"/>
  <c r="F7" i="276" s="1"/>
  <c r="AM45" i="1"/>
  <c r="AM44" i="1"/>
  <c r="AM43" i="1"/>
  <c r="AM46" i="1"/>
  <c r="BO975" i="1"/>
  <c r="BO981" i="1" s="1"/>
  <c r="BO971" i="1"/>
  <c r="BO977" i="1" s="1"/>
  <c r="BO983" i="1" s="1"/>
  <c r="AM219" i="1"/>
  <c r="BO214" i="1"/>
  <c r="BO219" i="1" s="1"/>
  <c r="AM878" i="1"/>
  <c r="AM876" i="1"/>
  <c r="AM877" i="1"/>
  <c r="AM732" i="1"/>
  <c r="O76" i="3"/>
  <c r="O72" i="3"/>
  <c r="O75" i="3"/>
  <c r="O78" i="3"/>
  <c r="O77" i="3"/>
  <c r="AL757" i="1"/>
  <c r="AC7" i="267"/>
  <c r="AC8" i="267" s="1"/>
  <c r="AL229" i="1"/>
  <c r="AL230" i="1" s="1"/>
  <c r="AL751" i="1"/>
  <c r="AL26" i="1"/>
  <c r="AP26" i="1" s="1"/>
  <c r="AL23" i="1"/>
  <c r="AL24" i="1" s="1"/>
  <c r="AL25" i="1" s="1"/>
  <c r="AL689" i="1"/>
  <c r="AL701" i="1"/>
  <c r="AO181" i="1"/>
  <c r="AO463" i="1" s="1"/>
  <c r="AO464" i="1" s="1"/>
  <c r="BO159" i="1"/>
  <c r="AP188" i="1"/>
  <c r="AP463" i="1"/>
  <c r="AP464" i="1" s="1"/>
  <c r="AP156" i="1"/>
  <c r="AQ496" i="1"/>
  <c r="AQ504" i="1" s="1"/>
  <c r="AQ149" i="1"/>
  <c r="AQ181" i="1" s="1"/>
  <c r="AL776" i="1"/>
  <c r="AL1004" i="1"/>
  <c r="AK239" i="1"/>
  <c r="AK234" i="1"/>
  <c r="AK230" i="1"/>
  <c r="AK26" i="1"/>
  <c r="AO26" i="1" s="1"/>
  <c r="AK23" i="1"/>
  <c r="AK24" i="1" s="1"/>
  <c r="AK25" i="1" s="1"/>
  <c r="P1036" i="1"/>
  <c r="P1019" i="1" s="1"/>
  <c r="P1039" i="1"/>
  <c r="P1020" i="1" s="1"/>
  <c r="P1042" i="1"/>
  <c r="P1021" i="1" s="1"/>
  <c r="P1045" i="1"/>
  <c r="P1022" i="1" s="1"/>
  <c r="P1048" i="1"/>
  <c r="P1023" i="1" s="1"/>
  <c r="K1033" i="1"/>
  <c r="K1032" i="1" s="1"/>
  <c r="Q1024" i="1"/>
  <c r="Q1028" i="1" s="1"/>
  <c r="Q1029" i="1" s="1"/>
  <c r="Q1030" i="1" s="1"/>
  <c r="Q1006" i="1" s="1"/>
  <c r="Q1007" i="1" s="1"/>
  <c r="BO12" i="1"/>
  <c r="J8" i="523" s="1"/>
  <c r="AM13" i="1"/>
  <c r="AM19" i="1"/>
  <c r="AM1027" i="1"/>
  <c r="AM993" i="1"/>
  <c r="AM990" i="1"/>
  <c r="AM989" i="1"/>
  <c r="AM991" i="1"/>
  <c r="AM992" i="1"/>
  <c r="AM994" i="1"/>
  <c r="BO463" i="1"/>
  <c r="BO458" i="1" s="1"/>
  <c r="BO205" i="1"/>
  <c r="BO188" i="1"/>
  <c r="D99" i="3"/>
  <c r="Q97" i="3"/>
  <c r="Q98" i="3" s="1"/>
  <c r="AD1002" i="1"/>
  <c r="Z1002" i="1"/>
  <c r="P54" i="292"/>
  <c r="P53" i="292"/>
  <c r="P52" i="292"/>
  <c r="P76" i="292"/>
  <c r="P79" i="292" s="1"/>
  <c r="P69" i="292"/>
  <c r="P97" i="292"/>
  <c r="M103" i="292"/>
  <c r="M117" i="292"/>
  <c r="M101" i="292"/>
  <c r="X1004" i="1"/>
  <c r="AB1004" i="1"/>
  <c r="S9" i="292"/>
  <c r="R91" i="292"/>
  <c r="R41" i="292"/>
  <c r="R82" i="292" s="1"/>
  <c r="R59" i="292"/>
  <c r="R83" i="292" s="1"/>
  <c r="L104" i="292"/>
  <c r="L107" i="292"/>
  <c r="L108" i="292"/>
  <c r="L106" i="292"/>
  <c r="Z1000" i="1"/>
  <c r="AD1000" i="1"/>
  <c r="AA1000" i="1"/>
  <c r="AE1000" i="1"/>
  <c r="N85" i="292"/>
  <c r="N92" i="292"/>
  <c r="N100" i="292" s="1"/>
  <c r="R19" i="292"/>
  <c r="Q24" i="292"/>
  <c r="Q29" i="292"/>
  <c r="Q51" i="292"/>
  <c r="P72" i="3"/>
  <c r="Q71" i="3"/>
  <c r="P77" i="3"/>
  <c r="P78" i="3"/>
  <c r="P75" i="3"/>
  <c r="P76" i="3"/>
  <c r="Y1024" i="1"/>
  <c r="Y1028" i="1" s="1"/>
  <c r="Y1029" i="1" s="1"/>
  <c r="Y1030" i="1" s="1"/>
  <c r="Y1006" i="1" s="1"/>
  <c r="Y1007" i="1" s="1"/>
  <c r="Y1003" i="1"/>
  <c r="AC1003" i="1"/>
  <c r="Z990" i="1"/>
  <c r="AA1011" i="1"/>
  <c r="Z1015" i="1"/>
  <c r="Z994" i="1" s="1"/>
  <c r="O70" i="292"/>
  <c r="O71" i="292"/>
  <c r="O80" i="292"/>
  <c r="O84" i="292"/>
  <c r="AK776" i="1"/>
  <c r="Y999" i="1"/>
  <c r="AC999" i="1"/>
  <c r="Y995" i="1"/>
  <c r="AA1002" i="1"/>
  <c r="AE1002" i="1"/>
  <c r="AQ450" i="1" l="1"/>
  <c r="BP449" i="1"/>
  <c r="BP450" i="1" s="1"/>
  <c r="L141" i="523"/>
  <c r="L145" i="523" s="1"/>
  <c r="J9" i="523"/>
  <c r="J119" i="523"/>
  <c r="K119" i="523" s="1"/>
  <c r="L119" i="523" s="1"/>
  <c r="M119" i="523" s="1"/>
  <c r="N119" i="523" s="1"/>
  <c r="O119" i="523" s="1"/>
  <c r="P119" i="523" s="1"/>
  <c r="Q119" i="523" s="1"/>
  <c r="R119" i="523" s="1"/>
  <c r="S119" i="523" s="1"/>
  <c r="T119" i="523" s="1"/>
  <c r="U119" i="523" s="1"/>
  <c r="V119" i="523" s="1"/>
  <c r="J108" i="523"/>
  <c r="K108" i="523" s="1"/>
  <c r="L108" i="523" s="1"/>
  <c r="M108" i="523" s="1"/>
  <c r="N108" i="523" s="1"/>
  <c r="O108" i="523" s="1"/>
  <c r="P108" i="523" s="1"/>
  <c r="Q108" i="523" s="1"/>
  <c r="R108" i="523" s="1"/>
  <c r="S108" i="523" s="1"/>
  <c r="T108" i="523" s="1"/>
  <c r="U108" i="523" s="1"/>
  <c r="V108" i="523" s="1"/>
  <c r="BO461" i="1"/>
  <c r="BO459" i="1"/>
  <c r="J8" i="503"/>
  <c r="BO678" i="1"/>
  <c r="J8" i="504"/>
  <c r="BO878" i="1"/>
  <c r="BO877" i="1"/>
  <c r="BO876" i="1"/>
  <c r="BO43" i="1"/>
  <c r="BO44" i="1"/>
  <c r="BO45" i="1"/>
  <c r="F29" i="276"/>
  <c r="F30" i="276"/>
  <c r="AM737" i="1"/>
  <c r="AM746" i="1"/>
  <c r="AL234" i="1"/>
  <c r="AL239" i="1"/>
  <c r="H7" i="276"/>
  <c r="G7" i="276"/>
  <c r="AL235" i="1"/>
  <c r="AL240" i="1"/>
  <c r="BP181" i="1"/>
  <c r="BP188" i="1" s="1"/>
  <c r="AO466" i="1"/>
  <c r="AO188" i="1"/>
  <c r="AL164" i="1"/>
  <c r="AL163" i="1"/>
  <c r="BP149" i="1"/>
  <c r="BP156" i="1" s="1"/>
  <c r="AP466" i="1"/>
  <c r="AL165" i="1"/>
  <c r="AQ188" i="1"/>
  <c r="AQ463" i="1"/>
  <c r="AQ464" i="1" s="1"/>
  <c r="AQ156" i="1"/>
  <c r="AM1000" i="1"/>
  <c r="AM999" i="1"/>
  <c r="AM1029" i="1"/>
  <c r="AM1030" i="1" s="1"/>
  <c r="AM1006" i="1" s="1"/>
  <c r="AM1001" i="1"/>
  <c r="AM1002" i="1"/>
  <c r="AM1003" i="1"/>
  <c r="AK240" i="1"/>
  <c r="AK235" i="1"/>
  <c r="O1036" i="1"/>
  <c r="O1019" i="1" s="1"/>
  <c r="O1039" i="1"/>
  <c r="O1020" i="1" s="1"/>
  <c r="O1042" i="1"/>
  <c r="O1021" i="1" s="1"/>
  <c r="O1045" i="1"/>
  <c r="O1022" i="1" s="1"/>
  <c r="O1048" i="1"/>
  <c r="O1023" i="1" s="1"/>
  <c r="J1033" i="1"/>
  <c r="J1032" i="1" s="1"/>
  <c r="P1024" i="1"/>
  <c r="P1028" i="1" s="1"/>
  <c r="P1029" i="1" s="1"/>
  <c r="P1030" i="1" s="1"/>
  <c r="P1006" i="1" s="1"/>
  <c r="P1007" i="1" s="1"/>
  <c r="AM998" i="1"/>
  <c r="AM995" i="1"/>
  <c r="BO732" i="1"/>
  <c r="BO737" i="1" s="1"/>
  <c r="AM772" i="1"/>
  <c r="AM20" i="1"/>
  <c r="BO19" i="1"/>
  <c r="BO20" i="1" s="1"/>
  <c r="BO464" i="1"/>
  <c r="BO466" i="1"/>
  <c r="BO13" i="1"/>
  <c r="J8" i="198"/>
  <c r="N103" i="292"/>
  <c r="N117" i="292"/>
  <c r="N101" i="292"/>
  <c r="R24" i="292"/>
  <c r="R29" i="292"/>
  <c r="S19" i="292"/>
  <c r="R51" i="292"/>
  <c r="S91" i="292"/>
  <c r="S41" i="292"/>
  <c r="S82" i="292" s="1"/>
  <c r="S59" i="292"/>
  <c r="S83" i="292" s="1"/>
  <c r="Z1024" i="1"/>
  <c r="Z1028" i="1" s="1"/>
  <c r="Z1029" i="1" s="1"/>
  <c r="Z1030" i="1" s="1"/>
  <c r="Z1006" i="1" s="1"/>
  <c r="Z1007" i="1" s="1"/>
  <c r="AA990" i="1"/>
  <c r="AA1015" i="1"/>
  <c r="AA994" i="1" s="1"/>
  <c r="AD999" i="1"/>
  <c r="Z999" i="1"/>
  <c r="Z995" i="1"/>
  <c r="Q72" i="3"/>
  <c r="Q77" i="3"/>
  <c r="Q78" i="3"/>
  <c r="Q75" i="3"/>
  <c r="Q76" i="3"/>
  <c r="M104" i="292"/>
  <c r="M107" i="292"/>
  <c r="M108" i="292"/>
  <c r="M106" i="292"/>
  <c r="Z1003" i="1"/>
  <c r="AD1003" i="1"/>
  <c r="O85" i="292"/>
  <c r="O92" i="292"/>
  <c r="O100" i="292" s="1"/>
  <c r="P70" i="292"/>
  <c r="P71" i="292"/>
  <c r="Y1004" i="1"/>
  <c r="AC1004" i="1"/>
  <c r="P80" i="292"/>
  <c r="P84" i="292"/>
  <c r="Q54" i="292"/>
  <c r="Q53" i="292"/>
  <c r="Q52" i="292"/>
  <c r="Q76" i="292"/>
  <c r="Q79" i="292" s="1"/>
  <c r="Q69" i="292"/>
  <c r="Q97" i="292"/>
  <c r="J108" i="503" l="1"/>
  <c r="K108" i="503" s="1"/>
  <c r="L108" i="503" s="1"/>
  <c r="M108" i="503" s="1"/>
  <c r="N108" i="503" s="1"/>
  <c r="O108" i="503" s="1"/>
  <c r="P108" i="503" s="1"/>
  <c r="Q108" i="503" s="1"/>
  <c r="R108" i="503" s="1"/>
  <c r="S108" i="503" s="1"/>
  <c r="T108" i="503" s="1"/>
  <c r="U108" i="503" s="1"/>
  <c r="V108" i="503" s="1"/>
  <c r="J119" i="503"/>
  <c r="K119" i="503" s="1"/>
  <c r="L119" i="503" s="1"/>
  <c r="M119" i="503" s="1"/>
  <c r="N119" i="503" s="1"/>
  <c r="O119" i="503" s="1"/>
  <c r="P119" i="503" s="1"/>
  <c r="Q119" i="503" s="1"/>
  <c r="R119" i="503" s="1"/>
  <c r="S119" i="503" s="1"/>
  <c r="T119" i="503" s="1"/>
  <c r="U119" i="503" s="1"/>
  <c r="V119" i="503" s="1"/>
  <c r="J119" i="504"/>
  <c r="K119" i="504" s="1"/>
  <c r="L119" i="504" s="1"/>
  <c r="M119" i="504" s="1"/>
  <c r="N119" i="504" s="1"/>
  <c r="O119" i="504" s="1"/>
  <c r="P119" i="504" s="1"/>
  <c r="Q119" i="504" s="1"/>
  <c r="R119" i="504" s="1"/>
  <c r="S119" i="504" s="1"/>
  <c r="T119" i="504" s="1"/>
  <c r="U119" i="504" s="1"/>
  <c r="V119" i="504" s="1"/>
  <c r="J108" i="504"/>
  <c r="K108" i="504" s="1"/>
  <c r="L108" i="504" s="1"/>
  <c r="M108" i="504" s="1"/>
  <c r="N108" i="504" s="1"/>
  <c r="O108" i="504" s="1"/>
  <c r="P108" i="504" s="1"/>
  <c r="Q108" i="504" s="1"/>
  <c r="R108" i="504" s="1"/>
  <c r="S108" i="504" s="1"/>
  <c r="T108" i="504" s="1"/>
  <c r="U108" i="504" s="1"/>
  <c r="V108" i="504" s="1"/>
  <c r="J109" i="198"/>
  <c r="K109" i="198" s="1"/>
  <c r="L109" i="198" s="1"/>
  <c r="M109" i="198" s="1"/>
  <c r="N109" i="198" s="1"/>
  <c r="O109" i="198" s="1"/>
  <c r="P109" i="198" s="1"/>
  <c r="Q109" i="198" s="1"/>
  <c r="R109" i="198" s="1"/>
  <c r="S109" i="198" s="1"/>
  <c r="T109" i="198" s="1"/>
  <c r="U109" i="198" s="1"/>
  <c r="V109" i="198" s="1"/>
  <c r="H30" i="276"/>
  <c r="H29" i="276"/>
  <c r="G30" i="276"/>
  <c r="G29" i="276"/>
  <c r="J9" i="504"/>
  <c r="BO677" i="1"/>
  <c r="BO702" i="1"/>
  <c r="BO696" i="1"/>
  <c r="BO695" i="1"/>
  <c r="BO693" i="1"/>
  <c r="BO699" i="1"/>
  <c r="BO694" i="1"/>
  <c r="BO690" i="1"/>
  <c r="AM678" i="1"/>
  <c r="BO700" i="1"/>
  <c r="BO697" i="1"/>
  <c r="BO698" i="1"/>
  <c r="J9" i="503"/>
  <c r="AM22" i="1"/>
  <c r="AM229" i="1"/>
  <c r="BO746" i="1"/>
  <c r="BO751" i="1" s="1"/>
  <c r="AM14" i="1"/>
  <c r="AM15" i="1" s="1"/>
  <c r="AM160" i="1" s="1"/>
  <c r="AM196" i="1"/>
  <c r="AM757" i="1"/>
  <c r="AM759" i="1" s="1"/>
  <c r="AM761" i="1" s="1"/>
  <c r="AM751" i="1"/>
  <c r="AM201" i="1"/>
  <c r="L142" i="198"/>
  <c r="L146" i="198" s="1"/>
  <c r="AM164" i="1"/>
  <c r="AL518" i="1"/>
  <c r="BP463" i="1"/>
  <c r="AL167" i="1"/>
  <c r="BP205" i="1"/>
  <c r="BO85" i="1"/>
  <c r="J28" i="523" s="1"/>
  <c r="AQ466" i="1"/>
  <c r="AM1004" i="1"/>
  <c r="AA1024" i="1"/>
  <c r="AA1028" i="1" s="1"/>
  <c r="AA1029" i="1" s="1"/>
  <c r="AA1030" i="1" s="1"/>
  <c r="AA1006" i="1" s="1"/>
  <c r="AA1007" i="1" s="1"/>
  <c r="N1036" i="1"/>
  <c r="N1019" i="1" s="1"/>
  <c r="N1039" i="1"/>
  <c r="N1020" i="1" s="1"/>
  <c r="N1042" i="1"/>
  <c r="N1021" i="1" s="1"/>
  <c r="N1045" i="1"/>
  <c r="N1022" i="1" s="1"/>
  <c r="N1048" i="1"/>
  <c r="N1023" i="1" s="1"/>
  <c r="I1033" i="1"/>
  <c r="I1032" i="1" s="1"/>
  <c r="O1024" i="1"/>
  <c r="O1028" i="1" s="1"/>
  <c r="O1029" i="1" s="1"/>
  <c r="O1030" i="1" s="1"/>
  <c r="O1006" i="1" s="1"/>
  <c r="O1007" i="1" s="1"/>
  <c r="AM775" i="1"/>
  <c r="BO772" i="1"/>
  <c r="J9" i="198"/>
  <c r="P92" i="292"/>
  <c r="P100" i="292" s="1"/>
  <c r="P85" i="292"/>
  <c r="R54" i="292"/>
  <c r="R53" i="292"/>
  <c r="R52" i="292"/>
  <c r="R69" i="292"/>
  <c r="R76" i="292"/>
  <c r="R79" i="292" s="1"/>
  <c r="R97" i="292"/>
  <c r="O101" i="292"/>
  <c r="O103" i="292"/>
  <c r="O117" i="292"/>
  <c r="S24" i="292"/>
  <c r="S29" i="292"/>
  <c r="S51" i="292"/>
  <c r="Q70" i="292"/>
  <c r="Q71" i="292"/>
  <c r="AA1003" i="1"/>
  <c r="AE1003" i="1"/>
  <c r="Z1004" i="1"/>
  <c r="AD1004" i="1"/>
  <c r="Q80" i="292"/>
  <c r="Q84" i="292"/>
  <c r="AA999" i="1"/>
  <c r="AE999" i="1"/>
  <c r="AA995" i="1"/>
  <c r="N104" i="292"/>
  <c r="N108" i="292"/>
  <c r="N107" i="292"/>
  <c r="N106" i="292"/>
  <c r="J29" i="523" l="1"/>
  <c r="J41" i="523"/>
  <c r="L157" i="523"/>
  <c r="L161" i="523" s="1"/>
  <c r="J64" i="523"/>
  <c r="AC9" i="267"/>
  <c r="AM239" i="1"/>
  <c r="AM234" i="1"/>
  <c r="AM230" i="1"/>
  <c r="BO229" i="1"/>
  <c r="AM26" i="1"/>
  <c r="AQ26" i="1" s="1"/>
  <c r="AM23" i="1"/>
  <c r="AM24" i="1" s="1"/>
  <c r="AM25" i="1" s="1"/>
  <c r="AM518" i="1"/>
  <c r="AM778" i="1"/>
  <c r="AM785" i="1" s="1"/>
  <c r="AM48" i="1" s="1"/>
  <c r="AM702" i="1"/>
  <c r="AM699" i="1"/>
  <c r="AM698" i="1"/>
  <c r="AM700" i="1"/>
  <c r="AM690" i="1"/>
  <c r="AM693" i="1"/>
  <c r="AM695" i="1"/>
  <c r="AM696" i="1"/>
  <c r="AM694" i="1"/>
  <c r="AM697" i="1"/>
  <c r="BO701" i="1"/>
  <c r="BO689" i="1"/>
  <c r="AM677" i="1"/>
  <c r="J28" i="504"/>
  <c r="AB27" i="522"/>
  <c r="J28" i="503"/>
  <c r="AM225" i="1"/>
  <c r="AM1005" i="1"/>
  <c r="AM1007" i="1" s="1"/>
  <c r="AM769" i="1"/>
  <c r="AM768" i="1"/>
  <c r="BO164" i="1"/>
  <c r="AL224" i="1"/>
  <c r="AL14" i="1"/>
  <c r="AB9" i="267" s="1"/>
  <c r="AL519" i="1"/>
  <c r="AL522" i="1"/>
  <c r="AL515" i="1"/>
  <c r="AL527" i="1"/>
  <c r="J29" i="198"/>
  <c r="AM177" i="1"/>
  <c r="BP464" i="1"/>
  <c r="BP466" i="1"/>
  <c r="AM163" i="1"/>
  <c r="AM165" i="1"/>
  <c r="BO253" i="1"/>
  <c r="BO163" i="1" s="1"/>
  <c r="AM174" i="1"/>
  <c r="M1036" i="1"/>
  <c r="M1019" i="1" s="1"/>
  <c r="M1039" i="1"/>
  <c r="M1020" i="1" s="1"/>
  <c r="M1042" i="1"/>
  <c r="M1021" i="1" s="1"/>
  <c r="M1045" i="1"/>
  <c r="M1022" i="1" s="1"/>
  <c r="M1048" i="1"/>
  <c r="M1023" i="1" s="1"/>
  <c r="N1024" i="1"/>
  <c r="N1028" i="1" s="1"/>
  <c r="N1029" i="1" s="1"/>
  <c r="N1030" i="1" s="1"/>
  <c r="N1006" i="1" s="1"/>
  <c r="N1007" i="1" s="1"/>
  <c r="H1033" i="1"/>
  <c r="H1032" i="1" s="1"/>
  <c r="AM776" i="1"/>
  <c r="BO775" i="1"/>
  <c r="BO776" i="1" s="1"/>
  <c r="O104" i="292"/>
  <c r="O108" i="292"/>
  <c r="O107" i="292"/>
  <c r="O106" i="292"/>
  <c r="P103" i="292"/>
  <c r="P101" i="292"/>
  <c r="P117" i="292"/>
  <c r="S69" i="292"/>
  <c r="S76" i="292"/>
  <c r="S79" i="292" s="1"/>
  <c r="S54" i="292"/>
  <c r="S53" i="292"/>
  <c r="S52" i="292"/>
  <c r="S97" i="292"/>
  <c r="Q92" i="292"/>
  <c r="Q100" i="292" s="1"/>
  <c r="Q85" i="292"/>
  <c r="R80" i="292"/>
  <c r="R84" i="292"/>
  <c r="AA1004" i="1"/>
  <c r="AE1004" i="1"/>
  <c r="R71" i="292"/>
  <c r="R70" i="292"/>
  <c r="AM78" i="1" l="1"/>
  <c r="AM86" i="1" s="1"/>
  <c r="AM941" i="1"/>
  <c r="AM943" i="1" s="1"/>
  <c r="AM788" i="1"/>
  <c r="AM786" i="1"/>
  <c r="AM787" i="1" s="1"/>
  <c r="AM60" i="1" s="1"/>
  <c r="AM50" i="1" s="1"/>
  <c r="AC11" i="267"/>
  <c r="AC12" i="267" s="1"/>
  <c r="AM522" i="1"/>
  <c r="AM515" i="1"/>
  <c r="AM519" i="1"/>
  <c r="AM520" i="1" s="1"/>
  <c r="AM527" i="1"/>
  <c r="J64" i="503"/>
  <c r="J29" i="503"/>
  <c r="J41" i="503"/>
  <c r="J64" i="504"/>
  <c r="J29" i="504"/>
  <c r="J41" i="504"/>
  <c r="AM701" i="1"/>
  <c r="AM689" i="1"/>
  <c r="AM53" i="1"/>
  <c r="E34" i="276"/>
  <c r="H34" i="276" s="1"/>
  <c r="AM52" i="1"/>
  <c r="AM49" i="1"/>
  <c r="AM57" i="1" s="1"/>
  <c r="AM69" i="1"/>
  <c r="AM70" i="1" s="1"/>
  <c r="AM71" i="1" s="1"/>
  <c r="AM73" i="1" s="1"/>
  <c r="AM74" i="1" s="1"/>
  <c r="BO234" i="1"/>
  <c r="BO239" i="1"/>
  <c r="AM240" i="1"/>
  <c r="AM235" i="1"/>
  <c r="BO230" i="1"/>
  <c r="L158" i="198"/>
  <c r="L162" i="198" s="1"/>
  <c r="AB41" i="522"/>
  <c r="AL1005" i="1"/>
  <c r="AL1007" i="1" s="1"/>
  <c r="AL15" i="1"/>
  <c r="AL225" i="1"/>
  <c r="AL528" i="1"/>
  <c r="AL531" i="1"/>
  <c r="AL524" i="1"/>
  <c r="AL520" i="1"/>
  <c r="AL529" i="1" s="1"/>
  <c r="J65" i="198"/>
  <c r="J42" i="198"/>
  <c r="J30" i="198"/>
  <c r="BO22" i="1"/>
  <c r="AM167" i="1"/>
  <c r="AM224" i="1" s="1"/>
  <c r="L1036" i="1"/>
  <c r="L1019" i="1" s="1"/>
  <c r="L1039" i="1"/>
  <c r="L1020" i="1" s="1"/>
  <c r="L1042" i="1"/>
  <c r="L1021" i="1" s="1"/>
  <c r="L1045" i="1"/>
  <c r="L1022" i="1" s="1"/>
  <c r="L1048" i="1"/>
  <c r="L1023" i="1" s="1"/>
  <c r="G1033" i="1"/>
  <c r="G1032" i="1" s="1"/>
  <c r="M1024" i="1"/>
  <c r="M1028" i="1" s="1"/>
  <c r="M1029" i="1" s="1"/>
  <c r="M1030" i="1" s="1"/>
  <c r="M1006" i="1" s="1"/>
  <c r="M1007" i="1" s="1"/>
  <c r="R92" i="292"/>
  <c r="R100" i="292" s="1"/>
  <c r="R85" i="292"/>
  <c r="S70" i="292"/>
  <c r="S71" i="292"/>
  <c r="P104" i="292"/>
  <c r="P107" i="292"/>
  <c r="P108" i="292"/>
  <c r="P106" i="292"/>
  <c r="S80" i="292"/>
  <c r="S84" i="292"/>
  <c r="Q101" i="292"/>
  <c r="Q103" i="292"/>
  <c r="Q117" i="292"/>
  <c r="AM79" i="1" l="1"/>
  <c r="AM80" i="1"/>
  <c r="AC13" i="267"/>
  <c r="AC16" i="267" s="1"/>
  <c r="AC15" i="267" s="1"/>
  <c r="AM113" i="1"/>
  <c r="F34" i="276"/>
  <c r="G34" i="276"/>
  <c r="AM51" i="1"/>
  <c r="AM198" i="1"/>
  <c r="BO235" i="1"/>
  <c r="BO240" i="1"/>
  <c r="AM531" i="1"/>
  <c r="AM528" i="1"/>
  <c r="AM524" i="1"/>
  <c r="AM521" i="1"/>
  <c r="AM529" i="1"/>
  <c r="AM110" i="1"/>
  <c r="AM87" i="1"/>
  <c r="AM88" i="1"/>
  <c r="AM90" i="1"/>
  <c r="AL530" i="1"/>
  <c r="AL39" i="1"/>
  <c r="AL40" i="1" s="1"/>
  <c r="AL174" i="1"/>
  <c r="AL160" i="1"/>
  <c r="AL521" i="1"/>
  <c r="BO24" i="1"/>
  <c r="BO25" i="1" s="1"/>
  <c r="BO23" i="1"/>
  <c r="BO26" i="1"/>
  <c r="K1036" i="1"/>
  <c r="K1019" i="1" s="1"/>
  <c r="K1039" i="1"/>
  <c r="K1020" i="1" s="1"/>
  <c r="K1042" i="1"/>
  <c r="K1021" i="1" s="1"/>
  <c r="K1045" i="1"/>
  <c r="K1022" i="1" s="1"/>
  <c r="K1048" i="1"/>
  <c r="K1023" i="1" s="1"/>
  <c r="F1033" i="1"/>
  <c r="F1032" i="1" s="1"/>
  <c r="L1024" i="1"/>
  <c r="L1028" i="1" s="1"/>
  <c r="L1029" i="1" s="1"/>
  <c r="L1030" i="1" s="1"/>
  <c r="L1006" i="1" s="1"/>
  <c r="L1007" i="1" s="1"/>
  <c r="Q104" i="292"/>
  <c r="Q107" i="292"/>
  <c r="Q108" i="292"/>
  <c r="Q106" i="292"/>
  <c r="S92" i="292"/>
  <c r="S100" i="292" s="1"/>
  <c r="R116" i="292"/>
  <c r="R117" i="292" s="1"/>
  <c r="H118" i="292" s="1"/>
  <c r="S85" i="292"/>
  <c r="R101" i="292"/>
  <c r="R103" i="292"/>
  <c r="AM39" i="1" l="1"/>
  <c r="AM40" i="1" s="1"/>
  <c r="AM530" i="1"/>
  <c r="AM92" i="1"/>
  <c r="AM93" i="1"/>
  <c r="J1036" i="1"/>
  <c r="J1019" i="1" s="1"/>
  <c r="J1039" i="1"/>
  <c r="J1020" i="1" s="1"/>
  <c r="J1042" i="1"/>
  <c r="J1021" i="1" s="1"/>
  <c r="J1045" i="1"/>
  <c r="J1022" i="1" s="1"/>
  <c r="J1048" i="1"/>
  <c r="J1023" i="1" s="1"/>
  <c r="E1033" i="1"/>
  <c r="E1032" i="1" s="1"/>
  <c r="K1024" i="1"/>
  <c r="K1028" i="1" s="1"/>
  <c r="K1029" i="1" s="1"/>
  <c r="K1030" i="1" s="1"/>
  <c r="K1006" i="1" s="1"/>
  <c r="S101" i="292"/>
  <c r="S103" i="292"/>
  <c r="R104" i="292"/>
  <c r="R107" i="292"/>
  <c r="R108" i="292"/>
  <c r="R106" i="292"/>
  <c r="H127" i="292"/>
  <c r="W15" i="292"/>
  <c r="I1036" i="1" l="1"/>
  <c r="I1019" i="1" s="1"/>
  <c r="I1039" i="1"/>
  <c r="I1020" i="1" s="1"/>
  <c r="I1042" i="1"/>
  <c r="I1021" i="1" s="1"/>
  <c r="I1045" i="1"/>
  <c r="I1022" i="1" s="1"/>
  <c r="I1048" i="1"/>
  <c r="I1023" i="1" s="1"/>
  <c r="D1033" i="1"/>
  <c r="D1032" i="1" s="1"/>
  <c r="J1024" i="1"/>
  <c r="J1028" i="1" s="1"/>
  <c r="J1029" i="1" s="1"/>
  <c r="J1030" i="1" s="1"/>
  <c r="J1006" i="1" s="1"/>
  <c r="S104" i="292"/>
  <c r="S107" i="292"/>
  <c r="S108" i="292"/>
  <c r="S106" i="292"/>
  <c r="H1036" i="1" l="1"/>
  <c r="H1019" i="1" s="1"/>
  <c r="H1039" i="1"/>
  <c r="H1020" i="1" s="1"/>
  <c r="H1042" i="1"/>
  <c r="H1021" i="1" s="1"/>
  <c r="H1045" i="1"/>
  <c r="H1022" i="1" s="1"/>
  <c r="H1048" i="1"/>
  <c r="H1023" i="1" s="1"/>
  <c r="I1024" i="1"/>
  <c r="I1028" i="1" s="1"/>
  <c r="I1029" i="1" s="1"/>
  <c r="I1030" i="1" s="1"/>
  <c r="I1006" i="1" s="1"/>
  <c r="H1024" i="1" l="1"/>
  <c r="H1028" i="1" s="1"/>
  <c r="H1029" i="1" s="1"/>
  <c r="H1030" i="1" s="1"/>
  <c r="H1006" i="1" s="1"/>
  <c r="AJ190" i="1" l="1"/>
  <c r="AJ207" i="1"/>
  <c r="AN207" i="1" s="1"/>
  <c r="AN183" i="1" s="1"/>
  <c r="AJ184" i="1"/>
  <c r="AJ191" i="1" s="1"/>
  <c r="AN190" i="1" l="1"/>
  <c r="AJ778" i="1"/>
  <c r="AJ208" i="1"/>
  <c r="AJ785" i="1" l="1"/>
  <c r="AJ48" i="1" l="1"/>
  <c r="AJ788" i="1"/>
  <c r="AJ786" i="1"/>
  <c r="BY154" i="1" l="1"/>
  <c r="CB154" i="1" s="1"/>
  <c r="AJ941" i="1"/>
  <c r="Z11" i="267"/>
  <c r="AJ78" i="1"/>
  <c r="AJ52" i="1"/>
  <c r="AJ757" i="1"/>
  <c r="BO757" i="1" s="1"/>
  <c r="AJ53" i="1"/>
  <c r="AJ69" i="1"/>
  <c r="AJ49" i="1"/>
  <c r="AJ57" i="1" s="1"/>
  <c r="AJ61" i="1" s="1"/>
  <c r="E37" i="276"/>
  <c r="AJ943" i="1" l="1"/>
  <c r="AJ942" i="1"/>
  <c r="AJ63" i="1"/>
  <c r="AJ54" i="1" s="1"/>
  <c r="G37" i="276"/>
  <c r="F37" i="276"/>
  <c r="H37" i="276"/>
  <c r="AJ70" i="1"/>
  <c r="AJ71" i="1" s="1"/>
  <c r="AJ73" i="1" s="1"/>
  <c r="AJ759" i="1"/>
  <c r="AJ86" i="1"/>
  <c r="AJ80" i="1"/>
  <c r="AJ79" i="1"/>
  <c r="Z12" i="267"/>
  <c r="Z13" i="267"/>
  <c r="Z15" i="267" s="1"/>
  <c r="AJ90" i="1" l="1"/>
  <c r="AJ91" i="1" s="1"/>
  <c r="AJ101" i="1"/>
  <c r="AJ761" i="1"/>
  <c r="AJ110" i="1"/>
  <c r="AJ87" i="1"/>
  <c r="AJ88" i="1"/>
  <c r="AJ107" i="1" s="1"/>
  <c r="AJ137" i="1"/>
  <c r="AJ74" i="1"/>
  <c r="AJ113" i="1"/>
  <c r="AJ92" i="1" l="1"/>
  <c r="AJ93" i="1"/>
  <c r="AJ103" i="1"/>
  <c r="AJ114" i="1"/>
  <c r="AJ769" i="1"/>
  <c r="BO769" i="1" s="1"/>
  <c r="AJ768" i="1"/>
  <c r="BO768" i="1" s="1"/>
  <c r="AJ115" i="1" l="1"/>
  <c r="AJ864" i="1"/>
  <c r="AJ867" i="1" s="1"/>
  <c r="AJ121" i="1"/>
  <c r="AJ102" i="1" l="1"/>
  <c r="AJ116" i="1"/>
  <c r="AK52" i="359" l="1"/>
  <c r="AK53" i="359" s="1"/>
  <c r="AK45" i="359"/>
  <c r="AK57" i="359"/>
  <c r="AK66" i="359" s="1"/>
  <c r="AK40" i="359"/>
  <c r="AK41" i="359" s="1"/>
  <c r="AK138" i="359" l="1"/>
  <c r="AK61" i="359"/>
  <c r="AK73" i="359"/>
  <c r="AK74" i="359" s="1"/>
  <c r="AK143" i="359" l="1"/>
  <c r="AK144" i="359" s="1"/>
  <c r="AK62" i="359"/>
  <c r="AK190" i="1"/>
  <c r="AK207" i="1"/>
  <c r="AO207" i="1" s="1"/>
  <c r="AO183" i="1" s="1"/>
  <c r="AK184" i="1"/>
  <c r="AO190" i="1" l="1"/>
  <c r="AK208" i="1"/>
  <c r="AK191" i="1"/>
  <c r="BO1059" i="1" l="1"/>
  <c r="AC57" i="198"/>
  <c r="AK106" i="1"/>
  <c r="AK301" i="1" l="1"/>
  <c r="AK586" i="1"/>
  <c r="AK565" i="1"/>
  <c r="AK567" i="1" l="1"/>
  <c r="AL36" i="359"/>
  <c r="BO512" i="1"/>
  <c r="BO510" i="1"/>
  <c r="BO511" i="1" s="1"/>
  <c r="AK165" i="1"/>
  <c r="AK167" i="1" s="1"/>
  <c r="AK14" i="1" s="1"/>
  <c r="AK15" i="1" s="1"/>
  <c r="AK508" i="1"/>
  <c r="AK572" i="1"/>
  <c r="AP36" i="359" l="1"/>
  <c r="AK577" i="1"/>
  <c r="AK588" i="1" s="1"/>
  <c r="AK582" i="1"/>
  <c r="AK593" i="1" s="1"/>
  <c r="AK583" i="1"/>
  <c r="AK594" i="1" s="1"/>
  <c r="BO165" i="1"/>
  <c r="BO167" i="1" s="1"/>
  <c r="AK570" i="1"/>
  <c r="AL40" i="359"/>
  <c r="AL41" i="359" s="1"/>
  <c r="AL45" i="359"/>
  <c r="AL57" i="359"/>
  <c r="AL52" i="359"/>
  <c r="AL53" i="359" s="1"/>
  <c r="AK160" i="1"/>
  <c r="AA9" i="267"/>
  <c r="AK225" i="1"/>
  <c r="BO225" i="1" s="1"/>
  <c r="AK1005" i="1"/>
  <c r="AK1007" i="1" s="1"/>
  <c r="BO14" i="1"/>
  <c r="AK224" i="1"/>
  <c r="BO224" i="1" s="1"/>
  <c r="AK541" i="1"/>
  <c r="AK538" i="1"/>
  <c r="AK539" i="1" s="1"/>
  <c r="BO539" i="1" s="1"/>
  <c r="BO537" i="1"/>
  <c r="BO533" i="1"/>
  <c r="AK543" i="1"/>
  <c r="BO508" i="1"/>
  <c r="BO513" i="1" s="1"/>
  <c r="BO177" i="1" s="1"/>
  <c r="BO540" i="1" l="1"/>
  <c r="BO201" i="1" s="1"/>
  <c r="BO196" i="1"/>
  <c r="AK540" i="1"/>
  <c r="AK201" i="1" s="1"/>
  <c r="AK196" i="1"/>
  <c r="AO565" i="1"/>
  <c r="AO575" i="1" s="1"/>
  <c r="AO570" i="1"/>
  <c r="AP52" i="359"/>
  <c r="AP53" i="359" s="1"/>
  <c r="AP45" i="359"/>
  <c r="AK580" i="1"/>
  <c r="AL138" i="359"/>
  <c r="AL61" i="359"/>
  <c r="AL66" i="359"/>
  <c r="AL73" i="359"/>
  <c r="AL74" i="359" s="1"/>
  <c r="BO15" i="1"/>
  <c r="J10" i="523" s="1"/>
  <c r="AK174" i="1"/>
  <c r="BO543" i="1"/>
  <c r="BO541" i="1"/>
  <c r="BO538" i="1"/>
  <c r="BO518" i="1"/>
  <c r="BO519" i="1" s="1"/>
  <c r="AK527" i="1"/>
  <c r="AK528" i="1" s="1"/>
  <c r="AK522" i="1"/>
  <c r="AK515" i="1"/>
  <c r="BO515" i="1" s="1"/>
  <c r="AK519" i="1"/>
  <c r="AK520" i="1" s="1"/>
  <c r="J10" i="503" l="1"/>
  <c r="J10" i="504"/>
  <c r="BO160" i="1"/>
  <c r="J10" i="198"/>
  <c r="AK591" i="1"/>
  <c r="AO591" i="1"/>
  <c r="AK529" i="1"/>
  <c r="AK530" i="1" s="1"/>
  <c r="AK521" i="1"/>
  <c r="AL143" i="359"/>
  <c r="AL144" i="359" s="1"/>
  <c r="AL62" i="359"/>
  <c r="BO174" i="1"/>
  <c r="BO522" i="1"/>
  <c r="AK524" i="1"/>
  <c r="BO524" i="1" s="1"/>
  <c r="BO527" i="1"/>
  <c r="AK531" i="1"/>
  <c r="AK39" i="1" l="1"/>
  <c r="AK40" i="1" s="1"/>
  <c r="BO528" i="1"/>
  <c r="BO531" i="1"/>
  <c r="AK759" i="1"/>
  <c r="AK778" i="1"/>
  <c r="AK785" i="1" l="1"/>
  <c r="AK786" i="1" s="1"/>
  <c r="AK787" i="1" s="1"/>
  <c r="AK60" i="1" s="1"/>
  <c r="AK761" i="1"/>
  <c r="AK50" i="1" l="1"/>
  <c r="AK51" i="1" s="1"/>
  <c r="AK788" i="1"/>
  <c r="AK48" i="1"/>
  <c r="AK769" i="1"/>
  <c r="AK768" i="1"/>
  <c r="AK941" i="1" l="1"/>
  <c r="AC60" i="523"/>
  <c r="AC61" i="523" s="1"/>
  <c r="AK198" i="1"/>
  <c r="AK69" i="1"/>
  <c r="AK70" i="1" s="1"/>
  <c r="AK71" i="1" s="1"/>
  <c r="AK73" i="1" s="1"/>
  <c r="AK74" i="1" s="1"/>
  <c r="BT48" i="1"/>
  <c r="BT49" i="1" s="1"/>
  <c r="AA11" i="267"/>
  <c r="AA13" i="267" s="1"/>
  <c r="AA16" i="267" s="1"/>
  <c r="AK53" i="1"/>
  <c r="AK52" i="1"/>
  <c r="AK49" i="1"/>
  <c r="AK57" i="1" s="1"/>
  <c r="AC61" i="198"/>
  <c r="AC62" i="198" s="1"/>
  <c r="AK78" i="1"/>
  <c r="E36" i="276"/>
  <c r="AK943" i="1" l="1"/>
  <c r="AK942" i="1"/>
  <c r="AA12" i="267"/>
  <c r="AK113" i="1"/>
  <c r="AK80" i="1"/>
  <c r="AK79" i="1"/>
  <c r="AK86" i="1"/>
  <c r="AC55" i="523" s="1"/>
  <c r="AC57" i="523" s="1"/>
  <c r="AC58" i="523" s="1"/>
  <c r="J36" i="276"/>
  <c r="H36" i="276"/>
  <c r="F36" i="276"/>
  <c r="G36" i="276"/>
  <c r="AA18" i="267"/>
  <c r="AA19" i="267" s="1"/>
  <c r="AK58" i="1" s="1"/>
  <c r="AA15" i="267"/>
  <c r="AK90" i="1" l="1"/>
  <c r="AK91" i="1" s="1"/>
  <c r="AK61" i="1"/>
  <c r="AK101" i="1"/>
  <c r="AK87" i="1"/>
  <c r="AK137" i="1"/>
  <c r="AK110" i="1"/>
  <c r="AC56" i="198"/>
  <c r="AC58" i="198" s="1"/>
  <c r="AC59" i="198" s="1"/>
  <c r="AK88" i="1"/>
  <c r="AK107" i="1" s="1"/>
  <c r="BO1058" i="1"/>
  <c r="BO1060" i="1" s="1"/>
  <c r="BO1061" i="1" s="1"/>
  <c r="AK93" i="1" l="1"/>
  <c r="AK92" i="1"/>
  <c r="AK103" i="1"/>
  <c r="BT101" i="1"/>
  <c r="BT103" i="1" s="1"/>
  <c r="AK63" i="1"/>
  <c r="AK54" i="1" s="1"/>
  <c r="AK114" i="1"/>
  <c r="AK102" i="1"/>
  <c r="AK864" i="1" l="1"/>
  <c r="AK867" i="1" s="1"/>
  <c r="AK121" i="1"/>
  <c r="AK115" i="1"/>
  <c r="AK116" i="1" l="1"/>
  <c r="R107" i="519" l="1"/>
  <c r="R140" i="519" s="1"/>
  <c r="R50" i="519"/>
  <c r="R52" i="519" s="1"/>
  <c r="R61" i="519" l="1"/>
  <c r="R54" i="519"/>
  <c r="S29" i="519"/>
  <c r="S50" i="519" s="1"/>
  <c r="R59" i="519"/>
  <c r="R58" i="519"/>
  <c r="S54" i="519" l="1"/>
  <c r="S52" i="519"/>
  <c r="S107" i="519"/>
  <c r="S140" i="519" s="1"/>
  <c r="T29" i="519" s="1"/>
  <c r="S61" i="519"/>
  <c r="S58" i="519"/>
  <c r="S59" i="519"/>
  <c r="T50" i="519" l="1"/>
  <c r="T61" i="519" s="1"/>
  <c r="T107" i="519"/>
  <c r="T140" i="519" s="1"/>
  <c r="U29" i="519" s="1"/>
  <c r="T59" i="519" l="1"/>
  <c r="T58" i="519"/>
  <c r="T52" i="519"/>
  <c r="T54" i="519"/>
  <c r="U107" i="519"/>
  <c r="U140" i="519" s="1"/>
  <c r="V29" i="519" s="1"/>
  <c r="V107" i="519" s="1"/>
  <c r="V140" i="519" s="1"/>
  <c r="W29" i="519" s="1"/>
  <c r="W107" i="519" s="1"/>
  <c r="W140" i="519" s="1"/>
  <c r="X29" i="519" s="1"/>
  <c r="X107" i="519" l="1"/>
  <c r="X140" i="519" s="1"/>
  <c r="Y29" i="519" s="1"/>
  <c r="Y107" i="519" l="1"/>
  <c r="Y140" i="519" s="1"/>
  <c r="Z29" i="519" s="1"/>
  <c r="Z107" i="519" s="1"/>
  <c r="Z140" i="519" s="1"/>
  <c r="AA29" i="519" s="1"/>
  <c r="AA107" i="519" l="1"/>
  <c r="AA140" i="519" s="1"/>
  <c r="AB29" i="519" s="1"/>
  <c r="AB107" i="519" l="1"/>
  <c r="AB140" i="519" s="1"/>
  <c r="AC29" i="519" s="1"/>
  <c r="AC107" i="519" l="1"/>
  <c r="AC140" i="519" s="1"/>
  <c r="AD29" i="519" s="1"/>
  <c r="AD107" i="519" l="1"/>
  <c r="AD140" i="519" s="1"/>
  <c r="AE29" i="519" s="1"/>
  <c r="AE107" i="519" l="1"/>
  <c r="AE140" i="519" s="1"/>
  <c r="AF29" i="519" s="1"/>
  <c r="AF107" i="519" l="1"/>
  <c r="AF140" i="519" s="1"/>
  <c r="AG29" i="519" s="1"/>
  <c r="AG107" i="519" l="1"/>
  <c r="AG140" i="519" s="1"/>
  <c r="AO567" i="1"/>
  <c r="AO586" i="1"/>
  <c r="AN586" i="1"/>
  <c r="AN567" i="1" l="1"/>
  <c r="AN572" i="1" s="1"/>
  <c r="AO572" i="1"/>
  <c r="AO583" i="1" s="1"/>
  <c r="AO577" i="1"/>
  <c r="AO588" i="1" s="1"/>
  <c r="AN577" i="1" l="1"/>
  <c r="AN588" i="1" s="1"/>
  <c r="AO582" i="1"/>
  <c r="AO593" i="1" s="1"/>
  <c r="AO510" i="1"/>
  <c r="AO150" i="1" s="1"/>
  <c r="AO594" i="1"/>
  <c r="AN583" i="1"/>
  <c r="AN594" i="1" s="1"/>
  <c r="AN510" i="1"/>
  <c r="AN150" i="1" s="1"/>
  <c r="AN582" i="1"/>
  <c r="AN593" i="1" s="1"/>
  <c r="AO157" i="1" l="1"/>
  <c r="AO152" i="1"/>
  <c r="AN508" i="1"/>
  <c r="AN511" i="1"/>
  <c r="AO511" i="1"/>
  <c r="AO508" i="1"/>
  <c r="AN515" i="1" l="1"/>
  <c r="AN533" i="1"/>
  <c r="AO533" i="1"/>
  <c r="AO515" i="1"/>
  <c r="AO518" i="1" s="1"/>
  <c r="AO513" i="1"/>
  <c r="AO177" i="1" s="1"/>
  <c r="AO159" i="1"/>
  <c r="AO12" i="1"/>
  <c r="AO22" i="1" s="1"/>
  <c r="AN513" i="1"/>
  <c r="AN177" i="1" s="1"/>
  <c r="AN157" i="1"/>
  <c r="AN152" i="1"/>
  <c r="AN12" i="1" s="1"/>
  <c r="AN22" i="1" s="1"/>
  <c r="E6" i="276" l="1"/>
  <c r="H6" i="276" s="1"/>
  <c r="AO1027" i="1"/>
  <c r="AO1029" i="1" s="1"/>
  <c r="AO1030" i="1" s="1"/>
  <c r="AO1006" i="1" s="1"/>
  <c r="AO14" i="1" s="1"/>
  <c r="AO994" i="1"/>
  <c r="AO1003" i="1" s="1"/>
  <c r="AO732" i="1"/>
  <c r="AO991" i="1"/>
  <c r="AO1000" i="1" s="1"/>
  <c r="AO989" i="1"/>
  <c r="AO19" i="1"/>
  <c r="AO20" i="1" s="1"/>
  <c r="AO13" i="1"/>
  <c r="AO993" i="1"/>
  <c r="AO1002" i="1" s="1"/>
  <c r="AO990" i="1"/>
  <c r="AO999" i="1" s="1"/>
  <c r="AO992" i="1"/>
  <c r="AO1001" i="1" s="1"/>
  <c r="AN518" i="1"/>
  <c r="AN522" i="1" s="1"/>
  <c r="AN159" i="1"/>
  <c r="AN537" i="1"/>
  <c r="AN543" i="1"/>
  <c r="AO519" i="1"/>
  <c r="AO522" i="1"/>
  <c r="AO543" i="1"/>
  <c r="AO537" i="1"/>
  <c r="AO182" i="1" s="1"/>
  <c r="AO451" i="1" l="1"/>
  <c r="AO164" i="1" s="1"/>
  <c r="G6" i="276"/>
  <c r="F6" i="276"/>
  <c r="BU12" i="1"/>
  <c r="BU13" i="1" s="1"/>
  <c r="AN519" i="1"/>
  <c r="AO15" i="1"/>
  <c r="AO174" i="1" s="1"/>
  <c r="AO253" i="1"/>
  <c r="AO163" i="1" s="1"/>
  <c r="AO512" i="1"/>
  <c r="AO165" i="1" s="1"/>
  <c r="AO995" i="1"/>
  <c r="AO1004" i="1" s="1"/>
  <c r="AO998" i="1"/>
  <c r="AO772" i="1"/>
  <c r="AO775" i="1" s="1"/>
  <c r="AO776" i="1" s="1"/>
  <c r="AO737" i="1"/>
  <c r="AO98" i="1"/>
  <c r="AO99" i="1"/>
  <c r="AO23" i="1"/>
  <c r="AO24" i="1" s="1"/>
  <c r="AO25" i="1" s="1"/>
  <c r="AO746" i="1"/>
  <c r="AO751" i="1" s="1"/>
  <c r="AN13" i="1"/>
  <c r="AN994" i="1"/>
  <c r="AN1003" i="1" s="1"/>
  <c r="AN990" i="1"/>
  <c r="AN999" i="1" s="1"/>
  <c r="AN19" i="1"/>
  <c r="AN732" i="1"/>
  <c r="AN992" i="1"/>
  <c r="AN1001" i="1" s="1"/>
  <c r="AN989" i="1"/>
  <c r="AN993" i="1"/>
  <c r="AN1002" i="1" s="1"/>
  <c r="AN991" i="1"/>
  <c r="AN1000" i="1" s="1"/>
  <c r="AN1027" i="1"/>
  <c r="AN1029" i="1" s="1"/>
  <c r="AN1030" i="1" s="1"/>
  <c r="AN1006" i="1" s="1"/>
  <c r="AN14" i="1" s="1"/>
  <c r="AN451" i="1" s="1"/>
  <c r="AO206" i="1"/>
  <c r="AO189" i="1"/>
  <c r="AO184" i="1"/>
  <c r="AN182" i="1"/>
  <c r="AN184" i="1" s="1"/>
  <c r="AO541" i="1"/>
  <c r="AO538" i="1"/>
  <c r="AO539" i="1" s="1"/>
  <c r="AO540" i="1" s="1"/>
  <c r="AO527" i="1"/>
  <c r="AN538" i="1"/>
  <c r="AN541" i="1"/>
  <c r="AN527" i="1"/>
  <c r="AN539" i="1" l="1"/>
  <c r="AN540" i="1" s="1"/>
  <c r="AO160" i="1"/>
  <c r="AO167" i="1"/>
  <c r="AN253" i="1"/>
  <c r="AN512" i="1"/>
  <c r="AN995" i="1"/>
  <c r="AN1004" i="1" s="1"/>
  <c r="AN998" i="1"/>
  <c r="AN20" i="1"/>
  <c r="AN15" i="1"/>
  <c r="AN746" i="1"/>
  <c r="AN23" i="1"/>
  <c r="AN24" i="1" s="1"/>
  <c r="AN772" i="1"/>
  <c r="AN737" i="1"/>
  <c r="AN206" i="1"/>
  <c r="AN189" i="1"/>
  <c r="AO208" i="1"/>
  <c r="AO191" i="1"/>
  <c r="AO48" i="1"/>
  <c r="AN531" i="1"/>
  <c r="AN528" i="1"/>
  <c r="AN524" i="1"/>
  <c r="AO524" i="1"/>
  <c r="AO531" i="1"/>
  <c r="AO528" i="1"/>
  <c r="AN775" i="1" l="1"/>
  <c r="AN751" i="1"/>
  <c r="AN25" i="1"/>
  <c r="AN99" i="1"/>
  <c r="AN98" i="1"/>
  <c r="AN174" i="1"/>
  <c r="AN160" i="1"/>
  <c r="AN163" i="1"/>
  <c r="AN165" i="1"/>
  <c r="AN164" i="1"/>
  <c r="AN191" i="1"/>
  <c r="AN48" i="1"/>
  <c r="AN208" i="1"/>
  <c r="AO69" i="1"/>
  <c r="AO70" i="1" s="1"/>
  <c r="AO757" i="1"/>
  <c r="AO78" i="1"/>
  <c r="AO49" i="1"/>
  <c r="AO50" i="1" s="1"/>
  <c r="AO51" i="1" s="1"/>
  <c r="AO53" i="1"/>
  <c r="AO52" i="1"/>
  <c r="AO32" i="1"/>
  <c r="E33" i="276" l="1"/>
  <c r="H33" i="276" s="1"/>
  <c r="M9" i="198"/>
  <c r="L10" i="198"/>
  <c r="AN776" i="1"/>
  <c r="AN167" i="1"/>
  <c r="AO38" i="1"/>
  <c r="AO39" i="1" s="1"/>
  <c r="AO40" i="1" s="1"/>
  <c r="AO46" i="1"/>
  <c r="AO80" i="1"/>
  <c r="AO79" i="1"/>
  <c r="AO778" i="1"/>
  <c r="AO785" i="1" s="1"/>
  <c r="AO759" i="1"/>
  <c r="AN69" i="1"/>
  <c r="AN70" i="1" s="1"/>
  <c r="AN757" i="1"/>
  <c r="AN78" i="1"/>
  <c r="AN49" i="1"/>
  <c r="AN50" i="1" s="1"/>
  <c r="AN51" i="1" s="1"/>
  <c r="AN52" i="1"/>
  <c r="AN53" i="1"/>
  <c r="AN32" i="1"/>
  <c r="G33" i="276" l="1"/>
  <c r="F33" i="276"/>
  <c r="N9" i="198"/>
  <c r="M10" i="198"/>
  <c r="AN46" i="1"/>
  <c r="AN38" i="1"/>
  <c r="AN39" i="1" s="1"/>
  <c r="AN80" i="1"/>
  <c r="AN79" i="1"/>
  <c r="AN71" i="1"/>
  <c r="AN73" i="1" s="1"/>
  <c r="AO113" i="1"/>
  <c r="AO760" i="1"/>
  <c r="AO761" i="1" s="1"/>
  <c r="AO71" i="1"/>
  <c r="AO73" i="1" s="1"/>
  <c r="AO74" i="1" s="1"/>
  <c r="AN759" i="1"/>
  <c r="AN778" i="1"/>
  <c r="AO786" i="1"/>
  <c r="AO787" i="1" s="1"/>
  <c r="AO788" i="1"/>
  <c r="N10" i="198" l="1"/>
  <c r="O9" i="198"/>
  <c r="AN785" i="1"/>
  <c r="AN74" i="1"/>
  <c r="AN40" i="1"/>
  <c r="AN760" i="1"/>
  <c r="AN113" i="1"/>
  <c r="AN788" i="1" l="1"/>
  <c r="AN786" i="1"/>
  <c r="AN787" i="1" s="1"/>
  <c r="O10" i="198"/>
  <c r="P9" i="198"/>
  <c r="AN761" i="1"/>
  <c r="P10" i="198" l="1"/>
  <c r="Q9" i="198"/>
  <c r="R9" i="198" l="1"/>
  <c r="Q10" i="198"/>
  <c r="R10" i="198" l="1"/>
  <c r="S9" i="198"/>
  <c r="S10" i="198" l="1"/>
  <c r="T9" i="198"/>
  <c r="U9" i="198" l="1"/>
  <c r="T10" i="198"/>
  <c r="U10" i="198" l="1"/>
  <c r="V9" i="198"/>
  <c r="V10" i="198" s="1"/>
  <c r="AL190" i="1"/>
  <c r="AL207" i="1"/>
  <c r="AP207" i="1" s="1"/>
  <c r="AP183" i="1" s="1"/>
  <c r="AL184" i="1"/>
  <c r="AL191" i="1" s="1"/>
  <c r="AL208" i="1" l="1"/>
  <c r="AP190" i="1"/>
  <c r="AL759" i="1" l="1"/>
  <c r="BO759" i="1" s="1"/>
  <c r="AL778" i="1"/>
  <c r="BO32" i="1"/>
  <c r="BO38" i="1" s="1"/>
  <c r="BO39" i="1"/>
  <c r="BO46" i="1" l="1"/>
  <c r="BO40" i="1"/>
  <c r="BO778" i="1"/>
  <c r="AL785" i="1"/>
  <c r="AL48" i="1" s="1"/>
  <c r="BU48" i="1" l="1"/>
  <c r="BU49" i="1" s="1"/>
  <c r="AL941" i="1"/>
  <c r="AM942" i="1" s="1"/>
  <c r="AL52" i="1"/>
  <c r="E35" i="276"/>
  <c r="AL53" i="1"/>
  <c r="AB11" i="267"/>
  <c r="AL49" i="1"/>
  <c r="AL57" i="1" s="1"/>
  <c r="AL69" i="1"/>
  <c r="AL70" i="1" s="1"/>
  <c r="BO48" i="1"/>
  <c r="AL78" i="1"/>
  <c r="BO785" i="1"/>
  <c r="AL788" i="1"/>
  <c r="AL786" i="1"/>
  <c r="AL787" i="1" s="1"/>
  <c r="AL60" i="1" s="1"/>
  <c r="AL761" i="1"/>
  <c r="BO761" i="1" s="1"/>
  <c r="AL943" i="1" l="1"/>
  <c r="AL942" i="1"/>
  <c r="BO941" i="1"/>
  <c r="J13" i="523"/>
  <c r="BO764" i="1"/>
  <c r="BO765" i="1"/>
  <c r="J13" i="504"/>
  <c r="J124" i="504" s="1"/>
  <c r="J125" i="504" s="1"/>
  <c r="J13" i="503"/>
  <c r="J124" i="503" s="1"/>
  <c r="J125" i="503" s="1"/>
  <c r="AL50" i="1"/>
  <c r="AL198" i="1" s="1"/>
  <c r="BO60" i="1"/>
  <c r="J24" i="523" s="1"/>
  <c r="AL71" i="1"/>
  <c r="AL73" i="1" s="1"/>
  <c r="AL113" i="1"/>
  <c r="BO113" i="1" s="1"/>
  <c r="BO119" i="1" s="1"/>
  <c r="BO866" i="1" s="1"/>
  <c r="BO70" i="1"/>
  <c r="H35" i="276"/>
  <c r="G35" i="276"/>
  <c r="F35" i="276"/>
  <c r="AL86" i="1"/>
  <c r="BO78" i="1"/>
  <c r="AL79" i="1"/>
  <c r="AL80" i="1"/>
  <c r="J13" i="198"/>
  <c r="J125" i="198" s="1"/>
  <c r="BO53" i="1"/>
  <c r="BO51" i="1"/>
  <c r="BO69" i="1"/>
  <c r="BO52" i="1"/>
  <c r="BO49" i="1"/>
  <c r="BO57" i="1" s="1"/>
  <c r="AB13" i="267"/>
  <c r="AB16" i="267" s="1"/>
  <c r="AB12" i="267"/>
  <c r="AL769" i="1"/>
  <c r="AL768" i="1"/>
  <c r="BO788" i="1"/>
  <c r="BO786" i="1"/>
  <c r="BO50" i="1" l="1"/>
  <c r="BO198" i="1" s="1"/>
  <c r="AL51" i="1"/>
  <c r="J32" i="523"/>
  <c r="J14" i="523"/>
  <c r="J21" i="523" s="1"/>
  <c r="J124" i="523"/>
  <c r="J125" i="523" s="1"/>
  <c r="J17" i="523"/>
  <c r="J16" i="523"/>
  <c r="BO942" i="1"/>
  <c r="BO943" i="1"/>
  <c r="F57" i="276"/>
  <c r="F56" i="276"/>
  <c r="AL90" i="1"/>
  <c r="AM91" i="1" s="1"/>
  <c r="AM137" i="1"/>
  <c r="G57" i="276"/>
  <c r="G56" i="276"/>
  <c r="H57" i="276"/>
  <c r="H56" i="276"/>
  <c r="BO787" i="1"/>
  <c r="J25" i="198"/>
  <c r="J17" i="503"/>
  <c r="J14" i="503"/>
  <c r="J16" i="503"/>
  <c r="J17" i="504"/>
  <c r="J16" i="504"/>
  <c r="J14" i="504"/>
  <c r="AB18" i="267"/>
  <c r="AB19" i="267" s="1"/>
  <c r="AL58" i="1" s="1"/>
  <c r="AB15" i="267"/>
  <c r="J14" i="198"/>
  <c r="J22" i="198" s="1"/>
  <c r="J33" i="198"/>
  <c r="J45" i="198" s="1"/>
  <c r="J17" i="198"/>
  <c r="J18" i="198"/>
  <c r="AL110" i="1"/>
  <c r="AL101" i="1"/>
  <c r="AL137" i="1"/>
  <c r="AL88" i="1"/>
  <c r="AL107" i="1" s="1"/>
  <c r="AL87" i="1"/>
  <c r="BO86" i="1"/>
  <c r="BO71" i="1"/>
  <c r="BO80" i="1"/>
  <c r="BO79" i="1"/>
  <c r="AL74" i="1"/>
  <c r="BO73" i="1"/>
  <c r="BO74" i="1" s="1"/>
  <c r="AL92" i="1" l="1"/>
  <c r="AL91" i="1"/>
  <c r="AL93" i="1"/>
  <c r="J58" i="523"/>
  <c r="J61" i="523" s="1"/>
  <c r="J34" i="523"/>
  <c r="J33" i="523"/>
  <c r="J35" i="523"/>
  <c r="J44" i="523"/>
  <c r="BO90" i="1"/>
  <c r="BO91" i="1" s="1"/>
  <c r="J32" i="504"/>
  <c r="J32" i="503"/>
  <c r="J46" i="198"/>
  <c r="J47" i="198"/>
  <c r="AL61" i="1"/>
  <c r="AL103" i="1"/>
  <c r="AL102" i="1"/>
  <c r="J34" i="198"/>
  <c r="J35" i="198"/>
  <c r="J59" i="198"/>
  <c r="J62" i="198" s="1"/>
  <c r="J36" i="198"/>
  <c r="BO88" i="1"/>
  <c r="BO87" i="1"/>
  <c r="AL114" i="1"/>
  <c r="BO110" i="1"/>
  <c r="BO72" i="1"/>
  <c r="J46" i="523" l="1"/>
  <c r="J45" i="523"/>
  <c r="J62" i="523"/>
  <c r="J86" i="523"/>
  <c r="BO92" i="1"/>
  <c r="BO93" i="1"/>
  <c r="J34" i="503"/>
  <c r="J35" i="503"/>
  <c r="J58" i="503"/>
  <c r="J61" i="503" s="1"/>
  <c r="J33" i="503"/>
  <c r="J44" i="503"/>
  <c r="J33" i="504"/>
  <c r="J58" i="504"/>
  <c r="J61" i="504" s="1"/>
  <c r="J35" i="504"/>
  <c r="J34" i="504"/>
  <c r="J44" i="504"/>
  <c r="AL63" i="1"/>
  <c r="AL54" i="1" s="1"/>
  <c r="AL115" i="1"/>
  <c r="AL121" i="1"/>
  <c r="AL864" i="1"/>
  <c r="AL867" i="1" s="1"/>
  <c r="J63" i="198"/>
  <c r="J87" i="198"/>
  <c r="J130" i="523" l="1"/>
  <c r="I131" i="523" s="1"/>
  <c r="I133" i="523"/>
  <c r="J46" i="504"/>
  <c r="J45" i="504"/>
  <c r="J86" i="504"/>
  <c r="J131" i="504" s="1"/>
  <c r="I132" i="504" s="1"/>
  <c r="J62" i="504"/>
  <c r="J46" i="503"/>
  <c r="J45" i="503"/>
  <c r="J86" i="503"/>
  <c r="J130" i="503" s="1"/>
  <c r="I131" i="503" s="1"/>
  <c r="J62" i="503"/>
  <c r="I134" i="198"/>
  <c r="J131" i="198"/>
  <c r="I132" i="198" s="1"/>
  <c r="AL116" i="1"/>
  <c r="AL565" i="1" l="1"/>
  <c r="AM36" i="359" s="1"/>
  <c r="AM40" i="359" l="1"/>
  <c r="AM41" i="359" s="1"/>
  <c r="AM45" i="359"/>
  <c r="AQ36" i="359"/>
  <c r="AM52" i="359"/>
  <c r="AM53" i="359" s="1"/>
  <c r="AM57" i="359"/>
  <c r="AL567" i="1"/>
  <c r="AP565" i="1" l="1"/>
  <c r="AP575" i="1" s="1"/>
  <c r="AP586" i="1" s="1"/>
  <c r="AQ45" i="359"/>
  <c r="AQ52" i="359"/>
  <c r="AQ53" i="359" s="1"/>
  <c r="AM61" i="359"/>
  <c r="AM66" i="359"/>
  <c r="AM73" i="359"/>
  <c r="AM74" i="359" s="1"/>
  <c r="AM138" i="359"/>
  <c r="AL577" i="1"/>
  <c r="AL588" i="1" s="1"/>
  <c r="AP567" i="1" l="1"/>
  <c r="AP577" i="1" s="1"/>
  <c r="AP588" i="1" s="1"/>
  <c r="AM143" i="359"/>
  <c r="AM144" i="359" s="1"/>
  <c r="AM62" i="359"/>
  <c r="AL582" i="1"/>
  <c r="AL593" i="1" s="1"/>
  <c r="AL570" i="1"/>
  <c r="AL580" i="1" s="1"/>
  <c r="AL583" i="1"/>
  <c r="AL594" i="1" s="1"/>
  <c r="AP570" i="1" l="1"/>
  <c r="AP591" i="1"/>
  <c r="AL591" i="1"/>
  <c r="AP572" i="1" l="1"/>
  <c r="AP583" i="1" s="1"/>
  <c r="AP510" i="1" l="1"/>
  <c r="AP594" i="1"/>
  <c r="AP582" i="1"/>
  <c r="AP593" i="1" s="1"/>
  <c r="AP511" i="1" l="1"/>
  <c r="AP508" i="1"/>
  <c r="AP150" i="1"/>
  <c r="AP533" i="1" l="1"/>
  <c r="AP515" i="1"/>
  <c r="AP152" i="1"/>
  <c r="AP157" i="1"/>
  <c r="AP513" i="1"/>
  <c r="AP177" i="1" s="1"/>
  <c r="AP518" i="1" l="1"/>
  <c r="AP543" i="1"/>
  <c r="AP537" i="1"/>
  <c r="AP12" i="1"/>
  <c r="AP22" i="1" s="1"/>
  <c r="AP159" i="1"/>
  <c r="AP991" i="1" l="1"/>
  <c r="AP1000" i="1" s="1"/>
  <c r="AP990" i="1"/>
  <c r="AP999" i="1" s="1"/>
  <c r="AP732" i="1"/>
  <c r="AP19" i="1"/>
  <c r="AP992" i="1"/>
  <c r="AP1001" i="1" s="1"/>
  <c r="AP993" i="1"/>
  <c r="AP1002" i="1" s="1"/>
  <c r="AP13" i="1"/>
  <c r="AP1027" i="1"/>
  <c r="AP1029" i="1" s="1"/>
  <c r="AP1030" i="1" s="1"/>
  <c r="AP1006" i="1" s="1"/>
  <c r="AP14" i="1" s="1"/>
  <c r="AP989" i="1"/>
  <c r="AP994" i="1"/>
  <c r="AP1003" i="1" s="1"/>
  <c r="AP522" i="1"/>
  <c r="AP527" i="1"/>
  <c r="AP519" i="1"/>
  <c r="AP182" i="1"/>
  <c r="AP541" i="1"/>
  <c r="AP538" i="1"/>
  <c r="AP451" i="1" l="1"/>
  <c r="AP539" i="1"/>
  <c r="AP540" i="1" s="1"/>
  <c r="AP531" i="1"/>
  <c r="AP524" i="1"/>
  <c r="AP528" i="1"/>
  <c r="AP206" i="1"/>
  <c r="AP184" i="1"/>
  <c r="AP189" i="1"/>
  <c r="AP998" i="1"/>
  <c r="AP995" i="1"/>
  <c r="AP1004" i="1" s="1"/>
  <c r="AP772" i="1"/>
  <c r="AP737" i="1"/>
  <c r="AP23" i="1"/>
  <c r="AP24" i="1" s="1"/>
  <c r="AP746" i="1"/>
  <c r="AP20" i="1"/>
  <c r="AP15" i="1"/>
  <c r="AP512" i="1"/>
  <c r="AP253" i="1"/>
  <c r="AP25" i="1" l="1"/>
  <c r="AP164" i="1"/>
  <c r="AP160" i="1"/>
  <c r="AP174" i="1"/>
  <c r="AP751" i="1"/>
  <c r="AP165" i="1"/>
  <c r="AP775" i="1"/>
  <c r="AP163" i="1"/>
  <c r="AP48" i="1"/>
  <c r="AP208" i="1"/>
  <c r="AP191" i="1"/>
  <c r="AP99" i="1"/>
  <c r="AP98" i="1"/>
  <c r="AP167" i="1" l="1"/>
  <c r="AP776" i="1"/>
  <c r="AP78" i="1"/>
  <c r="AP52" i="1"/>
  <c r="AP69" i="1"/>
  <c r="AP757" i="1"/>
  <c r="AP49" i="1"/>
  <c r="AP50" i="1" s="1"/>
  <c r="AP53" i="1"/>
  <c r="AP32" i="1"/>
  <c r="AP51" i="1" l="1"/>
  <c r="AP46" i="1"/>
  <c r="AP38" i="1"/>
  <c r="AP39" i="1" s="1"/>
  <c r="AP70" i="1"/>
  <c r="AP71" i="1" s="1"/>
  <c r="AP73" i="1" s="1"/>
  <c r="AP80" i="1"/>
  <c r="AP79" i="1"/>
  <c r="AP778" i="1"/>
  <c r="AP759" i="1"/>
  <c r="AP40" i="1" l="1"/>
  <c r="AP74" i="1"/>
  <c r="AP113" i="1"/>
  <c r="AP760" i="1"/>
  <c r="AP785" i="1"/>
  <c r="AP788" i="1" l="1"/>
  <c r="AP786" i="1"/>
  <c r="AP787" i="1" s="1"/>
  <c r="AP761" i="1"/>
  <c r="AO106" i="1" l="1"/>
  <c r="AP106" i="1"/>
  <c r="AN106" i="1"/>
  <c r="BP111" i="1"/>
  <c r="K48" i="523" s="1"/>
  <c r="K65" i="523" l="1"/>
  <c r="M149" i="523"/>
  <c r="K48" i="503"/>
  <c r="K48" i="504"/>
  <c r="BP97" i="1"/>
  <c r="K49" i="198"/>
  <c r="K65" i="504" l="1"/>
  <c r="V14" i="520"/>
  <c r="K65" i="503"/>
  <c r="V14" i="521"/>
  <c r="M150" i="198"/>
  <c r="AC25" i="522"/>
  <c r="AC19" i="522" s="1"/>
  <c r="K66" i="198"/>
  <c r="V14" i="519"/>
  <c r="V176" i="521" l="1"/>
  <c r="V15" i="521"/>
  <c r="V16" i="521" s="1"/>
  <c r="V82" i="521" s="1"/>
  <c r="V176" i="520"/>
  <c r="V15" i="520"/>
  <c r="V16" i="520" s="1"/>
  <c r="V82" i="520" s="1"/>
  <c r="V176" i="519"/>
  <c r="V37" i="520" l="1"/>
  <c r="W82" i="520"/>
  <c r="X82" i="520" s="1"/>
  <c r="Y82" i="520" s="1"/>
  <c r="Z82" i="520" s="1"/>
  <c r="AA82" i="520" s="1"/>
  <c r="AB82" i="520" s="1"/>
  <c r="V37" i="521"/>
  <c r="W82" i="521"/>
  <c r="X82" i="521" s="1"/>
  <c r="Y82" i="521" s="1"/>
  <c r="Z82" i="521" s="1"/>
  <c r="AA82" i="521" s="1"/>
  <c r="AB82" i="521" s="1"/>
  <c r="AC82" i="521" s="1"/>
  <c r="AD82" i="521" s="1"/>
  <c r="AE82" i="521" s="1"/>
  <c r="V202" i="520"/>
  <c r="V178" i="520"/>
  <c r="V202" i="521"/>
  <c r="V178" i="521"/>
  <c r="V202" i="519"/>
  <c r="V170" i="521" l="1"/>
  <c r="W175" i="521"/>
  <c r="W175" i="520"/>
  <c r="V170" i="520"/>
  <c r="V115" i="521"/>
  <c r="V148" i="521" s="1"/>
  <c r="W37" i="521" s="1"/>
  <c r="W115" i="521" s="1"/>
  <c r="W148" i="521" s="1"/>
  <c r="X37" i="521" s="1"/>
  <c r="X115" i="521" s="1"/>
  <c r="X148" i="521" s="1"/>
  <c r="Y37" i="521" s="1"/>
  <c r="V50" i="521"/>
  <c r="AF82" i="521"/>
  <c r="AC82" i="520"/>
  <c r="V115" i="520"/>
  <c r="V148" i="520" s="1"/>
  <c r="W37" i="520" s="1"/>
  <c r="V50" i="520"/>
  <c r="M10" i="522"/>
  <c r="N10" i="522" s="1"/>
  <c r="N15" i="522" s="1"/>
  <c r="L15" i="522"/>
  <c r="L31" i="522" s="1"/>
  <c r="L36" i="522"/>
  <c r="L37" i="522" s="1"/>
  <c r="W115" i="520" l="1"/>
  <c r="W148" i="520" s="1"/>
  <c r="X37" i="520" s="1"/>
  <c r="X115" i="520" s="1"/>
  <c r="X148" i="520" s="1"/>
  <c r="Y37" i="520" s="1"/>
  <c r="AG82" i="521"/>
  <c r="AD82" i="520"/>
  <c r="AE82" i="520" s="1"/>
  <c r="Y115" i="521"/>
  <c r="Y148" i="521" s="1"/>
  <c r="Z37" i="521" s="1"/>
  <c r="V61" i="521"/>
  <c r="V184" i="521"/>
  <c r="V52" i="521"/>
  <c r="V54" i="521"/>
  <c r="V52" i="520"/>
  <c r="V184" i="520"/>
  <c r="V61" i="520"/>
  <c r="V54" i="520"/>
  <c r="V197" i="520"/>
  <c r="V197" i="521"/>
  <c r="L47" i="522"/>
  <c r="L63" i="522" s="1"/>
  <c r="L21" i="522"/>
  <c r="L20" i="522" s="1"/>
  <c r="N21" i="522"/>
  <c r="O18" i="522" s="1"/>
  <c r="O20" i="522" s="1"/>
  <c r="N36" i="522"/>
  <c r="N37" i="522" s="1"/>
  <c r="N31" i="522"/>
  <c r="N47" i="522"/>
  <c r="N53" i="522" s="1"/>
  <c r="O50" i="522" s="1"/>
  <c r="O52" i="522" s="1"/>
  <c r="M15" i="522"/>
  <c r="L53" i="522"/>
  <c r="L66" i="522"/>
  <c r="L68" i="522" s="1"/>
  <c r="L69" i="522" s="1"/>
  <c r="V186" i="521" l="1"/>
  <c r="V187" i="521"/>
  <c r="V203" i="521"/>
  <c r="V203" i="520"/>
  <c r="V209" i="520" s="1"/>
  <c r="V187" i="520"/>
  <c r="V186" i="520"/>
  <c r="Z115" i="521"/>
  <c r="Z148" i="521" s="1"/>
  <c r="AA37" i="521" s="1"/>
  <c r="AA115" i="521" s="1"/>
  <c r="AA148" i="521" s="1"/>
  <c r="AB37" i="521" s="1"/>
  <c r="AB115" i="521" s="1"/>
  <c r="AB148" i="521" s="1"/>
  <c r="AC37" i="521" s="1"/>
  <c r="AF82" i="520"/>
  <c r="Y115" i="520"/>
  <c r="Y148" i="520" s="1"/>
  <c r="Z37" i="520" s="1"/>
  <c r="Z115" i="520" s="1"/>
  <c r="Z148" i="520" s="1"/>
  <c r="AA37" i="520" s="1"/>
  <c r="AA115" i="520" s="1"/>
  <c r="AA148" i="520" s="1"/>
  <c r="AB37" i="520" s="1"/>
  <c r="M18" i="522"/>
  <c r="N63" i="522"/>
  <c r="N66" i="522"/>
  <c r="N68" i="522" s="1"/>
  <c r="N69" i="522" s="1"/>
  <c r="M36" i="522"/>
  <c r="M37" i="522" s="1"/>
  <c r="M21" i="522"/>
  <c r="N18" i="522" s="1"/>
  <c r="N20" i="522" s="1"/>
  <c r="M47" i="522"/>
  <c r="M31" i="522"/>
  <c r="L52" i="522"/>
  <c r="M50" i="522"/>
  <c r="AB115" i="520" l="1"/>
  <c r="AB148" i="520" s="1"/>
  <c r="AC37" i="520" s="1"/>
  <c r="AC115" i="520" s="1"/>
  <c r="AC148" i="520" s="1"/>
  <c r="AD37" i="520" s="1"/>
  <c r="AD115" i="520" s="1"/>
  <c r="AD148" i="520" s="1"/>
  <c r="AE37" i="520" s="1"/>
  <c r="AE115" i="520" s="1"/>
  <c r="AE148" i="520" s="1"/>
  <c r="AF37" i="520" s="1"/>
  <c r="AF115" i="520" s="1"/>
  <c r="AF148" i="520" s="1"/>
  <c r="AG37" i="520" s="1"/>
  <c r="AG115" i="520" s="1"/>
  <c r="AG82" i="520"/>
  <c r="W183" i="520"/>
  <c r="W185" i="520" s="1"/>
  <c r="V181" i="520"/>
  <c r="V198" i="520" s="1"/>
  <c r="V199" i="520" s="1"/>
  <c r="V208" i="520"/>
  <c r="V208" i="521"/>
  <c r="V209" i="521"/>
  <c r="W183" i="521"/>
  <c r="W185" i="521" s="1"/>
  <c r="V181" i="521"/>
  <c r="V198" i="521" s="1"/>
  <c r="V199" i="521" s="1"/>
  <c r="AC115" i="521"/>
  <c r="AC148" i="521" s="1"/>
  <c r="AD37" i="521" s="1"/>
  <c r="AD115" i="521" s="1"/>
  <c r="AD148" i="521" s="1"/>
  <c r="AE37" i="521" s="1"/>
  <c r="AE115" i="521" s="1"/>
  <c r="AE148" i="521" s="1"/>
  <c r="AF37" i="521" s="1"/>
  <c r="AF115" i="521" s="1"/>
  <c r="AF148" i="521" s="1"/>
  <c r="AG37" i="521" s="1"/>
  <c r="AG115" i="521" s="1"/>
  <c r="AG148" i="521" s="1"/>
  <c r="M53" i="522"/>
  <c r="N50" i="522" s="1"/>
  <c r="N52" i="522" s="1"/>
  <c r="M63" i="522"/>
  <c r="M66" i="522"/>
  <c r="M68" i="522" s="1"/>
  <c r="M69" i="522" s="1"/>
  <c r="M20" i="522"/>
  <c r="V205" i="521" l="1"/>
  <c r="W201" i="521"/>
  <c r="V205" i="520"/>
  <c r="W201" i="520"/>
  <c r="AG148" i="520"/>
  <c r="M52" i="522"/>
  <c r="F10" i="522"/>
  <c r="F15" i="522" s="1"/>
  <c r="D15" i="522"/>
  <c r="D21" i="522" s="1"/>
  <c r="D20" i="522" s="1"/>
  <c r="E15" i="522"/>
  <c r="E21" i="522" s="1"/>
  <c r="D36" i="522"/>
  <c r="D37" i="522" s="1"/>
  <c r="E36" i="522"/>
  <c r="E37" i="522" s="1"/>
  <c r="D47" i="522"/>
  <c r="D66" i="522" s="1"/>
  <c r="D68" i="522" s="1"/>
  <c r="D69" i="522" s="1"/>
  <c r="E47" i="522" l="1"/>
  <c r="E53" i="522" s="1"/>
  <c r="V210" i="520"/>
  <c r="V204" i="520"/>
  <c r="V210" i="521"/>
  <c r="V204" i="521"/>
  <c r="E31" i="522"/>
  <c r="D31" i="522"/>
  <c r="F50" i="522"/>
  <c r="F47" i="522"/>
  <c r="F21" i="522"/>
  <c r="F31" i="522"/>
  <c r="F36" i="522"/>
  <c r="F37" i="522" s="1"/>
  <c r="F18" i="522"/>
  <c r="E63" i="522"/>
  <c r="D53" i="522"/>
  <c r="E18" i="522"/>
  <c r="E20" i="522" s="1"/>
  <c r="D63" i="522"/>
  <c r="E66" i="522"/>
  <c r="E68" i="522" s="1"/>
  <c r="E69" i="522" s="1"/>
  <c r="F20" i="522" l="1"/>
  <c r="G18" i="522"/>
  <c r="G20" i="522" s="1"/>
  <c r="D52" i="522"/>
  <c r="E50" i="522"/>
  <c r="E52" i="522" s="1"/>
  <c r="F66" i="522"/>
  <c r="F68" i="522" s="1"/>
  <c r="F69" i="522" s="1"/>
  <c r="F63" i="522"/>
  <c r="F53" i="522"/>
  <c r="G50" i="522" l="1"/>
  <c r="G52" i="522" s="1"/>
  <c r="F52" i="522"/>
  <c r="T185" i="519" l="1"/>
  <c r="BO572" i="1" l="1"/>
  <c r="BO583" i="1" s="1"/>
  <c r="BO594" i="1" s="1"/>
  <c r="AM565" i="1"/>
  <c r="BO565" i="1" s="1"/>
  <c r="BO582" i="1" l="1"/>
  <c r="BO593" i="1" s="1"/>
  <c r="AM567" i="1"/>
  <c r="AM570" i="1" s="1"/>
  <c r="AN36" i="359"/>
  <c r="AN40" i="359" s="1"/>
  <c r="BO575" i="1"/>
  <c r="BO586" i="1" s="1"/>
  <c r="BO567" i="1" l="1"/>
  <c r="BO577" i="1" s="1"/>
  <c r="BO588" i="1" s="1"/>
  <c r="AM577" i="1"/>
  <c r="AM588" i="1" s="1"/>
  <c r="AR36" i="359"/>
  <c r="AN45" i="359"/>
  <c r="AO52" i="359"/>
  <c r="AO53" i="359" s="1"/>
  <c r="AN52" i="359"/>
  <c r="AN53" i="359" s="1"/>
  <c r="AO57" i="359"/>
  <c r="AP57" i="359"/>
  <c r="AN57" i="359"/>
  <c r="AQ57" i="359"/>
  <c r="AM580" i="1"/>
  <c r="AQ570" i="1"/>
  <c r="BO570" i="1"/>
  <c r="BO580" i="1" s="1"/>
  <c r="BO591" i="1" s="1"/>
  <c r="AQ138" i="359" l="1"/>
  <c r="AQ61" i="359"/>
  <c r="AQ66" i="359"/>
  <c r="AQ73" i="359"/>
  <c r="AQ74" i="359" s="1"/>
  <c r="AN61" i="359"/>
  <c r="AN66" i="359"/>
  <c r="AN73" i="359"/>
  <c r="AN74" i="359" s="1"/>
  <c r="AN138" i="359"/>
  <c r="AP138" i="359"/>
  <c r="AP66" i="359"/>
  <c r="AP73" i="359"/>
  <c r="AP74" i="359" s="1"/>
  <c r="AP61" i="359"/>
  <c r="AO73" i="359"/>
  <c r="AO74" i="359" s="1"/>
  <c r="AO66" i="359"/>
  <c r="AO138" i="359"/>
  <c r="AO61" i="359"/>
  <c r="AR45" i="359"/>
  <c r="AQ565" i="1"/>
  <c r="AR52" i="359"/>
  <c r="AR53" i="359" s="1"/>
  <c r="AR57" i="359"/>
  <c r="BP570" i="1"/>
  <c r="BP580" i="1" s="1"/>
  <c r="BP591" i="1" s="1"/>
  <c r="AM591" i="1"/>
  <c r="AQ591" i="1"/>
  <c r="AR138" i="359" l="1"/>
  <c r="AR61" i="359"/>
  <c r="AR66" i="359"/>
  <c r="AR73" i="359"/>
  <c r="AR74" i="359" s="1"/>
  <c r="AP143" i="359"/>
  <c r="AP144" i="359" s="1"/>
  <c r="AP62" i="359"/>
  <c r="AQ567" i="1"/>
  <c r="BP565" i="1"/>
  <c r="BP575" i="1" s="1"/>
  <c r="BP586" i="1" s="1"/>
  <c r="AQ575" i="1"/>
  <c r="AQ586" i="1" s="1"/>
  <c r="AO143" i="359"/>
  <c r="AO144" i="359" s="1"/>
  <c r="AO62" i="359"/>
  <c r="AN62" i="359"/>
  <c r="AN143" i="359"/>
  <c r="AN144" i="359" s="1"/>
  <c r="AQ62" i="359"/>
  <c r="AQ143" i="359"/>
  <c r="AQ144" i="359" s="1"/>
  <c r="BP567" i="1" l="1"/>
  <c r="BP577" i="1" s="1"/>
  <c r="BP588" i="1" s="1"/>
  <c r="AQ577" i="1"/>
  <c r="AQ588" i="1" s="1"/>
  <c r="AQ572" i="1"/>
  <c r="AR143" i="359"/>
  <c r="AR144" i="359" s="1"/>
  <c r="AR62" i="359"/>
  <c r="AQ510" i="1" l="1"/>
  <c r="BP572" i="1"/>
  <c r="AQ583" i="1"/>
  <c r="AQ594" i="1" s="1"/>
  <c r="AQ582" i="1"/>
  <c r="AQ593" i="1" s="1"/>
  <c r="BP582" i="1" l="1"/>
  <c r="BP593" i="1" s="1"/>
  <c r="BP583" i="1"/>
  <c r="BP594" i="1" s="1"/>
  <c r="AQ508" i="1"/>
  <c r="BP510" i="1"/>
  <c r="BP511" i="1" s="1"/>
  <c r="AQ150" i="1"/>
  <c r="AQ511" i="1"/>
  <c r="BP150" i="1" l="1"/>
  <c r="BP157" i="1" s="1"/>
  <c r="AQ157" i="1"/>
  <c r="AQ152" i="1"/>
  <c r="AQ515" i="1"/>
  <c r="AQ533" i="1"/>
  <c r="AQ513" i="1"/>
  <c r="AQ177" i="1" s="1"/>
  <c r="BP508" i="1"/>
  <c r="BP533" i="1" l="1"/>
  <c r="BP543" i="1" s="1"/>
  <c r="AQ543" i="1"/>
  <c r="AQ537" i="1"/>
  <c r="BP515" i="1"/>
  <c r="AQ518" i="1"/>
  <c r="BP152" i="1"/>
  <c r="BP159" i="1" s="1"/>
  <c r="AQ159" i="1"/>
  <c r="AQ12" i="1"/>
  <c r="AQ22" i="1" l="1"/>
  <c r="AQ732" i="1"/>
  <c r="AQ990" i="1"/>
  <c r="AQ999" i="1" s="1"/>
  <c r="AQ991" i="1"/>
  <c r="AQ1000" i="1" s="1"/>
  <c r="AQ992" i="1"/>
  <c r="AQ1001" i="1" s="1"/>
  <c r="BP12" i="1"/>
  <c r="K8" i="523" s="1"/>
  <c r="AQ99" i="1"/>
  <c r="AQ989" i="1"/>
  <c r="AQ19" i="1"/>
  <c r="AQ1027" i="1"/>
  <c r="AQ1029" i="1" s="1"/>
  <c r="AQ1030" i="1" s="1"/>
  <c r="AQ1006" i="1" s="1"/>
  <c r="AQ14" i="1" s="1"/>
  <c r="AQ13" i="1"/>
  <c r="AQ993" i="1"/>
  <c r="AQ1002" i="1" s="1"/>
  <c r="AQ994" i="1"/>
  <c r="AQ1003" i="1" s="1"/>
  <c r="AQ522" i="1"/>
  <c r="AQ527" i="1"/>
  <c r="AQ519" i="1"/>
  <c r="BP518" i="1"/>
  <c r="BP537" i="1"/>
  <c r="AQ541" i="1"/>
  <c r="AQ182" i="1"/>
  <c r="AQ538" i="1"/>
  <c r="AQ451" i="1" l="1"/>
  <c r="BP451" i="1" s="1"/>
  <c r="M141" i="523"/>
  <c r="K49" i="523"/>
  <c r="K9" i="523"/>
  <c r="K84" i="523"/>
  <c r="K114" i="523"/>
  <c r="K107" i="523"/>
  <c r="AQ539" i="1"/>
  <c r="AQ540" i="1" s="1"/>
  <c r="BP538" i="1"/>
  <c r="BP541" i="1"/>
  <c r="K8" i="504"/>
  <c r="BP13" i="1"/>
  <c r="K8" i="198"/>
  <c r="K8" i="503"/>
  <c r="BP99" i="1"/>
  <c r="AQ15" i="1"/>
  <c r="AQ20" i="1"/>
  <c r="AQ106" i="1"/>
  <c r="BP19" i="1"/>
  <c r="AQ772" i="1"/>
  <c r="BP732" i="1"/>
  <c r="BP737" i="1" s="1"/>
  <c r="AQ737" i="1"/>
  <c r="AQ206" i="1"/>
  <c r="AQ189" i="1"/>
  <c r="BP182" i="1"/>
  <c r="BP519" i="1"/>
  <c r="BP522" i="1"/>
  <c r="AQ531" i="1"/>
  <c r="AQ528" i="1"/>
  <c r="AQ524" i="1"/>
  <c r="BP524" i="1" s="1"/>
  <c r="BP527" i="1"/>
  <c r="AQ512" i="1"/>
  <c r="AQ253" i="1"/>
  <c r="BP14" i="1"/>
  <c r="AQ998" i="1"/>
  <c r="AQ995" i="1"/>
  <c r="AQ1004" i="1" s="1"/>
  <c r="AQ23" i="1"/>
  <c r="AQ746" i="1"/>
  <c r="BP22" i="1"/>
  <c r="M145" i="523" l="1"/>
  <c r="M153" i="523"/>
  <c r="K107" i="504"/>
  <c r="K114" i="504"/>
  <c r="K107" i="503"/>
  <c r="K114" i="503"/>
  <c r="K108" i="198"/>
  <c r="BP539" i="1"/>
  <c r="BP540" i="1" s="1"/>
  <c r="AQ163" i="1"/>
  <c r="BP253" i="1"/>
  <c r="BP163" i="1" s="1"/>
  <c r="AQ751" i="1"/>
  <c r="BP746" i="1"/>
  <c r="BP751" i="1" s="1"/>
  <c r="BP206" i="1"/>
  <c r="BP189" i="1"/>
  <c r="AQ24" i="1"/>
  <c r="BP24" i="1" s="1"/>
  <c r="BP528" i="1"/>
  <c r="BP531" i="1"/>
  <c r="AQ164" i="1"/>
  <c r="BP164" i="1"/>
  <c r="AQ775" i="1"/>
  <c r="BP772" i="1"/>
  <c r="K9" i="198"/>
  <c r="M142" i="198"/>
  <c r="L8" i="198"/>
  <c r="L8" i="523" s="1"/>
  <c r="K50" i="198"/>
  <c r="BP512" i="1"/>
  <c r="AQ165" i="1"/>
  <c r="AQ174" i="1"/>
  <c r="AQ160" i="1"/>
  <c r="K9" i="503"/>
  <c r="L8" i="503"/>
  <c r="K84" i="503"/>
  <c r="K49" i="503"/>
  <c r="BP20" i="1"/>
  <c r="BP106" i="1"/>
  <c r="BP15" i="1"/>
  <c r="K10" i="523" s="1"/>
  <c r="K84" i="504"/>
  <c r="L8" i="504"/>
  <c r="K9" i="504"/>
  <c r="K49" i="504"/>
  <c r="BP23" i="1"/>
  <c r="BP26" i="1"/>
  <c r="L107" i="504" l="1"/>
  <c r="L114" i="504"/>
  <c r="L107" i="503"/>
  <c r="L114" i="503"/>
  <c r="L49" i="503"/>
  <c r="L49" i="504" s="1"/>
  <c r="L48" i="504" s="1"/>
  <c r="W14" i="520" s="1"/>
  <c r="L108" i="198"/>
  <c r="AQ25" i="1"/>
  <c r="M8" i="503"/>
  <c r="M154" i="198"/>
  <c r="M146" i="198"/>
  <c r="M8" i="504"/>
  <c r="N142" i="198"/>
  <c r="N146" i="198" s="1"/>
  <c r="M8" i="198"/>
  <c r="M8" i="523" s="1"/>
  <c r="L49" i="198"/>
  <c r="BP165" i="1"/>
  <c r="BP167" i="1" s="1"/>
  <c r="BP513" i="1"/>
  <c r="BP177" i="1" s="1"/>
  <c r="AQ776" i="1"/>
  <c r="BP775" i="1"/>
  <c r="BP776" i="1" s="1"/>
  <c r="K10" i="504"/>
  <c r="K10" i="503"/>
  <c r="K10" i="198"/>
  <c r="BP160" i="1"/>
  <c r="BP174" i="1"/>
  <c r="BP25" i="1"/>
  <c r="AQ167" i="1"/>
  <c r="AD25" i="522" l="1"/>
  <c r="AD19" i="522" s="1"/>
  <c r="L48" i="503"/>
  <c r="M107" i="504"/>
  <c r="M114" i="504"/>
  <c r="M114" i="503"/>
  <c r="M107" i="503"/>
  <c r="M49" i="503"/>
  <c r="M49" i="504" s="1"/>
  <c r="M48" i="504" s="1"/>
  <c r="X14" i="520" s="1"/>
  <c r="M108" i="198"/>
  <c r="L65" i="504"/>
  <c r="M49" i="198"/>
  <c r="O142" i="198"/>
  <c r="O146" i="198" s="1"/>
  <c r="N8" i="198"/>
  <c r="N8" i="523" s="1"/>
  <c r="N8" i="504"/>
  <c r="W14" i="519"/>
  <c r="L66" i="198"/>
  <c r="N150" i="198"/>
  <c r="N154" i="198" s="1"/>
  <c r="N8" i="503"/>
  <c r="W14" i="521" l="1"/>
  <c r="W176" i="521" s="1"/>
  <c r="W202" i="521" s="1"/>
  <c r="L65" i="503"/>
  <c r="N107" i="504"/>
  <c r="N114" i="504"/>
  <c r="N114" i="503"/>
  <c r="N107" i="503"/>
  <c r="M48" i="503"/>
  <c r="N49" i="503"/>
  <c r="N49" i="504" s="1"/>
  <c r="N48" i="504" s="1"/>
  <c r="Y14" i="520" s="1"/>
  <c r="N108" i="198"/>
  <c r="W176" i="519"/>
  <c r="W202" i="519" s="1"/>
  <c r="O8" i="503"/>
  <c r="O8" i="504"/>
  <c r="M65" i="504"/>
  <c r="N49" i="198"/>
  <c r="O8" i="198"/>
  <c r="O8" i="523" s="1"/>
  <c r="P142" i="198"/>
  <c r="P146" i="198" s="1"/>
  <c r="O150" i="198"/>
  <c r="O154" i="198" s="1"/>
  <c r="M66" i="198"/>
  <c r="X14" i="519"/>
  <c r="W178" i="521" l="1"/>
  <c r="W170" i="521" s="1"/>
  <c r="W15" i="521"/>
  <c r="W16" i="521" s="1"/>
  <c r="W83" i="521" s="1"/>
  <c r="W38" i="521" s="1"/>
  <c r="W116" i="521" s="1"/>
  <c r="W149" i="521" s="1"/>
  <c r="X14" i="521"/>
  <c r="X176" i="521" s="1"/>
  <c r="X202" i="521" s="1"/>
  <c r="W176" i="520"/>
  <c r="W15" i="520"/>
  <c r="X15" i="520" s="1"/>
  <c r="N48" i="503"/>
  <c r="O107" i="504"/>
  <c r="O114" i="504"/>
  <c r="O114" i="503"/>
  <c r="O107" i="503"/>
  <c r="M65" i="503"/>
  <c r="O49" i="503"/>
  <c r="O49" i="504" s="1"/>
  <c r="O48" i="504" s="1"/>
  <c r="Z14" i="520" s="1"/>
  <c r="O108" i="198"/>
  <c r="P150" i="198"/>
  <c r="P154" i="198" s="1"/>
  <c r="Y14" i="519"/>
  <c r="N66" i="198"/>
  <c r="X176" i="519"/>
  <c r="X202" i="519" s="1"/>
  <c r="N65" i="504"/>
  <c r="P8" i="504"/>
  <c r="O49" i="198"/>
  <c r="P8" i="198"/>
  <c r="P8" i="523" s="1"/>
  <c r="P8" i="503"/>
  <c r="X175" i="521" l="1"/>
  <c r="X178" i="521" s="1"/>
  <c r="W50" i="521"/>
  <c r="W52" i="521" s="1"/>
  <c r="X15" i="521"/>
  <c r="X16" i="521" s="1"/>
  <c r="X84" i="521" s="1"/>
  <c r="X39" i="521" s="1"/>
  <c r="X83" i="521"/>
  <c r="Y83" i="521" s="1"/>
  <c r="Z83" i="521" s="1"/>
  <c r="Y176" i="520"/>
  <c r="Y202" i="520" s="1"/>
  <c r="W16" i="520"/>
  <c r="W83" i="520" s="1"/>
  <c r="X176" i="520"/>
  <c r="X202" i="520" s="1"/>
  <c r="X16" i="520"/>
  <c r="X84" i="520" s="1"/>
  <c r="Y15" i="520"/>
  <c r="W202" i="520"/>
  <c r="W178" i="520"/>
  <c r="W197" i="521"/>
  <c r="N65" i="503"/>
  <c r="Y14" i="521"/>
  <c r="O48" i="503"/>
  <c r="P107" i="504"/>
  <c r="P114" i="504"/>
  <c r="P107" i="503"/>
  <c r="P114" i="503"/>
  <c r="P49" i="503"/>
  <c r="P49" i="504" s="1"/>
  <c r="P48" i="504" s="1"/>
  <c r="AA14" i="520" s="1"/>
  <c r="P108" i="198"/>
  <c r="Z14" i="519"/>
  <c r="O66" i="198"/>
  <c r="Q8" i="198"/>
  <c r="Q8" i="523" s="1"/>
  <c r="P49" i="198"/>
  <c r="O65" i="504"/>
  <c r="Q8" i="503"/>
  <c r="Q8" i="504"/>
  <c r="Y176" i="519"/>
  <c r="Y202" i="519" s="1"/>
  <c r="Y84" i="521" l="1"/>
  <c r="Z84" i="521" s="1"/>
  <c r="W61" i="521"/>
  <c r="W184" i="521"/>
  <c r="W187" i="521" s="1"/>
  <c r="W54" i="521"/>
  <c r="X38" i="521"/>
  <c r="X116" i="521" s="1"/>
  <c r="X149" i="521" s="1"/>
  <c r="Y38" i="521" s="1"/>
  <c r="Y116" i="521" s="1"/>
  <c r="Y149" i="521" s="1"/>
  <c r="Z38" i="521" s="1"/>
  <c r="Z176" i="520"/>
  <c r="Z202" i="520" s="1"/>
  <c r="X175" i="520"/>
  <c r="W170" i="520"/>
  <c r="Y84" i="520"/>
  <c r="X39" i="520"/>
  <c r="Z15" i="520"/>
  <c r="W38" i="520"/>
  <c r="X83" i="520"/>
  <c r="Y16" i="520"/>
  <c r="Y85" i="520" s="1"/>
  <c r="O65" i="503"/>
  <c r="Z14" i="521"/>
  <c r="Z176" i="521" s="1"/>
  <c r="Z202" i="521" s="1"/>
  <c r="Y176" i="521"/>
  <c r="Y202" i="521" s="1"/>
  <c r="Y15" i="521"/>
  <c r="AA83" i="521"/>
  <c r="X117" i="521"/>
  <c r="X150" i="521" s="1"/>
  <c r="X170" i="521"/>
  <c r="Y175" i="521"/>
  <c r="P48" i="503"/>
  <c r="Q107" i="504"/>
  <c r="Q114" i="504"/>
  <c r="Q107" i="503"/>
  <c r="Q114" i="503"/>
  <c r="Q49" i="503"/>
  <c r="Q49" i="504" s="1"/>
  <c r="Q48" i="504" s="1"/>
  <c r="AB14" i="520" s="1"/>
  <c r="Q108" i="198"/>
  <c r="R8" i="504"/>
  <c r="AA14" i="519"/>
  <c r="P66" i="198"/>
  <c r="P65" i="504"/>
  <c r="R8" i="503"/>
  <c r="Q49" i="198"/>
  <c r="R8" i="198"/>
  <c r="R8" i="523" s="1"/>
  <c r="Z176" i="519"/>
  <c r="Z202" i="519" s="1"/>
  <c r="W203" i="521" l="1"/>
  <c r="W208" i="521" s="1"/>
  <c r="W186" i="521"/>
  <c r="W181" i="521" s="1"/>
  <c r="W198" i="521" s="1"/>
  <c r="W199" i="521" s="1"/>
  <c r="Y39" i="521"/>
  <c r="Y117" i="521" s="1"/>
  <c r="Y150" i="521" s="1"/>
  <c r="Z39" i="521" s="1"/>
  <c r="Z117" i="521" s="1"/>
  <c r="Z150" i="521" s="1"/>
  <c r="X50" i="521"/>
  <c r="X52" i="521" s="1"/>
  <c r="W116" i="520"/>
  <c r="W149" i="520" s="1"/>
  <c r="X38" i="520" s="1"/>
  <c r="X50" i="520" s="1"/>
  <c r="W50" i="520"/>
  <c r="Y83" i="520"/>
  <c r="Z84" i="520"/>
  <c r="AA176" i="520"/>
  <c r="AA202" i="520" s="1"/>
  <c r="Z85" i="520"/>
  <c r="Y40" i="520"/>
  <c r="AA15" i="520"/>
  <c r="AA16" i="520" s="1"/>
  <c r="AA87" i="520" s="1"/>
  <c r="W197" i="520"/>
  <c r="Z16" i="520"/>
  <c r="Z86" i="520" s="1"/>
  <c r="X117" i="520"/>
  <c r="X150" i="520" s="1"/>
  <c r="Y39" i="520" s="1"/>
  <c r="Y117" i="520" s="1"/>
  <c r="Y150" i="520" s="1"/>
  <c r="X178" i="520"/>
  <c r="W209" i="521"/>
  <c r="X197" i="521"/>
  <c r="P65" i="503"/>
  <c r="AA14" i="521"/>
  <c r="Z15" i="521"/>
  <c r="Y16" i="521"/>
  <c r="Y85" i="521" s="1"/>
  <c r="Z116" i="521"/>
  <c r="Z149" i="521" s="1"/>
  <c r="AA38" i="521" s="1"/>
  <c r="AA84" i="521"/>
  <c r="Y178" i="521"/>
  <c r="AB83" i="521"/>
  <c r="Q48" i="503"/>
  <c r="R107" i="504"/>
  <c r="R114" i="504"/>
  <c r="R107" i="503"/>
  <c r="R114" i="503"/>
  <c r="R49" i="503"/>
  <c r="R49" i="504" s="1"/>
  <c r="R48" i="504" s="1"/>
  <c r="AC14" i="520" s="1"/>
  <c r="R108" i="198"/>
  <c r="S8" i="198"/>
  <c r="S8" i="523" s="1"/>
  <c r="R49" i="198"/>
  <c r="Q66" i="198"/>
  <c r="AB14" i="519"/>
  <c r="S8" i="503"/>
  <c r="AA176" i="519"/>
  <c r="AA202" i="519" s="1"/>
  <c r="S8" i="504"/>
  <c r="Q65" i="504"/>
  <c r="X183" i="521" l="1"/>
  <c r="X184" i="521"/>
  <c r="X203" i="521" s="1"/>
  <c r="X61" i="521"/>
  <c r="X54" i="521"/>
  <c r="Z39" i="520"/>
  <c r="Z117" i="520" s="1"/>
  <c r="Z150" i="520" s="1"/>
  <c r="AB87" i="520"/>
  <c r="AA42" i="520"/>
  <c r="Y118" i="520"/>
  <c r="Y151" i="520" s="1"/>
  <c r="Z40" i="520" s="1"/>
  <c r="Z83" i="520"/>
  <c r="AA85" i="520"/>
  <c r="Z41" i="520"/>
  <c r="AA86" i="520"/>
  <c r="AA84" i="520"/>
  <c r="X184" i="520"/>
  <c r="X61" i="520"/>
  <c r="X52" i="520"/>
  <c r="X54" i="520"/>
  <c r="X116" i="520"/>
  <c r="X149" i="520" s="1"/>
  <c r="Y38" i="520" s="1"/>
  <c r="W184" i="520"/>
  <c r="W61" i="520"/>
  <c r="W52" i="520"/>
  <c r="W54" i="520"/>
  <c r="X170" i="520"/>
  <c r="Y175" i="520"/>
  <c r="AB176" i="520"/>
  <c r="AB202" i="520" s="1"/>
  <c r="AB15" i="520"/>
  <c r="AC15" i="520" s="1"/>
  <c r="AA39" i="521"/>
  <c r="AA117" i="521" s="1"/>
  <c r="AA150" i="521" s="1"/>
  <c r="Q65" i="503"/>
  <c r="AB14" i="521"/>
  <c r="Y40" i="521"/>
  <c r="Z85" i="521"/>
  <c r="AA85" i="521" s="1"/>
  <c r="AB85" i="521" s="1"/>
  <c r="AA176" i="521"/>
  <c r="AA202" i="521" s="1"/>
  <c r="AA15" i="521"/>
  <c r="Z16" i="521"/>
  <c r="Z86" i="521" s="1"/>
  <c r="X201" i="521"/>
  <c r="W205" i="521"/>
  <c r="X185" i="521"/>
  <c r="Y170" i="521"/>
  <c r="Z175" i="521"/>
  <c r="AB84" i="521"/>
  <c r="X187" i="521"/>
  <c r="AA116" i="521"/>
  <c r="AA149" i="521" s="1"/>
  <c r="AB38" i="521" s="1"/>
  <c r="AC83" i="521"/>
  <c r="S107" i="504"/>
  <c r="S114" i="504"/>
  <c r="S107" i="503"/>
  <c r="S114" i="503"/>
  <c r="R48" i="503"/>
  <c r="S49" i="503"/>
  <c r="S49" i="504" s="1"/>
  <c r="S48" i="504" s="1"/>
  <c r="AD14" i="520" s="1"/>
  <c r="S108" i="198"/>
  <c r="T8" i="504"/>
  <c r="R65" i="504"/>
  <c r="AB176" i="519"/>
  <c r="AB202" i="519" s="1"/>
  <c r="T8" i="198"/>
  <c r="T8" i="523" s="1"/>
  <c r="S49" i="198"/>
  <c r="T8" i="503"/>
  <c r="R66" i="198"/>
  <c r="AC14" i="519"/>
  <c r="AB39" i="521" l="1"/>
  <c r="AB117" i="521" s="1"/>
  <c r="AB150" i="521" s="1"/>
  <c r="AA39" i="520"/>
  <c r="AA117" i="520" s="1"/>
  <c r="AA150" i="520" s="1"/>
  <c r="AB15" i="521"/>
  <c r="Z119" i="520"/>
  <c r="Z152" i="520" s="1"/>
  <c r="AA41" i="520" s="1"/>
  <c r="AB85" i="520"/>
  <c r="Z118" i="520"/>
  <c r="Z151" i="520" s="1"/>
  <c r="AA40" i="520" s="1"/>
  <c r="AB84" i="520"/>
  <c r="Y178" i="520"/>
  <c r="AC16" i="520"/>
  <c r="AC89" i="520" s="1"/>
  <c r="AC176" i="520"/>
  <c r="AC202" i="520" s="1"/>
  <c r="AA120" i="520"/>
  <c r="AA153" i="520" s="1"/>
  <c r="AB42" i="520" s="1"/>
  <c r="AB120" i="520" s="1"/>
  <c r="AB153" i="520" s="1"/>
  <c r="AB86" i="520"/>
  <c r="AB16" i="520"/>
  <c r="AB88" i="520" s="1"/>
  <c r="X197" i="520"/>
  <c r="AC87" i="520"/>
  <c r="AA83" i="520"/>
  <c r="W203" i="520"/>
  <c r="W187" i="520"/>
  <c r="W186" i="520"/>
  <c r="Y50" i="520"/>
  <c r="Y116" i="520"/>
  <c r="Y149" i="520" s="1"/>
  <c r="Z38" i="520" s="1"/>
  <c r="X203" i="520"/>
  <c r="X209" i="520" s="1"/>
  <c r="X187" i="520"/>
  <c r="X208" i="521"/>
  <c r="X209" i="521"/>
  <c r="Y197" i="521"/>
  <c r="AA86" i="521"/>
  <c r="AB86" i="521" s="1"/>
  <c r="AC86" i="521" s="1"/>
  <c r="Z41" i="521"/>
  <c r="Z119" i="521" s="1"/>
  <c r="Z152" i="521" s="1"/>
  <c r="R65" i="503"/>
  <c r="AC14" i="521"/>
  <c r="AB176" i="521"/>
  <c r="AB202" i="521" s="1"/>
  <c r="AB16" i="521"/>
  <c r="AB88" i="521" s="1"/>
  <c r="AA16" i="521"/>
  <c r="AA87" i="521" s="1"/>
  <c r="Y50" i="521"/>
  <c r="Y118" i="521"/>
  <c r="Y151" i="521" s="1"/>
  <c r="Z40" i="521" s="1"/>
  <c r="Z178" i="521"/>
  <c r="AC85" i="521"/>
  <c r="W204" i="521"/>
  <c r="W210" i="521"/>
  <c r="AB116" i="521"/>
  <c r="AB149" i="521" s="1"/>
  <c r="AC38" i="521" s="1"/>
  <c r="AC84" i="521"/>
  <c r="X186" i="521"/>
  <c r="AD83" i="521"/>
  <c r="S48" i="503"/>
  <c r="T107" i="504"/>
  <c r="T114" i="504"/>
  <c r="T107" i="503"/>
  <c r="T114" i="503"/>
  <c r="T49" i="503"/>
  <c r="T49" i="504" s="1"/>
  <c r="T48" i="504" s="1"/>
  <c r="AE14" i="520" s="1"/>
  <c r="T108" i="198"/>
  <c r="U8" i="503"/>
  <c r="U8" i="198"/>
  <c r="U8" i="523" s="1"/>
  <c r="T49" i="198"/>
  <c r="U8" i="504"/>
  <c r="AC176" i="519"/>
  <c r="AC202" i="519" s="1"/>
  <c r="AD14" i="519"/>
  <c r="S66" i="198"/>
  <c r="S65" i="504"/>
  <c r="AB39" i="520" l="1"/>
  <c r="AB117" i="520" s="1"/>
  <c r="AB150" i="520" s="1"/>
  <c r="AA41" i="521"/>
  <c r="AA119" i="521" s="1"/>
  <c r="AA152" i="521" s="1"/>
  <c r="AB41" i="521" s="1"/>
  <c r="AB119" i="521" s="1"/>
  <c r="AB152" i="521" s="1"/>
  <c r="AC41" i="521" s="1"/>
  <c r="AC42" i="520"/>
  <c r="AC120" i="520" s="1"/>
  <c r="AC153" i="520" s="1"/>
  <c r="Y170" i="520"/>
  <c r="Z175" i="520"/>
  <c r="Z50" i="520"/>
  <c r="Z116" i="520"/>
  <c r="Z149" i="520" s="1"/>
  <c r="AA38" i="520" s="1"/>
  <c r="AA50" i="520" s="1"/>
  <c r="Y61" i="520"/>
  <c r="Y184" i="520"/>
  <c r="Y52" i="520"/>
  <c r="Y54" i="520"/>
  <c r="W181" i="520"/>
  <c r="W198" i="520" s="1"/>
  <c r="W199" i="520" s="1"/>
  <c r="X183" i="520"/>
  <c r="W209" i="520"/>
  <c r="W208" i="520"/>
  <c r="AB83" i="520"/>
  <c r="AA119" i="520"/>
  <c r="AA152" i="520" s="1"/>
  <c r="AB41" i="520" s="1"/>
  <c r="AC86" i="520"/>
  <c r="AA118" i="520"/>
  <c r="AA151" i="520" s="1"/>
  <c r="AB40" i="520" s="1"/>
  <c r="AD87" i="520"/>
  <c r="X208" i="520"/>
  <c r="AB43" i="520"/>
  <c r="AC88" i="520"/>
  <c r="AC44" i="520"/>
  <c r="AD89" i="520"/>
  <c r="AD14" i="521"/>
  <c r="AD176" i="521" s="1"/>
  <c r="AD202" i="521" s="1"/>
  <c r="AC84" i="520"/>
  <c r="AC85" i="520"/>
  <c r="Y61" i="521"/>
  <c r="Y184" i="521"/>
  <c r="Y52" i="521"/>
  <c r="Y54" i="521"/>
  <c r="Z118" i="521"/>
  <c r="Z151" i="521" s="1"/>
  <c r="AA40" i="521" s="1"/>
  <c r="AA118" i="521" s="1"/>
  <c r="AA151" i="521" s="1"/>
  <c r="AB40" i="521" s="1"/>
  <c r="Z50" i="521"/>
  <c r="AC88" i="521"/>
  <c r="AD88" i="521" s="1"/>
  <c r="AE88" i="521" s="1"/>
  <c r="AB43" i="521"/>
  <c r="AB121" i="521" s="1"/>
  <c r="AB154" i="521" s="1"/>
  <c r="AB87" i="521"/>
  <c r="AC87" i="521" s="1"/>
  <c r="AD87" i="521" s="1"/>
  <c r="AE87" i="521" s="1"/>
  <c r="AA42" i="521"/>
  <c r="AC176" i="521"/>
  <c r="AC202" i="521" s="1"/>
  <c r="AC15" i="521"/>
  <c r="AC39" i="521"/>
  <c r="AC117" i="521" s="1"/>
  <c r="AC150" i="521" s="1"/>
  <c r="Z170" i="521"/>
  <c r="AA175" i="521"/>
  <c r="AD84" i="521"/>
  <c r="AD85" i="521"/>
  <c r="AE83" i="521"/>
  <c r="Y183" i="521"/>
  <c r="X181" i="521"/>
  <c r="X198" i="521" s="1"/>
  <c r="X199" i="521" s="1"/>
  <c r="AC116" i="521"/>
  <c r="AC149" i="521" s="1"/>
  <c r="AD38" i="521" s="1"/>
  <c r="AD86" i="521"/>
  <c r="S65" i="503"/>
  <c r="T48" i="503"/>
  <c r="U107" i="504"/>
  <c r="U114" i="504"/>
  <c r="U114" i="503"/>
  <c r="U107" i="503"/>
  <c r="V49" i="503"/>
  <c r="V49" i="504" s="1"/>
  <c r="U49" i="503"/>
  <c r="U49" i="504" s="1"/>
  <c r="U48" i="504" s="1"/>
  <c r="AF14" i="520" s="1"/>
  <c r="U108" i="198"/>
  <c r="T65" i="504"/>
  <c r="V8" i="503"/>
  <c r="V8" i="504"/>
  <c r="AE14" i="519"/>
  <c r="T66" i="198"/>
  <c r="AD176" i="519"/>
  <c r="AD202" i="519" s="1"/>
  <c r="V8" i="198"/>
  <c r="V8" i="523" s="1"/>
  <c r="U49" i="198"/>
  <c r="AA50" i="521" l="1"/>
  <c r="AA61" i="521" s="1"/>
  <c r="AC39" i="520"/>
  <c r="AC117" i="520" s="1"/>
  <c r="AC150" i="520" s="1"/>
  <c r="AD42" i="520"/>
  <c r="AD120" i="520" s="1"/>
  <c r="AD153" i="520" s="1"/>
  <c r="AD86" i="520"/>
  <c r="AB119" i="520"/>
  <c r="AB152" i="520" s="1"/>
  <c r="AC41" i="520" s="1"/>
  <c r="AC119" i="520" s="1"/>
  <c r="AC152" i="520" s="1"/>
  <c r="AC122" i="520"/>
  <c r="AC155" i="520" s="1"/>
  <c r="AD44" i="520" s="1"/>
  <c r="AA61" i="520"/>
  <c r="AA184" i="520"/>
  <c r="AA203" i="520" s="1"/>
  <c r="AA52" i="520"/>
  <c r="AA54" i="520"/>
  <c r="AC83" i="520"/>
  <c r="AE14" i="521"/>
  <c r="AE176" i="521" s="1"/>
  <c r="AE202" i="521" s="1"/>
  <c r="AD84" i="520"/>
  <c r="AA116" i="520"/>
  <c r="AA149" i="520" s="1"/>
  <c r="AB38" i="520" s="1"/>
  <c r="Z178" i="520"/>
  <c r="AE87" i="520"/>
  <c r="X185" i="520"/>
  <c r="X186" i="520" s="1"/>
  <c r="Y203" i="520"/>
  <c r="Y209" i="520" s="1"/>
  <c r="Y187" i="520"/>
  <c r="AD176" i="520"/>
  <c r="AD202" i="520" s="1"/>
  <c r="AD15" i="520"/>
  <c r="AD16" i="520" s="1"/>
  <c r="AD90" i="520" s="1"/>
  <c r="AE89" i="520"/>
  <c r="AD88" i="520"/>
  <c r="AB121" i="520"/>
  <c r="AB154" i="520" s="1"/>
  <c r="AC43" i="520" s="1"/>
  <c r="AC121" i="520" s="1"/>
  <c r="AC154" i="520" s="1"/>
  <c r="Y197" i="520"/>
  <c r="AD15" i="521"/>
  <c r="AD16" i="521" s="1"/>
  <c r="AD90" i="521" s="1"/>
  <c r="AD45" i="521" s="1"/>
  <c r="AD123" i="521" s="1"/>
  <c r="AD156" i="521" s="1"/>
  <c r="AB118" i="520"/>
  <c r="AB151" i="520" s="1"/>
  <c r="AC40" i="520" s="1"/>
  <c r="AD85" i="520"/>
  <c r="W205" i="520"/>
  <c r="X201" i="520"/>
  <c r="Z61" i="520"/>
  <c r="Z184" i="520"/>
  <c r="Z203" i="520" s="1"/>
  <c r="Z52" i="520"/>
  <c r="Z54" i="520"/>
  <c r="AC43" i="521"/>
  <c r="AC121" i="521" s="1"/>
  <c r="AC154" i="521" s="1"/>
  <c r="AD43" i="521" s="1"/>
  <c r="AD121" i="521" s="1"/>
  <c r="AD154" i="521" s="1"/>
  <c r="AE43" i="521" s="1"/>
  <c r="AE121" i="521" s="1"/>
  <c r="AE154" i="521" s="1"/>
  <c r="Z197" i="521"/>
  <c r="AD39" i="521"/>
  <c r="AD117" i="521" s="1"/>
  <c r="AD150" i="521" s="1"/>
  <c r="AC16" i="521"/>
  <c r="AC89" i="521" s="1"/>
  <c r="Z52" i="521"/>
  <c r="Z184" i="521"/>
  <c r="Z61" i="521"/>
  <c r="Z54" i="521"/>
  <c r="AA120" i="521"/>
  <c r="AA153" i="521" s="1"/>
  <c r="AB42" i="521" s="1"/>
  <c r="Y203" i="521"/>
  <c r="Y187" i="521"/>
  <c r="AB118" i="521"/>
  <c r="AB151" i="521" s="1"/>
  <c r="AC40" i="521" s="1"/>
  <c r="AC118" i="521" s="1"/>
  <c r="AC151" i="521" s="1"/>
  <c r="AD40" i="521" s="1"/>
  <c r="AF83" i="521"/>
  <c r="AE86" i="521"/>
  <c r="AF88" i="521"/>
  <c r="AE85" i="521"/>
  <c r="AF87" i="521"/>
  <c r="AD116" i="521"/>
  <c r="AD149" i="521" s="1"/>
  <c r="AE38" i="521" s="1"/>
  <c r="Y185" i="521"/>
  <c r="AC119" i="521"/>
  <c r="AC152" i="521" s="1"/>
  <c r="AD41" i="521" s="1"/>
  <c r="X205" i="521"/>
  <c r="Y201" i="521"/>
  <c r="AE84" i="521"/>
  <c r="AA178" i="521"/>
  <c r="T65" i="503"/>
  <c r="U48" i="503"/>
  <c r="V48" i="504"/>
  <c r="V107" i="504"/>
  <c r="V114" i="504"/>
  <c r="V107" i="503"/>
  <c r="V114" i="503"/>
  <c r="V48" i="503"/>
  <c r="V49" i="198"/>
  <c r="V108" i="198"/>
  <c r="AF14" i="519"/>
  <c r="U66" i="198"/>
  <c r="AE176" i="519"/>
  <c r="AE202" i="519" s="1"/>
  <c r="U65" i="504"/>
  <c r="AA184" i="521" l="1"/>
  <c r="AA203" i="521" s="1"/>
  <c r="AA54" i="521"/>
  <c r="Z187" i="520"/>
  <c r="AA52" i="521"/>
  <c r="AD41" i="520"/>
  <c r="AD119" i="520" s="1"/>
  <c r="AD152" i="520" s="1"/>
  <c r="AD39" i="520"/>
  <c r="AD117" i="520" s="1"/>
  <c r="AD150" i="520" s="1"/>
  <c r="AD43" i="520"/>
  <c r="AD121" i="520" s="1"/>
  <c r="AD154" i="520" s="1"/>
  <c r="V65" i="504"/>
  <c r="AG14" i="520"/>
  <c r="AG176" i="520" s="1"/>
  <c r="AG202" i="520" s="1"/>
  <c r="AE15" i="521"/>
  <c r="AE16" i="521" s="1"/>
  <c r="AE91" i="521" s="1"/>
  <c r="AF91" i="521" s="1"/>
  <c r="AE90" i="520"/>
  <c r="AD45" i="520"/>
  <c r="AC118" i="520"/>
  <c r="AC151" i="520" s="1"/>
  <c r="AD40" i="520" s="1"/>
  <c r="AF87" i="520"/>
  <c r="X181" i="520"/>
  <c r="X198" i="520" s="1"/>
  <c r="X199" i="520" s="1"/>
  <c r="Y183" i="520"/>
  <c r="Y185" i="520" s="1"/>
  <c r="AE85" i="520"/>
  <c r="W204" i="520"/>
  <c r="W210" i="520"/>
  <c r="Z170" i="520"/>
  <c r="AA175" i="520"/>
  <c r="Y208" i="520"/>
  <c r="AB50" i="520"/>
  <c r="AE176" i="520"/>
  <c r="AE202" i="520" s="1"/>
  <c r="AE88" i="520"/>
  <c r="AF89" i="520"/>
  <c r="AD83" i="520"/>
  <c r="AE42" i="520"/>
  <c r="AE84" i="520"/>
  <c r="AF176" i="520"/>
  <c r="AF202" i="520" s="1"/>
  <c r="AD122" i="520"/>
  <c r="AD155" i="520" s="1"/>
  <c r="AE44" i="520" s="1"/>
  <c r="AE15" i="520"/>
  <c r="AF15" i="520" s="1"/>
  <c r="AB116" i="520"/>
  <c r="AB149" i="520" s="1"/>
  <c r="AC38" i="520" s="1"/>
  <c r="AC116" i="520" s="1"/>
  <c r="AC149" i="520" s="1"/>
  <c r="AE90" i="521"/>
  <c r="AF90" i="521" s="1"/>
  <c r="AG90" i="521" s="1"/>
  <c r="AE86" i="520"/>
  <c r="Y208" i="521"/>
  <c r="Y209" i="521"/>
  <c r="AA187" i="521"/>
  <c r="AB120" i="521"/>
  <c r="AB153" i="521" s="1"/>
  <c r="AC42" i="521" s="1"/>
  <c r="AC120" i="521" s="1"/>
  <c r="AC153" i="521" s="1"/>
  <c r="AD42" i="521" s="1"/>
  <c r="AD120" i="521" s="1"/>
  <c r="AD153" i="521" s="1"/>
  <c r="AE42" i="521" s="1"/>
  <c r="AB50" i="521"/>
  <c r="U65" i="503"/>
  <c r="AF14" i="521"/>
  <c r="AD118" i="521"/>
  <c r="AD151" i="521" s="1"/>
  <c r="AE40" i="521" s="1"/>
  <c r="AE118" i="521" s="1"/>
  <c r="AE151" i="521" s="1"/>
  <c r="V65" i="503"/>
  <c r="AG14" i="521"/>
  <c r="AG176" i="521" s="1"/>
  <c r="AG202" i="521" s="1"/>
  <c r="Z203" i="521"/>
  <c r="Z187" i="521"/>
  <c r="AD89" i="521"/>
  <c r="AE89" i="521" s="1"/>
  <c r="AC44" i="521"/>
  <c r="AF43" i="521"/>
  <c r="AF121" i="521" s="1"/>
  <c r="AF154" i="521" s="1"/>
  <c r="AE39" i="521"/>
  <c r="AE117" i="521" s="1"/>
  <c r="AE150" i="521" s="1"/>
  <c r="AG87" i="521"/>
  <c r="AA170" i="521"/>
  <c r="AB175" i="521"/>
  <c r="AF85" i="521"/>
  <c r="AF84" i="521"/>
  <c r="X204" i="521"/>
  <c r="X210" i="521"/>
  <c r="AG83" i="521"/>
  <c r="AG88" i="521"/>
  <c r="AF86" i="521"/>
  <c r="AD119" i="521"/>
  <c r="AD152" i="521" s="1"/>
  <c r="AE41" i="521" s="1"/>
  <c r="AE119" i="521" s="1"/>
  <c r="AE152" i="521" s="1"/>
  <c r="Y186" i="521"/>
  <c r="AE116" i="521"/>
  <c r="AE149" i="521" s="1"/>
  <c r="AF38" i="521" s="1"/>
  <c r="V66" i="198"/>
  <c r="AG14" i="519"/>
  <c r="AF176" i="519"/>
  <c r="AF202" i="519" s="1"/>
  <c r="AM97" i="1"/>
  <c r="AM101" i="1" s="1"/>
  <c r="AM102" i="1" s="1"/>
  <c r="AM106" i="1"/>
  <c r="AM107" i="1" s="1"/>
  <c r="BO111" i="1"/>
  <c r="J48" i="523" s="1"/>
  <c r="AM114" i="1"/>
  <c r="AG15" i="520" l="1"/>
  <c r="AG16" i="520" s="1"/>
  <c r="AG93" i="520" s="1"/>
  <c r="AG48" i="520" s="1"/>
  <c r="AG126" i="520" s="1"/>
  <c r="AG159" i="520" s="1"/>
  <c r="AE46" i="521"/>
  <c r="AE124" i="521" s="1"/>
  <c r="AE157" i="521" s="1"/>
  <c r="AF46" i="521" s="1"/>
  <c r="AF124" i="521" s="1"/>
  <c r="AF157" i="521" s="1"/>
  <c r="AD38" i="520"/>
  <c r="AD50" i="520" s="1"/>
  <c r="AE39" i="520"/>
  <c r="AE117" i="520" s="1"/>
  <c r="AE150" i="520" s="1"/>
  <c r="AE43" i="520"/>
  <c r="AE121" i="520" s="1"/>
  <c r="AE154" i="520" s="1"/>
  <c r="AE16" i="520"/>
  <c r="AE91" i="520" s="1"/>
  <c r="AF91" i="520" s="1"/>
  <c r="AF86" i="520"/>
  <c r="AE122" i="520"/>
  <c r="AE155" i="520" s="1"/>
  <c r="AF44" i="520" s="1"/>
  <c r="AF122" i="520" s="1"/>
  <c r="AF155" i="520" s="1"/>
  <c r="AG87" i="520"/>
  <c r="Z197" i="520"/>
  <c r="Z209" i="520"/>
  <c r="X205" i="520"/>
  <c r="Y201" i="520"/>
  <c r="AE120" i="520"/>
  <c r="AE153" i="520" s="1"/>
  <c r="AF42" i="520" s="1"/>
  <c r="AF120" i="520" s="1"/>
  <c r="AF153" i="520" s="1"/>
  <c r="AA178" i="520"/>
  <c r="AA187" i="520"/>
  <c r="AF85" i="520"/>
  <c r="AF84" i="520"/>
  <c r="AE41" i="520"/>
  <c r="AC50" i="520"/>
  <c r="AD118" i="520"/>
  <c r="AD151" i="520" s="1"/>
  <c r="AE40" i="520" s="1"/>
  <c r="AE118" i="520" s="1"/>
  <c r="AE151" i="520" s="1"/>
  <c r="AE83" i="520"/>
  <c r="AE45" i="521"/>
  <c r="AE123" i="521" s="1"/>
  <c r="AE156" i="521" s="1"/>
  <c r="AF45" i="521" s="1"/>
  <c r="AF123" i="521" s="1"/>
  <c r="AF156" i="521" s="1"/>
  <c r="AG45" i="521" s="1"/>
  <c r="AG123" i="521" s="1"/>
  <c r="AG156" i="521" s="1"/>
  <c r="AG89" i="520"/>
  <c r="AB61" i="520"/>
  <c r="AB184" i="520"/>
  <c r="AB203" i="520" s="1"/>
  <c r="AB52" i="520"/>
  <c r="AB54" i="520"/>
  <c r="Y186" i="520"/>
  <c r="AF16" i="520"/>
  <c r="AF92" i="520" s="1"/>
  <c r="AD123" i="520"/>
  <c r="AD156" i="520" s="1"/>
  <c r="AE45" i="520" s="1"/>
  <c r="AE123" i="520" s="1"/>
  <c r="AE156" i="520" s="1"/>
  <c r="AF88" i="520"/>
  <c r="AF90" i="520"/>
  <c r="AA197" i="521"/>
  <c r="AA208" i="521" s="1"/>
  <c r="AA209" i="521"/>
  <c r="Z208" i="521"/>
  <c r="Z209" i="521"/>
  <c r="AG43" i="521"/>
  <c r="AG121" i="521" s="1"/>
  <c r="AG154" i="521" s="1"/>
  <c r="AC122" i="521"/>
  <c r="AC155" i="521" s="1"/>
  <c r="AD44" i="521" s="1"/>
  <c r="AD122" i="521" s="1"/>
  <c r="AD155" i="521" s="1"/>
  <c r="AE44" i="521" s="1"/>
  <c r="AF89" i="521"/>
  <c r="AG89" i="521" s="1"/>
  <c r="AC50" i="521"/>
  <c r="AF176" i="521"/>
  <c r="AF202" i="521" s="1"/>
  <c r="AF15" i="521"/>
  <c r="AG15" i="521" s="1"/>
  <c r="AG16" i="521" s="1"/>
  <c r="AG93" i="521" s="1"/>
  <c r="AG48" i="521" s="1"/>
  <c r="AG126" i="521" s="1"/>
  <c r="AG159" i="521" s="1"/>
  <c r="AB54" i="521"/>
  <c r="AB184" i="521"/>
  <c r="AB203" i="521" s="1"/>
  <c r="AB52" i="521"/>
  <c r="AB61" i="521"/>
  <c r="AE120" i="521"/>
  <c r="AE153" i="521" s="1"/>
  <c r="AF42" i="521" s="1"/>
  <c r="AF120" i="521" s="1"/>
  <c r="AF153" i="521" s="1"/>
  <c r="AG42" i="521" s="1"/>
  <c r="AG120" i="521" s="1"/>
  <c r="AG153" i="521" s="1"/>
  <c r="AF41" i="521"/>
  <c r="AF119" i="521" s="1"/>
  <c r="AF152" i="521" s="1"/>
  <c r="AG84" i="521"/>
  <c r="AG85" i="521"/>
  <c r="AG91" i="521"/>
  <c r="AF39" i="521"/>
  <c r="AF117" i="521" s="1"/>
  <c r="AF150" i="521" s="1"/>
  <c r="AF40" i="521"/>
  <c r="AF118" i="521" s="1"/>
  <c r="AF151" i="521" s="1"/>
  <c r="AF116" i="521"/>
  <c r="AF149" i="521" s="1"/>
  <c r="AG38" i="521" s="1"/>
  <c r="Z183" i="521"/>
  <c r="Y181" i="521"/>
  <c r="Y198" i="521" s="1"/>
  <c r="Y199" i="521" s="1"/>
  <c r="AB178" i="521"/>
  <c r="AG86" i="521"/>
  <c r="J65" i="523"/>
  <c r="J66" i="523" s="1"/>
  <c r="L149" i="523"/>
  <c r="L153" i="523" s="1"/>
  <c r="J49" i="523"/>
  <c r="J51" i="523"/>
  <c r="AG176" i="519"/>
  <c r="AG202" i="519" s="1"/>
  <c r="J48" i="504"/>
  <c r="J48" i="503"/>
  <c r="AM115" i="1"/>
  <c r="BO115" i="1" s="1"/>
  <c r="BO116" i="1" s="1"/>
  <c r="AM121" i="1"/>
  <c r="BO114" i="1"/>
  <c r="BO864" i="1" s="1"/>
  <c r="BO867" i="1" s="1"/>
  <c r="J49" i="198"/>
  <c r="AM864" i="1"/>
  <c r="AM867" i="1" s="1"/>
  <c r="BO136" i="1"/>
  <c r="AQ98" i="1"/>
  <c r="AM98" i="1"/>
  <c r="BO97" i="1"/>
  <c r="BO106" i="1"/>
  <c r="BO107" i="1" s="1"/>
  <c r="AM103" i="1"/>
  <c r="AM99" i="1"/>
  <c r="AD116" i="520" l="1"/>
  <c r="AD149" i="520" s="1"/>
  <c r="AE38" i="520" s="1"/>
  <c r="AE116" i="520" s="1"/>
  <c r="AE149" i="520" s="1"/>
  <c r="AG42" i="520"/>
  <c r="AG120" i="520" s="1"/>
  <c r="AG153" i="520" s="1"/>
  <c r="AE46" i="520"/>
  <c r="AE124" i="520" s="1"/>
  <c r="AE157" i="520" s="1"/>
  <c r="AF46" i="520" s="1"/>
  <c r="AF124" i="520" s="1"/>
  <c r="AF157" i="520" s="1"/>
  <c r="J74" i="523"/>
  <c r="J75" i="523" s="1"/>
  <c r="BO945" i="1"/>
  <c r="AF40" i="520"/>
  <c r="AF118" i="520" s="1"/>
  <c r="AF151" i="520" s="1"/>
  <c r="AG39" i="521"/>
  <c r="AG117" i="521" s="1"/>
  <c r="AG150" i="521" s="1"/>
  <c r="AD50" i="521"/>
  <c r="AD52" i="521" s="1"/>
  <c r="AG40" i="521"/>
  <c r="AG118" i="521" s="1"/>
  <c r="AG151" i="521" s="1"/>
  <c r="AF39" i="520"/>
  <c r="AF117" i="520" s="1"/>
  <c r="AF150" i="520" s="1"/>
  <c r="AF43" i="520"/>
  <c r="AF121" i="520" s="1"/>
  <c r="AF154" i="520" s="1"/>
  <c r="AE50" i="521"/>
  <c r="AE54" i="521" s="1"/>
  <c r="AG44" i="520"/>
  <c r="AG122" i="520" s="1"/>
  <c r="AG155" i="520" s="1"/>
  <c r="AF45" i="520"/>
  <c r="AF123" i="520" s="1"/>
  <c r="AF156" i="520" s="1"/>
  <c r="AB187" i="521"/>
  <c r="AE119" i="520"/>
  <c r="AE152" i="520" s="1"/>
  <c r="AF41" i="520" s="1"/>
  <c r="AF119" i="520" s="1"/>
  <c r="AF152" i="520" s="1"/>
  <c r="AG88" i="520"/>
  <c r="AC61" i="520"/>
  <c r="AC184" i="520"/>
  <c r="AC203" i="520" s="1"/>
  <c r="AC52" i="520"/>
  <c r="AC54" i="520"/>
  <c r="AG85" i="520"/>
  <c r="Z208" i="520"/>
  <c r="AG86" i="520"/>
  <c r="AF83" i="520"/>
  <c r="AG90" i="520"/>
  <c r="Y181" i="520"/>
  <c r="Y198" i="520" s="1"/>
  <c r="Y199" i="520" s="1"/>
  <c r="Z183" i="520"/>
  <c r="AG84" i="520"/>
  <c r="AA170" i="520"/>
  <c r="AB175" i="520"/>
  <c r="AG91" i="520"/>
  <c r="X204" i="520"/>
  <c r="X210" i="520"/>
  <c r="AF47" i="520"/>
  <c r="AG92" i="520"/>
  <c r="AD61" i="520"/>
  <c r="AD184" i="520"/>
  <c r="AD203" i="520" s="1"/>
  <c r="AD52" i="520"/>
  <c r="AD54" i="520"/>
  <c r="AE122" i="521"/>
  <c r="AE155" i="521" s="1"/>
  <c r="AF44" i="521" s="1"/>
  <c r="AF122" i="521" s="1"/>
  <c r="AF155" i="521" s="1"/>
  <c r="AG44" i="521" s="1"/>
  <c r="AG122" i="521" s="1"/>
  <c r="AG155" i="521" s="1"/>
  <c r="AG46" i="521"/>
  <c r="AG124" i="521" s="1"/>
  <c r="AG157" i="521" s="1"/>
  <c r="AG41" i="521"/>
  <c r="AG119" i="521" s="1"/>
  <c r="AG152" i="521" s="1"/>
  <c r="AC54" i="521"/>
  <c r="AC184" i="521"/>
  <c r="AC203" i="521" s="1"/>
  <c r="AC61" i="521"/>
  <c r="AC52" i="521"/>
  <c r="AF16" i="521"/>
  <c r="AF92" i="521" s="1"/>
  <c r="AG116" i="521"/>
  <c r="AG149" i="521" s="1"/>
  <c r="AB170" i="521"/>
  <c r="AC175" i="521"/>
  <c r="Y205" i="521"/>
  <c r="Z201" i="521"/>
  <c r="Z185" i="521"/>
  <c r="Z186" i="521" s="1"/>
  <c r="J52" i="523"/>
  <c r="J53" i="523"/>
  <c r="J67" i="523"/>
  <c r="J85" i="523"/>
  <c r="J50" i="198"/>
  <c r="AM116" i="1"/>
  <c r="J74" i="503"/>
  <c r="J75" i="503" s="1"/>
  <c r="J74" i="504"/>
  <c r="J75" i="504" s="1"/>
  <c r="J65" i="503"/>
  <c r="J66" i="503" s="1"/>
  <c r="J49" i="503"/>
  <c r="J51" i="503"/>
  <c r="J65" i="504"/>
  <c r="J66" i="504" s="1"/>
  <c r="J49" i="504"/>
  <c r="J51" i="504"/>
  <c r="L150" i="198"/>
  <c r="L154" i="198" s="1"/>
  <c r="BO121" i="1"/>
  <c r="J71" i="523" s="1"/>
  <c r="J72" i="523" s="1"/>
  <c r="AB19" i="522"/>
  <c r="J52" i="198"/>
  <c r="J54" i="198" s="1"/>
  <c r="J66" i="198"/>
  <c r="J67" i="198" s="1"/>
  <c r="J68" i="198" s="1"/>
  <c r="BO122" i="1"/>
  <c r="BO137" i="1"/>
  <c r="J75" i="198"/>
  <c r="J76" i="198" s="1"/>
  <c r="BO99" i="1"/>
  <c r="BP98" i="1"/>
  <c r="BO101" i="1"/>
  <c r="BO98" i="1"/>
  <c r="AE184" i="521" l="1"/>
  <c r="AE203" i="521" s="1"/>
  <c r="AE50" i="520"/>
  <c r="AE54" i="520" s="1"/>
  <c r="AG46" i="520"/>
  <c r="AG124" i="520" s="1"/>
  <c r="AG157" i="520" s="1"/>
  <c r="AD54" i="521"/>
  <c r="AD61" i="521"/>
  <c r="AD184" i="521"/>
  <c r="AD203" i="521" s="1"/>
  <c r="AE52" i="521"/>
  <c r="AE61" i="521"/>
  <c r="AG43" i="520"/>
  <c r="AG121" i="520" s="1"/>
  <c r="AG154" i="520" s="1"/>
  <c r="AG41" i="520"/>
  <c r="AG119" i="520" s="1"/>
  <c r="AG152" i="520" s="1"/>
  <c r="AG39" i="520"/>
  <c r="AG117" i="520" s="1"/>
  <c r="AG150" i="520" s="1"/>
  <c r="AF38" i="520"/>
  <c r="AF50" i="520" s="1"/>
  <c r="AG45" i="520"/>
  <c r="AG123" i="520" s="1"/>
  <c r="AG156" i="520" s="1"/>
  <c r="AB178" i="520"/>
  <c r="AB187" i="520"/>
  <c r="Z185" i="520"/>
  <c r="Y205" i="520"/>
  <c r="Z201" i="520"/>
  <c r="AA197" i="520"/>
  <c r="AA209" i="520"/>
  <c r="AG83" i="520"/>
  <c r="AG40" i="520"/>
  <c r="AG118" i="520" s="1"/>
  <c r="AG151" i="520" s="1"/>
  <c r="AF125" i="520"/>
  <c r="AF158" i="520" s="1"/>
  <c r="AG47" i="520" s="1"/>
  <c r="AG125" i="520" s="1"/>
  <c r="AG158" i="520" s="1"/>
  <c r="AB197" i="521"/>
  <c r="AB208" i="521" s="1"/>
  <c r="AB209" i="521"/>
  <c r="AF47" i="521"/>
  <c r="AG92" i="521"/>
  <c r="Z181" i="521"/>
  <c r="Z198" i="521" s="1"/>
  <c r="Z199" i="521" s="1"/>
  <c r="AA183" i="521"/>
  <c r="AA185" i="521" s="1"/>
  <c r="AC178" i="521"/>
  <c r="AC187" i="521"/>
  <c r="Y204" i="521"/>
  <c r="Y210" i="521"/>
  <c r="J53" i="198"/>
  <c r="J53" i="503"/>
  <c r="J52" i="503"/>
  <c r="J71" i="503"/>
  <c r="J72" i="503" s="1"/>
  <c r="J71" i="504"/>
  <c r="J72" i="504" s="1"/>
  <c r="AN121" i="1"/>
  <c r="AO121" i="1"/>
  <c r="AP121" i="1"/>
  <c r="J53" i="504"/>
  <c r="J52" i="504"/>
  <c r="J67" i="504"/>
  <c r="J85" i="504"/>
  <c r="J85" i="503"/>
  <c r="J67" i="503"/>
  <c r="AQ121" i="1"/>
  <c r="J86" i="198"/>
  <c r="J72" i="198"/>
  <c r="J73" i="198" s="1"/>
  <c r="BO103" i="1"/>
  <c r="BO102" i="1"/>
  <c r="AF116" i="520" l="1"/>
  <c r="AF149" i="520" s="1"/>
  <c r="AG38" i="520" s="1"/>
  <c r="AG50" i="520" s="1"/>
  <c r="AE52" i="520"/>
  <c r="AE184" i="520"/>
  <c r="AE203" i="520" s="1"/>
  <c r="AE61" i="520"/>
  <c r="AF61" i="520"/>
  <c r="AF184" i="520"/>
  <c r="AF203" i="520" s="1"/>
  <c r="AF52" i="520"/>
  <c r="AF54" i="520"/>
  <c r="AA208" i="520"/>
  <c r="Y210" i="520"/>
  <c r="Y204" i="520"/>
  <c r="Z186" i="520"/>
  <c r="AB170" i="520"/>
  <c r="AC175" i="520"/>
  <c r="AF125" i="521"/>
  <c r="AF158" i="521" s="1"/>
  <c r="AG47" i="521" s="1"/>
  <c r="AF50" i="521"/>
  <c r="AD175" i="521"/>
  <c r="AC170" i="521"/>
  <c r="AA186" i="521"/>
  <c r="Z205" i="521"/>
  <c r="AA201" i="521"/>
  <c r="BP121" i="1"/>
  <c r="AG116" i="520" l="1"/>
  <c r="AG149" i="520" s="1"/>
  <c r="AC187" i="520"/>
  <c r="AC178" i="520"/>
  <c r="AB209" i="520"/>
  <c r="AB197" i="520"/>
  <c r="Z181" i="520"/>
  <c r="Z198" i="520" s="1"/>
  <c r="Z199" i="520" s="1"/>
  <c r="AA183" i="520"/>
  <c r="AG61" i="520"/>
  <c r="AG184" i="520"/>
  <c r="AG203" i="520" s="1"/>
  <c r="AG52" i="520"/>
  <c r="AG54" i="520"/>
  <c r="AC197" i="521"/>
  <c r="AC208" i="521" s="1"/>
  <c r="AC209" i="521"/>
  <c r="AF184" i="521"/>
  <c r="AF203" i="521" s="1"/>
  <c r="AF61" i="521"/>
  <c r="AF52" i="521"/>
  <c r="AF54" i="521"/>
  <c r="AG125" i="521"/>
  <c r="AG158" i="521" s="1"/>
  <c r="AG50" i="521"/>
  <c r="Z204" i="521"/>
  <c r="Z210" i="521"/>
  <c r="AA181" i="521"/>
  <c r="AA198" i="521" s="1"/>
  <c r="AA199" i="521" s="1"/>
  <c r="AB183" i="521"/>
  <c r="AD178" i="521"/>
  <c r="AD187" i="521"/>
  <c r="M76" i="198"/>
  <c r="N76" i="198" s="1"/>
  <c r="AC170" i="520" l="1"/>
  <c r="AD175" i="520"/>
  <c r="AA185" i="520"/>
  <c r="Z205" i="520"/>
  <c r="AA201" i="520"/>
  <c r="AB208" i="520"/>
  <c r="AG184" i="521"/>
  <c r="AG203" i="521" s="1"/>
  <c r="AG61" i="521"/>
  <c r="AG54" i="521"/>
  <c r="AG52" i="521"/>
  <c r="AD170" i="521"/>
  <c r="AE175" i="521"/>
  <c r="AB185" i="521"/>
  <c r="AB201" i="521"/>
  <c r="AA205" i="521"/>
  <c r="O76" i="198"/>
  <c r="Z210" i="520" l="1"/>
  <c r="Z204" i="520"/>
  <c r="AA186" i="520"/>
  <c r="AD187" i="520"/>
  <c r="AD178" i="520"/>
  <c r="AC209" i="520"/>
  <c r="AC197" i="520"/>
  <c r="AD197" i="521"/>
  <c r="AD208" i="521" s="1"/>
  <c r="AD209" i="521"/>
  <c r="AA204" i="521"/>
  <c r="AA210" i="521"/>
  <c r="AB186" i="521"/>
  <c r="AE178" i="521"/>
  <c r="AE187" i="521"/>
  <c r="P76" i="198"/>
  <c r="AC208" i="520" l="1"/>
  <c r="AE175" i="520"/>
  <c r="AD170" i="520"/>
  <c r="AA181" i="520"/>
  <c r="AA198" i="520" s="1"/>
  <c r="AA199" i="520" s="1"/>
  <c r="AB183" i="520"/>
  <c r="AF175" i="521"/>
  <c r="AE170" i="521"/>
  <c r="AB181" i="521"/>
  <c r="AB198" i="521" s="1"/>
  <c r="AB199" i="521" s="1"/>
  <c r="AC183" i="521"/>
  <c r="Q76" i="198"/>
  <c r="AB185" i="520" l="1"/>
  <c r="AB201" i="520"/>
  <c r="AA205" i="520"/>
  <c r="AD209" i="520"/>
  <c r="AD197" i="520"/>
  <c r="AE187" i="520"/>
  <c r="AE178" i="520"/>
  <c r="AE197" i="521"/>
  <c r="AE208" i="521" s="1"/>
  <c r="AE209" i="521"/>
  <c r="AC185" i="521"/>
  <c r="AC201" i="521"/>
  <c r="AB205" i="521"/>
  <c r="AF187" i="521"/>
  <c r="AF178" i="521"/>
  <c r="R76" i="198"/>
  <c r="AF175" i="520" l="1"/>
  <c r="AE170" i="520"/>
  <c r="AD208" i="520"/>
  <c r="AA210" i="520"/>
  <c r="AA204" i="520"/>
  <c r="AB186" i="520"/>
  <c r="AG175" i="521"/>
  <c r="AF170" i="521"/>
  <c r="AB210" i="521"/>
  <c r="AB204" i="521"/>
  <c r="AC186" i="521"/>
  <c r="S76" i="198"/>
  <c r="AE197" i="520" l="1"/>
  <c r="AE209" i="520"/>
  <c r="AB181" i="520"/>
  <c r="AB198" i="520" s="1"/>
  <c r="AB199" i="520" s="1"/>
  <c r="AC183" i="520"/>
  <c r="AF187" i="520"/>
  <c r="AF178" i="520"/>
  <c r="AF197" i="521"/>
  <c r="AF208" i="521" s="1"/>
  <c r="AF209" i="521"/>
  <c r="AC181" i="521"/>
  <c r="AC198" i="521" s="1"/>
  <c r="AC199" i="521" s="1"/>
  <c r="AD183" i="521"/>
  <c r="AG187" i="521"/>
  <c r="AG178" i="521"/>
  <c r="AG170" i="521" s="1"/>
  <c r="T76" i="198"/>
  <c r="AC185" i="520" l="1"/>
  <c r="AG175" i="520"/>
  <c r="AF170" i="520"/>
  <c r="AC201" i="520"/>
  <c r="AB205" i="520"/>
  <c r="AE208" i="520"/>
  <c r="AG197" i="521"/>
  <c r="AG208" i="521" s="1"/>
  <c r="AG209" i="521"/>
  <c r="AD185" i="521"/>
  <c r="AD201" i="521"/>
  <c r="AC205" i="521"/>
  <c r="U76" i="198"/>
  <c r="AB210" i="520" l="1"/>
  <c r="AB204" i="520"/>
  <c r="AF209" i="520"/>
  <c r="AF197" i="520"/>
  <c r="AG187" i="520"/>
  <c r="AG178" i="520"/>
  <c r="AG170" i="520" s="1"/>
  <c r="AC186" i="520"/>
  <c r="AC210" i="521"/>
  <c r="AC204" i="521"/>
  <c r="AD186" i="521"/>
  <c r="V76" i="198"/>
  <c r="K85" i="198"/>
  <c r="K95" i="198"/>
  <c r="AG209" i="520" l="1"/>
  <c r="AG197" i="520"/>
  <c r="AC181" i="520"/>
  <c r="AC198" i="520" s="1"/>
  <c r="AC199" i="520" s="1"/>
  <c r="AD183" i="520"/>
  <c r="AF208" i="520"/>
  <c r="AD181" i="521"/>
  <c r="AD198" i="521" s="1"/>
  <c r="AD199" i="521" s="1"/>
  <c r="AE183" i="521"/>
  <c r="AC18" i="267"/>
  <c r="AC19" i="267" s="1"/>
  <c r="AM58" i="1" s="1"/>
  <c r="AD185" i="520" l="1"/>
  <c r="AD201" i="520"/>
  <c r="AC205" i="520"/>
  <c r="AG208" i="520"/>
  <c r="AE185" i="521"/>
  <c r="AE201" i="521"/>
  <c r="AD205" i="521"/>
  <c r="BO58" i="1"/>
  <c r="AM61" i="1"/>
  <c r="AC210" i="520" l="1"/>
  <c r="AC204" i="520"/>
  <c r="AD186" i="520"/>
  <c r="AD210" i="521"/>
  <c r="AD204" i="521"/>
  <c r="AE186" i="521"/>
  <c r="J23" i="198"/>
  <c r="J22" i="523"/>
  <c r="BO61" i="1"/>
  <c r="J15" i="523" s="1"/>
  <c r="J26" i="523" s="1"/>
  <c r="AM63" i="1"/>
  <c r="AM54" i="1" s="1"/>
  <c r="AD181" i="520" l="1"/>
  <c r="AD198" i="520" s="1"/>
  <c r="AD199" i="520" s="1"/>
  <c r="AE183" i="520"/>
  <c r="AE181" i="521"/>
  <c r="AE198" i="521" s="1"/>
  <c r="AE199" i="521" s="1"/>
  <c r="AF183" i="521"/>
  <c r="J15" i="504"/>
  <c r="J15" i="503"/>
  <c r="J16" i="198"/>
  <c r="J27" i="198" s="1"/>
  <c r="BO63" i="1"/>
  <c r="BO54" i="1" s="1"/>
  <c r="J18" i="523" s="1"/>
  <c r="AE185" i="520" l="1"/>
  <c r="AE201" i="520"/>
  <c r="AD205" i="520"/>
  <c r="AF185" i="521"/>
  <c r="AF201" i="521"/>
  <c r="AE205" i="521"/>
  <c r="J18" i="504"/>
  <c r="J18" i="503"/>
  <c r="J19" i="198"/>
  <c r="AB21" i="522"/>
  <c r="AC18" i="522" s="1"/>
  <c r="AC21" i="522" s="1"/>
  <c r="AB31" i="522"/>
  <c r="AB34" i="522"/>
  <c r="S34" i="522" s="1"/>
  <c r="AD210" i="520" l="1"/>
  <c r="AD204" i="520"/>
  <c r="AE186" i="520"/>
  <c r="AE210" i="521"/>
  <c r="AE204" i="521"/>
  <c r="AF186" i="521"/>
  <c r="AC15" i="522"/>
  <c r="AD18" i="522"/>
  <c r="AD21" i="522" s="1"/>
  <c r="AD15" i="522" s="1"/>
  <c r="AD34" i="522" s="1"/>
  <c r="AB20" i="522"/>
  <c r="AE181" i="520" l="1"/>
  <c r="AE198" i="520" s="1"/>
  <c r="AE199" i="520" s="1"/>
  <c r="AF183" i="520"/>
  <c r="AF181" i="521"/>
  <c r="AF198" i="521" s="1"/>
  <c r="AF199" i="521" s="1"/>
  <c r="AG183" i="521"/>
  <c r="AC34" i="522"/>
  <c r="P10" i="522"/>
  <c r="Q10" i="522" s="1"/>
  <c r="R10" i="522" s="1"/>
  <c r="P11" i="522"/>
  <c r="Q11" i="522" s="1"/>
  <c r="R11" i="522" s="1"/>
  <c r="P12" i="522"/>
  <c r="Q12" i="522" s="1"/>
  <c r="R12" i="522" s="1"/>
  <c r="P13" i="522"/>
  <c r="Q13" i="522" s="1"/>
  <c r="R13" i="522" s="1"/>
  <c r="P14" i="522"/>
  <c r="Q14" i="522" s="1"/>
  <c r="R14" i="522" s="1"/>
  <c r="S31" i="522"/>
  <c r="AF185" i="520" l="1"/>
  <c r="AE205" i="520"/>
  <c r="AF201" i="520"/>
  <c r="AG185" i="521"/>
  <c r="AG186" i="521" s="1"/>
  <c r="AG181" i="521" s="1"/>
  <c r="AG198" i="521" s="1"/>
  <c r="AG199" i="521" s="1"/>
  <c r="AG205" i="521" s="1"/>
  <c r="AF205" i="521"/>
  <c r="AG201" i="521"/>
  <c r="R15" i="522"/>
  <c r="R31" i="522" s="1"/>
  <c r="R47" i="522"/>
  <c r="Q15" i="522"/>
  <c r="P15" i="522"/>
  <c r="AE210" i="520" l="1"/>
  <c r="AE204" i="520"/>
  <c r="AF186" i="520"/>
  <c r="AG210" i="521"/>
  <c r="AG204" i="521"/>
  <c r="AF210" i="521"/>
  <c r="AF204" i="521"/>
  <c r="R21" i="522"/>
  <c r="S18" i="522" s="1"/>
  <c r="S20" i="522" s="1"/>
  <c r="Q31" i="522"/>
  <c r="Q21" i="522"/>
  <c r="Q47" i="522"/>
  <c r="R66" i="522"/>
  <c r="R53" i="522"/>
  <c r="R63" i="522"/>
  <c r="P21" i="522"/>
  <c r="P47" i="522"/>
  <c r="P31" i="522"/>
  <c r="AF181" i="520" l="1"/>
  <c r="AF198" i="520" s="1"/>
  <c r="AF199" i="520" s="1"/>
  <c r="AG183" i="520"/>
  <c r="AB47" i="522"/>
  <c r="S53" i="522"/>
  <c r="S63" i="522"/>
  <c r="S66" i="522"/>
  <c r="Q66" i="522"/>
  <c r="Q63" i="522"/>
  <c r="Q53" i="522"/>
  <c r="R18" i="522"/>
  <c r="R20" i="522" s="1"/>
  <c r="P66" i="522"/>
  <c r="P63" i="522"/>
  <c r="P53" i="522"/>
  <c r="P20" i="522"/>
  <c r="Q18" i="522"/>
  <c r="Q20" i="522" s="1"/>
  <c r="S50" i="522"/>
  <c r="AG185" i="520" l="1"/>
  <c r="AG186" i="520" s="1"/>
  <c r="AG181" i="520" s="1"/>
  <c r="AG198" i="520" s="1"/>
  <c r="AG199" i="520" s="1"/>
  <c r="AG205" i="520" s="1"/>
  <c r="AF205" i="520"/>
  <c r="AG201" i="520"/>
  <c r="S52" i="522"/>
  <c r="R50" i="522"/>
  <c r="R52" i="522" s="1"/>
  <c r="P52" i="522"/>
  <c r="Q50" i="522"/>
  <c r="Q52" i="522" s="1"/>
  <c r="AB63" i="522"/>
  <c r="AB53" i="522"/>
  <c r="AB66" i="522"/>
  <c r="AG210" i="520" l="1"/>
  <c r="AG204" i="520"/>
  <c r="AF210" i="520"/>
  <c r="AF204" i="520"/>
  <c r="AB52" i="522"/>
  <c r="AC50" i="522"/>
  <c r="AC53" i="522" s="1"/>
  <c r="AC47" i="522" l="1"/>
  <c r="AD50" i="522"/>
  <c r="AD53" i="522" s="1"/>
  <c r="AD47" i="522" s="1"/>
  <c r="AD66" i="522" l="1"/>
  <c r="AD63" i="522"/>
  <c r="AC66" i="522"/>
  <c r="AC63" i="522"/>
  <c r="P34" i="522"/>
  <c r="Q34" i="522" s="1"/>
  <c r="R34" i="522" s="1"/>
  <c r="S35" i="522"/>
  <c r="AB36" i="522"/>
  <c r="AB37" i="522" s="1"/>
  <c r="AB43" i="522"/>
  <c r="AB42" i="522" s="1"/>
  <c r="S67" i="522" l="1"/>
  <c r="AB67" i="522" s="1"/>
  <c r="S43" i="522"/>
  <c r="P35" i="522"/>
  <c r="Q35" i="522" s="1"/>
  <c r="AC40" i="522"/>
  <c r="AB75" i="522"/>
  <c r="AC72" i="522" s="1"/>
  <c r="AC75" i="522" s="1"/>
  <c r="AB68" i="522"/>
  <c r="AB69" i="522" s="1"/>
  <c r="S68" i="522"/>
  <c r="S69" i="522" s="1"/>
  <c r="S75" i="522"/>
  <c r="S36" i="522"/>
  <c r="S37" i="522" s="1"/>
  <c r="P36" i="522" l="1"/>
  <c r="P37" i="522" s="1"/>
  <c r="P43" i="522"/>
  <c r="P67" i="522"/>
  <c r="P42" i="522"/>
  <c r="Q40" i="522"/>
  <c r="P68" i="522"/>
  <c r="P69" i="522" s="1"/>
  <c r="P75" i="522"/>
  <c r="Q67" i="522"/>
  <c r="Q43" i="522"/>
  <c r="Q36" i="522"/>
  <c r="Q37" i="522" s="1"/>
  <c r="R35" i="522"/>
  <c r="AB74" i="522"/>
  <c r="Q42" i="522" l="1"/>
  <c r="R40" i="522"/>
  <c r="Q68" i="522"/>
  <c r="Q69" i="522" s="1"/>
  <c r="Q75" i="522"/>
  <c r="Q72" i="522"/>
  <c r="P74" i="522"/>
  <c r="R67" i="522"/>
  <c r="R43" i="522"/>
  <c r="S40" i="522" s="1"/>
  <c r="S42" i="522" s="1"/>
  <c r="R36" i="522"/>
  <c r="R37" i="522" s="1"/>
  <c r="R72" i="522" l="1"/>
  <c r="Q74" i="522"/>
  <c r="R42" i="522"/>
  <c r="R68" i="522"/>
  <c r="R69" i="522" s="1"/>
  <c r="R75" i="522"/>
  <c r="S72" i="522" l="1"/>
  <c r="S74" i="522" s="1"/>
  <c r="R74" i="522"/>
  <c r="BO183" i="1" l="1"/>
  <c r="BO190" i="1" s="1"/>
  <c r="AM190" i="1"/>
  <c r="AM207" i="1"/>
  <c r="AQ207" i="1" s="1"/>
  <c r="AQ183" i="1" s="1"/>
  <c r="AQ184" i="1" s="1"/>
  <c r="AM184" i="1"/>
  <c r="AM208" i="1" s="1"/>
  <c r="AQ48" i="1" l="1"/>
  <c r="AQ208" i="1"/>
  <c r="BP184" i="1"/>
  <c r="BP208" i="1" s="1"/>
  <c r="AQ191" i="1"/>
  <c r="BO184" i="1"/>
  <c r="BO207" i="1"/>
  <c r="AM191" i="1"/>
  <c r="BP183" i="1"/>
  <c r="AQ190" i="1"/>
  <c r="BP191" i="1" l="1"/>
  <c r="AQ78" i="1"/>
  <c r="BP48" i="1"/>
  <c r="K13" i="523" s="1"/>
  <c r="AQ32" i="1"/>
  <c r="AQ52" i="1"/>
  <c r="AQ53" i="1"/>
  <c r="AQ49" i="1"/>
  <c r="AQ50" i="1" s="1"/>
  <c r="BP50" i="1" s="1"/>
  <c r="AQ69" i="1"/>
  <c r="AQ757" i="1"/>
  <c r="BO208" i="1"/>
  <c r="BO191" i="1"/>
  <c r="BP207" i="1"/>
  <c r="BP190" i="1"/>
  <c r="AD72" i="522"/>
  <c r="AD75" i="522" s="1"/>
  <c r="AD67" i="522" s="1"/>
  <c r="AD68" i="522" s="1"/>
  <c r="AD69" i="522" s="1"/>
  <c r="AC67" i="522"/>
  <c r="AC68" i="522" s="1"/>
  <c r="AC69" i="522" s="1"/>
  <c r="AN41" i="359"/>
  <c r="K124" i="523" l="1"/>
  <c r="K16" i="523"/>
  <c r="K14" i="523"/>
  <c r="K17" i="523"/>
  <c r="AQ70" i="1"/>
  <c r="AQ71" i="1" s="1"/>
  <c r="AQ73" i="1" s="1"/>
  <c r="BP32" i="1"/>
  <c r="AQ38" i="1"/>
  <c r="AQ39" i="1" s="1"/>
  <c r="BP39" i="1" s="1"/>
  <c r="AQ46" i="1"/>
  <c r="K13" i="503"/>
  <c r="K124" i="503" s="1"/>
  <c r="BP69" i="1"/>
  <c r="BP53" i="1"/>
  <c r="K13" i="198"/>
  <c r="K125" i="198" s="1"/>
  <c r="BP49" i="1"/>
  <c r="BP51" i="1" s="1"/>
  <c r="BP52" i="1"/>
  <c r="K13" i="504"/>
  <c r="K124" i="504" s="1"/>
  <c r="AQ51" i="1"/>
  <c r="BP78" i="1"/>
  <c r="AQ79" i="1"/>
  <c r="AQ80" i="1"/>
  <c r="BP757" i="1"/>
  <c r="AQ759" i="1"/>
  <c r="AQ778" i="1"/>
  <c r="M125" i="523" l="1"/>
  <c r="N125" i="523" s="1"/>
  <c r="O125" i="523" s="1"/>
  <c r="P125" i="523" s="1"/>
  <c r="AQ40" i="1"/>
  <c r="BP73" i="1"/>
  <c r="BP74" i="1" s="1"/>
  <c r="AQ74" i="1"/>
  <c r="K16" i="503"/>
  <c r="K17" i="503"/>
  <c r="K14" i="503"/>
  <c r="L13" i="503"/>
  <c r="L124" i="503" s="1"/>
  <c r="AQ785" i="1"/>
  <c r="BP778" i="1"/>
  <c r="BP80" i="1"/>
  <c r="BP79" i="1"/>
  <c r="K17" i="504"/>
  <c r="K14" i="504"/>
  <c r="K16" i="504"/>
  <c r="BP759" i="1"/>
  <c r="L13" i="198"/>
  <c r="L125" i="198" s="1"/>
  <c r="K18" i="198"/>
  <c r="K17" i="198"/>
  <c r="K14" i="198"/>
  <c r="BP38" i="1"/>
  <c r="BP40" i="1" s="1"/>
  <c r="BP46" i="1"/>
  <c r="BP70" i="1"/>
  <c r="BP71" i="1" s="1"/>
  <c r="AQ113" i="1"/>
  <c r="BP113" i="1" s="1"/>
  <c r="AQ760" i="1"/>
  <c r="BP760" i="1" s="1"/>
  <c r="Q125" i="523" l="1"/>
  <c r="R125" i="523" s="1"/>
  <c r="S125" i="523" s="1"/>
  <c r="T125" i="523" s="1"/>
  <c r="U125" i="523" s="1"/>
  <c r="V125" i="523" s="1"/>
  <c r="AQ761" i="1"/>
  <c r="BP761" i="1" s="1"/>
  <c r="BP72" i="1"/>
  <c r="AQ786" i="1"/>
  <c r="AQ787" i="1" s="1"/>
  <c r="AQ788" i="1"/>
  <c r="BP785" i="1"/>
  <c r="L17" i="198"/>
  <c r="L14" i="198"/>
  <c r="M13" i="198"/>
  <c r="M125" i="198" s="1"/>
  <c r="L16" i="503"/>
  <c r="L14" i="503"/>
  <c r="M13" i="503"/>
  <c r="M124" i="503" s="1"/>
  <c r="M14" i="503" l="1"/>
  <c r="M16" i="503"/>
  <c r="N13" i="503"/>
  <c r="N124" i="503" s="1"/>
  <c r="BP788" i="1"/>
  <c r="BP786" i="1"/>
  <c r="N13" i="198"/>
  <c r="N125" i="198" s="1"/>
  <c r="M14" i="198"/>
  <c r="M17" i="198"/>
  <c r="O13" i="503" l="1"/>
  <c r="O124" i="503" s="1"/>
  <c r="N14" i="503"/>
  <c r="N16" i="503"/>
  <c r="N14" i="198"/>
  <c r="O13" i="198"/>
  <c r="O125" i="198" s="1"/>
  <c r="N17" i="198"/>
  <c r="O14" i="503" l="1"/>
  <c r="O16" i="503"/>
  <c r="P13" i="503"/>
  <c r="P124" i="503" s="1"/>
  <c r="O14" i="198"/>
  <c r="O17" i="198"/>
  <c r="P13" i="198"/>
  <c r="P125" i="198" s="1"/>
  <c r="Q13" i="198" l="1"/>
  <c r="Q125" i="198" s="1"/>
  <c r="P17" i="198"/>
  <c r="P14" i="198"/>
  <c r="P14" i="503"/>
  <c r="Q13" i="503"/>
  <c r="Q124" i="503" s="1"/>
  <c r="P16" i="503"/>
  <c r="Q16" i="503" l="1"/>
  <c r="Q14" i="503"/>
  <c r="R13" i="503"/>
  <c r="R124" i="503" s="1"/>
  <c r="Q14" i="198"/>
  <c r="Q17" i="198"/>
  <c r="R13" i="198"/>
  <c r="R125" i="198" s="1"/>
  <c r="R14" i="503" l="1"/>
  <c r="S13" i="503"/>
  <c r="S124" i="503" s="1"/>
  <c r="R16" i="503"/>
  <c r="S13" i="198"/>
  <c r="S125" i="198" s="1"/>
  <c r="R14" i="198"/>
  <c r="R17" i="198"/>
  <c r="S14" i="198" l="1"/>
  <c r="S17" i="198"/>
  <c r="T13" i="198"/>
  <c r="T125" i="198" s="1"/>
  <c r="T13" i="503"/>
  <c r="T124" i="503" s="1"/>
  <c r="S14" i="503"/>
  <c r="S16" i="503"/>
  <c r="T17" i="198" l="1"/>
  <c r="U13" i="198"/>
  <c r="U125" i="198" s="1"/>
  <c r="T14" i="198"/>
  <c r="T16" i="503"/>
  <c r="U13" i="503"/>
  <c r="U124" i="503" s="1"/>
  <c r="T14" i="503"/>
  <c r="U16" i="503" l="1"/>
  <c r="V13" i="503"/>
  <c r="V124" i="503" s="1"/>
  <c r="U14" i="503"/>
  <c r="U17" i="198"/>
  <c r="U14" i="198"/>
  <c r="V13" i="198"/>
  <c r="V125" i="198" s="1"/>
  <c r="V14" i="503" l="1"/>
  <c r="V16" i="503"/>
  <c r="V17" i="198"/>
  <c r="V14" i="198"/>
  <c r="U16" i="519" l="1"/>
  <c r="U81" i="519" s="1"/>
  <c r="U197" i="519"/>
  <c r="U36" i="519" l="1"/>
  <c r="U147" i="519"/>
  <c r="V81" i="519"/>
  <c r="W81" i="519" s="1"/>
  <c r="X81" i="519" s="1"/>
  <c r="Y81" i="519" s="1"/>
  <c r="Z81" i="519" s="1"/>
  <c r="AA81" i="519" s="1"/>
  <c r="AB81" i="519" s="1"/>
  <c r="U35" i="519"/>
  <c r="U64" i="519"/>
  <c r="AC81" i="519" l="1"/>
  <c r="V36" i="519"/>
  <c r="V114" i="519" s="1"/>
  <c r="V147" i="519" s="1"/>
  <c r="W36" i="519" s="1"/>
  <c r="W114" i="519" s="1"/>
  <c r="W147" i="519" s="1"/>
  <c r="X36" i="519" s="1"/>
  <c r="X114" i="519" s="1"/>
  <c r="X147" i="519" s="1"/>
  <c r="Y36" i="519" s="1"/>
  <c r="Y114" i="519" s="1"/>
  <c r="Y147" i="519" s="1"/>
  <c r="Z36" i="519" s="1"/>
  <c r="V64" i="519"/>
  <c r="U130" i="519"/>
  <c r="V19" i="519" s="1"/>
  <c r="U113" i="519"/>
  <c r="U146" i="519" s="1"/>
  <c r="V35" i="519" s="1"/>
  <c r="V113" i="519" s="1"/>
  <c r="V146" i="519" s="1"/>
  <c r="W35" i="519" s="1"/>
  <c r="U50" i="519"/>
  <c r="Z114" i="519" l="1"/>
  <c r="Z147" i="519" s="1"/>
  <c r="AA36" i="519" s="1"/>
  <c r="AA114" i="519" s="1"/>
  <c r="AA147" i="519" s="1"/>
  <c r="AB36" i="519" s="1"/>
  <c r="AB114" i="519" s="1"/>
  <c r="AB147" i="519" s="1"/>
  <c r="AC36" i="519" s="1"/>
  <c r="AC114" i="519" s="1"/>
  <c r="AC147" i="519" s="1"/>
  <c r="AD81" i="519"/>
  <c r="W113" i="519"/>
  <c r="W146" i="519" s="1"/>
  <c r="U58" i="519"/>
  <c r="U59" i="519"/>
  <c r="U61" i="519"/>
  <c r="U54" i="519"/>
  <c r="U52" i="519"/>
  <c r="V97" i="519"/>
  <c r="V130" i="519" s="1"/>
  <c r="W19" i="519" s="1"/>
  <c r="W64" i="519"/>
  <c r="AD36" i="519" l="1"/>
  <c r="AD114" i="519" s="1"/>
  <c r="AD147" i="519" s="1"/>
  <c r="AE81" i="519"/>
  <c r="W97" i="519"/>
  <c r="W130" i="519" s="1"/>
  <c r="X19" i="519" s="1"/>
  <c r="U203" i="519"/>
  <c r="X35" i="519"/>
  <c r="X64" i="519"/>
  <c r="U208" i="519" l="1"/>
  <c r="U209" i="519"/>
  <c r="AF81" i="519"/>
  <c r="AE36" i="519"/>
  <c r="AE114" i="519" s="1"/>
  <c r="AE147" i="519" s="1"/>
  <c r="AF36" i="519" s="1"/>
  <c r="AF114" i="519" s="1"/>
  <c r="X113" i="519"/>
  <c r="X146" i="519" s="1"/>
  <c r="Y35" i="519" s="1"/>
  <c r="Y64" i="519"/>
  <c r="X97" i="519"/>
  <c r="X130" i="519" s="1"/>
  <c r="U198" i="519"/>
  <c r="U199" i="519" s="1"/>
  <c r="V183" i="519"/>
  <c r="AF147" i="519" l="1"/>
  <c r="AG36" i="519" s="1"/>
  <c r="AG114" i="519" s="1"/>
  <c r="AG81" i="519"/>
  <c r="Y113" i="519"/>
  <c r="Y146" i="519" s="1"/>
  <c r="Z35" i="519" s="1"/>
  <c r="Z113" i="519" s="1"/>
  <c r="Z146" i="519" s="1"/>
  <c r="AA35" i="519" s="1"/>
  <c r="AA113" i="519" s="1"/>
  <c r="V185" i="519"/>
  <c r="Z64" i="519"/>
  <c r="V201" i="519"/>
  <c r="U205" i="519"/>
  <c r="Y19" i="519"/>
  <c r="AG147" i="519" l="1"/>
  <c r="Y97" i="519"/>
  <c r="Y130" i="519" s="1"/>
  <c r="Z19" i="519" s="1"/>
  <c r="AA64" i="519"/>
  <c r="U210" i="519"/>
  <c r="AA146" i="519"/>
  <c r="Z97" i="519" l="1"/>
  <c r="Z130" i="519" s="1"/>
  <c r="AA19" i="519" s="1"/>
  <c r="AB64" i="519"/>
  <c r="AB35" i="519"/>
  <c r="AA97" i="519" l="1"/>
  <c r="AA130" i="519" s="1"/>
  <c r="AB19" i="519" s="1"/>
  <c r="AB97" i="519" s="1"/>
  <c r="AB130" i="519" s="1"/>
  <c r="AC64" i="519"/>
  <c r="AB113" i="519"/>
  <c r="AB146" i="519" s="1"/>
  <c r="AC35" i="519" s="1"/>
  <c r="AC113" i="519" s="1"/>
  <c r="AC146" i="519" s="1"/>
  <c r="AD35" i="519" s="1"/>
  <c r="AD113" i="519" s="1"/>
  <c r="AC19" i="519" l="1"/>
  <c r="AD64" i="519"/>
  <c r="AD146" i="519"/>
  <c r="AC97" i="519" l="1"/>
  <c r="AC130" i="519" s="1"/>
  <c r="AD19" i="519" s="1"/>
  <c r="AE35" i="519"/>
  <c r="AE113" i="519" s="1"/>
  <c r="AE146" i="519" s="1"/>
  <c r="AF35" i="519" s="1"/>
  <c r="AF113" i="519" s="1"/>
  <c r="AE64" i="519"/>
  <c r="AD97" i="519" l="1"/>
  <c r="AD130" i="519" s="1"/>
  <c r="AE19" i="519" s="1"/>
  <c r="AF146" i="519"/>
  <c r="AG35" i="519" s="1"/>
  <c r="AG113" i="519" s="1"/>
  <c r="AF64" i="519"/>
  <c r="AE97" i="519" l="1"/>
  <c r="AE130" i="519" s="1"/>
  <c r="AF19" i="519" s="1"/>
  <c r="AF97" i="519" s="1"/>
  <c r="AF130" i="519" s="1"/>
  <c r="AG19" i="519" s="1"/>
  <c r="AG146" i="519"/>
  <c r="AG64" i="519"/>
  <c r="AG97" i="519" l="1"/>
  <c r="AG130" i="519" s="1"/>
  <c r="U14" i="519" l="1"/>
  <c r="U15" i="519" s="1"/>
  <c r="V15" i="519" s="1"/>
  <c r="V175" i="519"/>
  <c r="U202" i="519"/>
  <c r="U204" i="519" s="1"/>
  <c r="V16" i="519" l="1"/>
  <c r="V82" i="519" s="1"/>
  <c r="W15" i="519"/>
  <c r="V178" i="519"/>
  <c r="W175" i="519" s="1"/>
  <c r="W178" i="519" s="1"/>
  <c r="W16" i="519" l="1"/>
  <c r="W83" i="519" s="1"/>
  <c r="X15" i="519"/>
  <c r="V37" i="519"/>
  <c r="W82" i="519"/>
  <c r="X82" i="519" s="1"/>
  <c r="Y82" i="519" s="1"/>
  <c r="Z82" i="519" s="1"/>
  <c r="AA82" i="519" s="1"/>
  <c r="AB82" i="519" s="1"/>
  <c r="AC82" i="519" s="1"/>
  <c r="AD82" i="519" s="1"/>
  <c r="AE82" i="519" s="1"/>
  <c r="AF82" i="519" s="1"/>
  <c r="AG82" i="519" s="1"/>
  <c r="V170" i="519"/>
  <c r="W170" i="519"/>
  <c r="X175" i="519"/>
  <c r="V197" i="519" l="1"/>
  <c r="W197" i="519"/>
  <c r="V115" i="519"/>
  <c r="V148" i="519" s="1"/>
  <c r="W37" i="519" s="1"/>
  <c r="V50" i="519"/>
  <c r="X16" i="519"/>
  <c r="X84" i="519" s="1"/>
  <c r="Y15" i="519"/>
  <c r="W38" i="519"/>
  <c r="X83" i="519"/>
  <c r="Y83" i="519" s="1"/>
  <c r="Z83" i="519" s="1"/>
  <c r="AA83" i="519" s="1"/>
  <c r="AB83" i="519" s="1"/>
  <c r="AC83" i="519" s="1"/>
  <c r="AD83" i="519" s="1"/>
  <c r="AE83" i="519" s="1"/>
  <c r="AF83" i="519" s="1"/>
  <c r="AG83" i="519" s="1"/>
  <c r="X178" i="519"/>
  <c r="W116" i="519" l="1"/>
  <c r="W149" i="519" s="1"/>
  <c r="X38" i="519" s="1"/>
  <c r="X116" i="519" s="1"/>
  <c r="X149" i="519" s="1"/>
  <c r="Y38" i="519" s="1"/>
  <c r="Y116" i="519" s="1"/>
  <c r="Y149" i="519" s="1"/>
  <c r="Z38" i="519" s="1"/>
  <c r="Z116" i="519" s="1"/>
  <c r="Z149" i="519" s="1"/>
  <c r="AA38" i="519" s="1"/>
  <c r="AA116" i="519" s="1"/>
  <c r="AA149" i="519" s="1"/>
  <c r="AB38" i="519" s="1"/>
  <c r="Y84" i="519"/>
  <c r="Z84" i="519" s="1"/>
  <c r="AA84" i="519" s="1"/>
  <c r="AB84" i="519" s="1"/>
  <c r="AC84" i="519" s="1"/>
  <c r="AD84" i="519" s="1"/>
  <c r="AE84" i="519" s="1"/>
  <c r="AF84" i="519" s="1"/>
  <c r="AG84" i="519" s="1"/>
  <c r="X39" i="519"/>
  <c r="Y16" i="519"/>
  <c r="Y85" i="519" s="1"/>
  <c r="Z15" i="519"/>
  <c r="V61" i="519"/>
  <c r="V184" i="519"/>
  <c r="V52" i="519"/>
  <c r="V54" i="519"/>
  <c r="W115" i="519"/>
  <c r="W148" i="519" s="1"/>
  <c r="X37" i="519" s="1"/>
  <c r="W50" i="519"/>
  <c r="X170" i="519"/>
  <c r="Y175" i="519"/>
  <c r="X197" i="519" l="1"/>
  <c r="X50" i="519"/>
  <c r="X115" i="519"/>
  <c r="X148" i="519" s="1"/>
  <c r="Y37" i="519" s="1"/>
  <c r="Y115" i="519" s="1"/>
  <c r="Y148" i="519" s="1"/>
  <c r="Z37" i="519" s="1"/>
  <c r="Z115" i="519" s="1"/>
  <c r="Z148" i="519" s="1"/>
  <c r="AA37" i="519" s="1"/>
  <c r="Z16" i="519"/>
  <c r="Z86" i="519" s="1"/>
  <c r="AA15" i="519"/>
  <c r="V203" i="519"/>
  <c r="V186" i="519"/>
  <c r="V187" i="519"/>
  <c r="AB116" i="519"/>
  <c r="AB149" i="519" s="1"/>
  <c r="AC38" i="519" s="1"/>
  <c r="W184" i="519"/>
  <c r="W61" i="519"/>
  <c r="W54" i="519"/>
  <c r="W52" i="519"/>
  <c r="K28" i="523"/>
  <c r="K29" i="198"/>
  <c r="Y40" i="519"/>
  <c r="Z85" i="519"/>
  <c r="AA85" i="519" s="1"/>
  <c r="AB85" i="519" s="1"/>
  <c r="AC85" i="519" s="1"/>
  <c r="AD85" i="519" s="1"/>
  <c r="AE85" i="519" s="1"/>
  <c r="AF85" i="519" s="1"/>
  <c r="AG85" i="519" s="1"/>
  <c r="X117" i="519"/>
  <c r="X150" i="519" s="1"/>
  <c r="Y39" i="519" s="1"/>
  <c r="Y117" i="519" s="1"/>
  <c r="Y150" i="519" s="1"/>
  <c r="Z39" i="519" s="1"/>
  <c r="Z117" i="519" s="1"/>
  <c r="Z150" i="519" s="1"/>
  <c r="AA39" i="519" s="1"/>
  <c r="AA117" i="519" s="1"/>
  <c r="AA150" i="519" s="1"/>
  <c r="AB39" i="519" s="1"/>
  <c r="Y178" i="519"/>
  <c r="V208" i="519" l="1"/>
  <c r="V209" i="519"/>
  <c r="AB117" i="519"/>
  <c r="AB150" i="519" s="1"/>
  <c r="AC39" i="519" s="1"/>
  <c r="AC117" i="519" s="1"/>
  <c r="AC150" i="519" s="1"/>
  <c r="AD39" i="519" s="1"/>
  <c r="AD117" i="519" s="1"/>
  <c r="AD150" i="519" s="1"/>
  <c r="AE39" i="519" s="1"/>
  <c r="AE117" i="519" s="1"/>
  <c r="AE150" i="519" s="1"/>
  <c r="AF39" i="519" s="1"/>
  <c r="AF117" i="519" s="1"/>
  <c r="AF150" i="519" s="1"/>
  <c r="AG39" i="519" s="1"/>
  <c r="AG117" i="519" s="1"/>
  <c r="AG150" i="519" s="1"/>
  <c r="Y118" i="519"/>
  <c r="Y151" i="519" s="1"/>
  <c r="Z40" i="519" s="1"/>
  <c r="Z118" i="519" s="1"/>
  <c r="Z151" i="519" s="1"/>
  <c r="AA40" i="519" s="1"/>
  <c r="AA118" i="519" s="1"/>
  <c r="AA151" i="519" s="1"/>
  <c r="AB40" i="519" s="1"/>
  <c r="AB118" i="519" s="1"/>
  <c r="AB151" i="519" s="1"/>
  <c r="AC40" i="519" s="1"/>
  <c r="L28" i="523"/>
  <c r="L29" i="198"/>
  <c r="K29" i="523"/>
  <c r="K32" i="523"/>
  <c r="M157" i="523"/>
  <c r="M161" i="523" s="1"/>
  <c r="K41" i="523"/>
  <c r="K64" i="523"/>
  <c r="AC116" i="519"/>
  <c r="AC149" i="519" s="1"/>
  <c r="AD38" i="519" s="1"/>
  <c r="AD116" i="519" s="1"/>
  <c r="AD149" i="519" s="1"/>
  <c r="AE38" i="519" s="1"/>
  <c r="W183" i="519"/>
  <c r="V181" i="519"/>
  <c r="V198" i="519" s="1"/>
  <c r="V199" i="519" s="1"/>
  <c r="AA86" i="519"/>
  <c r="AB86" i="519" s="1"/>
  <c r="AC86" i="519" s="1"/>
  <c r="AD86" i="519" s="1"/>
  <c r="AE86" i="519" s="1"/>
  <c r="AF86" i="519" s="1"/>
  <c r="AG86" i="519" s="1"/>
  <c r="Z41" i="519"/>
  <c r="AA115" i="519"/>
  <c r="AA148" i="519" s="1"/>
  <c r="AB37" i="519" s="1"/>
  <c r="AC27" i="522"/>
  <c r="K65" i="198"/>
  <c r="K30" i="198"/>
  <c r="K42" i="198"/>
  <c r="K33" i="198"/>
  <c r="BP85" i="1"/>
  <c r="M158" i="198"/>
  <c r="M162" i="198" s="1"/>
  <c r="W203" i="519"/>
  <c r="W209" i="519" s="1"/>
  <c r="W187" i="519"/>
  <c r="AA16" i="519"/>
  <c r="AA87" i="519" s="1"/>
  <c r="AB15" i="519"/>
  <c r="Y50" i="519"/>
  <c r="X52" i="519"/>
  <c r="X184" i="519"/>
  <c r="X61" i="519"/>
  <c r="X54" i="519"/>
  <c r="Y170" i="519"/>
  <c r="Z175" i="519"/>
  <c r="Y197" i="519" l="1"/>
  <c r="W208" i="519"/>
  <c r="AB87" i="519"/>
  <c r="AC87" i="519" s="1"/>
  <c r="AD87" i="519" s="1"/>
  <c r="AE87" i="519" s="1"/>
  <c r="AF87" i="519" s="1"/>
  <c r="AG87" i="519" s="1"/>
  <c r="AA42" i="519"/>
  <c r="AB16" i="519"/>
  <c r="AB88" i="519" s="1"/>
  <c r="AC15" i="519"/>
  <c r="AN85" i="1"/>
  <c r="AP85" i="1"/>
  <c r="AQ85" i="1"/>
  <c r="AO85" i="1"/>
  <c r="AC31" i="522"/>
  <c r="AC41" i="522"/>
  <c r="AC43" i="522" s="1"/>
  <c r="W185" i="519"/>
  <c r="W186" i="519" s="1"/>
  <c r="AE116" i="519"/>
  <c r="AE149" i="519" s="1"/>
  <c r="AF38" i="519" s="1"/>
  <c r="AF116" i="519" s="1"/>
  <c r="AF149" i="519" s="1"/>
  <c r="AG38" i="519" s="1"/>
  <c r="AG116" i="519" s="1"/>
  <c r="AG149" i="519" s="1"/>
  <c r="K118" i="198"/>
  <c r="W201" i="519"/>
  <c r="K117" i="523"/>
  <c r="K118" i="523" s="1"/>
  <c r="K121" i="523" s="1"/>
  <c r="K122" i="523" s="1"/>
  <c r="K125" i="523" s="1"/>
  <c r="V205" i="519"/>
  <c r="K44" i="523"/>
  <c r="K35" i="523"/>
  <c r="K51" i="523"/>
  <c r="K34" i="523"/>
  <c r="K58" i="523"/>
  <c r="K61" i="523" s="1"/>
  <c r="K33" i="523"/>
  <c r="K34" i="198"/>
  <c r="K36" i="198"/>
  <c r="K35" i="198"/>
  <c r="K45" i="198"/>
  <c r="K52" i="198"/>
  <c r="K59" i="198"/>
  <c r="K62" i="198" s="1"/>
  <c r="Z119" i="519"/>
  <c r="Z152" i="519" s="1"/>
  <c r="AA41" i="519" s="1"/>
  <c r="M28" i="523"/>
  <c r="M29" i="198"/>
  <c r="AD27" i="522"/>
  <c r="L33" i="198"/>
  <c r="N158" i="198"/>
  <c r="N162" i="198" s="1"/>
  <c r="L30" i="198"/>
  <c r="L65" i="198"/>
  <c r="L42" i="198"/>
  <c r="Z50" i="519"/>
  <c r="X203" i="519"/>
  <c r="X209" i="519" s="1"/>
  <c r="X187" i="519"/>
  <c r="Y52" i="519"/>
  <c r="Y54" i="519"/>
  <c r="Y184" i="519"/>
  <c r="Y61" i="519"/>
  <c r="L64" i="523"/>
  <c r="N157" i="523"/>
  <c r="AC118" i="519"/>
  <c r="AC151" i="519" s="1"/>
  <c r="AD40" i="519" s="1"/>
  <c r="AD118" i="519" s="1"/>
  <c r="AD151" i="519" s="1"/>
  <c r="AE40" i="519" s="1"/>
  <c r="AE118" i="519" s="1"/>
  <c r="AE151" i="519" s="1"/>
  <c r="AF40" i="519" s="1"/>
  <c r="AF118" i="519" s="1"/>
  <c r="AF151" i="519" s="1"/>
  <c r="AG40" i="519" s="1"/>
  <c r="AG118" i="519" s="1"/>
  <c r="AG151" i="519" s="1"/>
  <c r="AB115" i="519"/>
  <c r="AB148" i="519" s="1"/>
  <c r="AC37" i="519" s="1"/>
  <c r="Z178" i="519"/>
  <c r="X208" i="519" l="1"/>
  <c r="X183" i="519"/>
  <c r="X185" i="519" s="1"/>
  <c r="X186" i="519" s="1"/>
  <c r="W181" i="519"/>
  <c r="W198" i="519" s="1"/>
  <c r="W199" i="519" s="1"/>
  <c r="K46" i="523"/>
  <c r="K45" i="523"/>
  <c r="K67" i="198"/>
  <c r="K87" i="198"/>
  <c r="K63" i="198"/>
  <c r="K52" i="523"/>
  <c r="K53" i="523"/>
  <c r="K54" i="198"/>
  <c r="K53" i="198"/>
  <c r="K66" i="523"/>
  <c r="K86" i="523"/>
  <c r="K62" i="523"/>
  <c r="V210" i="519"/>
  <c r="V204" i="519"/>
  <c r="Y203" i="519"/>
  <c r="Y209" i="519" s="1"/>
  <c r="Y187" i="519"/>
  <c r="N28" i="523"/>
  <c r="N29" i="198"/>
  <c r="Z54" i="519"/>
  <c r="Z184" i="519"/>
  <c r="Z52" i="519"/>
  <c r="Z61" i="519"/>
  <c r="AC115" i="519"/>
  <c r="AC148" i="519" s="1"/>
  <c r="AD37" i="519" s="1"/>
  <c r="AD40" i="522"/>
  <c r="AC35" i="522"/>
  <c r="AC36" i="522" s="1"/>
  <c r="AC37" i="522" s="1"/>
  <c r="AN86" i="1"/>
  <c r="AN83" i="1"/>
  <c r="K47" i="198"/>
  <c r="K46" i="198"/>
  <c r="AO86" i="1"/>
  <c r="AO83" i="1"/>
  <c r="AC16" i="519"/>
  <c r="AC89" i="519" s="1"/>
  <c r="AD15" i="519"/>
  <c r="AC88" i="519"/>
  <c r="AD88" i="519" s="1"/>
  <c r="AE88" i="519" s="1"/>
  <c r="AF88" i="519" s="1"/>
  <c r="AG88" i="519" s="1"/>
  <c r="AB43" i="519"/>
  <c r="M33" i="198"/>
  <c r="M30" i="198"/>
  <c r="O158" i="198"/>
  <c r="O162" i="198" s="1"/>
  <c r="M65" i="198"/>
  <c r="M42" i="198"/>
  <c r="AQ83" i="1"/>
  <c r="AQ86" i="1"/>
  <c r="AP86" i="1"/>
  <c r="AP83" i="1"/>
  <c r="L59" i="198"/>
  <c r="L62" i="198" s="1"/>
  <c r="L63" i="198" s="1"/>
  <c r="L36" i="198"/>
  <c r="L75" i="198"/>
  <c r="L52" i="198"/>
  <c r="L35" i="198"/>
  <c r="L34" i="198"/>
  <c r="L45" i="198"/>
  <c r="AD31" i="522"/>
  <c r="AD41" i="522"/>
  <c r="M64" i="523"/>
  <c r="O157" i="523"/>
  <c r="AA120" i="519"/>
  <c r="AA153" i="519" s="1"/>
  <c r="AB42" i="519" s="1"/>
  <c r="AB120" i="519" s="1"/>
  <c r="AB153" i="519" s="1"/>
  <c r="AC42" i="519" s="1"/>
  <c r="AC120" i="519" s="1"/>
  <c r="AC153" i="519" s="1"/>
  <c r="AD42" i="519" s="1"/>
  <c r="AA119" i="519"/>
  <c r="AA152" i="519" s="1"/>
  <c r="AB41" i="519" s="1"/>
  <c r="AA50" i="519"/>
  <c r="AA175" i="519"/>
  <c r="Z170" i="519"/>
  <c r="L67" i="198" l="1"/>
  <c r="Y208" i="519"/>
  <c r="Z197" i="519"/>
  <c r="AD43" i="522"/>
  <c r="AD35" i="522" s="1"/>
  <c r="AD36" i="522" s="1"/>
  <c r="AD37" i="522" s="1"/>
  <c r="O29" i="198"/>
  <c r="O28" i="523"/>
  <c r="O64" i="523" s="1"/>
  <c r="N64" i="523"/>
  <c r="P157" i="523"/>
  <c r="AQ87" i="1"/>
  <c r="AQ110" i="1"/>
  <c r="AQ114" i="1" s="1"/>
  <c r="AQ88" i="1"/>
  <c r="AQ107" i="1" s="1"/>
  <c r="AQ90" i="1"/>
  <c r="AQ101" i="1"/>
  <c r="AP101" i="1"/>
  <c r="AP110" i="1"/>
  <c r="AP114" i="1" s="1"/>
  <c r="AP88" i="1"/>
  <c r="AP107" i="1" s="1"/>
  <c r="AP90" i="1"/>
  <c r="AP87" i="1"/>
  <c r="K130" i="523"/>
  <c r="J131" i="523" s="1"/>
  <c r="J133" i="523"/>
  <c r="AB121" i="519"/>
  <c r="AB154" i="519" s="1"/>
  <c r="AC43" i="519" s="1"/>
  <c r="AC121" i="519" s="1"/>
  <c r="AC154" i="519" s="1"/>
  <c r="AD43" i="519" s="1"/>
  <c r="AD121" i="519" s="1"/>
  <c r="AD154" i="519" s="1"/>
  <c r="AE43" i="519" s="1"/>
  <c r="AD89" i="519"/>
  <c r="AE89" i="519" s="1"/>
  <c r="AF89" i="519" s="1"/>
  <c r="AG89" i="519" s="1"/>
  <c r="AC44" i="519"/>
  <c r="AN101" i="1"/>
  <c r="AN87" i="1"/>
  <c r="AN90" i="1"/>
  <c r="AN110" i="1"/>
  <c r="AN88" i="1"/>
  <c r="AN107" i="1" s="1"/>
  <c r="BP86" i="1"/>
  <c r="L47" i="198"/>
  <c r="L46" i="198"/>
  <c r="K67" i="523"/>
  <c r="K72" i="523"/>
  <c r="K85" i="523"/>
  <c r="AA61" i="519"/>
  <c r="AA52" i="519"/>
  <c r="AA184" i="519"/>
  <c r="AA203" i="519" s="1"/>
  <c r="AA54" i="519"/>
  <c r="AD115" i="519"/>
  <c r="AD148" i="519" s="1"/>
  <c r="AE37" i="519" s="1"/>
  <c r="L73" i="198"/>
  <c r="L68" i="198"/>
  <c r="L53" i="198"/>
  <c r="L54" i="198"/>
  <c r="Z203" i="519"/>
  <c r="Z209" i="519" s="1"/>
  <c r="Z187" i="519"/>
  <c r="M35" i="198"/>
  <c r="M75" i="198"/>
  <c r="M45" i="198"/>
  <c r="M47" i="198" s="1"/>
  <c r="M59" i="198"/>
  <c r="M62" i="198" s="1"/>
  <c r="M63" i="198" s="1"/>
  <c r="M52" i="198"/>
  <c r="M54" i="198" s="1"/>
  <c r="M34" i="198"/>
  <c r="M36" i="198"/>
  <c r="K86" i="198"/>
  <c r="K73" i="198"/>
  <c r="K68" i="198"/>
  <c r="L117" i="523"/>
  <c r="L118" i="198"/>
  <c r="X201" i="519"/>
  <c r="W205" i="519"/>
  <c r="N30" i="198"/>
  <c r="N65" i="198"/>
  <c r="N42" i="198"/>
  <c r="N33" i="198"/>
  <c r="P158" i="198"/>
  <c r="P162" i="198" s="1"/>
  <c r="X181" i="519"/>
  <c r="X198" i="519" s="1"/>
  <c r="X199" i="519" s="1"/>
  <c r="Y183" i="519"/>
  <c r="AD16" i="519"/>
  <c r="AD90" i="519" s="1"/>
  <c r="AE15" i="519"/>
  <c r="K131" i="198"/>
  <c r="J134" i="198"/>
  <c r="AO90" i="1"/>
  <c r="AO88" i="1"/>
  <c r="AO107" i="1" s="1"/>
  <c r="AO87" i="1"/>
  <c r="AO101" i="1"/>
  <c r="AO110" i="1"/>
  <c r="AO114" i="1" s="1"/>
  <c r="AB119" i="519"/>
  <c r="AB152" i="519" s="1"/>
  <c r="AC41" i="519" s="1"/>
  <c r="AB50" i="519"/>
  <c r="AD120" i="519"/>
  <c r="AD153" i="519" s="1"/>
  <c r="AE42" i="519" s="1"/>
  <c r="AE120" i="519" s="1"/>
  <c r="AE153" i="519" s="1"/>
  <c r="AF42" i="519" s="1"/>
  <c r="AF120" i="519" s="1"/>
  <c r="AF153" i="519" s="1"/>
  <c r="AG42" i="519" s="1"/>
  <c r="AG120" i="519" s="1"/>
  <c r="AG153" i="519" s="1"/>
  <c r="BP83" i="1"/>
  <c r="AA178" i="519"/>
  <c r="M46" i="198" l="1"/>
  <c r="AA187" i="519"/>
  <c r="Z208" i="519"/>
  <c r="AE121" i="519"/>
  <c r="AE154" i="519" s="1"/>
  <c r="AF43" i="519" s="1"/>
  <c r="AF121" i="519" s="1"/>
  <c r="AF154" i="519" s="1"/>
  <c r="AG43" i="519" s="1"/>
  <c r="AG121" i="519" s="1"/>
  <c r="AG154" i="519" s="1"/>
  <c r="AN114" i="1"/>
  <c r="BP110" i="1"/>
  <c r="AC122" i="519"/>
  <c r="AC155" i="519" s="1"/>
  <c r="AD44" i="519" s="1"/>
  <c r="AD122" i="519" s="1"/>
  <c r="AD155" i="519" s="1"/>
  <c r="AE44" i="519" s="1"/>
  <c r="AE122" i="519" s="1"/>
  <c r="AE155" i="519" s="1"/>
  <c r="AF44" i="519" s="1"/>
  <c r="AF122" i="519" s="1"/>
  <c r="AF155" i="519" s="1"/>
  <c r="AG44" i="519" s="1"/>
  <c r="AO115" i="1"/>
  <c r="AO116" i="1" s="1"/>
  <c r="AO122" i="1"/>
  <c r="BP87" i="1"/>
  <c r="BP101" i="1"/>
  <c r="K32" i="504"/>
  <c r="K32" i="503"/>
  <c r="BP88" i="1"/>
  <c r="BP107" i="1" s="1"/>
  <c r="BP90" i="1"/>
  <c r="BU101" i="1"/>
  <c r="BU103" i="1" s="1"/>
  <c r="AN102" i="1"/>
  <c r="AN103" i="1"/>
  <c r="W204" i="519"/>
  <c r="W210" i="519"/>
  <c r="AO93" i="1"/>
  <c r="AO92" i="1"/>
  <c r="AO91" i="1"/>
  <c r="M53" i="198"/>
  <c r="P28" i="523"/>
  <c r="P64" i="523" s="1"/>
  <c r="P29" i="198"/>
  <c r="AN91" i="1"/>
  <c r="AN93" i="1"/>
  <c r="AN92" i="1"/>
  <c r="AB184" i="519"/>
  <c r="AB203" i="519" s="1"/>
  <c r="AB54" i="519"/>
  <c r="AB61" i="519"/>
  <c r="AB52" i="519"/>
  <c r="AP93" i="1"/>
  <c r="AP92" i="1"/>
  <c r="AP91" i="1"/>
  <c r="J132" i="198"/>
  <c r="AE16" i="519"/>
  <c r="AE91" i="519" s="1"/>
  <c r="AF15" i="519"/>
  <c r="M67" i="198"/>
  <c r="AP115" i="1"/>
  <c r="AP116" i="1" s="1"/>
  <c r="AP122" i="1"/>
  <c r="AQ103" i="1"/>
  <c r="AQ102" i="1"/>
  <c r="AE115" i="519"/>
  <c r="AE148" i="519" s="1"/>
  <c r="AF37" i="519" s="1"/>
  <c r="O42" i="198"/>
  <c r="O30" i="198"/>
  <c r="O65" i="198"/>
  <c r="O33" i="198"/>
  <c r="AC119" i="519"/>
  <c r="AC152" i="519" s="1"/>
  <c r="AD41" i="519" s="1"/>
  <c r="AC50" i="519"/>
  <c r="AO103" i="1"/>
  <c r="AO102" i="1"/>
  <c r="AP103" i="1"/>
  <c r="AP102" i="1"/>
  <c r="AQ91" i="1"/>
  <c r="AQ93" i="1"/>
  <c r="AQ92" i="1"/>
  <c r="AQ115" i="1"/>
  <c r="AQ116" i="1" s="1"/>
  <c r="AQ122" i="1"/>
  <c r="AE90" i="519"/>
  <c r="AF90" i="519" s="1"/>
  <c r="AG90" i="519" s="1"/>
  <c r="AD45" i="519"/>
  <c r="AD123" i="519" s="1"/>
  <c r="AD156" i="519" s="1"/>
  <c r="Y185" i="519"/>
  <c r="Y186" i="519" s="1"/>
  <c r="M117" i="523"/>
  <c r="Y201" i="519"/>
  <c r="X205" i="519"/>
  <c r="M118" i="198"/>
  <c r="N45" i="198"/>
  <c r="N59" i="198"/>
  <c r="N62" i="198" s="1"/>
  <c r="N63" i="198" s="1"/>
  <c r="N35" i="198"/>
  <c r="N34" i="198"/>
  <c r="N75" i="198"/>
  <c r="N36" i="198"/>
  <c r="N52" i="198"/>
  <c r="AB175" i="519"/>
  <c r="AA170" i="519"/>
  <c r="AA209" i="519" s="1"/>
  <c r="N67" i="198" l="1"/>
  <c r="N68" i="198" s="1"/>
  <c r="AA197" i="519"/>
  <c r="AA208" i="519" s="1"/>
  <c r="AD119" i="519"/>
  <c r="AD152" i="519" s="1"/>
  <c r="AE41" i="519" s="1"/>
  <c r="AD50" i="519"/>
  <c r="O45" i="198"/>
  <c r="O35" i="198"/>
  <c r="O59" i="198"/>
  <c r="O62" i="198" s="1"/>
  <c r="O75" i="198"/>
  <c r="O52" i="198"/>
  <c r="O36" i="198"/>
  <c r="O34" i="198"/>
  <c r="AF115" i="519"/>
  <c r="AF148" i="519" s="1"/>
  <c r="AG37" i="519" s="1"/>
  <c r="BP103" i="1"/>
  <c r="BP102" i="1"/>
  <c r="BP93" i="1"/>
  <c r="BP91" i="1"/>
  <c r="BP92" i="1"/>
  <c r="K51" i="503"/>
  <c r="K33" i="503"/>
  <c r="K44" i="503"/>
  <c r="K34" i="503"/>
  <c r="K35" i="503"/>
  <c r="AF91" i="519"/>
  <c r="AG91" i="519" s="1"/>
  <c r="AE46" i="519"/>
  <c r="AE124" i="519" s="1"/>
  <c r="AE157" i="519" s="1"/>
  <c r="P42" i="198"/>
  <c r="P65" i="198"/>
  <c r="P30" i="198"/>
  <c r="P33" i="198"/>
  <c r="N53" i="198"/>
  <c r="N54" i="198"/>
  <c r="AN122" i="1"/>
  <c r="AN115" i="1"/>
  <c r="BP114" i="1"/>
  <c r="K44" i="504"/>
  <c r="K35" i="504"/>
  <c r="K34" i="504"/>
  <c r="K51" i="504"/>
  <c r="K33" i="504"/>
  <c r="M68" i="198"/>
  <c r="M73" i="198"/>
  <c r="M78" i="198" s="1"/>
  <c r="X204" i="519"/>
  <c r="X210" i="519"/>
  <c r="Y181" i="519"/>
  <c r="Y198" i="519" s="1"/>
  <c r="Y199" i="519" s="1"/>
  <c r="Z183" i="519"/>
  <c r="Z185" i="519" s="1"/>
  <c r="Q29" i="198"/>
  <c r="Q28" i="523"/>
  <c r="Q64" i="523" s="1"/>
  <c r="AC184" i="519"/>
  <c r="AC203" i="519" s="1"/>
  <c r="AC52" i="519"/>
  <c r="AC54" i="519"/>
  <c r="AC61" i="519"/>
  <c r="AF16" i="519"/>
  <c r="AF92" i="519" s="1"/>
  <c r="AG15" i="519"/>
  <c r="AG16" i="519" s="1"/>
  <c r="AG93" i="519" s="1"/>
  <c r="AG48" i="519" s="1"/>
  <c r="AG126" i="519" s="1"/>
  <c r="AG159" i="519" s="1"/>
  <c r="N46" i="198"/>
  <c r="N47" i="198"/>
  <c r="AG122" i="519"/>
  <c r="AG155" i="519" s="1"/>
  <c r="AE45" i="519"/>
  <c r="AE123" i="519" s="1"/>
  <c r="AE156" i="519" s="1"/>
  <c r="AF45" i="519" s="1"/>
  <c r="AF123" i="519" s="1"/>
  <c r="AF156" i="519" s="1"/>
  <c r="AG45" i="519" s="1"/>
  <c r="AG123" i="519" s="1"/>
  <c r="AG156" i="519" s="1"/>
  <c r="AB187" i="519"/>
  <c r="AB178" i="519"/>
  <c r="N73" i="198" l="1"/>
  <c r="N78" i="198" s="1"/>
  <c r="AF46" i="519"/>
  <c r="AF124" i="519" s="1"/>
  <c r="AF157" i="519" s="1"/>
  <c r="AG46" i="519" s="1"/>
  <c r="AG124" i="519" s="1"/>
  <c r="AG157" i="519" s="1"/>
  <c r="Q30" i="198"/>
  <c r="Q42" i="198"/>
  <c r="Q65" i="198"/>
  <c r="Q33" i="198"/>
  <c r="K46" i="503"/>
  <c r="K45" i="503"/>
  <c r="R28" i="523"/>
  <c r="R64" i="523" s="1"/>
  <c r="R29" i="198"/>
  <c r="N117" i="523"/>
  <c r="N118" i="198"/>
  <c r="Y205" i="519"/>
  <c r="Z201" i="519"/>
  <c r="P36" i="198"/>
  <c r="P59" i="198"/>
  <c r="P62" i="198" s="1"/>
  <c r="P63" i="198" s="1"/>
  <c r="P75" i="198"/>
  <c r="P34" i="198"/>
  <c r="P45" i="198"/>
  <c r="P52" i="198"/>
  <c r="P35" i="198"/>
  <c r="AG92" i="519"/>
  <c r="AF47" i="519"/>
  <c r="AF125" i="519" s="1"/>
  <c r="AF158" i="519" s="1"/>
  <c r="K52" i="503"/>
  <c r="K53" i="503"/>
  <c r="Z186" i="519"/>
  <c r="AG115" i="519"/>
  <c r="AG148" i="519" s="1"/>
  <c r="M95" i="198"/>
  <c r="M79" i="198"/>
  <c r="O54" i="198"/>
  <c r="O53" i="198"/>
  <c r="K52" i="504"/>
  <c r="K53" i="504"/>
  <c r="AD54" i="519"/>
  <c r="AD52" i="519"/>
  <c r="AD184" i="519"/>
  <c r="AD203" i="519" s="1"/>
  <c r="AD61" i="519"/>
  <c r="BP122" i="1"/>
  <c r="AN136" i="1"/>
  <c r="N79" i="198"/>
  <c r="N95" i="198"/>
  <c r="O67" i="198"/>
  <c r="O63" i="198"/>
  <c r="K46" i="504"/>
  <c r="K45" i="504"/>
  <c r="O47" i="198"/>
  <c r="O46" i="198"/>
  <c r="BP115" i="1"/>
  <c r="BP116" i="1" s="1"/>
  <c r="AN116" i="1"/>
  <c r="AE119" i="519"/>
  <c r="AE152" i="519" s="1"/>
  <c r="AF41" i="519" s="1"/>
  <c r="AE50" i="519"/>
  <c r="AC175" i="519"/>
  <c r="AB170" i="519"/>
  <c r="AB209" i="519" s="1"/>
  <c r="P67" i="198" l="1"/>
  <c r="P73" i="198" s="1"/>
  <c r="P78" i="198" s="1"/>
  <c r="AB197" i="519"/>
  <c r="AB208" i="519" s="1"/>
  <c r="AG47" i="519"/>
  <c r="AG125" i="519" s="1"/>
  <c r="AG158" i="519" s="1"/>
  <c r="AE54" i="519"/>
  <c r="AE184" i="519"/>
  <c r="AE203" i="519" s="1"/>
  <c r="AE61" i="519"/>
  <c r="AE52" i="519"/>
  <c r="P53" i="198"/>
  <c r="P54" i="198"/>
  <c r="P46" i="198"/>
  <c r="P47" i="198"/>
  <c r="Y210" i="519"/>
  <c r="Y204" i="519"/>
  <c r="AA183" i="519"/>
  <c r="AA185" i="519" s="1"/>
  <c r="AA186" i="519" s="1"/>
  <c r="Z181" i="519"/>
  <c r="Z198" i="519" s="1"/>
  <c r="Z199" i="519" s="1"/>
  <c r="O73" i="198"/>
  <c r="O78" i="198" s="1"/>
  <c r="O68" i="198"/>
  <c r="R42" i="198"/>
  <c r="R65" i="198"/>
  <c r="R33" i="198"/>
  <c r="R30" i="198"/>
  <c r="S28" i="523"/>
  <c r="S64" i="523" s="1"/>
  <c r="S29" i="198"/>
  <c r="AF119" i="519"/>
  <c r="AF152" i="519" s="1"/>
  <c r="AG41" i="519" s="1"/>
  <c r="AF50" i="519"/>
  <c r="P68" i="198"/>
  <c r="AN137" i="1"/>
  <c r="AO136" i="1"/>
  <c r="Q75" i="198"/>
  <c r="Q45" i="198"/>
  <c r="Q34" i="198"/>
  <c r="Q52" i="198"/>
  <c r="Q35" i="198"/>
  <c r="Q59" i="198"/>
  <c r="Q62" i="198" s="1"/>
  <c r="Q63" i="198" s="1"/>
  <c r="Q36" i="198"/>
  <c r="AC187" i="519"/>
  <c r="AC178" i="519"/>
  <c r="AF52" i="519" l="1"/>
  <c r="AF184" i="519"/>
  <c r="AF203" i="519" s="1"/>
  <c r="AF61" i="519"/>
  <c r="AF54" i="519"/>
  <c r="P79" i="198"/>
  <c r="P95" i="198"/>
  <c r="AB183" i="519"/>
  <c r="AA181" i="519"/>
  <c r="AA198" i="519" s="1"/>
  <c r="AA199" i="519" s="1"/>
  <c r="S33" i="198"/>
  <c r="S30" i="198"/>
  <c r="S65" i="198"/>
  <c r="S42" i="198"/>
  <c r="O79" i="198"/>
  <c r="O95" i="198"/>
  <c r="Q53" i="198"/>
  <c r="Q54" i="198"/>
  <c r="Q47" i="198"/>
  <c r="Q46" i="198"/>
  <c r="AO137" i="1"/>
  <c r="AP136" i="1"/>
  <c r="AG119" i="519"/>
  <c r="AG152" i="519" s="1"/>
  <c r="AG50" i="519"/>
  <c r="R34" i="198"/>
  <c r="R35" i="198"/>
  <c r="R75" i="198"/>
  <c r="R52" i="198"/>
  <c r="R59" i="198"/>
  <c r="R62" i="198" s="1"/>
  <c r="R63" i="198" s="1"/>
  <c r="R36" i="198"/>
  <c r="R45" i="198"/>
  <c r="O117" i="523"/>
  <c r="AA201" i="519"/>
  <c r="O118" i="198"/>
  <c r="Z205" i="519"/>
  <c r="T29" i="198"/>
  <c r="T28" i="523"/>
  <c r="T64" i="523" s="1"/>
  <c r="Q67" i="198"/>
  <c r="AD175" i="519"/>
  <c r="AC170" i="519"/>
  <c r="AC209" i="519" s="1"/>
  <c r="AC197" i="519" l="1"/>
  <c r="AC208" i="519" s="1"/>
  <c r="AG52" i="519"/>
  <c r="AG61" i="519"/>
  <c r="AG54" i="519"/>
  <c r="AG184" i="519"/>
  <c r="AG203" i="519" s="1"/>
  <c r="AB185" i="519"/>
  <c r="AB186" i="519" s="1"/>
  <c r="R53" i="198"/>
  <c r="R54" i="198"/>
  <c r="AQ136" i="1"/>
  <c r="AP137" i="1"/>
  <c r="R67" i="198"/>
  <c r="S34" i="198"/>
  <c r="S59" i="198"/>
  <c r="S62" i="198" s="1"/>
  <c r="S63" i="198" s="1"/>
  <c r="S75" i="198"/>
  <c r="S45" i="198"/>
  <c r="S36" i="198"/>
  <c r="S35" i="198"/>
  <c r="S52" i="198"/>
  <c r="R47" i="198"/>
  <c r="R46" i="198"/>
  <c r="P117" i="523"/>
  <c r="AB201" i="519"/>
  <c r="AA205" i="519"/>
  <c r="P118" i="198"/>
  <c r="Q73" i="198"/>
  <c r="Q78" i="198" s="1"/>
  <c r="Q68" i="198"/>
  <c r="T42" i="198"/>
  <c r="T33" i="198"/>
  <c r="T30" i="198"/>
  <c r="T65" i="198"/>
  <c r="Z204" i="519"/>
  <c r="Z210" i="519"/>
  <c r="U29" i="198"/>
  <c r="U28" i="523"/>
  <c r="U64" i="523" s="1"/>
  <c r="AD187" i="519"/>
  <c r="AD178" i="519"/>
  <c r="AA204" i="519" l="1"/>
  <c r="AA210" i="519"/>
  <c r="T36" i="198"/>
  <c r="T75" i="198"/>
  <c r="T35" i="198"/>
  <c r="T52" i="198"/>
  <c r="T59" i="198"/>
  <c r="T62" i="198" s="1"/>
  <c r="T63" i="198" s="1"/>
  <c r="T45" i="198"/>
  <c r="T34" i="198"/>
  <c r="S54" i="198"/>
  <c r="S53" i="198"/>
  <c r="S47" i="198"/>
  <c r="S46" i="198"/>
  <c r="Q95" i="198"/>
  <c r="Q79" i="198"/>
  <c r="R68" i="198"/>
  <c r="R73" i="198"/>
  <c r="R78" i="198" s="1"/>
  <c r="AQ137" i="1"/>
  <c r="BP136" i="1"/>
  <c r="S67" i="198"/>
  <c r="U42" i="198"/>
  <c r="U33" i="198"/>
  <c r="U65" i="198"/>
  <c r="U30" i="198"/>
  <c r="AB181" i="519"/>
  <c r="AB198" i="519" s="1"/>
  <c r="AB199" i="519" s="1"/>
  <c r="AC183" i="519"/>
  <c r="AC185" i="519" s="1"/>
  <c r="AC186" i="519" s="1"/>
  <c r="V29" i="198"/>
  <c r="V28" i="523"/>
  <c r="V64" i="523" s="1"/>
  <c r="AE175" i="519"/>
  <c r="AD170" i="519"/>
  <c r="AD209" i="519" s="1"/>
  <c r="T67" i="198" l="1"/>
  <c r="AD197" i="519"/>
  <c r="AD208" i="519" s="1"/>
  <c r="V33" i="198"/>
  <c r="V30" i="198"/>
  <c r="V65" i="198"/>
  <c r="V42" i="198"/>
  <c r="K74" i="523"/>
  <c r="K75" i="523" s="1"/>
  <c r="BP137" i="1"/>
  <c r="K74" i="503"/>
  <c r="K75" i="503" s="1"/>
  <c r="K75" i="198"/>
  <c r="K74" i="504"/>
  <c r="K75" i="504" s="1"/>
  <c r="T54" i="198"/>
  <c r="T53" i="198"/>
  <c r="Q117" i="523"/>
  <c r="AC201" i="519"/>
  <c r="AB205" i="519"/>
  <c r="Q118" i="198"/>
  <c r="R79" i="198"/>
  <c r="R95" i="198"/>
  <c r="T47" i="198"/>
  <c r="T46" i="198"/>
  <c r="AC181" i="519"/>
  <c r="AC198" i="519" s="1"/>
  <c r="AC199" i="519" s="1"/>
  <c r="AD183" i="519"/>
  <c r="T73" i="198"/>
  <c r="T78" i="198" s="1"/>
  <c r="T68" i="198"/>
  <c r="U59" i="198"/>
  <c r="U62" i="198" s="1"/>
  <c r="U63" i="198" s="1"/>
  <c r="U35" i="198"/>
  <c r="U52" i="198"/>
  <c r="U34" i="198"/>
  <c r="U45" i="198"/>
  <c r="U36" i="198"/>
  <c r="U75" i="198"/>
  <c r="S68" i="198"/>
  <c r="S73" i="198"/>
  <c r="S78" i="198" s="1"/>
  <c r="AE178" i="519"/>
  <c r="AE187" i="519"/>
  <c r="U67" i="198" l="1"/>
  <c r="U54" i="198"/>
  <c r="U53" i="198"/>
  <c r="T95" i="198"/>
  <c r="T79" i="198"/>
  <c r="AD185" i="519"/>
  <c r="AD186" i="519" s="1"/>
  <c r="AB204" i="519"/>
  <c r="AB210" i="519"/>
  <c r="U47" i="198"/>
  <c r="U46" i="198"/>
  <c r="R117" i="523"/>
  <c r="AD201" i="519"/>
  <c r="AC205" i="519"/>
  <c r="R118" i="198"/>
  <c r="K76" i="198"/>
  <c r="L78" i="198"/>
  <c r="S95" i="198"/>
  <c r="S79" i="198"/>
  <c r="V35" i="198"/>
  <c r="V75" i="198"/>
  <c r="V45" i="198"/>
  <c r="V52" i="198"/>
  <c r="V34" i="198"/>
  <c r="V59" i="198"/>
  <c r="V62" i="198" s="1"/>
  <c r="V63" i="198" s="1"/>
  <c r="V36" i="198"/>
  <c r="AE170" i="519"/>
  <c r="AE209" i="519" s="1"/>
  <c r="AF175" i="519"/>
  <c r="AE197" i="519" l="1"/>
  <c r="AE208" i="519" s="1"/>
  <c r="V54" i="198"/>
  <c r="V53" i="198"/>
  <c r="V46" i="198"/>
  <c r="V47" i="198"/>
  <c r="V67" i="198"/>
  <c r="L81" i="198"/>
  <c r="L79" i="198"/>
  <c r="L95" i="198"/>
  <c r="AC204" i="519"/>
  <c r="AC210" i="519"/>
  <c r="AE183" i="519"/>
  <c r="AE185" i="519" s="1"/>
  <c r="AE186" i="519" s="1"/>
  <c r="AD181" i="519"/>
  <c r="AD198" i="519" s="1"/>
  <c r="AD199" i="519" s="1"/>
  <c r="U68" i="198"/>
  <c r="U73" i="198"/>
  <c r="U78" i="198" s="1"/>
  <c r="AF178" i="519"/>
  <c r="AF187" i="519"/>
  <c r="U79" i="198" l="1"/>
  <c r="AF183" i="519"/>
  <c r="AE181" i="519"/>
  <c r="AE198" i="519" s="1"/>
  <c r="AE199" i="519" s="1"/>
  <c r="T117" i="523" s="1"/>
  <c r="S117" i="523"/>
  <c r="AD205" i="519"/>
  <c r="S118" i="198"/>
  <c r="AE201" i="519"/>
  <c r="L86" i="198"/>
  <c r="L82" i="198"/>
  <c r="L85" i="198"/>
  <c r="L87" i="198"/>
  <c r="M81" i="198"/>
  <c r="V68" i="198"/>
  <c r="U94" i="198"/>
  <c r="U95" i="198" s="1"/>
  <c r="K96" i="198" s="1"/>
  <c r="K128" i="198" s="1"/>
  <c r="V73" i="198"/>
  <c r="V78" i="198" s="1"/>
  <c r="AF170" i="519"/>
  <c r="AF209" i="519" s="1"/>
  <c r="AG175" i="519"/>
  <c r="T118" i="198" l="1"/>
  <c r="AE205" i="519"/>
  <c r="AE210" i="519" s="1"/>
  <c r="AF201" i="519"/>
  <c r="AF197" i="519"/>
  <c r="AF208" i="519" s="1"/>
  <c r="M85" i="198"/>
  <c r="M87" i="198"/>
  <c r="M131" i="198" s="1"/>
  <c r="M86" i="198"/>
  <c r="M82" i="198"/>
  <c r="N81" i="198"/>
  <c r="V79" i="198"/>
  <c r="L131" i="198"/>
  <c r="K134" i="198"/>
  <c r="AD210" i="519"/>
  <c r="AD204" i="519"/>
  <c r="AF185" i="519"/>
  <c r="AF186" i="519" s="1"/>
  <c r="AG178" i="519"/>
  <c r="AG170" i="519" s="1"/>
  <c r="AG209" i="519" s="1"/>
  <c r="AG187" i="519"/>
  <c r="AE204" i="519" l="1"/>
  <c r="L134" i="198"/>
  <c r="AG197" i="519"/>
  <c r="AF181" i="519"/>
  <c r="AF198" i="519" s="1"/>
  <c r="AF199" i="519" s="1"/>
  <c r="U117" i="523" s="1"/>
  <c r="AG183" i="519"/>
  <c r="AG185" i="519" s="1"/>
  <c r="AG186" i="519" s="1"/>
  <c r="AG181" i="519" s="1"/>
  <c r="AG198" i="519" s="1"/>
  <c r="L132" i="198"/>
  <c r="K132" i="198"/>
  <c r="N85" i="198"/>
  <c r="N87" i="198"/>
  <c r="N131" i="198" s="1"/>
  <c r="M132" i="198" s="1"/>
  <c r="N82" i="198"/>
  <c r="N86" i="198"/>
  <c r="O81" i="198"/>
  <c r="AG208" i="519"/>
  <c r="AG199" i="519" l="1"/>
  <c r="V117" i="523" s="1"/>
  <c r="AF205" i="519"/>
  <c r="AF210" i="519" s="1"/>
  <c r="AG201" i="519"/>
  <c r="U118" i="198"/>
  <c r="O85" i="198"/>
  <c r="O87" i="198"/>
  <c r="O86" i="198"/>
  <c r="O82" i="198"/>
  <c r="P81" i="198"/>
  <c r="AF204" i="519" l="1"/>
  <c r="V118" i="198"/>
  <c r="AG205" i="519"/>
  <c r="AG210" i="519" s="1"/>
  <c r="P82" i="198"/>
  <c r="P85" i="198"/>
  <c r="P87" i="198"/>
  <c r="P86" i="198"/>
  <c r="Q81" i="198"/>
  <c r="AG204" i="519" l="1"/>
  <c r="Q86" i="198"/>
  <c r="Q82" i="198"/>
  <c r="Q85" i="198"/>
  <c r="Q87" i="198"/>
  <c r="R81" i="198"/>
  <c r="R86" i="198" l="1"/>
  <c r="R82" i="198"/>
  <c r="R85" i="198"/>
  <c r="R87" i="198"/>
  <c r="S81" i="198"/>
  <c r="K28" i="503"/>
  <c r="S86" i="198" l="1"/>
  <c r="S82" i="198"/>
  <c r="S85" i="198"/>
  <c r="S87" i="198"/>
  <c r="T81" i="198"/>
  <c r="K29" i="503"/>
  <c r="K41" i="503"/>
  <c r="K64" i="503"/>
  <c r="K58" i="503"/>
  <c r="K61" i="503" s="1"/>
  <c r="L28" i="503"/>
  <c r="T86" i="198" l="1"/>
  <c r="T82" i="198"/>
  <c r="T85" i="198"/>
  <c r="T87" i="198"/>
  <c r="U81" i="198"/>
  <c r="M28" i="503"/>
  <c r="M29" i="503" s="1"/>
  <c r="L29" i="503"/>
  <c r="L41" i="503"/>
  <c r="L64" i="503"/>
  <c r="L32" i="503"/>
  <c r="K86" i="503"/>
  <c r="K130" i="503" s="1"/>
  <c r="K62" i="503"/>
  <c r="K66" i="503"/>
  <c r="U85" i="198" l="1"/>
  <c r="U87" i="198"/>
  <c r="U86" i="198"/>
  <c r="U82" i="198"/>
  <c r="V81" i="198"/>
  <c r="M32" i="503"/>
  <c r="M51" i="503" s="1"/>
  <c r="M64" i="503"/>
  <c r="M41" i="503"/>
  <c r="J131" i="503"/>
  <c r="L34" i="503"/>
  <c r="L74" i="503"/>
  <c r="L44" i="503"/>
  <c r="L35" i="503"/>
  <c r="L51" i="503"/>
  <c r="L33" i="503"/>
  <c r="L58" i="503"/>
  <c r="L61" i="503" s="1"/>
  <c r="L62" i="503" s="1"/>
  <c r="K67" i="503"/>
  <c r="K85" i="503"/>
  <c r="K72" i="503"/>
  <c r="K117" i="503"/>
  <c r="K118" i="503" s="1"/>
  <c r="K121" i="503" s="1"/>
  <c r="K122" i="503" s="1"/>
  <c r="K125" i="503" s="1"/>
  <c r="N28" i="503"/>
  <c r="V85" i="198" l="1"/>
  <c r="V87" i="198"/>
  <c r="V86" i="198"/>
  <c r="V82" i="198"/>
  <c r="M35" i="503"/>
  <c r="M44" i="503"/>
  <c r="M45" i="503" s="1"/>
  <c r="M33" i="503"/>
  <c r="M74" i="503"/>
  <c r="M34" i="503"/>
  <c r="M58" i="503"/>
  <c r="M61" i="503" s="1"/>
  <c r="M62" i="503" s="1"/>
  <c r="L66" i="503"/>
  <c r="L72" i="503" s="1"/>
  <c r="L77" i="503" s="1"/>
  <c r="M52" i="503"/>
  <c r="M53" i="503"/>
  <c r="L46" i="503"/>
  <c r="L45" i="503"/>
  <c r="L52" i="503"/>
  <c r="L53" i="503"/>
  <c r="N29" i="503"/>
  <c r="N41" i="503"/>
  <c r="N64" i="503"/>
  <c r="N32" i="503"/>
  <c r="O28" i="503"/>
  <c r="M46" i="503" l="1"/>
  <c r="M66" i="503"/>
  <c r="M67" i="503" s="1"/>
  <c r="L67" i="503"/>
  <c r="L78" i="503"/>
  <c r="L80" i="503"/>
  <c r="L94" i="503"/>
  <c r="N33" i="503"/>
  <c r="N58" i="503"/>
  <c r="N61" i="503" s="1"/>
  <c r="N62" i="503" s="1"/>
  <c r="N34" i="503"/>
  <c r="N74" i="503"/>
  <c r="N44" i="503"/>
  <c r="N51" i="503"/>
  <c r="N35" i="503"/>
  <c r="O29" i="503"/>
  <c r="O41" i="503"/>
  <c r="O64" i="503"/>
  <c r="O32" i="503"/>
  <c r="L117" i="503"/>
  <c r="L118" i="503" s="1"/>
  <c r="L121" i="503" s="1"/>
  <c r="L122" i="503" s="1"/>
  <c r="L125" i="503" s="1"/>
  <c r="M72" i="503" l="1"/>
  <c r="M77" i="503" s="1"/>
  <c r="M80" i="503" s="1"/>
  <c r="P28" i="503"/>
  <c r="P32" i="503" s="1"/>
  <c r="N52" i="503"/>
  <c r="N53" i="503"/>
  <c r="N66" i="503"/>
  <c r="N45" i="503"/>
  <c r="N46" i="503"/>
  <c r="Q28" i="503"/>
  <c r="L84" i="503"/>
  <c r="L86" i="503"/>
  <c r="L130" i="503" s="1"/>
  <c r="L85" i="503"/>
  <c r="L81" i="503"/>
  <c r="O35" i="503"/>
  <c r="O51" i="503"/>
  <c r="O33" i="503"/>
  <c r="O58" i="503"/>
  <c r="O61" i="503" s="1"/>
  <c r="O62" i="503" s="1"/>
  <c r="O34" i="503"/>
  <c r="O74" i="503"/>
  <c r="O44" i="503"/>
  <c r="M94" i="503" l="1"/>
  <c r="M78" i="503"/>
  <c r="P64" i="503"/>
  <c r="P41" i="503"/>
  <c r="P29" i="503"/>
  <c r="M117" i="503"/>
  <c r="M118" i="503" s="1"/>
  <c r="M121" i="503" s="1"/>
  <c r="M122" i="503" s="1"/>
  <c r="M125" i="503" s="1"/>
  <c r="K131" i="503"/>
  <c r="M84" i="503"/>
  <c r="M86" i="503"/>
  <c r="M130" i="503" s="1"/>
  <c r="L131" i="503" s="1"/>
  <c r="M85" i="503"/>
  <c r="M81" i="503"/>
  <c r="O66" i="503"/>
  <c r="N72" i="503"/>
  <c r="N77" i="503" s="1"/>
  <c r="N67" i="503"/>
  <c r="O45" i="503"/>
  <c r="O46" i="503"/>
  <c r="P44" i="503"/>
  <c r="P35" i="503"/>
  <c r="P51" i="503"/>
  <c r="P33" i="503"/>
  <c r="P58" i="503"/>
  <c r="P61" i="503" s="1"/>
  <c r="P62" i="503" s="1"/>
  <c r="P34" i="503"/>
  <c r="P74" i="503"/>
  <c r="O52" i="503"/>
  <c r="O53" i="503"/>
  <c r="Q64" i="503"/>
  <c r="Q32" i="503"/>
  <c r="Q29" i="503"/>
  <c r="Q41" i="503"/>
  <c r="N78" i="503" l="1"/>
  <c r="N80" i="503"/>
  <c r="N94" i="503"/>
  <c r="R28" i="503"/>
  <c r="O72" i="503"/>
  <c r="O77" i="503" s="1"/>
  <c r="O67" i="503"/>
  <c r="P52" i="503"/>
  <c r="P53" i="503"/>
  <c r="P45" i="503"/>
  <c r="P46" i="503"/>
  <c r="P66" i="503"/>
  <c r="Q44" i="503"/>
  <c r="Q35" i="503"/>
  <c r="Q51" i="503"/>
  <c r="Q33" i="503"/>
  <c r="Q58" i="503"/>
  <c r="Q61" i="503" s="1"/>
  <c r="Q62" i="503" s="1"/>
  <c r="Q74" i="503"/>
  <c r="Q34" i="503"/>
  <c r="Q66" i="503" l="1"/>
  <c r="Q67" i="503" s="1"/>
  <c r="R64" i="503"/>
  <c r="R32" i="503"/>
  <c r="R41" i="503"/>
  <c r="R29" i="503"/>
  <c r="S28" i="503"/>
  <c r="P72" i="503"/>
  <c r="P77" i="503" s="1"/>
  <c r="P67" i="503"/>
  <c r="N117" i="503"/>
  <c r="N118" i="503" s="1"/>
  <c r="N121" i="503" s="1"/>
  <c r="N122" i="503" s="1"/>
  <c r="N125" i="503" s="1"/>
  <c r="Q45" i="503"/>
  <c r="Q46" i="503"/>
  <c r="Q53" i="503"/>
  <c r="Q52" i="503"/>
  <c r="O94" i="503"/>
  <c r="O78" i="503"/>
  <c r="O80" i="503"/>
  <c r="N81" i="503"/>
  <c r="N84" i="503"/>
  <c r="N86" i="503"/>
  <c r="N85" i="503"/>
  <c r="Q72" i="503" l="1"/>
  <c r="Q77" i="503" s="1"/>
  <c r="Q94" i="503" s="1"/>
  <c r="O85" i="503"/>
  <c r="O81" i="503"/>
  <c r="O84" i="503"/>
  <c r="O86" i="503"/>
  <c r="P94" i="503"/>
  <c r="P78" i="503"/>
  <c r="P80" i="503"/>
  <c r="S29" i="503"/>
  <c r="S41" i="503"/>
  <c r="S64" i="503"/>
  <c r="S32" i="503"/>
  <c r="T28" i="503"/>
  <c r="R34" i="503"/>
  <c r="R74" i="503"/>
  <c r="R44" i="503"/>
  <c r="R35" i="503"/>
  <c r="R51" i="503"/>
  <c r="R33" i="503"/>
  <c r="R58" i="503"/>
  <c r="R61" i="503" s="1"/>
  <c r="R62" i="503" s="1"/>
  <c r="Q78" i="503" l="1"/>
  <c r="Q80" i="503"/>
  <c r="Q85" i="503" s="1"/>
  <c r="O117" i="503"/>
  <c r="O118" i="503" s="1"/>
  <c r="O121" i="503" s="1"/>
  <c r="O122" i="503" s="1"/>
  <c r="O125" i="503" s="1"/>
  <c r="P85" i="503"/>
  <c r="P81" i="503"/>
  <c r="P84" i="503"/>
  <c r="P86" i="503"/>
  <c r="U28" i="503"/>
  <c r="S34" i="503"/>
  <c r="S74" i="503"/>
  <c r="S44" i="503"/>
  <c r="S35" i="503"/>
  <c r="S51" i="503"/>
  <c r="S33" i="503"/>
  <c r="S58" i="503"/>
  <c r="S61" i="503" s="1"/>
  <c r="S62" i="503" s="1"/>
  <c r="R66" i="503"/>
  <c r="R53" i="503"/>
  <c r="R52" i="503"/>
  <c r="R46" i="503"/>
  <c r="R45" i="503"/>
  <c r="T29" i="503"/>
  <c r="T41" i="503"/>
  <c r="T64" i="503"/>
  <c r="T32" i="503"/>
  <c r="S66" i="503" l="1"/>
  <c r="S67" i="503" s="1"/>
  <c r="Q86" i="503"/>
  <c r="Q84" i="503"/>
  <c r="Q81" i="503"/>
  <c r="R67" i="503"/>
  <c r="R72" i="503"/>
  <c r="R77" i="503" s="1"/>
  <c r="S46" i="503"/>
  <c r="S45" i="503"/>
  <c r="T34" i="503"/>
  <c r="T74" i="503"/>
  <c r="T44" i="503"/>
  <c r="T35" i="503"/>
  <c r="T51" i="503"/>
  <c r="T33" i="503"/>
  <c r="T58" i="503"/>
  <c r="T61" i="503" s="1"/>
  <c r="T62" i="503" s="1"/>
  <c r="V28" i="503"/>
  <c r="U29" i="503"/>
  <c r="U41" i="503"/>
  <c r="U64" i="503"/>
  <c r="U32" i="503"/>
  <c r="S53" i="503"/>
  <c r="S52" i="503"/>
  <c r="S72" i="503" l="1"/>
  <c r="S77" i="503" s="1"/>
  <c r="S78" i="503" s="1"/>
  <c r="P117" i="503"/>
  <c r="P118" i="503" s="1"/>
  <c r="P121" i="503" s="1"/>
  <c r="P122" i="503" s="1"/>
  <c r="P125" i="503" s="1"/>
  <c r="V29" i="503"/>
  <c r="V41" i="503"/>
  <c r="V64" i="503"/>
  <c r="V32" i="503"/>
  <c r="T52" i="503"/>
  <c r="T53" i="503"/>
  <c r="T66" i="503"/>
  <c r="R80" i="503"/>
  <c r="R94" i="503"/>
  <c r="R78" i="503"/>
  <c r="U33" i="503"/>
  <c r="U58" i="503"/>
  <c r="U61" i="503" s="1"/>
  <c r="U62" i="503" s="1"/>
  <c r="U34" i="503"/>
  <c r="U74" i="503"/>
  <c r="U44" i="503"/>
  <c r="U35" i="503"/>
  <c r="U51" i="503"/>
  <c r="T46" i="503"/>
  <c r="T45" i="503"/>
  <c r="S94" i="503" l="1"/>
  <c r="U52" i="503"/>
  <c r="U53" i="503"/>
  <c r="R85" i="503"/>
  <c r="R81" i="503"/>
  <c r="R84" i="503"/>
  <c r="R86" i="503"/>
  <c r="U66" i="503"/>
  <c r="V33" i="503"/>
  <c r="V58" i="503"/>
  <c r="V61" i="503" s="1"/>
  <c r="V62" i="503" s="1"/>
  <c r="V34" i="503"/>
  <c r="V74" i="503"/>
  <c r="V44" i="503"/>
  <c r="V51" i="503"/>
  <c r="V35" i="503"/>
  <c r="U45" i="503"/>
  <c r="U46" i="503"/>
  <c r="T67" i="503"/>
  <c r="T72" i="503"/>
  <c r="T77" i="503" s="1"/>
  <c r="S80" i="503"/>
  <c r="V66" i="503" l="1"/>
  <c r="V67" i="503" s="1"/>
  <c r="V52" i="503"/>
  <c r="V53" i="503"/>
  <c r="T78" i="503"/>
  <c r="T80" i="503"/>
  <c r="T94" i="503"/>
  <c r="V45" i="503"/>
  <c r="V46" i="503"/>
  <c r="S84" i="503"/>
  <c r="S86" i="503"/>
  <c r="S85" i="503"/>
  <c r="S81" i="503"/>
  <c r="U72" i="503"/>
  <c r="U77" i="503" s="1"/>
  <c r="U67" i="503"/>
  <c r="U93" i="503" l="1"/>
  <c r="U94" i="503" s="1"/>
  <c r="K95" i="503" s="1"/>
  <c r="K127" i="503" s="1"/>
  <c r="V72" i="503"/>
  <c r="V77" i="503" s="1"/>
  <c r="V78" i="503" s="1"/>
  <c r="U78" i="503"/>
  <c r="U80" i="503"/>
  <c r="T84" i="503"/>
  <c r="T86" i="503"/>
  <c r="T85" i="503"/>
  <c r="T81" i="503"/>
  <c r="Q117" i="503"/>
  <c r="Q118" i="503" s="1"/>
  <c r="Q121" i="503" s="1"/>
  <c r="Q122" i="503" s="1"/>
  <c r="Q125" i="503" s="1"/>
  <c r="V80" i="503" l="1"/>
  <c r="V81" i="503" s="1"/>
  <c r="U84" i="503"/>
  <c r="U86" i="503"/>
  <c r="U85" i="503"/>
  <c r="U81" i="503"/>
  <c r="V85" i="503" l="1"/>
  <c r="V86" i="503"/>
  <c r="V84" i="503"/>
  <c r="R117" i="503" l="1"/>
  <c r="R118" i="503" s="1"/>
  <c r="R121" i="503" s="1"/>
  <c r="R122" i="503" s="1"/>
  <c r="R125" i="503" s="1"/>
  <c r="S117" i="503" l="1"/>
  <c r="S118" i="503" s="1"/>
  <c r="S121" i="503" s="1"/>
  <c r="S122" i="503" s="1"/>
  <c r="S125" i="503" s="1"/>
  <c r="T117" i="503" l="1"/>
  <c r="T118" i="503" s="1"/>
  <c r="T121" i="503" s="1"/>
  <c r="T122" i="503" s="1"/>
  <c r="T125" i="503" s="1"/>
  <c r="U117" i="503" l="1"/>
  <c r="U118" i="503" s="1"/>
  <c r="U121" i="503" s="1"/>
  <c r="U122" i="503" s="1"/>
  <c r="U125" i="503" s="1"/>
  <c r="V117" i="503" l="1"/>
  <c r="V118" i="503" s="1"/>
  <c r="V121" i="503" s="1"/>
  <c r="V122" i="503" s="1"/>
  <c r="V125" i="503" s="1"/>
  <c r="K28" i="504" l="1"/>
  <c r="L28" i="504" l="1"/>
  <c r="L64" i="504" s="1"/>
  <c r="K58" i="504"/>
  <c r="K61" i="504" s="1"/>
  <c r="K29" i="504"/>
  <c r="K41" i="504"/>
  <c r="K64" i="504"/>
  <c r="M28" i="504"/>
  <c r="L41" i="504" l="1"/>
  <c r="L29" i="504"/>
  <c r="K66" i="504"/>
  <c r="K62" i="504"/>
  <c r="K86" i="504"/>
  <c r="K131" i="504" s="1"/>
  <c r="M64" i="504"/>
  <c r="M29" i="504"/>
  <c r="M41" i="504"/>
  <c r="N28" i="504"/>
  <c r="O28" i="504" l="1"/>
  <c r="O41" i="504" s="1"/>
  <c r="K85" i="504"/>
  <c r="K72" i="504"/>
  <c r="K67" i="504"/>
  <c r="N64" i="504"/>
  <c r="N41" i="504"/>
  <c r="N29" i="504"/>
  <c r="J132" i="504"/>
  <c r="O29" i="504" l="1"/>
  <c r="O64" i="504"/>
  <c r="P28" i="504"/>
  <c r="P29" i="504" l="1"/>
  <c r="P41" i="504"/>
  <c r="P64" i="504"/>
  <c r="Q28" i="504"/>
  <c r="R28" i="504" l="1"/>
  <c r="Q29" i="504"/>
  <c r="Q41" i="504"/>
  <c r="Q64" i="504"/>
  <c r="R29" i="504" l="1"/>
  <c r="R41" i="504"/>
  <c r="R64" i="504"/>
  <c r="S28" i="504"/>
  <c r="S29" i="504" l="1"/>
  <c r="S41" i="504"/>
  <c r="S64" i="504"/>
  <c r="T28" i="504"/>
  <c r="T29" i="504" l="1"/>
  <c r="T41" i="504"/>
  <c r="T64" i="504"/>
  <c r="U28" i="504"/>
  <c r="U64" i="504" l="1"/>
  <c r="U29" i="504"/>
  <c r="U16" i="504" s="1"/>
  <c r="U41" i="504"/>
  <c r="V28" i="504"/>
  <c r="L16" i="504" l="1"/>
  <c r="U13" i="504"/>
  <c r="U124" i="504" s="1"/>
  <c r="V64" i="504"/>
  <c r="V41" i="504"/>
  <c r="V29" i="504"/>
  <c r="V16" i="504" s="1"/>
  <c r="V13" i="504" s="1"/>
  <c r="V124" i="504" s="1"/>
  <c r="V14" i="504" l="1"/>
  <c r="V32" i="504"/>
  <c r="V17" i="504"/>
  <c r="U32" i="504"/>
  <c r="M16" i="504"/>
  <c r="L13" i="504"/>
  <c r="L124" i="504" s="1"/>
  <c r="N16" i="504" l="1"/>
  <c r="M13" i="504"/>
  <c r="M124" i="504" s="1"/>
  <c r="U44" i="504"/>
  <c r="U51" i="504"/>
  <c r="U58" i="504"/>
  <c r="U61" i="504" s="1"/>
  <c r="U34" i="504"/>
  <c r="U74" i="504"/>
  <c r="L32" i="504"/>
  <c r="L17" i="504"/>
  <c r="L14" i="504"/>
  <c r="V34" i="504"/>
  <c r="V74" i="504"/>
  <c r="V44" i="504"/>
  <c r="V35" i="504"/>
  <c r="V51" i="504"/>
  <c r="V33" i="504"/>
  <c r="V58" i="504"/>
  <c r="V61" i="504" s="1"/>
  <c r="V62" i="504" l="1"/>
  <c r="V66" i="504"/>
  <c r="O16" i="504"/>
  <c r="N13" i="504"/>
  <c r="N124" i="504" s="1"/>
  <c r="U46" i="504"/>
  <c r="M14" i="504"/>
  <c r="M32" i="504"/>
  <c r="M17" i="504"/>
  <c r="U53" i="504"/>
  <c r="V53" i="504"/>
  <c r="V52" i="504"/>
  <c r="L44" i="504"/>
  <c r="L35" i="504"/>
  <c r="L51" i="504"/>
  <c r="L33" i="504"/>
  <c r="L58" i="504"/>
  <c r="L61" i="504" s="1"/>
  <c r="L34" i="504"/>
  <c r="L74" i="504"/>
  <c r="V46" i="504"/>
  <c r="V45" i="504"/>
  <c r="U66" i="504"/>
  <c r="L45" i="504" l="1"/>
  <c r="L46" i="504"/>
  <c r="L62" i="504"/>
  <c r="L66" i="504"/>
  <c r="P16" i="504"/>
  <c r="O13" i="504"/>
  <c r="O124" i="504" s="1"/>
  <c r="U93" i="504"/>
  <c r="V67" i="504"/>
  <c r="V72" i="504"/>
  <c r="V77" i="504" s="1"/>
  <c r="N14" i="504"/>
  <c r="N32" i="504"/>
  <c r="N17" i="504"/>
  <c r="U72" i="504"/>
  <c r="L52" i="504"/>
  <c r="L53" i="504"/>
  <c r="M44" i="504"/>
  <c r="M35" i="504"/>
  <c r="M51" i="504"/>
  <c r="M33" i="504"/>
  <c r="M58" i="504"/>
  <c r="M61" i="504" s="1"/>
  <c r="M74" i="504"/>
  <c r="M34" i="504"/>
  <c r="O17" i="504" l="1"/>
  <c r="O14" i="504"/>
  <c r="O32" i="504"/>
  <c r="M62" i="504"/>
  <c r="M66" i="504"/>
  <c r="N34" i="504"/>
  <c r="N74" i="504"/>
  <c r="N44" i="504"/>
  <c r="N35" i="504"/>
  <c r="N51" i="504"/>
  <c r="N33" i="504"/>
  <c r="N58" i="504"/>
  <c r="N61" i="504" s="1"/>
  <c r="M45" i="504"/>
  <c r="M46" i="504"/>
  <c r="V78" i="504"/>
  <c r="M53" i="504"/>
  <c r="M52" i="504"/>
  <c r="P13" i="504"/>
  <c r="P124" i="504" s="1"/>
  <c r="Q16" i="504"/>
  <c r="L72" i="504"/>
  <c r="L77" i="504" s="1"/>
  <c r="L67" i="504"/>
  <c r="N62" i="504" l="1"/>
  <c r="N66" i="504"/>
  <c r="M67" i="504"/>
  <c r="M72" i="504"/>
  <c r="M77" i="504" s="1"/>
  <c r="N46" i="504"/>
  <c r="N45" i="504"/>
  <c r="L94" i="504"/>
  <c r="L78" i="504"/>
  <c r="L80" i="504"/>
  <c r="R16" i="504"/>
  <c r="Q13" i="504"/>
  <c r="Q124" i="504" s="1"/>
  <c r="P17" i="504"/>
  <c r="P14" i="504"/>
  <c r="P32" i="504"/>
  <c r="N53" i="504"/>
  <c r="N52" i="504"/>
  <c r="O34" i="504"/>
  <c r="O74" i="504"/>
  <c r="O44" i="504"/>
  <c r="O35" i="504"/>
  <c r="O51" i="504"/>
  <c r="O33" i="504"/>
  <c r="O58" i="504"/>
  <c r="O61" i="504" s="1"/>
  <c r="O62" i="504" l="1"/>
  <c r="O66" i="504"/>
  <c r="P34" i="504"/>
  <c r="P74" i="504"/>
  <c r="P44" i="504"/>
  <c r="P35" i="504"/>
  <c r="P51" i="504"/>
  <c r="P58" i="504"/>
  <c r="P61" i="504" s="1"/>
  <c r="P33" i="504"/>
  <c r="S16" i="504"/>
  <c r="R13" i="504"/>
  <c r="R124" i="504" s="1"/>
  <c r="N67" i="504"/>
  <c r="N72" i="504"/>
  <c r="N77" i="504" s="1"/>
  <c r="O53" i="504"/>
  <c r="O52" i="504"/>
  <c r="O46" i="504"/>
  <c r="O45" i="504"/>
  <c r="M80" i="504"/>
  <c r="M94" i="504"/>
  <c r="M78" i="504"/>
  <c r="Q17" i="504"/>
  <c r="Q14" i="504"/>
  <c r="Q32" i="504"/>
  <c r="L85" i="504"/>
  <c r="L81" i="504"/>
  <c r="L84" i="504"/>
  <c r="L86" i="504"/>
  <c r="L131" i="504" s="1"/>
  <c r="K132" i="504" l="1"/>
  <c r="P62" i="504"/>
  <c r="P66" i="504"/>
  <c r="P52" i="504"/>
  <c r="P53" i="504"/>
  <c r="T16" i="504"/>
  <c r="T13" i="504" s="1"/>
  <c r="T124" i="504" s="1"/>
  <c r="S13" i="504"/>
  <c r="S124" i="504" s="1"/>
  <c r="Q33" i="504"/>
  <c r="Q58" i="504"/>
  <c r="Q61" i="504" s="1"/>
  <c r="Q34" i="504"/>
  <c r="Q74" i="504"/>
  <c r="Q44" i="504"/>
  <c r="Q35" i="504"/>
  <c r="Q51" i="504"/>
  <c r="O67" i="504"/>
  <c r="O72" i="504"/>
  <c r="O77" i="504" s="1"/>
  <c r="N80" i="504"/>
  <c r="N94" i="504"/>
  <c r="N78" i="504"/>
  <c r="P46" i="504"/>
  <c r="P45" i="504"/>
  <c r="M85" i="504"/>
  <c r="M81" i="504"/>
  <c r="M84" i="504"/>
  <c r="M86" i="504"/>
  <c r="M131" i="504" s="1"/>
  <c r="L132" i="504" s="1"/>
  <c r="R17" i="504"/>
  <c r="R14" i="504"/>
  <c r="R32" i="504"/>
  <c r="Q45" i="504" l="1"/>
  <c r="Q46" i="504"/>
  <c r="R33" i="504"/>
  <c r="R58" i="504"/>
  <c r="R61" i="504" s="1"/>
  <c r="R34" i="504"/>
  <c r="R74" i="504"/>
  <c r="R44" i="504"/>
  <c r="R51" i="504"/>
  <c r="R35" i="504"/>
  <c r="N85" i="504"/>
  <c r="N81" i="504"/>
  <c r="N86" i="504"/>
  <c r="N84" i="504"/>
  <c r="O80" i="504"/>
  <c r="O94" i="504"/>
  <c r="O78" i="504"/>
  <c r="Q62" i="504"/>
  <c r="Q66" i="504"/>
  <c r="P67" i="504"/>
  <c r="P72" i="504"/>
  <c r="P77" i="504" s="1"/>
  <c r="S17" i="504"/>
  <c r="S14" i="504"/>
  <c r="S32" i="504"/>
  <c r="Q52" i="504"/>
  <c r="Q53" i="504"/>
  <c r="T32" i="504"/>
  <c r="T17" i="504"/>
  <c r="T14" i="504"/>
  <c r="U17" i="504"/>
  <c r="U14" i="504"/>
  <c r="R45" i="504" l="1"/>
  <c r="R46" i="504"/>
  <c r="R52" i="504"/>
  <c r="R53" i="504"/>
  <c r="R62" i="504"/>
  <c r="R66" i="504"/>
  <c r="P78" i="504"/>
  <c r="P80" i="504"/>
  <c r="P94" i="504"/>
  <c r="T44" i="504"/>
  <c r="T35" i="504"/>
  <c r="T51" i="504"/>
  <c r="T33" i="504"/>
  <c r="T58" i="504"/>
  <c r="T61" i="504" s="1"/>
  <c r="T34" i="504"/>
  <c r="T74" i="504"/>
  <c r="U77" i="504" s="1"/>
  <c r="U35" i="504"/>
  <c r="U33" i="504"/>
  <c r="S35" i="504"/>
  <c r="S51" i="504"/>
  <c r="S33" i="504"/>
  <c r="S58" i="504"/>
  <c r="S61" i="504" s="1"/>
  <c r="S34" i="504"/>
  <c r="S74" i="504"/>
  <c r="S44" i="504"/>
  <c r="Q72" i="504"/>
  <c r="Q77" i="504" s="1"/>
  <c r="Q67" i="504"/>
  <c r="O84" i="504"/>
  <c r="O86" i="504"/>
  <c r="O85" i="504"/>
  <c r="O81" i="504"/>
  <c r="U94" i="504" l="1"/>
  <c r="U78" i="504"/>
  <c r="S62" i="504"/>
  <c r="S66" i="504"/>
  <c r="R72" i="504"/>
  <c r="R77" i="504" s="1"/>
  <c r="R67" i="504"/>
  <c r="T52" i="504"/>
  <c r="T53" i="504"/>
  <c r="U52" i="504"/>
  <c r="Q78" i="504"/>
  <c r="Q80" i="504"/>
  <c r="Q94" i="504"/>
  <c r="T45" i="504"/>
  <c r="T46" i="504"/>
  <c r="U45" i="504"/>
  <c r="P84" i="504"/>
  <c r="P86" i="504"/>
  <c r="P85" i="504"/>
  <c r="P81" i="504"/>
  <c r="T62" i="504"/>
  <c r="T66" i="504"/>
  <c r="U62" i="504"/>
  <c r="S52" i="504"/>
  <c r="S53" i="504"/>
  <c r="S45" i="504"/>
  <c r="S46" i="504"/>
  <c r="T72" i="504" l="1"/>
  <c r="T77" i="504" s="1"/>
  <c r="T67" i="504"/>
  <c r="U67" i="504"/>
  <c r="R78" i="504"/>
  <c r="R80" i="504"/>
  <c r="R94" i="504"/>
  <c r="Q84" i="504"/>
  <c r="Q86" i="504"/>
  <c r="Q85" i="504"/>
  <c r="Q81" i="504"/>
  <c r="S72" i="504"/>
  <c r="S77" i="504" s="1"/>
  <c r="S67" i="504"/>
  <c r="S94" i="504" l="1"/>
  <c r="S78" i="504"/>
  <c r="S80" i="504"/>
  <c r="R81" i="504"/>
  <c r="R84" i="504"/>
  <c r="R86" i="504"/>
  <c r="R85" i="504"/>
  <c r="T94" i="504"/>
  <c r="T78" i="504"/>
  <c r="S85" i="504" l="1"/>
  <c r="S81" i="504"/>
  <c r="S84" i="504"/>
  <c r="S86" i="504"/>
  <c r="T80" i="504"/>
  <c r="K95" i="504"/>
  <c r="K128" i="504" s="1"/>
  <c r="T85" i="504" l="1"/>
  <c r="T81" i="504"/>
  <c r="T84" i="504"/>
  <c r="T86" i="504"/>
  <c r="U80" i="504"/>
  <c r="U85" i="504" l="1"/>
  <c r="U81" i="504"/>
  <c r="U84" i="504"/>
  <c r="U86" i="504"/>
  <c r="V80" i="504"/>
  <c r="V85" i="504" l="1"/>
  <c r="V81" i="504"/>
  <c r="V86" i="504"/>
  <c r="V84" i="504"/>
  <c r="K117" i="504" l="1"/>
  <c r="K118" i="504" s="1"/>
  <c r="K121" i="504" s="1"/>
  <c r="K122" i="504" s="1"/>
  <c r="K125" i="504" s="1"/>
  <c r="L117" i="504" l="1"/>
  <c r="L118" i="504" s="1"/>
  <c r="L121" i="504" s="1"/>
  <c r="L122" i="504" l="1"/>
  <c r="L125" i="504" s="1"/>
  <c r="M117" i="504" l="1"/>
  <c r="M118" i="504" s="1"/>
  <c r="M121" i="504" s="1"/>
  <c r="M122" i="504" l="1"/>
  <c r="M125" i="504" s="1"/>
  <c r="N117" i="504" l="1"/>
  <c r="N118" i="504" s="1"/>
  <c r="N121" i="504" s="1"/>
  <c r="N122" i="504" l="1"/>
  <c r="N125" i="504" s="1"/>
  <c r="O117" i="504" l="1"/>
  <c r="O118" i="504" s="1"/>
  <c r="O121" i="504" s="1"/>
  <c r="O122" i="504" l="1"/>
  <c r="O125" i="504" s="1"/>
  <c r="P117" i="504" l="1"/>
  <c r="P118" i="504" s="1"/>
  <c r="P121" i="504" s="1"/>
  <c r="P122" i="504" l="1"/>
  <c r="P125" i="504" s="1"/>
  <c r="Q117" i="504" l="1"/>
  <c r="Q118" i="504" s="1"/>
  <c r="Q121" i="504" s="1"/>
  <c r="Q122" i="504" l="1"/>
  <c r="Q125" i="504" s="1"/>
  <c r="R117" i="504" l="1"/>
  <c r="R118" i="504" s="1"/>
  <c r="R121" i="504" s="1"/>
  <c r="R122" i="504" l="1"/>
  <c r="R125" i="504" s="1"/>
  <c r="S117" i="504" l="1"/>
  <c r="S118" i="504" s="1"/>
  <c r="S121" i="504" s="1"/>
  <c r="S122" i="504" l="1"/>
  <c r="S125" i="504" s="1"/>
  <c r="T117" i="504" l="1"/>
  <c r="T118" i="504" s="1"/>
  <c r="T121" i="504" s="1"/>
  <c r="T122" i="504" l="1"/>
  <c r="T125" i="504" s="1"/>
  <c r="U117" i="504" l="1"/>
  <c r="U118" i="504" s="1"/>
  <c r="U121" i="504" s="1"/>
  <c r="U122" i="504" s="1"/>
  <c r="U125" i="504" s="1"/>
  <c r="V117" i="504" l="1"/>
  <c r="V118" i="504" s="1"/>
  <c r="V121" i="504" s="1"/>
  <c r="V122" i="504" s="1"/>
  <c r="V125" i="504" s="1"/>
  <c r="C122" i="198"/>
  <c r="D122" i="198"/>
  <c r="C120" i="198"/>
  <c r="D120" i="198"/>
  <c r="I122" i="198"/>
  <c r="J122" i="198"/>
  <c r="E120" i="198"/>
  <c r="F120" i="198"/>
  <c r="G120" i="198"/>
  <c r="H120" i="198"/>
  <c r="I120" i="198"/>
  <c r="J120" i="198"/>
  <c r="K120" i="198" s="1"/>
  <c r="L120" i="198" s="1"/>
  <c r="E122" i="198"/>
  <c r="F122" i="198"/>
  <c r="G122" i="198"/>
  <c r="H122" i="198"/>
  <c r="M120" i="198" l="1"/>
  <c r="L115" i="198"/>
  <c r="L119" i="198" s="1"/>
  <c r="L122" i="198" s="1"/>
  <c r="E123" i="198"/>
  <c r="E126" i="198" s="1"/>
  <c r="G123" i="198"/>
  <c r="G126" i="198" s="1"/>
  <c r="I123" i="198"/>
  <c r="I126" i="198" s="1"/>
  <c r="F123" i="198"/>
  <c r="F126" i="198" s="1"/>
  <c r="K115" i="198"/>
  <c r="K119" i="198" s="1"/>
  <c r="K122" i="198" s="1"/>
  <c r="J123" i="198"/>
  <c r="J126" i="198" s="1"/>
  <c r="H123" i="198"/>
  <c r="H126" i="198" s="1"/>
  <c r="N120" i="198" l="1"/>
  <c r="M115" i="198"/>
  <c r="M119" i="198" s="1"/>
  <c r="M122" i="198" s="1"/>
  <c r="M123" i="198" s="1"/>
  <c r="M126" i="198" s="1"/>
  <c r="L123" i="198"/>
  <c r="L126" i="198" s="1"/>
  <c r="K123" i="198"/>
  <c r="K126" i="198" s="1"/>
  <c r="O120" i="198" l="1"/>
  <c r="N115" i="198"/>
  <c r="N119" i="198" s="1"/>
  <c r="N122" i="198" s="1"/>
  <c r="N123" i="198" s="1"/>
  <c r="N126" i="198" s="1"/>
  <c r="P120" i="198" l="1"/>
  <c r="O115" i="198"/>
  <c r="O119" i="198" s="1"/>
  <c r="O122" i="198" s="1"/>
  <c r="O123" i="198" s="1"/>
  <c r="O126" i="198" s="1"/>
  <c r="Q120" i="198" l="1"/>
  <c r="P115" i="198"/>
  <c r="P119" i="198" s="1"/>
  <c r="P122" i="198" s="1"/>
  <c r="P123" i="198" s="1"/>
  <c r="P126" i="198" s="1"/>
  <c r="R120" i="198" l="1"/>
  <c r="Q115" i="198"/>
  <c r="Q119" i="198" s="1"/>
  <c r="Q122" i="198" s="1"/>
  <c r="Q123" i="198" s="1"/>
  <c r="Q126" i="198" s="1"/>
  <c r="S120" i="198" l="1"/>
  <c r="R115" i="198"/>
  <c r="R119" i="198" s="1"/>
  <c r="R122" i="198" s="1"/>
  <c r="R123" i="198" s="1"/>
  <c r="R126" i="198" s="1"/>
  <c r="T120" i="198" l="1"/>
  <c r="S115" i="198"/>
  <c r="S119" i="198" s="1"/>
  <c r="S122" i="198" s="1"/>
  <c r="S123" i="198" s="1"/>
  <c r="S126" i="198" s="1"/>
  <c r="U120" i="198" l="1"/>
  <c r="T115" i="198"/>
  <c r="T119" i="198" s="1"/>
  <c r="T122" i="198" s="1"/>
  <c r="T123" i="198" s="1"/>
  <c r="T126" i="198" s="1"/>
  <c r="V120" i="198" l="1"/>
  <c r="V115" i="198" s="1"/>
  <c r="V119" i="198" s="1"/>
  <c r="V122" i="198" s="1"/>
  <c r="U115" i="198"/>
  <c r="U119" i="198" s="1"/>
  <c r="U122" i="198" s="1"/>
  <c r="U123" i="198" s="1"/>
  <c r="U126" i="198" s="1"/>
  <c r="V123" i="198" l="1"/>
  <c r="V126" i="198" s="1"/>
  <c r="L52" i="519" l="1"/>
  <c r="L213" i="519"/>
  <c r="L184" i="519" s="1"/>
  <c r="L191" i="519" l="1"/>
  <c r="L187" i="519"/>
  <c r="L185" i="519"/>
  <c r="L203" i="519"/>
  <c r="L204" i="519" s="1"/>
  <c r="L57" i="519"/>
  <c r="L54" i="519"/>
  <c r="D52" i="519"/>
  <c r="E52" i="519"/>
  <c r="F52" i="519"/>
  <c r="G52" i="519"/>
  <c r="H52" i="519"/>
  <c r="I52" i="519"/>
  <c r="J52" i="519"/>
  <c r="K52" i="519"/>
  <c r="D54" i="519"/>
  <c r="E54" i="519"/>
  <c r="F54" i="519"/>
  <c r="G54" i="519"/>
  <c r="H54" i="519"/>
  <c r="I54" i="519"/>
  <c r="J54" i="519"/>
  <c r="K54" i="519"/>
  <c r="D213" i="519"/>
  <c r="D57" i="519" s="1"/>
  <c r="D59" i="519" s="1"/>
  <c r="E213" i="519"/>
  <c r="E57" i="519" s="1"/>
  <c r="E59" i="519" s="1"/>
  <c r="F213" i="519"/>
  <c r="F57" i="519" s="1"/>
  <c r="G213" i="519"/>
  <c r="G57" i="519" s="1"/>
  <c r="H213" i="519"/>
  <c r="H57" i="519" s="1"/>
  <c r="I213" i="519"/>
  <c r="I57" i="519" s="1"/>
  <c r="J213" i="519"/>
  <c r="J57" i="519" s="1"/>
  <c r="K213" i="519"/>
  <c r="K57" i="519" s="1"/>
  <c r="K184" i="519" l="1"/>
  <c r="K187" i="519" s="1"/>
  <c r="J184" i="519"/>
  <c r="J187" i="519" s="1"/>
  <c r="H184" i="519"/>
  <c r="H191" i="519" s="1"/>
  <c r="I184" i="519"/>
  <c r="I191" i="519" s="1"/>
  <c r="G184" i="519"/>
  <c r="G185" i="519" s="1"/>
  <c r="F184" i="519"/>
  <c r="F185" i="519" s="1"/>
  <c r="E184" i="519"/>
  <c r="E187" i="519" s="1"/>
  <c r="D184" i="519"/>
  <c r="D191" i="519" s="1"/>
  <c r="I58" i="519"/>
  <c r="I59" i="519"/>
  <c r="J59" i="519"/>
  <c r="J58" i="519"/>
  <c r="G59" i="519"/>
  <c r="G58" i="519"/>
  <c r="K59" i="519"/>
  <c r="K58" i="519"/>
  <c r="H58" i="519"/>
  <c r="H59" i="519"/>
  <c r="F59" i="519"/>
  <c r="F58" i="519"/>
  <c r="K203" i="519"/>
  <c r="K204" i="519" s="1"/>
  <c r="K191" i="519"/>
  <c r="H187" i="519"/>
  <c r="D58" i="519"/>
  <c r="K185" i="519"/>
  <c r="J191" i="519"/>
  <c r="E58" i="519"/>
  <c r="J185" i="519"/>
  <c r="L59" i="519"/>
  <c r="L58" i="519"/>
  <c r="H185" i="519"/>
  <c r="E191" i="519" l="1"/>
  <c r="G203" i="519"/>
  <c r="G204" i="519" s="1"/>
  <c r="G191" i="519"/>
  <c r="I203" i="519"/>
  <c r="I204" i="519" s="1"/>
  <c r="F191" i="519"/>
  <c r="J203" i="519"/>
  <c r="J204" i="519" s="1"/>
  <c r="F203" i="519"/>
  <c r="F204" i="519" s="1"/>
  <c r="E185" i="519"/>
  <c r="F187" i="519"/>
  <c r="E203" i="519"/>
  <c r="E204" i="519" s="1"/>
  <c r="I187" i="519"/>
  <c r="I185" i="519"/>
  <c r="H203" i="519"/>
  <c r="H204" i="519" s="1"/>
  <c r="G187" i="519"/>
  <c r="D187" i="519"/>
  <c r="D203" i="519"/>
  <c r="D204" i="519" s="1"/>
  <c r="D185" i="519"/>
  <c r="L9" i="523"/>
  <c r="L10" i="523" s="1"/>
  <c r="M9" i="523"/>
  <c r="M10" i="523" s="1"/>
  <c r="N9" i="523"/>
  <c r="N10" i="523" s="1"/>
  <c r="O9" i="523"/>
  <c r="O10" i="523" s="1"/>
  <c r="P9" i="523"/>
  <c r="P10" i="523" s="1"/>
  <c r="Q9" i="523"/>
  <c r="Q10" i="523" s="1"/>
  <c r="R9" i="523"/>
  <c r="R10" i="523" s="1"/>
  <c r="S9" i="523"/>
  <c r="S10" i="523" s="1"/>
  <c r="T9" i="523"/>
  <c r="T10" i="523" s="1"/>
  <c r="U9" i="523"/>
  <c r="U10" i="523" s="1"/>
  <c r="V9" i="523"/>
  <c r="V10" i="523" s="1"/>
  <c r="L29" i="523"/>
  <c r="M29" i="523"/>
  <c r="N29" i="523"/>
  <c r="O29" i="523"/>
  <c r="P29" i="523"/>
  <c r="Q29" i="523"/>
  <c r="R29" i="523"/>
  <c r="S29" i="523"/>
  <c r="T29" i="523"/>
  <c r="U29" i="523"/>
  <c r="V29" i="523"/>
  <c r="L41" i="523"/>
  <c r="M41" i="523"/>
  <c r="N41" i="523"/>
  <c r="O41" i="523"/>
  <c r="P41" i="523"/>
  <c r="Q41" i="523"/>
  <c r="R41" i="523"/>
  <c r="S41" i="523"/>
  <c r="T41" i="523"/>
  <c r="U41" i="523"/>
  <c r="V41" i="523"/>
  <c r="L48" i="523"/>
  <c r="L65" i="523" s="1"/>
  <c r="M48" i="523"/>
  <c r="M65" i="523" s="1"/>
  <c r="N48" i="523"/>
  <c r="N65" i="523" s="1"/>
  <c r="O48" i="523"/>
  <c r="O65" i="523" s="1"/>
  <c r="P48" i="523"/>
  <c r="P65" i="523" s="1"/>
  <c r="Q48" i="523"/>
  <c r="Q65" i="523" s="1"/>
  <c r="R48" i="523"/>
  <c r="R65" i="523" s="1"/>
  <c r="S48" i="523"/>
  <c r="S65" i="523" s="1"/>
  <c r="T48" i="523"/>
  <c r="T65" i="523" s="1"/>
  <c r="U48" i="523"/>
  <c r="U65" i="523" s="1"/>
  <c r="V48" i="523"/>
  <c r="V65" i="523" s="1"/>
  <c r="L107" i="523"/>
  <c r="M107" i="523"/>
  <c r="N107" i="523"/>
  <c r="O107" i="523"/>
  <c r="P107" i="523"/>
  <c r="Q107" i="523"/>
  <c r="R107" i="523"/>
  <c r="S107" i="523"/>
  <c r="T107" i="523"/>
  <c r="U107" i="523"/>
  <c r="V107" i="523"/>
  <c r="L114" i="523"/>
  <c r="L118" i="523" s="1"/>
  <c r="M114" i="523"/>
  <c r="M118" i="523" s="1"/>
  <c r="N114" i="523"/>
  <c r="N118" i="523" s="1"/>
  <c r="O114" i="523"/>
  <c r="O118" i="523" s="1"/>
  <c r="P114" i="523"/>
  <c r="P118" i="523" s="1"/>
  <c r="Q114" i="523"/>
  <c r="Q118" i="523" s="1"/>
  <c r="R114" i="523"/>
  <c r="R118" i="523" s="1"/>
  <c r="S114" i="523"/>
  <c r="S118" i="523" s="1"/>
  <c r="T114" i="523"/>
  <c r="T118" i="523" s="1"/>
  <c r="U114" i="523"/>
  <c r="U118" i="523" s="1"/>
  <c r="V114" i="523"/>
  <c r="V118" i="523" s="1"/>
  <c r="N141" i="523"/>
  <c r="N145" i="523" s="1"/>
  <c r="O141" i="523"/>
  <c r="P141" i="523"/>
  <c r="P161" i="523" s="1"/>
  <c r="V121" i="523" l="1"/>
  <c r="U121" i="523"/>
  <c r="T121" i="523"/>
  <c r="U122" i="523" s="1"/>
  <c r="S121" i="523"/>
  <c r="T122" i="523" s="1"/>
  <c r="R121" i="523"/>
  <c r="Q121" i="523"/>
  <c r="P121" i="523"/>
  <c r="O121" i="523"/>
  <c r="N121" i="523"/>
  <c r="M121" i="523"/>
  <c r="L121" i="523"/>
  <c r="L122" i="523" s="1"/>
  <c r="L124" i="523" s="1"/>
  <c r="L13" i="523" s="1"/>
  <c r="L16" i="523" s="1"/>
  <c r="O145" i="523"/>
  <c r="O161" i="523"/>
  <c r="P145" i="523"/>
  <c r="N161" i="523"/>
  <c r="O149" i="523"/>
  <c r="O153" i="523" s="1"/>
  <c r="N149" i="523"/>
  <c r="N153" i="523" s="1"/>
  <c r="P149" i="523"/>
  <c r="P153" i="523" s="1"/>
  <c r="S122" i="523" l="1"/>
  <c r="M122" i="523"/>
  <c r="M13" i="523" s="1"/>
  <c r="M16" i="523" s="1"/>
  <c r="N122" i="523"/>
  <c r="N13" i="523" s="1"/>
  <c r="O122" i="523"/>
  <c r="O13" i="523" s="1"/>
  <c r="V122" i="523"/>
  <c r="V124" i="523" s="1"/>
  <c r="R122" i="523"/>
  <c r="R124" i="523" s="1"/>
  <c r="P122" i="523"/>
  <c r="P124" i="523" s="1"/>
  <c r="Q122" i="523"/>
  <c r="Q13" i="523" s="1"/>
  <c r="U13" i="523"/>
  <c r="U16" i="523" s="1"/>
  <c r="U124" i="523"/>
  <c r="T13" i="523"/>
  <c r="T124" i="523"/>
  <c r="O124" i="523"/>
  <c r="S13" i="523"/>
  <c r="S124" i="523"/>
  <c r="L14" i="523"/>
  <c r="L17" i="523"/>
  <c r="L32" i="523"/>
  <c r="M124" i="523" l="1"/>
  <c r="N124" i="523"/>
  <c r="V13" i="523"/>
  <c r="V16" i="523" s="1"/>
  <c r="U14" i="523"/>
  <c r="R13" i="523"/>
  <c r="S14" i="523" s="1"/>
  <c r="U32" i="523"/>
  <c r="U74" i="523" s="1"/>
  <c r="U17" i="523"/>
  <c r="P13" i="523"/>
  <c r="Q14" i="523" s="1"/>
  <c r="V14" i="523"/>
  <c r="Q16" i="523"/>
  <c r="Q32" i="523"/>
  <c r="Q51" i="523" s="1"/>
  <c r="Q124" i="523"/>
  <c r="N16" i="523"/>
  <c r="N17" i="523"/>
  <c r="N32" i="523"/>
  <c r="N14" i="523"/>
  <c r="S16" i="523"/>
  <c r="S32" i="523"/>
  <c r="O16" i="523"/>
  <c r="O17" i="523"/>
  <c r="O14" i="523"/>
  <c r="O32" i="523"/>
  <c r="V17" i="523"/>
  <c r="V32" i="523"/>
  <c r="V51" i="523" s="1"/>
  <c r="T16" i="523"/>
  <c r="T32" i="523"/>
  <c r="U35" i="523" s="1"/>
  <c r="T17" i="523"/>
  <c r="T14" i="523"/>
  <c r="M14" i="523"/>
  <c r="M32" i="523"/>
  <c r="M17" i="523"/>
  <c r="L58" i="523"/>
  <c r="L61" i="523" s="1"/>
  <c r="L74" i="523"/>
  <c r="L34" i="523"/>
  <c r="L33" i="523"/>
  <c r="L44" i="523"/>
  <c r="L51" i="523"/>
  <c r="L35" i="523"/>
  <c r="U34" i="523"/>
  <c r="U44" i="523"/>
  <c r="U51" i="523"/>
  <c r="U58" i="523"/>
  <c r="U61" i="523" s="1"/>
  <c r="P16" i="523" l="1"/>
  <c r="R16" i="523"/>
  <c r="R17" i="523"/>
  <c r="S17" i="523"/>
  <c r="R32" i="523"/>
  <c r="R33" i="523" s="1"/>
  <c r="R14" i="523"/>
  <c r="P32" i="523"/>
  <c r="P74" i="523" s="1"/>
  <c r="Q17" i="523"/>
  <c r="Q44" i="523"/>
  <c r="Q46" i="523" s="1"/>
  <c r="Q58" i="523"/>
  <c r="Q61" i="523" s="1"/>
  <c r="Q66" i="523" s="1"/>
  <c r="P17" i="523"/>
  <c r="Q34" i="523"/>
  <c r="P14" i="523"/>
  <c r="Q74" i="523"/>
  <c r="N33" i="523"/>
  <c r="T58" i="523"/>
  <c r="T61" i="523" s="1"/>
  <c r="U62" i="523" s="1"/>
  <c r="T34" i="523"/>
  <c r="T44" i="523"/>
  <c r="U45" i="523" s="1"/>
  <c r="T51" i="523"/>
  <c r="U52" i="523" s="1"/>
  <c r="T74" i="523"/>
  <c r="T35" i="523"/>
  <c r="T33" i="523"/>
  <c r="M74" i="523"/>
  <c r="M33" i="523"/>
  <c r="M51" i="523"/>
  <c r="M53" i="523" s="1"/>
  <c r="O74" i="523"/>
  <c r="O33" i="523"/>
  <c r="O51" i="523"/>
  <c r="O58" i="523"/>
  <c r="O61" i="523" s="1"/>
  <c r="O34" i="523"/>
  <c r="O44" i="523"/>
  <c r="O35" i="523"/>
  <c r="V34" i="523"/>
  <c r="V33" i="523"/>
  <c r="M58" i="523"/>
  <c r="M61" i="523" s="1"/>
  <c r="M62" i="523" s="1"/>
  <c r="V74" i="523"/>
  <c r="N35" i="523"/>
  <c r="U33" i="523"/>
  <c r="V35" i="523"/>
  <c r="V44" i="523"/>
  <c r="V46" i="523" s="1"/>
  <c r="V58" i="523"/>
  <c r="V61" i="523" s="1"/>
  <c r="V62" i="523" s="1"/>
  <c r="M34" i="523"/>
  <c r="M44" i="523"/>
  <c r="M45" i="523" s="1"/>
  <c r="S34" i="523"/>
  <c r="S58" i="523"/>
  <c r="S61" i="523" s="1"/>
  <c r="S44" i="523"/>
  <c r="S51" i="523"/>
  <c r="S74" i="523"/>
  <c r="M35" i="523"/>
  <c r="R44" i="523"/>
  <c r="R51" i="523"/>
  <c r="R58" i="523"/>
  <c r="R61" i="523" s="1"/>
  <c r="R34" i="523"/>
  <c r="N51" i="523"/>
  <c r="N34" i="523"/>
  <c r="N58" i="523"/>
  <c r="N61" i="523" s="1"/>
  <c r="N66" i="523" s="1"/>
  <c r="N72" i="523" s="1"/>
  <c r="N44" i="523"/>
  <c r="N74" i="523"/>
  <c r="U66" i="523"/>
  <c r="U53" i="523"/>
  <c r="U46" i="523"/>
  <c r="V53" i="523"/>
  <c r="V52" i="523"/>
  <c r="L46" i="523"/>
  <c r="L45" i="523"/>
  <c r="Q53" i="523"/>
  <c r="L53" i="523"/>
  <c r="L52" i="523"/>
  <c r="L62" i="523"/>
  <c r="L66" i="523"/>
  <c r="R35" i="523" l="1"/>
  <c r="S33" i="523"/>
  <c r="P58" i="523"/>
  <c r="P61" i="523" s="1"/>
  <c r="S35" i="523"/>
  <c r="Q33" i="523"/>
  <c r="P35" i="523"/>
  <c r="Q35" i="523"/>
  <c r="P34" i="523"/>
  <c r="P51" i="523"/>
  <c r="Q52" i="523" s="1"/>
  <c r="P33" i="523"/>
  <c r="R74" i="523"/>
  <c r="P44" i="523"/>
  <c r="Q45" i="523" s="1"/>
  <c r="Q62" i="523"/>
  <c r="V66" i="523"/>
  <c r="U93" i="523" s="1"/>
  <c r="N77" i="523"/>
  <c r="N78" i="523" s="1"/>
  <c r="M46" i="523"/>
  <c r="N62" i="523"/>
  <c r="O53" i="523"/>
  <c r="O52" i="523"/>
  <c r="M66" i="523"/>
  <c r="M67" i="523" s="1"/>
  <c r="R53" i="523"/>
  <c r="R52" i="523"/>
  <c r="M52" i="523"/>
  <c r="T53" i="523"/>
  <c r="T52" i="523"/>
  <c r="V45" i="523"/>
  <c r="S46" i="523"/>
  <c r="S45" i="523"/>
  <c r="O66" i="523"/>
  <c r="O62" i="523"/>
  <c r="N53" i="523"/>
  <c r="N52" i="523"/>
  <c r="R45" i="523"/>
  <c r="R46" i="523"/>
  <c r="S53" i="523"/>
  <c r="S52" i="523"/>
  <c r="S66" i="523"/>
  <c r="S62" i="523"/>
  <c r="O45" i="523"/>
  <c r="O46" i="523"/>
  <c r="N46" i="523"/>
  <c r="N45" i="523"/>
  <c r="R62" i="523"/>
  <c r="R66" i="523"/>
  <c r="T46" i="523"/>
  <c r="T45" i="523"/>
  <c r="T62" i="523"/>
  <c r="T66" i="523"/>
  <c r="U67" i="523" s="1"/>
  <c r="P66" i="523"/>
  <c r="Q67" i="523" s="1"/>
  <c r="P62" i="523"/>
  <c r="Q72" i="523"/>
  <c r="Q77" i="523" s="1"/>
  <c r="L67" i="523"/>
  <c r="L72" i="523"/>
  <c r="L77" i="523" s="1"/>
  <c r="U72" i="523"/>
  <c r="U77" i="523" s="1"/>
  <c r="P53" i="523" l="1"/>
  <c r="P52" i="523"/>
  <c r="P45" i="523"/>
  <c r="P46" i="523"/>
  <c r="V67" i="523"/>
  <c r="V72" i="523"/>
  <c r="V77" i="523" s="1"/>
  <c r="N67" i="523"/>
  <c r="M72" i="523"/>
  <c r="M77" i="523" s="1"/>
  <c r="M78" i="523" s="1"/>
  <c r="N94" i="523"/>
  <c r="R72" i="523"/>
  <c r="R77" i="523" s="1"/>
  <c r="R67" i="523"/>
  <c r="S67" i="523"/>
  <c r="S72" i="523"/>
  <c r="S77" i="523" s="1"/>
  <c r="O67" i="523"/>
  <c r="O72" i="523"/>
  <c r="O77" i="523" s="1"/>
  <c r="P72" i="523"/>
  <c r="P77" i="523" s="1"/>
  <c r="P67" i="523"/>
  <c r="T67" i="523"/>
  <c r="T72" i="523"/>
  <c r="T77" i="523" s="1"/>
  <c r="L94" i="523"/>
  <c r="L80" i="523"/>
  <c r="L78" i="523"/>
  <c r="U78" i="523"/>
  <c r="U94" i="523"/>
  <c r="V78" i="523"/>
  <c r="Q78" i="523"/>
  <c r="Q94" i="523"/>
  <c r="M94" i="523" l="1"/>
  <c r="M80" i="523"/>
  <c r="N80" i="523" s="1"/>
  <c r="T94" i="523"/>
  <c r="T78" i="523"/>
  <c r="P94" i="523"/>
  <c r="P78" i="523"/>
  <c r="O78" i="523"/>
  <c r="O94" i="523"/>
  <c r="S78" i="523"/>
  <c r="S94" i="523"/>
  <c r="R94" i="523"/>
  <c r="R78" i="523"/>
  <c r="M84" i="523"/>
  <c r="M81" i="523"/>
  <c r="L81" i="523"/>
  <c r="L84" i="523"/>
  <c r="L86" i="523"/>
  <c r="L85" i="523"/>
  <c r="M85" i="523" l="1"/>
  <c r="M86" i="523"/>
  <c r="M130" i="523" s="1"/>
  <c r="K95" i="523"/>
  <c r="K127" i="523" s="1"/>
  <c r="L133" i="523"/>
  <c r="L130" i="523"/>
  <c r="K133" i="523"/>
  <c r="N85" i="523"/>
  <c r="N86" i="523"/>
  <c r="N130" i="523" s="1"/>
  <c r="M131" i="523" s="1"/>
  <c r="N84" i="523"/>
  <c r="N81" i="523"/>
  <c r="O80" i="523"/>
  <c r="O85" i="523" l="1"/>
  <c r="O84" i="523"/>
  <c r="O81" i="523"/>
  <c r="O86" i="523"/>
  <c r="P80" i="523"/>
  <c r="K131" i="523"/>
  <c r="L131" i="523"/>
  <c r="P81" i="523" l="1"/>
  <c r="P85" i="523"/>
  <c r="P86" i="523"/>
  <c r="P84" i="523"/>
  <c r="Q80" i="523"/>
  <c r="Q84" i="523" l="1"/>
  <c r="Q86" i="523"/>
  <c r="Q85" i="523"/>
  <c r="Q81" i="523"/>
  <c r="R80" i="523"/>
  <c r="R81" i="523" l="1"/>
  <c r="R86" i="523"/>
  <c r="R85" i="523"/>
  <c r="R84" i="523"/>
  <c r="S80" i="523"/>
  <c r="S85" i="523" l="1"/>
  <c r="S84" i="523"/>
  <c r="S81" i="523"/>
  <c r="S86" i="523"/>
  <c r="T80" i="523"/>
  <c r="T85" i="523" l="1"/>
  <c r="T81" i="523"/>
  <c r="T86" i="523"/>
  <c r="T84" i="523"/>
  <c r="U80" i="523"/>
  <c r="U85" i="523" l="1"/>
  <c r="U81" i="523"/>
  <c r="U84" i="523"/>
  <c r="U86" i="523"/>
  <c r="V80" i="523"/>
  <c r="V81" i="523" l="1"/>
  <c r="V85" i="523"/>
  <c r="V86" i="523"/>
  <c r="V84" i="52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tc={1B51892E-A1B3-4157-BFEB-B0EF403C8A0F}</author>
  </authors>
  <commentList>
    <comment ref="I16" authorId="0" shapeId="0" xr:uid="{1B51892E-A1B3-4157-BFEB-B0EF403C8A0F}">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tc={48D3445A-EC74-4C55-899B-80FC96F2B798}</author>
  </authors>
  <commentList>
    <comment ref="I15" authorId="0" shapeId="0" xr:uid="{48D3445A-EC74-4C55-899B-80FC96F2B798}">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tc={C78BC37E-5CCB-474E-9329-7F687E402888}</author>
  </authors>
  <commentList>
    <comment ref="I15" authorId="0" shapeId="0" xr:uid="{C78BC37E-5CCB-474E-9329-7F687E402888}">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tc={12E105FC-7EE4-4533-A399-47FD0BE4F005}</author>
  </authors>
  <commentList>
    <comment ref="I15" authorId="0" shapeId="0" xr:uid="{12E105FC-7EE4-4533-A399-47FD0BE4F005}">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tc={D8F42EAC-573E-4580-BF63-D83C0F647240}</author>
    <author>tc={F596A33E-D6AF-4DC5-95CA-A37E863DBB31}</author>
    <author>tc={E437CC59-0D1C-4CAF-B772-87FCE632ACC4}</author>
    <author>tc={C47B6BEA-B231-4054-88F5-13DC121F54A3}</author>
    <author>tc={48564B6D-BCA8-4B88-AB41-F7734C8CA6A3}</author>
    <author>tc={F8F0B695-20FD-440C-965F-A912F0369B0E}</author>
    <author>tc={DC2B7D1F-83AA-4E9B-8AE2-3A0A148A0952}</author>
    <author>tc={B93B932F-2189-48B7-9689-56CA0DCE3900}</author>
    <author>tc={B63D6ADF-8551-492B-B6C6-BCCD35519D4E}</author>
    <author>tc={EC6670D8-4441-4E53-A34D-F99A21160B29}</author>
    <author>tc={8A07C5F8-54F9-4134-B7E8-3BB604EE9324}</author>
    <author>tc={0E7A72A8-4157-478C-A6FA-07D35FB6BA43}</author>
    <author>tc={5C0A8AE5-2930-460C-9266-63AA266F641B}</author>
    <author>tc={5B255260-65BC-4F65-8D6D-D30729DCE61B}</author>
    <author>tc={07C3E7B5-5EF3-4822-9A00-82E19BA6084F}</author>
    <author>tc={896E3A96-78A0-45E6-B06D-1CEB860F3BB7}</author>
    <author>tc={10834FB4-F158-4FCD-BB7A-D4413C4D89DE}</author>
    <author>tc={6F62FA5F-654E-4BEB-A420-E0342F1E6258}</author>
    <author>tc={12C32A32-AA93-401A-A48D-6FBA6A5DD6B3}</author>
    <author>tc={97D0B22F-0137-4524-A03C-72FC19E83F3A}</author>
    <author>tc={9A6F7DBD-06F6-47D0-9349-4E465C09090E}</author>
    <author>tc={C483DB4D-9C4B-4739-A87A-285DFA2EB5BC}</author>
    <author>tc={C3D9752B-44FF-4E67-BB6C-0D9A75137CC8}</author>
    <author>tc={6809C394-527A-4D13-99B6-6644CF333E09}</author>
    <author>tc={C63893AF-80C2-495A-AC7F-F1DECCF6328A}</author>
    <author>tc={AC52CA9D-B09A-41DF-B9F2-40A16CA0E496}</author>
    <author>tc={21A9C06B-6014-4F2F-962A-409C6C0D809C}</author>
    <author>tc={7DAA0DF8-66F3-41CA-8029-77910CBF5BEF}</author>
    <author>tc={F41BBB2E-CF7E-4CD1-85C8-747CD3ECB950}</author>
    <author>tc={119432E9-17B4-42B0-BED9-A2D59C7B0738}</author>
    <author>tc={7BDDF774-BE0D-4AC9-8F5E-CE20875283A6}</author>
    <author>tc={649592A7-F42C-4A2C-9491-D5A88268BF3A}</author>
    <author>tc={ADE922F7-3D6B-4968-B687-08625096A464}</author>
    <author>tc={B9DA14C8-AE97-4D5E-A0C3-636B4DF979BA}</author>
    <author>tc={BE797D14-A9F0-4BB5-B456-E3B8CCFCB4D3}</author>
    <author>tc={F2CECCAB-ACF5-4202-A5BF-FD0AF958D66B}</author>
    <author>tc={A197E2F0-EC52-46B8-99BE-F952D5FF21ED}</author>
    <author>tc={60D051EE-5BD9-42F2-AFFF-74345913620F}</author>
    <author>tc={DD073FED-4631-412F-BB32-BE12DF260871}</author>
    <author>tc={A98F01C4-16DE-4A04-8485-F0048262A296}</author>
    <author>tc={F1C44B2D-A037-4998-959F-D186FC9F5930}</author>
    <author>tc={EC7F1674-E69A-4306-AD93-2825A8B797C8}</author>
    <author>tc={3549B366-A8EE-4F9A-BFCA-85289DAE846F}</author>
    <author>tc={AE475268-E05B-4DCE-AE09-95A63DCBAEC1}</author>
    <author>tc={FDED9A05-1939-4634-898F-89D6B8DFF2B9}</author>
    <author>tc={4FE7B39A-A01C-4108-AD60-3FB3D22185A1}</author>
    <author>tc={4BC7CE88-8F78-442E-A233-E5DBAAE5CB6A}</author>
    <author>tc={925C8706-9C4D-4599-86BD-7BFB20B1BA29}</author>
    <author>tc={2D84EC84-7715-479A-84F2-6DC0BF1410E3}</author>
    <author>tc={17C67246-C2FF-4E39-A15D-DB819C50912A}</author>
    <author>tc={159149FB-FDDE-479C-AAA6-3C8663D8398F}</author>
    <author>tc={F1FB888E-B62D-403D-BDDB-5119CF80C0A0}</author>
    <author>tc={39921FC8-9610-4A9F-8C95-EDC125651A6A}</author>
    <author>tc={0199869F-0275-4255-AC81-765B6B87EDEB}</author>
    <author>tc={5BA45022-B214-42AA-9968-537DA625E0BD}</author>
    <author>tc={3A3213AD-E6BF-4E5F-8A06-FF607E9ED65E}</author>
    <author>tc={6CE095D5-DB2E-42A1-A44F-A2B7A71A9520}</author>
    <author>tc={9549F028-C06A-4BE2-B67F-BCDE172C29BC}</author>
    <author>tc={851725EB-A30A-4D48-81A2-C3292345C0E3}</author>
    <author>tc={5339DCA6-9F42-4AB3-86A7-C91790E0D35B}</author>
    <author>tc={554736C5-5995-4666-8CAE-56492CDB40AD}</author>
    <author>tc={3B48BC2B-37F8-4CA5-8EC5-4F71F00B4C3D}</author>
    <author>tc={8634CFF2-2EBF-4B37-9B15-AF5C9A2092B5}</author>
    <author>tc={63ECFAA4-F9BF-45C6-8AFE-2974ADEA102E}</author>
    <author>tc={3025E75C-475B-40F8-805D-92CBDAAC8518}</author>
    <author>tc={1A040C9B-22A0-4521-AAE3-98284A459A6C}</author>
    <author>tc={5AC0A2F0-B9B2-478A-B882-D5E27C800655}</author>
    <author>tc={EB1E5059-A7ED-4001-BF49-0BB918E4D177}</author>
    <author>tc={2C5D6C16-77CB-4A9F-AFAE-DEE2B09D290E}</author>
    <author>tc={3C311589-3136-4371-ADD8-1BE1D5D44D4D}</author>
    <author>tc={169CF63E-77F1-465F-AFFE-117355FC5801}</author>
    <author>tc={2FA29D50-945C-45B1-94A5-DC273577AB6D}</author>
    <author>tc={4FE9C3E6-5703-4A8B-82B6-F0ED706435B4}</author>
    <author>tc={F96F8D84-B644-4767-84BA-D51B88FB26DB}</author>
    <author>tc={5970214F-E8ED-4821-97D0-D0ED5E895F8B}</author>
    <author>tc={D3419850-CB8E-49C4-B5F5-075B34D6D5D7}</author>
    <author>tc={62EAF508-B7E4-4608-8337-CCB83D3408C0}</author>
    <author>tc={8CD57D4E-44E1-4AAA-BF7D-8421E58459E2}</author>
    <author>tc={82365E60-DEF0-4509-BCEE-41C43E6FB73A}</author>
    <author>tc={FB0B37B1-379C-4079-93BB-802CDE06935B}</author>
    <author>tc={2F7AE5C4-D7E4-440D-875A-BF53E9059A30}</author>
    <author>tc={B84FFBB7-8420-475F-AF59-6771F9EAC7B3}</author>
    <author>tc={B9E90561-FEFF-4F8E-BBA8-8D720C0D0500}</author>
    <author>tc={9C7115EF-65D9-4F41-834C-3B5AF01A0F70}</author>
    <author>tc={A93FF644-D47B-4F82-9E5D-60DB2E610972}</author>
    <author>tc={2B180CE2-CD14-4C52-9FBD-582848BCDDEE}</author>
    <author>tc={423C43BF-0BB5-4E3E-9704-DF661089F256}</author>
    <author>tc={B3351666-2D5F-4B01-908C-6C8CA539E530}</author>
    <author>tc={B72E91DE-0D22-48BC-A4B8-97CD50869B10}</author>
    <author>tc={7EC46D6E-7BFB-412D-B24C-81FA00271491}</author>
    <author>tc={119823E9-53F0-4172-8123-8C3C9CFB592C}</author>
    <author>tc={C1CEFE63-AF9B-4099-8C84-3796882DA414}</author>
    <author>tc={82F9CDC3-1E33-47CD-8A3B-2F578149F380}</author>
    <author>tc={23DA28FB-F44E-45BA-B7BA-A0A057E9DC03}</author>
    <author>tc={FCC995E8-575B-4CEA-9570-F119CD0D4660}</author>
    <author>tc={3F38A7FF-B11B-4128-9FAE-295C4389DFF6}</author>
    <author>tc={E11D095A-4274-4723-B87F-2AD6EB53B324}</author>
    <author>tc={91F508C9-E291-433D-AD38-287E09F7019F}</author>
    <author>tc={126E8A4B-3827-4D60-A568-79C78AE1B50E}</author>
    <author>tc={7CD7C127-E8C9-4FE3-887D-6D7D120EC35B}</author>
    <author>tc={38D5A870-1C3F-47C7-BE0F-A9EC3D639967}</author>
    <author>tc={2BC05321-107C-4431-8643-4BC6E9EC8E59}</author>
    <author>tc={A294FDA8-0005-4ACB-A747-233FBEE1352D}</author>
    <author>tc={AB64590A-8181-4A1E-8E22-736ED5ADA5D2}</author>
    <author>tc={C7B0B29E-F0BD-49C3-81A0-E5F134A7C946}</author>
    <author>tc={B0F3BAD2-E896-46E7-B808-929778ECB3E5}</author>
    <author>tc={5E0EE1F7-2B46-487C-BFF4-059C7B993F7F}</author>
    <author>tc={4E40657B-E3B4-4207-8EC7-35231709C283}</author>
    <author>tc={ECD5094A-81E9-416A-9708-80AC57073844}</author>
    <author>tc={DC160D33-A66A-4BA0-8705-8DD610FFFA43}</author>
    <author>tc={F92F7468-363B-44B2-ABEE-E8CAB3DB1ADD}</author>
    <author>tc={AA241C3D-FEB9-4CC7-BC17-2C80C3B99ED2}</author>
    <author>tc={204B2B01-04DB-4797-9E8F-BFF5006BBE22}</author>
    <author>tc={1C447D6F-42C3-4977-B91F-A90A05D86931}</author>
    <author>tc={DA6B8991-559E-44FD-9FFF-37B049F61568}</author>
    <author>tc={D578B69B-BBA0-4E9F-BB17-F7E4C7B88D85}</author>
    <author>tc={81F9AE90-997E-4DC6-9DB7-DAE812E82D9C}</author>
    <author>tc={A0B89729-102D-47C0-8D04-6B92A188E61E}</author>
    <author>tc={C5C93D43-584D-4233-9F0F-79B713E3D78C}</author>
    <author>tc={3995CA94-1B51-49C2-BCD2-18E87CBF1BA8}</author>
    <author>tc={606C3099-A90B-42B2-B244-BFA3BD87C016}</author>
    <author>tc={A4463A9A-EE03-4B06-8653-E9483B5425F8}</author>
    <author>tc={562B30C3-B8B1-4335-94A8-EF085A6120AD}</author>
    <author>tc={65E53EBD-A2FD-4500-B4BC-DEB9C5A39AD3}</author>
    <author>tc={3CB1448C-8DCF-468A-85B8-6EFB40BBCC75}</author>
    <author>tc={B955D955-2B35-4660-AA4A-62C35BC8E359}</author>
    <author>tc={DEB41D76-D985-418E-8259-D1A568402546}</author>
    <author>tc={C2EF436D-27EA-428B-BF7A-F2F9920E23F8}</author>
    <author>tc={38B046E4-7D16-459F-8707-AFBCDBFA8D3C}</author>
    <author>tc={134A20E5-D4B1-4C49-8D3E-8F069C0DFE18}</author>
    <author>tc={487D3926-A418-494C-BD8F-B013685323C5}</author>
    <author>tc={F479B80A-04A1-44F9-BDB2-5F3CAE1FC3AB}</author>
    <author>tc={8395CFD7-3503-41AF-B0AB-F590E62A3559}</author>
    <author>tc={8DD40CD5-1FAA-4AEA-B2BE-514142561DEB}</author>
    <author>tc={B94F0CE3-3A28-4889-9F20-D53F0061CA10}</author>
    <author>tc={7DDE7E06-85CF-4679-B103-A78E0AE07B30}</author>
    <author>tc={30F80D6A-ED2E-49E1-A26C-91B54BF133D4}</author>
    <author>tc={6CCA5FB0-E321-4DA2-A2F7-52B66AA954F5}</author>
    <author>tc={6AC7D8F2-1619-4667-A778-1521B64D1F9D}</author>
    <author>tc={E57F3BC7-2785-4253-A2F6-AD20612D199D}</author>
    <author>tc={86A2A3EB-BF20-485A-A2AB-8FCEF5F2E03A}</author>
    <author>tc={E888A63D-98E1-41DF-8486-5C3E6025E8CB}</author>
    <author>tc={C3585ACF-921F-4F27-B7B0-D986E1478671}</author>
    <author>tc={E1417AD0-A45D-40BE-87BB-5FC7A3E5F65A}</author>
    <author>tc={883F696D-5629-41B9-BD91-13F496D48BD4}</author>
    <author>tc={C5F4CE0D-705A-4584-A290-108564FC54B3}</author>
    <author>tc={DB99AAC7-932C-4753-ACC0-73BB790DD287}</author>
    <author>tc={B2EBB012-641D-4208-8B53-D21BABD2F1F5}</author>
    <author>tc={C005B130-A559-45C3-ABCD-04F49BA23201}</author>
    <author>tc={62EC320A-38ED-4906-9941-0D2C98E591DC}</author>
    <author>tc={7BEB556E-2E15-4606-8F93-C4773FD49236}</author>
    <author>tc={6B991CDA-943D-4F8E-A722-A860A8AE1563}</author>
    <author>tc={45801B4D-0426-4F09-AD4E-75E9E1FC92CE}</author>
    <author>tc={20B568C9-4DFC-41FA-A157-A447ADD952D2}</author>
    <author>tc={0D588F50-24DC-4274-84EA-D21923770750}</author>
    <author>tc={91DAFE70-5E7C-48B8-884D-EE451D393C32}</author>
    <author>tc={0F3D4D4E-CE9D-4FE4-A662-BC624CA9624A}</author>
    <author>tc={A9C368BA-29BA-43C3-917D-AA4F26B6B5F4}</author>
    <author>tc={AC6D0CC0-177E-4233-8361-5BE476D74B5A}</author>
    <author>tc={94FF27F9-B31B-4CE3-B1AE-C0DEBF25B13B}</author>
    <author>tc={88CEAB99-648E-46F6-B7F0-A70A3DE3DA04}</author>
    <author>tc={96F22923-95B5-49FD-A8D0-AF1B1859E1F1}</author>
    <author>tc={3E2DE43E-5A53-490D-B8CD-79339B87C49E}</author>
    <author>tc={71AADB76-C982-4789-A8E9-E48863D7BDE8}</author>
    <author>tc={4CEA7E78-AAD9-4F7A-B967-0B7B1D17021F}</author>
    <author>tc={9A51D814-3896-4D3F-8FE2-14FB7A5FC1A5}</author>
    <author>tc={E96C3756-9FD4-4357-8135-A2DB47306BFB}</author>
    <author>tc={A3B48793-19D3-4E10-BA79-94D9A1B30003}</author>
    <author>tc={A084B67C-10CD-4F0C-98FD-14CB0B6BC806}</author>
    <author>tc={436A7C3A-6CB1-4C88-8D02-D0D4758C06AE}</author>
    <author>tc={6599CFE0-641E-4DD9-A865-BC2DED8AE64C}</author>
    <author>tc={8A8AE4C5-16B5-4C8F-A523-923010E3975D}</author>
    <author>tc={BB70CABD-64F3-4F58-9A26-88D383E5547A}</author>
    <author>tc={9019D5D0-17E9-4033-9647-A73C89F2AB02}</author>
    <author>tc={AFAD4310-D6B9-49B4-B0F3-677FCF888181}</author>
    <author>tc={84F3A8D7-8BAF-4506-B348-9896962DD6E2}</author>
    <author>tc={F23A66A4-BE57-43AB-A154-B372B000CE7E}</author>
  </authors>
  <commentList>
    <comment ref="BG9" authorId="0" shapeId="0" xr:uid="{D8F42EAC-573E-4580-BF63-D83C0F647240}">
      <text>
        <t>[Threaded comment]
Your version of Excel allows you to read this threaded comment; however, any edits to it will get removed if the file is opened in a newer version of Excel. Learn more: https://go.microsoft.com/fwlink/?linkid=870924
Comment:
    Growth rates reflect previous policy period; margins reflect current period</t>
      </text>
    </comment>
    <comment ref="X12" authorId="1" shapeId="0" xr:uid="{F596A33E-D6AF-4DC5-95CA-A37E863DBB31}">
      <text>
        <t>[Threaded comment]
Your version of Excel allows you to read this threaded comment; however, any edits to it will get removed if the file is opened in a newer version of Excel. Learn more: https://go.microsoft.com/fwlink/?linkid=870924
Comment:
    35.150-36.050 Q4 guide</t>
      </text>
    </comment>
    <comment ref="AF14" authorId="2" shapeId="0" xr:uid="{E437CC59-0D1C-4CAF-B772-87FCE632ACC4}">
      <text>
        <t>[Threaded comment]
Your version of Excel allows you to read this threaded comment; however, any edits to it will get removed if the file is opened in a newer version of Excel. Learn more: https://go.microsoft.com/fwlink/?linkid=870924
Comment:
    Q4 22 call: "Second, on FX. Assuming current rates remain stable, we expect a roughly 4-point impact to full-year revenue growth, with headwinds in H1 greater than in H2."
"With the stronger US dollar and based on current rates, we expect FX to decrease total revenue growth by approximately 5 points and to decrease total COGS and operating expense growth by approximately 3 points. Within the segments, we anticipate roughly 6 points of negative FX impact on revenue growth in Productivity and Business Processes and Intelligent Cloud and 3 points in More Personal Computing."</t>
      </text>
    </comment>
    <comment ref="AG14" authorId="3" shapeId="0" xr:uid="{C47B6BEA-B231-4054-88F5-13DC121F54A3}">
      <text>
        <t>[Threaded comment]
Your version of Excel allows you to read this threaded comment; however, any edits to it will get removed if the file is opened in a newer version of Excel. Learn more: https://go.microsoft.com/fwlink/?linkid=870924
Comment:
    Q1 Guidance: 5ppt headwind</t>
      </text>
    </comment>
    <comment ref="AN16" authorId="4" shapeId="0" xr:uid="{48564B6D-BCA8-4B88-AB41-F7734C8CA6A3}">
      <text>
        <t>[Threaded comment]
Your version of Excel allows you to read this threaded comment; however, any edits to it will get removed if the file is opened in a newer version of Excel. Learn more: https://go.microsoft.com/fwlink/?linkid=870924
Comment:
    Includes $700m of ATVI amort.</t>
      </text>
    </comment>
    <comment ref="W22" authorId="5" shapeId="0" xr:uid="{F8F0B695-20FD-440C-965F-A912F0369B0E}">
      <text>
        <t>[Threaded comment]
Your version of Excel allows you to read this threaded comment; however, any edits to it will get removed if the file is opened in a newer version of Excel. Learn more: https://go.microsoft.com/fwlink/?linkid=870924
Comment:
    11.55-11.75 COGS guide</t>
      </text>
    </comment>
    <comment ref="X22" authorId="6" shapeId="0" xr:uid="{DC2B7D1F-83AA-4E9B-8AE2-3A0A148A0952}">
      <text>
        <t>[Threaded comment]
Your version of Excel allows you to read this threaded comment; however, any edits to it will get removed if the file is opened in a newer version of Excel. Learn more: https://go.microsoft.com/fwlink/?linkid=870924
Comment:
    10.75-10.95 COGS guide</t>
      </text>
    </comment>
    <comment ref="AK22" authorId="7" shapeId="0" xr:uid="{B93B932F-2189-48B7-9689-56CA0DCE3900}">
      <text>
        <t>[Threaded comment]
Your version of Excel allows you to read this threaded comment; however, any edits to it will get removed if the file is opened in a newer version of Excel. Learn more: https://go.microsoft.com/fwlink/?linkid=870924
Comment:
    Includes 580M PPA from ATVI</t>
      </text>
    </comment>
    <comment ref="AL22" authorId="8" shapeId="0" xr:uid="{B63D6ADF-8551-492B-B6C6-BCCD35519D4E}">
      <text>
        <t>[Threaded comment]
Your version of Excel allows you to read this threaded comment; however, any edits to it will get removed if the file is opened in a newer version of Excel. Learn more: https://go.microsoft.com/fwlink/?linkid=870924
Comment:
    Includes 670M PPA from ATVI</t>
      </text>
    </comment>
    <comment ref="AM22" authorId="9" shapeId="0" xr:uid="{EC6670D8-4441-4E53-A34D-F99A21160B29}">
      <text>
        <t>[Threaded comment]
Your version of Excel allows you to read this threaded comment; however, any edits to it will get removed if the file is opened in a newer version of Excel. Learn more: https://go.microsoft.com/fwlink/?linkid=870924
Comment:
    Includes 690M PPA from ATVI</t>
      </text>
    </comment>
    <comment ref="AI24" authorId="10" shapeId="0" xr:uid="{8A07C5F8-54F9-4134-B7E8-3BB604EE9324}">
      <text>
        <t>[Threaded comment]
Your version of Excel allows you to read this threaded comment; however, any edits to it will get removed if the file is opened in a newer version of Excel. Learn more: https://go.microsoft.com/fwlink/?linkid=870924
Comment:
    Q3 guide of no FX impact on COGS growth</t>
      </text>
    </comment>
    <comment ref="AN28" authorId="11" shapeId="0" xr:uid="{0E7A72A8-4157-478C-A6FA-07D35FB6BA43}">
      <text>
        <t>[Threaded comment]
Your version of Excel allows you to read this threaded comment; however, any edits to it will get removed if the file is opened in a newer version of Excel. Learn more: https://go.microsoft.com/fwlink/?linkid=870924
Comment:
    Includes $300m of ATVI costs</t>
      </text>
    </comment>
    <comment ref="AK31" authorId="12" shapeId="0" xr:uid="{5C0A8AE5-2930-460C-9266-63AA266F641B}">
      <text>
        <t>[Threaded comment]
Your version of Excel allows you to read this threaded comment; however, any edits to it will get removed if the file is opened in a newer version of Excel. Learn more: https://go.microsoft.com/fwlink/?linkid=870924
Comment:
    Includes 400M deal costs</t>
      </text>
    </comment>
    <comment ref="AL31" authorId="13" shapeId="0" xr:uid="{5B255260-65BC-4F65-8D6D-D30729DCE61B}">
      <text>
        <t>[Threaded comment]
Your version of Excel allows you to read this threaded comment; however, any edits to it will get removed if the file is opened in a newer version of Excel. Learn more: https://go.microsoft.com/fwlink/?linkid=870924
Comment:
    Includes 270M deal costs</t>
      </text>
    </comment>
    <comment ref="AM31" authorId="14" shapeId="0" xr:uid="{07C3E7B5-5EF3-4822-9A00-82E19BA6084F}">
      <text>
        <t>[Threaded comment]
Your version of Excel allows you to read this threaded comment; however, any edits to it will get removed if the file is opened in a newer version of Excel. Learn more: https://go.microsoft.com/fwlink/?linkid=870924
Comment:
    Includes 250M deal costs</t>
      </text>
    </comment>
    <comment ref="BA31" authorId="15" shapeId="0" xr:uid="{896E3A96-78A0-45E6-B06D-1CEB860F3BB7}">
      <text>
        <t>[Threaded comment]
Your version of Excel allows you to read this threaded comment; however, any edits to it will get removed if the file is opened in a newer version of Excel. Learn more: https://go.microsoft.com/fwlink/?linkid=870924
Comment:
    Excl. EU fine</t>
      </text>
    </comment>
    <comment ref="W32" authorId="16" shapeId="0" xr:uid="{10834FB4-F158-4FCD-BB7A-D4413C4D89DE}">
      <text>
        <t>[Threaded comment]
Your version of Excel allows you to read this threaded comment; however, any edits to it will get removed if the file is opened in a newer version of Excel. Learn more: https://go.microsoft.com/fwlink/?linkid=870924
Comment:
    11.8-11.9 guide</t>
      </text>
    </comment>
    <comment ref="AI38" authorId="17" shapeId="0" xr:uid="{6F62FA5F-654E-4BEB-A420-E0342F1E6258}">
      <text>
        <t>[Threaded comment]
Your version of Excel allows you to read this threaded comment; however, any edits to it will get removed if the file is opened in a newer version of Excel. Learn more: https://go.microsoft.com/fwlink/?linkid=870924
Comment:
    Q2 guide - LSD growth in CC
Q1 guide - opex growth to moderate materially through the year</t>
      </text>
    </comment>
    <comment ref="AI39" authorId="18" shapeId="0" xr:uid="{12C32A32-AA93-401A-A48D-6FBA6A5DD6B3}">
      <text>
        <t>[Threaded comment]
Your version of Excel allows you to read this threaded comment; however, any edits to it will get removed if the file is opened in a newer version of Excel. Learn more: https://go.microsoft.com/fwlink/?linkid=870924
Comment:
    Q3 guide of no FX impact on opex growth</t>
      </text>
    </comment>
    <comment ref="AN47" authorId="19" shapeId="0" xr:uid="{97D0B22F-0137-4524-A03C-72FC19E83F3A}">
      <text>
        <t>[Threaded comment]
Your version of Excel allows you to read this threaded comment; however, any edits to it will get removed if the file is opened in a newer version of Excel. Learn more: https://go.microsoft.com/fwlink/?linkid=870924
Comment:
    Includes 1B of ATVI deal costs</t>
      </text>
    </comment>
    <comment ref="BN52" authorId="20" shapeId="0" xr:uid="{9A6F7DBD-06F6-47D0-9349-4E465C09090E}">
      <text>
        <t>[Threaded comment]
Your version of Excel allows you to read this threaded comment; however, any edits to it will get removed if the file is opened in a newer version of Excel. Learn more: https://go.microsoft.com/fwlink/?linkid=870924
Comment:
    Q1 guide - EBIT margins to decline ~1ppt</t>
      </text>
    </comment>
    <comment ref="B58" authorId="21" shapeId="0" xr:uid="{C483DB4D-9C4B-4739-A87A-285DFA2EB5BC}">
      <text>
        <t>[Threaded comment]
Your version of Excel allows you to read this threaded comment; however, any edits to it will get removed if the file is opened in a newer version of Excel. Learn more: https://go.microsoft.com/fwlink/?linkid=870924
Comment:
    Q4 FY20 earnings call: Now before we turn to our outlook, I'd like to update you on a change in accounting estimate to the useful life of server and networking equipment assets in our cloud infrastructure. Effective at the start of fiscal year '21, we are extending the depreciable life for these assets to 4 years, which will apply to the asset balances on our balance sheet as of June 30, 2020, as well as future asset purchases. This change will not impact historical depreciation expense, the total depreciation expense over the life of the asset or cash flow, but it will impact the timing of depreciation expense in the future for these assets.
 As a result, based on the outstanding balances as of June 30, we expect fiscal year '21 operating income to be favorably impacted by approximately $900 million in the first quarter and approximately $2.7 billion for the full fiscal year. This has been included in the guidance we'll provide on today's call, and you will find additional details on the mechanics of the change in our earnings material</t>
      </text>
    </comment>
    <comment ref="X58" authorId="22" shapeId="0" xr:uid="{C3D9752B-44FF-4E67-BB6C-0D9A75137CC8}">
      <text>
        <t>[Threaded comment]
Your version of Excel allows you to read this threaded comment; however, any edits to it will get removed if the file is opened in a newer version of Excel. Learn more: https://go.microsoft.com/fwlink/?linkid=870924
Comment:
    "And operating margins expanded 4 points yearover-year to 43%, including roughly 2 points of favorable impact from the change in accounting estimate."</t>
      </text>
    </comment>
    <comment ref="Y58" authorId="23" shapeId="0" xr:uid="{6809C394-527A-4D13-99B6-6644CF333E09}">
      <text>
        <t>[Threaded comment]
Your version of Excel allows you to read this threaded comment; however, any edits to it will get removed if the file is opened in a newer version of Excel. Learn more: https://go.microsoft.com/fwlink/?linkid=870924
Comment:
    "Operating income increased 29% and 26% in constant currency, and operating margins expanded 4 points
year-over-year to 42%, including roughly 2 points of favorable impact from the change in accounting
estimate"</t>
      </text>
    </comment>
    <comment ref="Z58" authorId="24" shapeId="0" xr:uid="{C63893AF-80C2-495A-AC7F-F1DECCF6328A}">
      <text>
        <t>[Threaded comment]
Your version of Excel allows you to read this threaded comment; however, any edits to it will get removed if the file is opened in a newer version of Excel. Learn more: https://go.microsoft.com/fwlink/?linkid=870924
Comment:
    "Year-over-year growth in operating expense includes roughly 2 points of impact from continued COVIDrelated savings. Operating income increased 31% and 27% in constant currency, and operating margins
expanded 4 points year-over-year to 41%, including nearly 2 points of favorable impact from the change
in accounting estimate"</t>
      </text>
    </comment>
    <comment ref="AA58" authorId="25" shapeId="0" xr:uid="{AC52CA9D-B09A-41DF-B9F2-40A16CA0E496}">
      <text>
        <t>[Threaded comment]
Your version of Excel allows you to read this threaded comment; however, any edits to it will get removed if the file is opened in a newer version of Excel. Learn more: https://go.microsoft.com/fwlink/?linkid=870924
Comment:
    "Operating income increased 42% and 35% in constant currency, and operating margins expanded 6 points year-over-year to 41%, including roughly 2 points of impact from the retail stores charge and increase in bad debt expense in the prior year and nearly 1 point of favorable impact from the change in accounting estimate"</t>
      </text>
    </comment>
    <comment ref="AB58" authorId="26" shapeId="0" xr:uid="{21A9C06B-6014-4F2F-962A-409C6C0D809C}">
      <text>
        <t>[Threaded comment]
Your version of Excel allows you to read this threaded comment; however, any edits to it will get removed if the file is opened in a newer version of Excel. Learn more: https://go.microsoft.com/fwlink/?linkid=870924
Comment:
    "Operating income increased 27% and 24% in constant currency, and operating margins expanded 2 points year-over-year to 45%. Excluding the impact of the change in accounting estimate, operating margins expanded roughly 4 points year-over-year."</t>
      </text>
    </comment>
    <comment ref="AC58" authorId="27" shapeId="0" xr:uid="{7DAA0DF8-66F3-41CA-8029-77910CBF5BEF}">
      <text>
        <t>[Threaded comment]
Your version of Excel allows you to read this threaded comment; however, any edits to it will get removed if the file is opened in a newer version of Excel. Learn more: https://go.microsoft.com/fwlink/?linkid=870924
Comment:
    "Operating income increased 24% and operating margins expanded 1 point year-over-year to 43%. Excluding the impact of the change in accounting estimate, operating margins expanded roughly 3 points year-over-year."</t>
      </text>
    </comment>
    <comment ref="AH58" authorId="28" shapeId="0" xr:uid="{F41BBB2E-CF7E-4CD1-85C8-747CD3ECB950}">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I58" authorId="29" shapeId="0" xr:uid="{119432E9-17B4-42B0-BED9-A2D59C7B0738}">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H60" authorId="30" shapeId="0" xr:uid="{7BDDF774-BE0D-4AC9-8F5E-CE20875283A6}">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
      </text>
    </comment>
    <comment ref="AI60" authorId="31" shapeId="0" xr:uid="{649592A7-F42C-4A2C-9491-D5A88268BF3A}">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
      </text>
    </comment>
    <comment ref="AH61" authorId="32" shapeId="0" xr:uid="{ADE922F7-3D6B-4968-B687-08625096A464}">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 ref="AI61" authorId="33" shapeId="0" xr:uid="{B9DA14C8-AE97-4D5E-A0C3-636B4DF979BA}">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 ref="BN61" authorId="34" shapeId="0" xr:uid="{BE797D14-A9F0-4BB5-B456-E3B8CCFCB4D3}">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 ref="Z85" authorId="35" shapeId="0" xr:uid="{F2CECCAB-ACF5-4202-A5BF-FD0AF958D66B}">
      <text>
        <t>[Threaded comment]
Your version of Excel allows you to read this threaded comment; however, any edits to it will get removed if the file is opened in a newer version of Excel. Learn more: https://go.microsoft.com/fwlink/?linkid=870924
Comment:
    D&amp;A change means 900M less Q1 and 2.7B less in FY21</t>
      </text>
    </comment>
    <comment ref="AA85" authorId="36" shapeId="0" xr:uid="{A197E2F0-EC52-46B8-99BE-F952D5FF21ED}">
      <text>
        <t>[Threaded comment]
Your version of Excel allows you to read this threaded comment; however, any edits to it will get removed if the file is opened in a newer version of Excel. Learn more: https://go.microsoft.com/fwlink/?linkid=870924
Comment:
    D&amp;A change means 900M less Q1 and 2.7B less in FY21</t>
      </text>
    </comment>
    <comment ref="AF85" authorId="37" shapeId="0" xr:uid="{60D051EE-5BD9-42F2-AFFF-74345913620F}">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G85" authorId="38" shapeId="0" xr:uid="{DD073FED-4631-412F-BB32-BE12DF260871}">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H85" authorId="39" shapeId="0" xr:uid="{A98F01C4-16DE-4A04-8485-F0048262A296}">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I85" authorId="40" shapeId="0" xr:uid="{F1C44B2D-A037-4998-959F-D186FC9F5930}">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BL85" authorId="41" shapeId="0" xr:uid="{EC7F1674-E69A-4306-AD93-2825A8B797C8}">
      <text>
        <t>[Threaded comment]
Your version of Excel allows you to read this threaded comment; however, any edits to it will get removed if the file is opened in a newer version of Excel. Learn more: https://go.microsoft.com/fwlink/?linkid=870924
Comment:
    D&amp;A change means 900M less Q1 and 2.7B less in FY21</t>
      </text>
    </comment>
    <comment ref="AD106" authorId="42" shapeId="0" xr:uid="{3549B366-A8EE-4F9A-BFCA-85289DAE846F}">
      <text>
        <t>[Threaded comment]
Your version of Excel allows you to read this threaded comment; however, any edits to it will get removed if the file is opened in a newer version of Excel. Learn more: https://go.microsoft.com/fwlink/?linkid=870924
Comment:
    "And, on a dollar basis, we expect capital expenditures to be slightly down sequentially with normal quarterly variability in the timing of cloud infrastructure buildout." Q2 Call</t>
      </text>
    </comment>
    <comment ref="AE106" authorId="43" shapeId="0" xr:uid="{AE475268-E05B-4DCE-AE09-95A63DCBAEC1}">
      <text>
        <t>[Threaded comment]
Your version of Excel allows you to read this threaded comment; however, any edits to it will get removed if the file is opened in a newer version of Excel. Learn more: https://go.microsoft.com/fwlink/?linkid=870924
Comment:
    "Capital expenditures, we expect a sequential increase on a dollar basis as we continue to invest to meet growing global demand for our cloud services"</t>
      </text>
    </comment>
    <comment ref="AF106" authorId="44" shapeId="0" xr:uid="{FDED9A05-1939-4634-898F-89D6B8DFF2B9}">
      <text>
        <t>[Threaded comment]
Your version of Excel allows you to read this threaded comment; however, any edits to it will get removed if the file is opened in a newer version of Excel. Learn more: https://go.microsoft.com/fwlink/?linkid=870924
Comment:
    4Q22 call: "In capital expenditures, we expect a sequential decrease on a dollar basis with normal quarterly spend variability in the timing of our cloud infrastructure buildout."</t>
      </text>
    </comment>
    <comment ref="AG106" authorId="45" shapeId="0" xr:uid="{4FE7B39A-A01C-4108-AD60-3FB3D22185A1}">
      <text>
        <t>[Threaded comment]
Your version of Excel allows you to read this threaded comment; however, any edits to it will get removed if the file is opened in a newer version of Excel. Learn more: https://go.microsoft.com/fwlink/?linkid=870924
Comment:
    Q1 guide of sequential decrease</t>
      </text>
    </comment>
    <comment ref="AH111" authorId="46" shapeId="0" xr:uid="{4BC7CE88-8F78-442E-A233-E5DBAAE5CB6A}">
      <text>
        <t xml:space="preserve">[Threaded comment]
Your version of Excel allows you to read this threaded comment; however, any edits to it will get removed if the file is opened in a newer version of Excel. Learn more: https://go.microsoft.com/fwlink/?linkid=870924
Comment:
    In capital expenditures, we expect a sequential increase on a dollar basis with normal quarterly spend variability in the timing of our cloud infrastructure buildout </t>
      </text>
    </comment>
    <comment ref="AI111" authorId="47" shapeId="0" xr:uid="{925C8706-9C4D-4599-86BD-7BFB20B1BA29}">
      <text>
        <t xml:space="preserve">[Threaded comment]
Your version of Excel allows you to read this threaded comment; however, any edits to it will get removed if the file is opened in a newer version of Excel. Learn more: https://go.microsoft.com/fwlink/?linkid=870924
Comment:
    Q3 call: We expect capital expenditures to have a material sequential increase on a dollar basis </t>
      </text>
    </comment>
    <comment ref="AL111" authorId="48" shapeId="0" xr:uid="{2D84EC84-7715-479A-84F2-6DC0BF1410E3}">
      <text>
        <t xml:space="preserve">[Threaded comment]
Your version of Excel allows you to read this threaded comment; however, any edits to it will get removed if the file is opened in a newer version of Excel. Learn more: https://go.microsoft.com/fwlink/?linkid=870924
Comment:
    Q2 call: We expect capital expenditures to increase materially on a sequential basis, driven by investments in our cloud and AI infrastructure and the slip of a delivery date from Q2 to Q3 from a third-party provider noted earlier. As a reminder, there can be normal quarterly spend variability in the timing of our cloud infrastructure build-out </t>
      </text>
    </comment>
    <comment ref="W148" authorId="49" shapeId="0" xr:uid="{17C67246-C2FF-4E39-A15D-DB819C50912A}">
      <text>
        <t>[Threaded comment]
Your version of Excel allows you to read this threaded comment; however, any edits to it will get removed if the file is opened in a newer version of Excel. Learn more: https://go.microsoft.com/fwlink/?linkid=870924
Comment:
    11.65-11.95 guide</t>
      </text>
    </comment>
    <comment ref="X148" authorId="50" shapeId="0" xr:uid="{159149FB-FDDE-479C-AAA6-3C8663D8398F}">
      <text>
        <t>[Threaded comment]
Your version of Excel allows you to read this threaded comment; however, any edits to it will get removed if the file is opened in a newer version of Excel. Learn more: https://go.microsoft.com/fwlink/?linkid=870924
Comment:
    11.65-11.90 Q4 guide</t>
      </text>
    </comment>
    <comment ref="Y148" authorId="51" shapeId="0" xr:uid="{F1FB888E-B62D-403D-BDDB-5119CF80C0A0}">
      <text>
        <t>[Threaded comment]
Your version of Excel allows you to read this threaded comment; however, any edits to it will get removed if the file is opened in a newer version of Excel. Learn more: https://go.microsoft.com/fwlink/?linkid=870924
Comment:
    $12.75-13 Q1 guide</t>
      </text>
    </comment>
    <comment ref="Z148" authorId="52" shapeId="0" xr:uid="{39921FC8-9610-4A9F-8C95-EDC125651A6A}">
      <text>
        <t>[Threaded comment]
Your version of Excel allows you to read this threaded comment; however, any edits to it will get removed if the file is opened in a newer version of Excel. Learn more: https://go.microsoft.com/fwlink/?linkid=870924
Comment:
    Q1 guide of 13.35-13.6</t>
      </text>
    </comment>
    <comment ref="AA148" authorId="53" shapeId="0" xr:uid="{0199869F-0275-4255-AC81-765B6B87EDEB}">
      <text>
        <t>[Threaded comment]
Your version of Excel allows you to read this threaded comment; however, any edits to it will get removed if the file is opened in a newer version of Excel. Learn more: https://go.microsoft.com/fwlink/?linkid=870924
Comment:
    Q3 guide of 13.8-14.05</t>
      </text>
    </comment>
    <comment ref="AB148" authorId="54" shapeId="0" xr:uid="{5BA45022-B214-42AA-9968-537DA625E0BD}">
      <text>
        <t>[Threaded comment]
Your version of Excel allows you to read this threaded comment; however, any edits to it will get removed if the file is opened in a newer version of Excel. Learn more: https://go.microsoft.com/fwlink/?linkid=870924
Comment:
    Q4 guide of 14.5-14.75</t>
      </text>
    </comment>
    <comment ref="AC148" authorId="55" shapeId="0" xr:uid="{3A3213AD-E6BF-4E5F-8A06-FF607E9ED65E}">
      <text>
        <t>[Threaded comment]
Your version of Excel allows you to read this threaded comment; however, any edits to it will get removed if the file is opened in a newer version of Excel. Learn more: https://go.microsoft.com/fwlink/?linkid=870924
Comment:
    Q1 guide of 15.7-15.95</t>
      </text>
    </comment>
    <comment ref="AD148" authorId="56" shapeId="0" xr:uid="{6CE095D5-DB2E-42A1-A44F-A2B7A71A9520}">
      <text>
        <t>[Threaded comment]
Your version of Excel allows you to read this threaded comment; however, any edits to it will get removed if the file is opened in a newer version of Excel. Learn more: https://go.microsoft.com/fwlink/?linkid=870924
Comment:
    Q2 Guide of 15.6-15.85</t>
      </text>
    </comment>
    <comment ref="AE148" authorId="57" shapeId="0" xr:uid="{9549F028-C06A-4BE2-B67F-BCDE172C29BC}">
      <text>
        <t>[Threaded comment]
Your version of Excel allows you to read this threaded comment; however, any edits to it will get removed if the file is opened in a newer version of Excel. Learn more: https://go.microsoft.com/fwlink/?linkid=870924
Comment:
    Q3 Guide of 16.65-16.90;
Updated 6.2.22 guide of 16.48-16.73</t>
      </text>
    </comment>
    <comment ref="AF148" authorId="58" shapeId="0" xr:uid="{851725EB-A30A-4D48-81A2-C3292345C0E3}">
      <text>
        <t>[Threaded comment]
Your version of Excel allows you to read this threaded comment; however, any edits to it will get removed if the file is opened in a newer version of Excel. Learn more: https://go.microsoft.com/fwlink/?linkid=870924
Comment:
    Q4 Guide of 15.96-16.25</t>
      </text>
    </comment>
    <comment ref="AG148" authorId="59" shapeId="0" xr:uid="{5339DCA6-9F42-4AB3-86A7-C91790E0D35B}">
      <text>
        <t>[Threaded comment]
Your version of Excel allows you to read this threaded comment; however, any edits to it will get removed if the file is opened in a newer version of Excel. Learn more: https://go.microsoft.com/fwlink/?linkid=870924
Comment:
    Q1 guide 16.6-16.9</t>
      </text>
    </comment>
    <comment ref="AH148" authorId="60" shapeId="0" xr:uid="{554736C5-5995-4666-8CAE-56492CDB40AD}">
      <text>
        <t>[Threaded comment]
Your version of Excel allows you to read this threaded comment; however, any edits to it will get removed if the file is opened in a newer version of Excel. Learn more: https://go.microsoft.com/fwlink/?linkid=870924
Comment:
    Q2 guide 16.9-17.2</t>
      </text>
    </comment>
    <comment ref="AI148" authorId="61" shapeId="0" xr:uid="{3B48BC2B-37F8-4CA5-8EC5-4F71F00B4C3D}">
      <text>
        <t>[Threaded comment]
Your version of Excel allows you to read this threaded comment; however, any edits to it will get removed if the file is opened in a newer version of Excel. Learn more: https://go.microsoft.com/fwlink/?linkid=870924
Comment:
    Q3 guide 17.9-18.2</t>
      </text>
    </comment>
    <comment ref="AJ148" authorId="62" shapeId="0" xr:uid="{8634CFF2-2EBF-4B37-9B15-AF5C9A2092B5}">
      <text>
        <t>[Threaded comment]
Your version of Excel allows you to read this threaded comment; however, any edits to it will get removed if the file is opened in a newer version of Excel. Learn more: https://go.microsoft.com/fwlink/?linkid=870924
Comment:
    Q4 guide 18.0-18.3</t>
      </text>
    </comment>
    <comment ref="AK148" authorId="63" shapeId="0" xr:uid="{63ECFAA4-F9BF-45C6-8AFE-2974ADEA102E}">
      <text>
        <t>[Threaded comment]
Your version of Excel allows you to read this threaded comment; however, any edits to it will get removed if the file is opened in a newer version of Excel. Learn more: https://go.microsoft.com/fwlink/?linkid=870924
Comment:
    Q1 guide 18.8-19.1</t>
      </text>
    </comment>
    <comment ref="AL148" authorId="64" shapeId="0" xr:uid="{3025E75C-475B-40F8-805D-92CBDAAC8518}">
      <text>
        <t>[Threaded comment]
Your version of Excel allows you to read this threaded comment; however, any edits to it will get removed if the file is opened in a newer version of Excel. Learn more: https://go.microsoft.com/fwlink/?linkid=870924
Comment:
    Q2 guide 19.3-19.6</t>
      </text>
    </comment>
    <comment ref="AM148" authorId="65" shapeId="0" xr:uid="{1A040C9B-22A0-4521-AAE3-98284A459A6C}">
      <text>
        <t>[Threaded comment]
Your version of Excel allows you to read this threaded comment; however, any edits to it will get removed if the file is opened in a newer version of Excel. Learn more: https://go.microsoft.com/fwlink/?linkid=870924
Comment:
    Q3 guide 19.9-20.2</t>
      </text>
    </comment>
    <comment ref="AN148" authorId="66" shapeId="0" xr:uid="{5AC0A2F0-B9B2-478A-B882-D5E27C800655}">
      <text>
        <t>[Threaded comment]
Your version of Excel allows you to read this threaded comment; however, any edits to it will get removed if the file is opened in a newer version of Excel. Learn more: https://go.microsoft.com/fwlink/?linkid=870924
Comment:
    Q4 guide 20.3-20.6</t>
      </text>
    </comment>
    <comment ref="W149" authorId="67" shapeId="0" xr:uid="{EB1E5059-A7ED-4001-BF49-0BB918E4D177}">
      <text>
        <t>[Threaded comment]
Your version of Excel allows you to read this threaded comment; however, any edits to it will get removed if the file is opened in a newer version of Excel. Learn more: https://go.microsoft.com/fwlink/?linkid=870924
Comment:
    12.9-13.15 guide</t>
      </text>
    </comment>
    <comment ref="X149" authorId="68" shapeId="0" xr:uid="{2C5D6C16-77CB-4A9F-AFAE-DEE2B09D290E}">
      <text>
        <t>[Threaded comment]
Your version of Excel allows you to read this threaded comment; however, any edits to it will get removed if the file is opened in a newer version of Excel. Learn more: https://go.microsoft.com/fwlink/?linkid=870924
Comment:
    12.55-12.80 Q4 guide</t>
      </text>
    </comment>
    <comment ref="Y149" authorId="69" shapeId="0" xr:uid="{3C311589-3136-4371-ADD8-1BE1D5D44D4D}">
      <text>
        <t>[Threaded comment]
Your version of Excel allows you to read this threaded comment; however, any edits to it will get removed if the file is opened in a newer version of Excel. Learn more: https://go.microsoft.com/fwlink/?linkid=870924
Comment:
    $13.55-13.8 Q1 guide</t>
      </text>
    </comment>
    <comment ref="Z149" authorId="70" shapeId="0" xr:uid="{169CF63E-77F1-465F-AFFE-117355FC5801}">
      <text>
        <t>[Threaded comment]
Your version of Excel allows you to read this threaded comment; however, any edits to it will get removed if the file is opened in a newer version of Excel. Learn more: https://go.microsoft.com/fwlink/?linkid=870924
Comment:
    Q1 guide of 14.7-14.95</t>
      </text>
    </comment>
    <comment ref="AA149" authorId="71" shapeId="0" xr:uid="{2FA29D50-945C-45B1-94A5-DC273577AB6D}">
      <text>
        <t>[Threaded comment]
Your version of Excel allows you to read this threaded comment; however, any edits to it will get removed if the file is opened in a newer version of Excel. Learn more: https://go.microsoft.com/fwlink/?linkid=870924
Comment:
    Q3 guide of 16.2-16.45</t>
      </text>
    </comment>
    <comment ref="AB149" authorId="72" shapeId="0" xr:uid="{4FE9C3E6-5703-4A8B-82B6-F0ED706435B4}">
      <text>
        <t>[Threaded comment]
Your version of Excel allows you to read this threaded comment; however, any edits to it will get removed if the file is opened in a newer version of Excel. Learn more: https://go.microsoft.com/fwlink/?linkid=870924
Comment:
    Q4 guide of 16.4-16.65</t>
      </text>
    </comment>
    <comment ref="AC149" authorId="73" shapeId="0" xr:uid="{F96F8D84-B644-4767-84BA-D51B88FB26DB}">
      <text>
        <t>[Threaded comment]
Your version of Excel allows you to read this threaded comment; however, any edits to it will get removed if the file is opened in a newer version of Excel. Learn more: https://go.microsoft.com/fwlink/?linkid=870924
Comment:
    Q1 guide of 18.1-18.35</t>
      </text>
    </comment>
    <comment ref="AD149" authorId="74" shapeId="0" xr:uid="{5970214F-E8ED-4821-97D0-D0ED5E895F8B}">
      <text>
        <t>[Threaded comment]
Your version of Excel allows you to read this threaded comment; however, any edits to it will get removed if the file is opened in a newer version of Excel. Learn more: https://go.microsoft.com/fwlink/?linkid=870924
Comment:
    Q2 Guide of 18.75-19.0</t>
      </text>
    </comment>
    <comment ref="AE149" authorId="75" shapeId="0" xr:uid="{D3419850-CB8E-49C4-B5F5-075B34D6D5D7}">
      <text>
        <t>[Threaded comment]
Your version of Excel allows you to read this threaded comment; however, any edits to it will get removed if the file is opened in a newer version of Excel. Learn more: https://go.microsoft.com/fwlink/?linkid=870924
Comment:
    Q3 Guide of 21.10-21.35;
updated 6.2.22 guide of 20.92-21.17</t>
      </text>
    </comment>
    <comment ref="AF149" authorId="76" shapeId="0" xr:uid="{62EAF508-B7E4-4608-8337-CCB83D3408C0}">
      <text>
        <t>[Threaded comment]
Your version of Excel allows you to read this threaded comment; however, any edits to it will get removed if the file is opened in a newer version of Excel. Learn more: https://go.microsoft.com/fwlink/?linkid=870924
Comment:
    Q4 Guide of 20.3-20.6; revised 20.2-20.5 after FY23e investor metrics reallocate HoloLens</t>
      </text>
    </comment>
    <comment ref="AG149" authorId="77" shapeId="0" xr:uid="{8CD57D4E-44E1-4AAA-BF7D-8421E58459E2}">
      <text>
        <t>[Threaded comment]
Your version of Excel allows you to read this threaded comment; however, any edits to it will get removed if the file is opened in a newer version of Excel. Learn more: https://go.microsoft.com/fwlink/?linkid=870924
Comment:
    Q1 guide 21.25-21.55</t>
      </text>
    </comment>
    <comment ref="AH149" authorId="78" shapeId="0" xr:uid="{82365E60-DEF0-4509-BCEE-41C43E6FB73A}">
      <text>
        <t>[Threaded comment]
Your version of Excel allows you to read this threaded comment; however, any edits to it will get removed if the file is opened in a newer version of Excel. Learn more: https://go.microsoft.com/fwlink/?linkid=870924
Comment:
    Q2 guide 21.7-22.0</t>
      </text>
    </comment>
    <comment ref="AI149" authorId="79" shapeId="0" xr:uid="{FB0B37B1-379C-4079-93BB-802CDE06935B}">
      <text>
        <t>[Threaded comment]
Your version of Excel allows you to read this threaded comment; however, any edits to it will get removed if the file is opened in a newer version of Excel. Learn more: https://go.microsoft.com/fwlink/?linkid=870924
Comment:
    Q3 guide 23.6-23.9</t>
      </text>
    </comment>
    <comment ref="AJ149" authorId="80" shapeId="0" xr:uid="{2F7AE5C4-D7E4-440D-875A-BF53E9059A30}">
      <text>
        <t>[Threaded comment]
Your version of Excel allows you to read this threaded comment; however, any edits to it will get removed if the file is opened in a newer version of Excel. Learn more: https://go.microsoft.com/fwlink/?linkid=870924
Comment:
    Q4 guide 23.3-23.6</t>
      </text>
    </comment>
    <comment ref="AK149" authorId="81" shapeId="0" xr:uid="{B84FFBB7-8420-475F-AF59-6771F9EAC7B3}">
      <text>
        <t>[Threaded comment]
Your version of Excel allows you to read this threaded comment; however, any edits to it will get removed if the file is opened in a newer version of Excel. Learn more: https://go.microsoft.com/fwlink/?linkid=870924
Comment:
    Q1 guide 25.1-25.4</t>
      </text>
    </comment>
    <comment ref="AL149" authorId="82" shapeId="0" xr:uid="{B9E90561-FEFF-4F8E-BBA8-8D720C0D0500}">
      <text>
        <t>[Threaded comment]
Your version of Excel allows you to read this threaded comment; however, any edits to it will get removed if the file is opened in a newer version of Excel. Learn more: https://go.microsoft.com/fwlink/?linkid=870924
Comment:
    Q2 guide 26.0-26.3</t>
      </text>
    </comment>
    <comment ref="AM149" authorId="83" shapeId="0" xr:uid="{9C7115EF-65D9-4F41-834C-3B5AF01A0F70}">
      <text>
        <t>[Threaded comment]
Your version of Excel allows you to read this threaded comment; however, any edits to it will get removed if the file is opened in a newer version of Excel. Learn more: https://go.microsoft.com/fwlink/?linkid=870924
Comment:
    Q3 guide 28.4-28.7</t>
      </text>
    </comment>
    <comment ref="AN149" authorId="84" shapeId="0" xr:uid="{A93FF644-D47B-4F82-9E5D-60DB2E610972}">
      <text>
        <t>[Threaded comment]
Your version of Excel allows you to read this threaded comment; however, any edits to it will get removed if the file is opened in a newer version of Excel. Learn more: https://go.microsoft.com/fwlink/?linkid=870924
Comment:
    Q4 guide 28.6-28.9</t>
      </text>
    </comment>
    <comment ref="W150" authorId="85" shapeId="0" xr:uid="{2B180CE2-CD14-4C52-9FBD-582848BCDDEE}">
      <text>
        <t>[Threaded comment]
Your version of Excel allows you to read this threaded comment; however, any edits to it will get removed if the file is opened in a newer version of Excel. Learn more: https://go.microsoft.com/fwlink/?linkid=870924
Comment:
    11.3-11.7 guide</t>
      </text>
    </comment>
    <comment ref="X150" authorId="86" shapeId="0" xr:uid="{423C43BF-0BB5-4E3E-9704-DF661089F256}">
      <text>
        <t>[Threaded comment]
Your version of Excel allows you to read this threaded comment; however, any edits to it will get removed if the file is opened in a newer version of Excel. Learn more: https://go.microsoft.com/fwlink/?linkid=870924
Comment:
    10.95-11.35 Q4 guide</t>
      </text>
    </comment>
    <comment ref="Y150" authorId="87" shapeId="0" xr:uid="{B3351666-2D5F-4B01-908C-6C8CA539E530}">
      <text>
        <t>[Threaded comment]
Your version of Excel allows you to read this threaded comment; however, any edits to it will get removed if the file is opened in a newer version of Excel. Learn more: https://go.microsoft.com/fwlink/?linkid=870924
Comment:
    $13.2-13.6 Q1 guide</t>
      </text>
    </comment>
    <comment ref="Z150" authorId="88" shapeId="0" xr:uid="{B72E91DE-0D22-48BC-A4B8-97CD50869B10}">
      <text>
        <t>[Threaded comment]
Your version of Excel allows you to read this threaded comment; however, any edits to it will get removed if the file is opened in a newer version of Excel. Learn more: https://go.microsoft.com/fwlink/?linkid=870924
Comment:
    Q1 guide of 12.3-12.7</t>
      </text>
    </comment>
    <comment ref="AA150" authorId="89" shapeId="0" xr:uid="{7EC46D6E-7BFB-412D-B24C-81FA00271491}">
      <text>
        <t>[Threaded comment]
Your version of Excel allows you to read this threaded comment; however, any edits to it will get removed if the file is opened in a newer version of Excel. Learn more: https://go.microsoft.com/fwlink/?linkid=870924
Comment:
    Q3 guide of 13.6-14.0</t>
      </text>
    </comment>
    <comment ref="AB150" authorId="90" shapeId="0" xr:uid="{119823E9-53F0-4172-8123-8C3C9CFB592C}">
      <text>
        <t>[Threaded comment]
Your version of Excel allows you to read this threaded comment; however, any edits to it will get removed if the file is opened in a newer version of Excel. Learn more: https://go.microsoft.com/fwlink/?linkid=870924
Comment:
    Q4 guide of 12.4-12.8</t>
      </text>
    </comment>
    <comment ref="AC150" authorId="91" shapeId="0" xr:uid="{C1CEFE63-AF9B-4099-8C84-3796882DA414}">
      <text>
        <t>[Threaded comment]
Your version of Excel allows you to read this threaded comment; however, any edits to it will get removed if the file is opened in a newer version of Excel. Learn more: https://go.microsoft.com/fwlink/?linkid=870924
Comment:
    Q1 guide of 16.35-16.75</t>
      </text>
    </comment>
    <comment ref="AD150" authorId="92" shapeId="0" xr:uid="{82F9CDC3-1E33-47CD-8A3B-2F578149F380}">
      <text>
        <t>[Threaded comment]
Your version of Excel allows you to read this threaded comment; however, any edits to it will get removed if the file is opened in a newer version of Excel. Learn more: https://go.microsoft.com/fwlink/?linkid=870924
Comment:
    Q2 Guide of 14.15-14.45</t>
      </text>
    </comment>
    <comment ref="AE150" authorId="93" shapeId="0" xr:uid="{23DA28FB-F44E-45BA-B7BA-A0A057E9DC03}">
      <text>
        <t>[Threaded comment]
Your version of Excel allows you to read this threaded comment; however, any edits to it will get removed if the file is opened in a newer version of Excel. Learn more: https://go.microsoft.com/fwlink/?linkid=870924
Comment:
    Q3 Guide of 14.65-14.95; 
updated 6.2.22 guide of 14.54-14.84</t>
      </text>
    </comment>
    <comment ref="AF150" authorId="94" shapeId="0" xr:uid="{FCC995E8-575B-4CEA-9570-F119CD0D4660}">
      <text>
        <t>[Threaded comment]
Your version of Excel allows you to read this threaded comment; however, any edits to it will get removed if the file is opened in a newer version of Excel. Learn more: https://go.microsoft.com/fwlink/?linkid=870924
Comment:
    Q4 Guide of 13.0-13.4; revised 13.1-13.5 after FY23e investor metrics reallocate HoloLens</t>
      </text>
    </comment>
    <comment ref="AG150" authorId="95" shapeId="0" xr:uid="{3F38A7FF-B11B-4128-9FAE-295C4389DFF6}">
      <text>
        <t>[Threaded comment]
Your version of Excel allows you to read this threaded comment; however, any edits to it will get removed if the file is opened in a newer version of Excel. Learn more: https://go.microsoft.com/fwlink/?linkid=870924
Comment:
    Q1 guide 14.5-14.9</t>
      </text>
    </comment>
    <comment ref="AH150" authorId="96" shapeId="0" xr:uid="{E11D095A-4274-4723-B87F-2AD6EB53B324}">
      <text>
        <t>[Threaded comment]
Your version of Excel allows you to read this threaded comment; however, any edits to it will get removed if the file is opened in a newer version of Excel. Learn more: https://go.microsoft.com/fwlink/?linkid=870924
Comment:
    Q2 guide 11.9-12.3</t>
      </text>
    </comment>
    <comment ref="AI150" authorId="97" shapeId="0" xr:uid="{91F508C9-E291-433D-AD38-287E09F7019F}">
      <text>
        <t>[Threaded comment]
Your version of Excel allows you to read this threaded comment; however, any edits to it will get removed if the file is opened in a newer version of Excel. Learn more: https://go.microsoft.com/fwlink/?linkid=870924
Comment:
    Q3 guide 13.35-13.75</t>
      </text>
    </comment>
    <comment ref="AJ150" authorId="98" shapeId="0" xr:uid="{126E8A4B-3827-4D60-A568-79C78AE1B50E}">
      <text>
        <t>[Threaded comment]
Your version of Excel allows you to read this threaded comment; however, any edits to it will get removed if the file is opened in a newer version of Excel. Learn more: https://go.microsoft.com/fwlink/?linkid=870924
Comment:
    Q4 guide 12.5-12.9</t>
      </text>
    </comment>
    <comment ref="AK150" authorId="99" shapeId="0" xr:uid="{7CD7C127-E8C9-4FE3-887D-6D7D120EC35B}">
      <text>
        <t>[Threaded comment]
Your version of Excel allows you to read this threaded comment; however, any edits to it will get removed if the file is opened in a newer version of Excel. Learn more: https://go.microsoft.com/fwlink/?linkid=870924
Comment:
    Q1 guide 16.5-16.9</t>
      </text>
    </comment>
    <comment ref="AL150" authorId="100" shapeId="0" xr:uid="{38D5A870-1C3F-47C7-BE0F-A9EC3D639967}">
      <text>
        <t>[Threaded comment]
Your version of Excel allows you to read this threaded comment; however, any edits to it will get removed if the file is opened in a newer version of Excel. Learn more: https://go.microsoft.com/fwlink/?linkid=870924
Comment:
    Q2 guide 14.7-15.1</t>
      </text>
    </comment>
    <comment ref="AM150" authorId="101" shapeId="0" xr:uid="{2BC05321-107C-4431-8643-4BC6E9EC8E59}">
      <text>
        <t>[Threaded comment]
Your version of Excel allows you to read this threaded comment; however, any edits to it will get removed if the file is opened in a newer version of Excel. Learn more: https://go.microsoft.com/fwlink/?linkid=870924
Comment:
    Q3 guide 15.2-15.6</t>
      </text>
    </comment>
    <comment ref="AN150" authorId="102" shapeId="0" xr:uid="{A294FDA8-0005-4ACB-A747-233FBEE1352D}">
      <text>
        <t>[Threaded comment]
Your version of Excel allows you to read this threaded comment; however, any edits to it will get removed if the file is opened in a newer version of Excel. Learn more: https://go.microsoft.com/fwlink/?linkid=870924
Comment:
    Q4 guide 14.9-15.3</t>
      </text>
    </comment>
    <comment ref="AE155" authorId="103" shapeId="0" xr:uid="{AB64590A-8181-4A1E-8E22-736ED5ADA5D2}">
      <text>
        <t>[Threaded comment]
Your version of Excel allows you to read this threaded comment; however, any edits to it will get removed if the file is opened in a newer version of Excel. Learn more: https://go.microsoft.com/fwlink/?linkid=870924
Comment:
    10.27.21 - gradually reduce off Q3 three year stack level</t>
      </text>
    </comment>
    <comment ref="AF155" authorId="104" shapeId="0" xr:uid="{C7B0B29E-F0BD-49C3-81A0-E5F134A7C946}">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G155" authorId="105" shapeId="0" xr:uid="{B0F3BAD2-E896-46E7-B808-929778ECB3E5}">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D156" authorId="106" shapeId="0" xr:uid="{5E0EE1F7-2B46-487C-BFF4-059C7B993F7F}">
      <text>
        <t>[Threaded comment]
Your version of Excel allows you to read this threaded comment; however, any edits to it will get removed if the file is opened in a newer version of Excel. Learn more: https://go.microsoft.com/fwlink/?linkid=870924
Comment:
    Adding 350 per quarter for NUAN (only March in FQ3)</t>
      </text>
    </comment>
    <comment ref="AE156" authorId="107" shapeId="0" xr:uid="{4E40657B-E3B4-4207-8EC7-35231709C283}">
      <text>
        <t>[Threaded comment]
Your version of Excel allows you to read this threaded comment; however, any edits to it will get removed if the file is opened in a newer version of Excel. Learn more: https://go.microsoft.com/fwlink/?linkid=870924
Comment:
    10.27.21 - gradually reduce off Q3 three year stack level</t>
      </text>
    </comment>
    <comment ref="AF156" authorId="108" shapeId="0" xr:uid="{ECD5094A-81E9-416A-9708-80AC57073844}">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G156" authorId="109" shapeId="0" xr:uid="{DC160D33-A66A-4BA0-8705-8DD610FFFA43}">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E157" authorId="110" shapeId="0" xr:uid="{F92F7468-363B-44B2-ABEE-E8CAB3DB1ADD}">
      <text>
        <t>[Threaded comment]
Your version of Excel allows you to read this threaded comment; however, any edits to it will get removed if the file is opened in a newer version of Excel. Learn more: https://go.microsoft.com/fwlink/?linkid=870924
Comment:
    10.27.21 - gradually reduce off Q3 three year stack level</t>
      </text>
    </comment>
    <comment ref="AF157" authorId="111" shapeId="0" xr:uid="{AA241C3D-FEB9-4CC7-BC17-2C80C3B99ED2}">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G157" authorId="112" shapeId="0" xr:uid="{204B2B01-04DB-4797-9E8F-BFF5006BBE22}">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G180" authorId="113" shapeId="0" xr:uid="{1C447D6F-42C3-4977-B91F-A90A05D86931}">
      <text>
        <t>[Threaded comment]
Your version of Excel allows you to read this threaded comment; however, any edits to it will get removed if the file is opened in a newer version of Excel. Learn more: https://go.microsoft.com/fwlink/?linkid=870924
Comment:
    Op Income grew +6% (+17% cc) including 3 points of negative impact from Q2 charge</t>
      </text>
    </comment>
    <comment ref="AG181" authorId="114" shapeId="0" xr:uid="{DA6B8991-559E-44FD-9FFF-37B049F61568}">
      <text>
        <t>[Threaded comment]
Your version of Excel allows you to read this threaded comment; however, any edits to it will get removed if the file is opened in a newer version of Excel. Learn more: https://go.microsoft.com/fwlink/?linkid=870924
Comment:
    Op Income grew +7% (+15% cc) including 7 points of negative impact from Q2 charge</t>
      </text>
    </comment>
    <comment ref="AG182" authorId="115" shapeId="0" xr:uid="{D578B69B-BBA0-4E9F-BB17-F7E4C7B88D85}">
      <text>
        <t>[Threaded comment]
Your version of Excel allows you to read this threaded comment; however, any edits to it will get removed if the file is opened in a newer version of Excel. Learn more: https://go.microsoft.com/fwlink/?linkid=870924
Comment:
    Op Income decreased -47% (-40% cc) including 6 points of negative impact from Q2 charge</t>
      </text>
    </comment>
    <comment ref="X184" authorId="116" shapeId="0" xr:uid="{81F9AE90-997E-4DC6-9DB7-DAE812E82D9C}">
      <text>
        <t>[Threaded comment]
Your version of Excel allows you to read this threaded comment; however, any edits to it will get removed if the file is opened in a newer version of Excel. Learn more: https://go.microsoft.com/fwlink/?linkid=870924
Comment:
    13.7 - 14.3 Q4 implied guide</t>
      </text>
    </comment>
    <comment ref="Z184" authorId="117" shapeId="0" xr:uid="{A0B89729-102D-47C0-8D04-6B92A188E61E}">
      <text>
        <t>[Threaded comment]
Your version of Excel allows you to read this threaded comment; however, any edits to it will get removed if the file is opened in a newer version of Excel. Learn more: https://go.microsoft.com/fwlink/?linkid=870924
Comment:
    Q1 midpoint guide of 15.65</t>
      </text>
    </comment>
    <comment ref="AJ301" authorId="118" shapeId="0" xr:uid="{C5C93D43-584D-4233-9F0F-79B713E3D78C}">
      <text>
        <t>[Threaded comment]
Your version of Excel allows you to read this threaded comment; however, any edits to it will get removed if the file is opened in a newer version of Excel. Learn more: https://go.microsoft.com/fwlink/?linkid=870924
Comment:
    Disclosed as 76.7 in presentation and 18% growth</t>
      </text>
    </comment>
    <comment ref="R306" authorId="119" shapeId="0" xr:uid="{3995CA94-1B51-49C2-BCD2-18E87CBF1BA8}">
      <text>
        <t>[Threaded comment]
Your version of Excel allows you to read this threaded comment; however, any edits to it will get removed if the file is opened in a newer version of Excel. Learn more: https://go.microsoft.com/fwlink/?linkid=870924
Comment:
    MAUs surpassed 180M</t>
      </text>
    </comment>
    <comment ref="AH337" authorId="120" shapeId="0" xr:uid="{606C3099-A90B-42B2-B244-BFA3BD87C016}">
      <text>
        <t xml:space="preserve">[Threaded comment]
Your version of Excel allows you to read this threaded comment; however, any edits to it will get removed if the file is opened in a newer version of Excel. Learn more: https://go.microsoft.com/fwlink/?linkid=870924
Comment:
    In Office Commercial, revenue growth will again be driven by Office 365 with seat growth across customer segments and ARPU growth thru E5. We expect Office 365 revenue growth to be sequentially lower by roughly one point on a constant currency basis. In our on-premises business, we expect revenue to decline in the mid 20s </t>
      </text>
    </comment>
    <comment ref="AH338" authorId="121" shapeId="0" xr:uid="{A4463A9A-EE03-4B06-8653-E9483B5425F8}">
      <text>
        <t xml:space="preserve">[Threaded comment]
Your version of Excel allows you to read this threaded comment; however, any edits to it will get removed if the file is opened in a newer version of Excel. Learn more: https://go.microsoft.com/fwlink/?linkid=870924
Comment:
    In Office consumer, we expect revenue growth in the low-single digits, driven by Microsoft 365 subscriptions. </t>
      </text>
    </comment>
    <comment ref="AH341" authorId="122" shapeId="0" xr:uid="{562B30C3-B8B1-4335-94A8-EF085A6120AD}">
      <text>
        <t xml:space="preserve">[Threaded comment]
Your version of Excel allows you to read this threaded comment; however, any edits to it will get removed if the file is opened in a newer version of Excel. Learn more: https://go.microsoft.com/fwlink/?linkid=870924
Comment:
    LinkedIn and Search will be impacted as ad market spending remains a bit cautious. 
For LinkedIn, we expect mid-single digits revenue growth with continued strong engagement on the platform, although impacted by the advertising trends noted earlier and a slowdown in hiring, particularly in the technology industry where we have significant exposure. </t>
      </text>
    </comment>
    <comment ref="AH342" authorId="123" shapeId="0" xr:uid="{65E53EBD-A2FD-4500-B4BC-DEB9C5A39AD3}">
      <text>
        <t xml:space="preserve">[Threaded comment]
Your version of Excel allows you to read this threaded comment; however, any edits to it will get removed if the file is opened in a newer version of Excel. Learn more: https://go.microsoft.com/fwlink/?linkid=870924
Comment:
    And in Dynamics, we expect revenue growth in the low to mid-teens driven by continued growth in Dynamics 365 which is now over 80 percent of total Dynamics revenue </t>
      </text>
    </comment>
    <comment ref="AI346" authorId="124" shapeId="0" xr:uid="{3CB1448C-8DCF-468A-85B8-6EFB40BBCC75}">
      <text>
        <t>[Threaded comment]
Your version of Excel allows you to read this threaded comment; however, any edits to it will get removed if the file is opened in a newer version of Excel. Learn more: https://go.microsoft.com/fwlink/?linkid=870924
Comment:
    Q3 call: +16% YoY cc</t>
      </text>
    </comment>
    <comment ref="AI347" authorId="125" shapeId="0" xr:uid="{B955D955-2B35-4660-AA4A-62C35BC8E359}">
      <text>
        <t>[Threaded comment]
Your version of Excel allows you to read this threaded comment; however, any edits to it will get removed if the file is opened in a newer version of Excel. Learn more: https://go.microsoft.com/fwlink/?linkid=870924
Comment:
    Q3 call: +MSD% YoY</t>
      </text>
    </comment>
    <comment ref="AI349" authorId="126" shapeId="0" xr:uid="{DEB41D76-D985-418E-8259-D1A568402546}">
      <text>
        <t>[Threaded comment]
Your version of Excel allows you to read this threaded comment; however, any edits to it will get removed if the file is opened in a newer version of Excel. Learn more: https://go.microsoft.com/fwlink/?linkid=870924
Comment:
    Q3 call: +MSD% YoY</t>
      </text>
    </comment>
    <comment ref="AI350" authorId="127" shapeId="0" xr:uid="{C2EF436D-27EA-428B-BF7A-F2F9920E23F8}">
      <text>
        <t>[Threaded comment]
Your version of Excel allows you to read this threaded comment; however, any edits to it will get removed if the file is opened in a newer version of Excel. Learn more: https://go.microsoft.com/fwlink/?linkid=870924
Comment:
    Q3 call: +High Teens% YoY</t>
      </text>
    </comment>
    <comment ref="AH483" authorId="128" shapeId="0" xr:uid="{38B046E4-7D16-459F-8707-AFBCDBFA8D3C}">
      <text>
        <t xml:space="preserve">[Threaded comment]
Your version of Excel allows you to read this threaded comment; however, any edits to it will get removed if the file is opened in a newer version of Excel. Learn more: https://go.microsoft.com/fwlink/?linkid=870924
Comment:
    we exited Q2 with Azure growth in the mid 30s in constant currency and from that, we expect Q3 growth to decelerate roughly 4 to 5 points in constant currency. FX impact in Azure is about a point more than at the segment level. </t>
      </text>
    </comment>
    <comment ref="AH484" authorId="129" shapeId="0" xr:uid="{134A20E5-D4B1-4C49-8D3E-8F069C0DFE18}">
      <text>
        <t>[Threaded comment]
Your version of Excel allows you to read this threaded comment; however, any edits to it will get removed if the file is opened in a newer version of Excel. Learn more: https://go.microsoft.com/fwlink/?linkid=870924
Comment:
    In our on-premises server business, we expect revenue to decline low-single digits as demand for our hybrid solutions will be more than offset by unfavorable FX impact</t>
      </text>
    </comment>
    <comment ref="AH486" authorId="130" shapeId="0" xr:uid="{487D3926-A418-494C-BD8F-B013685323C5}">
      <text>
        <t xml:space="preserve">[Threaded comment]
Your version of Excel allows you to read this threaded comment; however, any edits to it will get removed if the file is opened in a newer version of Excel. Learn more: https://go.microsoft.com/fwlink/?linkid=870924
Comment:
    And in Enterprise Services, revenue should decline low to mid-single digits, driven by Microsoft Consulting Services. </t>
      </text>
    </comment>
    <comment ref="AI491" authorId="131" shapeId="0" xr:uid="{F479B80A-04A1-44F9-BDB2-5F3CAE1FC3AB}">
      <text>
        <t>[Threaded comment]
Your version of Excel allows you to read this threaded comment; however, any edits to it will get removed if the file is opened in a newer version of Excel. Learn more: https://go.microsoft.com/fwlink/?linkid=870924
Comment:
    Q3 call: +25-26% YoY cc</t>
      </text>
    </comment>
    <comment ref="AI492" authorId="132" shapeId="0" xr:uid="{8395CFD7-3503-41AF-B0AB-F590E62A3559}">
      <text>
        <t>[Threaded comment]
Your version of Excel allows you to read this threaded comment; however, any edits to it will get removed if the file is opened in a newer version of Excel. Learn more: https://go.microsoft.com/fwlink/?linkid=870924
Comment:
    Q3 call: decline LSD%</t>
      </text>
    </comment>
    <comment ref="AI494" authorId="133" shapeId="0" xr:uid="{8DD40CD5-1FAA-4AEA-B2BE-514142561DEB}">
      <text>
        <t>[Threaded comment]
Your version of Excel allows you to read this threaded comment; however, any edits to it will get removed if the file is opened in a newer version of Excel. Learn more: https://go.microsoft.com/fwlink/?linkid=870924
Comment:
    Q3: Relatively unchanged YoY</t>
      </text>
    </comment>
    <comment ref="AK517" authorId="134" shapeId="0" xr:uid="{B94F0CE3-3A28-4889-9F20-D53F0061CA10}">
      <text>
        <t xml:space="preserve">[Threaded comment]
Your version of Excel allows you to read this threaded comment; however, any edits to it will get removed if the file is opened in a newer version of Excel. Learn more: https://go.microsoft.com/fwlink/?linkid=870924
Comment:
    Add back 580 of ATVI deal costs </t>
      </text>
    </comment>
    <comment ref="AL517" authorId="135" shapeId="0" xr:uid="{7DDE7E06-85CF-4679-B103-A78E0AE07B30}">
      <text>
        <t>[Threaded comment]
Your version of Excel allows you to read this threaded comment; however, any edits to it will get removed if the file is opened in a newer version of Excel. Learn more: https://go.microsoft.com/fwlink/?linkid=870924
Comment:
    Add back 670 of ATVI deal costs (PPA)</t>
      </text>
    </comment>
    <comment ref="AM517" authorId="136" shapeId="0" xr:uid="{30F80D6A-ED2E-49E1-A26C-91B54BF133D4}">
      <text>
        <t>[Threaded comment]
Your version of Excel allows you to read this threaded comment; however, any edits to it will get removed if the file is opened in a newer version of Excel. Learn more: https://go.microsoft.com/fwlink/?linkid=870924
Comment:
    Add back 690 of ATVI deal costs (PPA)</t>
      </text>
    </comment>
    <comment ref="AK525" authorId="137" shapeId="0" xr:uid="{6CCA5FB0-E321-4DA2-A2F7-52B66AA954F5}">
      <text>
        <t xml:space="preserve">[Threaded comment]
Your version of Excel allows you to read this threaded comment; however, any edits to it will get removed if the file is opened in a newer version of Excel. Learn more: https://go.microsoft.com/fwlink/?linkid=870924
Comment:
    $400 million from purchase accounting adjustments, integration and transaction-related costs from the Activision acquisition </t>
      </text>
    </comment>
    <comment ref="BR525" authorId="138" shapeId="0" xr:uid="{6AC7D8F2-1619-4667-A778-1521B64D1F9D}">
      <text>
        <t xml:space="preserve">[Threaded comment]
Your version of Excel allows you to read this threaded comment; however, any edits to it will get removed if the file is opened in a newer version of Excel. Learn more: https://go.microsoft.com/fwlink/?linkid=870924
Comment:
    $400 million from purchase accounting adjustments, integration and transaction-related costs from the Activision acquisition </t>
      </text>
    </comment>
    <comment ref="AK526" authorId="139" shapeId="0" xr:uid="{E57F3BC7-2785-4253-A2F6-AD20612D199D}">
      <text>
        <t xml:space="preserve">[Threaded comment]
Your version of Excel allows you to read this threaded comment; however, any edits to it will get removed if the file is opened in a newer version of Excel. Learn more: https://go.microsoft.com/fwlink/?linkid=870924
Comment:
    Add back 550 of ATVI deal costs </t>
      </text>
    </comment>
    <comment ref="AL526" authorId="140" shapeId="0" xr:uid="{86A2A3EB-BF20-485A-A2AB-8FCEF5F2E03A}">
      <text>
        <t xml:space="preserve">[Threaded comment]
Your version of Excel allows you to read this threaded comment; however, any edits to it will get removed if the file is opened in a newer version of Excel. Learn more: https://go.microsoft.com/fwlink/?linkid=870924
Comment:
    Add back 270 of ATVI deal costs </t>
      </text>
    </comment>
    <comment ref="AM526" authorId="141" shapeId="0" xr:uid="{E888A63D-98E1-41DF-8486-5C3E6025E8CB}">
      <text>
        <t xml:space="preserve">[Threaded comment]
Your version of Excel allows you to read this threaded comment; however, any edits to it will get removed if the file is opened in a newer version of Excel. Learn more: https://go.microsoft.com/fwlink/?linkid=870924
Comment:
    Add back 250 of ATVI deal costs </t>
      </text>
    </comment>
    <comment ref="AK535" authorId="142" shapeId="0" xr:uid="{C3585ACF-921F-4F27-B7B0-D986E1478671}">
      <text>
        <t xml:space="preserve">[Threaded comment]
Your version of Excel allows you to read this threaded comment; however, any edits to it will get removed if the file is opened in a newer version of Excel. Learn more: https://go.microsoft.com/fwlink/?linkid=870924
Comment:
    $400 million from purchase accounting adjustments, integration and transaction-related costs from the Activision acquisition </t>
      </text>
    </comment>
    <comment ref="AL535" authorId="143" shapeId="0" xr:uid="{E1417AD0-A45D-40BE-87BB-5FC7A3E5F65A}">
      <text>
        <t xml:space="preserve">[Threaded comment]
Your version of Excel allows you to read this threaded comment; however, any edits to it will get removed if the file is opened in a newer version of Excel. Learn more: https://go.microsoft.com/fwlink/?linkid=870924
Comment:
    $400 million from purchase accounting adjustments, integration and transaction-related costs from the Activision acquisition </t>
      </text>
    </comment>
    <comment ref="AM535" authorId="144" shapeId="0" xr:uid="{883F696D-5629-41B9-BD91-13F496D48BD4}">
      <text>
        <t xml:space="preserve">[Threaded comment]
Your version of Excel allows you to read this threaded comment; however, any edits to it will get removed if the file is opened in a newer version of Excel. Learn more: https://go.microsoft.com/fwlink/?linkid=870924
Comment:
    $400 million from purchase accounting adjustments, integration and transaction-related costs from the Activision acquisition </t>
      </text>
    </comment>
    <comment ref="AH565" authorId="145" shapeId="0" xr:uid="{C5F4CE0D-705A-4584-A290-108564FC54B3}">
      <text>
        <t xml:space="preserve">[Threaded comment]
Your version of Excel allows you to read this threaded comment; however, any edits to it will get removed if the file is opened in a newer version of Excel. Learn more: https://go.microsoft.com/fwlink/?linkid=870924
Comment:
    Windows OEM revenue should decline in the mid-to-high 30s in line with the PC market. We expect Q3 PC units to be similar to pre-pandemic levels. </t>
      </text>
    </comment>
    <comment ref="AH566" authorId="146" shapeId="0" xr:uid="{DB99AAC7-932C-4753-ACC0-73BB790DD287}">
      <text>
        <t xml:space="preserve">[Threaded comment]
Your version of Excel allows you to read this threaded comment; however, any edits to it will get removed if the file is opened in a newer version of Excel. Learn more: https://go.microsoft.com/fwlink/?linkid=870924
Comment:
    In our consumer business, Windows OEM and Devices will see continued declines as the PC market returns to pre-pandemic levels. </t>
      </text>
    </comment>
    <comment ref="AH568" authorId="147" shapeId="0" xr:uid="{B2EBB012-641D-4208-8B53-D21BABD2F1F5}">
      <text>
        <t xml:space="preserve">[Threaded comment]
Your version of Excel allows you to read this threaded comment; however, any edits to it will get removed if the file is opened in a newer version of Excel. Learn more: https://go.microsoft.com/fwlink/?linkid=870924
Comment:
    And in Gaming, on a prior year comparable that benefited from increased console supply, we expect revenue to decline in the high-single digits </t>
      </text>
    </comment>
    <comment ref="AH569" authorId="148" shapeId="0" xr:uid="{C005B130-A559-45C3-ABCD-04F49BA23201}">
      <text>
        <t xml:space="preserve">[Threaded comment]
Your version of Excel allows you to read this threaded comment; however, any edits to it will get removed if the file is opened in a newer version of Excel. Learn more: https://go.microsoft.com/fwlink/?linkid=870924
Comment:
    LinkedIn and Search will be impacted as ad market spending remains a bit cautious. 
Search and news advertising ex-TAC should grow high-single digits, roughly 7 points faster than overall Search and news advertising revenue, driven by continued volume strength supported by Edge browser share gains and the inclusion of Xandr. </t>
      </text>
    </comment>
    <comment ref="AH570" authorId="149" shapeId="0" xr:uid="{62EC320A-38ED-4906-9941-0D2C98E591DC}">
      <text>
        <t xml:space="preserve">[Threaded comment]
Your version of Excel allows you to read this threaded comment; however, any edits to it will get removed if the file is opened in a newer version of Excel. Learn more: https://go.microsoft.com/fwlink/?linkid=870924
Comment:
    In Devices, revenue should decline in the mid 40s, as we work through the execution challenges noted earlier. </t>
      </text>
    </comment>
    <comment ref="AI570" authorId="150" shapeId="0" xr:uid="{7BEB556E-2E15-4606-8F93-C4773FD49236}">
      <text>
        <t xml:space="preserve">[Threaded comment]
Your version of Excel allows you to read this threaded comment; however, any edits to it will get removed if the file is opened in a newer version of Excel. Learn more: https://go.microsoft.com/fwlink/?linkid=870924
Comment:
    In Devices, revenue should decline in the mid 40s, as we work through the execution challenges noted earlier. </t>
      </text>
    </comment>
    <comment ref="AM571" authorId="151" shapeId="0" xr:uid="{6B991CDA-943D-4F8E-A722-A860A8AE1563}">
      <text>
        <t>[Threaded comment]
Your version of Excel allows you to read this threaded comment; however, any edits to it will get removed if the file is opened in a newer version of Excel. Learn more: https://go.microsoft.com/fwlink/?linkid=870924
Comment:
    45% contribution to growth per call</t>
      </text>
    </comment>
    <comment ref="AI575" authorId="152" shapeId="0" xr:uid="{45801B4D-0426-4F09-AD4E-75E9E1FC92CE}">
      <text>
        <t>[Threaded comment]
Your version of Excel allows you to read this threaded comment; however, any edits to it will get removed if the file is opened in a newer version of Excel. Learn more: https://go.microsoft.com/fwlink/?linkid=870924
Comment:
    Q3 Call: Decline Low to Mid 20s</t>
      </text>
    </comment>
    <comment ref="AI578" authorId="153" shapeId="0" xr:uid="{20B568C9-4DFC-41FA-A157-A447ADD952D2}">
      <text>
        <t xml:space="preserve">[Threaded comment]
Your version of Excel allows you to read this threaded comment; however, any edits to it will get removed if the file is opened in a newer version of Excel. Learn more: https://go.microsoft.com/fwlink/?linkid=870924
Comment:
    Q3 Call: Mid-to-High SD growth </t>
      </text>
    </comment>
    <comment ref="AI579" authorId="154" shapeId="0" xr:uid="{0D588F50-24DC-4274-84EA-D21923770750}">
      <text>
        <t>[Threaded comment]
Your version of Excel allows you to read this threaded comment; however, any edits to it will get removed if the file is opened in a newer version of Excel. Learn more: https://go.microsoft.com/fwlink/?linkid=870924
Comment:
    Q3: ~10% YoY</t>
      </text>
    </comment>
    <comment ref="AI580" authorId="155" shapeId="0" xr:uid="{91DAFE70-5E7C-48B8-884D-EE451D393C32}">
      <text>
        <t>[Threaded comment]
Your version of Excel allows you to read this threaded comment; however, any edits to it will get removed if the file is opened in a newer version of Excel. Learn more: https://go.microsoft.com/fwlink/?linkid=870924
Comment:
    Q3: Decline Low to Mid 20s</t>
      </text>
    </comment>
    <comment ref="B597" authorId="156" shapeId="0" xr:uid="{0F3D4D4E-CE9D-4FE4-A662-BC624CA9624A}">
      <text>
        <t>[Threaded comment]
Your version of Excel allows you to read this threaded comment; however, any edits to it will get removed if the file is opened in a newer version of Excel. Learn more: https://go.microsoft.com/fwlink/?linkid=870924
Comment:
    GS history and estimates</t>
      </text>
    </comment>
    <comment ref="B604" authorId="157" shapeId="0" xr:uid="{A9C368BA-29BA-43C3-917D-AA4F26B6B5F4}">
      <text>
        <t>[Threaded comment]
Your version of Excel allows you to read this threaded comment; however, any edits to it will get removed if the file is opened in a newer version of Excel. Learn more: https://go.microsoft.com/fwlink/?linkid=870924
Comment:
    GS history and estimates</t>
      </text>
    </comment>
    <comment ref="B607" authorId="158" shapeId="0" xr:uid="{AC6D0CC0-177E-4233-8361-5BE476D74B5A}">
      <text>
        <t>[Threaded comment]
Your version of Excel allows you to read this threaded comment; however, any edits to it will get removed if the file is opened in a newer version of Excel. Learn more: https://go.microsoft.com/fwlink/?linkid=870924
Comment:
    GS history and estimates</t>
      </text>
    </comment>
    <comment ref="B615" authorId="159" shapeId="0" xr:uid="{94FF27F9-B31B-4CE3-B1AE-C0DEBF25B13B}">
      <text>
        <t>[Threaded comment]
Your version of Excel allows you to read this threaded comment; however, any edits to it will get removed if the file is opened in a newer version of Excel. Learn more: https://go.microsoft.com/fwlink/?linkid=870924
Comment:
    GS history and estimates</t>
      </text>
    </comment>
    <comment ref="W626" authorId="160" shapeId="0" xr:uid="{88CEAB99-648E-46F6-B7F0-A70A3DE3DA04}">
      <text>
        <t>[Threaded comment]
Your version of Excel allows you to read this threaded comment; however, any edits to it will get removed if the file is opened in a newer version of Excel. Learn more: https://go.microsoft.com/fwlink/?linkid=870924
Comment:
    11.8-11.9 guide</t>
      </text>
    </comment>
    <comment ref="H840" authorId="161" shapeId="0" xr:uid="{96F22923-95B5-49FD-A8D0-AF1B1859E1F1}">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I840" authorId="162" shapeId="0" xr:uid="{3E2DE43E-5A53-490D-B8CD-79339B87C49E}">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J840" authorId="163" shapeId="0" xr:uid="{71AADB76-C982-4789-A8E9-E48863D7BDE8}">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K840" authorId="164" shapeId="0" xr:uid="{4CEA7E78-AAD9-4F7A-B967-0B7B1D17021F}">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L840" authorId="165" shapeId="0" xr:uid="{9A51D814-3896-4D3F-8FE2-14FB7A5FC1A5}">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M840" authorId="166" shapeId="0" xr:uid="{E96C3756-9FD4-4357-8135-A2DB47306BFB}">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N840" authorId="167" shapeId="0" xr:uid="{A3B48793-19D3-4E10-BA79-94D9A1B30003}">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O840" authorId="168" shapeId="0" xr:uid="{A084B67C-10CD-4F0C-98FD-14CB0B6BC806}">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P840" authorId="169" shapeId="0" xr:uid="{436A7C3A-6CB1-4C88-8D02-D0D4758C06AE}">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Q840" authorId="170" shapeId="0" xr:uid="{6599CFE0-641E-4DD9-A865-BC2DED8AE64C}">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R840" authorId="171" shapeId="0" xr:uid="{8A8AE4C5-16B5-4C8F-A523-923010E3975D}">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S840" authorId="172" shapeId="0" xr:uid="{BB70CABD-64F3-4F58-9A26-88D383E5547A}">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T840" authorId="173" shapeId="0" xr:uid="{9019D5D0-17E9-4033-9647-A73C89F2AB02}">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U840" authorId="174" shapeId="0" xr:uid="{AFAD4310-D6B9-49B4-B0F3-677FCF888181}">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V840" authorId="175" shapeId="0" xr:uid="{84F3A8D7-8BAF-4506-B348-9896962DD6E2}">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W840" authorId="176" shapeId="0" xr:uid="{F23A66A4-BE57-43AB-A154-B372B000CE7E}">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Gilbert, Seth</author>
    <author>tc={58B786EC-52DE-4720-A5F8-12D5C3EBC1A0}</author>
  </authors>
  <commentList>
    <comment ref="B9" authorId="0" shapeId="0" xr:uid="{CA7CC39B-E0EE-4347-85CC-B8048A51DFF0}">
      <text>
        <r>
          <rPr>
            <b/>
            <sz val="9"/>
            <color indexed="81"/>
            <rFont val="Tahoma"/>
            <family val="2"/>
          </rPr>
          <t>Gilbert, Seth:</t>
        </r>
        <r>
          <rPr>
            <sz val="9"/>
            <color indexed="81"/>
            <rFont val="Tahoma"/>
            <family val="2"/>
          </rPr>
          <t xml:space="preserve">
Start reporting</t>
        </r>
      </text>
    </comment>
    <comment ref="BP10" authorId="0" shapeId="0" xr:uid="{05966D5B-31FE-4DFA-AB0B-9414329E42F1}">
      <text>
        <r>
          <rPr>
            <b/>
            <sz val="9"/>
            <color indexed="81"/>
            <rFont val="Tahoma"/>
            <family val="2"/>
          </rPr>
          <t>Gilbert, Seth:</t>
        </r>
        <r>
          <rPr>
            <sz val="9"/>
            <color indexed="81"/>
            <rFont val="Tahoma"/>
            <family val="2"/>
          </rPr>
          <t xml:space="preserve">
only 2Qs</t>
        </r>
      </text>
    </comment>
    <comment ref="Y11" authorId="0" shapeId="0" xr:uid="{1A544BF7-BE60-49A5-9FBB-6CC75FA48CD5}">
      <text>
        <r>
          <rPr>
            <b/>
            <sz val="9"/>
            <color indexed="81"/>
            <rFont val="Tahoma"/>
            <family val="2"/>
          </rPr>
          <t>Gilbert, Seth:</t>
        </r>
        <r>
          <rPr>
            <sz val="9"/>
            <color indexed="81"/>
            <rFont val="Tahoma"/>
            <family val="2"/>
          </rPr>
          <t xml:space="preserve">
Start reporting</t>
        </r>
      </text>
    </comment>
    <comment ref="BT11" authorId="0" shapeId="0" xr:uid="{6E943104-6A1C-4810-A07C-678B3185ACFC}">
      <text>
        <r>
          <rPr>
            <b/>
            <sz val="9"/>
            <color indexed="81"/>
            <rFont val="Tahoma"/>
            <family val="2"/>
          </rPr>
          <t>Gilbert, Seth:</t>
        </r>
        <r>
          <rPr>
            <sz val="9"/>
            <color indexed="81"/>
            <rFont val="Tahoma"/>
            <family val="2"/>
          </rPr>
          <t xml:space="preserve">
only have 2Qs of data</t>
        </r>
      </text>
    </comment>
    <comment ref="AP14" authorId="1" shapeId="0" xr:uid="{58B786EC-52DE-4720-A5F8-12D5C3EBC1A0}">
      <text>
        <t>[Threaded comment]
Your version of Excel allows you to read this threaded comment; however, any edits to it will get removed if the file is opened in a newer version of Excel. Learn more: https://go.microsoft.com/fwlink/?linkid=870924
Comment:
    Mid-teens in Jan</t>
      </text>
    </comment>
    <comment ref="B92" authorId="0" shapeId="0" xr:uid="{69ECDBFF-B50B-4716-AA48-3F95809B8A0D}">
      <text>
        <r>
          <rPr>
            <b/>
            <sz val="9"/>
            <color indexed="81"/>
            <rFont val="Tahoma"/>
            <family val="2"/>
          </rPr>
          <t>Gilbert, Seth:</t>
        </r>
        <r>
          <rPr>
            <sz val="9"/>
            <color indexed="81"/>
            <rFont val="Tahoma"/>
            <family val="2"/>
          </rPr>
          <t xml:space="preserve">
Start reporting</t>
        </r>
      </text>
    </comment>
    <comment ref="BP98" authorId="0" shapeId="0" xr:uid="{1211F37A-6841-48E1-BD67-1996656622BF}">
      <text>
        <r>
          <rPr>
            <b/>
            <sz val="9"/>
            <color indexed="81"/>
            <rFont val="Tahoma"/>
            <family val="2"/>
          </rPr>
          <t>Gilbert, Seth:</t>
        </r>
        <r>
          <rPr>
            <sz val="9"/>
            <color indexed="81"/>
            <rFont val="Tahoma"/>
            <family val="2"/>
          </rPr>
          <t xml:space="preserve">
only 2Qs</t>
        </r>
      </text>
    </comment>
    <comment ref="Y104" authorId="0" shapeId="0" xr:uid="{F7FE2F2F-7098-4879-879C-A09D3E23FD68}">
      <text>
        <r>
          <rPr>
            <b/>
            <sz val="9"/>
            <color indexed="81"/>
            <rFont val="Tahoma"/>
            <family val="2"/>
          </rPr>
          <t>Gilbert, Seth:</t>
        </r>
        <r>
          <rPr>
            <sz val="9"/>
            <color indexed="81"/>
            <rFont val="Tahoma"/>
            <family val="2"/>
          </rPr>
          <t xml:space="preserve">
Start reporting</t>
        </r>
      </text>
    </comment>
    <comment ref="BT104" authorId="0" shapeId="0" xr:uid="{9EAB32B6-0575-478D-9F45-9A6D7C32A3C9}">
      <text>
        <r>
          <rPr>
            <b/>
            <sz val="9"/>
            <color indexed="81"/>
            <rFont val="Tahoma"/>
            <family val="2"/>
          </rPr>
          <t>Gilbert, Seth:</t>
        </r>
        <r>
          <rPr>
            <sz val="9"/>
            <color indexed="81"/>
            <rFont val="Tahoma"/>
            <family val="2"/>
          </rPr>
          <t xml:space="preserve">
only have 2Qs of data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tc={0EEE35B2-B6D7-435E-8F71-1B3B3E8C471C}</author>
    <author>tc={E0DA8FD9-FA0A-4DA8-852D-9985FBA422EF}</author>
  </authors>
  <commentList>
    <comment ref="AK39" authorId="0" shapeId="0" xr:uid="{0EEE35B2-B6D7-435E-8F71-1B3B3E8C471C}">
      <text>
        <t>[Threaded comment]
Your version of Excel allows you to read this threaded comment; however, any edits to it will get removed if the file is opened in a newer version of Excel. Learn more: https://go.microsoft.com/fwlink/?linkid=870924
Comment:
    https://www.gartner.com/en/newsroom/press-releases/2023-10-09-gartner-says-worldwide-pc-shipments-declined-9-percent-in-third-quarter-of-2023</t>
      </text>
    </comment>
    <comment ref="AL39" authorId="1" shapeId="0" xr:uid="{E0DA8FD9-FA0A-4DA8-852D-9985FBA422EF}">
      <text>
        <t>[Threaded comment]
Your version of Excel allows you to read this threaded comment; however, any edits to it will get removed if the file is opened in a newer version of Excel. Learn more: https://go.microsoft.com/fwlink/?linkid=870924
Comment:
    https://www.gartner.com/en/newsroom/press-releases/01-10-2024-gartner-says-worldwide-pc-shipments-increased-zero-point-three-percent-in-fourth-quarter-of-2023-but-declined-fourteen-point-eight-percent-for-the-year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tc={24849539-4734-4ACE-9FF2-6A0BDAA128E6}</author>
    <author>tc={7B42998B-14DB-4217-A393-7C0D9ADE7EBA}</author>
    <author>tc={2ABCE714-69CC-4C2F-B1A5-4C5177CD1BEB}</author>
    <author>tc={65B46C8F-3FED-4EC2-81E8-10824251AFEA}</author>
    <author>tc={6B182B20-BAC8-409D-B183-F520EC807C90}</author>
    <author>tc={502B9DDF-06A7-427F-A05F-0A596703B96F}</author>
    <author>tc={12F4006B-79DA-47C4-AAE4-61E18CC12D4D}</author>
  </authors>
  <commentList>
    <comment ref="N15" authorId="0" shapeId="0" xr:uid="{24849539-4734-4ACE-9FF2-6A0BDAA128E6}">
      <text>
        <t>[Threaded comment]
Your version of Excel allows you to read this threaded comment; however, any edits to it will get removed if the file is opened in a newer version of Excel. Learn more: https://go.microsoft.com/fwlink/?linkid=870924
Comment:
    "And operating margins expanded 4 points yearover-year to 43%, including roughly 2 points of favorable impact from the change in accounting estimate."</t>
      </text>
    </comment>
    <comment ref="O15" authorId="1" shapeId="0" xr:uid="{7B42998B-14DB-4217-A393-7C0D9ADE7EBA}">
      <text>
        <t>[Threaded comment]
Your version of Excel allows you to read this threaded comment; however, any edits to it will get removed if the file is opened in a newer version of Excel. Learn more: https://go.microsoft.com/fwlink/?linkid=870924
Comment:
    "Operating income increased 29% and 26% in constant currency, and operating margins expanded 4 points
year-over-year to 42%, including roughly 2 points of favorable impact from the change in accounting
estimate"</t>
      </text>
    </comment>
    <comment ref="P15" authorId="2" shapeId="0" xr:uid="{2ABCE714-69CC-4C2F-B1A5-4C5177CD1BEB}">
      <text>
        <t>[Threaded comment]
Your version of Excel allows you to read this threaded comment; however, any edits to it will get removed if the file is opened in a newer version of Excel. Learn more: https://go.microsoft.com/fwlink/?linkid=870924
Comment:
    "Year-over-year growth in operating expense includes roughly 2 points of impact from continued COVIDrelated savings. Operating income increased 31% and 27% in constant currency, and operating margins
expanded 4 points year-over-year to 41%, including nearly 2 points of favorable impact from the change
in accounting estimate"</t>
      </text>
    </comment>
    <comment ref="Q15" authorId="3" shapeId="0" xr:uid="{65B46C8F-3FED-4EC2-81E8-10824251AFEA}">
      <text>
        <t>[Threaded comment]
Your version of Excel allows you to read this threaded comment; however, any edits to it will get removed if the file is opened in a newer version of Excel. Learn more: https://go.microsoft.com/fwlink/?linkid=870924
Comment:
    "Operating income increased 42% and 35% in constant currency, and operating margins expanded 6 points year-over-year to 41%, including roughly 2 points of impact from the retail stores charge and increase in bad debt expense in the prior year and nearly 1 point of favorable impact from the change in accounting estimate"</t>
      </text>
    </comment>
    <comment ref="R15" authorId="4" shapeId="0" xr:uid="{6B182B20-BAC8-409D-B183-F520EC807C90}">
      <text>
        <t>[Threaded comment]
Your version of Excel allows you to read this threaded comment; however, any edits to it will get removed if the file is opened in a newer version of Excel. Learn more: https://go.microsoft.com/fwlink/?linkid=870924
Comment:
    "Operating income increased 27% and 24% in constant currency, and operating margins expanded 2 points year-over-year to 45%. Excluding the impact of the change in accounting estimate, operating margins expanded roughly 4 points year-over-year."</t>
      </text>
    </comment>
    <comment ref="S15" authorId="5" shapeId="0" xr:uid="{502B9DDF-06A7-427F-A05F-0A596703B96F}">
      <text>
        <t>[Threaded comment]
Your version of Excel allows you to read this threaded comment; however, any edits to it will get removed if the file is opened in a newer version of Excel. Learn more: https://go.microsoft.com/fwlink/?linkid=870924
Comment:
    "Operating income increased 24% and operating margins expanded 1 point year-over-year to 43%. Excluding the impact of the change in accounting estimate, operating margins expanded roughly 3 points year-over-year."</t>
      </text>
    </comment>
    <comment ref="T15" authorId="6" shapeId="0" xr:uid="{12F4006B-79DA-47C4-AAE4-61E18CC12D4D}">
      <text>
        <t>[Threaded comment]
Your version of Excel allows you to read this threaded comment; however, any edits to it will get removed if the file is opened in a newer version of Excel. Learn more: https://go.microsoft.com/fwlink/?linkid=870924
Comment:
    "Operating income increased 19% and 23% in constant currency, and operating margins increased slightly year-over-year to 41%. Excluding the impact of the change in accounting estimate, operating margins expanded roughly 2 points year-over-year."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tc={AAD717D9-F634-49BE-BE9A-06509A4CDD6B}</author>
    <author>tc={64ABB4BB-F02E-42EA-9190-9877401F8392}</author>
    <author>tc={2AEACFC6-DBFE-409C-92CD-020F2CB46F29}</author>
    <author>tc={009E5C14-0911-4B0E-BF7F-C9EBDD211216}</author>
    <author>tc={B92D370F-1211-4291-AC8A-09B6E6CC1CCD}</author>
    <author>tc={76966A13-D0BC-4B80-9D54-454D6732C4FC}</author>
    <author>tc={DC9E0CB3-03B7-49F0-A575-27015768E07A}</author>
    <author>tc={982DBD27-F589-4D06-9B3A-717D6296557C}</author>
    <author>tc={625F7680-EA30-4663-9834-9E9A4F86AAAB}</author>
    <author>tc={4EC26EAA-1A02-483E-BF03-B09EDBAB1147}</author>
    <author>tc={E072D60C-234B-4F4E-BE29-9BA26CFE8C7D}</author>
    <author>tc={D59D2238-E1CE-462E-A48B-EB0950591A54}</author>
    <author>tc={15544C64-16BE-447C-B5B9-F27A93C7C2E9}</author>
    <author>tc={234D39A8-5A5E-4EA0-8942-2110BDC44390}</author>
    <author>tc={1105B808-920E-42ED-8C8C-05D9BB685135}</author>
    <author>tc={8309A102-7C11-4263-8B0D-FDEE23D76EB0}</author>
    <author>tc={A18CC879-1D07-43CF-98EB-3B59EEA71E01}</author>
    <author>tc={ACBD8EEE-94F7-4951-9954-EE6ED8D8F762}</author>
    <author>tc={25C467B2-E7DE-499E-A5E5-A611232A7F1E}</author>
    <author>tc={7A5E2854-E694-4474-88AB-829840852CCB}</author>
    <author>tc={8D915AD3-8130-493C-9F44-5DE1E6719BC3}</author>
    <author>tc={C8D8ECD7-B41C-40D2-A180-7F4B93C5CE59}</author>
    <author>tc={6F821223-A261-4C46-9EFA-EBF617D220EA}</author>
    <author>tc={88C1C917-D856-490C-8A1D-EDB9386C4622}</author>
    <author>tc={64DF6A0A-0505-45D0-AA2E-9E24B3E40ACF}</author>
    <author>tc={EF07325D-FB13-42EA-81A0-6DF758900F8D}</author>
    <author>tc={E64E492C-390F-49CE-BD31-A0105B8D131D}</author>
    <author>tc={7EBFA325-F554-492E-9D28-D2C441B45685}</author>
    <author>tc={AC57B851-5476-49BC-8711-24ABBD02C7B8}</author>
    <author>tc={D4FA7C14-6E0B-4E95-9D15-CBBB9E858B5F}</author>
    <author>tc={103CBC3E-EC99-4C4E-9571-998797F85A77}</author>
    <author>tc={54B62CC3-D4F5-4B05-8D5C-913470225264}</author>
    <author>tc={1C044D2A-374E-4120-937F-207C1B97A41E}</author>
    <author>tc={85970624-4471-455C-8ABD-F1067DF27242}</author>
    <author>tc={A275D6EF-D7C4-4047-8068-E8C491B7F562}</author>
    <author>tc={8871302A-9BD9-46B1-A8CB-C76A90D51258}</author>
    <author>tc={46813019-3E59-4FC8-A16F-E809F8F67B21}</author>
    <author>tc={382BB08A-3755-43A1-88FE-D9A9F668C8DB}</author>
    <author>tc={B6B17B0E-2767-4EF5-AE1F-FBDEADE7D2BB}</author>
    <author>tc={EB1AC7BC-78B8-44E6-92A3-10F327188AC6}</author>
    <author>tc={1C05113E-0CDB-414F-AB3F-94257FFD7F54}</author>
    <author>tc={3EDDCF45-6C30-4F64-91A6-73F09704FA61}</author>
    <author>tc={9685F24A-A7E1-4318-A2E5-76872B9436AE}</author>
    <author>tc={B5B6ED67-311D-4228-B457-EAFB72ACD482}</author>
    <author>tc={3BED3A54-4B15-42E6-A174-90B327372562}</author>
    <author>tc={0822F084-60B1-4CCA-BC53-41CDB6111521}</author>
    <author>tc={8A00680B-A0A9-45CC-9EC2-24C87AAF0BDD}</author>
    <author>tc={F8C7EC10-DDCF-4A27-ACF4-A6D2F47EA426}</author>
    <author>tc={0F552A18-48C7-45BE-B971-AE210B086F65}</author>
    <author>tc={87581234-D30B-4C4D-8625-20A2E2B3B9FF}</author>
    <author>tc={78307713-C009-447D-A550-657247252C5A}</author>
    <author>tc={388D9D9F-C72E-48F5-B650-65CDAF52C435}</author>
    <author>tc={BB61DBB3-9E45-4B0E-9203-757B1881CB20}</author>
    <author>tc={86CC0559-E496-4208-A144-A86438E836A2}</author>
    <author>tc={B284F14B-0FD6-445D-B72E-CF8ADE3D8FE1}</author>
    <author>tc={BC5100C3-DD1E-4368-8814-1ECA46E52C7B}</author>
    <author>tc={C575EC67-1546-4673-AD6C-7A60BAEF1BB4}</author>
    <author>tc={92DB0D52-F784-49B5-95F3-1B927F6C0509}</author>
    <author>tc={217682A9-5151-4F80-932C-CE012E445FFF}</author>
    <author>tc={0AD1B5A8-10EA-4843-9EF8-9995F6AABD92}</author>
    <author>tc={401D3B40-7386-41D9-8C25-6C7B958002A6}</author>
    <author>tc={57E0618D-2E4A-4BC7-9085-EDE04E83A0B7}</author>
    <author>tc={44E70D50-E1B7-4B55-9B38-1C77836230B3}</author>
    <author>tc={404711FE-CCC0-425F-BDB5-D6DEB5057807}</author>
    <author>tc={F82FCC36-5A32-4A93-A37C-56ACC034A559}</author>
    <author>tc={F11619A2-F0CA-4A4A-8A32-DB755F79A655}</author>
    <author>tc={1951A8DC-F8D8-4106-A3EE-49E37DAEFD9A}</author>
    <author>tc={47434661-85AC-4C03-BB83-A99F51E068F4}</author>
    <author>tc={EE534BE6-5768-4AFF-BA2D-F00074D9A327}</author>
    <author>tc={FC3936FA-CA78-4154-BE21-D44ABD1852C7}</author>
    <author>tc={B071974C-15B6-4476-9266-EF51FFA6657D}</author>
    <author>tc={D8F30B00-1ACC-4D56-A734-0F4A8B62E026}</author>
    <author>tc={81D68EF1-81A3-4F2E-B666-941A01174A6A}</author>
    <author>tc={0A16107F-1817-4E56-9463-64E5164EAD34}</author>
    <author>tc={965C1C82-392C-4E10-BA02-8BF86CAD6E0D}</author>
    <author>tc={47116650-66AB-4A09-9E66-CCAB046D733C}</author>
    <author>tc={E27DCDD0-3965-4F3E-A447-9A051A1002C1}</author>
    <author>tc={E4C0CB98-7DE9-4E33-AB36-D323BBDFE885}</author>
    <author>tc={2C3AFD7E-4719-46FB-95C2-293B6D7A5D55}</author>
    <author>tc={BBB3AC65-C3FF-495F-82E7-9D36F3170DCF}</author>
    <author>tc={E1199233-F2FF-4F72-A507-0D18383B6AF0}</author>
    <author>tc={7F86B462-B734-4BDD-A4E0-2DC62DD05BFE}</author>
    <author>tc={9F46957A-1FA5-4D88-AD86-E9186BDFBA9A}</author>
    <author>tc={907C19CC-94A4-422F-9F06-46E2E4C499B4}</author>
    <author>tc={9424C4A2-86DD-4E6E-B894-CAEC5AED2194}</author>
    <author>tc={0200313A-FD1E-43B2-B5B4-69EADE9184E3}</author>
    <author>tc={27C4EFAE-7097-45BF-859A-A6F75B16D9EF}</author>
    <author>tc={A5CD2D45-10CE-4C7D-A264-DADFBE914460}</author>
    <author>tc={BB394418-A0CA-49B8-B7C1-DF291A8180EC}</author>
    <author>tc={9B3DD0F8-F562-421E-A309-E2CB5EDE879E}</author>
    <author>tc={4E839CAB-C105-4244-8A65-A7C0ED7950E8}</author>
    <author>tc={EEF9F497-1053-4AD3-9E9D-A5E4E10B2D1B}</author>
    <author>tc={FCECF491-71A0-4A28-AF1F-57565C41E8CC}</author>
    <author>tc={BA0A2F9F-CA88-4631-A733-B13DA2ECD08E}</author>
    <author>tc={43633FCA-010D-4657-A13D-6316CB52BD04}</author>
    <author>tc={1427D541-53FD-4364-B771-E592614EE75E}</author>
    <author>tc={27A7C0A2-0DF0-4480-8818-002085F60FCC}</author>
    <author>tc={185106EB-5963-4F46-B3DD-4724237B3C8C}</author>
    <author>tc={ABDA891E-46BF-448E-9EA7-E3B567DFD1E7}</author>
    <author>tc={5BD7F01D-F2BF-4C61-8A44-8D04F4E32B04}</author>
    <author>tc={4E621AA6-7E1E-49F9-96E2-31C33A12C9BA}</author>
    <author>tc={864C0A20-3FE9-4C12-9896-C047E5F122E4}</author>
    <author>tc={6C7A4426-3C56-47B9-B7E3-44A1133AB703}</author>
    <author>tc={E7C8205D-08A0-44BA-B48E-DC7AC6BF478E}</author>
    <author>tc={0BFBB10D-8866-42C4-9185-5FD039DCBD6C}</author>
    <author>tc={654B31CF-C79D-4CDA-9CA2-A0C1A5FD8B35}</author>
    <author>tc={1F1E6E3B-7117-4710-A5EB-732D5F6B8D78}</author>
    <author>tc={12CE43EC-608C-437C-9C89-8E5405D318BB}</author>
    <author>tc={3EA4CBD1-A107-4F72-BC74-25A44EEF8CC7}</author>
    <author>tc={DF1B3E96-BF0D-4E4C-A74A-2D4F71F6A834}</author>
    <author>tc={A7ABF591-F9DA-4DDA-8BAF-559AD5F1C52C}</author>
    <author>tc={A8037976-1A27-4F9D-B91E-77B810E85FAE}</author>
    <author>tc={689A739D-9F65-4CF4-8BC3-06F1203053BF}</author>
    <author>tc={5940FD42-415A-40D6-909D-C7B4860983BC}</author>
    <author>tc={BAB0F768-8C2E-4E44-97D4-5E3B01AD0AD9}</author>
    <author>tc={E57BD4D9-9095-4536-8497-19948AA65431}</author>
  </authors>
  <commentList>
    <comment ref="X12" authorId="0" shapeId="0" xr:uid="{AAD717D9-F634-49BE-BE9A-06509A4CDD6B}">
      <text>
        <t>[Threaded comment]
Your version of Excel allows you to read this threaded comment; however, any edits to it will get removed if the file is opened in a newer version of Excel. Learn more: https://go.microsoft.com/fwlink/?linkid=870924
Comment:
    35.150-36.050 Q4 guide</t>
      </text>
    </comment>
    <comment ref="AF14" authorId="1" shapeId="0" xr:uid="{64ABB4BB-F02E-42EA-9190-9877401F8392}">
      <text>
        <t>[Threaded comment]
Your version of Excel allows you to read this threaded comment; however, any edits to it will get removed if the file is opened in a newer version of Excel. Learn more: https://go.microsoft.com/fwlink/?linkid=870924
Comment:
    Q4 22 call: "Second, on FX. Assuming current rates remain stable, we expect a roughly 4-point impact to full-year revenue growth, with headwinds in H1 greater than in H2."
"With the stronger US dollar and based on current rates, we expect FX to decrease total revenue growth by approximately 5 points and to decrease total COGS and operating expense growth by approximately 3 points. Within the segments, we anticipate roughly 6 points of negative FX impact on revenue growth in Productivity and Business Processes and Intelligent Cloud and 3 points in More Personal Computing."</t>
      </text>
    </comment>
    <comment ref="AG14" authorId="2" shapeId="0" xr:uid="{2AEACFC6-DBFE-409C-92CD-020F2CB46F29}">
      <text>
        <t>[Threaded comment]
Your version of Excel allows you to read this threaded comment; however, any edits to it will get removed if the file is opened in a newer version of Excel. Learn more: https://go.microsoft.com/fwlink/?linkid=870924
Comment:
    Q1 Guidance: 5ppt headwind</t>
      </text>
    </comment>
    <comment ref="AH14" authorId="3" shapeId="0" xr:uid="{009E5C14-0911-4B0E-BF7F-C9EBDD211216}">
      <text>
        <t>[Threaded comment]
Your version of Excel allows you to read this threaded comment; however, any edits to it will get removed if the file is opened in a newer version of Excel. Learn more: https://go.microsoft.com/fwlink/?linkid=870924
Comment:
    Q4 22 call: "Second, on FX. Assuming current rates remain stable, we expect a roughly 4-point impact to full-year revenue growth, with headwinds in H1 greater than in H2."</t>
      </text>
    </comment>
    <comment ref="AI14" authorId="4" shapeId="0" xr:uid="{B92D370F-1211-4291-AC8A-09B6E6CC1CCD}">
      <text>
        <t>[Threaded comment]
Your version of Excel allows you to read this threaded comment; however, any edits to it will get removed if the file is opened in a newer version of Excel. Learn more: https://go.microsoft.com/fwlink/?linkid=870924
Comment:
    Q4 22 call: "Second, on FX. Assuming current rates remain stable, we expect a roughly 4-point impact to full-year revenue growth, with headwinds in H1 greater than in H2."</t>
      </text>
    </comment>
    <comment ref="W21" authorId="5" shapeId="0" xr:uid="{76966A13-D0BC-4B80-9D54-454D6732C4FC}">
      <text>
        <t>[Threaded comment]
Your version of Excel allows you to read this threaded comment; however, any edits to it will get removed if the file is opened in a newer version of Excel. Learn more: https://go.microsoft.com/fwlink/?linkid=870924
Comment:
    11.55-11.75 COGS guide</t>
      </text>
    </comment>
    <comment ref="X21" authorId="6" shapeId="0" xr:uid="{DC9E0CB3-03B7-49F0-A575-27015768E07A}">
      <text>
        <t>[Threaded comment]
Your version of Excel allows you to read this threaded comment; however, any edits to it will get removed if the file is opened in a newer version of Excel. Learn more: https://go.microsoft.com/fwlink/?linkid=870924
Comment:
    10.75-10.95 COGS guide</t>
      </text>
    </comment>
    <comment ref="AS29" authorId="7" shapeId="0" xr:uid="{982DBD27-F589-4D06-9B3A-717D6296557C}">
      <text>
        <t>[Threaded comment]
Your version of Excel allows you to read this threaded comment; however, any edits to it will get removed if the file is opened in a newer version of Excel. Learn more: https://go.microsoft.com/fwlink/?linkid=870924
Comment:
    Excl. EU fine</t>
      </text>
    </comment>
    <comment ref="W30" authorId="8" shapeId="0" xr:uid="{625F7680-EA30-4663-9834-9E9A4F86AAAB}">
      <text>
        <t>[Threaded comment]
Your version of Excel allows you to read this threaded comment; however, any edits to it will get removed if the file is opened in a newer version of Excel. Learn more: https://go.microsoft.com/fwlink/?linkid=870924
Comment:
    11.8-11.9 guide</t>
      </text>
    </comment>
    <comment ref="AI36" authorId="9" shapeId="0" xr:uid="{4EC26EAA-1A02-483E-BF03-B09EDBAB1147}">
      <text>
        <t>[Threaded comment]
Your version of Excel allows you to read this threaded comment; however, any edits to it will get removed if the file is opened in a newer version of Excel. Learn more: https://go.microsoft.com/fwlink/?linkid=870924
Comment:
    Q1 guide - opex growth to moderate materially through the year</t>
      </text>
    </comment>
    <comment ref="BF46" authorId="10" shapeId="0" xr:uid="{E072D60C-234B-4F4E-BE29-9BA26CFE8C7D}">
      <text>
        <t>[Threaded comment]
Your version of Excel allows you to read this threaded comment; however, any edits to it will get removed if the file is opened in a newer version of Excel. Learn more: https://go.microsoft.com/fwlink/?linkid=870924
Comment:
    Q1 guide - EBIT margins to decline ~1ppt</t>
      </text>
    </comment>
    <comment ref="B52" authorId="11" shapeId="0" xr:uid="{D59D2238-E1CE-462E-A48B-EB0950591A54}">
      <text>
        <t>[Threaded comment]
Your version of Excel allows you to read this threaded comment; however, any edits to it will get removed if the file is opened in a newer version of Excel. Learn more: https://go.microsoft.com/fwlink/?linkid=870924
Comment:
    Q4 FY20 earnings call: Now before we turn to our outlook, I'd like to update you on a change in accounting estimate to the useful life of server and networking equipment assets in our cloud infrastructure. Effective at the start of fiscal year '21, we are extending the depreciable life for these assets to 4 years, which will apply to the asset balances on our balance sheet as of June 30, 2020, as well as future asset purchases. This change will not impact historical depreciation expense, the total depreciation expense over the life of the asset or cash flow, but it will impact the timing of depreciation expense in the future for these assets.
 As a result, based on the outstanding balances as of June 30, we expect fiscal year '21 operating income to be favorably impacted by approximately $900 million in the first quarter and approximately $2.7 billion for the full fiscal year. This has been included in the guidance we'll provide on today's call, and you will find additional details on the mechanics of the change in our earnings material</t>
      </text>
    </comment>
    <comment ref="X52" authorId="12" shapeId="0" xr:uid="{15544C64-16BE-447C-B5B9-F27A93C7C2E9}">
      <text>
        <t>[Threaded comment]
Your version of Excel allows you to read this threaded comment; however, any edits to it will get removed if the file is opened in a newer version of Excel. Learn more: https://go.microsoft.com/fwlink/?linkid=870924
Comment:
    "And operating margins expanded 4 points yearover-year to 43%, including roughly 2 points of favorable impact from the change in accounting estimate."</t>
      </text>
    </comment>
    <comment ref="Y52" authorId="13" shapeId="0" xr:uid="{234D39A8-5A5E-4EA0-8942-2110BDC44390}">
      <text>
        <t>[Threaded comment]
Your version of Excel allows you to read this threaded comment; however, any edits to it will get removed if the file is opened in a newer version of Excel. Learn more: https://go.microsoft.com/fwlink/?linkid=870924
Comment:
    "Operating income increased 29% and 26% in constant currency, and operating margins expanded 4 points
year-over-year to 42%, including roughly 2 points of favorable impact from the change in accounting
estimate"</t>
      </text>
    </comment>
    <comment ref="Z52" authorId="14" shapeId="0" xr:uid="{1105B808-920E-42ED-8C8C-05D9BB685135}">
      <text>
        <t>[Threaded comment]
Your version of Excel allows you to read this threaded comment; however, any edits to it will get removed if the file is opened in a newer version of Excel. Learn more: https://go.microsoft.com/fwlink/?linkid=870924
Comment:
    "Year-over-year growth in operating expense includes roughly 2 points of impact from continued COVIDrelated savings. Operating income increased 31% and 27% in constant currency, and operating margins
expanded 4 points year-over-year to 41%, including nearly 2 points of favorable impact from the change
in accounting estimate"</t>
      </text>
    </comment>
    <comment ref="AA52" authorId="15" shapeId="0" xr:uid="{8309A102-7C11-4263-8B0D-FDEE23D76EB0}">
      <text>
        <t>[Threaded comment]
Your version of Excel allows you to read this threaded comment; however, any edits to it will get removed if the file is opened in a newer version of Excel. Learn more: https://go.microsoft.com/fwlink/?linkid=870924
Comment:
    "Operating income increased 42% and 35% in constant currency, and operating margins expanded 6 points year-over-year to 41%, including roughly 2 points of impact from the retail stores charge and increase in bad debt expense in the prior year and nearly 1 point of favorable impact from the change in accounting estimate"</t>
      </text>
    </comment>
    <comment ref="AB52" authorId="16" shapeId="0" xr:uid="{A18CC879-1D07-43CF-98EB-3B59EEA71E01}">
      <text>
        <t>[Threaded comment]
Your version of Excel allows you to read this threaded comment; however, any edits to it will get removed if the file is opened in a newer version of Excel. Learn more: https://go.microsoft.com/fwlink/?linkid=870924
Comment:
    "Operating income increased 27% and 24% in constant currency, and operating margins expanded 2 points year-over-year to 45%. Excluding the impact of the change in accounting estimate, operating margins expanded roughly 4 points year-over-year."</t>
      </text>
    </comment>
    <comment ref="AC52" authorId="17" shapeId="0" xr:uid="{ACBD8EEE-94F7-4951-9954-EE6ED8D8F762}">
      <text>
        <t>[Threaded comment]
Your version of Excel allows you to read this threaded comment; however, any edits to it will get removed if the file is opened in a newer version of Excel. Learn more: https://go.microsoft.com/fwlink/?linkid=870924
Comment:
    "Operating income increased 24% and operating margins expanded 1 point year-over-year to 43%. Excluding the impact of the change in accounting estimate, operating margins expanded roughly 3 points year-over-year."</t>
      </text>
    </comment>
    <comment ref="AG52" authorId="18" shapeId="0" xr:uid="{25C467B2-E7DE-499E-A5E5-A611232A7F1E}">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H52" authorId="19" shapeId="0" xr:uid="{7A5E2854-E694-4474-88AB-829840852CCB}">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I52" authorId="20" shapeId="0" xr:uid="{8D915AD3-8130-493C-9F44-5DE1E6719BC3}">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G54" authorId="21" shapeId="0" xr:uid="{C8D8ECD7-B41C-40D2-A180-7F4B93C5CE59}">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
      </text>
    </comment>
    <comment ref="AH54" authorId="22" shapeId="0" xr:uid="{6F821223-A261-4C46-9EFA-EBF617D220EA}">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
      </text>
    </comment>
    <comment ref="AI54" authorId="23" shapeId="0" xr:uid="{88C1C917-D856-490C-8A1D-EDB9386C4622}">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
      </text>
    </comment>
    <comment ref="AG55" authorId="24" shapeId="0" xr:uid="{64DF6A0A-0505-45D0-AA2E-9E24B3E40ACF}">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 ref="AH55" authorId="25" shapeId="0" xr:uid="{EF07325D-FB13-42EA-81A0-6DF758900F8D}">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 ref="AI55" authorId="26" shapeId="0" xr:uid="{E64E492C-390F-49CE-BD31-A0105B8D131D}">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 ref="BF55" authorId="27" shapeId="0" xr:uid="{7EBFA325-F554-492E-9D28-D2C441B45685}">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 ref="Z73" authorId="28" shapeId="0" xr:uid="{AC57B851-5476-49BC-8711-24ABBD02C7B8}">
      <text>
        <t>[Threaded comment]
Your version of Excel allows you to read this threaded comment; however, any edits to it will get removed if the file is opened in a newer version of Excel. Learn more: https://go.microsoft.com/fwlink/?linkid=870924
Comment:
    D&amp;A change means 900M less Q1 and 2.7B less in FY21</t>
      </text>
    </comment>
    <comment ref="AA73" authorId="29" shapeId="0" xr:uid="{D4FA7C14-6E0B-4E95-9D15-CBBB9E858B5F}">
      <text>
        <t>[Threaded comment]
Your version of Excel allows you to read this threaded comment; however, any edits to it will get removed if the file is opened in a newer version of Excel. Learn more: https://go.microsoft.com/fwlink/?linkid=870924
Comment:
    D&amp;A change means 900M less Q1 and 2.7B less in FY21</t>
      </text>
    </comment>
    <comment ref="AF73" authorId="30" shapeId="0" xr:uid="{103CBC3E-EC99-4C4E-9571-998797F85A77}">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G73" authorId="31" shapeId="0" xr:uid="{54B62CC3-D4F5-4B05-8D5C-913470225264}">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H73" authorId="32" shapeId="0" xr:uid="{1C044D2A-374E-4120-937F-207C1B97A41E}">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I73" authorId="33" shapeId="0" xr:uid="{85970624-4471-455C-8ABD-F1067DF27242}">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BD73" authorId="34" shapeId="0" xr:uid="{A275D6EF-D7C4-4047-8068-E8C491B7F562}">
      <text>
        <t>[Threaded comment]
Your version of Excel allows you to read this threaded comment; however, any edits to it will get removed if the file is opened in a newer version of Excel. Learn more: https://go.microsoft.com/fwlink/?linkid=870924
Comment:
    D&amp;A change means 900M less Q1 and 2.7B less in FY21</t>
      </text>
    </comment>
    <comment ref="AD79" authorId="35" shapeId="0" xr:uid="{8871302A-9BD9-46B1-A8CB-C76A90D51258}">
      <text>
        <t>[Threaded comment]
Your version of Excel allows you to read this threaded comment; however, any edits to it will get removed if the file is opened in a newer version of Excel. Learn more: https://go.microsoft.com/fwlink/?linkid=870924
Comment:
    "And, on a dollar basis, we expect capital expenditures to be slightly down sequentially with normal quarterly variability in the timing of cloud infrastructure buildout." Q2 Call</t>
      </text>
    </comment>
    <comment ref="AE79" authorId="36" shapeId="0" xr:uid="{46813019-3E59-4FC8-A16F-E809F8F67B21}">
      <text>
        <t>[Threaded comment]
Your version of Excel allows you to read this threaded comment; however, any edits to it will get removed if the file is opened in a newer version of Excel. Learn more: https://go.microsoft.com/fwlink/?linkid=870924
Comment:
    "Capital expenditures, we expect a sequential increase on a dollar basis as we continue to invest to meet growing global demand for our cloud services"</t>
      </text>
    </comment>
    <comment ref="AF79" authorId="37" shapeId="0" xr:uid="{382BB08A-3755-43A1-88FE-D9A9F668C8DB}">
      <text>
        <t>[Threaded comment]
Your version of Excel allows you to read this threaded comment; however, any edits to it will get removed if the file is opened in a newer version of Excel. Learn more: https://go.microsoft.com/fwlink/?linkid=870924
Comment:
    4Q22 call: "In capital expenditures, we expect a sequential decrease on a dollar basis with normal quarterly spend variability in the timing of our cloud infrastructure buildout."</t>
      </text>
    </comment>
    <comment ref="AG79" authorId="38" shapeId="0" xr:uid="{B6B17B0E-2767-4EF5-AE1F-FBDEADE7D2BB}">
      <text>
        <t>[Threaded comment]
Your version of Excel allows you to read this threaded comment; however, any edits to it will get removed if the file is opened in a newer version of Excel. Learn more: https://go.microsoft.com/fwlink/?linkid=870924
Comment:
    Q1 guide of sequential decrease</t>
      </text>
    </comment>
    <comment ref="W114" authorId="39" shapeId="0" xr:uid="{EB1AC7BC-78B8-44E6-92A3-10F327188AC6}">
      <text>
        <t>[Threaded comment]
Your version of Excel allows you to read this threaded comment; however, any edits to it will get removed if the file is opened in a newer version of Excel. Learn more: https://go.microsoft.com/fwlink/?linkid=870924
Comment:
    11.65-11.95 guide</t>
      </text>
    </comment>
    <comment ref="X114" authorId="40" shapeId="0" xr:uid="{1C05113E-0CDB-414F-AB3F-94257FFD7F54}">
      <text>
        <t>[Threaded comment]
Your version of Excel allows you to read this threaded comment; however, any edits to it will get removed if the file is opened in a newer version of Excel. Learn more: https://go.microsoft.com/fwlink/?linkid=870924
Comment:
    11.65-11.90 Q4 guide</t>
      </text>
    </comment>
    <comment ref="Y114" authorId="41" shapeId="0" xr:uid="{3EDDCF45-6C30-4F64-91A6-73F09704FA61}">
      <text>
        <t>[Threaded comment]
Your version of Excel allows you to read this threaded comment; however, any edits to it will get removed if the file is opened in a newer version of Excel. Learn more: https://go.microsoft.com/fwlink/?linkid=870924
Comment:
    $12.75-13 Q1 guide</t>
      </text>
    </comment>
    <comment ref="Z114" authorId="42" shapeId="0" xr:uid="{9685F24A-A7E1-4318-A2E5-76872B9436AE}">
      <text>
        <t>[Threaded comment]
Your version of Excel allows you to read this threaded comment; however, any edits to it will get removed if the file is opened in a newer version of Excel. Learn more: https://go.microsoft.com/fwlink/?linkid=870924
Comment:
    Q1 guide of 13.35-13.6</t>
      </text>
    </comment>
    <comment ref="AA114" authorId="43" shapeId="0" xr:uid="{B5B6ED67-311D-4228-B457-EAFB72ACD482}">
      <text>
        <t>[Threaded comment]
Your version of Excel allows you to read this threaded comment; however, any edits to it will get removed if the file is opened in a newer version of Excel. Learn more: https://go.microsoft.com/fwlink/?linkid=870924
Comment:
    Q3 guide of 13.8-14.05</t>
      </text>
    </comment>
    <comment ref="AB114" authorId="44" shapeId="0" xr:uid="{3BED3A54-4B15-42E6-A174-90B327372562}">
      <text>
        <t>[Threaded comment]
Your version of Excel allows you to read this threaded comment; however, any edits to it will get removed if the file is opened in a newer version of Excel. Learn more: https://go.microsoft.com/fwlink/?linkid=870924
Comment:
    Q4 guide of 14.5-14.75</t>
      </text>
    </comment>
    <comment ref="AC114" authorId="45" shapeId="0" xr:uid="{0822F084-60B1-4CCA-BC53-41CDB6111521}">
      <text>
        <t>[Threaded comment]
Your version of Excel allows you to read this threaded comment; however, any edits to it will get removed if the file is opened in a newer version of Excel. Learn more: https://go.microsoft.com/fwlink/?linkid=870924
Comment:
    Q1 guide of 15.7-15.95</t>
      </text>
    </comment>
    <comment ref="AD114" authorId="46" shapeId="0" xr:uid="{8A00680B-A0A9-45CC-9EC2-24C87AAF0BDD}">
      <text>
        <t>[Threaded comment]
Your version of Excel allows you to read this threaded comment; however, any edits to it will get removed if the file is opened in a newer version of Excel. Learn more: https://go.microsoft.com/fwlink/?linkid=870924
Comment:
    Q2 Guide of 15.6-15.85</t>
      </text>
    </comment>
    <comment ref="AE114" authorId="47" shapeId="0" xr:uid="{F8C7EC10-DDCF-4A27-ACF4-A6D2F47EA426}">
      <text>
        <t>[Threaded comment]
Your version of Excel allows you to read this threaded comment; however, any edits to it will get removed if the file is opened in a newer version of Excel. Learn more: https://go.microsoft.com/fwlink/?linkid=870924
Comment:
    Q3 Guide of 16.65-16.90;
Updated 6.2.22 guide of 16.48-16.73</t>
      </text>
    </comment>
    <comment ref="AF114" authorId="48" shapeId="0" xr:uid="{0F552A18-48C7-45BE-B971-AE210B086F65}">
      <text>
        <t>[Threaded comment]
Your version of Excel allows you to read this threaded comment; however, any edits to it will get removed if the file is opened in a newer version of Excel. Learn more: https://go.microsoft.com/fwlink/?linkid=870924
Comment:
    Q4 Guide of 15.96-16.25</t>
      </text>
    </comment>
    <comment ref="AG114" authorId="49" shapeId="0" xr:uid="{87581234-D30B-4C4D-8625-20A2E2B3B9FF}">
      <text>
        <t>[Threaded comment]
Your version of Excel allows you to read this threaded comment; however, any edits to it will get removed if the file is opened in a newer version of Excel. Learn more: https://go.microsoft.com/fwlink/?linkid=870924
Comment:
    Q1 guide 16.6-16.9</t>
      </text>
    </comment>
    <comment ref="W115" authorId="50" shapeId="0" xr:uid="{78307713-C009-447D-A550-657247252C5A}">
      <text>
        <t>[Threaded comment]
Your version of Excel allows you to read this threaded comment; however, any edits to it will get removed if the file is opened in a newer version of Excel. Learn more: https://go.microsoft.com/fwlink/?linkid=870924
Comment:
    12.9-13.15 guide</t>
      </text>
    </comment>
    <comment ref="X115" authorId="51" shapeId="0" xr:uid="{388D9D9F-C72E-48F5-B650-65CDAF52C435}">
      <text>
        <t>[Threaded comment]
Your version of Excel allows you to read this threaded comment; however, any edits to it will get removed if the file is opened in a newer version of Excel. Learn more: https://go.microsoft.com/fwlink/?linkid=870924
Comment:
    12.55-12.80 Q4 guide</t>
      </text>
    </comment>
    <comment ref="Y115" authorId="52" shapeId="0" xr:uid="{BB61DBB3-9E45-4B0E-9203-757B1881CB20}">
      <text>
        <t>[Threaded comment]
Your version of Excel allows you to read this threaded comment; however, any edits to it will get removed if the file is opened in a newer version of Excel. Learn more: https://go.microsoft.com/fwlink/?linkid=870924
Comment:
    $13.55-13.8 Q1 guide</t>
      </text>
    </comment>
    <comment ref="Z115" authorId="53" shapeId="0" xr:uid="{86CC0559-E496-4208-A144-A86438E836A2}">
      <text>
        <t>[Threaded comment]
Your version of Excel allows you to read this threaded comment; however, any edits to it will get removed if the file is opened in a newer version of Excel. Learn more: https://go.microsoft.com/fwlink/?linkid=870924
Comment:
    Q1 guide of 14.7-14.95</t>
      </text>
    </comment>
    <comment ref="AA115" authorId="54" shapeId="0" xr:uid="{B284F14B-0FD6-445D-B72E-CF8ADE3D8FE1}">
      <text>
        <t>[Threaded comment]
Your version of Excel allows you to read this threaded comment; however, any edits to it will get removed if the file is opened in a newer version of Excel. Learn more: https://go.microsoft.com/fwlink/?linkid=870924
Comment:
    Q3 guide of 16.2-16.45</t>
      </text>
    </comment>
    <comment ref="AB115" authorId="55" shapeId="0" xr:uid="{BC5100C3-DD1E-4368-8814-1ECA46E52C7B}">
      <text>
        <t>[Threaded comment]
Your version of Excel allows you to read this threaded comment; however, any edits to it will get removed if the file is opened in a newer version of Excel. Learn more: https://go.microsoft.com/fwlink/?linkid=870924
Comment:
    Q4 guide of 16.4-16.65</t>
      </text>
    </comment>
    <comment ref="AC115" authorId="56" shapeId="0" xr:uid="{C575EC67-1546-4673-AD6C-7A60BAEF1BB4}">
      <text>
        <t>[Threaded comment]
Your version of Excel allows you to read this threaded comment; however, any edits to it will get removed if the file is opened in a newer version of Excel. Learn more: https://go.microsoft.com/fwlink/?linkid=870924
Comment:
    Q1 guide of 18.1-18.35</t>
      </text>
    </comment>
    <comment ref="AD115" authorId="57" shapeId="0" xr:uid="{92DB0D52-F784-49B5-95F3-1B927F6C0509}">
      <text>
        <t>[Threaded comment]
Your version of Excel allows you to read this threaded comment; however, any edits to it will get removed if the file is opened in a newer version of Excel. Learn more: https://go.microsoft.com/fwlink/?linkid=870924
Comment:
    Q2 Guide of 18.75-19.0</t>
      </text>
    </comment>
    <comment ref="AE115" authorId="58" shapeId="0" xr:uid="{217682A9-5151-4F80-932C-CE012E445FFF}">
      <text>
        <t>[Threaded comment]
Your version of Excel allows you to read this threaded comment; however, any edits to it will get removed if the file is opened in a newer version of Excel. Learn more: https://go.microsoft.com/fwlink/?linkid=870924
Comment:
    Q3 Guide of 21.10-21.35;
updated 6.2.22 guide of 20.92-21.17</t>
      </text>
    </comment>
    <comment ref="AF115" authorId="59" shapeId="0" xr:uid="{0AD1B5A8-10EA-4843-9EF8-9995F6AABD92}">
      <text>
        <t>[Threaded comment]
Your version of Excel allows you to read this threaded comment; however, any edits to it will get removed if the file is opened in a newer version of Excel. Learn more: https://go.microsoft.com/fwlink/?linkid=870924
Comment:
    Q4 Guide of 20.3-20.6; revised 20.2-20.5 after FY23e investor metrics reallocate HoloLens</t>
      </text>
    </comment>
    <comment ref="AG115" authorId="60" shapeId="0" xr:uid="{401D3B40-7386-41D9-8C25-6C7B958002A6}">
      <text>
        <t>[Threaded comment]
Your version of Excel allows you to read this threaded comment; however, any edits to it will get removed if the file is opened in a newer version of Excel. Learn more: https://go.microsoft.com/fwlink/?linkid=870924
Comment:
    Q1 guide 21.25-21.55</t>
      </text>
    </comment>
    <comment ref="BI115" authorId="61" shapeId="0" xr:uid="{57E0618D-2E4A-4BC7-9085-EDE04E83A0B7}">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BJ115" authorId="62" shapeId="0" xr:uid="{44E70D50-E1B7-4B55-9B38-1C77836230B3}">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BK115" authorId="63" shapeId="0" xr:uid="{404711FE-CCC0-425F-BDB5-D6DEB5057807}">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W116" authorId="64" shapeId="0" xr:uid="{F82FCC36-5A32-4A93-A37C-56ACC034A559}">
      <text>
        <t>[Threaded comment]
Your version of Excel allows you to read this threaded comment; however, any edits to it will get removed if the file is opened in a newer version of Excel. Learn more: https://go.microsoft.com/fwlink/?linkid=870924
Comment:
    11.3-11.7 guide</t>
      </text>
    </comment>
    <comment ref="X116" authorId="65" shapeId="0" xr:uid="{F11619A2-F0CA-4A4A-8A32-DB755F79A655}">
      <text>
        <t>[Threaded comment]
Your version of Excel allows you to read this threaded comment; however, any edits to it will get removed if the file is opened in a newer version of Excel. Learn more: https://go.microsoft.com/fwlink/?linkid=870924
Comment:
    10.95-11.35 Q4 guide</t>
      </text>
    </comment>
    <comment ref="Y116" authorId="66" shapeId="0" xr:uid="{1951A8DC-F8D8-4106-A3EE-49E37DAEFD9A}">
      <text>
        <t>[Threaded comment]
Your version of Excel allows you to read this threaded comment; however, any edits to it will get removed if the file is opened in a newer version of Excel. Learn more: https://go.microsoft.com/fwlink/?linkid=870924
Comment:
    $13.2-13.6 Q1 guide</t>
      </text>
    </comment>
    <comment ref="Z116" authorId="67" shapeId="0" xr:uid="{47434661-85AC-4C03-BB83-A99F51E068F4}">
      <text>
        <t>[Threaded comment]
Your version of Excel allows you to read this threaded comment; however, any edits to it will get removed if the file is opened in a newer version of Excel. Learn more: https://go.microsoft.com/fwlink/?linkid=870924
Comment:
    Q1 guide of 12.3-12.7</t>
      </text>
    </comment>
    <comment ref="AA116" authorId="68" shapeId="0" xr:uid="{EE534BE6-5768-4AFF-BA2D-F00074D9A327}">
      <text>
        <t>[Threaded comment]
Your version of Excel allows you to read this threaded comment; however, any edits to it will get removed if the file is opened in a newer version of Excel. Learn more: https://go.microsoft.com/fwlink/?linkid=870924
Comment:
    Q3 guide of 13.6-14.0</t>
      </text>
    </comment>
    <comment ref="AB116" authorId="69" shapeId="0" xr:uid="{FC3936FA-CA78-4154-BE21-D44ABD1852C7}">
      <text>
        <t>[Threaded comment]
Your version of Excel allows you to read this threaded comment; however, any edits to it will get removed if the file is opened in a newer version of Excel. Learn more: https://go.microsoft.com/fwlink/?linkid=870924
Comment:
    Q4 guide of 12.4-12.8</t>
      </text>
    </comment>
    <comment ref="AC116" authorId="70" shapeId="0" xr:uid="{B071974C-15B6-4476-9266-EF51FFA6657D}">
      <text>
        <t>[Threaded comment]
Your version of Excel allows you to read this threaded comment; however, any edits to it will get removed if the file is opened in a newer version of Excel. Learn more: https://go.microsoft.com/fwlink/?linkid=870924
Comment:
    Q1 guide of 16.35-16.75</t>
      </text>
    </comment>
    <comment ref="AD116" authorId="71" shapeId="0" xr:uid="{D8F30B00-1ACC-4D56-A734-0F4A8B62E026}">
      <text>
        <t>[Threaded comment]
Your version of Excel allows you to read this threaded comment; however, any edits to it will get removed if the file is opened in a newer version of Excel. Learn more: https://go.microsoft.com/fwlink/?linkid=870924
Comment:
    Q2 Guide of 14.15-14.45</t>
      </text>
    </comment>
    <comment ref="AE116" authorId="72" shapeId="0" xr:uid="{81D68EF1-81A3-4F2E-B666-941A01174A6A}">
      <text>
        <t>[Threaded comment]
Your version of Excel allows you to read this threaded comment; however, any edits to it will get removed if the file is opened in a newer version of Excel. Learn more: https://go.microsoft.com/fwlink/?linkid=870924
Comment:
    Q3 Guide of 14.65-14.95; 
updated 6.2.22 guide of 14.54-14.84</t>
      </text>
    </comment>
    <comment ref="AF116" authorId="73" shapeId="0" xr:uid="{0A16107F-1817-4E56-9463-64E5164EAD34}">
      <text>
        <t>[Threaded comment]
Your version of Excel allows you to read this threaded comment; however, any edits to it will get removed if the file is opened in a newer version of Excel. Learn more: https://go.microsoft.com/fwlink/?linkid=870924
Comment:
    Q4 Guide of 13.0-13.4; revised 13.1-13.5 after FY23e investor metrics reallocate HoloLens</t>
      </text>
    </comment>
    <comment ref="AG116" authorId="74" shapeId="0" xr:uid="{965C1C82-392C-4E10-BA02-8BF86CAD6E0D}">
      <text>
        <t>[Threaded comment]
Your version of Excel allows you to read this threaded comment; however, any edits to it will get removed if the file is opened in a newer version of Excel. Learn more: https://go.microsoft.com/fwlink/?linkid=870924
Comment:
    Q1 guide 14.5-14.9</t>
      </text>
    </comment>
    <comment ref="BI116" authorId="75" shapeId="0" xr:uid="{47116650-66AB-4A09-9E66-CCAB046D733C}">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BJ116" authorId="76" shapeId="0" xr:uid="{E27DCDD0-3965-4F3E-A447-9A051A1002C1}">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BK116" authorId="77" shapeId="0" xr:uid="{E4C0CB98-7DE9-4E33-AB36-D323BBDFE885}">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BI117" authorId="78" shapeId="0" xr:uid="{2C3AFD7E-4719-46FB-95C2-293B6D7A5D55}">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BJ117" authorId="79" shapeId="0" xr:uid="{BBB3AC65-C3FF-495F-82E7-9D36F3170DCF}">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BK117" authorId="80" shapeId="0" xr:uid="{E1199233-F2FF-4F72-A507-0D18383B6AF0}">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AE121" authorId="81" shapeId="0" xr:uid="{7F86B462-B734-4BDD-A4E0-2DC62DD05BFE}">
      <text>
        <t>[Threaded comment]
Your version of Excel allows you to read this threaded comment; however, any edits to it will get removed if the file is opened in a newer version of Excel. Learn more: https://go.microsoft.com/fwlink/?linkid=870924
Comment:
    10.27.21 - gradually reduce off Q3 three year stack level</t>
      </text>
    </comment>
    <comment ref="AF121" authorId="82" shapeId="0" xr:uid="{9F46957A-1FA5-4D88-AD86-E9186BDFBA9A}">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G121" authorId="83" shapeId="0" xr:uid="{907C19CC-94A4-422F-9F06-46E2E4C499B4}">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H121" authorId="84" shapeId="0" xr:uid="{9424C4A2-86DD-4E6E-B894-CAEC5AED2194}">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I121" authorId="85" shapeId="0" xr:uid="{0200313A-FD1E-43B2-B5B4-69EADE9184E3}">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D122" authorId="86" shapeId="0" xr:uid="{27C4EFAE-7097-45BF-859A-A6F75B16D9EF}">
      <text>
        <t>[Threaded comment]
Your version of Excel allows you to read this threaded comment; however, any edits to it will get removed if the file is opened in a newer version of Excel. Learn more: https://go.microsoft.com/fwlink/?linkid=870924
Comment:
    Adding 350 per quarter for NUAN (only March in FQ3)</t>
      </text>
    </comment>
    <comment ref="AE122" authorId="87" shapeId="0" xr:uid="{A5CD2D45-10CE-4C7D-A264-DADFBE914460}">
      <text>
        <t>[Threaded comment]
Your version of Excel allows you to read this threaded comment; however, any edits to it will get removed if the file is opened in a newer version of Excel. Learn more: https://go.microsoft.com/fwlink/?linkid=870924
Comment:
    10.27.21 - gradually reduce off Q3 three year stack level</t>
      </text>
    </comment>
    <comment ref="AF122" authorId="88" shapeId="0" xr:uid="{BB394418-A0CA-49B8-B7C1-DF291A8180EC}">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G122" authorId="89" shapeId="0" xr:uid="{9B3DD0F8-F562-421E-A309-E2CB5EDE879E}">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H122" authorId="90" shapeId="0" xr:uid="{4E839CAB-C105-4244-8A65-A7C0ED7950E8}">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I122" authorId="91" shapeId="0" xr:uid="{EEF9F497-1053-4AD3-9E9D-A5E4E10B2D1B}">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E123" authorId="92" shapeId="0" xr:uid="{FCECF491-71A0-4A28-AF1F-57565C41E8CC}">
      <text>
        <t>[Threaded comment]
Your version of Excel allows you to read this threaded comment; however, any edits to it will get removed if the file is opened in a newer version of Excel. Learn more: https://go.microsoft.com/fwlink/?linkid=870924
Comment:
    10.27.21 - gradually reduce off Q3 three year stack level</t>
      </text>
    </comment>
    <comment ref="AF123" authorId="93" shapeId="0" xr:uid="{BA0A2F9F-CA88-4631-A733-B13DA2ECD08E}">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G123" authorId="94" shapeId="0" xr:uid="{43633FCA-010D-4657-A13D-6316CB52BD04}">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H123" authorId="95" shapeId="0" xr:uid="{1427D541-53FD-4364-B771-E592614EE75E}">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I123" authorId="96" shapeId="0" xr:uid="{27A7C0A2-0DF0-4480-8818-002085F60FCC}">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X146" authorId="97" shapeId="0" xr:uid="{185106EB-5963-4F46-B3DD-4724237B3C8C}">
      <text>
        <t>[Threaded comment]
Your version of Excel allows you to read this threaded comment; however, any edits to it will get removed if the file is opened in a newer version of Excel. Learn more: https://go.microsoft.com/fwlink/?linkid=870924
Comment:
    13.7 - 14.3 Q4 implied guide</t>
      </text>
    </comment>
    <comment ref="Z146" authorId="98" shapeId="0" xr:uid="{ABDA891E-46BF-448E-9EA7-E3B567DFD1E7}">
      <text>
        <t>[Threaded comment]
Your version of Excel allows you to read this threaded comment; however, any edits to it will get removed if the file is opened in a newer version of Excel. Learn more: https://go.microsoft.com/fwlink/?linkid=870924
Comment:
    Q1 midpoint guide of 15.65</t>
      </text>
    </comment>
    <comment ref="R386" authorId="99" shapeId="0" xr:uid="{5BD7F01D-F2BF-4C61-8A44-8D04F4E32B04}">
      <text>
        <t>[Threaded comment]
Your version of Excel allows you to read this threaded comment; however, any edits to it will get removed if the file is opened in a newer version of Excel. Learn more: https://go.microsoft.com/fwlink/?linkid=870924
Comment:
    MAUs surpassed 180M</t>
      </text>
    </comment>
    <comment ref="H603" authorId="100" shapeId="0" xr:uid="{4E621AA6-7E1E-49F9-96E2-31C33A12C9BA}">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I603" authorId="101" shapeId="0" xr:uid="{864C0A20-3FE9-4C12-9896-C047E5F122E4}">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J603" authorId="102" shapeId="0" xr:uid="{6C7A4426-3C56-47B9-B7E3-44A1133AB703}">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K603" authorId="103" shapeId="0" xr:uid="{E7C8205D-08A0-44BA-B48E-DC7AC6BF478E}">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L603" authorId="104" shapeId="0" xr:uid="{0BFBB10D-8866-42C4-9185-5FD039DCBD6C}">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M603" authorId="105" shapeId="0" xr:uid="{654B31CF-C79D-4CDA-9CA2-A0C1A5FD8B35}">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N603" authorId="106" shapeId="0" xr:uid="{1F1E6E3B-7117-4710-A5EB-732D5F6B8D78}">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O603" authorId="107" shapeId="0" xr:uid="{12CE43EC-608C-437C-9C89-8E5405D318BB}">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P603" authorId="108" shapeId="0" xr:uid="{3EA4CBD1-A107-4F72-BC74-25A44EEF8CC7}">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Q603" authorId="109" shapeId="0" xr:uid="{DF1B3E96-BF0D-4E4C-A74A-2D4F71F6A834}">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R603" authorId="110" shapeId="0" xr:uid="{A7ABF591-F9DA-4DDA-8BAF-559AD5F1C52C}">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S603" authorId="111" shapeId="0" xr:uid="{A8037976-1A27-4F9D-B91E-77B810E85FAE}">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T603" authorId="112" shapeId="0" xr:uid="{689A739D-9F65-4CF4-8BC3-06F1203053BF}">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U603" authorId="113" shapeId="0" xr:uid="{5940FD42-415A-40D6-909D-C7B4860983BC}">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V603" authorId="114" shapeId="0" xr:uid="{BAB0F768-8C2E-4E44-97D4-5E3B01AD0AD9}">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W603" authorId="115" shapeId="0" xr:uid="{E57BD4D9-9095-4536-8497-19948AA65431}">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List>
</comments>
</file>

<file path=xl/sharedStrings.xml><?xml version="1.0" encoding="utf-8"?>
<sst xmlns="http://schemas.openxmlformats.org/spreadsheetml/2006/main" count="11693" uniqueCount="2481">
  <si>
    <t>允䅁䑁䅧䅁佁䅁䅁睉䙂䙁䅉杕偂䙁䅉䅁㉁䅁䅁䅅䅁䍁䅑兖呂䕁䅑兑噂䕁䅑䅁䙁䅁䅁䅅䅁䍁䅑兖呂䕁䅑睑䉂䕁䅑䅁剁䅁䅁䅅䅁䍁䅑兖呂䕁䅑兒噂䙁䅉䅁䅁䅁䅁䅅䅁䍁䅑兖呂䕁䅑睒䍂䙁䅁䅁䝁䅁䅁䅅䅁䍁䅑兖呂䕁䅑杓兂䙁䅫䅁敁䅁䅁䅋䅁䍁䅧睑桂䡁䅁兙楂䝁䅫䅢灂䡁䅑入杁䕁䄴党求䝁䅑党歂䍁䅫䅁ぁ䅁䅁杅䅁䑁䅅睌硁䍁䄸杍睁䑁䅉睍䅁䉁䅙䅁啁䅁䅁李癁䑁䅍䅍癁䑁䅅兏㕁䑁䅁䅁䕁䅁䅁䅆䅁䑁䅙睌穁䑁䅁睌硁䑁䅫兏硁䅁䅁杉䅁䉁䅑䅁㉁䍁䄸睍睁䍁䄸免㕁䑁䅫杍䅁䍁䄰䅁啁䅁䅁李癁䑁䅍䅍癁䑁䅅兏㕁䑁䅍䅁慁䅁䅁䅆䅁䑁䅙睌穁䑁䅁睌硁䑁䅫兏ぁ䅁䅁光䅁䉁䅑䅁㉁䍁䄸睍睁䍁䄸免㕁䑁䅫兎䅁䍁䄴䅁啁䅁䅁李癁䑁䅍䅍癁䑁䅅兏㕁䑁䅙䅁䭁䅁䅁䅆䅁䑁䅙睌穁䑁䅁睌硁䑁䅫兏㍁䅁䅁睌䅁䉁䅑䅁㉁䍁䄸睍睁䍁䄸免㕁䑁䅫䅏䅁䉁䅣䅁啁䅁䅁李癁䑁䅍䅍癁䑁䅅兏㕁䑁䅫䅁乁䅁䅁䅆䅁䑁䅙睌穁䑁䅁睌祁䑁䅁䅍睁䅁䅁睊䅁䉁䅑䅁㉁䍁䄸睍睁䍁䄸杍睁䑁䅁免䅁䅁䅫䅁啁䅁䅁李癁䑁䅍䅍癁䑁䅉䅍睁䑁䅉䅁睁䅁䅁䅆䅁䑁䅙睌穁䑁䅁睌祁䑁䅁䅍穁䅁䅁䅇䅁䉁䅑䅁㉁䍁䄸睍睁䍁䄸杍睁䑁䅁䅎䅁䅁䅧䅁啁䅁䅁李癁䑁䅍䅍癁䑁䅉䅍睁䑁䅕䅁捁䅁䅁䅆䅁䑁䅙睌穁䑁䅁睌祁䑁䅁䅍㉁䅁䅁先䅁䉁䅑䅁㉁䍁䄸睍睁䍁䄸杍睁䑁䅁睎䅁䍁䅍䅁啁䅁䅁李癁䑁䅍䅍癁䑁䅉䅍睁䑁䅧䅁啁䅁䅁䅆䅁䑁䅙睌穁䑁䅁睌祁䑁䅁䅍㕁䅁䅁䅅䅁䉁䅑䅁㉁䍁䄸睍睁䍁䄸杍睁䑁䅅䅍䅁䉁䅫䅁啁䅁䅁李癁䑁䅍䅍癁䑁䅉䅍硁䑁䅅䅁硁䅁䅁䅆䅁䑁䅙睌穁䑁䅁睌祁䑁䅁免祁䅁䅁杍䅁䉁䅑䅁㉁䍁䄸睍睁䍁䄸杍睁䑁䅅睍䅁䅁䅷䅁啁䅁䅁李癁䑁䅍䅍癁䑁䅉䅍硁䑁䅑䅁流䅁䅁䅆䅁䑁䅙睌穁䑁䅁睌祁䑁䅁免ㅁ䅁䅁杄䅁䉁䅑䅁㉁䍁䄸睍睁䍁䄸杍睁䑁䅅李䅁䉁䅳䅁啁䅁䅁李癁䑁䅍䅍癁䑁䅉䅍硁䑁䅣䅁偁䅁䅁䅆䅁䑁䅙睌穁䑁䅁睌祁䑁䅁免㑁䅁䅁睍䅁䉁䅑䅁㉁䍁䄸睍睁䍁䄸杍睁䑁䅅兏䅁䍁䅕䅁啁䅁䅁李癁䑁䅍䅍癁䑁䅉䅍祁䑁䅁䅁噁䅁䅁杄䅁䕁䅙兗祁䑁䅁免㕁䅁䅁䅉䅁䅁䄴䅁䝂䙁䅫杍睁䑁䅉䅍䅁䍁䅧䅁奁䅁䅁兓剂䙁䅑䅎㉁䑁䅅兎㉁䑁䅕免㍁䅁䅁睂䅁䉁䅯䅁䩂䙁䅅睘䑂䕁䅅䅕䙂䙁䅧睘䙂䙁䅍䅖䅁䉁䄸䅁歁䅁䅁兓剂䙁䄸睑䵂䕁䄸睕䙂䙁䅁杕䩂䕁䅍兒時䕁䅅䅒䭂䅁䅁睃䅁䉁䅷䅁䩂䙁䅅睘䙂䕁䅉兓啂䕁䅑兑時䕁䅕睕啂䅁䅁䅊䅁䍁䅧䅁䩂䙁䅅睘䡂䙁䅉睔呂䙁䅍睘乂䕁䅅杕䡂䕁䅫杔時䕁䅕睕啂䅁䅁䅌䅁䍁䅉䅁䩂䙁䅅睘䵂䕁䅅睕啂䙁䅍兑䵂䕁䅕䅕卂䕁䅫睑䙂䅁䅁睁䅁䉁䄴䅁䩂䙁䅅睘兂䕁䅕睘䙂䙁䅧睑䵂䙁䄸杒塂䕁䅑䅁呁䅁䅁杈䅁䕁䅫兕時䙁䅉兒坂䕁䅕杔噂䕁䅕睘䙂䙁䅍䅖䅁䍁䅫䅁䭁䅁䅁兔䩂䕁䅑䅒䅁䍁䅳䅁䭁䅁䅁兔呂䕁䅙䅖䅁䅁䅉䅁䝁䅁䅁杔䉂䅁䅁杋䅁䉁䄴䅁呂䙁䅁睘兂䙁䅉兓䑂䕁䅕睘䑂䕁䅷睔呂䕁䅕䅁㍁䅁䅁权䅁䙁䄴睕兂䙁䅧䅁十䅁䅁杉䅁䝁䅫兣時䝁䅷兙穂䡁䅑督桂䝁䅷党睂䡁䅉兡橂䝁䅕䅁䉁䅁䅁䅃䅁䝁䄴睌桂䅁䅁兎䅁䅁䅁䅁㵁</t>
  </si>
  <si>
    <t>BAABTAVMT0NBTAFI/////wFQtgEAADJDSVFBVkcuJFVTREVVUi5JUV9MQVNUU0FMRVBSSUNFLjEvMS8yMDIzLjMvMjYvMjAyMwEAAAAC7VoAAgAAABAxLjA3MTczODY1MzI1ODgyANyfqVeqLtsIk1Omvaou2wgyQ0lRQVZHLiRVU0RHQlAuSVFfTEFTVFNBTEVQUklDRS4xLzEvMjAyMy4zLzI2LzIwMjMBAAAAAu1aAAIAAAAMMS4yMTMyNTE3NjIyANyfqVeqLtsIk1Omvaou2wgyQ0lRQVZHLiRVU0RKUFkuSVFfTEFTVFNBTEVQUklDRS4xLzEvMjAyMy4zLzI2LzIwMjMBAAAAAu1aAAIAAAATMC4wMDc1NTg1MzAyMjM1Mjk0MQDcn6lXqi7bCJNTpr2qLtsIMkNJUUFWRy4kVVNEQVVELklRX0xBU1RTQUxFUFJJQ0UuMS8xLzIwMjMuMy8yNi8yMDIzAQAAAALtWgACAAAAETAuNjg0NDA0MTg0MzA1ODgyANyfqVeqLtsIk1Omvaou2wgyQ0lRQVZHLiRVU0RDQUQuSVFfTEFTVFNBTEVQUklDRS4xLzEvMjAyMy4zLzI2LzIwMjMBAAAAAu1aAAIAAAARMC43Mzk1NTA1NTg3ODgyMzUA3J+pV6ou2wiTU6a9qi7bCDNDSVFBVkcuJFVTREVVUi5JUV9MQVNUU0FMRVBSSUNFLjMvMjUvMjAyMy4zLzI2LzIwMjMBAAAAAu1aAAIAAAALMS4wNzU3MzE0OTcA3J+pV6ou2wiTU6a9qi7bCCZDSVEuXlNQWC5JUV9QRV9FWENMX0ZXRC42MDAwLjYvMzAvMjAxOQEAAACbuCgAAgAAAAkxNy40NjQxNTMA3J+pV6ou2wghAMJXqi7bCCZD</t>
  </si>
  <si>
    <t>SVEuXlNQWC5JUV9QRV9FWENMX0ZXRC42MDAwLjYvMzAvMjAwMwEAAACbuCgAAgAAAAkxNy41MDUyNTYA3J+pV6ou2wg3m8JXqi7bCCZDSVEuXlNQWC5JUV9QRV9FWENMX0ZXRC42MDAwLjYvMzAvMjAyMAEAAACbuCgAAgAAAAkyNC4wODAwNTUA3J+pV6ou2wghAMJXqi7bCCZDSVEuXlNQWC5JUV9QRV9FWENMX0ZXRC42MDAwLjYvMzAvMjAwNAEAAACbuCgAAgAAAAgxNy4wNDY5OQDcn6lXqi7bCDebwleqLtsIJkNJUS5eU1BYLklRX1BFX0VYQ0xfRldELjYwMDAuNi8zMC8yMDEzAQAAAJu4KAACAAAACTE0LjI1MTU5NwDcn6lXqi7bCCEAwleqLtsIJkNJUS5eU1BYLklRX1BFX0VYQ0xfRldELjYwMDAuNi8zMC8yMDE0AQAAAJu4KAACAAAACTE2LjE0NDAxMwDcn6lXqi7bCCEAwleqLtsIJkNJUS5eU1BYLklRX1BFX0VYQ0xfRldELjYwMDAuNi8zMC8yMDE1AQAAAJu4KAACAAAACTE3LjE0MTYzNgDcn6lXqi7bCCEAwleqLtsIJkNJUS5eU1BYLklRX1BFX0VYQ0xfRldELjYwMDAuNi8zMC8yMDE2AQAAAJu4KAACAAAACTE3LjMzMDY0OQDcn6lXqi7bCCEAwleqLtsIJkNJUS5eU1BYLklRX1BFX0VYQ0xfRldELjYwMDAuNi8zMC8yMDA5AQAAAJu4KAACAAAACTE0Ljc1Mzk3NwDcn6lXqi7bCCEAwleqLtsIJkNJUS5eU1BYLklRX1BFX0VYQ0xfRldELjYwMDAuNi8zMC8yMDEwAQAAAJu4KAACAAAACTEyLjE4MjMy</t>
  </si>
  <si>
    <t>NQDcn6lXqi7bCCEAwleqLtsIJkNJUS5eU1BYLklRX1BFX0VYQ0xfRldELjYwMDAuNi8zMC8yMDE4AQAAAJu4KAACAAAACTE2Ljc2NjA5NwDcn6lXqi7bCCEAwleqLtsIJkNJUS5eU1BYLklRX1BFX0VYQ0xfRldELjYwMDAuNi8zMC8yMDExAQAAAJu4KAACAAAACTEyLjg2ODIzOQDcn6lXqi7bCCEAwleqLtsIJkNJUS5eU1BYLklRX1BFX0VYQ0xfRldELjYwMDAuNi8zMC8yMDEyAQAAAJu4KAACAAAACTEyLjczMjA1MgDcn6lXqi7bCCInwleqLtsIJkNJUS5eU1BYLklRX1BFX0VYQ0xfRldELjYwMDAuNi8zMC8yMDAyBQAAAAAAAAAIAAAAEyhDYXBhYmlsaXR5IE5lZWRlZCncn6lXqi7bCDebwleqLtsIJkNJUS5eU1BYLklRX1BFX0VYQ0xfRldELjYwMDAuNi8zMC8yMDA1AQAAAJu4KAACAAAACTE1LjQ4MjEwOADcn6lXqi7bCCInwleqLtsIJkNJUS5eU1BYLklRX1BFX0VYQ0xfRldELjYwMDAuNi8zMC8yMDA2AQAAAJu4KAACAAAACTE0LjMxNTMyNADcn6lXqi7bCCInwleqLtsIJkNJUS5eU1BYLklRX1BFX0VYQ0xfRldELjYwMDAuNi8zMC8yMDA3AQAAAJu4KAACAAAACTE1LjMyNjI4MwDcn6lXqi7bCCInwleqLtsIJkNJUS5eU1BYLklRX1BFX0VYQ0xfRldELjYwMDAuNi8zMC8yMDA4AQAAAJu4KAACAAAACTEyLjczMjQyNwDcn6lXqi7bCCInwleqLtsIJkNJUS5eU1BYLklRX1BFX0VYQ0xfRldELjYwMDAu</t>
  </si>
  <si>
    <t>Ni8zMC8yMDE3AQAAAJu4KAACAAAACTE4LjE4NzM4NADcn6lXqi7bCCEAwleqLtsIJkNJUS5eU1BYLklRX1BFX0VYQ0xfRldELjYwMDAuNi8zMC8yMDAxBQAAAAAAAAAIAAAAEyhDYXBhYmlsaXR5IE5lZWRlZCncn6lXqi7bCCInwleqLtsIIUNJUUFWRy4kVVNERVVSLklRX0xBU1RTQUxFUFJJQ0UuLgEAAAAC7VoAAgAAAAsxLjA3NTczMTQ5NwAqbcVWqi7bCPObyVeqLtsIKUNJUUFWRy4kVVNERVVSLklRX0xBU1RTQUxFUFJJQ0UuMS8xLzIwMjMuAQAAAALtWgACAAAAEDEuMDcxNzg1MDgxNjc0NDIAKm3FVqou2wgrIchXqi7bCClDSVFBVkcuJFVTREdCUC5JUV9MQVNUU0FMRVBSSUNFLjEvMS8yMDIzLgEAAAAC7VoAAgAAABAxLjIxMzM1OTQwMjU1ODE0ACptxVaqLtsIvq/DV6ou2wgpQ0lRQVZHLiRVU0RKUFkuSVFfTEFTVFNBTEVQUklDRS4xLzEvMjAyMy4BAAAAAu1aAAIAAAATMC4wMDc1NTk1OTg1NTgxMzk1NAAqbcVWqi7bCL6vw1eqLtsIKUNJUUFWRy4kVVNEQVVELklRX0xBU1RTQUxFUFJJQ0UuMS8xLzIwMjMuAQAAAALtWgACAAAAETAuNjg0MTY2NTM3MjMyNTU4ACptxVaqLtsIGV7DV6ou2wgpQ0lRQVZHLiRVU0RDQUQuSVFfTEFTVFNBTEVQUklDRS4xLzEvMjAyMy4BAAAAAu1aAAIAAAARMC43Mzk0MDY4NzA4NjA0NjUAKm3FVqou2wgCEMNXqi7bCB5DSVEuTVNGVC5JUV9QRV9FWENMX0ZXRC5G</t>
  </si>
  <si>
    <t>WTIwMTkBAAAAS1UAAAMAAAAAANyfqVeqLtsIFMLCV6ou2wgeQ0lRLk1TRlQuSVFfUEVfRVhDTF9GV0QuRlkyMDIwAQAAAEtVAAADAAAAAADcn6lXqi7bCAzpwleqLtsII0NJUS5NU0ZULklRX0xBU1RTQUxFUFJJQ0UuNi8zMC8xOTkwAQAAAEtVAAACAAAACDEuMDU1NTU2ANyfqVeqLtsIDOnCV6ou2wgjQ0lRLk1TRlQuSVFfTEFTVFNBTEVQUklDRS42LzMwLzE5OTEBAAAAS1UAAAIAAAAIMS40MTkyNzEA3J+pV6ou2wgM6cJXqi7bCCNDSVEuTVNGVC5JUV9MQVNUU0FMRVBSSUNFLjYvMzAvMTk5MgEAAABLVQAAAgAAAAYyLjE4NzUA3J+pV6ou2wgM6cJXqi7bCCNDSVEuTVNGVC5JUV9MQVNUU0FMRVBSSUNFLjYvMzAvMTk5MwEAAABLVQAAAgAAAAQyLjc1ANyfqVeqLtsIDOnCV6ou2wgjQ0lRLk1TRlQuSVFfTEFTVFNBTEVQUklDRS42LzMwLzE5OTQBAAAAS1UAAAIAAAAHMy4yMjY1NgDcn6lXqi7bCAzpwleqLtsII0NJUS5NU0ZULklRX0xBU1RTQUxFUFJJQ0UuNi8zMC8xOTk1AQAAAEtVAAACAAAABzUuNjQ4NDQA3J+pV6ou2wgUwsJXqi7bCCNDSVEuTVNGVC5JUV9MQVNUU0FMRVBSSUNFLjYvMzAvMTk5NgEAAABLVQAAAgAAAAc3LjUwNzgxANyfqVeqLtsIDOnCV6ou2wgjQ0lRLk1TRlQuSVFfTEFTVFNBTEVQUklDRS42LzMwLzE5OTcBAAAAS1UAAAIAAAAIMTUuNzk2ODgA3J+pV6ou2wgUwsJXqi7bCCND</t>
  </si>
  <si>
    <t>SVEuTVNGVC5JUV9MQVNUU0FMRVBSSUNFLjYvMzAvMTk5OAEAAABLVQAAAgAAAAgyNy4wOTM3NQDcn6lXqi7bCBTCwleqLtsII0NJUS5NU0ZULklRX0xBU1RTQUxFUFJJQ0UuNi8zMC8xOTk5AQAAAEtVAAACAAAACDQ1LjA5Mzc1ANyfqVeqLtsIDOnCV6ou2wgjQ0lRLk1TRlQuSVFfTEFTVFNBTEVQUklDRS42LzMwLzIwMDABAAAAS1UAAAIAAAACNDAA3J+pV6ou2wgUwsJXqi7bCCNDSVEuTVNGVC5JUV9MQVNUU0FMRVBSSUNFLjYvMzAvMjAwMQEAAABLVQAAAgAAAAQzNi41ANyfqVeqLtsIFMLCV6ou2wgjQ0lRLk1TRlQuSVFfTEFTVFNBTEVQUklDRS42LzMwLzIwMDIBAAAAS1UAAAIAAAAFMjcuMzUA3J+pV6ou2wgM6cJXqi7bCCNDSVEuTVNGVC5JUV9MQVNUU0FMRVBSSUNFLjYvMzAvMjAwMwEAAABLVQAAAgAAAAUyNS42NADcn6lXqi7bCBTCwleqLtsII0NJUS5NU0ZULklRX0xBU1RTQUxFUFJJQ0UuNi8zMC8yMDA0AQAAAEtVAAACAAAABTI4LjU2ANyfqVeqLtsIFMLCV6ou2wgjQ0lRLk1TRlQuSVFfTEFTVFNBTEVQUklDRS42LzMwLzIwMDUBAAAAS1UAAAIAAAAFMjQuODQA3J+pV6ou2wgUwsJXqi7bCCNDSVEuTVNGVC5JUV9MQVNUU0FMRVBSSUNFLjYvMzAvMjAwNgEAAABLVQAAAgAAAAQyMy4zANyfqVeqLtsIDOnCV6ou2wgjQ0lRLk1TRlQuSVFfTEFTVFNBTEVQUklDRS42LzMwLzIwMDcBAAAAS1UA</t>
  </si>
  <si>
    <t>AAIAAAAFMjkuNDcA3J+pV6ou2wgUwsJXqi7bCCNDSVEuTVNGVC5JUV9MQVNUU0FMRVBSSUNFLjYvMzAvMjAwOAEAAABLVQAAAgAAAAUyNy41MQDcn6lXqi7bCAzpwleqLtsII0NJUS5NU0ZULklRX0xBU1RTQUxFUFJJQ0UuNi8zMC8yMDA5AQAAAEtVAAACAAAABTIzLjc3ANyfqVeqLtsIFMLCV6ou2wgjQ0lRLk1TRlQuSVFfTEFTVFNBTEVQUklDRS42LzMwLzIwMTABAAAAS1UAAAIAAAAFMjMuMDEA3J+pV6ou2wgM6cJXqi7bCCNDSVEuTVNGVC5JUV9MQVNUU0FMRVBSSUNFLjYvMzAvMjAxMQEAAABLVQAAAgAAAAIyNgDcn6lXqi7bCBTCwleqLtsII0NJUS5NU0ZULklRX0xBU1RTQUxFUFJJQ0UuNi8zMC8yMDEyAQAAAEtVAAACAAAABTMwLjU5ANyfqVeqLtsIDOnCV6ou2wgjQ0lRLk1TRlQuSVFfTEFTVFNBTEVQUklDRS42LzMwLzIwMTMBAAAAS1UAAAIAAAAGMzQuNTQ1ANyfqVeqLtsIFMLCV6ou2wgjQ0lRLk1TRlQuSVFfTEFTVFNBTEVQUklDRS42LzMwLzIwMTQBAAAAS1UAAAIAAAAENDEuNwDcn6lXqi7bCAzpwleqLtsII0NJUS5NU0ZULklRX0xBU1RTQUxFUFJJQ0UuNi8zMC8yMDE1AQAAAEtVAAACAAAABTQ0LjE1ANyfqVeqLtsIDOnCV6ou2wgjQ0lRLk1TRlQuSVFfTEFTVFNBTEVQUklDRS42LzMwLzIwMTYBAAAAS1UAAAIAAAAFNTEuMTcA3J+pV6ou2wgM6cJXqi7bCCNDSVEuTVNGVC5JUV9MQVNU</t>
  </si>
  <si>
    <t>U0FMRVBSSUNFLjYvMzAvMjAxNwEAAABLVQAAAgAAAAU2OC45MwDcn6lXqi7bCAzpwleqLtsII0NJUS5NU0ZULklRX0xBU1RTQUxFUFJJQ0UuNi8zMC8yMDE4AQAAAEtVAAACAAAABTk4LjYxANyfqVeqLtsIDOnCV6ou2wgjQ0lRLk1TRlQuSVFfTEFTVFNBTEVQUklDRS42LzMwLzIwMTkBAAAAS1UAAAIAAAAGMTMzLjk2ANyfqVeqLtsIN5vCV6ou2wgjQ0lRLk1TRlQuSVFfTEFTVFNBTEVQUklDRS42LzMwLzIwMjABAAAAS1UAAAIAAAAGMjAzLjUxANyfqVeqLtsIFMLCV6ou2wgkQ0lRLk1TRlQuSVFfQ0xPU0VQUklDRV9BREouNi8zMC8xOTkwAQAAAEtVAAACAAAACDAuNjU4NTU4ANyfqVeqLtsIUNjBV6ou2wgkQ0lRLk1TRlQuSVFfQ0xPU0VQUklDRV9BREouNi8zMC8xOTkxAQAAAEtVAAACAAAACDAuODg1NDc4ANyfqVeqLtsIUNjBV6ou2wgkQ0lRLk1TRlQuSVFfQ0xPU0VQUklDRV9BREouNi8zMC8xOTkyAQAAAEtVAAACAAAACDEuMzY0NzczANyfqVeqLtsIIQDCV6ou2wgkQ0lRLk1TRlQuSVFfQ0xPU0VQUklDRV9BREouNi8zMC8xOTkzAQAAAEtVAAACAAAACDEuNzE1NzE1ANyfqVeqLtsIUNjBV6ou2wgkQ0lRLk1TRlQuSVFfQ0xPU0VQUklDRV9BREouNi8zMC8xOTk0AQAAAEtVAAACAAAACDIuMDEzMDM5ANyfqVeqLtsIUNjBV6ou2wgkQ0lRLk1TRlQuSVFfQ0xPU0VQUklDRV9BREouNi8zMC8xOTk1</t>
  </si>
  <si>
    <t>AQAAAEtVAAACAAAACDMuNTI0MDQyANyfqVeqLtsIUNjBV6ou2wgkQ0lRLk1TRlQuSVFfQ0xPU0VQUklDRV9BREouNi8zMC8xOTk2AQAAAEtVAAACAAAACDQuNjg0MDk2ANyfqVeqLtsIUNjBV6ou2wgkQ0lRLk1TRlQuSVFfQ0xPU0VQUklDRV9BREouNi8zMC8xOTk3AQAAAEtVAAACAAAACDkuODU1NjE3ANyfqVeqLtsIIQDCV6ou2wgkQ0lRLk1TRlQuSVFfQ0xPU0VQUklDRV9BREouNi8zMC8xOTk4AQAAAEtVAAACAAAACTE2LjkwMzY5NADcn6lXqi7bCFDYwVeqLtsIJENJUS5NU0ZULklRX0NMT1NFUFJJQ0VfQURKLjYvMzAvMTk5OQEAAABLVQAAAgAAAAgyOC4xMzM4MwDcn6lXqi7bCKuxwVeqLtsIJENJUS5NU0ZULklRX0NMT1NFUFJJQ0VfQURKLjYvMzAvMjAwMAEAAABLVQAAAgAAAAkyNC45NTU4NTgA3J+pV6ou2whQ2MFXqi7bCCRDSVEuTVNGVC5JUV9DTE9TRVBSSUNFX0FESi42LzMwLzIwMDEBAAAAS1UAAAIAAAAIMjIuNzcyMjIA3J+pV6ou2whQ2MFXqi7bCCRDSVEuTVNGVC5JUV9DTE9TRVBSSUNFX0FESi42LzMwLzIwMDIBAAAAS1UAAAIAAAAJMTcuMDYzNTY4ANyfqVeqLtsIIQDCV6ou2wgkQ0lRLk1TRlQuSVFfQ0xPU0VQUklDRV9BREouNi8zMC8yMDAzAQAAAEtVAAACAAAACTE2LjA0ODE0MQDcn6lXqi7bCCEAwleqLtsIJENJUS5NU0ZULklRX0NMT1NFUFJJQ0VfQURKLjYvMzAvMjAwNAEA</t>
  </si>
  <si>
    <t>AABLVQAAAgAAAAkxNy45NzYwNjEA3J+pV6ou2wirscFXqi7bCCRDSVEuTVNGVC5JUV9DTE9TRVBSSUNFX0FESi42LzMwLzIwMDUBAAAAS1UAAAIAAAAJMTcuNTg2Mzc2ANyfqVeqLtsIq7HBV6ou2wgkQ0lRLk1TRlQuSVFfQ0xPU0VQUklDRV9BREouNi8zMC8yMDA2AQAAAEtVAAACAAAABzE2LjcxNDcA3J+pV6ou2whQ2MFXqi7bCCRDSVEuTVNGVC5JUV9DTE9TRVBSSUNFX0FESi42LzMwLzIwMDcBAAAAS1UAAAIAAAAJMjEuNDM0Mjk2ANyfqVeqLtsIUNjBV6ou2wgkQ0lRLk1TRlQuSVFfQ0xPU0VQUklDRV9BREouNi8zMC8yMDA4AQAAAEtVAAACAAAACTIwLjI5Nzk4MgDcn6lXqi7bCFDYwVeqLtsIJENJUS5NU0ZULklRX0NMT1NFUFJJQ0VfQURKLjYvMzAvMjAwOQEAAABLVQAAAgAAAAkxNy45NjI2MDMA3J+pV6ou2wghAMJXqi7bCCRDSVEuTVNGVC5JUV9DTE9TRVBSSUNFX0FESi42LzMwLzIwMTABAAAAS1UAAAIAAAAJMTcuNzI1MTAxANyfqVeqLtsIUNjBV6ou2wgkQ0lRLk1TRlQuSVFfQ0xPU0VQUklDRV9BREouNi8zMC8yMDExAQAAAEtVAAACAAAACTIwLjUxMjIzOQDcn6lXqi7bCFDYwVeqLtsIJENJUS5NU0ZULklRX0NMT1NFUFJJQ0VfQURKLjYvMzAvMjAxMgEAAABLVQAAAgAAAAkyNC43OTEzMzEA3J+pV6ou2whQ2MFXqi7bCCRDSVEuTVNGVC5JUV9DTE9TRVBSSUNFX0FESi42LzMwLzIwMTMB</t>
  </si>
  <si>
    <t>AAAAS1UAAAIAAAAJMjguODQ5ODAzANyfqVeqLtsIUNjBV6ou2wgkQ0lRLk1TRlQuSVFfQ0xPU0VQUklDRV9BREouNi8zMC8yMDE0AQAAAEtVAAACAAAACTM1Ljg1MjcxNADcn6lXqi7bCFDYwVeqLtsIJENJUS5NU0ZULklRX0NMT1NFUFJJQ0VfQURKLjYvMzAvMjAxNQEAAABLVQAAAgAAAAkzOC45NjIyODkA3J+pV6ou2whQ2MFXqi7bCCRDSVEuTVNGVC5JUV9DTE9TRVBSSUNFX0FESi42LzMwLzIwMTYBAAAAS1UAAAIAAAAJNDYuNDEyNTU1ANyfqVeqLtsIUNjBV6ou2wgkQ0lRLk1TRlQuSVFfQ0xPU0VQUklDRV9BREouNi8zMC8yMDE3AQAAAEtVAAACAAAACTY0LjA4NTIzNwDcn6lXqi7bCFDYwVeqLtsIJENJUS5NU0ZULklRX0NMT1NFUFJJQ0VfQURKLjYvMzAvMjAxOAEAAABLVQAAAgAAAAk5My40NjkwMTEA3J+pV6ou2wghAMJXqi7bCCRDSVEuTVNGVC5JUV9DTE9TRVBSSUNFX0FESi42LzMwLzIwMTkBAAAAS1UAAAIAAAAKMTI5LjAzNzk1MwDcn6lXqi7bCFDYwVeqLtsIJENJUS5NU0ZULklRX0NMT1NFUFJJQ0VfQURKLjYvMzAvMjAyMAEAAABLVQAAAgAAAAoxOTguNDQ0NzM4ANyfqVeqLtsIq7HBV6ou2wgqQ0lRLklRVDQ2MTU2NTE3LklRX0xBU1RTQUxFUFJJQ0UuNi8zMC8xOTkwAQAAAJu4KAACAAAAEDM5MS4xNDQzMjAxNDAyMDYA3J+pV6ou2wirscFXqi7bCCpDSVEuSVFUNDYxNTY1MTcuSVFf</t>
  </si>
  <si>
    <t>TEFTVFNBTEVQUklDRS42LzMwLzE5OTEBAAAAm7goAAIAAAAQNDIwLjA2NjU4ODQ3NzQ3NgDcn6lXqi7bCFDYwVeqLtsIKkNJUS5JUVQ0NjE1NjUxNy5JUV9MQVNUU0FMRVBSSUNFLjYvMzAvMTk5MgEAAACbuCgAAgAAABA0NzYuNDA5Mzk5Njk0NjE3ANyfqVeqLtsIIQDCV6ou2wgqQ0lRLklRVDQ2MTU2NTE3LklRX0xBU1RTQUxFUFJJQ0UuNi8zMC8xOTkzAQAAAJu4KAACAAAAEDU0MS4zNDEzMDkwMjgxNDEA3J+pV6ou2wghAMJXqi7bCCpDSVEuSVFUNDYxNTY1MTcuSVFfTEFTVFNBTEVQUklDRS42LzMwLzE5OTQBAAAAm7goAAIAAAAPNTQ4Ljk1NjEyOTA1NDM1ANyfqVeqLtsIUNjBV6ou2wgqQ0lRLklRVDQ2MTU2NTE3LklRX0xBU1RTQUxFUFJJQ0UuNi8zMC8xOTk1AQAAAJu4KAACAAAAEDY5Mi4wNjY4MTcyMTgyMDkA3J+pV6ou2whQ2MFXqi7bCCpDSVEuSVFUNDYxNTY1MTcuSVFfTEFTVFNBTEVQUklDRS42LzMwLzE5OTYBAAAAm7goAAIAAAAQODcyLjAwNzgyNDQ4NzAwNQDcn6lXqi7bCFDYwVeqLtsIKkNJUS5JUVQ0NjE1NjUxNy5JUV9MQVNUU0FMRVBSSUNFLjYvMzAvMTk5NwEAAACbuCgAAgAAABAxMTc0LjU4NjI3NzExNzE5ANyfqVeqLtsIIQDCV6ou2wgqQ0lRLklRVDQ2MTU2NTE3LklRX0xBU1RTQUxFUFJJQ0UuNi8zMC8xOTk4AQAAAJu4KAACAAAADzE1MjguODcwMzk5MzU0MQDcn6lXqi7b</t>
  </si>
  <si>
    <t>CFDYwVeqLtsIKkNJUS5JUVQ0NjE1NjUxNy5JUV9MQVNUU0FMRVBSSUNFLjYvMzAvMTk5OQEAAACbuCgAAgAAABAxODc2Ljc4MzQ5Nzk4NzU5ANyfqVeqLtsIUNjBV6ou2wgqQ0lRLklRVDQ2MTU2NTE3LklRX0xBU1RTQUxFUFJJQ0UuNi8zMC8yMDAwAQAAAJu4KAACAAAAEDIwMTIuODI5NzY5MjYwMDYA3J+pV6ou2whQ2MFXqi7bCCpDSVEuSVFUNDYxNTY1MTcuSVFfTEFTVFNBTEVQUklDRS42LzMwLzIwMDEBAAAAm7goAAIAAAAQMTcxNC4zMjA3OTYyMTc0NQDcn6lXqi7bCFDYwVeqLtsIKkNJUS5JUVQ0NjE1NjUxNy5JUV9MQVNUU0FMRVBSSUNFLjYvMzAvMjAwMgEAAACbuCgAAgAAABAxNDA1Ljk0MzUzNDg1ODE0ANyfqVeqLtsIUNjBV6ou2wgqQ0lRLklRVDQ2MTU2NTE3LklRX0xBU1RTQUxFUFJJQ0UuNi8zMC8yMDAzAQAAAJu4KAACAAAAEDE0MDkuNDc3NzcyMjg1NDUA3J+pV6ou2wghAMJXqi7bCCpDSVEuSVFUNDYxNTY1MTcuSVFfTEFTVFNBTEVQUklDRS42LzMwLzIwMDQBAAAAm7goAAIAAAAQMTY3OC44MjU1Nzg2NDI3MwDcn6lXqi7bCCEAwleqLtsIKkNJUS5JUVQ0NjE1NjUxNy5JUV9MQVNUU0FMRVBSSUNFLjYvMzAvMjAwNQEAAACbuCgAAgAAABAxNzg0Ljk4NzI1MTA5MTk5ANyfqVeqLtsIq7HBV6ou2wgqQ0lRLklRVDQ2MTU2NTE3LklRX0xBU1RTQUxFUFJJQ0UuNi8zMC8yMDA2AQAAAJu4</t>
  </si>
  <si>
    <t>KAACAAAAEDE5MzkuMDM0MDUzMzQxNzcA3J+pV6ou2wirscFXqi7bCCpDSVEuSVFUNDYxNTY1MTcuSVFfTEFTVFNBTEVQUklDRS42LzMwLzIwMDcBAAAAm7goAAIAAAAQMjMzOC4yNDY3MTQ2OTY0MQDcn6lXqi7bCCEAwleqLtsIKkNJUS5JUVQ0NjE1NjUxNy5JUV9MQVNUU0FMRVBSSUNFLjYvMzAvMjAwOAEAAACbuCgAAgAAABAyMDMxLjQ3MTI2NTIwMzM0ANyfqVeqLtsIUNjBV6ou2wgqQ0lRLklRVDQ2MTU2NTE3LklRX0xBU1RTQUxFUFJJQ0UuNi8zMC8yMDA5AQAAAJu4KAACAAAAEDE0OTguOTM2NDc3NTA2OTMA3J+pV6ou2wghAMJXqi7bCCpDSVEuSVFUNDYxNTY1MTcuSVFfTEFTVFNBTEVQUklDRS42LzMwLzIwMTABAAAAm7goAAIAAAAQMTcxNS4yMjk1Mzg2MjE2NADcn6lXqi7bCFDYwVeqLtsIKkNJUS5JUVQ0NjE1NjUxNy5JUV9MQVNUU0FMRVBSSUNFLjYvMzAvMjAxMQEAAACbuCgAAgAAABAyMjQxLjY2Mjg2NDgxNTE3ANyfqVeqLtsIIQDCV6ou2wgqQ0lRLklRVDQ2MTU2NTE3LklRX0xBU1RTQUxFUFJJQ0UuNi8zMC8yMDEyAQAAAJu4KAACAAAAEDIzNjMuNzg4ODM0ODAxODcA3J+pV6ou2whQ2MFXqi7bCCpDSVEuSVFUNDYxNTY1MTcuSVFfTEFTVFNBTEVQUklDRS42LzMwLzIwMTMBAAAAm7goAAIAAAAQMjg1MC42NjIyOTk1ODE1NQDcn6lXqi7bCCEAwleqLtsIKkNJUS5JUVQ0NjE1NjUxNy5J</t>
  </si>
  <si>
    <t>UV9MQVNUU0FMRVBSSUNFLjYvMzAvMjAxNAEAAACbuCgAAgAAAA8zNTUyLjE4MTc0ODU3NTYA3J+pV6ou2wghAMJXqi7bCCpDSVEuSVFUNDYxNTY1MTcuSVFfTEFTVFNBTEVQUklDRS42LzMwLzIwMTUBAAAAm7goAAIAAAAQMzgxNS44NTI4ODgzNjY2MwDcn6lXqi7bCKuxwVeqLtsIKkNJUS5JUVQ0NjE1NjUxNy5JUV9MQVNUU0FMRVBSSUNFLjYvMzAvMjAxNgEAAACbuCgAAgAAAA8zOTY4LjIwNTcwMDQ2MDkA3J+pV6ou2whQ2MFXqi7bCCpDSVEuSVFUNDYxNTY1MTcuSVFfTEFTVFNBTEVQUklDRS42LzMwLzIwMTcBAAAAm7goAAIAAAAQNDY3OC4zNjAxMTA3OTM0OADcn6lXqi7bCFDYwVeqLtsIKkNJUS5JUVQ0NjE1NjUxNy5JUV9MQVNUU0FMRVBSSUNFLjYvMzAvMjAxOAEAAACbuCgAAgAAABA1MzUwLjgzMTk4OTEzMDg3ANyfqVeqLtsIUNjBV6ou2wgqQ0lRLklRVDQ2MTU2NTE3LklRX0xBU1RTQUxFUFJJQ0UuNi8zMC8yMDE5AQAAAJu4KAACAAAAEDU5MDguMjUxNDgyODIwNTUA3J+pV6ou2wirscFXqi7bCCpDSVEuSVFUNDYxNTY1MTcuSVFfTEFTVFNBTEVQUklDRS42LzMwLzIwMjABAAAAm7goAAIAAAAQNjM1MS42NjY4NzI0OTQzNgDcn6lXqi7bCKuxwVeqLtsIHkNJUS5NU0ZULklRX1JFVkVOVUVfRVNULkZZMjAxOQEAAABLVQAAAgAAAAwxMjQ5MDguMzMxMzYBDgAAAAUAAAABMwEAAAABMAIAAAAK</t>
  </si>
  <si>
    <t>MTAwMDA5NDQ4MQMAAAAGMTAwMTgwBAAAAAEyBgAAAAEwBwAAAAMxNjAIAAAAATAJAAAAATEKAAAAATALAAAACzExNTIzNDMxMDA4DAAAAAExDQAAAAkzLzI4LzIwMjMQAAAACTYvMzAvMjAxOdyfqVeqLtsIFMLCV6ou2wgeQ0lRLk1TRlQuSVFfUkVWRU5VRV9FU1QuRlkyMDIwAQAAAEtVAAACAAAADDE0MTUzOS4wNzE1NgEOAAAABQAAAAEzAQAAAAEwAgAAAAoxMDAwOTc3NjI5AwAAAAYxMDAxODAEAAAAATIGAAAAATAHAAAAAzE2MAgAAAABMAkAAAABMQoAAAABMAsAAAALMTE5OTE4NzI0MzgMAAAAATENAAAACTMvMjgvMjAyMxAAAAAJNi8zMC8yMDIw3J+pV6ou2wgUwsJXqi7bCB1DSVEuTVNGVC5JUV9FQklUREFfRVNULkZZMjAxOQEAAABLVQAAAgAAAAs1MzQ4OC41ODQ1NAEOAAAABQAAAAEzAQAAAAEwAgAAAAoxMDAwMDk0NDgxAwAAAAYxMDAxODcEAAAAATIGAAAAATAHAAAAAzE2MAgAAAABMAkAAAABMQoAAAABMAsAAAALMTE1MTc0MTg2MDQMAAAAATENAAAACTMvMjgvMjAyMxAAAAAJNi8zMC8yMDE53J+pV6ou2wgUwsJXqi7bCB1DSVEuTVNGVC5JUV9FQklUREFfRVNULkZZMjAyMAEAAABLVQAAAgAAAAs2NTA1My44MjQ3NwEOAAAABQAAAAEzAQAAAAEwAgAAAAoxMDAwOTc3NjI5AwAAAAYxMDAxODcEAAAAATIGAAAAATAHAAAAAzE2MAgAAAABMAkAAAABMQoAAAABMAsAAAALMTE5OTM0ODQ2ODIM</t>
  </si>
  <si>
    <t>AAAAATENAAAACTMvMjgvMjAyMxAAAAAJNi8zMC8yMDIw3J+pV6ou2wgM6cJXqi7bCBxDSVEuTVNGVC5JUV9DQVBFWF9FU1QuRlkyMDE5AQAAAEtVAAACAAAADC0xNDA5Mi44NTAzOQEOAAAABQAAAAEzAQAAAAEwAgAAAAoxMDAwMDk0NDgxAwAAAAYxMDQwOTAEAAAAATIGAAAAATAHAAAAAzE2MAgAAAABMAkAAAABMQoAAAABMAsAAAALMTE0Nzc5NTkyMTgMAAAAATENAAAACTMvMjgvMjAyMxAAAAAJNi8zMC8yMDE53J+pV6ou2wgM6cJXqi7bCBxDSVEuTVNGVC5JUV9DQVBFWF9FU1QuRlkyMDIwAQAAAEtVAAACAAAADC0xNTYzNi41MzUyMwEOAAAABQAAAAEzAQAAAAEwAgAAAAoxMDAwOTc3NjI5AwAAAAYxMDQwOTAEAAAAATIGAAAAATAHAAAAAzE2MAgAAAABMAkAAAABMQoAAAABMAsAAAALMTI0Nzk5NjA2MzQMAAAAATENAAAACTMvMjgvMjAyMxAAAAAJNi8zMC8yMDIw3J+pV6ou2wgUwsJXqi7bCCNDSVEuTUlERC5JUV9HUk9TU19NQVJHSU5fRVNULkZZMjAxOQEAAAAmaQQAAgAAAAgzNy4xNDI4NgEOAAAABQAAAAEzAQAAAAEwAgAAAAoxMDAzNDk1MzgzAwAAAAYxMDUyOTMEAAAAATIGAAAAATAHAAAAATAIAAAAATAJAAAAATEKAAAAATALAAAACzExNzcyMjUwNDA2DAAAAAExDQAAAAkzLzI4LzIwMjMQAAAACjEyLzMxLzIwMTncn6lXqi7bCAIQw1eqLtsIMkNJUUFWRy4kVVNERVVSLklRX0xBU1RTQUxF</t>
  </si>
  <si>
    <t>UFJJQ0UuNy8xLzIwMTUuOS8zMC8yMDE1AQAAAALtWgACAAAAEDEuMTEyNDc2MzYwNDEzMDQA3J+pV6ou2whg2yZYqi7bCDRDSVFBVkcuJFVTREVVUi5JUV9MQVNUU0FMRVBSSUNFLjEwLzEvMjAxNS4xMi8zMS8yMDE1AQAAAALtWgACAAAAEDEuMDk1MzE5NTc5ODM2OTYA3J+pV6ou2whg2yZYqi7bCDJDSVFBVkcuJFVTREVVUi5JUV9MQVNUU0FMRVBSSUNFLjEvMS8yMDE2LjMvMzEvMjAxNgEAAAAC7VoAAgAAABAxLjEwMjk1OTc2MzQwNjU5ANyfqVeqLtsIYNsmWKou2wgyQ0lRQVZHLiRVU0RFVVIuSVFfTEFTVFNBTEVQUklDRS40LzEvMjAxNi42LzMwLzIwMTYBAAAAAu1aAAIAAAAQMS4xMjkzMjYzNDE0NjE1NADcn6lXqi7bCGDbJliqLtsIMkNJUUFWRy4kVVNERVVSLklRX0xBU1RTQUxFUFJJQ0UuNy8xLzIwMTYuOS8zMC8yMDE2AQAAAALtWgACAAAAEDEuMTE2MDEwODg3OTAyMTcA3J+pV6ou2whg2yZYqi7bCDRDSVFBVkcuJFVTREVVUi5JUV9MQVNUU0FMRVBSSUNFLjEwLzEvMjAxNi4xMi8zMC8yMDE2AQAAAALtWgACAAAAEDEuMDc4NTU0MzA0NzY5MjMA3J+pV6ou2whg2yZYqi7bCDRDSVFBVkcuJFVTREVVUi5JUV9MQVNUU0FMRVBSSUNFLjEyLzMxLzIwMTYuMy8zMS8yMDE3AQAAAALtWgACAAAAEDEuMDY1NDcxNTczMDQzOTYA3J+pV6ou2whg2yZYqi7bCDJDSVFBVkcuJFVTREVVUi5JUV9MQVNU</t>
  </si>
  <si>
    <t>U0FMRVBSSUNFLjQvMS8yMDE3LjYvMzAvMjAxNwEAAAAC7VoAAgAAABAxLjEwMDE0Mzc5NDE3NTgyANyfqVeqLtsIYNsmWKou2wgyQ0lRQVZHLiRVU0RFVVIuSVFfTEFTVFNBTEVQUklDRS43LzEvMjAxNy45LzMwLzIwMTcBAAAAAu1aAAIAAAAQMS4xNzQ4NjU0Mzk0MzQ3OADcn6lXqi7bCGDbJliqLtsINENJUUFWRy4kVVNERVVSLklRX0xBU1RTQUxFUFJJQ0UuMTAvMS8yMDE3LjEyLzMxLzIwMTcBAAAAAu1aAAIAAAAQMS4xNzgwOTI4NTQyMTczOQDcn6lXqi7bCGDbJliqLtsIMkNJUUFWRy4kVVNERVVSLklRX0xBU1RTQUxFUFJJQ0UuMS8xLzIwMTguMy8zMS8yMDE4AQAAAALtWgACAAAAEDEuMjI4OTIwNzcwOTQ0NDQA3J+pV6ou2whg2yZYqi7bCDJDSVFBVkcuJFVTREVVUi5JUV9MQVNUU0FMRVBSSUNFLjQvMS8yMDE4LjYvMzAvMjAxOAEAAAAC7VoAAgAAABAxLjE5MTcwNzIxODUzODQ2ANyfqVeqLtsIYNsmWKou2wgyQ0lRQVZHLiRVU0RFVVIuSVFfTEFTVFNBTEVQUklDRS43LzEvMjAxOC45LzMwLzIwMTgBAAAAAu1aAAIAAAAQMS4xNjI3NzQwMTI1OTc4MwDcn6lXqi7bCGDbJliqLtsINENJUUFWRy4kVVNERVVSLklRX0xBU1RTQUxFUFJJQ0UuMTAvMS8yMDE4LjEyLzMxLzIwMTgBAAAAAu1aAAIAAAAQMS4xNDA5ODMzMDE1MTA4NwDcn6lXqi7bCGDbJliqLtsIMkNJUUFWRy4kVVNERVVSLklRX0xB</t>
  </si>
  <si>
    <t>U1RTQUxFUFJJQ0UuMS8xLzIwMTkuMy8zMS8yMDE5AQAAAALtWgACAAAAEDEuMTM1NTI1NTY2MDMzMzMA3J+pV6ou2whg2yZYqi7bCDJDSVFBVkcuJFVTREVVUi5JUV9MQVNUU0FMRVBSSUNFLjQvMS8yMDE5LjYvMzAvMjAxOQEAAAAC7VoAAgAAABAxLjEyMzgzNDIzMDc2OTIzANyfqVeqLtsIYNsmWKou2wgyQ0lRQVZHLiRVU0RFVVIuSVFfTEFTVFNBTEVQUklDRS43LzEvMjAxOS45LzMwLzIwMTkBAAAAAu1aAAIAAAAQMS4xMTE3NzE5MTQ1OTc4MwDcn6lXqi7bCGDbJliqLtsINENJUUFWRy4kVVNERVVSLklRX0xBU1RTQUxFUFJJQ0UuMTAvMS8yMDE5LjEyLzMwLzIwMTkBAAAAAu1aAAIAAAAQMS4xMDcxNDAzNzE3OTEyMQDcn6lXqi7bCGDbJliqLtsINENJUUFWRy4kVVNERVVSLklRX0xBU1RTQUxFUFJJQ0UuMTIvMzEvMjAxOS4zLzMwLzIwMjABAAAAAu1aAAIAAAAQMS4xMDI1ODIyNzc4NDYxNQDcn6lXqi7bCGDbJliqLtsIM0NJUUFWRy4kVVNERVVSLklRX0xBU1RTQUxFUFJJQ0UuMy8zMS8yMDIwLjYvMzAvMjAyMAEAAAAC7VoAAgAAABAxLjEwMTIyMzkxNTY2MzA0ANyfqVeqLtsIYNsmWKou2wgyQ0lRQVZHLiRVU0RFVVIuSVFfTEFTVFNBTEVQUklDRS43LzEvMjAyMC45LzMwLzIwMjABAAAAAu1aAAIAAAAQMS4xNjg5MzA5NDM1MjE3NADcn6lXqi7bCGDbJliqLtsINENJUUFWRy4kVVNERVVSLklR</t>
  </si>
  <si>
    <t>X0xBU1RTQUxFUFJJQ0UuMTAvMS8yMDIwLjEyLzMxLzIwMjABAAAAAu1aAAIAAAAQMS4xOTI2Mjc0NDQ4MDQzNQDcn6lXqi7bCGDbJliqLtsIMkNJUUFWRy4kVVNERVVSLklRX0xBU1RTQUxFUFJJQ0UuMS8xLzIwMjEuMy8zMS8yMDIxAQAAAALtWgACAAAADDEuMjA1MjU4MzYwOADcn6lXqi7bCGDbJliqLtsIMkNJUUFWRy4kVVNERVVSLklRX0xBU1RTQUxFUFJJQ0UuNC8xLzIwMjEuNi8zMC8yMDIxAQAAAALtWgACAAAAEDEuMjA0NzE1NjU5NTA1NDkA3J+pV6ou2whg2yZYqi7bCDJDSVFBVkcuJFVTREVVUi5JUV9MQVNUU0FMRVBSSUNFLjcvMS8yMDIxLjkvMzAvMjAyMQEAAAAC7VoAAgAAABAxLjE3ODkzMDk1NjY5NTY1ANyfqVeqLtsIYNsmWKou2wg0Q0lRQVZHLiRVU0RFVVIuSVFfTEFTVFNBTEVQUklDRS4xMC8xLzIwMjEuMTIvMzEvMjAyMQEAAAAC7VoAAgAAABAxLjE0MzYzMDY5NjMwNDM1ANyfqVeqLtsIYNsmWKou2wgyQ0lRQVZHLiRVU0RFVVIuSVFfTEFTVFNBTEVQUklDRS4xLzEvMjAyMi4zLzMxLzIwMjIBAAAAAu1aAAIAAAAQMS4xMjIzNjgyMjg2MTExMQDcn6lXqi7bCGDbJliqLtsIMkNJUUFWRy4kVVNERVVSLklRX0xBU1RTQUxFUFJJQ0UuNC8xLzIwMjIuNi8zMC8yMDIyAQAAAALtWgACAAAAEDEuMDY1MDgzNzQ3Mzg0NjIA3J+pV6ou2whg2yZYqi7bCDJDSVFBVkcuJFVTREVVUi5JUV9M</t>
  </si>
  <si>
    <t>QVNUU0FMRVBSSUNFLjcvMS8yMDIyLjEwLzEvMjAyMgEAAAAC7VoAAgAAABAxLjAwNzY4MDAwMjEzOTc4ANyfqVeqLtsIYNsmWKou2wg0Q0lRQVZHLiRVU0RFVVIuSVFfTEFTVFNBTEVQUklDRS4xMC8yLzIwMjIuMTIvMzEvMjAyMgEAAAAC7VoAAgAAABAxLjAyMTc1NDYwODU5MzQxANyfqVeqLtsIYNsmWKou2wgyQ0lRQVZHLiRVU0RHQlAuSVFfTEFTVFNBTEVQUklDRS43LzEvMjAxNS45LzMwLzIwMTUBAAAAAu1aAAIAAAAQMS41NDg4NzA1MjkzMDQzNQDcn6lXqi7bCGDbJliqLtsINENJUUFWRy4kVVNER0JQLklRX0xBU1RTQUxFUFJJQ0UuMTAvMS8yMDE1LjEyLzMxLzIwMTUBAAAAAu1aAAIAAAAQMS41MTczNTg1MTQ5MTMwNADcn6lXqi7bCGDbJliqLtsIMkNJUUFWRy4kVVNER0JQLklRX0xBU1RTQUxFUFJJQ0UuMS8xLzIwMTYuMy8zMS8yMDE2AQAAAALtWgACAAAAEDEuNDMyMDg0MjQzMzA3NjkA3J+pV6ou2whg2yZYqi7bCDJDSVFBVkcuJFVTREdCUC5JUV9MQVNUU0FMRVBSSUNFLjQvMS8yMDE2LjYvMzAvMjAxNgEAAAAC7VoAAgAAABAxLjQzNDM0ODQ4ODA3NjkyANyfqVeqLtsIYNsmWKou2wgyQ0lRQVZHLiRVU0RHQlAuSVFfTEFTVFNBTEVQUklDRS43LzEvMjAxNi45LzMwLzIwMTYBAAAAAu1aAAIAAAAQMS4zMTMxMTM2NTYwMzI2MQDcn6lXqi7bCGDbJliqLtsINENJUUFWRy4kVVNER0JQLklR</t>
  </si>
  <si>
    <t>X0xBU1RTQUxFUFJJQ0UuMTAvMS8yMDE2LjEyLzMwLzIwMTYBAAAAAu1aAAIAAAAQMS4yNDIzNDgwMTYxMjA4OADcn6lXqi7bCGDbJliqLtsINENJUUFWRy4kVVNER0JQLklRX0xBU1RTQUxFUFJJQ0UuMTIvMzEvMjAxNi4zLzMxLzIwMTcBAAAAAu1aAAIAAAAQMS4yMzg2MTA2MjQ4MzUxNgDcn6lXqi7bCGDbJliqLtsIMkNJUUFWRy4kVVNER0JQLklRX0xBU1RTQUxFUFJJQ0UuNC8xLzIwMTcuNi8zMC8yMDE3AQAAAALtWgACAAAAEDEuMjc5MDA1MjM3OTIzMDgA3J+pV6ou2whg2yZYqi7bCDJDSVFBVkcuJFVTREdCUC5JUV9MQVNUU0FMRVBSSUNFLjcvMS8yMDE3LjkvMzAvMjAxNwEAAAAC7VoAAgAAABAxLjMwODY2NzExMzc3MTc0ANyfqVeqLtsIYNsmWKou2wg0Q0lRQVZHLiRVU0RHQlAuSVFfTEFTVFNBTEVQUklDRS4xMC8xLzIwMTcuMTIvMzEvMjAxNwEAAAAC7VoAAgAAABAxLjMyNzM5NDA3MzAxMDg3ANyfqVeqLtsIYNsmWKou2wgyQ0lRQVZHLiRVU0RHQlAuSVFfTEFTVFNBTEVQUklDRS4xLzEvMjAxOC4zLzMxLzIwMTgBAAAAAu1aAAIAAAAQMS4zOTEzNDgyNDY5ODg4OQDcn6lXqi7bCGDbJliqLtsIMkNJUUFWRy4kVVNER0JQLklRX0xBU1RTQUxFUFJJQ0UuNC8xLzIwMTguNi8zMC8yMDE4AQAAAALtWgACAAAAEDEuMzYwNzU3MjE1MzUxNjUA3J+pV6ou2whg2yZYqi7bCDJDSVFBVkcuJFVTREdC</t>
  </si>
  <si>
    <t>UC5JUV9MQVNUU0FMRVBSSUNFLjcvMS8yMDE4LjkvMzAvMjAxOAEAAAAC7VoAAgAAABAxLjMwMjkyNjcwMDY2MzA0ANyfqVeqLtsIYNsmWKou2wg0Q0lRQVZHLiRVU0RHQlAuSVFfTEFTVFNBTEVQUklDRS4xMC8xLzIwMTguMTIvMzEvMjAxOAEAAAAC7VoAAgAAABAxLjI4NjMwMjMwMzc3MTc0ANyfqVeqLtsIYNsmWKou2wgyQ0lRQVZHLiRVU0RHQlAuSVFfTEFTVFNBTEVQUklDRS4xLzEvMjAxOS4zLzMxLzIwMTkBAAAAAu1aAAIAAAALMS4zMDIwMTgzOTYA3J+pV6ou2whg2yZYqi7bCDJDSVFBVkcuJFVTREdCUC5JUV9MQVNUU0FMRVBSSUNFLjQvMS8yMDE5LjYvMzAvMjAxOQEAAAAC7VoAAgAAABAxLjI4NTI0OTEyODg3OTEyANyfqVeqLtsIYNsmWKou2wgyQ0lRQVZHLiRVU0RHQlAuSVFfTEFTVFNBTEVQUklDRS43LzEvMjAxOS45LzMwLzIwMTkBAAAAAu1aAAIAAAAQMS4yMzI4OTI2ODQ4Njk1NwDcn6lXqi7bCGDbJliqLtsINENJUUFWRy4kVVNER0JQLklRX0xBU1RTQUxFUFJJQ0UuMTAvMS8yMDE5LjEyLzMwLzIwMTkBAAAAAu1aAAIAAAAQMS4yODc2NTM5NjMxMzE4NwDcn6lXqi7bCGDbJliqLtsINENJUUFWRy4kVVNER0JQLklRX0xBU1RTQUxFUFJJQ0UuMTIvMzEvMjAxOS4zLzMwLzIwMjABAAAAAu1aAAIAAAAQMS4yODE0OTk1ODExNTM4NQDcn6lXqi7bCGDbJliqLtsIM0NJUUFWRy4kVVNER0JQ</t>
  </si>
  <si>
    <t>LklRX0xBU1RTQUxFUFJJQ0UuMy8zMS8yMDIwLjYvMzAvMjAyMAEAAAAC7VoAAgAAAA8xLjI0MTAwOTY5OTEwODcA3J+pV6ou2whg2yZYqi7bCDJDSVFBVkcuJFVTREdCUC5JUV9MQVNUU0FMRVBSSUNFLjcvMS8yMDIwLjkvMzAvMjAyMAEAAAAC7VoAAgAAABAxLjI5MTcxMzY0NjQxMzA0ANyfqVeqLtsIYNsmWKou2wg0Q0lRQVZHLiRVU0RHQlAuSVFfTEFTVFNBTEVQUklDRS4xMC8xLzIwMjAuMTIvMzEvMjAyMAEAAAAC7VoAAgAAABAxLjMyMTA2NTU5NDEzMDQzANyfqVeqLtsIYNsmWKou2wgyQ0lRQVZHLiRVU0RHQlAuSVFfTEFTVFNBTEVQUklDRS4xLzEvMjAyMS4zLzMxLzIwMjEBAAAAAu1aAAIAAAAQMS4zNzg1NjAzNjU3NDQ0NADcn6lXqi7bCGDbJliqLtsIMkNJUUFWRy4kVVNER0JQLklRX0xBU1RTQUxFUFJJQ0UuNC8xLzIwMjEuNi8zMC8yMDIxAQAAAALtWgACAAAAEDEuMzk3NTk3NzkyMDc2OTIA3J+pV6ou2whg2yZYqi7bCDJDSVFBVkcuJFVTREdCUC5JUV9MQVNUU0FMRVBSSUNFLjcvMS8yMDIxLjkvMzAvMjAyMQEAAAAC7VoAAgAAABAxLjM3ODMyMDY4NjIwNjUyANyfqVeqLtsIYNsmWKou2wg0Q0lRQVZHLiRVU0RHQlAuSVFfTEFTVFNBTEVQUklDRS4xMC8xLzIwMjEuMTIvMzEvMjAyMQEAAAAC7VoAAgAAABAxLjM0ODA1Mzk1NjUzMjYxANyfqVeqLtsIYNsmWKou2wgyQ0lRQVZHLiRVU0RH</t>
  </si>
  <si>
    <t>QlAuSVFfTEFTVFNBTEVQUklDRS4xLzEvMjAyMi4zLzMxLzIwMjIBAAAAAu1aAAIAAAAQMS4zNDE4MzI1MDU5NTU1NgDcn6lXqi7bCGDbJliqLtsIMkNJUUFWRy4kVVNER0JQLklRX0xBU1RTQUxFUFJJQ0UuNC8xLzIwMjIuNi8zMC8yMDIyAQAAAALtWgACAAAAEDEuMjU2NjM2Nzk4MzA3NjkA3J+pV6ou2whg2yZYqi7bCDJDSVFBVkcuJFVTREdCUC5JUV9MQVNUU0FMRVBSSUNFLjcvMS8yMDIyLjEwLzEvMjAyMgEAAAAC7VoAAgAAABAxLjE3NjkzMzc4MjQ2MjM3ANyfqVeqLtsIYNsmWKou2wg0Q0lRQVZHLiRVU0RHQlAuSVFfTEFTVFNBTEVQUklDRS4xMC8yLzIwMjIuMTIvMzEvMjAyMgEAAAAC7VoAAgAAAA8xLjE3NDUwMjE5OTI5NjcA3J+pV6ou2whg2yZYqi7bCDJDSVFBVkcuJFVTREpQWS5JUV9MQVNUU0FMRVBSSUNFLjcvMS8yMDE1LjkvMzAvMjAxNQEAAAAC7VoAAgAAABMwLjAwODE4NzkwNjU2NTIxNzM5ANyfqVeqLtsIYNsmWKou2wg0Q0lRQVZHLiRVU0RKUFkuSVFfTEFTVFNBTEVQUklDRS4xMC8xLzIwMTUuMTIvMzEvMjAxNQEAAAAC7VoAAgAAAAswLjAwODIzNzI0OADcn6lXqi7bCGDbJliqLtsIMkNJUUFWRy4kVVNESlBZLklRX0xBU1RTQUxFUFJJQ0UuMS8xLzIwMTYuMy8zMS8yMDE2AQAAAALtWgACAAAAEjAuMDA4Njc1MjU2MTk3ODAyMgDcn6lXqi7bCGDbJliqLtsIMkNJUUFWRy4kVVNE</t>
  </si>
  <si>
    <t>SlBZLklRX0xBU1RTQUxFUFJJQ0UuNC8xLzIwMTYuNi8zMC8yMDE2AQAAAALtWgACAAAAEzAuMDA5MjY3MzU5MTg2ODEzMTkA3J+pV6ou2whg2yZYqi7bCDJDSVFBVkcuJFVTREpQWS5JUV9MQVNUU0FMRVBSSUNFLjcvMS8yMDE2LjkvMzAvMjAxNgEAAAAC7VoAAgAAABMwLjAwOTc2OTkzMTQ4OTEzMDQzANyfqVeqLtsIYNsmWKou2wg0Q0lRQVZHLiRVU0RKUFkuSVFfTEFTVFNBTEVQUklDRS4xMC8xLzIwMTYuMTIvMzAvMjAxNgEAAAAC7VoAAgAAABMwLjAwOTE2NDM3OTY1OTM0MDY2ANyfqVeqLtsIYNsmWKou2wg0Q0lRQVZHLiRVU0RKUFkuSVFfTEFTVFNBTEVQUklDRS4xMi8zMS8yMDE2LjMvMzEvMjAxNwEAAAAC7VoAAgAAABMwLjAwODc5MzE0MjgxMzE4NjgxANyfqVeqLtsIYNsmWKou2wgyQ0lRQVZHLiRVU0RKUFkuSVFfTEFTVFNBTEVQUklDRS40LzEvMjAxNy42LzMwLzIwMTcBAAAAAu1aAAIAAAATMC4wMDkwMDM4MDI3MzYyNjM3NADcn6lXqi7bCGDbJliqLtsIMkNJUUFWRy4kVVNESlBZLklRX0xBU1RTQUxFUFJJQ0UuNy8xLzIwMTcuOS8zMC8yMDE3AQAAAALtWgACAAAAEzAuMDA5MDE2NTgzMzkxMzA0MzUA3J+pV6ou2whg2yZYqi7bCDRDSVFBVkcuJFVTREpQWS5JUV9MQVNUU0FMRVBSSUNFLjEwLzEvMjAxNy4xMi8zMS8yMDE3AQAAAALtWgACAAAAEzAuMDA4ODYwMTc1OTAyMTczOTEA3J+p</t>
  </si>
  <si>
    <t>V6ou2whg2yZYqi7bCDJDSVFBVkcuJFVTREpQWS5JUV9MQVNUU0FMRVBSSUNFLjEvMS8yMDE4LjMvMzEvMjAxOAEAAAAC7VoAAgAAABMwLjAwOTIzODkyOTQ4ODg4ODg5ANyfqVeqLtsIYNsmWKou2wgyQ0lRQVZHLiRVU0RKUFkuSVFfTEFTVFNBTEVQUklDRS40LzEvMjAxOC42LzMwLzIwMTgBAAAAAu1aAAIAAAASMC4wMDkxNjQxODMyOTY3MDMzANyfqVeqLtsIYNsmWKou2wgyQ0lRQVZHLiRVU0RKUFkuSVFfTEFTVFNBTEVQUklDRS43LzEvMjAxOC45LzMwLzIwMTgBAAAAAu1aAAIAAAATMC4wMDg5NzA3NTA2MDg2OTU2NQDcn6lXqi7bCGDbJliqLtsINENJUUFWRy4kVVNESlBZLklRX0xBU1RTQUxFUFJJQ0UuMTAvMS8yMDE4LjEyLzMxLzIwMTgBAAAAAu1aAAIAAAASMC4wMDg4NzUxNTgwMzI2MDg3ANyfqVeqLtsIYNsmWKou2wgyQ0lRQVZHLiRVU0RKUFkuSVFfTEFTVFNBTEVQUklDRS4xLzEvMjAxOS4zLzMxLzIwMTkBAAAAAu1aAAIAAAATMC4wMDkwODA0NTg0NDQ0NDQ0NADcn6lXqi7bCGDbJliqLtsIMkNJUUFWRy4kVVNESlBZLklRX0xBU1RTQUxFUFJJQ0UuNC8xLzIwMTkuNi8zMC8yMDE5AQAAAALtWgACAAAAEzAuMDA5MDk5NTEyOTU2MDQzOTYA3J+pV6ou2whg2yZYqi7bCDJDSVFBVkcuJFVTREpQWS5JUV9MQVNUU0FMRVBSSUNFLjcvMS8yMDE5LjkvMzAvMjAxOQEAAAAC7VoAAgAAABMwLjAw</t>
  </si>
  <si>
    <t>OTMyMDI3MTkyMzkxMzA0ANyfqVeqLtsIYNsmWKou2wg0Q0lRQVZHLiRVU0RKUFkuSVFfTEFTVFNBTEVQUklDRS4xMC8xLzIwMTkuMTIvMzAvMjAxOQEAAAAC7VoAAgAAABMwLjAwOTE5Nzk3MDM1MTY0ODM1ANyfqVeqLtsIYNsmWKou2wg0Q0lRQVZHLiRVU0RKUFkuSVFfTEFTVFNBTEVQUklDRS4xMi8zMS8yMDE5LjMvMzAvMjAyMAEAAAAC7VoAAgAAABIwLjAwOTE3NzE3OTI5NjcwMzMA3J+pV6ou2whg2yZYqi7bCDNDSVFBVkcuJFVTREpQWS5JUV9MQVNUU0FMRVBSSUNFLjMvMzEvMjAyMC42LzMwLzIwMjABAAAAAu1aAAIAAAATMC4wMDkyOTgyNTQ2MzA0MzQ3OADcn6lXqi7bCGDbJliqLtsIMkNJUUFWRy4kVVNESlBZLklRX0xBU1RTQUxFUFJJQ0UuNy8xLzIwMjAuOS8zMC8yMDIwAQAAAALtWgACAAAAEzAuMDA5NDIzOTE3MjcxNzM5MTMA3J+pV6ou2whg2yZYqi7bCDRDSVFBVkcuJFVTREpQWS5JUV9MQVNUU0FMRVBSSUNFLjEwLzEvMjAyMC4xMi8zMS8yMDIwAQAAAALtWgACAAAAEzAuMDA5NTc1NDg3MjE3MzkxMzEA3J+pV6ou2whg2yZYqi7bCDJDSVFBVkcuJFVTREpQWS5JUV9MQVNUU0FMRVBSSUNFLjEvMS8yMDIxLjMvMzEvMjAyMQEAAAAC7VoAAgAAABMwLjAwOTQzNTgwNjI2NjY2NjY3ANyfqVeqLtsIYNsmWKou2wgyQ0lRQVZHLiRVU0RKUFkuSVFfTEFTVFNBTEVQUklDRS40LzEvMjAyMS42</t>
  </si>
  <si>
    <t>LzMwLzIwMjEBAAAAAu1aAAIAAAATMC4wMDkxMzY2Mzk5NDUwNTQ5NADcn6lXqi7bCGDbJliqLtsIMkNJUUFWRy4kVVNESlBZLklRX0xBU1RTQUxFUFJJQ0UuNy8xLzIwMjEuOS8zMC8yMDIxAQAAAALtWgACAAAAEzAuMDA5MDgyNjM4MjI4MjYwODcA3J+pV6ou2whg2yZYqi7bCDRDSVFBVkcuJFVTREpQWS5JUV9MQVNUU0FMRVBSSUNFLjEwLzEvMjAyMS4xMi8zMS8yMDIxAQAAAALtWgACAAAAEzAuMDA4ODAxODI2NjE5NTY1MjIA3J+pV6ou2whg2yZYqi7bCDJDSVFBVkcuJFVTREpQWS5JUV9MQVNUU0FMRVBSSUNFLjEvMS8yMDIyLjMvMzEvMjAyMgEAAAAC7VoAAgAAABMwLjAwODYwNjg3NzE4ODg4ODg5ANyfqVeqLtsIYNsmWKou2wgyQ0lRQVZHLiRVU0RKUFkuSVFfTEFTVFNBTEVQUklDRS40LzEvMjAyMi42LzMwLzIwMjIBAAAAAu1aAAIAAAASMC4wMDc3MTkxNDk2MDQzOTU2ANyfqVeqLtsIYNsmWKou2wgyQ0lRQVZHLiRVU0RKUFkuSVFfTEFTVFNBTEVQUklDRS43LzEvMjAyMi4xMC8xLzIwMjIBAAAAAu1aAAIAAAATMC4wMDcyMzgzNjMxMzk3ODQ5NQDcn6lXqi7bCGDbJliqLtsINENJUUFWRy4kVVNESlBZLklRX0xBU1RTQUxFUFJJQ0UuMTAvMi8yMDIyLjEyLzMxLzIwMjIBAAAAAu1aAAIAAAATMC4wMDcwOTI4NTU4NzkxMjA4OADcn6lXqi7bCGDbJliqLtsIMkNJUUFWRy4kVVNEQVVELklRX0xB</t>
  </si>
  <si>
    <t>U1RTQUxFUFJJQ0UuNy8xLzIwMTUuOS8zMC8yMDE1AQAAAALtWgACAAAAETAuNzI1NzM1NzQ4OTIzOTEzANyfqVeqLtsIYNsmWKou2wg0Q0lRQVZHLiRVU0RBVUQuSVFfTEFTVFNBTEVQUklDRS4xMC8xLzIwMTUuMTIvMzEvMjAxNQEAAAAC7VoAAgAAABEwLjcyMDA5Njg5ODQwMjE3NADcn6lXqi7bCGDbJliqLtsIMkNJUUFWRy4kVVNEQVVELklRX0xBU1RTQUxFUFJJQ0UuMS8xLzIwMTYuMy8zMS8yMDE2AQAAAALtWgACAAAAETAuNzIyMTcxNDc1Mjk2NzAzANyfqVeqLtsIYNsmWKou2wgyQ0lRQVZHLiRVU0RBVUQuSVFfTEFTVFNBTEVQUklDRS40LzEvMjAxNi42LzMwLzIwMTYBAAAAAu1aAAIAAAARMC43NDU1MjYwMjU5MzQwNjYA3J+pV6ou2whg2yZYqi7bCDJDSVFBVkcuJFVTREFVRC5JUV9MQVNUU0FMRVBSSUNFLjcvMS8yMDE2LjkvMzAvMjAxNgEAAAAC7VoAAgAAABEwLjc1ODE4MjMxNjQxMzA0MwDcn6lXqi7bCGDbJliqLtsINENJUUFWRy4kVVNEQVVELklRX0xBU1RTQUxFUFJJQ0UuMTAvMS8yMDE2LjEyLzMwLzIwMTYBAAAAAu1aAAIAAAARMC43NDg5OTYwMjU1ODI0MTgA3J+pV6ou2whg2yZYqi7bCDRDSVFBVkcuJFVTREFVRC5JUV9MQVNUU0FMRVBSSUNFLjEyLzMxLzIwMTYuMy8zMS8yMDE3AQAAAALtWgACAAAAETAuNzU3MjQyNjUwMTg2ODEzANyfqVeqLtsIYNsmWKou2wgyQ0lRQVZHLiRV</t>
  </si>
  <si>
    <t>U0RBVUQuSVFfTEFTVFNBTEVQUklDRS40LzEvMjAxNy42LzMwLzIwMTcBAAAAAu1aAAIAAAARMC43NTA4OTA4NTUzODQ2MTUA3J+pV6ou2whg2yZYqi7bCDJDSVFBVkcuJFVTREFVRC5JUV9MQVNUU0FMRVBSSUNFLjcvMS8yMDE3LjkvMzAvMjAxNwEAAAAC7VoAAgAAABEwLjc4OTQwMjQ2NzA2NTIxNwDcn6lXqi7bCGDbJliqLtsINENJUUFWRy4kVVNEQVVELklRX0xBU1RTQUxFUFJJQ0UuMTAvMS8yMDE3LjEyLzMxLzIwMTcBAAAAAu1aAAIAAAARMC43Njg4Mzk3NDc5MzQ3ODMA3J+pV6ou2whg2yZYqi7bCDJDSVFBVkcuJFVTREFVRC5JUV9MQVNUU0FMRVBSSUNFLjEvMS8yMDE4LjMvMzEvMjAxOAEAAAAC7VoAAgAAABEwLjc4NTk1ODUyNDAzMzMzMwDcn6lXqi7bCGDbJliqLtsIMkNJUUFWRy4kVVNEQVVELklRX0xBU1RTQUxFUFJJQ0UuNC8xLzIwMTguNi8zMC8yMDE4AQAAAALtWgACAAAAETAuNzU2NzMzMDgyOTg5MDExANyfqVeqLtsIYNsmWKou2wgyQ0lRQVZHLiRVU0RBVUQuSVFfTEFTVFNBTEVQUklDRS43LzEvMjAxOC45LzMwLzIwMTgBAAAAAu1aAAIAAAARMC43MzE0NTM3NjIzNDc4MjYA3J+pV6ou2whg2yZYqi7bCDRDSVFBVkcuJFVTREFVRC5JUV9MQVNUU0FMRVBSSUNFLjEwLzEvMjAxOC4xMi8zMS8yMDE4AQAAAALtWgACAAAAETAuNzE3MDU0NjIwNzE3MzkxANyfqVeqLtsIYNsmWKou2wgy</t>
  </si>
  <si>
    <t>Q0lRQVZHLiRVU0RBVUQuSVFfTEFTVFNBTEVQUklDRS4xLzEvMjAxOS4zLzMxLzIwMTkBAAAAAu1aAAIAAAARMC43MTIzOTU3MzQ1MTExMTEA3J+pV6ou2whg2yZYqi7bCDJDSVFBVkcuJFVTREFVRC5JUV9MQVNUU0FMRVBSSUNFLjQvMS8yMDE5LjYvMzAvMjAxOQEAAAAC7VoAAgAAABEwLjcwMDE1Nzk2NTM3MzYyNgDcn6lXqi7bCGDbJliqLtsIMkNJUUFWRy4kVVNEQVVELklRX0xBU1RTQUxFUFJJQ0UuNy8xLzIwMTkuOS8zMC8yMDE5AQAAAALtWgACAAAAETAuNjg1NjM0ODM5OTM0NzgzANyfqVeqLtsIYNsmWKou2wg0Q0lRQVZHLiRVU0RBVUQuSVFfTEFTVFNBTEVQUklDRS4xMC8xLzIwMTkuMTIvMzAvMjAxOQEAAAAC7VoAAgAAABEwLjY4MzU5MTc3MDY5MjMwOADcn6lXqi7bCGDbJliqLtsINENJUUFWRy4kVVNEQVVELklRX0xBU1RTQUxFUFJJQ0UuMTIvMzEvMjAxOS4zLzMwLzIwMjABAAAAAu1aAAIAAAARMC42NTkyNTQxMjM0NzI1MjcA3J+pV6ou2whg2yZYqi7bCDNDSVFBVkcuJFVTREFVRC5JUV9MQVNUU0FMRVBSSUNFLjMvMzEvMjAyMC42LzMwLzIwMjABAAAAAu1aAAIAAAARMC42NTY0NzM2OTY0MTMwNDMA3J+pV6ou2whg2yZYqi7bCDJDSVFBVkcuJFVTREFVRC5JUV9MQVNUU0FMRVBSSUNFLjcvMS8yMDIwLjkvMzAvMjAyMAEAAAAC7VoAAgAAABEwLjcxNDg2Nzg2MzkxMzA0MwDcn6lXqi7b</t>
  </si>
  <si>
    <t>CGDbJliqLtsINENJUUFWRy4kVVNEQVVELklRX0xBU1RTQUxFUFJJQ0UuMTAvMS8yMDIwLjEyLzMxLzIwMjABAAAAAu1aAAIAAAARMC43MzE2MTk2MjAyOTM0NzgA3J+pV6ou2whg2yZYqi7bCDJDSVFBVkcuJFVTREFVRC5JUV9MQVNUU0FMRVBSSUNFLjEvMS8yMDIxLjMvMzEvMjAyMQEAAAAC7VoAAgAAABEwLjc3MjQ2ODQ1NzY4ODg4OQDcn6lXqi7bCGDbJliqLtsIMkNJUUFWRy4kVVNEQVVELklRX0xBU1RTQUxFUFJJQ0UuNC8xLzIwMjEuNi8zMC8yMDIxAQAAAALtWgACAAAAETAuNzY5Nzc0NDAwNDcyNTI3ANyfqVeqLtsIYNsmWKou2wgyQ0lRQVZHLiRVU0RBVUQuSVFfTEFTVFNBTEVQUklDRS43LzEvMjAyMS45LzMwLzIwMjEBAAAAAu1aAAIAAAARMC43MzQ4NDYwMzgxNDEzMDQA3J+pV6ou2whg2yZYqi7bCDRDSVFBVkcuJFVTREFVRC5JUV9MQVNUU0FMRVBSSUNFLjEwLzEvMjAyMS4xMi8zMS8yMDIxAQAAAALtWgACAAAAETAuNzI4NTQxODcxOTM0NzgzANyfqVeqLtsIYNsmWKou2wgyQ0lRQVZHLiRVU0RBVUQuSVFfTEFTVFNBTEVQUklDRS4xLzEvMjAyMi4zLzMxLzIwMjIBAAAAAu1aAAIAAAARMC43MjQzNTcxMjIwNTU1NTYA3J+pV6ou2whg2yZYqi7bCDJDSVFBVkcuJFVTREFVRC5JUV9MQVNUU0FMRVBSSUNFLjQvMS8yMDIyLjYvMzAvMjAyMgEAAAAC7VoAAgAAABEwLjcxNDY5MDAxODU4MjQx</t>
  </si>
  <si>
    <t>OADcn6lXqi7bCGDbJliqLtsIMkNJUUFWRy4kVVNEQVVELklRX0xBU1RTQUxFUFJJQ0UuNy8xLzIwMjIuMTAvMS8yMDIyAQAAAALtWgACAAAAETAuNjgzMzg2NzQwMDEwNzUzANyfqVeqLtsIYNsmWKou2wg0Q0lRQVZHLiRVU0RBVUQuSVFfTEFTVFNBTEVQUklDRS4xMC8yLzIwMjIuMTIvMzEvMjAyMgEAAAAC7VoAAgAAABEwLjY1NzY3MTE1NDcxNDI4NgDcn6lXqi7bCGDbJliqLtsIMkNJUUFWRy4kVVNEQ0FELklRX0xBU1RTQUxFUFJJQ0UuNy8xLzIwMTUuOS8zMC8yMDE1AQAAAALtWgACAAAAETAuNzY0NzUxOTM2MzE1MjE3ANyfqVeqLtsIYNsmWKou2wg0Q0lRQVZHLiRVU0RDQUQuSVFfTEFTVFNBTEVQUklDRS4xMC8xLzIwMTUuMTIvMzEvMjAxNQEAAAAC7VoAAgAAABEwLjc0OTE1MDIzOTYzMDQzNQDcn6lXqi7bCGDbJliqLtsIMkNJUUFWRy4kVVNEQ0FELklRX0xBU1RTQUxFUFJJQ0UuMS8xLzIwMTYuMy8zMS8yMDE2AQAAAALtWgACAAAAETAuNzI4OTU4NTQ5NjQ4MzUyANyfqVeqLtsIYNsmWKou2wgyQ0lRQVZHLiRVU0RDQUQuSVFfTEFTVFNBTEVQUklDRS40LzEvMjAxNi42LzMwLzIwMTYBAAAAAu1aAAIAAAARMC43NzU5NDMzODg5MzQwNjYA3J+pV6ou2whg2yZYqi7bCDJDSVFBVkcuJFVTRENBRC5JUV9MQVNUU0FMRVBSSUNFLjcvMS8yMDE2LjkvMzAvMjAxNgEAAAAC7VoAAgAAABEwLjc2Njgy</t>
  </si>
  <si>
    <t>Njk1NDE3MzkxMwDcn6lXqi7bCGDbJliqLtsINENJUUFWRy4kVVNEQ0FELklRX0xBU1RTQUxFUFJJQ0UuMTAvMS8yMDE2LjEyLzMwLzIwMTYBAAAAAu1aAAIAAAARMC43NDkxNzM1ODcyOTY3MDMA3J+pV6ou2whg2yZYqi7bCDRDSVFBVkcuJFVTRENBRC5JUV9MQVNUU0FMRVBSSUNFLjEyLzMxLzIwMTYuMy8zMS8yMDE3AQAAAALtWgACAAAAETAuNzU1Mzc3OTYwOTAxMDk5ANyfqVeqLtsIYNsmWKou2wgyQ0lRQVZHLiRVU0RDQUQuSVFfTEFTVFNBTEVQUklDRS40LzEvMjAxNy42LzMwLzIwMTcBAAAAAu1aAAIAAAARMC43NDM0OTY5NzE3MTQyODYA3J+pV6ou2whg2yZYqi7bCDJDSVFBVkcuJFVTRENBRC5JUV9MQVNUU0FMRVBSSUNFLjcvMS8yMDE3LjkvMzAvMjAxNwEAAAAC7VoAAgAAABEwLjc5ODEyOTA5NjQ3ODI2MQDcn6lXqi7bCGDbJliqLtsINENJUUFWRy4kVVNEQ0FELklRX0xBU1RTQUxFUFJJQ0UuMTAvMS8yMDE3LjEyLzMxLzIwMTcBAAAAAu1aAAIAAAARMC43ODY5NjEzNjQyMTczOTEA3J+pV6ou2whg2yZYqi7bCDJDSVFBVkcuJFVTRENBRC5JUV9MQVNUU0FMRVBSSUNFLjEvMS8yMDE4LjMvMzEvMjAxOAEAAAAC7VoAAgAAABEwLjc5MDg4NjU0ODI0NDQ0NADcn6lXqi7bCGDbJliqLtsIMkNJUUFWRy4kVVNEQ0FELklRX0xBU1RTQUxFUFJJQ0UuNC8xLzIwMTguNi8zMC8yMDE4AQAAAALtWgAC</t>
  </si>
  <si>
    <t>AAAAETAuNzc0NTY3ODcxMDc2OTIzANyfqVeqLtsIYNsmWKou2wgyQ0lRQVZHLiRVU0RDQUQuSVFfTEFTVFNBTEVQUklDRS43LzEvMjAxOC45LzMwLzIwMTgBAAAAAu1aAAIAAAARMC43NjUxNjQxMzQ4MzY5NTcA3J+pV6ou2whg2yZYqi7bCDRDSVFBVkcuJFVTRENBRC5JUV9MQVNUU0FMRVBSSUNFLjEwLzEvMjAxOC4xMi8zMS8yMDE4AQAAAALtWgACAAAAETAuNzU2NjA1NzIzNzcxNzM5ANyfqVeqLtsIYNsmWKou2wgyQ0lRQVZHLiRVU0RDQUQuSVFfTEFTVFNBTEVQUklDRS4xLzEvMjAxOS4zLzMxLzIwMTkBAAAAAu1aAAIAAAARMC43NTE5NzU1NjkzODg4ODkA3J+pV6ou2whg2yZYqi7bCDJDSVFBVkcuJFVTRENBRC5JUV9MQVNUU0FMRVBSSUNFLjQvMS8yMDE5LjYvMzAvMjAxOQEAAAAC7VoAAgAAABEwLjc0NzU4OTEyODczNjI2NADcn6lXqi7bCGDbJliqLtsIMkNJUUFWRy4kVVNEQ0FELklRX0xBU1RTQUxFUFJJQ0UuNy8xLzIwMTkuOS8zMC8yMDE5AQAAAALtWgACAAAAETAuNzU3MjgzNzk4ODM2OTU3ANyfqVeqLtsIYNsmWKou2wg0Q0lRQVZHLiRVU0RDQUQuSVFfTEFTVFNBTEVQUklDRS4xMC8xLzIwMTkuMTIvMzAvMjAxOQEAAAAC7VoAAgAAABEwLjc1NzUxMDU2OTgwMjE5OADcn6lXqi7bCGDbJliqLtsINENJUUFWRy4kVVNEQ0FELklRX0xBU1RTQUxFUFJJQ0UuMTIvMzEvMjAxOS4zLzMwLzIw</t>
  </si>
  <si>
    <t>MjABAAAAAu1aAAIAAAARMC43NDU2MzIwMzQ5MjMwNzcA3J+pV6ou2whg2yZYqi7bCDNDSVFBVkcuJFVTRENBRC5JUV9MQVNUU0FMRVBSSUNFLjMvMzEvMjAyMC42LzMwLzIwMjABAAAAAu1aAAIAAAANMC43MjEyNzg2NDQ3NQDcn6lXqi7bCGDbJliqLtsIMkNJUUFWRy4kVVNEQ0FELklRX0xBU1RTQUxFUFJJQ0UuNy8xLzIwMjAuOS8zMC8yMDIwAQAAAALtWgACAAAAETAuNzUwNDcwMTQ5ODkxMzA0ANyfqVeqLtsIYNsmWKou2wg0Q0lRQVZHLiRVU0RDQUQuSVFfTEFTVFNBTEVQUklDRS4xMC8xLzIwMjAuMTIvMzEvMjAyMAEAAAAC7VoAAgAAABEwLjc2NzU3MDA1NjgyNjA4NwDcn6lXqi7bCGDbJliqLtsIMkNJUUFWRy4kVVNEQ0FELklRX0xBU1RTQUxFUFJJQ0UuMS8xLzIwMjEuMy8zMS8yMDIxAQAAAALtWgACAAAAETAuNzg5NjEyMjUxNDg4ODg5ANyfqVeqLtsIYNsmWKou2wgyQ0lRQVZHLiRVU0RDQUQuSVFfTEFTVFNBTEVQUklDRS40LzEvMjAyMS42LzMwLzIwMjEBAAAAAu1aAAIAAAARMC44MTQwNjA1MzkxMzE4NjgA3J+pV6ou2whg2yZYqi7bCDJDSVFBVkcuJFVTRENBRC5JUV9MQVNUU0FMRVBSSUNFLjcvMS8yMDIxLjkvMzAvMjAyMQEAAAAC7VoAAgAAABEwLjc5NDA0MDYwMDY5NTY1MgDcn6lXqi7bCGDbJliqLtsINENJUUFWRy4kVVNEQ0FELklRX0xBU1RTQUxFUFJJQ0UuMTAvMS8yMDIxLjEy</t>
  </si>
  <si>
    <t>LzMxLzIwMjEBAAAAAu1aAAIAAAARMC43OTM0NTU3NTU1MzI2MDkA3J+pV6ou2whg2yZYqi7bCDJDSVFBVkcuJFVTRENBRC5JUV9MQVNUU0FMRVBSSUNFLjEvMS8yMDIyLjMvMzEvMjAyMgEAAAAC7VoAAgAAABEwLjc4OTU4NTU3OTk0NDQ0NADcn6lXqi7bCGDbJliqLtsIMkNJUUFWRy4kVVNEQ0FELklRX0xBU1RTQUxFUFJJQ0UuNC8xLzIwMjIuNi8zMC8yMDIyAQAAAALtWgACAAAAETAuNzgzMzkxMTYzNTE2NDg0ANyfqVeqLtsIYNsmWKou2wgyQ0lRQVZHLiRVU0RDQUQuSVFfTEFTVFNBTEVQUklDRS43LzEvMjAyMi4xMC8xLzIwMjIBAAAAAu1aAAIAAAARMC43NjYxMTgxNTg2NDUxNjEA3J+pV6ou2whg2yZYqi7bCDRDSVFBVkcuJFVTRENBRC5JUV9MQVNUU0FMRVBSSUNFLjEwLzIvMjAyMi4xMi8zMS8yMDIyAQAAAALtWgACAAAAETAuNzM2NzI0ODkzMTg2ODEzANyfqVeqLtsIYNsmWKou2wgrQ0lRQVZHLiRVU0RFVVIuSVFfTEFTVFNBTEVQUklDRS4uMTIvMzEvMjAyMgUAAAABAAAACAAAABIoSW52YWxpZCBFbmQgRGF0ZSk65RJYqi7bCDrlEliqLtsIK0NJUUFWRy4kVVNER0JQLklRX0xBU1RTQUxFUFJJQ0UuLjEyLzMxLzIwMjIFAAAAAQAAAAgAAAASKEludmFsaWQgRW5kIERhdGUpOuUSWKou2wg65RJYqi7bCCtDSVFBVkcuJFVTREpQWS5JUV9MQVNUU0FMRVBSSUNFLi4xMi8zMS8yMDIyBQAAAAEA</t>
  </si>
  <si>
    <t>AAAIAAAAEihJbnZhbGlkIEVuZCBEYXRlKTrlEliqLtsIOuUSWKou2wgrQ0lRQVZHLiRVU0RBVUQuSVFfTEFTVFNBTEVQUklDRS4uMTIvMzEvMjAyMgUAAAABAAAACAAAABIoSW52YWxpZCBFbmQgRGF0ZSk65RJYqi7bCDrlEliqLtsIK0NJUUFWRy4kVVNEQ0FELklRX0xBU1RTQUxFUFJJQ0UuLjEyLzMxLzIwMjIFAAAAAQAAAAgAAAASKEludmFsaWQgRW5kIERhdGUpOuUSWKou2wg65RJYqi7bCCpDSVFBVkcuJFVTREVVUi5JUV9MQVNUU0FMRVBSSUNFLi4xMC8xLzIwMjIFAAAAAQAAAAgAAAASKEludmFsaWQgRW5kIERhdGUpOuUSWKou2wg65RJYqi7bCCpDSVFBVkcuJFVTREdCUC5JUV9MQVNUU0FMRVBSSUNFLi4xMC8xLzIwMjIFAAAAAQAAAAgAAAASKEludmFsaWQgRW5kIERhdGUpOuUSWKou2wg65RJYqi7bCCpDSVFBVkcuJFVTREpQWS5JUV9MQVNUU0FMRVBSSUNFLi4xMC8xLzIwMjIFAAAAAQAAAAgAAAASKEludmFsaWQgRW5kIERhdGUpOuUSWKou2wg65RJYqi7bCCpDSVFBVkcuJFVTRENBRC5JUV9MQVNUU0FMRVBSSUNFLi4xMC8xLzIwMjIFAAAAAQAAAAgAAAASKEludmFsaWQgRW5kIERhdGUpOuUSWKou2wg65RJYqi7bCCpDSVFBVkcuJFVTREFVRC5JUV9MQVNUU0FMRVBSSUNFLi4xMC8xLzIwMjIFAAAAAQAAAAgAAAASKEludmFsaWQgRW5kIERhdGUpOuUSWKou2wg65RJYqi7bCCpDSVFBVkcu</t>
  </si>
  <si>
    <t>JFVTREVVUi5JUV9MQVNUU0FMRVBSSUNFLi42LzMwLzIwMjIFAAAAAQAAAAgAAAASKEludmFsaWQgRW5kIERhdGUpOuUSWKou2wg65RJYqi7bCCpDSVFBVkcuJFVTREdCUC5JUV9MQVNUU0FMRVBSSUNFLi42LzMwLzIwMjIFAAAAAQAAAAgAAAASKEludmFsaWQgRW5kIERhdGUpOuUSWKou2wg65RJYqi7bCCpDSVFBVkcuJFVTREpQWS5JUV9MQVNUU0FMRVBSSUNFLi42LzMwLzIwMjIFAAAAAQAAAAgAAAASKEludmFsaWQgRW5kIERhdGUpOuUSWKou2wg65RJYqi7bCCpDSVFBVkcuJFVTREFVRC5JUV9MQVNUU0FMRVBSSUNFLi42LzMwLzIwMjIFAAAAAQAAAAgAAAASKEludmFsaWQgRW5kIERhdGUpOuUSWKou2wg65RJYqi7bCCpDSVFBVkcuJFVTRENBRC5JUV9MQVNUU0FMRVBSSUNFLi42LzMwLzIwMjIFAAAAAQAAAAgAAAASKEludmFsaWQgRW5kIERhdGUpOuUSWKou2wg65RJYqi7bCCpDSVFBVkcuJFVTREVVUi5JUV9MQVNUU0FMRVBSSUNFLi4zLzMxLzIwMjIFAAAAAQAAAAgAAAASKEludmFsaWQgRW5kIERhdGUpOuUSWKou2wg65RJYqi7bCCpDSVFBVkcuJFVTREdCUC5JUV9MQVNUU0FMRVBSSUNFLi4zLzMxLzIwMjIFAAAAAQAAAAgAAAASKEludmFsaWQgRW5kIERhdGUpOuUSWKou2wg65RJYqi7bCCpDSVFBVkcuJFVTREpQWS5JUV9MQVNUU0FMRVBSSUNFLi4zLzMxLzIwMjIFAAAAAQAAAAgAAAASKElu</t>
  </si>
  <si>
    <t>dmFsaWQgRW5kIERhdGUpOuUSWKou2wg65RJYqi7bCCpDSVFBVkcuJFVTRENBRC5JUV9MQVNUU0FMRVBSSUNFLi4zLzMxLzIwMjIFAAAAAQAAAAgAAAASKEludmFsaWQgRW5kIERhdGUpOuUSWKou2wg65RJYqi7bCCpDSVFBVkcuJFVTREFVRC5JUV9MQVNUU0FMRVBSSUNFLi4zLzMxLzIwMjIFAAAAAQAAAAgAAAASKEludmFsaWQgRW5kIERhdGUpOuUSWKou2wg65RJYqi7bCCtDSVFBVkcuJFVTREVVUi5JUV9MQVNUU0FMRVBSSUNFLi4xMi8zMS8yMDIxBQAAAAEAAAAIAAAAEihJbnZhbGlkIEVuZCBEYXRlKTrlEliqLtsIOuUSWKou2wgrQ0lRQVZHLiRVU0RHQlAuSVFfTEFTVFNBTEVQUklDRS4uMTIvMzEvMjAyMQUAAAABAAAACAAAABIoSW52YWxpZCBFbmQgRGF0ZSk65RJYqi7bCDrlEliqLtsIK0NJUUFWRy4kVVNESlBZLklRX0xBU1RTQUxFUFJJQ0UuLjEyLzMxLzIwMjEFAAAAAQAAAAgAAAASKEludmFsaWQgRW5kIERhdGUpOuUSWKou2wg65RJYqi7bCCtDSVFBVkcuJFVTREFVRC5JUV9MQVNUU0FMRVBSSUNFLi4xMi8zMS8yMDIxBQAAAAEAAAAIAAAAEihJbnZhbGlkIEVuZCBEYXRlKTrlEliqLtsIOuUSWKou2wgrQ0lRQVZHLiRVU0RDQUQuSVFfTEFTVFNBTEVQUklDRS4uMTIvMzEvMjAyMQUAAAABAAAACAAAABIoSW52YWxpZCBFbmQgRGF0ZSk65RJYqi7bCDrlEliqLtsIKkNJUUFWRy4kVVNERVVS</t>
  </si>
  <si>
    <t>LklRX0xBU1RTQUxFUFJJQ0UuLjkvMzAvMjAyMQUAAAABAAAACAAAABIoSW52YWxpZCBFbmQgRGF0ZSk65RJYqi7bCDrlEliqLtsIKkNJUUFWRy4kVVNER0JQLklRX0xBU1RTQUxFUFJJQ0UuLjkvMzAvMjAyMQUAAAABAAAACAAAABIoSW52YWxpZCBFbmQgRGF0ZSk65RJYqi7bCDrlEliqLtsIKkNJUUFWRy4kVVNESlBZLklRX0xBU1RTQUxFUFJJQ0UuLjkvMzAvMjAyMQUAAAABAAAACAAAABIoSW52YWxpZCBFbmQgRGF0ZSk65RJYqi7bCDrlEliqLtsIKkNJUUFWRy4kVVNEQVVELklRX0xBU1RTQUxFUFJJQ0UuLjkvMzAvMjAyMQUAAAABAAAACAAAABIoSW52YWxpZCBFbmQgRGF0ZSk65RJYqi7bCDrlEliqLtsIKkNJUUFWRy4kVVNEQ0FELklRX0xBU1RTQUxFUFJJQ0UuLjkvMzAvMjAyMQUAAAABAAAACAAAABIoSW52YWxpZCBFbmQgRGF0ZSk65RJYqi7bCDrlEliqLtsIKkNJUUFWRy4kVVNERVVSLklRX0xBU1RTQUxFUFJJQ0UuLjYvMzAvMjAyMQUAAAABAAAACAAAABIoSW52YWxpZCBFbmQgRGF0ZSk65RJYqi7bCDrlEliqLtsIKkNJUUFWRy4kVVNER0JQLklRX0xBU1RTQUxFUFJJQ0UuLjYvMzAvMjAyMQUAAAABAAAACAAAABIoSW52YWxpZCBFbmQgRGF0ZSk65RJYqi7bCDrlEliqLtsIKkNJUUFWRy4kVVNESlBZLklRX0xBU1RTQUxFUFJJQ0UuLjYvMzAvMjAyMQUAAAABAAAACAAAABIoSW52YWxpZCBF</t>
  </si>
  <si>
    <t>bmQgRGF0ZSk65RJYqi7bCDrlEliqLtsIKkNJUUFWRy4kVVNEQVVELklRX0xBU1RTQUxFUFJJQ0UuLjYvMzAvMjAyMQUAAAABAAAACAAAABIoSW52YWxpZCBFbmQgRGF0ZSk65RJYqi7bCDrlEliqLtsIKkNJUUFWRy4kVVNEQ0FELklRX0xBU1RTQUxFUFJJQ0UuLjYvMzAvMjAyMQUAAAABAAAACAAAABIoSW52YWxpZCBFbmQgRGF0ZSk65RJYqi7bCDrlEliqLtsIKkNJUUFWRy4kVVNERVVSLklRX0xBU1RTQUxFUFJJQ0UuLjMvMzEvMjAyMQUAAAABAAAACAAAABIoSW52YWxpZCBFbmQgRGF0ZSk65RJYqi7bCDrlEliqLtsIKkNJUUFWRy4kVVNER0JQLklRX0xBU1RTQUxFUFJJQ0UuLjMvMzEvMjAyMQUAAAABAAAACAAAABIoSW52YWxpZCBFbmQgRGF0ZSk65RJYqi7bCDrlEliqLtsIKkNJUUFWRy4kVVNESlBZLklRX0xBU1RTQUxFUFJJQ0UuLjMvMzEvMjAyMQUAAAABAAAACAAAABIoSW52YWxpZCBFbmQgRGF0ZSk65RJYqi7bCDrlEliqLtsIKkNJUUFWRy4kVVNEQVVELklRX0xBU1RTQUxFUFJJQ0UuLjMvMzEvMjAyMQUAAAABAAAACAAAABIoSW52YWxpZCBFbmQgRGF0ZSk65RJYqi7bCDrlEliqLtsIKkNJUUFWRy4kVVNEQ0FELklRX0xBU1RTQUxFUFJJQ0UuLjMvMzEvMjAyMQUAAAABAAAACAAAABIoSW52YWxpZCBFbmQgRGF0ZSk65RJYqi7bCDrlEliqLtsIK0NJUUFWRy4kVVNERVVSLklRX0xBU1RTQUxF</t>
  </si>
  <si>
    <t>UFJJQ0UuLjEyLzMxLzIwMjAFAAAAAQAAAAgAAAASKEludmFsaWQgRW5kIERhdGUpOuUSWKou2wg65RJYqi7bCCtDSVFBVkcuJFVTREdCUC5JUV9MQVNUU0FMRVBSSUNFLi4xMi8zMS8yMDIwBQAAAAEAAAAIAAAAEihJbnZhbGlkIEVuZCBEYXRlKTrlEliqLtsIOuUSWKou2wgrQ0lRQVZHLiRVU0RKUFkuSVFfTEFTVFNBTEVQUklDRS4uMTIvMzEvMjAyMAUAAAABAAAACAAAABIoSW52YWxpZCBFbmQgRGF0ZSk65RJYqi7bCDrlEliqLtsIK0NJUUFWRy4kVVNEQVVELklRX0xBU1RTQUxFUFJJQ0UuLjEyLzMxLzIwMjAFAAAAAQAAAAgAAAASKEludmFsaWQgRW5kIERhdGUpOuUSWKou2wg65RJYqi7bCCtDSVFBVkcuJFVTRENBRC5JUV9MQVNUU0FMRVBSSUNFLi4xMi8zMS8yMDIwBQAAAAEAAAAIAAAAEihJbnZhbGlkIEVuZCBEYXRlKTrlEliqLtsIOuUSWKou2wgqQ0lRQVZHLiRVU0RFVVIuSVFfTEFTVFNBTEVQUklDRS4uOS8zMC8yMDIwBQAAAAEAAAAIAAAAEihJbnZhbGlkIEVuZCBEYXRlKTrlEliqLtsIOuUSWKou2wgqQ0lRQVZHLiRVU0RHQlAuSVFfTEFTVFNBTEVQUklDRS4uOS8zMC8yMDIwBQAAAAEAAAAIAAAAEihJbnZhbGlkIEVuZCBEYXRlKTrlEliqLtsIOuUSWKou2wgqQ0lRQVZHLiRVU0RKUFkuSVFfTEFTVFNBTEVQUklDRS4uOS8zMC8yMDIwBQAAAAEAAAAIAAAAEihJbnZhbGlkIEVuZCBEYXRl</t>
  </si>
  <si>
    <t>KTrlEliqLtsIOuUSWKou2wgqQ0lRQVZHLiRVU0RBVUQuSVFfTEFTVFNBTEVQUklDRS4uOS8zMC8yMDIwBQAAAAEAAAAIAAAAEihJbnZhbGlkIEVuZCBEYXRlKTrlEliqLtsIOuUSWKou2wgqQ0lRQVZHLiRVU0RDQUQuSVFfTEFTVFNBTEVQUklDRS4uOS8zMC8yMDIwBQAAAAEAAAAIAAAAEihJbnZhbGlkIEVuZCBEYXRlKTrlEliqLtsIOuUSWKou2wgqQ0lRQVZHLiRVU0RFVVIuSVFfTEFTVFNBTEVQUklDRS4uNi8zMC8yMDIwBQAAAAEAAAAIAAAAEihJbnZhbGlkIEVuZCBEYXRlKTrlEliqLtsIOuUSWKou2wgqQ0lRQVZHLiRVU0RHQlAuSVFfTEFTVFNBTEVQUklDRS4uNi8zMC8yMDIwBQAAAAEAAAAIAAAAEihJbnZhbGlkIEVuZCBEYXRlKTrlEliqLtsIOuUSWKou2wgqQ0lRQVZHLiRVU0RKUFkuSVFfTEFTVFNBTEVQUklDRS4uNi8zMC8yMDIwBQAAAAEAAAAIAAAAEihJbnZhbGlkIEVuZCBEYXRlKTrlEliqLtsIOuUSWKou2wgqQ0lRQVZHLiRVU0RBVUQuSVFfTEFTVFNBTEVQUklDRS4uNi8zMC8yMDIwBQAAAAEAAAAIAAAAEihJbnZhbGlkIEVuZCBEYXRlKTrlEliqLtsIOuUSWKou2wgqQ0lRQVZHLiRVU0RDQUQuSVFfTEFTVFNBTEVQUklDRS4uNi8zMC8yMDIwBQAAAAEAAAAIAAAAEihJbnZhbGlkIEVuZCBEYXRlKTrlEliqLtsIOuUSWKou2wgqQ0lRQVZHLiRVU0RFVVIuSVFfTEFTVFNBTEVQUklDRS4u</t>
  </si>
  <si>
    <t>My8zMC8yMDIwBQAAAAEAAAAIAAAAEihJbnZhbGlkIEVuZCBEYXRlKTrlEliqLtsIOuUSWKou2wgqQ0lRQVZHLiRVU0RHQlAuSVFfTEFTVFNBTEVQUklDRS4uMy8zMC8yMDIwBQAAAAEAAAAIAAAAEihJbnZhbGlkIEVuZCBEYXRlKTrlEliqLtsIOuUSWKou2wgqQ0lRQVZHLiRVU0RKUFkuSVFfTEFTVFNBTEVQUklDRS4uMy8zMC8yMDIwBQAAAAEAAAAIAAAAEihJbnZhbGlkIEVuZCBEYXRlKTrlEliqLtsIOuUSWKou2wgqQ0lRQVZHLiRVU0RBVUQuSVFfTEFTVFNBTEVQUklDRS4uMy8zMC8yMDIwBQAAAAEAAAAIAAAAEihJbnZhbGlkIEVuZCBEYXRlKTrlEliqLtsIOuUSWKou2wgqQ0lRQVZHLiRVU0RDQUQuSVFfTEFTVFNBTEVQUklDRS4uMy8zMC8yMDIwBQAAAAEAAAAIAAAAEihJbnZhbGlkIEVuZCBEYXRlKTrlEliqLtsIOuUSWKou2wgrQ0lRQVZHLiRVU0RFVVIuSVFfTEFTVFNBTEVQUklDRS4uMTIvMzAvMjAxOQUAAAABAAAACAAAABIoSW52YWxpZCBFbmQgRGF0ZSk65RJYqi7bCDrlEliqLtsIK0NJUUFWRy4kVVNER0JQLklRX0xBU1RTQUxFUFJJQ0UuLjEyLzMwLzIwMTkFAAAAAQAAAAgAAAASKEludmFsaWQgRW5kIERhdGUpOuUSWKou2wg65RJYqi7bCCtDSVFBVkcuJFVTREpQWS5JUV9MQVNUU0FMRVBSSUNFLi4xMi8zMC8yMDE5BQAAAAEAAAAIAAAAEihJbnZhbGlkIEVuZCBEYXRlKTrlEliqLtsI</t>
  </si>
  <si>
    <t>OuUSWKou2wgrQ0lRQVZHLiRVU0RBVUQuSVFfTEFTVFNBTEVQUklDRS4uMTIvMzAvMjAxOQUAAAABAAAACAAAABIoSW52YWxpZCBFbmQgRGF0ZSk65RJYqi7bCDrlEliqLtsIK0NJUUFWRy4kVVNEQ0FELklRX0xBU1RTQUxFUFJJQ0UuLjEyLzMwLzIwMTkFAAAAAQAAAAgAAAASKEludmFsaWQgRW5kIERhdGUpOuUSWKou2wg65RJYqi7bCCpDSVFBVkcuJFVTREVVUi5JUV9MQVNUU0FMRVBSSUNFLi45LzMwLzIwMTkFAAAAAQAAAAgAAAASKEludmFsaWQgRW5kIERhdGUpOuUSWKou2wg65RJYqi7bCCpDSVFBVkcuJFVTREdCUC5JUV9MQVNUU0FMRVBSSUNFLi45LzMwLzIwMTkFAAAAAQAAAAgAAAASKEludmFsaWQgRW5kIERhdGUpOuUSWKou2wg65RJYqi7bCCpDSVFBVkcuJFVTREpQWS5JUV9MQVNUU0FMRVBSSUNFLi45LzMwLzIwMTkFAAAAAQAAAAgAAAASKEludmFsaWQgRW5kIERhdGUpOuUSWKou2wg65RJYqi7bCCpDSVFBVkcuJFVTREFVRC5JUV9MQVNUU0FMRVBSSUNFLi45LzMwLzIwMTkFAAAAAQAAAAgAAAASKEludmFsaWQgRW5kIERhdGUpOuUSWKou2wg65RJYqi7bCCpDSVFBVkcuJFVTRENBRC5JUV9MQVNUU0FMRVBSSUNFLi45LzMwLzIwMTkFAAAAAQAAAAgAAAASKEludmFsaWQgRW5kIERhdGUpOuUSWKou2wg65RJYqi7bCCpDSVFBVkcuJFVTREVVUi5JUV9MQVNUU0FMRVBSSUNFLi42LzMwLzIw</t>
  </si>
  <si>
    <t>MTkFAAAAAQAAAAgAAAASKEludmFsaWQgRW5kIERhdGUpOuUSWKou2wg65RJYqi7bCCpDSVFBVkcuJFVTREdCUC5JUV9MQVNUU0FMRVBSSUNFLi42LzMwLzIwMTkFAAAAAQAAAAgAAAASKEludmFsaWQgRW5kIERhdGUpOuUSWKou2wg65RJYqi7bCCpDSVFBVkcuJFVTREpQWS5JUV9MQVNUU0FMRVBSSUNFLi42LzMwLzIwMTkFAAAAAQAAAAgAAAASKEludmFsaWQgRW5kIERhdGUpOuUSWKou2wg65RJYqi7bCCpDSVFBVkcuJFVTREFVRC5JUV9MQVNUU0FMRVBSSUNFLi42LzMwLzIwMTkFAAAAAQAAAAgAAAASKEludmFsaWQgRW5kIERhdGUpOuUSWKou2wg65RJYqi7bCCpDSVFBVkcuJFVTRENBRC5JUV9MQVNUU0FMRVBSSUNFLi42LzMwLzIwMTkFAAAAAQAAAAgAAAASKEludmFsaWQgRW5kIERhdGUpOuUSWKou2wg65RJYqi7bCCpDSVFBVkcuJFVTREVVUi5JUV9MQVNUU0FMRVBSSUNFLi4zLzMxLzIwMTkFAAAAAQAAAAgAAAASKEludmFsaWQgRW5kIERhdGUpOuUSWKou2wg65RJYqi7bCCpDSVFBVkcuJFVTREdCUC5JUV9MQVNUU0FMRVBSSUNFLi4zLzMxLzIwMTkFAAAAAQAAAAgAAAASKEludmFsaWQgRW5kIERhdGUpOuUSWKou2wg65RJYqi7bCCpDSVFBVkcuJFVTREpQWS5JUV9MQVNUU0FMRVBSSUNFLi4zLzMxLzIwMTkFAAAAAQAAAAgAAAASKEludmFsaWQgRW5kIERhdGUpOuUSWKou2wg65RJYqi7bCCpD</t>
  </si>
  <si>
    <t>SVFBVkcuJFVTREFVRC5JUV9MQVNUU0FMRVBSSUNFLi4zLzMxLzIwMTkFAAAAAQAAAAgAAAASKEludmFsaWQgRW5kIERhdGUpOuUSWKou2wg65RJYqi7bCCpDSVFBVkcuJFVTRENBRC5JUV9MQVNUU0FMRVBSSUNFLi4zLzMxLzIwMTkFAAAAAQAAAAgAAAASKEludmFsaWQgRW5kIERhdGUpOuUSWKou2wg65RJYqi7bCCtDSVFBVkcuJFVTREVVUi5JUV9MQVNUU0FMRVBSSUNFLi4xMi8zMS8yMDE4BQAAAAEAAAAIAAAAEihJbnZhbGlkIEVuZCBEYXRlKTrlEliqLtsIOuUSWKou2wgrQ0lRQVZHLiRVU0RHQlAuSVFfTEFTVFNBTEVQUklDRS4uMTIvMzEvMjAxOAUAAAABAAAACAAAABIoSW52YWxpZCBFbmQgRGF0ZSk65RJYqi7bCDrlEliqLtsIK0NJUUFWRy4kVVNESlBZLklRX0xBU1RTQUxFUFJJQ0UuLjEyLzMxLzIwMTgFAAAAAQAAAAgAAAASKEludmFsaWQgRW5kIERhdGUpOuUSWKou2wg65RJYqi7bCCtDSVFBVkcuJFVTREFVRC5JUV9MQVNUU0FMRVBSSUNFLi4xMi8zMS8yMDE4BQAAAAEAAAAIAAAAEihJbnZhbGlkIEVuZCBEYXRlKTrlEliqLtsIOuUSWKou2wgrQ0lRQVZHLiRVU0RDQUQuSVFfTEFTVFNBTEVQUklDRS4uMTIvMzEvMjAxOAUAAAABAAAACAAAABIoSW52YWxpZCBFbmQgRGF0ZSk65RJYqi7bCDrlEliqLtsIKkNJUUFWRy4kVVNERVVSLklRX0xBU1RTQUxFUFJJQ0UuLjkvMzAvMjAxOAUAAAAB</t>
  </si>
  <si>
    <t>AAAACAAAABIoSW52YWxpZCBFbmQgRGF0ZSk65RJYqi7bCDrlEliqLtsIKkNJUUFWRy4kVVNER0JQLklRX0xBU1RTQUxFUFJJQ0UuLjkvMzAvMjAxOAUAAAABAAAACAAAABIoSW52YWxpZCBFbmQgRGF0ZSk65RJYqi7bCDrlEliqLtsIKkNJUUFWRy4kVVNESlBZLklRX0xBU1RTQUxFUFJJQ0UuLjkvMzAvMjAxOAUAAAABAAAACAAAABIoSW52YWxpZCBFbmQgRGF0ZSk65RJYqi7bCDrlEliqLtsIKkNJUUFWRy4kVVNEQVVELklRX0xBU1RTQUxFUFJJQ0UuLjkvMzAvMjAxOAUAAAABAAAACAAAABIoSW52YWxpZCBFbmQgRGF0ZSk65RJYqi7bCDrlEliqLtsIKkNJUUFWRy4kVVNEQ0FELklRX0xBU1RTQUxFUFJJQ0UuLjkvMzAvMjAxOAUAAAABAAAACAAAABIoSW52YWxpZCBFbmQgRGF0ZSk65RJYqi7bCDrlEliqLtsIKkNJUUFWRy4kVVNERVVSLklRX0xBU1RTQUxFUFJJQ0UuLjYvMzAvMjAxOAUAAAABAAAACAAAABIoSW52YWxpZCBFbmQgRGF0ZSk65RJYqi7bCDrlEliqLtsIKkNJUUFWRy4kVVNER0JQLklRX0xBU1RTQUxFUFJJQ0UuLjYvMzAvMjAxOAUAAAABAAAACAAAABIoSW52YWxpZCBFbmQgRGF0ZSk65RJYqi7bCDrlEliqLtsIKkNJUUFWRy4kVVNESlBZLklRX0xBU1RTQUxFUFJJQ0UuLjYvMzAvMjAxOAUAAAABAAAACAAAABIoSW52YWxpZCBFbmQgRGF0ZSk65RJYqi7bCDrlEliqLtsIKkNJUUFWRy4k</t>
  </si>
  <si>
    <t>VVNEQVVELklRX0xBU1RTQUxFUFJJQ0UuLjYvMzAvMjAxOAUAAAABAAAACAAAABIoSW52YWxpZCBFbmQgRGF0ZSk65RJYqi7bCDrlEliqLtsIKkNJUUFWRy4kVVNEQ0FELklRX0xBU1RTQUxFUFJJQ0UuLjYvMzAvMjAxOAUAAAABAAAACAAAABIoSW52YWxpZCBFbmQgRGF0ZSk65RJYqi7bCDrlEliqLtsIKkNJUUFWRy4kVVNERVVSLklRX0xBU1RTQUxFUFJJQ0UuLjMvMzEvMjAxOAUAAAABAAAACAAAABIoSW52YWxpZCBFbmQgRGF0ZSk65RJYqi7bCDrlEliqLtsIKkNJUUFWRy4kVVNER0JQLklRX0xBU1RTQUxFUFJJQ0UuLjMvMzEvMjAxOAUAAAABAAAACAAAABIoSW52YWxpZCBFbmQgRGF0ZSk65RJYqi7bCDrlEliqLtsIKkNJUUFWRy4kVVNESlBZLklRX0xBU1RTQUxFUFJJQ0UuLjMvMzEvMjAxOAUAAAABAAAACAAAABIoSW52YWxpZCBFbmQgRGF0ZSk65RJYqi7bCDrlEliqLtsIKkNJUUFWRy4kVVNEQVVELklRX0xBU1RTQUxFUFJJQ0UuLjMvMzEvMjAxOAUAAAABAAAACAAAABIoSW52YWxpZCBFbmQgRGF0ZSk65RJYqi7bCDrlEliqLtsIKkNJUUFWRy4kVVNEQ0FELklRX0xBU1RTQUxFUFJJQ0UuLjMvMzEvMjAxOAUAAAABAAAACAAAABIoSW52YWxpZCBFbmQgRGF0ZSk65RJYqi7bCDrlEliqLtsIK0NJUUFWRy4kVVNERVVSLklRX0xBU1RTQUxFUFJJQ0UuLjEyLzMxLzIwMTcFAAAAAQAAAAgAAAASKElu</t>
  </si>
  <si>
    <t>dmFsaWQgRW5kIERhdGUpOuUSWKou2wg65RJYqi7bCCtDSVFBVkcuJFVTREdCUC5JUV9MQVNUU0FMRVBSSUNFLi4xMi8zMS8yMDE3BQAAAAEAAAAIAAAAEihJbnZhbGlkIEVuZCBEYXRlKTrlEliqLtsIOuUSWKou2wgrQ0lRQVZHLiRVU0RKUFkuSVFfTEFTVFNBTEVQUklDRS4uMTIvMzEvMjAxNwUAAAABAAAACAAAABIoSW52YWxpZCBFbmQgRGF0ZSk65RJYqi7bCDrlEliqLtsIK0NJUUFWRy4kVVNEQVVELklRX0xBU1RTQUxFUFJJQ0UuLjEyLzMxLzIwMTcFAAAAAQAAAAgAAAASKEludmFsaWQgRW5kIERhdGUpOuUSWKou2wg65RJYqi7bCCtDSVFBVkcuJFVTRENBRC5JUV9MQVNUU0FMRVBSSUNFLi4xMi8zMS8yMDE3BQAAAAEAAAAIAAAAEihJbnZhbGlkIEVuZCBEYXRlKTrlEliqLtsIOuUSWKou2wgqQ0lRQVZHLiRVU0RFVVIuSVFfTEFTVFNBTEVQUklDRS4uOS8zMC8yMDE3BQAAAAEAAAAIAAAAEihJbnZhbGlkIEVuZCBEYXRlKTrlEliqLtsIOuUSWKou2wgqQ0lRQVZHLiRVU0RHQlAuSVFfTEFTVFNBTEVQUklDRS4uOS8zMC8yMDE3BQAAAAEAAAAIAAAAEihJbnZhbGlkIEVuZCBEYXRlKTrlEliqLtsIOuUSWKou2wgqQ0lRQVZHLiRVU0RKUFkuSVFfTEFTVFNBTEVQUklDRS4uOS8zMC8yMDE3BQAAAAEAAAAIAAAAEihJbnZhbGlkIEVuZCBEYXRlKTrlEliqLtsIOuUSWKou2wgqQ0lRQVZHLiRVU0RBVUQu</t>
  </si>
  <si>
    <t>SVFfTEFTVFNBTEVQUklDRS4uOS8zMC8yMDE3BQAAAAEAAAAIAAAAEihJbnZhbGlkIEVuZCBEYXRlKTrlEliqLtsIOuUSWKou2wgqQ0lRQVZHLiRVU0RDQUQuSVFfTEFTVFNBTEVQUklDRS4uOS8zMC8yMDE3BQAAAAEAAAAIAAAAEihJbnZhbGlkIEVuZCBEYXRlKTrlEliqLtsIOuUSWKou2wgqQ0lRQVZHLiRVU0RFVVIuSVFfTEFTVFNBTEVQUklDRS4uNi8zMC8yMDE3BQAAAAEAAAAIAAAAEihJbnZhbGlkIEVuZCBEYXRlKTrlEliqLtsIOuUSWKou2wgqQ0lRQVZHLiRVU0RHQlAuSVFfTEFTVFNBTEVQUklDRS4uNi8zMC8yMDE3BQAAAAEAAAAIAAAAEihJbnZhbGlkIEVuZCBEYXRlKTrlEliqLtsIOuUSWKou2wgqQ0lRQVZHLiRVU0RKUFkuSVFfTEFTVFNBTEVQUklDRS4uNi8zMC8yMDE3BQAAAAEAAAAIAAAAEihJbnZhbGlkIEVuZCBEYXRlKTrlEliqLtsIOuUSWKou2wgqQ0lRQVZHLiRVU0RBVUQuSVFfTEFTVFNBTEVQUklDRS4uNi8zMC8yMDE3BQAAAAEAAAAIAAAAEihJbnZhbGlkIEVuZCBEYXRlKTrlEliqLtsIOuUSWKou2wgqQ0lRQVZHLiRVU0RDQUQuSVFfTEFTVFNBTEVQUklDRS4uNi8zMC8yMDE3BQAAAAEAAAAIAAAAEihJbnZhbGlkIEVuZCBEYXRlKTrlEliqLtsIOuUSWKou2wgqQ0lRQVZHLiRVU0RFVVIuSVFfTEFTVFNBTEVQUklDRS4uMy8zMS8yMDE3BQAAAAEAAAAIAAAAEihJbnZhbGlkIEVu</t>
  </si>
  <si>
    <t>ZCBEYXRlKTrlEliqLtsIOuUSWKou2wgqQ0lRQVZHLiRVU0RHQlAuSVFfTEFTVFNBTEVQUklDRS4uMy8zMS8yMDE3BQAAAAEAAAAIAAAAEihJbnZhbGlkIEVuZCBEYXRlKTrlEliqLtsIOuUSWKou2wgqQ0lRQVZHLiRVU0RKUFkuSVFfTEFTVFNBTEVQUklDRS4uMy8zMS8yMDE3BQAAAAEAAAAIAAAAEihJbnZhbGlkIEVuZCBEYXRlKTrlEliqLtsIOuUSWKou2wgqQ0lRQVZHLiRVU0RBVUQuSVFfTEFTVFNBTEVQUklDRS4uMy8zMS8yMDE3BQAAAAEAAAAIAAAAEihJbnZhbGlkIEVuZCBEYXRlKTrlEliqLtsIOuUSWKou2wgqQ0lRQVZHLiRVU0RDQUQuSVFfTEFTVFNBTEVQUklDRS4uMy8zMS8yMDE3BQAAAAEAAAAIAAAAEihJbnZhbGlkIEVuZCBEYXRlKTrlEliqLtsIOuUSWKou2wgrQ0lRQVZHLiRVU0RFVVIuSVFfTEFTVFNBTEVQUklDRS4uMTIvMzAvMjAxNgUAAAABAAAACAAAABIoSW52YWxpZCBFbmQgRGF0ZSk65RJYqi7bCDrlEliqLtsIK0NJUUFWRy4kVVNER0JQLklRX0xBU1RTQUxFUFJJQ0UuLjEyLzMwLzIwMTYFAAAAAQAAAAgAAAASKEludmFsaWQgRW5kIERhdGUpOuUSWKou2wg65RJYqi7bCCtDSVFBVkcuJFVTREpQWS5JUV9MQVNUU0FMRVBSSUNFLi4xMi8zMC8yMDE2BQAAAAEAAAAIAAAAEihJbnZhbGlkIEVuZCBEYXRlKTrlEliqLtsIOuUSWKou2wgrQ0lRQVZHLiRVU0RBVUQuSVFfTEFTVFNB</t>
  </si>
  <si>
    <t>TEVQUklDRS4uMTIvMzAvMjAxNgUAAAABAAAACAAAABIoSW52YWxpZCBFbmQgRGF0ZSk65RJYqi7bCDrlEliqLtsIK0NJUUFWRy4kVVNEQ0FELklRX0xBU1RTQUxFUFJJQ0UuLjEyLzMwLzIwMTYFAAAAAQAAAAgAAAASKEludmFsaWQgRW5kIERhdGUpOuUSWKou2wg65RJYqi7bCCpDSVFBVkcuJFVTREVVUi5JUV9MQVNUU0FMRVBSSUNFLi45LzMwLzIwMTYFAAAAAQAAAAgAAAASKEludmFsaWQgRW5kIERhdGUpOuUSWKou2wg65RJYqi7bCCpDSVFBVkcuJFVTREdCUC5JUV9MQVNUU0FMRVBSSUNFLi45LzMwLzIwMTYFAAAAAQAAAAgAAAASKEludmFsaWQgRW5kIERhdGUpOuUSWKou2wg65RJYqi7bCCpDSVFBVkcuJFVTREpQWS5JUV9MQVNUU0FMRVBSSUNFLi45LzMwLzIwMTYFAAAAAQAAAAgAAAASKEludmFsaWQgRW5kIERhdGUpOuUSWKou2wg65RJYqi7bCCpDSVFBVkcuJFVTREFVRC5JUV9MQVNUU0FMRVBSSUNFLi45LzMwLzIwMTYFAAAAAQAAAAgAAAASKEludmFsaWQgRW5kIERhdGUpOuUSWKou2wg65RJYqi7bCCpDSVFBVkcuJFVTRENBRC5JUV9MQVNUU0FMRVBSSUNFLi45LzMwLzIwMTYFAAAAAQAAAAgAAAASKEludmFsaWQgRW5kIERhdGUpOuUSWKou2wg65RJYqi7bCCpDSVFBVkcuJFVTREVVUi5JUV9MQVNUU0FMRVBSSUNFLi42LzMwLzIwMTYFAAAAAQAAAAgAAAASKEludmFsaWQgRW5kIERhdGUp</t>
  </si>
  <si>
    <t>OuUSWKou2wg65RJYqi7bCCpDSVFBVkcuJFVTREdCUC5JUV9MQVNUU0FMRVBSSUNFLi42LzMwLzIwMTYFAAAAAQAAAAgAAAASKEludmFsaWQgRW5kIERhdGUpOuUSWKou2wg65RJYqi7bCCpDSVFBVkcuJFVTREpQWS5JUV9MQVNUU0FMRVBSSUNFLi42LzMwLzIwMTYFAAAAAQAAAAgAAAASKEludmFsaWQgRW5kIERhdGUpOuUSWKou2wg65RJYqi7bCCpDSVFBVkcuJFVTREFVRC5JUV9MQVNUU0FMRVBSSUNFLi42LzMwLzIwMTYFAAAAAQAAAAgAAAASKEludmFsaWQgRW5kIERhdGUpOuUSWKou2wg65RJYqi7bCCpDSVFBVkcuJFVTRENBRC5JUV9MQVNUU0FMRVBSSUNFLi42LzMwLzIwMTYFAAAAAQAAAAgAAAASKEludmFsaWQgRW5kIERhdGUpOuUSWKou2wg65RJYqi7bCCpDSVFBVkcuJFVTREVVUi5JUV9MQVNUU0FMRVBSSUNFLi4zLzMxLzIwMTYFAAAAAQAAAAgAAAASKEludmFsaWQgRW5kIERhdGUpOuUSWKou2wg65RJYqi7bCCpDSVFBVkcuJFVTREdCUC5JUV9MQVNUU0FMRVBSSUNFLi4zLzMxLzIwMTYFAAAAAQAAAAgAAAASKEludmFsaWQgRW5kIERhdGUpOuUSWKou2wg65RJYqi7bCCpDSVFBVkcuJFVTREpQWS5JUV9MQVNUU0FMRVBSSUNFLi4zLzMxLzIwMTYFAAAAAQAAAAgAAAASKEludmFsaWQgRW5kIERhdGUpOuUSWKou2wg65RJYqi7bCCpDSVFBVkcuJFVTREFVRC5JUV9MQVNUU0FMRVBSSUNFLi4z</t>
  </si>
  <si>
    <t>LzMxLzIwMTYFAAAAAQAAAAgAAAASKEludmFsaWQgRW5kIERhdGUpOuUSWKou2wg65RJYqi7bCCpDSVFBVkcuJFVTRENBRC5JUV9MQVNUU0FMRVBSSUNFLi4zLzMxLzIwMTYFAAAAAQAAAAgAAAASKEludmFsaWQgRW5kIERhdGUpOuUSWKou2wg65RJYqi7bCCtDSVFBVkcuJFVTREVVUi5JUV9MQVNUU0FMRVBSSUNFLi4xMi8zMS8yMDE1BQAAAAEAAAAIAAAAEihJbnZhbGlkIEVuZCBEYXRlKTrlEliqLtsIOuUSWKou2wgrQ0lRQVZHLiRVU0RHQlAuSVFfTEFTVFNBTEVQUklDRS4uMTIvMzEvMjAxNQUAAAABAAAACAAAABIoSW52YWxpZCBFbmQgRGF0ZSk65RJYqi7bCDrlEliqLtsIK0NJUUFWRy4kVVNESlBZLklRX0xBU1RTQUxFUFJJQ0UuLjEyLzMxLzIwMTUFAAAAAQAAAAgAAAASKEludmFsaWQgRW5kIERhdGUpOuUSWKou2wg65RJYqi7bCCtDSVFBVkcuJFVTREFVRC5JUV9MQVNUU0FMRVBSSUNFLi4xMi8zMS8yMDE1BQAAAAEAAAAIAAAAEihJbnZhbGlkIEVuZCBEYXRlKTrlEliqLtsIOuUSWKou2wgrQ0lRQVZHLiRVU0RDQUQuSVFfTEFTVFNBTEVQUklDRS4uMTIvMzEvMjAxNQUAAAABAAAACAAAABIoSW52YWxpZCBFbmQgRGF0ZSk65RJYqi7bCDrlEliqLtsIKkNJUUFWRy4kVVNERVVSLklRX0xBU1RTQUxFUFJJQ0UuLjkvMzAvMjAxNQUAAAABAAAACAAAABIoSW52YWxpZCBFbmQgRGF0ZSk65RJYqi7b</t>
  </si>
  <si>
    <t>CDrlEliqLtsIKkNJUUFWRy4kVVNER0JQLklRX0xBU1RTQUxFUFJJQ0UuLjkvMzAvMjAxNQUAAAABAAAACAAAABIoSW52YWxpZCBFbmQgRGF0ZSk65RJYqi7bCDrlEliqLtsIKkNJUUFWRy4kVVNESlBZLklRX0xBU1RTQUxFUFJJQ0UuLjkvMzAvMjAxNQUAAAABAAAACAAAABIoSW52YWxpZCBFbmQgRGF0ZSk65RJYqi7bCDrlEliqLtsIKkNJUUFWRy4kVVNEQVVELklRX0xBU1RTQUxFUFJJQ0UuLjkvMzAvMjAxNQUAAAABAAAACAAAABIoSW52YWxpZCBFbmQgRGF0ZSk65RJYqi7bCDrlEliqLtsIKkNJUUFWRy4kVVNEQ0FELklRX0xBU1RTQUxFUFJJQ0UuLjkvMzAvMjAxNQUAAAABAAAACAAAABIoSW52YWxpZCBFbmQgRGF0ZSk65RJYqi7bCDrlEliqLtsIIUNJUUFWRy4kVVNEQ0FELklRX0xBU1RTQUxFUFJJQ0UuLgEAAAAC7VoAAgAAAAswLjcyNzE5MzM5NwA65RJYqi7bCDrlEliqLtsIIUNJUUFWRy4kVVNEQVVELklRX0xBU1RTQUxFUFJJQ0UuLgEAAAAC7VoAAgAAAAswLjY2Mzk2NjUzNgA65RJYqi7bCDrlEliqLtsIIUNJUUFWRy4kVVNESlBZLklRX0xBU1RTQUxFUFJJQ0UuLgEAAAAC7VoAAgAAAAswLjAwNzY1MDQwNwA65RJYqi7bCDrlEliqLtsIIUNJUUFWRy4kVVNER0JQLklRX0xBU1RTQUxFUFJJQ0UuLgEAAAAC7VoAAgAAAAsxLjIyMjUwODgzMwA65RJYqi7bCDrlEliqLtsI</t>
  </si>
  <si>
    <t>MSFT</t>
  </si>
  <si>
    <t>BASE CASE - 13% Growth</t>
  </si>
  <si>
    <t>Simple Model</t>
  </si>
  <si>
    <t>($ in mm)</t>
  </si>
  <si>
    <t>FY17a</t>
  </si>
  <si>
    <t>FY18a</t>
  </si>
  <si>
    <t>FY19a</t>
  </si>
  <si>
    <t>FY20a</t>
  </si>
  <si>
    <t>FY21a</t>
  </si>
  <si>
    <t>FY22a</t>
  </si>
  <si>
    <t>FY23a</t>
  </si>
  <si>
    <t>FY24a</t>
  </si>
  <si>
    <t>FY25e</t>
  </si>
  <si>
    <t>FY26e</t>
  </si>
  <si>
    <t>FY27e</t>
  </si>
  <si>
    <t>FY28e</t>
  </si>
  <si>
    <t>FY29e</t>
  </si>
  <si>
    <t>FY30e</t>
  </si>
  <si>
    <t>FY31e</t>
  </si>
  <si>
    <t>FY32e</t>
  </si>
  <si>
    <t>FY33e</t>
  </si>
  <si>
    <t>FY34e</t>
  </si>
  <si>
    <t>FY35e</t>
  </si>
  <si>
    <t>FY36e</t>
  </si>
  <si>
    <t>Financial Summary</t>
  </si>
  <si>
    <t>c = 279,049</t>
  </si>
  <si>
    <t>Revenue</t>
  </si>
  <si>
    <t>% Growth</t>
  </si>
  <si>
    <t>FY23e</t>
  </si>
  <si>
    <t>% Organic CC</t>
  </si>
  <si>
    <t>Guidance</t>
  </si>
  <si>
    <t>Revenue Growth</t>
  </si>
  <si>
    <t>DD%</t>
  </si>
  <si>
    <t>c = 122,460</t>
  </si>
  <si>
    <t xml:space="preserve">FX Impact on Revenue Growth </t>
  </si>
  <si>
    <t>EBIT</t>
  </si>
  <si>
    <t>Revenue Growth ex-FX</t>
  </si>
  <si>
    <t>DD+4%</t>
  </si>
  <si>
    <t>% Growth - Constant-FX, excl. D&amp;A impact (est. equal to Reported)</t>
  </si>
  <si>
    <t>% Margin</t>
  </si>
  <si>
    <t>EBIT Growth</t>
  </si>
  <si>
    <t>% Incremental</t>
  </si>
  <si>
    <t>EBIT margin</t>
  </si>
  <si>
    <t>Flat</t>
  </si>
  <si>
    <t>% Incremental - Constant-FX, excl. D&amp;A impact</t>
  </si>
  <si>
    <t>EBIT margin ex-D&amp;A, ex-FX</t>
  </si>
  <si>
    <t>EBIT % Growth Metrics</t>
  </si>
  <si>
    <t>Illustration</t>
  </si>
  <si>
    <t>% Growth - Reported</t>
  </si>
  <si>
    <t>FY22</t>
  </si>
  <si>
    <t>% Growth - Reported, excl. D&amp;A impact</t>
  </si>
  <si>
    <t>Reported</t>
  </si>
  <si>
    <t>% Growth - Constant-FX</t>
  </si>
  <si>
    <t>Growth %</t>
  </si>
  <si>
    <t>Organic EBIT Added</t>
  </si>
  <si>
    <t>Margin %</t>
  </si>
  <si>
    <t>Adj. D&amp;A</t>
  </si>
  <si>
    <t>Ex-FX, Ex-D&amp;A Change</t>
  </si>
  <si>
    <t>% of Sales</t>
  </si>
  <si>
    <t>Revenue ex-FX</t>
  </si>
  <si>
    <t>Ex-FX Growth %</t>
  </si>
  <si>
    <t>EBITDA</t>
  </si>
  <si>
    <t>EBIT ex-FX, ex-D&amp;A Change</t>
  </si>
  <si>
    <t>Note:</t>
  </si>
  <si>
    <t>ATVI Intangible Amort excluded from Adj. D&amp;A</t>
  </si>
  <si>
    <t>to do</t>
  </si>
  <si>
    <t>Memo:</t>
  </si>
  <si>
    <t>MSFT margins ex-ATVI cost savings</t>
  </si>
  <si>
    <t>Adj. D&amp;A % of Sales</t>
  </si>
  <si>
    <t>Implied Cash Costs</t>
  </si>
  <si>
    <t xml:space="preserve">% Growth </t>
  </si>
  <si>
    <t>Capex</t>
  </si>
  <si>
    <t>C20</t>
  </si>
  <si>
    <t>C21</t>
  </si>
  <si>
    <t>C22</t>
  </si>
  <si>
    <t>C23</t>
  </si>
  <si>
    <t>EBITDA-Capex</t>
  </si>
  <si>
    <t>Interest and other</t>
  </si>
  <si>
    <t>% Rate</t>
  </si>
  <si>
    <t>Tax</t>
  </si>
  <si>
    <t>Net income</t>
  </si>
  <si>
    <t>Recurring FCF</t>
  </si>
  <si>
    <t>SBC</t>
  </si>
  <si>
    <t>ATVI Amortization Cash Tax Benefit</t>
  </si>
  <si>
    <t>WC/Other</t>
  </si>
  <si>
    <t>Realized FCF</t>
  </si>
  <si>
    <t>Net Debt</t>
  </si>
  <si>
    <t>x EBITDA</t>
  </si>
  <si>
    <t>FCF to Equity</t>
  </si>
  <si>
    <t>% of Mkt. Cap</t>
  </si>
  <si>
    <t>Cum. FCF to Equity</t>
  </si>
  <si>
    <t>Mkt cap / LTM FCF</t>
  </si>
  <si>
    <t>TEV / Sales</t>
  </si>
  <si>
    <t>P/ Recurring FCF</t>
  </si>
  <si>
    <t xml:space="preserve">P/E </t>
  </si>
  <si>
    <t>P/E (Cons)</t>
  </si>
  <si>
    <t>Returns</t>
  </si>
  <si>
    <t>Ten-Year Exit</t>
  </si>
  <si>
    <t>Forward FCF Multiple</t>
  </si>
  <si>
    <t>Equity Value</t>
  </si>
  <si>
    <t>Cash Flows</t>
  </si>
  <si>
    <t>xIRR</t>
  </si>
  <si>
    <t>Capitalization</t>
  </si>
  <si>
    <t>Amount</t>
  </si>
  <si>
    <t>$ / Share</t>
  </si>
  <si>
    <t>Equity</t>
  </si>
  <si>
    <t>TEV</t>
  </si>
  <si>
    <t>Shares</t>
  </si>
  <si>
    <t>ROIC</t>
  </si>
  <si>
    <t>Invested Capital</t>
  </si>
  <si>
    <t>Next steps</t>
  </si>
  <si>
    <t xml:space="preserve">Net Working Capital </t>
  </si>
  <si>
    <t>% of Revenue</t>
  </si>
  <si>
    <t>D&amp;A model changes</t>
  </si>
  <si>
    <t>Long-Term Assets</t>
  </si>
  <si>
    <t>Intangibles</t>
  </si>
  <si>
    <t>ROU</t>
  </si>
  <si>
    <t>Other LT Assets</t>
  </si>
  <si>
    <t>Total Int., ROU, and Other</t>
  </si>
  <si>
    <t>Goodwill</t>
  </si>
  <si>
    <t>ATVI related intangibles</t>
  </si>
  <si>
    <t>PP&amp;E, Net</t>
  </si>
  <si>
    <t>Total LT Assets</t>
  </si>
  <si>
    <r>
      <rPr>
        <i/>
        <u/>
        <sz val="12"/>
        <color theme="1"/>
        <rFont val="Arial"/>
        <family val="2"/>
      </rPr>
      <t>Memo:</t>
    </r>
    <r>
      <rPr>
        <i/>
        <sz val="12"/>
        <color theme="1"/>
        <rFont val="Arial"/>
        <family val="2"/>
      </rPr>
      <t xml:space="preserve"> ROU, Int, &amp; Other as % of Revenue</t>
    </r>
  </si>
  <si>
    <t>Average Invested Capital</t>
  </si>
  <si>
    <t>/ EBIT</t>
  </si>
  <si>
    <t>ROIC (ex-Cash and STI)</t>
  </si>
  <si>
    <t>D&amp;A</t>
  </si>
  <si>
    <t>weighted</t>
  </si>
  <si>
    <t>USD in mm</t>
  </si>
  <si>
    <t>FY23</t>
  </si>
  <si>
    <t>FY24e</t>
  </si>
  <si>
    <t>Sales</t>
  </si>
  <si>
    <t>CRC</t>
  </si>
  <si>
    <t>VA Cons.</t>
  </si>
  <si>
    <t>ROIC driven model with Base Case Margins</t>
  </si>
  <si>
    <t xml:space="preserve">Net Working Capital ex-Cash and STI </t>
  </si>
  <si>
    <t xml:space="preserve">15% Growth </t>
  </si>
  <si>
    <t>Other</t>
  </si>
  <si>
    <t xml:space="preserve">8% Growth </t>
  </si>
  <si>
    <t>Historical Financials</t>
  </si>
  <si>
    <t>&gt;&gt; NUAN close March 4; Xandr June 6</t>
  </si>
  <si>
    <t>&gt;&gt; ATVI close Oct 13</t>
  </si>
  <si>
    <t>FYE June 30th</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</si>
  <si>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</si>
  <si>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</si>
  <si>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</si>
  <si>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</si>
  <si>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</si>
  <si>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</si>
  <si>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</si>
  <si>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</si>
  <si>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</si>
  <si>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</si>
  <si>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</si>
  <si>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</si>
  <si>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</si>
  <si>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</si>
  <si>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</si>
  <si>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</si>
  <si>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</si>
  <si>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</si>
  <si>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</si>
  <si>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</si>
  <si>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</si>
  <si>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</si>
  <si>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</si>
  <si>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</si>
  <si>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</si>
  <si>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</si>
  <si>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</si>
  <si>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</si>
  <si>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1Q23</t>
  </si>
  <si>
    <t>2Q23</t>
  </si>
  <si>
    <t>3Q23</t>
  </si>
  <si>
    <t>4Q23</t>
  </si>
  <si>
    <t>1Q24</t>
  </si>
  <si>
    <t>2Q24</t>
  </si>
  <si>
    <t>3Q24</t>
  </si>
  <si>
    <t>4Q24</t>
  </si>
  <si>
    <t>1Q25e</t>
  </si>
  <si>
    <t>2Q25e</t>
  </si>
  <si>
    <t>3Q25e</t>
  </si>
  <si>
    <t>4Q25e</t>
  </si>
  <si>
    <t>FY05</t>
  </si>
  <si>
    <t>FY06</t>
  </si>
  <si>
    <t>FY07</t>
  </si>
  <si>
    <t>FY08</t>
  </si>
  <si>
    <t>FY09</t>
  </si>
  <si>
    <t>FY10</t>
  </si>
  <si>
    <t>FY11</t>
  </si>
  <si>
    <t>FY12</t>
  </si>
  <si>
    <t>FY13</t>
  </si>
  <si>
    <t>FY14</t>
  </si>
  <si>
    <t>FY15</t>
  </si>
  <si>
    <t>FY16</t>
  </si>
  <si>
    <t>FY17</t>
  </si>
  <si>
    <t>FY18</t>
  </si>
  <si>
    <t>FY19</t>
  </si>
  <si>
    <t>FY20</t>
  </si>
  <si>
    <t>FY21</t>
  </si>
  <si>
    <t>FY24</t>
  </si>
  <si>
    <t>Restated</t>
  </si>
  <si>
    <t xml:space="preserve">Previous Windows Revenue Recognition Policy &lt;&lt; </t>
  </si>
  <si>
    <t>Financials Summary</t>
  </si>
  <si>
    <t xml:space="preserve">gmp = </t>
  </si>
  <si>
    <t>CY21</t>
  </si>
  <si>
    <t>CY22</t>
  </si>
  <si>
    <t>CY23</t>
  </si>
  <si>
    <t>CY24E</t>
  </si>
  <si>
    <t>Constant-FX %</t>
  </si>
  <si>
    <t>NA</t>
  </si>
  <si>
    <t>Organic CC %</t>
  </si>
  <si>
    <t>&lt;&lt; incl. $700M of ATVI deal costs</t>
  </si>
  <si>
    <t>Plus: Revenue adjustments</t>
  </si>
  <si>
    <t>Adjusted Revenue</t>
  </si>
  <si>
    <t>Gross Profit</t>
  </si>
  <si>
    <t>Opex</t>
  </si>
  <si>
    <t>&lt;&lt; incl. $200M of ATVI deal costs</t>
  </si>
  <si>
    <t>R&amp;D</t>
  </si>
  <si>
    <t>S&amp;M</t>
  </si>
  <si>
    <t>G&amp;A</t>
  </si>
  <si>
    <t xml:space="preserve">Total Opex </t>
  </si>
  <si>
    <t>&lt;&lt; incl. $900M of ATVI deal costs</t>
  </si>
  <si>
    <t>Incremental %</t>
  </si>
  <si>
    <t>Incremental % - Constant-FX and D&amp;A  impact</t>
  </si>
  <si>
    <t>EBIT Growth % Metrics</t>
  </si>
  <si>
    <t>Growth % - Reported</t>
  </si>
  <si>
    <t>Growth % - Reported, excl. D&amp;A changes</t>
  </si>
  <si>
    <t>Growth % - Constant-FX</t>
  </si>
  <si>
    <t>Growth % - Constant-FX, excl. D&amp;A changes (equal impact to Reported)</t>
  </si>
  <si>
    <t>Organic EBIT added</t>
  </si>
  <si>
    <t>Interest and other, net</t>
  </si>
  <si>
    <t>PBT</t>
  </si>
  <si>
    <t>Taxes @ 35% through 1H18, 21% thereafter</t>
  </si>
  <si>
    <t>Net Income</t>
  </si>
  <si>
    <t>/ Shares</t>
  </si>
  <si>
    <t>EPS</t>
  </si>
  <si>
    <t>Memo: Adjusted EBITDA</t>
  </si>
  <si>
    <t>Adjusted EBIT</t>
  </si>
  <si>
    <t>Adj. D&amp;A (ex-ATVI amort.)</t>
  </si>
  <si>
    <t xml:space="preserve">MSFT </t>
  </si>
  <si>
    <t>ATVI (ex-deal amort., est.)</t>
  </si>
  <si>
    <t>Total Adj. D&amp;A (ex-ATVI deal amort.)</t>
  </si>
  <si>
    <t>Sequential %</t>
  </si>
  <si>
    <t>Margin</t>
  </si>
  <si>
    <t>ATVI PPA excluded from Adj. D&amp;A</t>
  </si>
  <si>
    <t>EBITDA - Capex</t>
  </si>
  <si>
    <t>Capex as % of Sales</t>
  </si>
  <si>
    <t>EBITDA - Capex as % of Sales</t>
  </si>
  <si>
    <t>Taxes</t>
  </si>
  <si>
    <t>Recurring FCF per Share</t>
  </si>
  <si>
    <t>Cash tax delta</t>
  </si>
  <si>
    <t>ATVI deal related costs</t>
  </si>
  <si>
    <t>Cash Flow Items</t>
  </si>
  <si>
    <t>CFO</t>
  </si>
  <si>
    <t>Acquisitions</t>
  </si>
  <si>
    <t>Divestitures</t>
  </si>
  <si>
    <t>Cash taxes</t>
  </si>
  <si>
    <t>Share issuance</t>
  </si>
  <si>
    <t>Share repurchase</t>
  </si>
  <si>
    <t>Dividends</t>
  </si>
  <si>
    <t>Total Debt incl. Finance Leases</t>
  </si>
  <si>
    <t>Cash</t>
  </si>
  <si>
    <t>x LTM EBITDA</t>
  </si>
  <si>
    <t>low</t>
  </si>
  <si>
    <t>high</t>
  </si>
  <si>
    <t>mp</t>
  </si>
  <si>
    <t>cc</t>
  </si>
  <si>
    <t>FX</t>
  </si>
  <si>
    <t>cc%</t>
  </si>
  <si>
    <t>PBP</t>
  </si>
  <si>
    <t>IC</t>
  </si>
  <si>
    <t>Segment Reporting</t>
  </si>
  <si>
    <t>MCP</t>
  </si>
  <si>
    <t>Productivity and Business Processes</t>
  </si>
  <si>
    <t>cogs</t>
  </si>
  <si>
    <t>Intelligent Cloud</t>
  </si>
  <si>
    <t>gm</t>
  </si>
  <si>
    <t>More Personal Computing</t>
  </si>
  <si>
    <t>Corporate and Other</t>
  </si>
  <si>
    <t>Total Revenue</t>
  </si>
  <si>
    <t>opex</t>
  </si>
  <si>
    <t>ebit</t>
  </si>
  <si>
    <t>Excl. NUAN / ATVI</t>
  </si>
  <si>
    <t>Growth % - 3 yr Stack</t>
  </si>
  <si>
    <t>4Q22e</t>
  </si>
  <si>
    <t>2Q23e</t>
  </si>
  <si>
    <t>3Q23e</t>
  </si>
  <si>
    <t>4Q23e</t>
  </si>
  <si>
    <t>MPC Constant-FX excl. ATVI %</t>
  </si>
  <si>
    <t>Operating Income</t>
  </si>
  <si>
    <t>Total operating income</t>
  </si>
  <si>
    <t>cons FY24 quarterlie ebit</t>
  </si>
  <si>
    <t>Constant-FX%</t>
  </si>
  <si>
    <t>Cloud Segment</t>
  </si>
  <si>
    <t>Cloud</t>
  </si>
  <si>
    <t>Non-Cloud</t>
  </si>
  <si>
    <t>Total Gross Profit</t>
  </si>
  <si>
    <t xml:space="preserve">Commercial Business </t>
  </si>
  <si>
    <t>Commercial bookings growth</t>
  </si>
  <si>
    <t>Constant-FX</t>
  </si>
  <si>
    <t>Commercial revenue annuity mix</t>
  </si>
  <si>
    <t xml:space="preserve">PBP - Old Segmentation </t>
  </si>
  <si>
    <t>Revenue excl. LinkedIn</t>
  </si>
  <si>
    <t>Gross Profit (est.)</t>
  </si>
  <si>
    <t xml:space="preserve"> </t>
  </si>
  <si>
    <t>Operating Expense</t>
  </si>
  <si>
    <t>Operating Income excl. LinkedIn</t>
  </si>
  <si>
    <t>No more disclosure</t>
  </si>
  <si>
    <t>Subsegment Disclosure</t>
  </si>
  <si>
    <t>Not Restated</t>
  </si>
  <si>
    <t>% Revenue Growth</t>
  </si>
  <si>
    <t xml:space="preserve">Office commercial products and cloud services </t>
  </si>
  <si>
    <t xml:space="preserve">Office 365 commercial </t>
  </si>
  <si>
    <t xml:space="preserve">Office consumer products and cloud services </t>
  </si>
  <si>
    <t xml:space="preserve">LinkedIn </t>
  </si>
  <si>
    <t xml:space="preserve">Dynamics products and cloud services </t>
  </si>
  <si>
    <t xml:space="preserve">Dynamics 365 </t>
  </si>
  <si>
    <t>% Constant FX Revenue Growth</t>
  </si>
  <si>
    <t>KPIs</t>
  </si>
  <si>
    <t>Office 365 commercial seat growth</t>
  </si>
  <si>
    <t>Office 365 consumer subscribers (mm)</t>
  </si>
  <si>
    <t>Office commercial products revenue growth</t>
  </si>
  <si>
    <t>Office 365 commercial seats (#M)</t>
  </si>
  <si>
    <t>LinkedIn</t>
  </si>
  <si>
    <t>Acquired 12/8/16</t>
  </si>
  <si>
    <t>LinkedIn sessions growth %</t>
  </si>
  <si>
    <t xml:space="preserve">&gt;20% </t>
  </si>
  <si>
    <t xml:space="preserve">&gt;30% </t>
  </si>
  <si>
    <t>Amortization of intangible assets from LinkedIn acquisition</t>
  </si>
  <si>
    <t>Other cost of revenue</t>
  </si>
  <si>
    <t>Cost of revenue</t>
  </si>
  <si>
    <t>Gross profit</t>
  </si>
  <si>
    <t>Gross profit excluding amortization of intangible assets</t>
  </si>
  <si>
    <t>Other operating expenses</t>
  </si>
  <si>
    <t>Operating expenses</t>
  </si>
  <si>
    <t>Operating income (loss)</t>
  </si>
  <si>
    <t>Operating income (loss) excluding amortization of intangible assets</t>
  </si>
  <si>
    <t>PBP Revenue</t>
  </si>
  <si>
    <t>Office Commercial</t>
  </si>
  <si>
    <t>Office Consumer</t>
  </si>
  <si>
    <t>Total Office</t>
  </si>
  <si>
    <t>Dynamics and Other</t>
  </si>
  <si>
    <t>Total PBP Revenue</t>
  </si>
  <si>
    <t>2-yr Stack Growth %</t>
  </si>
  <si>
    <t xml:space="preserve">PBP - New Segmentation </t>
  </si>
  <si>
    <t xml:space="preserve">Microsoft 365 Commercial cloud </t>
  </si>
  <si>
    <t xml:space="preserve">Azure </t>
  </si>
  <si>
    <t xml:space="preserve">Server products </t>
  </si>
  <si>
    <t xml:space="preserve">Server products and cloud services </t>
  </si>
  <si>
    <t xml:space="preserve">Enterprise Services </t>
  </si>
  <si>
    <t>IC Revenue</t>
  </si>
  <si>
    <t>Azure</t>
  </si>
  <si>
    <t>Server Products and Licensing</t>
  </si>
  <si>
    <t>Server Products and Cloud Services</t>
  </si>
  <si>
    <t>Enterprise Services</t>
  </si>
  <si>
    <t>Total IC Revenue</t>
  </si>
  <si>
    <t>MPC excl ATVI</t>
  </si>
  <si>
    <t>ATVI</t>
  </si>
  <si>
    <t>Constant-FX % ex-ATVI</t>
  </si>
  <si>
    <t>Stripped Out of Forecast for Adjustment Purposes</t>
  </si>
  <si>
    <t>ATVI Acquired Intangible Amort.</t>
  </si>
  <si>
    <t>Stripped Out of Forecast for Adjustment Purposes but in FCF</t>
  </si>
  <si>
    <t>ATVI PPA, Integration, Tx Expense</t>
  </si>
  <si>
    <t>ATVI PAA, Integration, Tx Expense</t>
  </si>
  <si>
    <t>MPC excl ATVI EBIT Margin %</t>
  </si>
  <si>
    <t>ATVI EBIT Margin %</t>
  </si>
  <si>
    <t xml:space="preserve">Windows OEM Pro </t>
  </si>
  <si>
    <t xml:space="preserve">Windows OEM non-Pro </t>
  </si>
  <si>
    <t xml:space="preserve">Windows OEM </t>
  </si>
  <si>
    <t xml:space="preserve">Windows commercial products and cloud services </t>
  </si>
  <si>
    <t>Search and news advertising revenue (ex TAC) growth</t>
  </si>
  <si>
    <t>Surface revenue</t>
  </si>
  <si>
    <t>Gaming revenue</t>
  </si>
  <si>
    <t>MPC Revenue</t>
  </si>
  <si>
    <t>Windows OEM</t>
  </si>
  <si>
    <t>Windows Other</t>
  </si>
  <si>
    <t>Total Windows</t>
  </si>
  <si>
    <t>Gaming</t>
  </si>
  <si>
    <t>Search and Advertising</t>
  </si>
  <si>
    <t>Surface and HW</t>
  </si>
  <si>
    <t>Total MPC Revenue</t>
  </si>
  <si>
    <t>Total MPC Revenue ex-ATVI</t>
  </si>
  <si>
    <t>ATVI Standalone Historicals (analyst estimates at time of acquisition)</t>
  </si>
  <si>
    <t>Organic % CC</t>
  </si>
  <si>
    <t>Adj. COGS</t>
  </si>
  <si>
    <t>Adj. Gross Profit</t>
  </si>
  <si>
    <t>GAAP Gross Profit</t>
  </si>
  <si>
    <t>GAAP Opex</t>
  </si>
  <si>
    <t>Adj. Opex</t>
  </si>
  <si>
    <t>Adj. EBIT</t>
  </si>
  <si>
    <t>Other Adjustments</t>
  </si>
  <si>
    <t>GAAP EBIT</t>
  </si>
  <si>
    <t>Margin (of GP) %</t>
  </si>
  <si>
    <t>Cost and Headcount Analysis</t>
  </si>
  <si>
    <t>Total Opex (excl. 1x)</t>
  </si>
  <si>
    <t>Headcount growth</t>
  </si>
  <si>
    <t>Headcount growth ex-M&amp;A</t>
  </si>
  <si>
    <t>Sequential headcount growth</t>
  </si>
  <si>
    <t>&lt;1%</t>
  </si>
  <si>
    <t>Employees</t>
  </si>
  <si>
    <t>US</t>
  </si>
  <si>
    <t>International</t>
  </si>
  <si>
    <t>Total Employees</t>
  </si>
  <si>
    <t>Sales and marketing</t>
  </si>
  <si>
    <t>General and administration</t>
  </si>
  <si>
    <t>Operations</t>
  </si>
  <si>
    <t>Product research and development</t>
  </si>
  <si>
    <t>ATVI Employees</t>
  </si>
  <si>
    <t>January RIF announcement</t>
  </si>
  <si>
    <t>Key Products</t>
  </si>
  <si>
    <t>Office products and cloud services</t>
  </si>
  <si>
    <t>Server products and cloud services</t>
  </si>
  <si>
    <t>Windows</t>
  </si>
  <si>
    <t xml:space="preserve">Search and news advertising </t>
  </si>
  <si>
    <t>Devices</t>
  </si>
  <si>
    <t>Total revenue</t>
  </si>
  <si>
    <t>Microsoft Office system / Office products and cloud services (for restated FY16-FY18)</t>
  </si>
  <si>
    <t>Server products and tools / Server products and cloud services (for restated FY16-FY18)</t>
  </si>
  <si>
    <t>Xbox / Gaming (for restated FY16-FY18)</t>
  </si>
  <si>
    <t>Windows PC operating system / Windows (for restated FY16-FY18)</t>
  </si>
  <si>
    <t>Advertising / Search advertising (for restated FY16-FY18)</t>
  </si>
  <si>
    <t>Consulting and product support services / Enterprise Services (for restated FY16-FY18)</t>
  </si>
  <si>
    <t>Note: Adjusted Windows PC operating system revenue as % of Total</t>
  </si>
  <si>
    <t>Adjusted Windows PC operating system revenue</t>
  </si>
  <si>
    <t>Adjusted total revenue</t>
  </si>
  <si>
    <t>Less: Phones revenue</t>
  </si>
  <si>
    <t>Adjusted total revenue excl. Phones</t>
  </si>
  <si>
    <t>Less: LinkedIn revenues</t>
  </si>
  <si>
    <t>Adjusted total revenue excl. Phones / LinkedIn</t>
  </si>
  <si>
    <t>Less: Adjusted Windows PC operating system revenue</t>
  </si>
  <si>
    <t>Adjusted total revenue excl. Phones / LinkedIn / Windows PC</t>
  </si>
  <si>
    <t>Plus: FX impact</t>
  </si>
  <si>
    <t>Income Statement</t>
  </si>
  <si>
    <t>Product</t>
  </si>
  <si>
    <t>Service and other</t>
  </si>
  <si>
    <t>Total cost of revenue</t>
  </si>
  <si>
    <t>Total gross profit</t>
  </si>
  <si>
    <t>Research and development </t>
  </si>
  <si>
    <t>General and administrative </t>
  </si>
  <si>
    <t>Impairment, integration, and restructuring</t>
  </si>
  <si>
    <t>Operating income</t>
  </si>
  <si>
    <t>Other income (expense), net</t>
  </si>
  <si>
    <t>Income before income taxes</t>
  </si>
  <si>
    <t>Provision for (benefit from) income taxes</t>
  </si>
  <si>
    <t>Weighted average shares outstanding:</t>
  </si>
  <si>
    <t>   Basic</t>
  </si>
  <si>
    <t>   Diluted</t>
  </si>
  <si>
    <t>Earnings per share:</t>
  </si>
  <si>
    <t>Adjusted Results</t>
  </si>
  <si>
    <t>Plus: Net Impact from Windows Revenue Deferral</t>
  </si>
  <si>
    <t>Plus/Less: Windows Upgrade Offer</t>
  </si>
  <si>
    <t>Adjusted revenue</t>
  </si>
  <si>
    <t>Plus: Store closures charge</t>
  </si>
  <si>
    <t>Plus: European Commission Fine</t>
  </si>
  <si>
    <t>Plus: ATVI PPA and Q2 Restructuring</t>
  </si>
  <si>
    <t>Plus: Impairment, integration, and restructuring expenses</t>
  </si>
  <si>
    <t>Adjusted operating income</t>
  </si>
  <si>
    <t>Other income(expenses)</t>
  </si>
  <si>
    <t>Interest and dividends income</t>
  </si>
  <si>
    <t>Interest expense</t>
  </si>
  <si>
    <t>Net recognized gains/(losses) on investments</t>
  </si>
  <si>
    <t>Net gains losses on derivatives</t>
  </si>
  <si>
    <t>Net gains on foreign currency remeasurements</t>
  </si>
  <si>
    <t>Other, net</t>
  </si>
  <si>
    <t>Total</t>
  </si>
  <si>
    <t>Cash Flow Statement</t>
  </si>
  <si>
    <t>Cash Flow From Operating Activities</t>
  </si>
  <si>
    <t>Depreciation, amortization and other</t>
  </si>
  <si>
    <t>Net recognized gain/loss on investments and derivatives</t>
  </si>
  <si>
    <t>Goodwill and asset impairment</t>
  </si>
  <si>
    <t>Stock based compensation</t>
  </si>
  <si>
    <t>Excess tax benefits from stock-based compensation</t>
  </si>
  <si>
    <t>Deferred income taxes</t>
  </si>
  <si>
    <t>Other long-term assets</t>
  </si>
  <si>
    <t>Other long-term liabilities</t>
  </si>
  <si>
    <t>Accounts receivable</t>
  </si>
  <si>
    <t>Inventories</t>
  </si>
  <si>
    <t>Accounts payable</t>
  </si>
  <si>
    <t>Income taxes</t>
  </si>
  <si>
    <t>Unearned revenue</t>
  </si>
  <si>
    <t>Recognition of unearned revenue</t>
  </si>
  <si>
    <t>Other current liabilities</t>
  </si>
  <si>
    <t>Other current assets</t>
  </si>
  <si>
    <t>Cash flow from operating activities</t>
  </si>
  <si>
    <t>Cash Flow From Investing Activities</t>
  </si>
  <si>
    <t>Additions to property plant and equipment</t>
  </si>
  <si>
    <t>Acquisition of companies, net of cash acquired, and purchases of intangible and other assets</t>
  </si>
  <si>
    <t>Purchase of investments</t>
  </si>
  <si>
    <t>Maturities of investments</t>
  </si>
  <si>
    <t>Sale of investment</t>
  </si>
  <si>
    <t>Cash flow from investing activities</t>
  </si>
  <si>
    <t>Cash Flow From Financing Activities</t>
  </si>
  <si>
    <t>Repayment of debt</t>
  </si>
  <si>
    <t>Proceeds from issuance of debt maturities of 90 days or less, net</t>
  </si>
  <si>
    <t>Cash premium on debt exchange</t>
  </si>
  <si>
    <t>Proceeds from issuance of debt</t>
  </si>
  <si>
    <t>Proceeds from issuance (repayments) of short-term debt, maturities of 90 days or less, net</t>
  </si>
  <si>
    <t>Common stock issued</t>
  </si>
  <si>
    <t>Common stock-repurchased</t>
  </si>
  <si>
    <t>Common stock dividends</t>
  </si>
  <si>
    <t>Stock options income tax benefits</t>
  </si>
  <si>
    <t>Cash flow from financing activities</t>
  </si>
  <si>
    <t>Foreign exchange rate effect on cash and cash equivalents</t>
  </si>
  <si>
    <t>Net change in cash</t>
  </si>
  <si>
    <t>Cash interest paid</t>
  </si>
  <si>
    <t>Cash taxes paid</t>
  </si>
  <si>
    <t>Recurring to Realized FCF Bridge</t>
  </si>
  <si>
    <t>Recurring</t>
  </si>
  <si>
    <t>Assets acquired under capital leases</t>
  </si>
  <si>
    <t>Total Capex</t>
  </si>
  <si>
    <t>Balance Sheet</t>
  </si>
  <si>
    <t>Assets</t>
  </si>
  <si>
    <t>Note Restated</t>
  </si>
  <si>
    <t>Cash and cash equivalents</t>
  </si>
  <si>
    <t>Short-term investments</t>
  </si>
  <si>
    <t>Accounts receivables</t>
  </si>
  <si>
    <t>Total current assets</t>
  </si>
  <si>
    <t>Operating lease right-of-use assets</t>
  </si>
  <si>
    <t>Property and equipment</t>
  </si>
  <si>
    <t>Equity and other investments</t>
  </si>
  <si>
    <t>Intangible assets, net</t>
  </si>
  <si>
    <t>Total assets</t>
  </si>
  <si>
    <t>Liabilities</t>
  </si>
  <si>
    <t>Accrued compensation</t>
  </si>
  <si>
    <t>Short-term debts</t>
  </si>
  <si>
    <t>Current portion of long-term debt</t>
  </si>
  <si>
    <t>Short-term income taxes</t>
  </si>
  <si>
    <t>Short-term unearned revenue</t>
  </si>
  <si>
    <t>Securities lending payable</t>
  </si>
  <si>
    <t>Total current liabilities</t>
  </si>
  <si>
    <t>Long-term debt</t>
  </si>
  <si>
    <t>Operating lease liabilities</t>
  </si>
  <si>
    <t>Long-term unearned revenue</t>
  </si>
  <si>
    <t>Long-term income taxes</t>
  </si>
  <si>
    <t>Total liabilities</t>
  </si>
  <si>
    <t>Shareholders' Equity</t>
  </si>
  <si>
    <t>Common stock - par value</t>
  </si>
  <si>
    <t>Retained earnings</t>
  </si>
  <si>
    <t>Accumulated other comprehensive income (loss)</t>
  </si>
  <si>
    <t>Total shareholders’ equity</t>
  </si>
  <si>
    <t>Total liabilities &amp; shareholders’ equity</t>
  </si>
  <si>
    <t>Note: Finance Lease Detail</t>
  </si>
  <si>
    <t>Total finance lease liabilities</t>
  </si>
  <si>
    <t>Interest on Finance Lease Liabilities</t>
  </si>
  <si>
    <t>Debt excl Finance Lease Liabilities</t>
  </si>
  <si>
    <t>Interest Expense excl. Finance Lease Liabilities</t>
  </si>
  <si>
    <t xml:space="preserve">NWC </t>
  </si>
  <si>
    <t>LT Assets (Net PPE + ROU + GW + Net Int. + Other)</t>
  </si>
  <si>
    <t>Avg. IC</t>
  </si>
  <si>
    <t>ROIC (LTM for qtrly)</t>
  </si>
  <si>
    <t>Incremental ROIC</t>
  </si>
  <si>
    <t>Note: IC as Net Debt + SE</t>
  </si>
  <si>
    <t>Billings</t>
  </si>
  <si>
    <t>Unearned Revenue</t>
  </si>
  <si>
    <t>Total uneaerned revenue</t>
  </si>
  <si>
    <t>Change in Unearned Revenue</t>
  </si>
  <si>
    <t>Total change in uneaerned revenue</t>
  </si>
  <si>
    <t>Total billings</t>
  </si>
  <si>
    <r>
      <rPr>
        <b/>
        <sz val="8"/>
        <rFont val="Arial"/>
        <family val="2"/>
      </rPr>
      <t xml:space="preserve"> </t>
    </r>
    <r>
      <rPr>
        <b/>
        <u/>
        <sz val="8"/>
        <rFont val="Arial"/>
        <family val="2"/>
      </rPr>
      <t xml:space="preserve">Revenue </t>
    </r>
  </si>
  <si>
    <t>USD</t>
  </si>
  <si>
    <t>EUR</t>
  </si>
  <si>
    <t>GBP</t>
  </si>
  <si>
    <t>JPY</t>
  </si>
  <si>
    <t>AUD</t>
  </si>
  <si>
    <t>CAD</t>
  </si>
  <si>
    <t>Constant currency % (Disclosed)</t>
  </si>
  <si>
    <t>Constant currency (CRC calc)</t>
  </si>
  <si>
    <t xml:space="preserve">CC Delta </t>
  </si>
  <si>
    <t>% Change FX YoY</t>
  </si>
  <si>
    <t xml:space="preserve">WA FX Impact YoY </t>
  </si>
  <si>
    <t>YoY Constant Currency Growth %</t>
  </si>
  <si>
    <t>Reported Revenue</t>
  </si>
  <si>
    <t xml:space="preserve">excl. WA FX Impact YoY </t>
  </si>
  <si>
    <t>Reported Revenue ex-YoY FX impact</t>
  </si>
  <si>
    <t>QTD</t>
  </si>
  <si>
    <t>SPOT</t>
  </si>
  <si>
    <t>Start Date</t>
  </si>
  <si>
    <t>End Date</t>
  </si>
  <si>
    <t>CY19</t>
  </si>
  <si>
    <t>CY20</t>
  </si>
  <si>
    <t>Revenue growth - CC</t>
  </si>
  <si>
    <t>Commercial Bookings growth - CC</t>
  </si>
  <si>
    <t>Next Quarter Revenue growth - CC</t>
  </si>
  <si>
    <t>Commercial bookings growth - CC</t>
  </si>
  <si>
    <t>Revenue growth - CC 2yr Stack</t>
  </si>
  <si>
    <t xml:space="preserve">Commercieal Bookings Growth - CC 2yr Stack </t>
  </si>
  <si>
    <t>Azure Detail and Forecast</t>
  </si>
  <si>
    <t>Calendar Quarters</t>
  </si>
  <si>
    <t>F1Q17</t>
  </si>
  <si>
    <t>F2Q17</t>
  </si>
  <si>
    <t>Calendar Year</t>
  </si>
  <si>
    <t>Jun-24E</t>
  </si>
  <si>
    <t>Sep-24E</t>
  </si>
  <si>
    <t>Dec-24E</t>
  </si>
  <si>
    <t>Mar-25E</t>
  </si>
  <si>
    <t>Jun-25E</t>
  </si>
  <si>
    <t>Sep-25E</t>
  </si>
  <si>
    <t>Dec-25E</t>
  </si>
  <si>
    <t>Mar-26E</t>
  </si>
  <si>
    <t>Jun-26E</t>
  </si>
  <si>
    <t>Sep-26E</t>
  </si>
  <si>
    <t>Dec-26E</t>
  </si>
  <si>
    <t>Mar-27E</t>
  </si>
  <si>
    <t>Jun-27E</t>
  </si>
  <si>
    <t>Sep-27E</t>
  </si>
  <si>
    <t>Dec-27E</t>
  </si>
  <si>
    <t>CY 2013</t>
  </si>
  <si>
    <t>CY 2014</t>
  </si>
  <si>
    <t>CY 2015</t>
  </si>
  <si>
    <t>CY 2016</t>
  </si>
  <si>
    <t>CY 2017</t>
  </si>
  <si>
    <t>CY 2018</t>
  </si>
  <si>
    <t>CY 2019</t>
  </si>
  <si>
    <t>CY 2020</t>
  </si>
  <si>
    <t>CY 2021</t>
  </si>
  <si>
    <t>CY 2022E</t>
  </si>
  <si>
    <t>CY 2023E</t>
  </si>
  <si>
    <t>CY 2024E</t>
  </si>
  <si>
    <t>CY 2025E</t>
  </si>
  <si>
    <t>CY 2026E</t>
  </si>
  <si>
    <t>CY 2027E</t>
  </si>
  <si>
    <t>AWS</t>
  </si>
  <si>
    <t>AWS (cons. forecast)</t>
  </si>
  <si>
    <t>&lt;&lt; Cons forecast</t>
  </si>
  <si>
    <t>Google Cloud (cons. forecast)</t>
  </si>
  <si>
    <t>% Y/Y Change</t>
  </si>
  <si>
    <t>Growth % (2yr Stack)</t>
  </si>
  <si>
    <t>Growth % ex-FX</t>
  </si>
  <si>
    <t>% Y/Y Change, c/c</t>
  </si>
  <si>
    <t>Growth % ex-FX (2yr Stack)</t>
  </si>
  <si>
    <t>Market Share %</t>
  </si>
  <si>
    <t>Market Share % Sequential Changes</t>
  </si>
  <si>
    <t>Sequential Dollars Added</t>
  </si>
  <si>
    <t>Y/Y Dollar Growth</t>
  </si>
  <si>
    <t>Market Share of Sequential Dollars Added %</t>
  </si>
  <si>
    <t>LTM Dollars Added</t>
  </si>
  <si>
    <t>Sequential Dollar Growth</t>
  </si>
  <si>
    <t>Total Y/Y Growth ($)</t>
  </si>
  <si>
    <t>Margins</t>
  </si>
  <si>
    <t>CY13</t>
  </si>
  <si>
    <t>CY14</t>
  </si>
  <si>
    <t>CY15</t>
  </si>
  <si>
    <t>CY16</t>
  </si>
  <si>
    <t>CY17</t>
  </si>
  <si>
    <t>CY18</t>
  </si>
  <si>
    <t>CY22E</t>
  </si>
  <si>
    <t>CY23E</t>
  </si>
  <si>
    <t>CY25E</t>
  </si>
  <si>
    <t>CY26E</t>
  </si>
  <si>
    <t>CY27E</t>
  </si>
  <si>
    <t>1Q</t>
  </si>
  <si>
    <t>2Q</t>
  </si>
  <si>
    <t>3Q</t>
  </si>
  <si>
    <t>4Q</t>
  </si>
  <si>
    <t>CY 2021E</t>
  </si>
  <si>
    <t>EBIT Margin (%)</t>
  </si>
  <si>
    <t>Gross Profit (UBSe)</t>
  </si>
  <si>
    <t>Margin (UBSe) (%)</t>
  </si>
  <si>
    <t>Google Cloud</t>
  </si>
  <si>
    <t>EBIT (UBSe)</t>
  </si>
  <si>
    <t>EBIT Margin (UBSe) (%)</t>
  </si>
  <si>
    <t>Total Cloud Revenue</t>
  </si>
  <si>
    <t>Windows OEM vs. PC Shipments</t>
  </si>
  <si>
    <t>Calendar Qtrs &gt;&gt;</t>
  </si>
  <si>
    <t>1Q15</t>
  </si>
  <si>
    <t>2Q15</t>
  </si>
  <si>
    <t>3Q15</t>
  </si>
  <si>
    <t>4Q15</t>
  </si>
  <si>
    <t>3Q24E</t>
  </si>
  <si>
    <t>4Q24E</t>
  </si>
  <si>
    <t>1Q25E</t>
  </si>
  <si>
    <t>2Q25E</t>
  </si>
  <si>
    <t>MSFT Qtrs &gt;&gt;</t>
  </si>
  <si>
    <t>F3Q17</t>
  </si>
  <si>
    <t>F4Q17</t>
  </si>
  <si>
    <t>F1Q18</t>
  </si>
  <si>
    <t>F2Q18</t>
  </si>
  <si>
    <t>F3Q18</t>
  </si>
  <si>
    <t>F4Q18</t>
  </si>
  <si>
    <t>F1Q19</t>
  </si>
  <si>
    <t>F2Q19</t>
  </si>
  <si>
    <t>F3Q19</t>
  </si>
  <si>
    <t>F4Q19</t>
  </si>
  <si>
    <t>F1Q20</t>
  </si>
  <si>
    <t>F2Q20</t>
  </si>
  <si>
    <t>F3Q20</t>
  </si>
  <si>
    <t>F4Q20</t>
  </si>
  <si>
    <t>F1Q21</t>
  </si>
  <si>
    <t>F2Q21</t>
  </si>
  <si>
    <t>F3Q21</t>
  </si>
  <si>
    <t>F4Q21</t>
  </si>
  <si>
    <t>F1Q22</t>
  </si>
  <si>
    <t>F2Q22</t>
  </si>
  <si>
    <t>F3Q22</t>
  </si>
  <si>
    <t>F4Q22</t>
  </si>
  <si>
    <t>F1Q23</t>
  </si>
  <si>
    <t>F2Q23</t>
  </si>
  <si>
    <t>F3Q23</t>
  </si>
  <si>
    <t>F4Q23</t>
  </si>
  <si>
    <t>F1Q24</t>
  </si>
  <si>
    <t>F2Q24</t>
  </si>
  <si>
    <t>F3Q24</t>
  </si>
  <si>
    <t>F4Q24</t>
  </si>
  <si>
    <t>F1Q25E</t>
  </si>
  <si>
    <t>F2Q25E</t>
  </si>
  <si>
    <t>F3Q25E</t>
  </si>
  <si>
    <t>F4Q25E</t>
  </si>
  <si>
    <t>Commentary</t>
  </si>
  <si>
    <t>&gt;&gt; "In Windows, the stronger PC market resulted in overall OEM revenue growth of 10%, driven by continued customer demand"</t>
  </si>
  <si>
    <t>&gt;&gt; "Windows OEM and Surface were impacted by the ongoing constraints in the supply chain"</t>
  </si>
  <si>
    <t>&gt;&gt; "Windows OEM revenue increased 10% driven by a stronger-than-expected PC market, particularly in the commercial segment, which has higher revenue per license"</t>
  </si>
  <si>
    <t>&gt;&gt; "And to that end, PCs -- the market grew this quarter, and it was constrained by supply"</t>
  </si>
  <si>
    <t>&gt;&gt; "Driven by the strong PC market noted earlier particularly in the commercial segment, which has higher revenue per license"</t>
  </si>
  <si>
    <t>&gt;&gt; "Windows OEM revenue increased 11%, with continued strength in the commercial PC market, which has higher revenue per license"</t>
  </si>
  <si>
    <t>&gt;&gt; "Despite the deteriorating PC market, we saw share gains again this quarter and volumes remained above pre-pandemic levels"</t>
  </si>
  <si>
    <t>&gt;&gt; "Despite a changing market for PCs during the quarter, we continue to see more PCs shipped than pre pandemic and are taking share"</t>
  </si>
  <si>
    <t>&gt;&gt; "In devices, revenue should decline approximately 30%, again, roughly in line with the PC market"</t>
  </si>
  <si>
    <t xml:space="preserve">&gt;&gt; Windows OEM revenue should decline in the mid- to high 30s, in line with the PC market. </t>
  </si>
  <si>
    <t>&gt;&gt; We expect Q3 PC units to be similar to pre-pandemic levels</t>
  </si>
  <si>
    <t>Morgan Stanley post F2Q23</t>
  </si>
  <si>
    <t>&gt;&gt; "We caught up again with them again last night and they made a couple comments below explaining the gap between reported Windows PC numbers and 3rd party industry data. Windows OEM vs. PCs – why is guidance so bad? Microsoft does not use 3rd party PC estimates to inform their guidance. They think IDC/Gartner are typically slow to react to the downside. "</t>
  </si>
  <si>
    <t>&gt;&gt; "They said they made their guidance based on what trends they are seeing and expect their guidance to be more likely to be right, but if they’re wrong and 3rd party forecasts are correct, would represent upside to their guidance  (IDC's and Gartner's forecasts were for declines of 28.1% and 28.5%)"</t>
  </si>
  <si>
    <t xml:space="preserve">&gt;&gt; "We saw better-than-expected PC demand, as noted earlier, particularly in the commercial segment, </t>
  </si>
  <si>
    <t xml:space="preserve">which has higher revenue per license, although results continue to be negatively impacted by elevated </t>
  </si>
  <si>
    <t>channel inventory levels."</t>
  </si>
  <si>
    <t xml:space="preserve">&gt;&gt; "Windows OEM revenue should decline low to mid-teens, including 5 points of negative </t>
  </si>
  <si>
    <t xml:space="preserve">impact from the earlier back-to-school inventory builds that were pulled into the fourth quarter. </t>
  </si>
  <si>
    <t>Our guide assumes no significant changes to the PC demand environment"</t>
  </si>
  <si>
    <t xml:space="preserve">&gt;&gt; "Windows OEM revenue growth should be mid- to high single digits with PC </t>
  </si>
  <si>
    <t>market unit volumes expected to look roughly similar to Q1."</t>
  </si>
  <si>
    <t xml:space="preserve">&gt;&gt; "Windows OEM revenue growth should be relatively flat
as PC market </t>
  </si>
  <si>
    <t>unit volumes continue at pre-pandemic levels"</t>
  </si>
  <si>
    <t>Quarterly</t>
  </si>
  <si>
    <t>PC OEM Shipments (# in '000s)</t>
  </si>
  <si>
    <t>Windows OEM Revenue (Deferral Adj.)</t>
  </si>
  <si>
    <t>TO DO - 1/30/23</t>
  </si>
  <si>
    <t>incorporate new FX</t>
  </si>
  <si>
    <t xml:space="preserve">Delta </t>
  </si>
  <si>
    <t>split out other segments in MPC and model each</t>
  </si>
  <si>
    <t>Quarterly Index</t>
  </si>
  <si>
    <t>Indexed PC OEM Shipments (# in '000s)</t>
  </si>
  <si>
    <t>Indexed Windows OEM Revenue (Deferral Adj.)</t>
  </si>
  <si>
    <t>QoQ %</t>
  </si>
  <si>
    <t>LTM</t>
  </si>
  <si>
    <t>the adj. as a memo</t>
  </si>
  <si>
    <t>guidance</t>
  </si>
  <si>
    <t>do the indexing</t>
  </si>
  <si>
    <t xml:space="preserve">see if market commentary </t>
  </si>
  <si>
    <t>LTM Index</t>
  </si>
  <si>
    <t>Windows OEM (L4Q Avg Growth %)</t>
  </si>
  <si>
    <t>Charts</t>
  </si>
  <si>
    <t>LTM PC OEM Shipments (# in '000s)</t>
  </si>
  <si>
    <t>LTM Windows OEM Revenue (Deferral Adj.)</t>
  </si>
  <si>
    <t>Delta</t>
  </si>
  <si>
    <t>Gartner Sources, linked:</t>
  </si>
  <si>
    <t>https://www.gartner.com/en/newsroom/press-releases/2023-07-11-gartner-says-worldwide--pc-shipments-declined-16-percent-in-second-quarter-of-2023</t>
  </si>
  <si>
    <t>https://www.gartner.com/en/newsroom/press-releases/04-11-2023-gartner-says-worldwide-pc-shipments-declined-30-percent-in-first-quarter-of-2023</t>
  </si>
  <si>
    <t>4Q22 and 4Q21</t>
  </si>
  <si>
    <t>4Q18 and 4Q17</t>
  </si>
  <si>
    <t>3Q22 and 3Q21</t>
  </si>
  <si>
    <t>3Q18 and 3Q17</t>
  </si>
  <si>
    <t>2Q22 and 2Q21</t>
  </si>
  <si>
    <t>2Q18 and 2Q17</t>
  </si>
  <si>
    <t>1Q22 and 1Q21</t>
  </si>
  <si>
    <t>1Q18 and 1Q17</t>
  </si>
  <si>
    <t>4Q20 and 4Q19</t>
  </si>
  <si>
    <t>4Q16 and 4Q15</t>
  </si>
  <si>
    <t>3Q20 and 3Q19</t>
  </si>
  <si>
    <t>3Q16 and 3Q15</t>
  </si>
  <si>
    <t>2Q20 and 2Q19</t>
  </si>
  <si>
    <t>2Q16 and 2Q15</t>
  </si>
  <si>
    <t>1Q20 and 1Q19</t>
  </si>
  <si>
    <t>1Q16 and 1Q15</t>
  </si>
  <si>
    <t>Guidance Analysis</t>
  </si>
  <si>
    <t>Actual vs. Guidance</t>
  </si>
  <si>
    <t>Low</t>
  </si>
  <si>
    <t>Mid</t>
  </si>
  <si>
    <t>High</t>
  </si>
  <si>
    <t>Actual</t>
  </si>
  <si>
    <t>% vs. Low</t>
  </si>
  <si>
    <t>% vs. Mid</t>
  </si>
  <si>
    <t>% vs. High</t>
  </si>
  <si>
    <t>1Q24 Guide (given in 4Q24)</t>
  </si>
  <si>
    <t>4Q24 Guide (given in 3Q24)</t>
  </si>
  <si>
    <t>3Q24 Guide (given in 2Q24)</t>
  </si>
  <si>
    <t>2Q24 Guide (given in 1Q24)</t>
  </si>
  <si>
    <t>1Q24 Guide (given in 4Q23)</t>
  </si>
  <si>
    <t>4Q23 Guide (given in 3Q23)</t>
  </si>
  <si>
    <t>3Q23 Guide (given in 2Q23)</t>
  </si>
  <si>
    <t>2Q23 Guide (given in 1Q23)</t>
  </si>
  <si>
    <t>1Q23 Guide (given in 4Q22)</t>
  </si>
  <si>
    <t>4Q22 Guide (updated on 6.2.22)</t>
  </si>
  <si>
    <t>3Q22 Guide (given in 2Q22)</t>
  </si>
  <si>
    <t>2Q22 Guide (given in 1Q22)</t>
  </si>
  <si>
    <t>1Q22 Guide (given in 4Q21)</t>
  </si>
  <si>
    <t>4Q21 Guide (given in 3Q21)</t>
  </si>
  <si>
    <t>3Q21 Guide (given in 2Q21)</t>
  </si>
  <si>
    <t>2Q21 Guide (given in 1Q21)</t>
  </si>
  <si>
    <t>1Q21 Guide (given in 4Q20)</t>
  </si>
  <si>
    <t>4Q20 Guide (given in 3Q20)</t>
  </si>
  <si>
    <t>3Q20 Guide (given in 2Q20)</t>
  </si>
  <si>
    <t>2Q20 Guide (given in 1Q20)</t>
  </si>
  <si>
    <t>1Q20 Guide (given in 4Q19)</t>
  </si>
  <si>
    <t>4Q19 Guide (given in 3Q19)</t>
  </si>
  <si>
    <t>3Q19 Guide (given in 2Q19)</t>
  </si>
  <si>
    <t>Average</t>
  </si>
  <si>
    <t>`</t>
  </si>
  <si>
    <t>Median</t>
  </si>
  <si>
    <t>1Q25 Guide ex-$900M deal costs (given in 4Q24)</t>
  </si>
  <si>
    <t>4Q24 Guide ex-$1B deal costs (given in 3Q24)</t>
  </si>
  <si>
    <t>3Q24 Guide ex-$1B deal costs (given in 2Q24)</t>
  </si>
  <si>
    <t>2Q24 Guide ex-$900M deal costs (given in 1Q24)</t>
  </si>
  <si>
    <t>EBIT (reported)</t>
  </si>
  <si>
    <t>add the D&amp;A numbers</t>
  </si>
  <si>
    <t>detail what the actual change in accounting estaimte was in each quarter</t>
  </si>
  <si>
    <t>D&amp;A margin normalization (commentary)</t>
  </si>
  <si>
    <t xml:space="preserve">Not </t>
  </si>
  <si>
    <t>Normalized Margin %</t>
  </si>
  <si>
    <t>Comparable</t>
  </si>
  <si>
    <t>Normalized EBIT</t>
  </si>
  <si>
    <t>Growth % (vs. prior period reported)</t>
  </si>
  <si>
    <t>Call Commentary</t>
  </si>
  <si>
    <t>"...operating margins expanded 4 points yearover-year to 43%, including roughly 2 points of favorable impact from the change in accounting estimate."</t>
  </si>
  <si>
    <t>"...operating margins expanded 4 points year-over-year to 42%, including roughly 2 points of favorable impact from the change in accounting estimate."</t>
  </si>
  <si>
    <t>"...operating margins expanded 4 points year-over-year to 41%, including nearly 2 points of favorable impact from the change in accounting estimate."</t>
  </si>
  <si>
    <t xml:space="preserve">"...operating margins expanded 6 points year-over-year to 41%, including roughly 2 points of impact from the retail stores charge and increase in bad debt expense in the prior year </t>
  </si>
  <si>
    <t>and nearly 1 point of favorable impact from the change in accounting estimate."</t>
  </si>
  <si>
    <t>"...operating margins expanded 2 points year-over-year to 45%. Excluding the impact of the change in accounting estimate, operating margins expanded roughly 4 points year-over-year."</t>
  </si>
  <si>
    <t>"...operating margins expanded 1 point year-over-year to 43%. Excluding the impact of the change in accounting estimate, operating margins expanded roughly 3 points year-over-year."</t>
  </si>
  <si>
    <t>"...operating margins increased slightly year-over-year to 41%. Excluding the impact of the change in accounting estimate, operating margins expanded roughly 2 points year-over-year."</t>
  </si>
  <si>
    <t>"...operating margins decreased year-over-year to 40%. Excluding the impact of the change in accounting estimate and FX, operating margins were relatively unchanged"</t>
  </si>
  <si>
    <t>"...operating margins decreased roughly 2 points year-over-year to 43%. Excluding the impact of the change in accounting estimate, operating margins declined roughly 4 points year-over-year"</t>
  </si>
  <si>
    <t>"...operating margins decreased roughly 2 points year-over-year to 41%. Excluding the impact of the change in accounting estimate, operating margins declined roughly 4 points"</t>
  </si>
  <si>
    <t>"…operating margins increased roughly 1 point year-over-year to 42%. Excluding the impact of the change in accounting estimate, operating margins decreased slightly and increased slightly in constant currency. "</t>
  </si>
  <si>
    <t>"…Operating margins increased roughly 4 points year-over-year to 43%. Excluding the impact of the change in accounting estimate, operating margins increased roughly 2 points"</t>
  </si>
  <si>
    <t>"...Operating margins increased roughly 5 points year-over-year to 48%. Excluding the impact of the change in accounting estimate, operating margins increased roughly 6 points"</t>
  </si>
  <si>
    <t>"...Operating margins increased roughly 5 points year-over-year to 44%. Excluding the impact of the change in accounting estimate, operating margins increased roughly 6 points driven by the higher gross margin noted earlier, a favorable impact from the prior year Q2 charge and improved operating leverage through disciplined cost control"</t>
  </si>
  <si>
    <t>"...Operating income increased 23% and operating margins increased roughly 2 points year-over-year to 45%, excluding the impact of the change in accounting estimate, operating margins increased roughly 3 points"</t>
  </si>
  <si>
    <t>"...Operating income increased 15% and 16% in constant currency, and operating margins were 43%, relatively unchanged year-over-year. Excluding the impact of the change in accounting estimate, operating margins increased slightly"</t>
  </si>
  <si>
    <t>D&amp;A Model - Base Case</t>
  </si>
  <si>
    <t>D&amp;A Model</t>
  </si>
  <si>
    <t>50%, then more, then ramp down in long lived and more short lived to drive more D&amp;A</t>
  </si>
  <si>
    <t>Key Inputs</t>
  </si>
  <si>
    <t>Original Average Useful Life of Assets (Years)</t>
  </si>
  <si>
    <t>'21-'22 Average Useful Life of Assets (Years)</t>
  </si>
  <si>
    <t>'23 Average Useful Life of Assets (Years)</t>
  </si>
  <si>
    <t>Delta / CIP impact</t>
  </si>
  <si>
    <t>Change in Depreciable Assets</t>
  </si>
  <si>
    <t>Depreciation and Amortization</t>
  </si>
  <si>
    <t>FY37e</t>
  </si>
  <si>
    <t>Estimated Depreciation and Amortization</t>
  </si>
  <si>
    <t>next step</t>
  </si>
  <si>
    <t>Amortization of Intangible Assets</t>
  </si>
  <si>
    <t>&gt;&gt; is this cash outflow connected to capex</t>
  </si>
  <si>
    <t>Total Estimated Depreciation and Amortization ex-ATVI amort</t>
  </si>
  <si>
    <t>PPA</t>
  </si>
  <si>
    <t>Total Estimated Depreciation and Amortization</t>
  </si>
  <si>
    <t>Actual Depreciation and Amortization</t>
  </si>
  <si>
    <t>Variance %</t>
  </si>
  <si>
    <t>Variance $</t>
  </si>
  <si>
    <t>Gross Assets, EOP</t>
  </si>
  <si>
    <t>FY07 and prior</t>
  </si>
  <si>
    <t>Accumulated Depreciation, EOP</t>
  </si>
  <si>
    <t>Net Assets, EOP</t>
  </si>
  <si>
    <t>PP&amp;E Detail</t>
  </si>
  <si>
    <t>Gross PP&amp;E</t>
  </si>
  <si>
    <t>Land</t>
  </si>
  <si>
    <t>Buildings and improvements</t>
  </si>
  <si>
    <t>Leasehold improvements</t>
  </si>
  <si>
    <t>Computer equipment and software</t>
  </si>
  <si>
    <t>Furniture and equipment</t>
  </si>
  <si>
    <t>Gross PP&amp;E, EOP</t>
  </si>
  <si>
    <t>Construction commitments</t>
  </si>
  <si>
    <t>Gross PP&amp;E, BOP</t>
  </si>
  <si>
    <t>Purchase of PP&amp;E + Finance Leases</t>
  </si>
  <si>
    <t>Accumulated Depreciation</t>
  </si>
  <si>
    <t>Accumulated Depreciation, BOP</t>
  </si>
  <si>
    <t>Reported Depreciation</t>
  </si>
  <si>
    <r>
      <rPr>
        <i/>
        <u/>
        <sz val="8"/>
        <color theme="1"/>
        <rFont val="Arial"/>
        <family val="2"/>
      </rPr>
      <t>Memo:</t>
    </r>
    <r>
      <rPr>
        <i/>
        <sz val="8"/>
        <color theme="1"/>
        <rFont val="Arial"/>
        <family val="2"/>
      </rPr>
      <t xml:space="preserve"> Implied Life of Assets (Years)</t>
    </r>
  </si>
  <si>
    <t>Reported D&amp;A</t>
  </si>
  <si>
    <t>Depreciation</t>
  </si>
  <si>
    <t>Intangible Asset Amortization</t>
  </si>
  <si>
    <t>Implied PPA and Other</t>
  </si>
  <si>
    <t>% of D&amp;A</t>
  </si>
  <si>
    <t>Net PP&amp;E</t>
  </si>
  <si>
    <t>Net PP&amp;E, EOP</t>
  </si>
  <si>
    <t>Net PP&amp;E, BOP</t>
  </si>
  <si>
    <t>Purchase of PP&amp;E</t>
  </si>
  <si>
    <t>Depreciation of PP&amp;E</t>
  </si>
  <si>
    <t>Implied Useful Life (Years)</t>
  </si>
  <si>
    <t>Gross PP&amp;E / Depreciation</t>
  </si>
  <si>
    <t>Depreciable Assets / Depreciation</t>
  </si>
  <si>
    <t>Net PP&amp;E / Depreciation</t>
  </si>
  <si>
    <t>2QFY-2024</t>
  </si>
  <si>
    <t>3QFY-2024</t>
  </si>
  <si>
    <t>4QFY-2024</t>
  </si>
  <si>
    <t>FY25</t>
  </si>
  <si>
    <t>FY26</t>
  </si>
  <si>
    <t>PP&amp;E, Capex, D&amp;A</t>
  </si>
  <si>
    <t>Quarterly,</t>
  </si>
  <si>
    <t>FYE December 31,</t>
  </si>
  <si>
    <t>CRC Estimates</t>
  </si>
  <si>
    <t>Total Depreciation of PP&amp;E</t>
  </si>
  <si>
    <r>
      <rPr>
        <i/>
        <u/>
        <sz val="8"/>
        <color theme="1"/>
        <rFont val="Arial"/>
        <family val="2"/>
      </rPr>
      <t>Memo:</t>
    </r>
    <r>
      <rPr>
        <i/>
        <sz val="8"/>
        <color theme="1"/>
        <rFont val="Arial"/>
        <family val="2"/>
      </rPr>
      <t xml:space="preserve"> Total D&amp;A</t>
    </r>
  </si>
  <si>
    <t>Implied Useful Life (Gross PP&amp;E / Depreciation)</t>
  </si>
  <si>
    <t>Total Assets</t>
  </si>
  <si>
    <t>Implied Useful Life (Net PP&amp;E / Depreciation)</t>
  </si>
  <si>
    <t>Consensus Estimates</t>
  </si>
  <si>
    <t>Capex including capital leases</t>
  </si>
  <si>
    <t>Depreciation and amortization</t>
  </si>
  <si>
    <t>Guidance Commentary</t>
  </si>
  <si>
    <t>2FQ FY23</t>
  </si>
  <si>
    <t>Based on current rates, we now expect FX to decrease total revenue growth by approximately
3 points, COGS growth by 1 point and operating expense growth by 2 points. Within the segments, we
anticipate roughly 4 points of negative impact on revenue growth in Productivity and Business Processes;
3 points in Intelligent Cloud; and 2 points in More Personal Computing</t>
  </si>
  <si>
    <t>In our Consumer business,
Windows OEM and devices will see continued declines as the PC market returns to pre-pandemic levels.
And LinkedIn and Search will be impacted as ad market spending remains a bit cautious</t>
  </si>
  <si>
    <t>In our Commercial business, we expect business trends that we saw at the end of December to continue
into Q3. While customers are more cautious in their spend, we also have the opportunity to improve our
execution, given our strong position in global growth markets.</t>
  </si>
  <si>
    <t>In commercial bookings, with a declining
expiry base and the strong prior year comparable in terms of large Azure contracts, we expect growth to
be relatively flat year-over-year</t>
  </si>
  <si>
    <t>We expect consistent execution across our core annuity sales motions and
continued commitments to our platform will be offset by impact from the slowdown of new business noted
earlier and 3 points of unfavorable impact from the inclusion of Nuance in the prior year</t>
  </si>
  <si>
    <t>Microsoft Cloud gross margin percentage should be up roughly 1 point year-over-year, driven by the
accounting estimate change noted earlier. Excluding that impact, Q3 cloud gross margin percentage will
decrease roughly 1 point, driven by Azure</t>
  </si>
  <si>
    <t>In capital expenditures, we expect a sequential increase on
a dollar basis with normal quarterly spend variability in the timing of our cloud infrastructure build-out.
Our data center investments continue to be based on a near-term and longer-term customer demand,
including AI opportunities</t>
  </si>
  <si>
    <t>In Productivity and Business Processes, we expect revenue to grow between
11% and 13% in constant currency or USD 16.9 billion to USD 17.2 billion</t>
  </si>
  <si>
    <t>In Office Commercial,
revenue growth will again be driven by Office 365 with seat growth across customer segments and
ARPU growth through E5.</t>
  </si>
  <si>
    <t>MICROSOFT CORPORATION:(MSFT)</t>
  </si>
  <si>
    <t>1QFY-2013</t>
  </si>
  <si>
    <t>2QFY-2013</t>
  </si>
  <si>
    <t>3QFY-2013</t>
  </si>
  <si>
    <t>4QFY-2013</t>
  </si>
  <si>
    <t>1QFY-2014</t>
  </si>
  <si>
    <t>2QFY-2014</t>
  </si>
  <si>
    <t>3QFY-2014</t>
  </si>
  <si>
    <t>4QFY-2014</t>
  </si>
  <si>
    <t>1QFY-2015</t>
  </si>
  <si>
    <t>2QFY-2015</t>
  </si>
  <si>
    <t>3QFY-2015</t>
  </si>
  <si>
    <t>4QFY-2015</t>
  </si>
  <si>
    <t>1QFY-2016</t>
  </si>
  <si>
    <t>2QFY-2016</t>
  </si>
  <si>
    <t>3QFY-2016</t>
  </si>
  <si>
    <t>4QFY-2016</t>
  </si>
  <si>
    <t>1QFY-2017</t>
  </si>
  <si>
    <t>2QFY-2017</t>
  </si>
  <si>
    <t>3QFY-2017</t>
  </si>
  <si>
    <t>4QFY-2017</t>
  </si>
  <si>
    <t>1QFY-2018</t>
  </si>
  <si>
    <t>2QFY-2018</t>
  </si>
  <si>
    <t>3QFY-2018</t>
  </si>
  <si>
    <t>4QFY-2018</t>
  </si>
  <si>
    <t>1QFY-2019</t>
  </si>
  <si>
    <t>2QFY-2019</t>
  </si>
  <si>
    <t>3QFY-2019</t>
  </si>
  <si>
    <t>4QFY-2019</t>
  </si>
  <si>
    <t>1QFY-2020</t>
  </si>
  <si>
    <t>2QFY-2020</t>
  </si>
  <si>
    <t>3QFY-2020</t>
  </si>
  <si>
    <t>4QFY-2020</t>
  </si>
  <si>
    <t>1QFY-2021</t>
  </si>
  <si>
    <t>2QFY-2021</t>
  </si>
  <si>
    <t>3QFY-2021</t>
  </si>
  <si>
    <t>4QFY-2021</t>
  </si>
  <si>
    <t>1QFY-2022</t>
  </si>
  <si>
    <t>2QFY-2022</t>
  </si>
  <si>
    <t>3QFY-2022</t>
  </si>
  <si>
    <t>4QFY-2022</t>
  </si>
  <si>
    <t>1QFY-2023</t>
  </si>
  <si>
    <t>2QFY-2023</t>
  </si>
  <si>
    <t>3QFY-2023E</t>
  </si>
  <si>
    <t>4QFY-2023E</t>
  </si>
  <si>
    <t>1QFY-2024E</t>
  </si>
  <si>
    <t>2QFY-2024E</t>
  </si>
  <si>
    <t>3QFY-2024E</t>
  </si>
  <si>
    <t>4QFY-2024E</t>
  </si>
  <si>
    <t>1QFY-2025E</t>
  </si>
  <si>
    <t>2QFY-2025E</t>
  </si>
  <si>
    <t>3QFY-2025E</t>
  </si>
  <si>
    <t>4QFY-2025E</t>
  </si>
  <si>
    <t>1QFY-2026E</t>
  </si>
  <si>
    <t>2QFY-2026E</t>
  </si>
  <si>
    <t>3QFY-2026E</t>
  </si>
  <si>
    <t>4QFY-2026E</t>
  </si>
  <si>
    <t>1QFY-2027E</t>
  </si>
  <si>
    <t>2QFY-2027E</t>
  </si>
  <si>
    <t>3QFY-2027E</t>
  </si>
  <si>
    <t>4QFY-2027E</t>
  </si>
  <si>
    <t>1QFY-2028E</t>
  </si>
  <si>
    <t>2QFY-2028E</t>
  </si>
  <si>
    <t>3QFY-2028E</t>
  </si>
  <si>
    <t>4QFY-2028E</t>
  </si>
  <si>
    <t>1QFY-2029E</t>
  </si>
  <si>
    <t>2QFY-2029E</t>
  </si>
  <si>
    <t>3QFY-2029E</t>
  </si>
  <si>
    <t>4QFY-2029E</t>
  </si>
  <si>
    <t>1QFY-2030E</t>
  </si>
  <si>
    <t>2QFY-2030E</t>
  </si>
  <si>
    <t>3QFY-2030E</t>
  </si>
  <si>
    <t>4QFY-2030E</t>
  </si>
  <si>
    <t>1QFY-2031E</t>
  </si>
  <si>
    <t>2QFY-2031E</t>
  </si>
  <si>
    <t>3QFY-2031E</t>
  </si>
  <si>
    <t>4QFY-2031E</t>
  </si>
  <si>
    <t>Units</t>
  </si>
  <si>
    <t>VA Actuals</t>
  </si>
  <si>
    <t>Filings</t>
  </si>
  <si>
    <t>Consensus</t>
  </si>
  <si>
    <t>Productivity and business process</t>
  </si>
  <si>
    <t/>
  </si>
  <si>
    <t>Revenue - Total office</t>
  </si>
  <si>
    <t>$M</t>
  </si>
  <si>
    <t>Analytics</t>
  </si>
  <si>
    <t>YoY Growth</t>
  </si>
  <si>
    <t>Revenue - LinkedIn</t>
  </si>
  <si>
    <t>Revenue - Total dynamics</t>
  </si>
  <si>
    <t>Revenue - Productivity - Plug</t>
  </si>
  <si>
    <t>Revenue - Productivity and business processes</t>
  </si>
  <si>
    <t>Intelligent cloud</t>
  </si>
  <si>
    <t>Revenue - Servers &amp; Azure</t>
  </si>
  <si>
    <t>Revenue - Enterprise services</t>
  </si>
  <si>
    <t>Revenue - Others - Intelligent cloud</t>
  </si>
  <si>
    <t>Revenue - Intelligent cloud</t>
  </si>
  <si>
    <t>More personal computing</t>
  </si>
  <si>
    <t>Revenue - Total Windows</t>
  </si>
  <si>
    <t>Revenue - Surface</t>
  </si>
  <si>
    <t>Revenue - Other device</t>
  </si>
  <si>
    <t>Revenue - Devices</t>
  </si>
  <si>
    <t>Revenue - Gaming</t>
  </si>
  <si>
    <t>Revenue - Bing / display advertising</t>
  </si>
  <si>
    <t>Revenue - Other more personal computing</t>
  </si>
  <si>
    <t>Revenue - More personal computing</t>
  </si>
  <si>
    <t>Revenue - Corporate &amp; others</t>
  </si>
  <si>
    <t>Win 10 deferral adj. in revenue</t>
  </si>
  <si>
    <t>Total revenue - Operating</t>
  </si>
  <si>
    <t>Other KPI</t>
  </si>
  <si>
    <t>Total revenue - License</t>
  </si>
  <si>
    <t>Total revenue - Subscription</t>
  </si>
  <si>
    <t>Total revenue - Professional services and other</t>
  </si>
  <si>
    <t>Revenue by geography</t>
  </si>
  <si>
    <t>Total revenue - United States</t>
  </si>
  <si>
    <t>Total revenue - International</t>
  </si>
  <si>
    <t>Headcount</t>
  </si>
  <si>
    <t>Headcount - United States</t>
  </si>
  <si>
    <t>#</t>
  </si>
  <si>
    <t>Headcount - International</t>
  </si>
  <si>
    <t>Headcount - Operations</t>
  </si>
  <si>
    <t>Headcount - R&amp;D</t>
  </si>
  <si>
    <t>Headcount - S&amp;M</t>
  </si>
  <si>
    <t>Headcount - G&amp;A</t>
  </si>
  <si>
    <t>PRIVATE AND CONFIDENTIAL</t>
  </si>
  <si>
    <t>Revenue - Server product licensing</t>
  </si>
  <si>
    <t>Revenue - Azure</t>
  </si>
  <si>
    <t>Revenue - GITHUB</t>
  </si>
  <si>
    <t>Revenue - Nuance</t>
  </si>
  <si>
    <t>Cost of revenue - Intelligent cloud</t>
  </si>
  <si>
    <t>Gross profit/(loss) - Intelligent cloud</t>
  </si>
  <si>
    <t>Operating income/(loss) - Intelligent cloud</t>
  </si>
  <si>
    <t>Revenue - Azure - EMS</t>
  </si>
  <si>
    <t>Revenue - Azure - Power Bi</t>
  </si>
  <si>
    <t>Revenue - Azure - EMS and Power Bi</t>
  </si>
  <si>
    <t>Revenue - Azure - IaaS and PaaS</t>
  </si>
  <si>
    <t>Customers - EMS</t>
  </si>
  <si>
    <t>K#</t>
  </si>
  <si>
    <t>Seats per customer - EMS</t>
  </si>
  <si>
    <t>EMS seats / Installed base</t>
  </si>
  <si>
    <t>M#</t>
  </si>
  <si>
    <t>Supplemental info</t>
  </si>
  <si>
    <t>Revenue - Office 365 commercial and dynamics CRM online</t>
  </si>
  <si>
    <t>Revenue - LinkedIn - Commercial</t>
  </si>
  <si>
    <t>Revenue - Others - Commercial Cloud</t>
  </si>
  <si>
    <t>Revenue - Commercial cloud</t>
  </si>
  <si>
    <t>Cost of revenue - Commercial cloud</t>
  </si>
  <si>
    <t>Gross profit/(loss) - Commercial cloud</t>
  </si>
  <si>
    <t>Gross margin % - Commercial cloud</t>
  </si>
  <si>
    <t>%</t>
  </si>
  <si>
    <t>Commercial cloud run-rate</t>
  </si>
  <si>
    <t>Productivity and Business process</t>
  </si>
  <si>
    <t>Revenue - Office consumer licensing</t>
  </si>
  <si>
    <t>Revenue - Office 365 consumer</t>
  </si>
  <si>
    <t>Revenue - Total office consumer</t>
  </si>
  <si>
    <t>Revenue - Office commercial licensing</t>
  </si>
  <si>
    <t>Revenue - Office 365 commercial</t>
  </si>
  <si>
    <t>Revenue - Total office commercial</t>
  </si>
  <si>
    <t>Revenue - Dynamics licensing &amp; other</t>
  </si>
  <si>
    <t>Revenue - Dynamics CRM online</t>
  </si>
  <si>
    <t>Revenue - LinkedIn - Other</t>
  </si>
  <si>
    <t>Revenue - Skype and other consumer services</t>
  </si>
  <si>
    <t>Cost of revenue - Productivity and business processes</t>
  </si>
  <si>
    <t>Gross profit/(loss) - Productivity and business processes</t>
  </si>
  <si>
    <t>Operating income/(loss) - Productivity and business</t>
  </si>
  <si>
    <t>Supplemental</t>
  </si>
  <si>
    <t>Office 365 Consumer</t>
  </si>
  <si>
    <t>Net additions subscribers - Office O365 consumer</t>
  </si>
  <si>
    <t>Subscribers - Office O365 consumer</t>
  </si>
  <si>
    <t>Average subscribers - Office O365 consumer</t>
  </si>
  <si>
    <t>Quarterly/Annual average revenue per subscriber - Office O365 consumer</t>
  </si>
  <si>
    <t>$</t>
  </si>
  <si>
    <t xml:space="preserve">Office 365 Commercial </t>
  </si>
  <si>
    <t>Net additions subscribers - Office O365 commercial</t>
  </si>
  <si>
    <t>Subscribers - Office O365 commercial</t>
  </si>
  <si>
    <t>Average subscribers - Office O365 commercial</t>
  </si>
  <si>
    <t>Quarterly/Annual average revenue per subscriber - Office O365 commercial</t>
  </si>
  <si>
    <t xml:space="preserve">Old Productivity and business process view </t>
  </si>
  <si>
    <t>Revenue - Commercial and dynamic licensing</t>
  </si>
  <si>
    <t>3QFY-2023</t>
  </si>
  <si>
    <t>Units - Windows OEMS</t>
  </si>
  <si>
    <t>ASP - Windows OEMS</t>
  </si>
  <si>
    <t>Revenue - Windows OEM</t>
  </si>
  <si>
    <t>Revenue - Windows volume licensing</t>
  </si>
  <si>
    <t>Revenue - Windows retail</t>
  </si>
  <si>
    <t>Revenue - Windows volume licensing incl. others</t>
  </si>
  <si>
    <t>Revenue - Windows phone licensing &amp; other</t>
  </si>
  <si>
    <t>Units - Surfaces</t>
  </si>
  <si>
    <t>ASP - Surfaces</t>
  </si>
  <si>
    <t>Revenue - Phone hardware</t>
  </si>
  <si>
    <t>Units - Xbox consoles</t>
  </si>
  <si>
    <t>ASP - Xbox consoles</t>
  </si>
  <si>
    <t>Revenue - XBOX consoles before discount</t>
  </si>
  <si>
    <t>Retail margins - Xbox consoles</t>
  </si>
  <si>
    <t>Revenue - Xbox consoles</t>
  </si>
  <si>
    <t>Subscribers - XBOX Live subscription</t>
  </si>
  <si>
    <t>Revenue per subscriber - XBOX Live subscription</t>
  </si>
  <si>
    <t>Revenue - XBOX Live subscription</t>
  </si>
  <si>
    <t>Revenue - XBOX Video games and others</t>
  </si>
  <si>
    <t>Cost of revenue - More personal computing</t>
  </si>
  <si>
    <t>Gross profit/(loss) - More personal computing</t>
  </si>
  <si>
    <t>Operating income/(loss) - More personal computing</t>
  </si>
  <si>
    <t>Annual Histroicals</t>
  </si>
  <si>
    <t>&gt;&gt; NUAN close March 4</t>
  </si>
  <si>
    <t>Restated &gt;&gt;</t>
  </si>
  <si>
    <t>Plus: D&amp;A</t>
  </si>
  <si>
    <t>Adjusted EBITDA</t>
  </si>
  <si>
    <t>Adjusted EBITDA - Capex as % of Sales</t>
  </si>
  <si>
    <t>Total Debt</t>
  </si>
  <si>
    <t>copy / paste into growth assumptions</t>
  </si>
  <si>
    <t>pb</t>
  </si>
  <si>
    <t>ic</t>
  </si>
  <si>
    <t>mpc</t>
  </si>
  <si>
    <t>Excl. NUAN</t>
  </si>
  <si>
    <t>Old Segment Reporting</t>
  </si>
  <si>
    <t>Revenue:</t>
  </si>
  <si>
    <t>Devices and Consumer Licensing</t>
  </si>
  <si>
    <t>Computing and Gaming Hardware</t>
  </si>
  <si>
    <t>Phone Hardware</t>
  </si>
  <si>
    <t>Devices and Consumer Hardware</t>
  </si>
  <si>
    <t>Devices and Consumer Other</t>
  </si>
  <si>
    <t>Devices and Consumer</t>
  </si>
  <si>
    <t>Commercial Licensing</t>
  </si>
  <si>
    <t>Commercial Other</t>
  </si>
  <si>
    <t>Commercial</t>
  </si>
  <si>
    <t>Y/Y % change:</t>
  </si>
  <si>
    <t>Gross Profit:</t>
  </si>
  <si>
    <t>Margin:</t>
  </si>
  <si>
    <t>Operating Income:</t>
  </si>
  <si>
    <t>Corporate and Other (% of total)</t>
  </si>
  <si>
    <t xml:space="preserve">n/a </t>
  </si>
  <si>
    <t>Gross Profit Growth %</t>
  </si>
  <si>
    <t>Operating Metrics</t>
  </si>
  <si>
    <t>Office commercial products and cloud services revenue growth</t>
  </si>
  <si>
    <t>Office 365 commercial revenue growth</t>
  </si>
  <si>
    <t>Restated &gt;&gt; LFL FY22 and beyond</t>
  </si>
  <si>
    <t>Office consumer products and cloud services revenue growth</t>
  </si>
  <si>
    <t>LinkedIn revenue growth</t>
  </si>
  <si>
    <t>Dynamics</t>
  </si>
  <si>
    <t>Dynamics products and cloud services revenue growth</t>
  </si>
  <si>
    <t>Dynamics 365 revenue growth</t>
  </si>
  <si>
    <t>Key Metrics</t>
  </si>
  <si>
    <t>Server products and cloud services revenue growth</t>
  </si>
  <si>
    <t>Azure revenue growth</t>
  </si>
  <si>
    <t>Server products revenue growth</t>
  </si>
  <si>
    <t>Enterprise Services revenue growth</t>
  </si>
  <si>
    <t>Windows OEM revenue growth</t>
  </si>
  <si>
    <t>Windows OEM Pro revenue growth</t>
  </si>
  <si>
    <t>Windows OEM non-Pro revenue growth</t>
  </si>
  <si>
    <t>Windows commercial products and cloud services revenue growth</t>
  </si>
  <si>
    <t>Xbox Live active users</t>
  </si>
  <si>
    <t>D&amp;A Accounting Change Analysis</t>
  </si>
  <si>
    <t>2Q23E</t>
  </si>
  <si>
    <t>3Q23E</t>
  </si>
  <si>
    <t>4Q23E</t>
  </si>
  <si>
    <t>&gt;&gt; From 2 &amp; 3 Years to 4 Years</t>
  </si>
  <si>
    <t>&gt;&gt; From 4 Years to 6 Years</t>
  </si>
  <si>
    <t>Financials</t>
  </si>
  <si>
    <t>GP</t>
  </si>
  <si>
    <t>Opex excl. D&amp;A</t>
  </si>
  <si>
    <t>D&amp;A % of Sales</t>
  </si>
  <si>
    <t>EBIT (normalized D&amp;A)</t>
  </si>
  <si>
    <t>D&amp;A add back</t>
  </si>
  <si>
    <t>Growth % (vs. prior reported period)</t>
  </si>
  <si>
    <t>D&amp;A accounting change impact on Margin %</t>
  </si>
  <si>
    <t>Updates to Policy / Ongoing Treatment</t>
  </si>
  <si>
    <t>4FQ20: "I'd like to update you on a change in accounting estimate to the useful life of server and networking equipment assets in our cloud infrastructure. Effective at the start of fiscal balances on our balance sheet as of June 30, 2020, as well as future asset purchases. This change will not impact historical depreciation expense, the total depreciation expense over the life of the asset or cash flow, but it will impact the timing of depreciation expense in the future for these assets. As a result, based on the outstanding balances as of June 30, we expect fiscal year '21 operating income to be favorably impacted by approximately $900 million in the first quarter and approximately $2.7 billion for the full fiscal year.</t>
  </si>
  <si>
    <t>4FQ22: "Effective at the start of FY '23, we are extending the depreciable useful life for server and network equipment assets in our cloud infrastructure from 4 to 6 years, which will apply to the asset balances on our balance sheet as of June 30, 2022, as well as future asset purchases. Investments in our software that increased efficiencies in how we operate our server and network equipment as well as advances in technology have resulted in lives extending beyond historical accounting useful lives.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</si>
  <si>
    <t xml:space="preserve">4FQ20: </t>
  </si>
  <si>
    <t>F4Q22:</t>
  </si>
  <si>
    <t>4QF20</t>
  </si>
  <si>
    <t>4FQ20: "Commercial cloud gross margin percentage will increase approximately 4 points year-over-year from the accounting estimate change noted earlier. Excluding this impact, continued improvement in Azure IaaS and PaaS gross margin percentage will be mostly offset by revenue mix shift to Azure."</t>
  </si>
  <si>
    <t>1QF21</t>
  </si>
  <si>
    <t>1FQ21: "Company gross margin percentage was up 2 points year-over-year to 70%, driven by the change in accounting estimate noted earlier. Excluding this impact, company gross margin percentage was down slightly, with increasing cloud revenue mix and continued investments such as trial offers and flexible financing options that deliver greater customer value in this challenging environment."</t>
  </si>
  <si>
    <t>1FQ21: "Operating margins expanded 4 points yearover-year to 43%, including roughly 2 points of favorable impact from the change in accounting estimate."</t>
  </si>
  <si>
    <t>1FQ21: "(Productivity and Business Processes) gross margin dollars increased 13% and 12% in constant currency, and gross margin percentage increased 1 point year-over-year, including roughly 2 points of favorable impact from the change in accounting estimate, partially offset by sales mix to cloud. Operating expense increased 4% and operating income increased 19% year-over-year, including 6 points due to the change in accounting estimate."</t>
  </si>
  <si>
    <t>1FQ21: "(Intelligent Cloud) gross margin dollars increased 26% and 25% in constant currency, and gross margin percentage increased 3 points year-over-year, with nearly 4 points of favorable impact from the change in accounting estimate. Operating expense increased 10%, and operating income increased 39% and 38% in constant currency with roughly 13 points of favorable impact from the change in accounting estimate"</t>
  </si>
  <si>
    <t>1FQ21: "Commercial cloud gross margin percentage will increase approximately 3 points year-over-year, again driven by the change in accounting estimate noted earlier. Excluding this impact, continued improvement in Azure IaaS and PaaS gross margin will be offset by mix shift to Azure. And on a dollar basis, we expect capital expenditures to be roughly in line with last quarter to support growing usage and demand for our cloud services"</t>
  </si>
  <si>
    <t>2QF21</t>
  </si>
  <si>
    <t>2FQ21: "Commercial cloud gross margin percentage expanded 4 points year-over-year to 71%, driven by the change in accounting estimate for the useful life of server and networking equipment assets. Excluding this impact, commercial cloud gross margin percentage was up slightly"</t>
  </si>
  <si>
    <t>2FQ21: "Gross margin percentage was 67%, up slightly year-over-year with roughly 2 points of favorable impact from the change in accounting estimate noted earlier. Excluding this impact, company gross margin percentage was down driven by the sales mix
shift to cloud and gaming."</t>
  </si>
  <si>
    <t>2FQ21: "Operating margins expanded 4 points year-over-year to 42%, including roughly 2 points of favorable impact from the change in accounting estimate and nearly 1 point of favorable impact from COVID-related savings"</t>
  </si>
  <si>
    <t>2FQ21: "(Productivity and Business Processes) gross margin dollars increased 13% and 11% in constant currency, and gross margin percentage was relatively unchanged year-over-year with roughly 2 points of favorable impact from the change in accounting estimate. Operating expense increased 4% and 3% in constant currency, and operating income increased 19% and 17% in constant currency, including 5 points due to the change in accounting estimate"</t>
  </si>
  <si>
    <t>2FQ21: "(Intelligent Cloud) gross margin dollars increased 29% and 27% in constant currency, and gross margin percentage increased 3 points year-over-year, with roughly 3 points of favorable impact from the change in accounting estimate. Operating expense increased 12% and 11% in constant currency, and operating income grew 43% and 41% in constant currency, with roughly [ 10 point ] favorable impact from the change in accounting estimate"</t>
  </si>
  <si>
    <t>2FQ21: "Commercial cloud gross margin percentage to increase by approximately 3.0 over year, again driven by the change in accounting estimate. Excluding this impact, continued improvement in Azure, IaaS and PaaS gross margin will be offset by revenue mix shift to Azure and continued investments to support our customers' success"</t>
  </si>
  <si>
    <t>3QF21</t>
  </si>
  <si>
    <t>3FQ21: "Commercial cloud gross margin percentage expanded 3 points year-over-year to 70%, driven by the change in accounting estimate for the useful life of server and network equipment assets. Excluding this impact, Commercial cloud gross margin percentage was up slightly with improvement in Azure gross margin, mostly offset by sales mix shift to Azure"</t>
  </si>
  <si>
    <t>3FQ21: "Gross margin dollars increased 19% and 16% in constant currency. Gross margin percentage was 69%, relatively unchanged year-over-year with roughly 1 point of favorable impact from the change in accounting estimate noted earlier."</t>
  </si>
  <si>
    <t>3FQ21: "Operating margins expanded 4 points year-over-year to 41%, including nearly 2 points of favorable impact from the change in accounting estimate and roughly 1 point of favorable impact from COVID-related savings"</t>
  </si>
  <si>
    <t>3FQ21: "(Productivity and Business Processes) gross margin dollars increased 15% and 12% in constant currency, and gross margin percentage was relatively unchanged year-over-year with nearly 2 points of favorable impact from the change in accounting estimate. Operating expense increased 4% and 2% in constant currency, and operating income increased 26% and 20% in constant currency, including 4 points due to the change in accounting estimate"</t>
  </si>
  <si>
    <t>3FQ21: "(Intelligent Cloud) Segment gross margin dollars increased 27% to 24% in constant currency. Gross margin percentage increased 2 points year-over-year with roughly 2 points of favorable impact from the change in accounting estimate. Operating expense increased 12% and 10% in constant currency and operating income grew 41% and 36% in constant currency with roughly 7 points of favorable impact from the change in accounting estimate."</t>
  </si>
  <si>
    <t>3FQ21: "Commercial cloud gross margin percentage should increase roughly 4 points year-over-year with less than 2 points from the change in accounting estimate. As a reminder, the favorable impact continues to lessen over time. Excluding the accounting change, Q4 gross margin percentage will also benefit a bit from investments we made a year ago to support increased usage needs in remote work scenarios."</t>
  </si>
  <si>
    <t>4QF21</t>
  </si>
  <si>
    <t>4FQ21: "Commercial cloud gross margin percentage expanded 4 points year-overyear to 70%, with roughly 1 point from the change in accounting estimate for the useful life of server and network equipment assets. Excluding this impact, commercial cloud gross margin percentage increased despite revenue mix shift to Azure driven by improvement across all our cloud services on a prior year comparable impacted by strategic investments we made to support significant customer engagement and usage in remote work scenarios, including free trials, flexible financing options and capacity for cloud infrastructure usage."</t>
  </si>
  <si>
    <t>4FQ21: "Gross margin dollars increased 25% and 20% in constant currency. Gross margin percentage was 70%, up 2 points year-over-year, with roughly 1 point of favorable impact from the change in accounting estimate. Excluding this impact, company gross margin percentage increased despite sales mix shift to the cloud driven by commercial cloud gross margin percentage improvement noted earlier."</t>
  </si>
  <si>
    <t>4FQ21: "Operating margins expanded 6 points year-over-year to 41%, including roughly 2 points of impact from the retail stores charge and increase in bad debt expense in the prior year and nearly 1 point of favorable impact from the change in accounting estimate."</t>
  </si>
  <si>
    <t>4FQ21: "(Productivity and Business Processes) gross margin dollars increased 33% and 27% in constant currency, and gross margin percentage was up 5 points year-overyear, primarily driven by improvement in our cloud services against a low prior year comparable impacted mostly by increased usage. The change in accounting estimate drove roughly 1 point of favorable impact. Operating expense increased 8% and 6% in constant currency, and operating income increased 62% and 53% in constant currency, including 4 points due to the change in accounting estimate."</t>
  </si>
  <si>
    <t>4FQ21: "(Intelligent Cloud) Segment gross margin dollars increased 32% and 27% in constant currency. Gross margin percentage increased 1 point year-over-year with roughly 1 point of favorable impact from the change in accounting estimate. Operating expense increased 14% and 12% in constant currency, and operating income grew 46% and 39% in constant currency, including 3 points due to the change in accounting estimate."</t>
  </si>
  <si>
    <t>4FQ21: "Also, our FY '21 operating income and margin benefited from 2 factors that will be headwinds in FY '22. First, the change in accounting estimate for the useful life of server and network equipment resulted in $2.7 billion of depreciation expense, shifting from FY '21 to future periods. And second, we saved nearly $1.2 billion in operating expense from COVID-19-related restrictions, which will also moderate in FY '22 as geographies reopen globally"</t>
  </si>
  <si>
    <t>1QF22</t>
  </si>
  <si>
    <t>1FQ22: "Microsoft Cloud gross margin percentage decreased slightly year-over-year to 71%. Excluding the impact from the change in accounting estimate for the useful life of server and network equipment assets, Microsoft Cloud gross margin percentage increased roughly 4 points driven by improvement in our cloud services, particularly in Azure and Office 365, partially offset by sales mix shift to Azure."</t>
  </si>
  <si>
    <t>1FQ22: "Gross margin percentage was 70%, down slightly year-over-year. Excluding the impact of the change in accounting estimate discussed earlier, gross margin percentage increased roughly 1 point driven by improvements in cloud services noted earlier, partially offset by sales mix shift to cloud."</t>
  </si>
  <si>
    <t>1FQ22: "Operating margins expanded 2 points year-over-year to 45%. Excluding the impact of the change in accounting estimate, operating margins expanded roughly 4 points year-over-year."</t>
  </si>
  <si>
    <t>1FQ22: "(Productivity and Business Processes) gross margin dollars increased 22% and 20% in constant currency, and gross margin percentage increased slightly. Excluding the impact of the change in accounting estimate, gross margin percentage increased roughly 2 points driven by improvement across all cloud services."</t>
  </si>
  <si>
    <t>1FQ22: "(Intelligent Cloud) gross margin dollars increased 28% and 26% in constant currency, and gross margin percentage decreased roughly 1 point year-over-year. Excluding the impact of the change in accounting estimate, gross margin percentage increased roughly 2 points driven by improvements at Azure, partially offset by sales mix shift to Azure."</t>
  </si>
  <si>
    <t>1FQ22: "Microsoft Cloud gross margin percentage should decrease roughly 2 points year-over-year. Excluding the impact of the change in accounting estimate previously discussed, Q2 gross margin percentage will increase roughly 2 points driven by continued improvement across our cloud services despite revenue mix shift to Azure."</t>
  </si>
  <si>
    <t>2QF22</t>
  </si>
  <si>
    <t>2FQ22: "Microsoft Cloud gross margin percentage decreased slightly year-over-year to 70%. Excluding the impact of the change in accounting estimate for the useful life of server and network equipment assets, Microsoft Cloud gross margin percentage increased roughly 3 points, driven by improvement across our cloud services, partially offset by sales mix shift to Azure"</t>
  </si>
  <si>
    <t>2FQ22: "Gross margin dollars increased 20%. Gross margin percentage was 67%, relatively unchanged year-over-year. Excluding the impact of the change in accounting estimate, gross margin percentage increased roughly 2 points, driven primarily by the improvement in our cloud services noted earlier."</t>
  </si>
  <si>
    <t>2FQ22: "Operating income increased 24% and operating margins expanded 1 point year-over-year to 43%. Excluding the impact of the change in accounting estimate, operating margins expanded roughly 3 points year-overyear."</t>
  </si>
  <si>
    <t>2FQ22: "(Productivity and Business Processes) gross margin dollars increased 20% and 19% in constant currency, and gross margin percentage was relatively unchanged year-over-year. Excluding the impact of the change in accounting estimate, gross margin percentage increased roughly 2 points, driven by improvement across all cloud services. Operating expense increased 13%, and operating income increased 24%"</t>
  </si>
  <si>
    <t>2FQ22: "(Intelligent Cloud) gross margin dollars increased 21% and 22% in constant currency, and gross margin percentage decreased roughly 2 points year-over-year. Excluding the impact of the change in accounting estimate, gross margin percentage increased slightly with improvements in Azure, partially offset by the sales mix shift to Azure. Operating expense increased 14%, and operating income grew 26%."</t>
  </si>
  <si>
    <t>2FQ22: "Microsoft Cloud gross margin percentage should be roughly flat year-over-year. Excluding the impact of the change in accounting estimate, Q3 gross margin percentage will increase roughly 2 points, driven by continued improvement across all cloud services despite revenue mix shift to Azure."</t>
  </si>
  <si>
    <t>3QF22</t>
  </si>
  <si>
    <t>3FQ22: "Microsoft Cloud gross margin percentage decreased slightly year-over-year to 70%. Excluding the impact from the change in accounting estimate for useful lives, the Microsoft Cloud gross margin percentage increased roughly 3 points, driven by improvement across the cloud services, partially offset by sales mix shift to Azure."</t>
  </si>
  <si>
    <t>3FQ22: "Gross margin dollars increased 18% and 21% in constant currency, and gross margin percentage decreased slightly year-over-year to 68%. Excluding the impact of the change in accounting estimate, gross margin percentage increased approximately 1 point, driven primarily by improvement in our cloud services noted earlier."</t>
  </si>
  <si>
    <t>3FQ22: "Operating margins increased slightly year-over-year to 41%. Excluding the impact of the change in accounting estimate, operating margins expanded roughly 2 points year-over-year"</t>
  </si>
  <si>
    <t>3FQ22: "(Productivity and Business Processes) gross margin dollars increased 16% and 19% in constant currency, and gross margin percentage was relatively unchanged year-over-year. Excluding the impact of the change in accounting estimate, gross margin percentage increased roughly 2 points, driven by improvement across all cloud services. Operating expense increased 13% and 14% in constant currency, and operating income increased 19% and 23% in constant currency"</t>
  </si>
  <si>
    <t>3FQ22: "(Intelligent Cloud) gross margin dollars increased 24% and 27% in constant currency, and gross margin percentage decreased roughly 1 point year-over-year. Excluding the impact of the change in accounting estimate, gross margin percentage increased roughly 1 point with improvements in Azure, partially offset by the sales mix shift to Azure. Operating expense increased 17% and 19% in constant currency, and operating income grew 29% and 33% in constant currency"</t>
  </si>
  <si>
    <t>3FQ22: "Microsoft Cloud gross margin percentage should be down roughly 1 point year-over-year. Excluding the impact of the change in accounting estimate, Q4 gross margin percentage will increase roughly 1 point, driven by continued improvement across our cloud services, partially offset by a revenue mix shift to Azure."</t>
  </si>
  <si>
    <t>4QF22</t>
  </si>
  <si>
    <t>4FQ22: "Microsoft Cloud gross margin percentage decreased slightly year-over-year to 69%. Excluding the impact from the change in accounting estimate for useful lives, Microsoft Cloud gross margin percentage increased roughly 1 point, driven by improvement across our cloud services, partially offset by sales mix shift to Azure"</t>
  </si>
  <si>
    <t>4FQ22: "Gross margin dollars increased 10% and 15% in constant currency, and gross margin percentage decreased year-over-year to 68%. Excluding the impact of the change in accounting estimate and FX, gross margin percentage increased slightly as the improvement in cloud services noted earlier was partially offset by sales mix shift to cloud"</t>
  </si>
  <si>
    <t>4FQ22: "Operating margins decreased yearover-year to 40%. Excluding the impact of the change in accounting estimate and FX, operating margins were relatively unchanged as the improvement in cloud services noted earlier and sales mix shift to higher-margin businesses were offset by the impact of the Nuance acquisition."</t>
  </si>
  <si>
    <t>4FQ22: "(Productivity and Business Processes) gross margin dollars increased 12% and 17% in constant currency, and gross margin percentage decreased slightly year-over-year. Excluding the impact of the change in accounting estimate, gross margin percentage increased roughly 1 point, driven by improvement across all cloud services. Operating expense increased 12% and 14% in constant currency, and operating income increased 12% and 19% in constant currency."</t>
  </si>
  <si>
    <t>4FQ22: "(Intelligent Cloud) gross margin dollars increased 15% and 19% in constant currency, and gross margin percentage decreased roughly 3 points year-over-year. Excluding the impact of the change in accounting estimate, gross margin percentage declined roughly 2 points, driven by sales mix shift to Azure, partially offset by improvements in Azure margins. Operating expenses increased 20% and 22% in constant currency, including roughly 7 points of impact from Nuance. And operating income grew 11% and 18% in constant currency"</t>
  </si>
  <si>
    <t>4FQ22: "Operating expense growth will be significant early in FY '23 and will moderate materially over the course of the year as we slow the rate of hiring to focus on key growth areas, increase the productivity of prior year headcount investments and anniversary the Nuance and Xandr acquisitions. And even with this significant level of investment in our future, we expect operating margins based on constant currency to be approximately flat year-over-year in FY '23, excluding the benefit from the latest change in useful
life. And in U.S. dollars, we expect FY '23 full year margins to be roughly flat as the useful life benefit is mostly offset by the FX headwind mentioned earlier. And finally, we expect our FY '23 effective tax rate to be roughly 19%"</t>
  </si>
  <si>
    <t>4FQ22: "Microsoft Cloud gross margin percentage should be up roughly 2 points year-over-year, driven by the latest accounting estimate change noted earlier. Excluding the impact of the change in accounting estimate, Q1 gross margin percentage will decrease roughly 1 point, driven by revenue mix shift to Azure and the impact from the Nuance acquisition, partially offset by continued margin improvement in Azure"</t>
  </si>
  <si>
    <t>1QF23</t>
  </si>
  <si>
    <t>1FQ23: "Microsoft Cloud gross margin percentage increased roughly 2 points year-over-year to 73%. Excluding the impact of the change in accounting estimate for useful lives, Microsoft cloud gross margin percentage decreased roughly 1 point driven by sales mix shift to Azure and lower Azure margin, primarily due to higher energy cost"</t>
  </si>
  <si>
    <t>1FQ23: "Company gross margin dollars increased 9% and 16% in constant currency, and gross margin percentage decreased slightly year-over-year to 69%. Excluding the impact of the latest change in accounting estimate, gross margin percentage decreased roughly 3 points, driven by sales mix shift to cloud, the lower Azure margin noted earlier and Nuance"</t>
  </si>
  <si>
    <t>1FQ23: "Operating margins decreased roughly 2 points year-over-year to 43%. Excluding the impact of the change in accounting estimate, operating margins declined roughly 4 points year-over-year driven by sales mix shift to cloud, unfavorable FX
impact, Nuance and the lower Azure margin noted earlier."</t>
  </si>
  <si>
    <t>1FQ23: "(Productivity and Business Process) gross margin dollars increased 11% and 18% in constant currency, and gross margin percentage increased roughly 1 point year-over-year. Excluding the impact of the latest change in accounting estimate, gross margin percentage decreased slightly, driven by sales mix shift to cloud offerings. Operating expense increased 13% and 16% in constant currency, and operating income increased 10% and 19% in constant currency, including 4 points due to the latest change in accounting estimate."</t>
  </si>
  <si>
    <t>1FQ23: "(Intelligent Cloud) gross margin dollars increased 20% and 26% in constant currency, and gross margin percentage decreased slightly. Excluding the impact of the latest change in accounting estimate, gross margin percentage declined roughly 3 points, driven by sales mix shift to Azure and higher energy costs impacting Azure margins. Operating expenses increased 25% and 28% in constant currency, including roughly 8 points of impact from Nuance. And operating income grew 17% and 25% in constant currency with roughly 9 points of favorable impact from the latest change in accounting estimate."</t>
  </si>
  <si>
    <t>1FQ23: "Microsoft Cloud gross margin percentage should be up roughly 1 point year-over-year, driven by the latest accounting estimate change noted earlier. Excluding that impact, Q2 gross margin percentage will decrease roughly 2 points driven by lower Azure margin, primarily due to higher energy cost, revenue mix shift to Azure and the impact from Nuance."</t>
  </si>
  <si>
    <t>Illustrative Steady State D&amp;A Schedule with Useful Life Changes</t>
  </si>
  <si>
    <t>2021*</t>
  </si>
  <si>
    <t>2023**</t>
  </si>
  <si>
    <t>Total D&amp;A</t>
  </si>
  <si>
    <t xml:space="preserve">Total </t>
  </si>
  <si>
    <t>N/A</t>
  </si>
  <si>
    <t>Tailwind / Headwind to YoY margins</t>
  </si>
  <si>
    <t>TW</t>
  </si>
  <si>
    <t>HW</t>
  </si>
  <si>
    <t>* Change from 2 and 3 year useful life to 4 ongoing and for existing server and networking equipment</t>
  </si>
  <si>
    <t>** Change from 4 year useful life to 6 ongoing and for existing server and networking equipment</t>
  </si>
  <si>
    <t>FY19E</t>
  </si>
  <si>
    <t>FY20e</t>
  </si>
  <si>
    <t>FY21e</t>
  </si>
  <si>
    <t>FY22e</t>
  </si>
  <si>
    <t>FY19 Guidance (excl. GitHub w/ ~$300mm of Rev)</t>
  </si>
  <si>
    <t>Y/Y % change</t>
  </si>
  <si>
    <t>Organic, Constant-FX</t>
  </si>
  <si>
    <t>Consensus Revenue</t>
  </si>
  <si>
    <t>Incremental Margin</t>
  </si>
  <si>
    <t>Consensus EBITDA</t>
  </si>
  <si>
    <t>Operating Expenses</t>
  </si>
  <si>
    <t>Operating expenses to grow +7%</t>
  </si>
  <si>
    <t>Operating margin up slightly Y/Y</t>
  </si>
  <si>
    <t>Capex growth rate to moderate</t>
  </si>
  <si>
    <t>Consensus Capex</t>
  </si>
  <si>
    <t>Interest, net</t>
  </si>
  <si>
    <t>Wtd. Avg. Interest Rate (%)</t>
  </si>
  <si>
    <t>Effective Tax Rate (%)</t>
  </si>
  <si>
    <t>17% ETR</t>
  </si>
  <si>
    <t>% of Capex</t>
  </si>
  <si>
    <t>$17.6bn transition tax paid over 8 years</t>
  </si>
  <si>
    <t>/ LTM EBITDA</t>
  </si>
  <si>
    <t>GitHub acquisition ==&gt;</t>
  </si>
  <si>
    <t>FCFE</t>
  </si>
  <si>
    <t>Cumulative FCFE</t>
  </si>
  <si>
    <t>% of Mkt Cap</t>
  </si>
  <si>
    <t>Basis Multiples:</t>
  </si>
  <si>
    <t>TEV / Revenue</t>
  </si>
  <si>
    <t>TEV / EBITDA</t>
  </si>
  <si>
    <t>P / FCF</t>
  </si>
  <si>
    <t>P / E</t>
  </si>
  <si>
    <t>CRC P / E excl. Capital Return</t>
  </si>
  <si>
    <t>Consensus P / E</t>
  </si>
  <si>
    <t>5-Year IRR</t>
  </si>
  <si>
    <t>Forward Multiple</t>
  </si>
  <si>
    <t>Terminal Value</t>
  </si>
  <si>
    <t>MOIC ==&gt;</t>
  </si>
  <si>
    <t>IRR</t>
  </si>
  <si>
    <t>10-Year IRR</t>
  </si>
  <si>
    <t>$/Share</t>
  </si>
  <si>
    <t>Shares O/S</t>
  </si>
  <si>
    <t>Morgan Stanley | ATVI Model</t>
  </si>
  <si>
    <t>(USD Millions)</t>
  </si>
  <si>
    <t>1Q00A</t>
  </si>
  <si>
    <t>2Q00A</t>
  </si>
  <si>
    <t>3Q00A</t>
  </si>
  <si>
    <t>4Q00A</t>
  </si>
  <si>
    <t>1Q01A</t>
  </si>
  <si>
    <t>2Q01A</t>
  </si>
  <si>
    <t>3Q01A</t>
  </si>
  <si>
    <t>4Q01A</t>
  </si>
  <si>
    <t>1Q02A</t>
  </si>
  <si>
    <t>2Q02A</t>
  </si>
  <si>
    <t>3Q02A</t>
  </si>
  <si>
    <t>4Q02A</t>
  </si>
  <si>
    <t>1Q03A</t>
  </si>
  <si>
    <t>2Q03A</t>
  </si>
  <si>
    <t>3Q03A</t>
  </si>
  <si>
    <t>4Q03A</t>
  </si>
  <si>
    <t>1Q04A</t>
  </si>
  <si>
    <t>2Q04A</t>
  </si>
  <si>
    <t>3Q04A</t>
  </si>
  <si>
    <t>4Q04A</t>
  </si>
  <si>
    <t>1Q05A</t>
  </si>
  <si>
    <t>2Q05A</t>
  </si>
  <si>
    <t>3Q05A</t>
  </si>
  <si>
    <t>4Q05A</t>
  </si>
  <si>
    <t>1Q06A</t>
  </si>
  <si>
    <t>2Q06A</t>
  </si>
  <si>
    <t>3Q06A</t>
  </si>
  <si>
    <t>4Q06A</t>
  </si>
  <si>
    <t>1Q07A</t>
  </si>
  <si>
    <t>2Q07A</t>
  </si>
  <si>
    <t>3Q07A</t>
  </si>
  <si>
    <t>4Q07A</t>
  </si>
  <si>
    <t>1Q08A</t>
  </si>
  <si>
    <t>2Q08A</t>
  </si>
  <si>
    <t>3Q08A</t>
  </si>
  <si>
    <t>4Q08A</t>
  </si>
  <si>
    <t>1Q09A</t>
  </si>
  <si>
    <t>2Q09A</t>
  </si>
  <si>
    <t>3Q09A</t>
  </si>
  <si>
    <t>4Q09A</t>
  </si>
  <si>
    <t>1Q10A</t>
  </si>
  <si>
    <t>2Q10A</t>
  </si>
  <si>
    <t>3Q10A</t>
  </si>
  <si>
    <t>4Q10A</t>
  </si>
  <si>
    <t>1Q11A</t>
  </si>
  <si>
    <t>2Q11A</t>
  </si>
  <si>
    <t>3Q11A</t>
  </si>
  <si>
    <t>4Q11A</t>
  </si>
  <si>
    <t>1Q12A</t>
  </si>
  <si>
    <t>2Q12A</t>
  </si>
  <si>
    <t>3Q12A</t>
  </si>
  <si>
    <t>4Q12A</t>
  </si>
  <si>
    <t>1Q13A</t>
  </si>
  <si>
    <t>2Q13A</t>
  </si>
  <si>
    <t>3Q13A</t>
  </si>
  <si>
    <t>4Q13A</t>
  </si>
  <si>
    <t>1Q14A</t>
  </si>
  <si>
    <t>2Q14A</t>
  </si>
  <si>
    <t>3Q14A</t>
  </si>
  <si>
    <t>4Q14A</t>
  </si>
  <si>
    <t>1Q15A</t>
  </si>
  <si>
    <t>2Q15A</t>
  </si>
  <si>
    <t>3Q15A</t>
  </si>
  <si>
    <t>4Q15A</t>
  </si>
  <si>
    <t>1Q16A</t>
  </si>
  <si>
    <t>2Q16A</t>
  </si>
  <si>
    <t>3Q16A</t>
  </si>
  <si>
    <t>4Q16A</t>
  </si>
  <si>
    <t>1Q17A</t>
  </si>
  <si>
    <t>2Q17A</t>
  </si>
  <si>
    <t>3Q17A</t>
  </si>
  <si>
    <t>4Q17A</t>
  </si>
  <si>
    <t>1Q18A</t>
  </si>
  <si>
    <t>2Q18A</t>
  </si>
  <si>
    <t>3Q18A</t>
  </si>
  <si>
    <t>4Q18A</t>
  </si>
  <si>
    <t>1Q19A</t>
  </si>
  <si>
    <t>2Q19A</t>
  </si>
  <si>
    <t>3Q19A</t>
  </si>
  <si>
    <t>4Q19A</t>
  </si>
  <si>
    <t>1Q20A</t>
  </si>
  <si>
    <t>2Q20A</t>
  </si>
  <si>
    <t>3Q20A</t>
  </si>
  <si>
    <t>4Q20A</t>
  </si>
  <si>
    <t>1Q21A</t>
  </si>
  <si>
    <t>2Q21A</t>
  </si>
  <si>
    <t>3Q21A</t>
  </si>
  <si>
    <t>4Q21E</t>
  </si>
  <si>
    <t>1Q22E</t>
  </si>
  <si>
    <t>2Q22E</t>
  </si>
  <si>
    <t>3Q22E</t>
  </si>
  <si>
    <t>4Q22E</t>
  </si>
  <si>
    <t>1Q23E</t>
  </si>
  <si>
    <t>1Q24E</t>
  </si>
  <si>
    <t>2Q24E</t>
  </si>
  <si>
    <t>3Q25E</t>
  </si>
  <si>
    <t>4Q25E</t>
  </si>
  <si>
    <t>*</t>
  </si>
  <si>
    <t xml:space="preserve">Income Statement </t>
  </si>
  <si>
    <t>2020-2024E CAGR</t>
  </si>
  <si>
    <t>Product Sales</t>
  </si>
  <si>
    <t>+ Subscription, Lensing and other Revenues</t>
  </si>
  <si>
    <t>= Revenues</t>
  </si>
  <si>
    <t>- Product Sales: Product Costs</t>
  </si>
  <si>
    <t>- Product Sales: Software royalties, amortization, and intellectual property licenses</t>
  </si>
  <si>
    <t>- Subscription, Licensing and other- Game Operations and Distribution Costs</t>
  </si>
  <si>
    <t>- Subscription, Licensing and other- Software royalties, amortization, and intellectual property licenses</t>
  </si>
  <si>
    <t>= Gross Profit</t>
  </si>
  <si>
    <t>- Product Development</t>
  </si>
  <si>
    <t>- Sales &amp; Marketing</t>
  </si>
  <si>
    <t>- General &amp; Administrative</t>
  </si>
  <si>
    <t>= Operating Income</t>
  </si>
  <si>
    <t>- Interest and Other Expense/(Income)</t>
  </si>
  <si>
    <t>= Pretax Income</t>
  </si>
  <si>
    <t>- Income Tax Provision</t>
  </si>
  <si>
    <t xml:space="preserve">= Net Income (Loss) </t>
  </si>
  <si>
    <t xml:space="preserve">GAAP Basic EPS </t>
  </si>
  <si>
    <t>GAAP Diluted EPS</t>
  </si>
  <si>
    <t>Non-GAAP EPS (old definition)</t>
  </si>
  <si>
    <t>Non-GAAP EPS (Company definition)</t>
  </si>
  <si>
    <t>Basic Shares Outstanding</t>
  </si>
  <si>
    <t>Diluted Shares Outstanding</t>
  </si>
  <si>
    <t>Diluted Shares (Non-GAAP)</t>
  </si>
  <si>
    <t>Margin Analysis</t>
  </si>
  <si>
    <t>Non-GAAP Revenue</t>
  </si>
  <si>
    <t>Y/Y Change (%)</t>
  </si>
  <si>
    <t>Non-GAAP Gross Profit</t>
  </si>
  <si>
    <t>Y/Y Change in bp</t>
  </si>
  <si>
    <t>Non-GAAP Operating Income (Old Definition)</t>
  </si>
  <si>
    <t>Y/Y change in bp</t>
  </si>
  <si>
    <t>Net Income/OI</t>
  </si>
  <si>
    <t>Adj. EBITDA (x-SBC)</t>
  </si>
  <si>
    <t>Non-GAAP Net Income (Old definition)</t>
  </si>
  <si>
    <t>Non-GAAP Net Income (Company definition)</t>
  </si>
  <si>
    <t>Non-GAAP Operating Metric Reconciliation</t>
  </si>
  <si>
    <t>+ Interest Expense, net</t>
  </si>
  <si>
    <t>+ Provisions for income taxes</t>
  </si>
  <si>
    <t>+ SBC</t>
  </si>
  <si>
    <t>+ Amortization of Intangibiles</t>
  </si>
  <si>
    <t>+ Acquisition Related Expenses</t>
  </si>
  <si>
    <t>+ Adj. Operating Income (Company Definition)</t>
  </si>
  <si>
    <t>+ Deferral of net revenues and related cost of sales</t>
  </si>
  <si>
    <t>+ Adj. Operating Income (Old Definition)</t>
  </si>
  <si>
    <t>+ D&amp;A</t>
  </si>
  <si>
    <t>= Adj. EBITDA (Old Definition)</t>
  </si>
  <si>
    <t xml:space="preserve">Net Income </t>
  </si>
  <si>
    <t>+ Amortization of Intangibles</t>
  </si>
  <si>
    <t>+ Impairment of goodwill</t>
  </si>
  <si>
    <t>+ Other</t>
  </si>
  <si>
    <t>= Non-GAAP Net Income (Company Definition)</t>
  </si>
  <si>
    <t>= Non-GAAP Net Income (Old Definition)</t>
  </si>
  <si>
    <t>CRC EBITDA</t>
  </si>
  <si>
    <t>CRC EBIT</t>
  </si>
  <si>
    <t>CRC D&amp;A</t>
  </si>
  <si>
    <t>Adj. Operating Income (Old Definition)</t>
  </si>
  <si>
    <t>- Interest Expense</t>
  </si>
  <si>
    <t>=Adj. Pretax Income (Old Definition)</t>
  </si>
  <si>
    <t>- Taxes</t>
  </si>
  <si>
    <t>Implied Tax Rate</t>
  </si>
  <si>
    <t xml:space="preserve">Unlevered Free Cash Flow </t>
  </si>
  <si>
    <t>Adj. EBITDA</t>
  </si>
  <si>
    <t>- Cash Taxes</t>
  </si>
  <si>
    <t>+ Changes in Working Capital</t>
  </si>
  <si>
    <t>- CAPEX</t>
  </si>
  <si>
    <t xml:space="preserve">- Stock-Based Compensation </t>
  </si>
  <si>
    <t xml:space="preserve">= Unlevered Free Cash Flow </t>
  </si>
  <si>
    <t>ASSETS</t>
  </si>
  <si>
    <t>Cash and Cash Equivalents</t>
  </si>
  <si>
    <t>Cash in escrow</t>
  </si>
  <si>
    <t>Short Term Investments</t>
  </si>
  <si>
    <t>Accounts Receivable, net</t>
  </si>
  <si>
    <t>Software Development</t>
  </si>
  <si>
    <t>Intellectual property licenses</t>
  </si>
  <si>
    <t>Deferred income taxes, net</t>
  </si>
  <si>
    <t>Other Current Assets</t>
  </si>
  <si>
    <t>Total Current Assets</t>
  </si>
  <si>
    <t>Long-term investments</t>
  </si>
  <si>
    <t>Software development</t>
  </si>
  <si>
    <t>Property and Equipment, net</t>
  </si>
  <si>
    <t>Other Assets</t>
  </si>
  <si>
    <t>Intangible Assets, net</t>
  </si>
  <si>
    <t>Trademark and trade names</t>
  </si>
  <si>
    <t>LIABILITIES &amp; SHAREHOLDERS EQUITY</t>
  </si>
  <si>
    <t>Accounts Payable</t>
  </si>
  <si>
    <t>Deferred Revenues</t>
  </si>
  <si>
    <t>Accrued Expenses</t>
  </si>
  <si>
    <t>Total Current Liabilities</t>
  </si>
  <si>
    <t>Long-term Debt, net</t>
  </si>
  <si>
    <t>Deferred Income Taxes, net</t>
  </si>
  <si>
    <t>Other Liabilities</t>
  </si>
  <si>
    <t>Total Liabilities</t>
  </si>
  <si>
    <t>Shareholders' Equity:</t>
  </si>
  <si>
    <t>Common Stock</t>
  </si>
  <si>
    <t>Preferred Stock</t>
  </si>
  <si>
    <t>Additional Paid-In Capital</t>
  </si>
  <si>
    <t>Treasury stock</t>
  </si>
  <si>
    <t>Accumulated Other Comprehensive Earnings (Loss)</t>
  </si>
  <si>
    <t xml:space="preserve">Retained Earnings </t>
  </si>
  <si>
    <t>Total Shareholders' Equity</t>
  </si>
  <si>
    <t>Total Liabilities &amp; Shareholders' Equity</t>
  </si>
  <si>
    <t>check</t>
  </si>
  <si>
    <t>B/S Drivers</t>
  </si>
  <si>
    <t>as % of Revenue</t>
  </si>
  <si>
    <t xml:space="preserve">Depreciation &amp; Amortization </t>
  </si>
  <si>
    <t>Avg Dep Life</t>
  </si>
  <si>
    <t>PP&amp;E</t>
  </si>
  <si>
    <t>BOP - Net PP&amp;E</t>
  </si>
  <si>
    <t>+ Capex</t>
  </si>
  <si>
    <t xml:space="preserve">- Depreciation </t>
  </si>
  <si>
    <t>+/- Writeoff/Impairment and Revaluation (Implied)</t>
  </si>
  <si>
    <t>= EOP - Net PP&amp;E</t>
  </si>
  <si>
    <t>Capex as % of Revenue</t>
  </si>
  <si>
    <t>YoY Abs Change</t>
  </si>
  <si>
    <t>Seq Abs Change</t>
  </si>
  <si>
    <t>Intangible Assets</t>
  </si>
  <si>
    <t>BOP - Net Intangible Assets</t>
  </si>
  <si>
    <t>+ Additions</t>
  </si>
  <si>
    <t xml:space="preserve">- Amortization </t>
  </si>
  <si>
    <t>+/- Writeoff/Impairment and Revaluation/Additions (Implied)</t>
  </si>
  <si>
    <t>= EOP - Net Intangible Assets</t>
  </si>
  <si>
    <t>Additions as % of Revenue</t>
  </si>
  <si>
    <t xml:space="preserve">Accounts Receivable - DSO </t>
  </si>
  <si>
    <t>Inventory - DSO</t>
  </si>
  <si>
    <t>Software Development - DSO</t>
  </si>
  <si>
    <t>Intellectual Property Licenses - DSO</t>
  </si>
  <si>
    <t xml:space="preserve">Other Current Assets - % of Revenue </t>
  </si>
  <si>
    <t>Accounts Payable - DPO</t>
  </si>
  <si>
    <t>Deferred Revenue -% of Revenue</t>
  </si>
  <si>
    <t>Accrued Liabilities - % of OPEX</t>
  </si>
  <si>
    <t>Other Non-Current Liabilities - % of OPEX</t>
  </si>
  <si>
    <t>Operating Activities</t>
  </si>
  <si>
    <t>Deferred income tax benefit (expense)</t>
  </si>
  <si>
    <t>Provision for Inventories</t>
  </si>
  <si>
    <t>Depreciation and amortization expense</t>
  </si>
  <si>
    <t>Loss on disposal of property and equipment</t>
  </si>
  <si>
    <t>Amortization of capitalized software development costs and intellectual property licenses</t>
  </si>
  <si>
    <t>Amortization of debt discount and debt financing costs</t>
  </si>
  <si>
    <t>Stock-based compensation expense</t>
  </si>
  <si>
    <t>Excess tax benefits from stock awards</t>
  </si>
  <si>
    <t>Funds from Operations (FFO)</t>
  </si>
  <si>
    <t>Changes in Working Capital</t>
  </si>
  <si>
    <t>Software development and intellectual property licenses</t>
  </si>
  <si>
    <t>Other assets</t>
  </si>
  <si>
    <t>Deferred revenues</t>
  </si>
  <si>
    <t>Accrued expenses and other current liabilities</t>
  </si>
  <si>
    <t>Operating Cash Flow</t>
  </si>
  <si>
    <t>Investing Activities</t>
  </si>
  <si>
    <t>Proceeds from maturities of available-for-sale investments</t>
  </si>
  <si>
    <t>Proceeds from sales of available-for-sale investments</t>
  </si>
  <si>
    <t>Purchases of available-for-sale investments</t>
  </si>
  <si>
    <t>Decrease in restricted cash</t>
  </si>
  <si>
    <t>Investing Cash Flow</t>
  </si>
  <si>
    <t>Financing Activities</t>
  </si>
  <si>
    <t>Proceeds from issuance of common stock to employees</t>
  </si>
  <si>
    <t>Tax payment related to net share settlements on restricted stock rights</t>
  </si>
  <si>
    <t>Dividends paid</t>
  </si>
  <si>
    <t>Proceeds and (payments) for notes payable</t>
  </si>
  <si>
    <t>Proceeds received from shareholder lawsuit settlement</t>
  </si>
  <si>
    <t>Repurchase of common stock</t>
  </si>
  <si>
    <t>Financing Cash Flow</t>
  </si>
  <si>
    <t>Effects of FX</t>
  </si>
  <si>
    <t>Net Increase (Decrease) in Cash &amp; Equivalents</t>
  </si>
  <si>
    <t>+ Cash &amp; Equivalents - BOP</t>
  </si>
  <si>
    <t>= Cash &amp; Equivalents - EOP</t>
  </si>
  <si>
    <t>OK</t>
  </si>
  <si>
    <t>Free Cash Flow</t>
  </si>
  <si>
    <t>Cash from operations</t>
  </si>
  <si>
    <t>- Capex</t>
  </si>
  <si>
    <t>% change Y/Y</t>
  </si>
  <si>
    <t>NM</t>
  </si>
  <si>
    <t>Free cash flow % of EBITDA</t>
  </si>
  <si>
    <t>Free cash flow % of net income</t>
  </si>
  <si>
    <t>Free cash flow % of revenue</t>
  </si>
  <si>
    <t>ModelWare Required Tags</t>
  </si>
  <si>
    <t>Unrecorded goodwill</t>
  </si>
  <si>
    <t>ND</t>
  </si>
  <si>
    <t>End of Period Shares</t>
  </si>
  <si>
    <t>Statutory tax rate</t>
  </si>
  <si>
    <t>Federal tax rate</t>
  </si>
  <si>
    <t>State tax</t>
  </si>
  <si>
    <t>Net Issuance</t>
  </si>
  <si>
    <t>EBITDA adjustment</t>
  </si>
  <si>
    <t>EBITDA Toggle (1/0)</t>
  </si>
  <si>
    <t>Methode KEIs - Please Do Not Remove</t>
  </si>
  <si>
    <t>Bookings</t>
  </si>
  <si>
    <t>Adj. EBITDA Margin</t>
  </si>
  <si>
    <t>Multiples and IRR @ $296/sh</t>
  </si>
  <si>
    <t>MSFT+ATVI</t>
  </si>
  <si>
    <t>FY22e TEV / Sales</t>
  </si>
  <si>
    <t>FY22e P / rFCF</t>
  </si>
  <si>
    <t>FY22e PE</t>
  </si>
  <si>
    <t>FY23e TEV / Sales</t>
  </si>
  <si>
    <t>FY23e P / rFCF</t>
  </si>
  <si>
    <t>FY23e PE</t>
  </si>
  <si>
    <t>Interest and other (MSFT only)</t>
  </si>
  <si>
    <t>SBC - ATVI</t>
  </si>
  <si>
    <t>SBC - MSFT</t>
  </si>
  <si>
    <t>Combined SBC</t>
  </si>
  <si>
    <t>ATVI Interest and Other</t>
  </si>
  <si>
    <t>Combined Realized FCF</t>
  </si>
  <si>
    <t>ATVI Realized FCF</t>
  </si>
  <si>
    <t>MSFT Realized FCF</t>
  </si>
  <si>
    <t>PF Net Debt</t>
  </si>
  <si>
    <t>ATVI Cash Outflow</t>
  </si>
  <si>
    <t>Purchase Price</t>
  </si>
  <si>
    <t>&lt;&lt; FY22e end of year forecast PF for ATVI</t>
  </si>
  <si>
    <t>Cash Paid</t>
  </si>
  <si>
    <t>Net Cash YE FY22e</t>
  </si>
  <si>
    <t>Net Cash Outflow</t>
  </si>
  <si>
    <t>Revenue Build</t>
  </si>
  <si>
    <t>Notes</t>
  </si>
  <si>
    <t>FY14 benefitted from XP end of life, more recent divergence b/w PC unit growth and revenue growth driven by strong Windows 10 deployments (released early in FY16) and higher mix of premium SKUs</t>
  </si>
  <si>
    <t>Y/Y $ change</t>
  </si>
  <si>
    <t>% of total adjusted revenue</t>
  </si>
  <si>
    <t>WW PC Units</t>
  </si>
  <si>
    <t>Increase primarily driven by Nokia acquisition, decline driven by shut down of Phone business</t>
  </si>
  <si>
    <t>LinkedIn acquired on 12/8/2016</t>
  </si>
  <si>
    <t>Office Consumer (non-365)</t>
  </si>
  <si>
    <t>Total Office Consumer</t>
  </si>
  <si>
    <t>Office 365 Consumer subscribers</t>
  </si>
  <si>
    <t>Office Commercial (non-365)</t>
  </si>
  <si>
    <t>Office 365 Commercial</t>
  </si>
  <si>
    <t>Total Office Commercial</t>
  </si>
  <si>
    <t>Commercial Cloud (excl. Office 365)</t>
  </si>
  <si>
    <t>Robust growth primarily driven by Azure (+90% in FY18)</t>
  </si>
  <si>
    <t>Commercial Cloud</t>
  </si>
  <si>
    <t>Note: Commercial Cloud includes Office 365 Commercial, Azure, Dynamics 365, and other cloud properties.</t>
  </si>
  <si>
    <t>Xbox</t>
  </si>
  <si>
    <t>Acceleration driven by Nov. '17 launch of Xbox One X console and the success of a third-party game title; FY16-17 impacted by declines in hardware revenue (last release in FY14)</t>
  </si>
  <si>
    <t>Bing</t>
  </si>
  <si>
    <t>FY16 acceleration was driven by an increase in TAC, ex-TAC growth was +17%</t>
  </si>
  <si>
    <t>Surface</t>
  </si>
  <si>
    <t>Acceleration driven by successful launch of new Surface Pro and Surface Laptop; FY17 impacted by end-of-product life cycle and increased price competition</t>
  </si>
  <si>
    <t>Note: Other includes Windows volume licensing, Windows non-OEM revenue, servers and tools revenue, enterprise services revenue, non-Xbox gaming revenue, and other.</t>
  </si>
  <si>
    <t>Change in accounting</t>
  </si>
  <si>
    <t>Total Adjusted Revenue</t>
  </si>
  <si>
    <t>FX impact</t>
  </si>
  <si>
    <t>(US$ in mm)</t>
  </si>
  <si>
    <t>Gates CEO (until 12/1999)</t>
  </si>
  <si>
    <t>Ballmer CEO (1/2000-2/2014)</t>
  </si>
  <si>
    <t>Nadella CEO</t>
  </si>
  <si>
    <t>CAGR</t>
  </si>
  <si>
    <t>FY90</t>
  </si>
  <si>
    <t>FY91</t>
  </si>
  <si>
    <t>FY92</t>
  </si>
  <si>
    <t>FY93</t>
  </si>
  <si>
    <t>FY94</t>
  </si>
  <si>
    <t>FY95</t>
  </si>
  <si>
    <t>FY96</t>
  </si>
  <si>
    <t>FY97</t>
  </si>
  <si>
    <t>FY98</t>
  </si>
  <si>
    <t>FY99</t>
  </si>
  <si>
    <t>FY00</t>
  </si>
  <si>
    <t>FY01</t>
  </si>
  <si>
    <t>FY02</t>
  </si>
  <si>
    <t>FY03</t>
  </si>
  <si>
    <t>FY04</t>
  </si>
  <si>
    <t>5-Yr</t>
  </si>
  <si>
    <t>10-Yr</t>
  </si>
  <si>
    <t>15-Yr</t>
  </si>
  <si>
    <t>20-Yr</t>
  </si>
  <si>
    <t>25-Yr</t>
  </si>
  <si>
    <t>FY End Date</t>
  </si>
  <si>
    <t>Nadella's 5yrs</t>
  </si>
  <si>
    <t>Restated for Rev Rec Accounting Change</t>
  </si>
  <si>
    <t>Earnings</t>
  </si>
  <si>
    <t>SG&amp;A (incl. D&amp;A)</t>
  </si>
  <si>
    <t>EBT</t>
  </si>
  <si>
    <t>Taxes @ 35% through FY17, 30% in FY18, 21% thereafter</t>
  </si>
  <si>
    <t>NI</t>
  </si>
  <si>
    <t>FCF</t>
  </si>
  <si>
    <t>aQuantive</t>
  </si>
  <si>
    <t>Skype</t>
  </si>
  <si>
    <t>Nokia</t>
  </si>
  <si>
    <t>Share Issuance</t>
  </si>
  <si>
    <t>Share Repurchase</t>
  </si>
  <si>
    <t>Leverage</t>
  </si>
  <si>
    <t>ROE %</t>
  </si>
  <si>
    <t>IC (ND + Equity)</t>
  </si>
  <si>
    <t>ROIC %</t>
  </si>
  <si>
    <t>5-Year Trailing Incremental ROIC %</t>
  </si>
  <si>
    <t>Capitalization / Valuation</t>
  </si>
  <si>
    <t>As of year-end</t>
  </si>
  <si>
    <t>Share Price</t>
  </si>
  <si>
    <t>x Shares O/S</t>
  </si>
  <si>
    <t>Mkt Cap</t>
  </si>
  <si>
    <t>LTM Multiples:</t>
  </si>
  <si>
    <t>P / Recurring FCF</t>
  </si>
  <si>
    <t>P / Realized FCF</t>
  </si>
  <si>
    <t>NTM Multiples:</t>
  </si>
  <si>
    <t>S&amp;P 500 NTM P /E</t>
  </si>
  <si>
    <t>eXp Realty</t>
  </si>
  <si>
    <t>Keller Wiliams</t>
  </si>
  <si>
    <t>Coldwell Banker</t>
  </si>
  <si>
    <t>MSFT Premium / (Discount) %</t>
  </si>
  <si>
    <t>Share Px Performance</t>
  </si>
  <si>
    <t>Dividend Adj. Share Price</t>
  </si>
  <si>
    <t>S&amp;P 500 - Total Return</t>
  </si>
  <si>
    <t>Total Return CAGR:</t>
  </si>
  <si>
    <t>1-Yr Forward</t>
  </si>
  <si>
    <t>3-Yr Forward</t>
  </si>
  <si>
    <t>5-Yr Forward</t>
  </si>
  <si>
    <t>10-Yr Forward</t>
  </si>
  <si>
    <t>Historical Financials Commentary</t>
  </si>
  <si>
    <t>FY18 Results</t>
  </si>
  <si>
    <t>Revenue increased $13.8 billion or 14%, driven by growth across each of our segments. Productivity and Business Processes revenue increased, driven by LinkedIn and higher revenue from Office. Intelligent Cloud revenue increased, primarily due to higher revenue from server products and cloud services. More Personal Computing revenue increased, driven by higher revenue from Gaming, Windows, Search advertising, and Surface, offset in part by lower revenue from Phone.</t>
  </si>
  <si>
    <t>Gross Profit Growth</t>
  </si>
  <si>
    <t>Gross margin increased $9.7 billion or 16%, due to growth across each of our segments. Gross margin percentage increased slightly, driven by favorable segment sales mix and gross margin percentage improvement in More Personal Computing. Gross margin included a 7 percentage point improvement in commercial cloud, primarily from Azure.</t>
  </si>
  <si>
    <t>Operating Income Growth</t>
  </si>
  <si>
    <t>Operating income increased $6.0 billion or 21%, driven by growth across each of our segments. LinkedIn operating loss increased $63 million to $987 million, including $1.5 billion of amortization of intangible assets. Operating income included a favorable foreign currency impact of 2%.</t>
  </si>
  <si>
    <t>COGS</t>
  </si>
  <si>
    <t>Cost of revenue increased $4.1 billion or 12%, mainly due to growth in our commercial cloud, Gaming, LinkedIn, and Search advertising, offset in part by a reduction in Phone cost of revenue.</t>
  </si>
  <si>
    <t>Sales and marketing expenses increased $2.0 billion or 13%, primarily due to LinkedIn expenses and investments in commercial sales capacity, offset in part by a decrease in Windows marketing expenses.</t>
  </si>
  <si>
    <t>Research and development expenses increased $1.7 billion or 13%, primarily due to investments in cloud engineering and LinkedIn expenses.</t>
  </si>
  <si>
    <t>General and administrative expenses increased $273 million or 6%, primarily due to LinkedIn expenses.</t>
  </si>
  <si>
    <t>Revenue increased $6.0 billion or 20%.
-LinkedIn revenue increased $3.0 billion to $5.3 billion. Fiscal year 2018 includes a full period of results, whereas fiscal year 2017 only includes results from the date of acquisition on December 8, 2016. LinkedIn revenue primarily consisted of revenue from Talent Solutions.
-Office Commercial revenue increased $2.4 billion or 11%, driven by Office 365 commercial revenue growth, mainly due to growth in subscribers and average revenue per user, offset in part by lower revenue from products licensed on-premises, reflecting a continued shift to Office 365 commercial.
-Office Consumer revenue increased $382 million or 11%, driven by Office 365 consumer revenue growth, mainly due to growth in subscribers.
-Dynamics revenue increased 13%, driven by Dynamics 365 revenue growth.
Operating income increased $1.5 billion or 13%, including a favorable foreign currency impact of 2%.
-Gross margin increased $4.4 billion or 19%, driven by LinkedIn and growth in Office commercial. Gross margin percentage decreased slightly, due to an increased mix of cloud offerings, offset in part by gross margin percentage improvement in Office 365 commercial and LinkedIn. LinkedIn cost of revenue increased $818 million to $1.7 billion, including $888 million of amortization for acquired intangible assets.
-Operating expenses increased $2.9 billion or 25%, driven by LinkedIn expenses and investments in commercial sales capacity and cloud engineering. LinkedIn operating expenses increased $2.2 billion to $4.5 billion, including $617 million of amortization of acquired intangible assets.</t>
  </si>
  <si>
    <t>Revenue increased $4.8 billion or 18%.
-Server products and cloud services revenue increased $4.5 billion or 21%, driven by Azure and server products licensed on-premises revenue growth. Azure revenue growth of 91%, due to higher infrastructure-as-a-service and platform-as-a-service consumption-based and per user-based services. Server products licensed on-premises revenue increased 5%, mainly due to a higher mix of premium licenses for Windows Server and Microsoft SQL Server.
-Enterprise Services revenue increased $304 million or 5%, driven by higher revenue from Premier Support Services and Microsoft Consulting Services, offset in part by a decline in revenue from custom support agreements.
Operating income increased $2.4 billion or 26%.
-Gross margin increased $3.1 billion or 16%, driven by growth in server products and cloud services revenue and cloud services scale and efficiencies. Gross margin percentage decreased, due to an increased mix of cloud offerings, offset in part by gross margin percentage improvement in Azure.
-Operating expenses increased $683 million or 7%, driven by investments in commercial sales capacity and cloud engineering.</t>
  </si>
  <si>
    <t>Revenue increased $3.0 billion or 8%.
-Windows revenue increased $925 million or 5%, driven by growth in Windows Commercial and Windows OEM, offset by a decline in patent licensing revenue. Windows Commercial revenue increased 12%, driven by multi-year agreement revenue growth. Windows OEM revenue increased 5%. Windows OEM Pro revenue grew 11%, ahead of a strengthening commercial PC market. Windows OEM non-Pro revenue declined 4%, below the consumer PC market, driven by continued pressure in the entry-level price category.
-Gaming revenue increased $1.3 billion or 14%, driven by Xbox software and services revenue growth of 20%, mainly from third-party title strength.
-Search advertising revenue increased $793 million or 13%. Search advertising revenue, excluding traffic acquisition costs, increased 16%, driven by growth in Bing, due to higher revenue per search and search volume.
-Surface revenue increased $625 million or 16%, driven by a higher mix of premium devices and an increase in volumes sold, due to the latest editions of Surface.
-Phone revenue decreased $525 million.
Operating income increased $1.8 billion or 20%, including a favorable foreign currency impact of 2%.
-Gross margin increased $2.2 billion or 11%, driven by growth in Windows, Surface, Search, and Gaming. Gross margin percentage increased, primarily due to gross margin percentage improvement in Surface.
-Operating expenses increased $391 million or 3%, driven by investments in Search, artificial intelligence, and Gaming engineering and commercial sales capacity, offset in part by a decrease in Windows marketing expenses.</t>
  </si>
  <si>
    <t>3Q18 Results</t>
  </si>
  <si>
    <t>Revenue increased $3.6 billion or 16%, driven by growth across each of our segments. Productivity and Business Processes revenue increased, driven by higher revenue from Office and LinkedIn. Intelligent Cloud revenue increased, primarily due to higher revenue from server products and cloud services. More Personal Computing revenue increased, driven by higher revenue from Windows, Gaming, Surface, and Search advertising. Revenue included a favorable foreign currency impact of 3%.</t>
  </si>
  <si>
    <t>Gross margin increased $2.4 billion or 16%, due to growth across each of our segments. Gross margin included a favorable foreign currency impact of 3%. Gross margin percentage increased slightly, driven by gross margin percentage improvement in Productivity and Business Processes and favorable segment sales mix, offset in part by gross margin percentage decline in Intelligent Cloud. Gross margin included a 6-percentage point improvement in commercial cloud gross margin percentage, primarily across Azure and Office 365, offset in part by increased Azure sales mix.</t>
  </si>
  <si>
    <t>Operating income increased $1.6 billion or 23%, driven by growth across each of our segments. Operating income included a favorable foreign currency impact of 3%.</t>
  </si>
  <si>
    <t>Cost of revenue increased $1.2 billion or 15%, mainly due to growth in our commercial cloud and Gaming.</t>
  </si>
  <si>
    <t>Sales and marketing expenses increased $463 million or 12%, primarily due to investments in commercial sales capacity and LinkedIn. Sales and marketing included an unfavorable foreign currency impact of 3%.</t>
  </si>
  <si>
    <t>Research and development expenses increased $360 million or 11%, primarily due to investments in cloud engineering and LinkedIn.</t>
  </si>
  <si>
    <t>n/a</t>
  </si>
  <si>
    <t>Revenue increased $1.3 billion or 17%, including a favorable foreign currency impact of 3%.
-Office Commercial revenue increased $754 million or 14%, driven by Office 365 commercial revenue growth, mainly due to growth in subscribers, offset in part by lower revenue from products licensed on-premises, reflecting a continued shift to Office 365 commercial.
-Office Consumer revenue increased $108 million or 12%, driven by Office 365 consumer revenue growth, mainly due to growth in subscribers.
-LinkedIn revenue increased $359 million or 37%, driven by strong momentum across all businesses.
-Dynamics revenue increased 17%, driven by Dynamics 365 revenue growth.
Operating income increased $575 million or 23%, including a favorable foreign currency impact of 4%.
-Gross margin increased $1.0 billion or 18%, driven by growth in Office and LinkedIn. Gross margin percentage increased slightly, primarily due to gross margin percentage improvement in Office 365 commercial and LinkedIn, offset in part by an increased mix of cloud offerings. Gross margin included a favorable foreign currency impact of 3%.
-Operating expenses increased $468 million or 14%, driven by investments in LinkedIn, commercial sales capacity, and cloud engineering. Operating expenses included an unfavorable foreign currency impact of 2%.</t>
  </si>
  <si>
    <t>Revenue increased $1.2 billion or 17%, including a favorable foreign currency impact of 2%.
-Server products and cloud services revenue increased $1.0 billion or 20%, driven by Azure revenue growth of 93% and server products licensed on-premises revenue growth of 3%.
-Enterprise Services revenue increased $106 million or 8%, driven by higher revenue from Premier Support Services and Microsoft Consulting Services, offset in part by a decline in revenue from custom support agreements.
Operating income increased $506 million or 24%, including a favorable foreign currency impact of 3%.
-Gross margin increased $739 million or 16%, driven by growth in server products and cloud services revenue and cloud services scale and efficiencies. Gross margin percentage decreased, primarily due to an increased mix of cloud offerings, offset in part by gross margin percentage improvement in Azure. Gross margin included a favorable foreign currency impact of 2%.
-Operating expenses increased $233 million or 9%, driven by investments in commercial sales capacity and cloud engineering. Operating expenses included an unfavorable foreign currency impact of 2%.</t>
  </si>
  <si>
    <t>Revenue increased $1.1 billion or 13%.
-Windows revenue increased $359 million or 8%, driven by Windows Commercial and Windows OEM revenue growth. Windows Commercial revenue increased 21%, driven by an increased volume of multi-year agreements and the mix of products that carry higher in-quarter revenue recognition. Windows OEM revenue increased 4%. Windows OEM Pro revenue grew 11%, in line with a strengthening commercial PC market. Windows OEM non-Pro revenue declined 8%, below the consumer PC market, driven by a higher mix of lower priced licenses and continued pressure in the entry-level price category.
-Gaming revenue increased $345 million or 18%, driven by Xbox software and services revenue growth of 24%, mainly from third-party title strength.
-Surface revenue increased $263 million or 32% against a prior year comparable impacted by product end-of-life-cycle dynamics.
-Search advertising revenue increased $185 million or 12%. Search advertising revenue, excluding traffic acquisition costs, increased 16%, driven by growth in Bing, primarily due to higher revenue per search and search volume.
Operating income increased $488 million or 24%, including a favorable foreign currency impact of 4%.
-Gross margin increased $616 million or 13%, driven by growth in Windows and Surface. Gross margin percentage was relatively unchanged. Gross margin included a favorable foreign currency impact of 2%.
-Operating expenses increased $128 million or 5%, driven by investments in Gaming, Search advertising, and AI engineering.</t>
  </si>
  <si>
    <t>2Q18 Results</t>
  </si>
  <si>
    <t>Revenue increased $3.1 billion or 12%, driven by growth across each of our segments. Productivity and Business Processes revenue increased, driven by LinkedIn and higher revenue from Office. Intelligent Cloud revenue increased, primarily due to higher revenue from server products and cloud services. More Personal Computing revenue increased, driven by higher revenue from Gaming and Search advertising, offset in part by lower revenue from phones.</t>
  </si>
  <si>
    <t>Gross margin increased $1.9 billion or 12%, primarily due to growth in Productivity and Business Processes, including LinkedIn, and Intelligent Cloud. Gross margin percentage was relatively unchanged, with favorable segment sales mix, offset by margin percentage declines in More Personal Computing and Intelligent Cloud. Gross margin percentage included a 7-point improvement in commercial cloud gross margin, primarily across Azure and Office 365.</t>
  </si>
  <si>
    <t>Operating income increased $774 million or 10%, primarily due to higher gross margin, offset in part by an increase in operating expenses.</t>
  </si>
  <si>
    <t>Cost of revenue increased $1.2 billion or 12%, mainly due to growth in our commercial cloud, Gaming, and LinkedIn.</t>
  </si>
  <si>
    <t>Sales and marketing expenses increased $483 million or 12%, primarily due to LinkedIn expenses and investments in commercial sales capacity, offset in part by a decrease in Windows marketing expenses.</t>
  </si>
  <si>
    <t>Research and development expenses increased $442 million or 14%, primarily due to LinkedIn expenses and investments in cloud engineering.</t>
  </si>
  <si>
    <t>General and administrative expenses increased $230 million or 26%, primarily due to the LinkedIn expenses and benefit of a legal settlement in the prior year.</t>
  </si>
  <si>
    <t>Revenue increased $1.8 billion or 25%, primarily due to LinkedIn and higher revenue from Office.
-LinkedIn revenue increased $1.1 billion to $1.3 billion. LinkedIn revenue primarily consisted of revenue from Talent Solutions.
-Office Commercial revenue increased $552 million or 10%, driven by Office 365 commercial revenue growth, mainly due to growth in subscribers, offset in part by lower revenue from products licensed on-premises, reflecting a continued shift to Office 365 commercial.
-Office Consumer revenue increased $103 million or 12%, driven by Office 365 consumer revenue growth, mainly due to growth in subscribers.
-Dynamics revenue increased 10%, driven by Dynamics 365 revenue growth.
Operating income increased $284 million or 9%, primarily due to higher gross margin, offset in part by higher operating expenses.
-Gross margin increased $1.3 billion or 24%, driven by LinkedIn and growth in Office. Gross margin percentage decreased, primarily due to an increased mix of cloud offerings and LinkedIn, offset in part by gross margin percentage improvement in Office 365 commercial. LinkedIn cost of revenue increased $313 million to $432 million, including $222 million of amortization of acquired intangible assets.
-Operating expenses increased $1.0 billion or 41%, driven by LinkedIn expenses, investments in commercial sales capacity and cloud engineering, and the benefit of a legal settlement in the prior year. LinkedIn operating expenses increased $840 million to $1.1 billion, including $154 million of amortization of acquired intangible assets.</t>
  </si>
  <si>
    <t>Revenue increased $1.0 billion or 15%, primarily due to higher revenue from server products and cloud services.
-Server products and cloud services revenue increased $967 million or 18%, driven by Azure revenue growth of 98% and server products licensed on-premises revenue growth of 4%.
-Enterprise Services revenue increased $64 million or 5%, driven by higher revenue from Premier Support Services and Microsoft Consulting Services, offset in part by a decline in revenue from custom support agreements.
Operating income increased $541 million or 24%, primarily due to higher gross margin, offset in part by higher operating expenses.
-Gross margin increased $625 million or 13%, driven by growth in server products and cloud services revenue and cloud services scale and efficiencies. Gross margin percentage decreased, primarily due to an increased mix of cloud offerings, offset in part by gross margin percentage improvement in Azure.
-Operating expenses increased $84 million or 3%, driven by the benefit of a legal settlement in the prior year and investments in cloud engineering and commercial sales capacity.</t>
  </si>
  <si>
    <t>Revenue increased $281 million or 2%, primarily due to higher revenue from Gaming and Search advertising, offset in part by lower revenue from phones.
-Windows revenue increased 1%, driven by Windows OEM revenue growth, offset in part by a decline in Windows Commercial revenue. Windows OEM revenue increased 4%. Windows OEM Pro revenue grew 11%, outperforming the commercial PC market, primarily due to a higher mix of premium licenses sold and timing of license purchases. Windows OEM non-Pro revenue declined 5%, below the consumer PC market, primarily due to lower volumes of entry-level price devices sold. Windows Commercial revenue decreased 4%, primarily due to the impact of a prior year large deal.
-Gaming revenue increased $303 million or 8%, driven by higher revenue from Xbox hardware and Xbox software and services. Xbox hardware revenue increased 14%, primarily due to the launch of Xbox One X. Xbox software and services revenue increased 4%, primarily due to Xbox Live revenue growth, offset in part by a decrease in revenue from the prior year launch of video games.
-Search advertising revenue increased $215 million or 13%. Search advertising revenue, excluding traffic acquisition costs, increased 15%, driven by growth in Bing, primarily due to higher revenue per search and search volume.
-Surface revenue increased 1%, driven by a higher mix of premium devices sold, offset in part by a decrease in volume of devices sold.
-Phone revenue decreased $204 million.
Operating income decreased $51 million or 2%, primarily due to an increase in operating expenses.
-Gross margin was relatively unchanged, driven by a decline in Gaming, offset by an increase in Search advertising and Surface. Gross margin percentage decreased, primarily due to a gross margin percentage decline in Gaming.
-Operating expenses increased $49 million or 2%, driven by investments in engineering and the benefit of a legal settlement in the prior year, offset in part by a decrease in Windows marketing and phone expenses.</t>
  </si>
  <si>
    <t>1Q18 Results</t>
  </si>
  <si>
    <t>Cost of revenue increased $2.8 billion or 11%, mainly due to growth in our commercial cloud, LinkedIn, Gaming, and Search advertising, offset in part by a reduction in Phone cost of revenue.</t>
  </si>
  <si>
    <t>Sales and marketing expenses increased $1.5 billion or 14%, primarily due to LinkedIn expenses and investments in commercial sales capacity, offset in part by a decrease in Windows marketing expenses. Sales and marketing included an unfavorable foreign currency impact of 2%.</t>
  </si>
  <si>
    <t>Research and development expenses increased $1.3 billion or 13%, primarily due to LinkedIn expenses and investments in cloud engineering.</t>
  </si>
  <si>
    <t>General and administrative expenses increased $357 million or 11%, primarily due to LinkedIn expenses and the benefit of a legal settlement in the prior year.</t>
  </si>
  <si>
    <t>FY17 Results (Restated)</t>
  </si>
  <si>
    <t>Revenue increased $5.4 billion or 6%, driven by growth in Productivity and Business Processes and Intelligent Cloud, offset in part by lower revenue from More Personal Computing. Productivity and Business Processes revenue increased, driven by the acquisition of LinkedIn and higher revenue from Microsoft Office. Intelligent Cloud revenue increased, primarily due to higher revenue from server products and cloud services. More Personal Computing revenue decreased, mainly due to lower revenue from Devices, offset in part by higher revenue from Windows and Search advertising.</t>
  </si>
  <si>
    <t>Gross margin increased $3.9 billion or 7%, due to growth across each of our segments, including the acquisition of LinkedIn, driven by higher revenue. Gross margin percentage increased slightly due to a margin percent increase in More Personal Computing and segment sales mix, offset in part by margin percent declines in Productivity and Business Processes and Intelligent Cloud. Gross margin percentage includes a 5 percentage point improvement in commercial cloud gross margin primarily across Azure and Office 365.</t>
  </si>
  <si>
    <t>Operating income increased $2.9 billion or 11%, primarily due to higher gross margin and lower impairment and restructuring expenses, offset in part by an increase in research and development and sales and marketing expenses. Operating income included an operating loss of $924 million related to the acquisition of LinkedIn, including $866 million of amortization of intangible assets. Operating income also included an unfavorable foreign currency impact of 3%.</t>
  </si>
  <si>
    <t>Cost of revenue increased $1.5 billion or 5%, mainly due to growth in our commercial cloud, the acquisition of LinkedIn, and higher Search advertising traffic acquisition costs, offset in part by a reduction in Phone sales and Gaming cost of revenue.</t>
  </si>
  <si>
    <t>Sales and marketing expenses increased $826 million or 6%, primarily due to LinkedIn expenses and increased investments in sales capacity for our commercial cloud, offset in part by a reduction in Phone and marketing expenses.</t>
  </si>
  <si>
    <t>Research and development expenses increased $1.0 billion or 9%, primarily due to LinkedIn expenses and increased investments in cloud engineering, offset in part by a reduction in Phone expenses.</t>
  </si>
  <si>
    <t>Revenue increased $4.1 billion or 16%.
-LinkedIn revenue was $2.3 billion, primarily comprised of revenue from Talent Solutions.
-Office Commercial revenue increased $1.4 billion or 7%, driven by higher revenue from Office 365 commercial, mainly due to growth in subscribers, offset in part by lower revenue from products licensed on-premises, reflecting a continued shift to Office 365 commercial.
-Office Consumer revenue increased $351 million or 11%, driven by higher revenue from Office 365 consumer, mainly due to growth in subscribers.
-Dynamics revenue increased 5%, primarily due to higher revenue from Dynamics 365.
Operating income decreased $367 million or 3%, including an unfavorable foreign currency impact of 2%.
-Operating expenses increased $2.3 billion or 26%, mainly due to LinkedIn and cloud engineering expenses. Operating expenses included $2.3 billion related to our acquisition of LinkedIn, including $359 million of amortization of acquired intangible assets. Sales and marketing expenses increased $1.2 billion or 24%, research and development expenses increased $955 million or 35%, and general and administrative expenses increased $212 million or 14%.
-Gross margin increased $2.0 billion or 9%, primarily due to our acquisition of LinkedIn. Gross margin percentage decreased, due to an increased mix of cloud offerings and amortization of acquired intangible assets related to LinkedIn. Cost of revenue included $918 million related to our acquisition of LinkedIn, including $507 million of amortization of acquired intangible assets.</t>
  </si>
  <si>
    <t>Revenue increased $2.5 billion or 10%.
-Server products and cloud services revenue grew $2.6 billion or 14%, driven by Azure revenue growth of 98% and server products licensed on-premises revenue growth of 5%.
-Enterprise Services revenue decreased 2%, driven by a decline in revenue from custom support agreements, offset in part by higher revenue from Premier Support Services and Microsoft Consulting Services.
Operating income decreased $122 million or 1%, including an unfavorable foreign currency impact of 2%.
-Operating expenses increased $975 million or 11%, driven by investments in sales capacity, cloud engineering, and developer engagement. Sales and marketing expenses increased $549 million or 13%, research and development expenses increased $468 million or 14%, and general and administrative expenses decreased $42 million or 3%.
-Gross margin increased $853 million or 5%, driven by growth in server products and cloud services revenue and cloud services scale and efficiencies, offset in part by a decline in Enterprise Services gross margin. Gross margin percentage decreased, due to an increased mix of cloud offerings and lower Enterprise Services gross margin percent, offset by improvement in Azure gross margin percent.</t>
  </si>
  <si>
    <t>Revenue decreased $1.1 billion or 3%.
-Windows revenue increased $1.0 billion or 6%, mainly due to higher revenue from Windows Commercial and Windows OEM. Windows Commercial revenue grew 14%, driven by multi-year agreement revenue. Windows OEM revenue increased 3%. Windows OEM Pro revenue grew 4%, outperforming the commercial PC market, primarily due to a higher mix of premium licenses sold. Windows OEM non-Pro revenue grew 3%, outperforming the consumer PC market, primarily due to a higher mix of premium devices sold.
-Search advertising revenue increased $791 million or 15%. Search advertising revenue, excluding traffic acquisition costs, increased 9%, primarily driven by growth in Bing, due to higher revenue per search and search volume.
-Gaming revenue decreased slightly, primarily due to lower Xbox hardware revenue, offset in part by higher revenue from Xbox software and services. Xbox hardware revenue decreased 21%, mainly due to lower prices of consoles sold and a decline in volume of consoles sold. Xbox software and services revenue increased 11%, driven by a higher volume of Xbox Live transactions and revenue per transaction.
-Surface revenue decreased $82 million or 2%, primarily due to a reduction in volumes sold, offset in part by a higher mix of premium devices.
-Phone revenue decreased $2.8 billion.
Operating income increased $2.6 billion or 43%, including an unfavorable foreign currency impact of 3%.
-Operating expenses decreased $1.5 billion or 12%, driven by a reduction in Phone expenses and Surface launch-related expenses in the prior year. Sales and marketing expenses decreased $893 million or 16%, research and development expenses decreased $374 million or 6%, and general and administrative expenses decreased $252 million or 16%.
-Gross margin increased $1.1 billion or 6%, driven by growth in Windows, Search advertising, and Gaming, offset in part by a decline in Phone and Surface. Gross margin percentage increased, due to favorable sales mix and gross margin percent improvements across Windows, Gaming, and Search advertising, offset by a gross margin percent decline in Devices.</t>
  </si>
  <si>
    <t>FY17 Results</t>
  </si>
  <si>
    <t>Revenue increased $4.6 billion or 5%, driven by growth in Productivity and Business Processes and Intelligent Cloud, offset in part by lower revenue from More Personal Computing. Productivity and Business Processes revenue increased, driven by the acquisition of LinkedIn and higher revenue from Microsoft Office. Intelligent Cloud revenue increased, primarily due to higher revenue from server products and cloud services. More Personal Computing revenue decreased, mainly due to lower revenue from Devices, offset in part by higher revenue from Windows and Search advertising. Revenue included an unfavorable foreign currency impact of 2%.</t>
  </si>
  <si>
    <t>Gross margin increased $3.1 billion or 6%, due to growth across each of our segments, including the acquisition of LinkedIn, driven by higher revenue. Gross margin included an unfavorable foreign currency impact of 2%. Gross margin percentage increased slightly due to a margin percent increase in More Personal Computing and segment sales mix, offset in part by margin percent declines in Productivity and Business Processes and Intelligent Cloud. Gross margin percentage includes a 5-point improvement in commercial cloud gross margin primarily across Azure and Office 365.</t>
  </si>
  <si>
    <t>Operating income increased $2.1 billion or 11%, primarily due to higher gross margin and lower impairment, integration, and restructuring expenses, offset in part by an increase in research and development and sales and marketing expenses. Operating income included an operating loss of $948 million related to the acquisition of LinkedIn, including $866 million of amortization of intangible assets. Operating income also included an unfavorable foreign currency impact of 4%.</t>
  </si>
  <si>
    <t>Cost of revenue increased $1.5 billion or 5%, mainly due to growth in our commercial cloud, the acquisition of LinkedIn, and higher Search advertising traffic acquisition costs, offset in part by a reduction in phone sales and Gaming cost of revenue.</t>
  </si>
  <si>
    <t>Sales and marketing expenses increased $842 million or 6%, primarily due to LinkedIn expenses and increased investments in sales capacity for our commercial cloud, offset in part by a reduction in phone and marketing expenses.</t>
  </si>
  <si>
    <t>Research and development expenses increased $1.0 billion or 9%, primarily due to LinkedIn expenses and increased investments in cloud engineering, offset in part by a reduction in phone expenses.</t>
  </si>
  <si>
    <t>Revenue increased $4.0 billion or 15%, driven by the acquisition of LinkedIn and higher revenue from Office.
-LinkedIn revenue was $2.3 billion, primarily comprised of revenue from Talent Solutions.
-Office Commercial revenue increased $1.2 billion or 6%, driven by higher revenue from Office 365 commercial, mainly due to growth in subscribers, offset in part by lower revenue from products licensed on-premises, reflecting a continued shift to Office 365 commercial.
-Office Consumer revenue increased $425 million or 14%, driven by higher revenue from Office 365 consumer, mainly due to growth in subscribers.
-Dynamics revenue increased 9%, primarily due to higher revenue from Dynamics 365.
Operating income decreased $505 million or 4%, primarily due to higher operating expenses, offset in part by higher gross margin. Operating income included an unfavorable foreign currency impact of 3%.
-Operating expenses increased $2.4 billion or 26%, mainly due to LinkedIn and cloud engineering expenses. Operating expenses included $2.3 billion related to our acquisition of LinkedIn, including $359 million of amortization of acquired intangible assets. Sales and marketing expenses increased $1.2 billion or 24%, research and development expenses increased $955 million or 35%, and general and administrative expenses increased $212 million or 14%.
-Gross margin increased $1.8 billion or 9%, primarily due to our acquisition of LinkedIn. Gross margin percentage decreased due to an increased mix of cloud offerings and amortization of acquired intangible assets related to LinkedIn. Cost of revenue included $918 million related to our acquisition of LinkedIn, including $507 million of amortization of acquired intangible assets.</t>
  </si>
  <si>
    <t>Revenue increased $2.4 billion or 10%, primarily due to higher revenue from server products and cloud services.
-Server products and cloud services revenue grew $2.5 billion or 13%, driven by Azure revenue growth of 99% and server products licensed on-premises revenue growth of 4%.
-Enterprise Services revenue decreased 2%, driven by a decline in revenue from custom support agreements, offset in part by higher revenue from Premier Support Services and Microsoft Consulting Services.
Operating income decreased $177 million or 2%, primarily due to higher operating expenses, offset in part by higher gross margin. Operating income included an unfavorable foreign currency impact of 3%.
-Operating expenses increased $973 million or 11%, driven by investments in sales capacity, cloud engineering, and developer engagement. Sales and marketing expenses increased $547 million or 13%, research and development expenses increased $468 million or 14%, and general and administrative expenses decreased $42 million or 3%.
-Gross margin increased $796 million or 4%, driven by growth in server products and cloud services revenue and cloud services scale and efficiencies, offset in part by a decline in Enterprise Services gross margin. Gross margin included an unfavorable foreign currency impact of 2%. Gross margin percentage decreased due to an increased mix of cloud offerings and lower Enterprise Services gross margin percent, offset by improvement in Azure gross margin percent.</t>
  </si>
  <si>
    <t>Revenue decreased $1.7 billion or 4%, mainly due to lower revenue from Devices, offset in part by higher revenue from Windows and Search advertising.
-Windows revenue increased $442 million or 3%, mainly due to higher revenue from Windows OEM and Windows Commercial. Windows OEM revenue increased 3%. Windows OEM Pro revenue grew 5%, outperforming the commercial PC market, primarily due to a higher mix of premium licenses sold. Windows OEM non-Pro revenue grew 1%, outperforming the consumer PC market, primarily due to a higher mix of premium devices sold. Windows Commercial revenue grew 5%, driven by multi-year agreement revenue.
-Search advertising revenue increased $791 million or 15%. Search advertising revenue, excluding traffic acquisition costs, increased 9%, primarily driven by growth in Bing, due to higher revenue per search and search volume.
-Gaming revenue decreased slightly, primarily due to lower Xbox hardware revenue, offset in part by higher revenue from Xbox software and services. Xbox hardware revenue decreased 21%, mainly due to lower prices of consoles sold and a decline in volume of consoles sold. Xbox software and services revenue increased 11%, driven by a higher volume of Xbox Live transactions and revenue per transaction.
-Surface revenue decreased $82 million or 2%, primarily due to a reduction in volumes sold, offset in part by a higher mix of premium devices.
-Phone revenue decreased $2.8 billion.
Operating income increased $2.1 billion or 34%, due to lower operating expenses and higher gross margin. Operating income included an unfavorable foreign currency impact of 4%.
-Operating expenses decreased $1.5 billion or 12%, driven by a reduction in phone expenses and Surface launch-related expenses in the prior year. Sales and marketing expenses decreased $892 million or 16%, research and development expenses decreased $374 million or 6%, and general and administrative expenses decreased $252 million or 16%.
-Gross margin increased $568 million or 3%, driven by growth in Windows, Search advertising, and Gaming, offset in part by a decline in Phone and Surface. Gross margin percentage increased due to favorable sales mix and gross margin percent improvements across Gaming, Windows, and Search advertising, offset by a gross margin percent decline in Devices. Gross margin included an unfavorable foreign currency impact of 2%.</t>
  </si>
  <si>
    <t>Corporate and Other revenue is comprised of revenue deferrals related to Windows 10. Corporate and Other operating income (loss) is comprised of revenue deferrals related to Windows 10 and corporate-level activity not specifically allocated to a segment, including impairment, integration, and restructuring expenses.
Revenue decreased $64 million, due to an increase in the net revenue deferral from Windows 10. During fiscal year 2017 and 2016, we deferred net revenue from Windows 10 of $6.7 billion and $6.6 billion, respectively.
Corporate and Other operating loss decreased $740 million, primarily due to an $804 million reduction in impairment, integration, and restructuring expenses, driven by prior year goodwill and asset impairment charges and restructuring charges related to our phone business, offset in part by current year employee severance expenses primarily related to our sales and marketing restructuring plan.</t>
  </si>
  <si>
    <t>3Q17 Results</t>
  </si>
  <si>
    <t>Revenue increased $1.6 billion or 8%, driven by growth in Productivity and Business Processes and Intelligent Cloud, offset in part by lower revenue from More Personal Computing. Productivity and Business Processes revenue increased, driven by the acquisition of LinkedIn and higher revenue from Office 365. Intelligent Cloud revenue increased, primarily due to higher revenue from server products and cloud services. More Personal Computing revenue decreased, mainly due to lower revenue from Devices, offset in part by higher revenue from Windows, Search advertising, and Gaming.</t>
  </si>
  <si>
    <t>Gross margin increased $1.2 billion or 10%, driven by higher revenue, offset in part by higher cost of revenue.</t>
  </si>
  <si>
    <t xml:space="preserve">Operating income increased $311 million or 6%, primarily due to higher gross margin, offset in part by an increase in operating expenses. Operating income included an unfavorable foreign currency impact of 3%. </t>
  </si>
  <si>
    <t>Cost of revenue increased $338 million or 4%, mainly due to growth in our commercial cloud and the acquisition of LinkedIn, offset in part by a reduction in phone sales.</t>
  </si>
  <si>
    <t>Sales and marketing expenses increased $473 million or 14%, primarily due to LinkedIn expenses and increased investments in sales capacity for our commercial cloud, offset in part by a reduction in phone expenses.</t>
  </si>
  <si>
    <t>Research and development expenses increased $375 million or 13%, primarily due to LinkedIn expenses and increased investments in cloud engineering, offset in part by a reduction in phone expenses.</t>
  </si>
  <si>
    <t>General and administrative expenses increased $62 million or 5%, primarily due to LinkedIn expenses.</t>
  </si>
  <si>
    <t>Revenue increased $1.4 billion or 22%, driven by the acquisition of LinkedIn and higher revenue from Office 365.
-LinkedIn revenue was $975 million, primarily comprised of revenue from Talent Solutions.
-Office Commercial revenue increased $347 million or 7%, driven by higher revenue from Office 365 commercial, mainly due to growth in subscribers, offset in part by lower revenue from products licensed on-premises, reflecting a continued shift to Office 365 commercial.
-Office Consumer revenue increased $112 million or 15%, driven by higher revenue from Office 365 consumer, mainly due to growth in subscribers.
-Dynamics revenue increased 10%, due to higher revenue from Dynamics 365.
Operating income decreased $198 million or 7%, primarily due to higher operating expenses, offset in part by an increase in gross margin. Operating income included an unfavorable foreign currency impact of 3%.
-Operating expenses increased $993 million or 44%, mainly due to LinkedIn expenses. Operating expenses included $965 million related to our acquisition of LinkedIn, including $153 million of amortization of acquired intangible assets. Sales and marketing expenses increased $522 million or 44%, research and development expenses increased $363 million or 53%, and general and administrative expenses increased $108 million or 28%.
-Gross margin increased $795 million or 15%, driven by higher revenue, offset in part by higher cost of revenue. Gross margin included an unfavorable foreign currency impact of 2%. Cost of revenue increased $642 million or 50%, driven by our acquisition of LinkedIn and an increased mix of cloud offerings. Cost of revenue included $396 million related to our acquisition of LinkedIn, including $218 million of amortization of acquired intangible assets.</t>
  </si>
  <si>
    <t>Revenue increased $667 million or 11%, primarily due to higher revenue from server products and cloud services.
-Server products and cloud services revenue grew $680 million or 15%, driven by Azure revenue growth of 93% and server products licensed on-premises revenue growth of 6%.
-Enterprise Services revenue decreased slightly, driven by a decline in revenue from custom support agreements, offset in part by higher revenue from Premier Support Services and Microsoft Consulting Services.
Operating income increased slightly, primarily due to higher gross margin, offset by higher operating expenses. Operating income included an unfavorable foreign currency impact of 3%.
-Gross margin increased $246 million or 6%, driven by higher revenue, offset in part by higher cost of revenue. Cost of revenue increased $421 million or 25%, driven by investments to increase capacity and meet demand for the capabilities of our cloud offerings.
-Operating expenses increased $241 million or 11%, driven by investments in sales capacity, cloud engineering, and developer engagement. Sales and marketing expenses increased $139 million or 13% and research and development expenses increased $98 million or 12%.</t>
  </si>
  <si>
    <t>Revenue decreased $703 million or 7%, mainly due to lower revenue from Devices, offset in part by higher revenue from Windows, Search advertising, and Gaming.
-Surface revenue decreased $285 million or 26%, primarily due to a reduction in volumes sold.
-Windows revenue increased $177 million or 4%, mainly due to higher revenue from Windows OEM and Windows Commercial, offset in part by lower revenue from patent licensing. Windows OEM revenue increased 5%. Windows OEM Pro revenue grew 10%, outperforming the commercial PC market, primarily due to a higher mix of premium licenses sold. Windows OEM non-Pro revenue declined 1%, outperforming the consumer PC market due to a higher mix of premium devices sold. Windows Commercial revenue grew 6%, driven by multi-year agreement revenue. Patent licensing revenue decreased 19%, mainly due to a decline in license revenue per unit.
-Search advertising revenue increased $81 million or 5%. Search advertising revenue, excluding traffic acquisition costs, increased 8%, primarily driven by growth in Bing, due to higher revenue per search and search volume.
-Gaming revenue increased $78 million or 4%, primarily due to higher revenue from Xbox software and services. Xbox software and services revenue increased 7%, driven by a higher volume of Xbox Live transactions.
-Phone revenue decreased $730 million.
Operating income increased $346 million or 20%, due to lower operating expenses and slightly higher gross margin. Operating income included an unfavorable foreign currency impact of 3%.
-Operating expenses decreased $324 million or 11%, primarily due to a reduction in phone expenses and Surface launch-related expenses in the prior year. Sales and marketing expenses decreased $188 million or 16%, research and development expenses decreased $86 million or 6%, and general and administrative expenses decreased $50 million or 13%.
-Gross margin increased slightly, driven by lower cost of revenue, offset in part by lower revenue. Gross margin included an unfavorable foreign currency impact of 2%. Cost of revenue decreased $725 million or 15%, driven by a reduction in phone sales and lower Surface cost of revenue, offset in part by an increase in Xbox software and services cost of revenue.</t>
  </si>
  <si>
    <t>2Q17 Results</t>
  </si>
  <si>
    <t>Revenue increased $294 million or 1%, driven by growth in Productivity and Business Processes and Intelligent Cloud, offset in part by lower revenue from More Personal Computing and an increase in the net revenue deferral from Windows 10. Windows 10 revenue is primarily recognized at the time of billing in the More Personal Computing segment, and the deferral and subsequent recognition of revenue is reflected in Corporate and Other. Productivity and Business Processes revenue increased, driven by higher revenue from Office 365 and the acquisition of LinkedIn. Intelligent Cloud revenue increased, primarily due to higher revenue from server products and cloud services. More Personal Computing revenue decreased, mainly due to lower revenue from Devices and Gaming, offset in part by higher revenue from Windows and Search advertising. Revenue included an unfavorable foreign currency impact of 2%.</t>
  </si>
  <si>
    <t>Gross margin increased $265 million or 2%, driven by higher revenue. Gross margin included an unfavorable foreign currency impact of 2%.</t>
  </si>
  <si>
    <t xml:space="preserve">Operating income increased $151 million or 3%, primarily due to higher gross margin, offset in part by an increase in operating expenses. Operating income included an unfavorable foreign currency impact of 4%. </t>
  </si>
  <si>
    <t>Cost of revenue increased slightly, mainly due to growth in our commercial cloud, the acquisition of LinkedIn, and higher Search advertising traffic acquisition costs, offset in part by a reduction in phone sales.</t>
  </si>
  <si>
    <t>Sales and marketing expenses increased $111 million or 3%, primarily due to LinkedIn expenses and increased investments to drive sales capacity in our commercial cloud, offset in part by a reduction in phone expenses.</t>
  </si>
  <si>
    <t>Research and development expenses increased $162 million or 6%, primarily due to increased strategic investments to drive cloud engineering and LinkedIn expenses, offset in part by a reduction in phone expenses.</t>
  </si>
  <si>
    <t>General and administrative expenses decreased $159 million or 15%, primarily due to the benefit of a legal settlement in the current year, lower employee-related expenses, and a reduction in phone expenses, offset in part by LinkedIn expenses.</t>
  </si>
  <si>
    <t>Revenue increased $692 million or 10%, primarily due to higher revenue from Office 365 and the acquisition of LinkedIn. Revenue included an unfavorable foreign currency impact of 2%.
-Office Commercial revenue increased $289 million or 5%, driven by higher revenue from Office 365 commercial, mainly due to growth in subscribers, offset in part by lower revenue from products licensed on-premises, reflecting a continued shift to Office 365 commercial. Revenue included an unfavorable foreign currency impact of 2%.
-LinkedIn revenue was $228 million, primarily comprised of revenue from Talent Solutions and Marketing Solutions.
-Office Consumer revenue increased $156 million or 22%, driven by higher revenue from Office 365 consumer, mainly due to growth in subscribers.
-Dynamics revenue increased 7%, due to higher revenue from Dynamics 365.
Operating income decreased slightly, primarily due to higher operating expenses, offset in part by an increase in gross margin. Operating income included an unfavorable foreign currency impact of 2%. Operating expenses increased $288 million or 13%, mainly due to LinkedIn expenses and investments in cloud engineering. Operating expenses included $310 million related to our acquisition of LinkedIn, including $52 million of amortization of acquired intangible assets. Sales and marketing expenses increased $165 million or 13%, and research and development expenses increased $129 million or 20%. Gross margin increased $252 million or 5%, driven by higher revenue, offset in part by higher cost of revenue. Cost of revenue increased $440 million or 37%, driven by an increased mix of cloud offerings and our acquisition of LinkedIn. Cost of revenue included $119 million related to our acquisition of LinkedIn, including $72 million of amortization of acquired intangible assets.</t>
  </si>
  <si>
    <t>Revenue increased $518 million or 8%, primarily due to higher revenue from server products and cloud services. Revenue included an unfavorable foreign currency impact of 2%.
-Server products and cloud services revenue grew $577 million or 12%, driven by Azure revenue growth of 93%, and 5% growth in revenue from our server products licensed on-premises. Revenue included an unfavorable foreign currency impact of 2%.
-Enterprise Services revenue decreased 4%, driven by a decline in revenue from custom support agreements, offset in part by higher revenue from Premier Support Services and Microsoft Consulting Services.
Operating income decreased $170 million or 7%, primarily due to higher operating expenses, offset in part by higher gross margin. Operating income included an unfavorable foreign currency impact of 3%. Operating expenses increased $264 million or 12%, mainly due to higher sales and marketing expenses and research and development expenses. Sales and marketing expenses increased $154 million or 15% and research and development expenses increased $145 million or 19%, driven by strategic investments to drive cloud engineering, sales capacity, and developer engagement. Gross margin increased $94 million or 2%, driven by higher revenue, offset in part by higher cost of revenue. Gross margin included an unfavorable foreign currency impact of 2%. Cost of revenue increased $424 million or 26%, primarily driven by investments to increase capacity and meet demand for the capabilities of our cloud offerings.</t>
  </si>
  <si>
    <t>Revenue decreased $650 million or 5%, mainly due to lower revenue from Devices and Gaming, offset in part by higher revenue from Windows and Search advertising.
-Windows revenue increased $149 million or 3%, mainly due to higher revenue from Windows OEM and Windows Commercial, offset in part by lower revenue from patent licensing. Windows OEM revenue increased 5%. Windows OEM Pro revenue grew 6%, slightly outperforming a strengthening commercial PC market, and Windows OEM non-Pro revenue grew 5%, outperforming the consumer PC market. Windows Commercial revenue grew 5%, driven by renewals and a higher mix of premium multi-year agreements. Patent licensing revenue decreased 25%, mainly due to a decline in licensed units and license revenue per unit.
-Search advertising revenue increased $177 million or 12%. Search advertising revenue, excluding traffic acquisition costs, increased 10%, primarily driven by growth in Bing, due to higher revenue per search and search volume.
-Devices revenue decreased $914 million or 35%, mainly due to lower revenue from phones. Phone revenue decreased $878 million or 81%, driven by a reduction in volume of phones sold.
-Gaming revenue decreased $104 million or 3%, primarily due to lower Xbox hardware revenue, offset in part by higher revenue from Xbox software and services. Xbox hardware revenue decreased 22%, mainly due to lower prices of consoles sold and a decline in volume of consoles sold. Xbox software and services revenue increased 18%, driven by a higher volume of Xbox Live transactions and revenue per transaction.
Operating income increased $623 million or 33%, due to lower operating expenses and higher gross margin. Operating income included an unfavorable foreign currency impact of 4%. Operating expenses decreased $438 million or 12%. Sales and marketing expenses decreased $208 million or 13%, driven by a reduction in phone expenses and Surface launch-related expenses in the prior year. General and administrative expenses decreased $118 million or 31%, driven by the benefit of a legal settlement in the current year and a reduction in phone expenses. Research and development expenses decreased $112 million or 8%, driven by a reduction in phone expenses. Gross margin increased $185 million or 3%, driven by lower cost of revenue, offset in part by lower revenue. Gross margin included an unfavorable foreign currency impact of 2%. Cost of revenue decreased $835 million or 12%, driven by a reduction in phone sales and lower Xbox hardware cost of revenue, offset in part by an increase in Xbox software and services cost of revenue and Search advertising traffic acquisition costs.</t>
  </si>
  <si>
    <t>1Q17 Results</t>
  </si>
  <si>
    <t>Revenue increased $74 million, driven by growth in Intelligent Cloud and Productivity and Business Processes, offset in part by an increase in the net revenue deferral from Windows 10 and lower revenue from More Personal Computing. Windows 10 revenue is primarily recognized at the time of billing in the More Personal Computing segment, and the deferral and subsequent recognition of revenue is reflected in Corporate and Other. Intelligent Cloud revenue increased, primarily due to higher revenue from server products and cloud services. Productivity and Business Processes revenue increased, driven by higher revenue from Office 365. More Personal Computing revenue decreased, mainly due to lower revenue from Devices and Gaming, offset in part by higher revenue from Search advertising. Revenue included an unfavorable foreign currency impact of 2%.</t>
  </si>
  <si>
    <t>Gross margin decreased $563 million or 4%, driven by higher cost of revenue. Gross margin included an unfavorable foreign currency impact of 2%.</t>
  </si>
  <si>
    <t xml:space="preserve">Operating income decreased $568 million or 10%, primarily due to lower gross margin and an increase in research and development expenses, offset in part by lower sales and marketing expenses. Operating income included an unfavorable foreign currency impact of 5%. </t>
  </si>
  <si>
    <t>Cost of revenue increased $637 million or 9%, mainly due to growth in our commercial cloud and Search advertising traffic acquisition costs, offset in part by a reduction in phone sales.</t>
  </si>
  <si>
    <t>Sales and marketing expenses decreased $100 million or 3%, primarily due to a reduction in phone expenses and Windows 10 launch-related expenses in the prior year, offset in part by increased investment to drive sales capacity in our commercial cloud.</t>
  </si>
  <si>
    <t>Research and development expenses increased $144 million or 5%, primarily due to increased strategic investments and acquisitions to drive cloud engineering, offset in part by a reduction in phone expenses.</t>
  </si>
  <si>
    <t>Revenue increased $352 million or 6%, primarily due to higher revenue from Office 365. Revenue included an unfavorable foreign currency impact of 2%.
-Office Commercial revenue increased $264 million or 5%, driven by higher revenue from Office 365 commercial, mainly due to growth in subscribers, offset in part by lower revenue from products licensed on-premises, reflecting a continued shift to Office 365 commercial. Revenue included an unfavorable foreign currency impact of 3%.
-Office Consumer revenue increased $58 million or 8%, driven by higher revenue from Office 365 consumer, mainly due to growth in subscribers.
-Dynamics revenue increased 11%, mainly due to higher revenue from Dynamics CRM Online, driven by seat growth.
Operating income decreased slightly, primarily due to higher operating expenses. Operating expenses increased $35 million or 2%, mainly due to higher research and development expenses, driven by investments in cloud engineering. Operating income included an unfavorable foreign currency impact of 3%. Gross margin was flat, reflecting higher cost of revenue, offset by higher revenue. Gross margin included an unfavorable foreign currency impact of 2%. Cost of revenue increased $353 million or 34%, driven by an increased mix of cloud offerings.</t>
  </si>
  <si>
    <t>Revenue increased $490 million or 8%, due to higher revenue from server products and cloud services. Revenue included an unfavorable foreign currency impact of 2%.
-Server products and cloud services revenue grew $486 million or 11%, driven by Azure revenue growth of 116%, as well as growth in revenue from our server products licensed on-premises.
-Enterprise Services revenue increased 1%, driven by growth in revenue from Premier Support Services and Microsoft Consulting Services, offset in part by a decline in revenue from custom support agreements.
Operating income decreased $333 million or 14%, primarily due to higher operating expenses. Operating expenses increased $408 million or 21%, mainly due to higher research and development expenses and sales and marketing expenses. Research and development expenses increased $196 million or 26% and sales and marketing expenses increased $191 million or 22%, driven by strategic investments and acquisitions to drive cloud engineering, sales capacity, and developer engagement. Operating income included an unfavorable foreign currency impact of 3%. Gross margin increased $75 million or 2%, mainly due to higher revenue, offset in part by higher cost of revenue. Gross margin included an unfavorable foreign currency impact of 2%. Cost of revenue increased $415 million or 27%, driven by an increased mix of cloud offerings.</t>
  </si>
  <si>
    <t>Revenue decreased $168 million or 2%, mainly due to lower revenue from Devices and Gaming, offset in part by higher revenue from Search advertising.
-Devices revenue decreased $493 million or 27%, mainly due to lower revenue from phones, offset in part by higher Microsoft Surface (“Surface”) revenue. Phone revenue decreased $799 million or 72%, driven by a reduction in volume of phones sold. Surface revenue increased $253 million or 38%, primarily driven by a higher mix of premium devices sold.
-Gaming revenue decreased $110 million or 5%, primarily due to lower Xbox hardware revenue, offset in part by higher revenue from Xbox software and services. Xbox hardware revenue decreased 26%, mainly due to lower prices of consoles sold and a decline in volume of consoles sold. Xbox software and services revenue increased 6%, driven by a higher volume of Xbox Live transactions and revenue per transaction.
-Search advertising revenue increased $409 million or 40%. Search advertising revenue, excluding traffic acquisition costs, increased 9%, primarily driven by growth in Bing, due to higher revenue per search and search volume.
-Windows revenue increased slightly, mainly due to higher revenue from patent licensing. Windows OEM licensing (“Windows OEM”) revenue was flat, slightly ahead of the PC market. Windows OEM Pro revenue grew 1%, generally in line with the commercial PC market, and Windows OEM non-Pro revenue declined 1%, slightly outperforming the consumer PC market.
Operating income increased $401 million or 26%, primarily due to lower operating expenses. Operating expenses decreased $438 million or 13%, mainly due to lower sales and marketing expenses and research and development expenses. Sales and marketing expenses decreased $245 million or 18% and research and development expenses decreased $139 million or 9%, driven by a reduction in phone expenses. The decrease in sales and marketing expenses also reflects Windows 10 launch-related expenses in the prior year. Operating income included an unfavorable foreign currency impact of 5%. Gross margin decreased slightly, reflecting lower revenue, offset in part by a reduction in cost of revenue. Cost of revenue decreased $131 million or 3%, driven by a reduction in phone sales, offset in part by an increase in Search advertising traffic acquisition costs and Surface cost of revenue. Surface cost of revenue increased, primarily driven by a higher mix of premium devices sold. Gross margin included an unfavorable foreign currency impact of 2%.</t>
  </si>
  <si>
    <t>FY16 Results</t>
  </si>
  <si>
    <t>Revenue decreased $8.3 billion or 9%, primarily due to the impact of the net revenue deferral from Windows 10 of $6.6 billion and an unfavorable foreign currency impact of approximately $3.8 billion or 4%. Windows 10 revenue is primarily recognized at the time of billing in the More Personal Computing segment, and the deferral and subsequent recognition of revenue is reflected in Corporate and Other. More Personal Computing revenue decreased, mainly due to lower revenue from Devices and Windows, offset in part by higher revenue from Search advertising and Gaming. Intelligent Cloud revenue increased, primarily due to higher revenue from server products and cloud services and Enterprise Services. Productivity and Business Processes revenue increased slightly, driven by an increase in Office and Dynamics revenue.</t>
  </si>
  <si>
    <t>Gross margin decreased $8.0 billion or 13%, driven by the decline in revenue as discussed above, and included an unfavorable foreign currency impact of approximately $3.3 billion or 5%. Productivity and Business Processes and More Personal Computing gross margin decreased, offset in part by higher gross margin from Intelligent Cloud.</t>
  </si>
  <si>
    <t>Operating income increased $2.0 billion or 11%, primarily due to a decrease in impairment, integration, and restructuring expenses and sales and marketing expenses, offset in part by lower gross margin.</t>
  </si>
  <si>
    <t>Cost of revenue decreased $258 million or 1%, mainly due to a reduction in phone sales, driven by the change in strategy for the phone business, offset in part by growth in commercial cloud and Search advertising.</t>
  </si>
  <si>
    <t>Sales and marketing expenses decreased $1.0 billion or 6%, driven by a reduction in phone expenses and a favorable foreign currency impact of approximately 2%.</t>
  </si>
  <si>
    <t>Productivity and Business Processes revenue increased slightly, primarily due to an increase in Office and Dynamics revenue. Revenue included an unfavorable foreign currency impact of approximately 6%.
-Office Commercial revenue increased $135 million or 1%, driven by higher revenue from Office 365 commercial, mainly due to growth in subscribers, offset by lower transactional license volume, reflecting a continued shift to Office 365 commercial and a decline in the business PC market. Revenue included an unfavorable foreign currency impact of approximately 6%.
-Office Consumer revenue decreased $69 million or 2%, driven by a decline in the consumer PC market, offset in part by higher revenue from Office 365 consumer, mainly due to growth in subscribers. Revenue included an unfavorable foreign currency impact of approximately 4%.
-Dynamics revenue increased 4%, mainly due to higher revenue from Dynamics CRM Online, driven by seat growth. Revenue included an unfavorable foreign currency impact of approximately 6%.
Productivity and Business Processes operating income decreased $856 million or 6%, driven by lower gross margin. Gross margin decreased $928 million or 4%, primarily due to higher cost of revenue. Gross margin included an unfavorable foreign currency impact of approximately 6%. Cost of revenue increased $985 million or 25%, primarily due to an increased mix of cloud offerings. Operating expenses decreased $72 million or 1%, driven by lower sales and marketing expenses. Sales and marketing expenses decreased $82 million or 2%, mainly due to a reduction in headcount-related expenses and lower fees paid to third-party enterprise software advisors.</t>
  </si>
  <si>
    <t>Intelligent Cloud revenue increased $1.3 billion or 6%, primarily due to higher server products and cloud services revenue and Enterprise Services revenue. Revenue included an unfavorable foreign currency impact of approximately 5%.
-Server products and cloud services revenue grew $686 million or 4%, driven by revenue growth from Azure of 113%, offset in part by a decline in transactional revenue from our on-premises server products. Revenue included an unfavorable foreign currency impact of approximately 5%.
-Enterprise Services revenue grew $536 million or 11%, mainly due to growth in Premier Support Services. Revenue included an unfavorable foreign currency impact of approximately 5%.
Intelligent Cloud operating income decreased $488 million or 5%, primarily due to higher operating expenses, offset in part by higher gross margin. Operating expenses increased $989 million or 12%, mainly due to higher research and development expenses and sales and marketing expenses. Research and development expenses increased $567 million or 21% and sales and marketing expenses increased $347 million or 9%, driven by increased strategic investments and acquisitions to drive cloud sales capacity and innovation. Gross margin increased $501 million or 3%, driven by revenue growth, offset in part by higher cost of revenue. Gross margin included an unfavorable foreign currency impact of approximately 5%. Cost of revenue increased $826 million or 14%, primarily driven by an increased mix of cloud services.</t>
  </si>
  <si>
    <t>More Personal Computing revenue decreased $3.0 billion or 7%, mainly due to lower revenue from Devices and Windows, offset in part by higher revenue from Search advertising and Gaming. Revenue included an unfavorable foreign currency impact of approximately 2%.
-Devices revenue decreased $4.0 billion or 33%, mainly due to lower revenue from phones, driven by the change in strategy for the phone business, offset in part by higher Surface revenue. Phone revenue decreased $4.2 billion or 56%, as we sold 13.8 million Microsoft Lumia phones and 75.5 million other phones in fiscal year 2016, compared with 36.8 million and 126.8 million sold, respectively, in fiscal year 2015. Surface revenue increased $207 million or 5%, primarily driven by the release of Surface Pro 4 and Surface Book in the second quarter of fiscal year 2016, as well as the release of Surface 3 in the fourth quarter of fiscal year 2015, offset in part by a decline in revenue from Surface Pro 3. Devices revenue included an unfavorable foreign currency impact of approximately 3%.
-Windows revenue decreased $958 million or 5%, mainly due to lower revenue from patent licensing, Windows OEM, and Windows Phone licensing. Patent licensing revenue decreased 27%, due to a decline in license revenue per unit and licensed units. Windows OEM revenue decreased 1%. Windows OEM Pro revenue declined 6%, driven by a decline in the business PC market. Windows OEM non-Pro revenue increased 7%, outperforming the consumer PC market, driven by a higher mix of premium licenses sold. Windows Phone licensing revenue decreased 64%, driven by the recognition of deferred revenue in fiscal year 2015 from Windows Phone 8. Windows revenue included an unfavorable foreign currency impact of approximately 2%.
-Search advertising revenue increased $1.7 billion or 46%. Search advertising revenue, excluding traffic acquisition costs, increased 17%, primarily driven by growth in Bing, due to higher revenue per search and search volume. Search advertising revenue included an unfavorable foreign currency impact of approximately 2%.
-Gaming revenue increased $75 million or 1%, primarily due to higher revenue from Xbox Live and video games, offset in part by lower Xbox hardware revenue. Xbox Live revenue increased 17%, driven by higher revenue per transaction and volume of transactions. Video games revenue grew 28%, driven by the launch of Halo 5 and sales of Minecraft. We acquired Mojang AB, the Swedish video game developer of the Minecraft gaming franchise, in November 2014. Xbox hardware revenue decreased 16%, mainly due to lower prices of Xbox One consoles sold and a decline in Xbox 360 console volume, offset in part by higher Xbox One console volume. Gaming revenue included an unfavorable foreign currency impact of approximately 4%.
More Personal Computing operating income increased $1.1 billion or 22%, primarily due to lower operating expenses, offset in part by lower gross margin. Operating expenses decreased $2.0 billion or 13%, mainly due to lower sales and marketing expenses and research and development expenses. Sales and marketing expenses decreased $1.3 billion or 19% and research and development expenses decreased $676 million or 10%, driven by a reduction in phone expenses. Gross margin decreased $932 million or 5%, reflecting lower revenue, offset in part by a reduction in cost of revenue. Gross margin included an unfavorable foreign currency impact of approximately 5%. Cost of revenue decreased $2.1 billion or 9%, primarily driven by a reduction in phone sales, offset in part by higher search advertising cost of revenue.</t>
  </si>
  <si>
    <t>Corporate and Other revenue is comprised of revenue deferrals related to Windows 10. Corporate and Other operating income (loss) is comprised of revenue deferrals related to Windows 10 and corporate-level activity not specifically allocated to a segment, including impairment, integration, and restructuring expenses.
Corporate and Other revenue decreased $6.6 billion, due to the net revenue deferral from Windows 10.
Corporate and Other operating loss decreased $2.3 billion, primarily due to an $8.9 billion reduction in impairment, integration, and restructuring expenses, driven by prior year goodwill and asset impairment charges related to our phone business, offset in part by lower revenue.</t>
  </si>
  <si>
    <t>FY15 Results (Restated)</t>
  </si>
  <si>
    <t>Revenue increased $6.7 billion or 8%, primarily due to higher revenue from More Personal Computing and Intelligent Cloud. More Personal Computing revenue increased, primarily due to higher revenue from Devices, search advertising and Gaming, offset in part by a decline in Windows revenue. Intelligent Cloud revenue increased, primarily due to higher revenue from server products and cloud services. Revenue included an unfavorable foreign currency impact of approximately 2%.</t>
  </si>
  <si>
    <t>Gross margin increased $787 million or 1%, driven by our Intelligent Cloud, offset in part by a reduction in gross margin from Productivity and Business Processes.</t>
  </si>
  <si>
    <t xml:space="preserve">Operating income decreased $9.6 billion or 35%, primarily due to impairment, integration, and restructuring expenses in fiscal year 2015, as well as increased research and development expenses, offset in part by higher gross margin. </t>
  </si>
  <si>
    <t>Cost of revenue increased $6.0 billion or 22%, mainly due to phone sales, as well as increasing costs in support of our commercial cloud, including $396 million of higher datacenter expenses.</t>
  </si>
  <si>
    <t>Research and development expenses increased $665 million or 6%, mainly due to increased investment in new products and services, including phone expenses, offset in part by reduced headcount-related expenses.</t>
  </si>
  <si>
    <t>Productivity and Business Processes revenue decreased $546 million or 2%, mainly due to a decline in revenue from Office, offset in part by growth in revenue from Dynamics. Revenue included an unfavorable foreign currency impact of approximately 2%.
-Office Consumer revenue decreased $624 million or 17%, driven by declines in the Japan PC market, where Office is predominantly pre-installed on new PCs, offset in part by subscriber growth of Office 365 consumer.
-Office Commercial revenue decreased $152 million or 1%, driven by lower transactional license volume, reflecting a decline in the business PC market following Windows XP end of support in the prior year, and declines in Japan, offset in part by subscriber growth and higher premium mix of Office 365 commercial.
-Dynamics revenue grew 12%, mainly due to higher revenue from Dynamics CRM Online and Dynamics ERP products. Dynamics users increased, with 30% growth in number of Dynamics paid seats, and we ended fiscal year 2015 with over eight million paid seats.
Productivity and Business Processes operating income decreased $814 million or 6%, driven by lower gross margin, offset in part by a reduction in operating expenses. Gross margin decreased $1.0 billion or 4%, primarily due to the decline in Office Consumer revenue. Gross margin included an unfavorable foreign currency impact of approximately 2%. Cost of revenue increased $492 million or 15%, primarily due to higher cloud infrastructure expenses, reflecting increased datacenter capacity to serve our Office 365 offerings. Operating expenses decreased $224 million or 2%. Sales and marketing and general and administrative expenses decreased $258 million and $125 million, respectively, mainly due to lower headcount-related expenses. Research and development expenses increased $159 million or 6%, mainly due to increased investment in new products and services.</t>
  </si>
  <si>
    <t>Intelligent Cloud revenue increased $2.0 billion or 9%, mainly due to higher server products and services revenue, as well as higher Enterprise Services revenue. Revenue included an unfavorable foreign currency impact of approximately 2%.
-Server products and cloud services revenue grew $1.6 billion or 9%, primarily driven by higher premium mix of Microsoft SQL Server, Windows Server, and System Center, as well as continued revenue growth from Azure.
-Enterprise Services revenue grew $325 million or 7%, mainly due to growth in Premier Support Services.
Intelligent Cloud operating income increased $1.4 billion or 17%, primarily due to higher gross margin, offset in part by higher operating expenses. Gross margin increased $1.6 billion or 10%, driven by revenue growth from our server products and services. Gross margin included an unfavorable foreign currency impact of approximately 2%. Cost of revenue increased $404 million or 7%, mainly due to higher cloud infrastructure expenses, reflecting increased datacenter capacity for our Azure services. Operating expenses increased $151 million or 2%, driven by higher research and development expenses. Research and development expenses increased $160 million or 6%, mainly due to increased investment in new products and services.</t>
  </si>
  <si>
    <t>More Personal Computing revenue increased $4.7 billion or 12%, mainly due to growth in Devices, search advertising, and Gaming revenue, offset in part by a decline in revenue from Windows.
-Devices revenue increased $7.0 billion or 152%, mainly due to a full year of phone sales and higher Surface revenue. Devices revenue included an unfavorable foreign currency impact of approximately 5%. Phones revenue increased $5.5 billion, as we sold 36.8 million Lumia phones and 126.8 million other phones in fiscal year 2015, compared with 5.8 million and 30.3 million sold, respectively, in fiscal year 2014 following the acquisition of Nokia Corporation’s (“Nokia”) Devices and Services business (“NDS”). We acquired NDS in the fourth quarter of fiscal year 2014. Surface revenue increased 65% to $3.6 billion, primarily due to Surface Pro 3 units sold. Surface Pro 3 was released in June 2014.
-Search advertising revenue increased $651 million or 22%, primarily driven by growth in Bing, due to higher revenue per search and search volume.
-Gaming revenue increased $463 million or 5%, mainly due to growth in Xbox Live and video games revenue, offset in part by a decrease in Xbox hardware revenue and third-party video game royalties. We sold 12.1 million Xbox consoles in fiscal year 2015 compared with 11.7 million consoles in fiscal year 2014. Xbox Live revenue increased $500 million, driven by increased Xbox Live users and revenue per user. Video games revenue increased $265 million, mainly due to sales of Minecraft following the acquisition of Mojang in November 2014, and new Xbox titles released in the current year.
-Windows revenue decreased $3.6 billion or 16%, mainly due to lower revenue from Windows OEM and Windows Phone. Windows OEM revenue decreased $1.9 billion or 15%, primarily due to declines of 15% in OEM Pro revenue and 16% in OEM non-Pro revenue. Windows OEM Pro revenue decreased, primarily due to benefits realized from the expiration of support for Windows XP in the prior year, and declines in the business PC market. Windows OEM non-Pro revenue declined, mainly due to an increased mix of opening price point devices sold, and declines in the consumer PC market. Windows Phone revenue, including related patent licensing, decreased $1.4 billion or 55%, primarily due to prior year revenue associated with our joint strategic initiatives with Nokia that terminated when we acquired NDS.
More Personal Computing operating income decreased $938 million or 17%, primarily due to higher operating expenses, as well as a reduction in gross margin. Gross margin decreased $364 million or 2%, reflecting a reduction in Windows gross margin, offset in part by an increase in devices gross margin. Cost of revenue increased $5.1 billion or 28%, driven by higher phones cost of revenue, as well as higher Xbox Live and search infrastructure costs, offset in part by a reduction in Windows Phone cost of revenue. Phones cost of revenue increased $4.8 billion, reflecting a full year of phone sales in fiscal year 2015. Windows Phone cost of revenue decreased $897 million, driven by prior year costs associated with our joint strategic initiatives with Nokia that terminated when we acquired NDS. Operating expenses increased $574 million or 4%, driven by a full year of NDS expenses. Research and development expenses increased $346 million or 5%, mainly due to increased investment in new product and services, including higher phone expenses, offset in part by reduced headcount-related expenses. Sales and marketing expenses increased $211 million or 3%, primarily due to higher phone expenses, offset in part by a decline in advertising and other marketing program costs.</t>
  </si>
  <si>
    <t>Corporate and Other revenue primarily comprises certain revenue deferrals, including those related to Windows 10, Bundled Offerings, and video games. Corporate and Other operating income (loss) primarily comprises revenue deferrals and corporate-level activity not specifically allocated to a segment, including impairment, integration, and restructuring expenses.
Corporate and Other revenue increased $613 million, primarily due to the timing of net revenue deferrals compared to the prior year. During fiscal year 2015, we recognized a net $303 million of previously deferred revenue related to Bundled Offerings. During fiscal year 2014, we deferred a net $349 million of revenue related to Bundled Offerings.
Corporate and Other operating loss increased $9.3 billion, primarily due to higher impairment, integration, and restructuring expenses, offset in part by increased revenue.</t>
  </si>
  <si>
    <t>FY15 Results</t>
  </si>
  <si>
    <t>Revenue increased $6.7 billion or 8%, reflecting a full year of Phone Hardware sales and growth in revenue from our Commercial Cloud, Surface, server products, search advertising, and Xbox Live transactions. These increases were offset in part by a decline in revenue from Office Commercial, Windows OEM, licensing of Windows Phone operating system, and Office Consumer. Revenue included an unfavorable foreign currency impact of approximately 2%.</t>
  </si>
  <si>
    <t>Gross margin increased $787 million or 1%, primarily due to higher revenue, offset in part by a $6.0 billion or 22% increase in cost of revenue. Cost of revenue increased, mainly due to Phone Hardware, as well as increasing costs in support of our Commercial Cloud, including $396 million of higher datacenter expenses. Gross margin, as a percentage of revenue, improved year over year in each of our reportable segments.</t>
  </si>
  <si>
    <t>Operating income decreased $9.6 billion or 35%, primarily due to impairment, integration, and restructuring expenses in the current year, as well as increased research and development expenses, offset in part by higher gross margin.</t>
  </si>
  <si>
    <t>Cost of revenue increased, mainly due to Phone Hardware, as well as increasing costs in support of our Commercial Cloud, including $396 million of higher datacenter expenses.</t>
  </si>
  <si>
    <t>Research and development expenses increased $665 million or 6%, mainly due to increased investment in new products and services, including NDS expenses, offset in part by reduced headcount-related expenses.</t>
  </si>
  <si>
    <t>D&amp;C Licensing</t>
  </si>
  <si>
    <r>
      <t xml:space="preserve">D&amp;C revenue increased $3.9 billion or 10%, primarily due to a full year of Phone Hardware sales, as well as higher revenue from Surface, search advertising, and Xbox Live transactions, offset in part by a decrease in revenue from Windows OEM, licensing of Windows Phone operating system, and Office Consumer. Collectively, Office Consumer and Office 365 Consumer revenue declined 17%. D&amp;C gross margin decreased $1.4 billion or 7%, reflecting higher cost of revenue, offset in part by higher revenue. D&amp;C cost of revenue increased $5.3 billion or 30%, mainly due to a full year of Phone Hardware costs.
</t>
    </r>
    <r>
      <rPr>
        <i/>
        <sz val="8"/>
        <color theme="1"/>
        <rFont val="Arial"/>
        <family val="2"/>
      </rPr>
      <t>D&amp;C Licensing</t>
    </r>
    <r>
      <rPr>
        <sz val="8"/>
        <color theme="1"/>
        <rFont val="Arial"/>
        <family val="2"/>
      </rPr>
      <t xml:space="preserve">
D&amp;C Licensing revenue decreased $4.6 billion or 23%, mainly due to lower revenue from Windows OEM, Windows Phone licensing, and Office Consumer. Windows OEM revenue declined $1.9 billion or 15%, primarily due to declines of 15% in OEM Pro revenue and 16% in OEM non-Pro revenue. Windows OEM Pro revenue decreased, primarily due to benefits realized from the expiration of support for Windows XP in the prior year, and declines in the business PC market. Windows OEM non-Pro revenue declined, mainly due to an increased mix of opening price point devices sold, and declines in the consumer PC market. Revenue from licensing of Windows Phone operating system decreased $1.4 billion or 55%, primarily due to prior year revenue associated with our joint strategic initiatives with Nokia that terminated when we acquired NDS. Office Consumer revenue declined $946 million or 29%, reflecting the transition of customers to Office 365 Consumer, where revenue is recognized ratably, and declines in the Japan PC market, where Office is predominantly pre-installed on new PCs.
D&amp;C Licensing gross margin decreased $3.6 billion or 20%, primarily due to the decline in revenue, offset in part by a $990 million or 47% decrease in cost of revenue. D&amp;C Licensing cost of revenue decreased, mainly due to a $788 million decline in traffic acquisition costs, driven by prior year costs associated with our joint strategic initiatives with Nokia that terminated when we acquired NDS.
</t>
    </r>
    <r>
      <rPr>
        <i/>
        <sz val="8"/>
        <color theme="1"/>
        <rFont val="Arial"/>
        <family val="2"/>
      </rPr>
      <t>Computing and Gaming Hardware</t>
    </r>
    <r>
      <rPr>
        <sz val="8"/>
        <color theme="1"/>
        <rFont val="Arial"/>
        <family val="2"/>
      </rPr>
      <t xml:space="preserve">
Computing and Gaming Hardware revenue increased $1.1 billion or 12%, primarily due to higher revenue from Surface, offset in part by lower revenue from Xbox Platform. Surface revenue increased 65% to $3.6 billion, primarily due to Surface Pro 3 units sold. Surface Pro 3 was released in June 2014. Xbox Platform revenue decreased $385 million or 6%, driven by lower prices of Xbox One consoles compared to the prior year, as well as a decrease in second- and third-party video games revenue. We sold 12.1 million Xbox consoles in fiscal year 2015 compared with 11.7 million consoles in fiscal year 2014.
Computing and Gaming Hardware gross margin increased $896 million or 100%, mainly due to higher revenue, offset in part by a $194 million or 2% increase in cost of revenue. Gross margin expansion was driven by Surface, which benefited from the mix shift to Surface Pro 3. Xbox Platform cost of revenue was comparable to the prior year.
</t>
    </r>
    <r>
      <rPr>
        <i/>
        <sz val="8"/>
        <color theme="1"/>
        <rFont val="Arial"/>
        <family val="2"/>
      </rPr>
      <t>Phone Hardware</t>
    </r>
    <r>
      <rPr>
        <sz val="8"/>
        <color theme="1"/>
        <rFont val="Arial"/>
        <family val="2"/>
      </rPr>
      <t xml:space="preserve">
Phone Hardware revenue increased $5.5 billion, as we sold 36.8 million Lumia phones and 126.8 million other non-Lumia phones in fiscal year 2015, compared with 5.8 million and 30.3 million sold, respectively, in fiscal year 2014 following the acquisition of NDS. We acquired NDS in the fourth quarter of fiscal year 2014.
Phone Hardware gross margin increased $647 million, primarily due to higher revenue, offset in part by higher cost of revenue. Phone Hardware cost of revenue increased $4.9 billion, and included $476 million of amortization of acquired intangible assets in fiscal year 2015.
</t>
    </r>
    <r>
      <rPr>
        <i/>
        <sz val="8"/>
        <color theme="1"/>
        <rFont val="Arial"/>
        <family val="2"/>
      </rPr>
      <t xml:space="preserve">D&amp;C Other
</t>
    </r>
    <r>
      <rPr>
        <sz val="8"/>
        <color theme="1"/>
        <rFont val="Arial"/>
        <family val="2"/>
      </rPr>
      <t>D&amp;C Other revenue increased $1.8 billion or 26%, mainly due to higher revenue from search advertising, Xbox Live, first-party video games, including Minecraft, and Office 365 Consumer. D&amp;C Other revenue included an unfavorable foreign currency impact of approximately 2%. Search advertising revenue increased $651 million or 22%, primarily driven by growth in Bing, due to higher revenue per search and search volume. Xbox Live and other store transaction revenue increased $531 million, driven by increased Xbox Live users and revenue per user. First-party video games revenue increased $367 million, mainly due to sales of Minecraft following the acquisition of Mojang in November 2014, and new Xbox titles released in the current year. Office 365 Consumer revenue increased $323 million, reflecting subscriber growth.
D&amp;C Other gross margin increased $629 million or 45%, due to higher revenue, offset in part by a $1.2 billion or 21% increase in cost of revenue. D&amp;C Other cost of revenue grew, mainly due to $372 million higher Xbox Live and other store transaction costs, a $279 million increase in search infrastructure costs, $267 million higher retail stores expenses, and $194 million higher first-party video games and Minecraft costs.</t>
    </r>
  </si>
  <si>
    <r>
      <t xml:space="preserve">Commercial revenue increased $2.2 billion or 5%, mainly due to growth in revenue from our Commercial Cloud and server products, offset in part by a decline in Office Commercial. Commercial revenue included an unfavorable foreign currency impact of approximately 2%. Our server products and services grew 9%. Our Office Commercial products and services declined 1%. Commercial gross margin increased $1.6 billion or 4%.
</t>
    </r>
    <r>
      <rPr>
        <i/>
        <sz val="8"/>
        <color theme="1"/>
        <rFont val="Arial"/>
        <family val="2"/>
      </rPr>
      <t>Commercial Licensing</t>
    </r>
    <r>
      <rPr>
        <sz val="8"/>
        <color theme="1"/>
        <rFont val="Arial"/>
        <family val="2"/>
      </rPr>
      <t xml:space="preserve">
Commercial Licensing revenue decreased $1.0 billion or 2%, primarily due to a decline in revenue from Office Commercial, offset in part by increased revenue from our server products. Commercial Licensing revenue included an unfavorable foreign currency impact of approximately 2%. Office Commercial revenue declined $2.5 billion or 13%, due to lower transactional license volume, reflecting a decline in the business PC market following Windows XP end of support in the prior year, customers transitioning to Office 365 Commercial, and declines in Japan. Our server products revenue grew $1.1 billion or 7%, primarily driven by higher premium mix of Microsoft SQL Server, Windows Server, and System Center.
Commercial Licensing gross margin decreased $785 million or 2%, in line with revenue.
</t>
    </r>
    <r>
      <rPr>
        <i/>
        <sz val="8"/>
        <color theme="1"/>
        <rFont val="Arial"/>
        <family val="2"/>
      </rPr>
      <t>Commercial Other</t>
    </r>
    <r>
      <rPr>
        <sz val="8"/>
        <color theme="1"/>
        <rFont val="Arial"/>
        <family val="2"/>
      </rPr>
      <t xml:space="preserve">
Commercial Other revenue increased $3.3 billion or 44%, primarily due to higher Commercial Cloud revenue. Commercial Other revenue included an unfavorable foreign currency impact of approximately 3%. Commercial Cloud revenue grew $3.0 billion or 106%, mainly due to subscriber growth and higher premium mix of Office 365 Commercial, as well as continued revenue growth from Microsoft Azure.
Commercial Other gross margin increased $2.3 billion or 126%, due to higher revenue, offset in part by a $946 million or 17% increase in cost of revenue. The increase in Commercial Other cost of revenue was mainly due to higher datacenter and other online infrastructure expenses, reflecting increased datacenter capacity to serve our growing Commercial Cloud.</t>
    </r>
  </si>
  <si>
    <t>Corporate and Other revenue increased $619 million, primarily due to the timing of revenue deferrals compared to the prior year. During fiscal year 2015, we recognized a net $303 million of previously deferred revenue related to Bundled Offerings. During fiscal year 2014, we deferred a net $349 million of revenue related to Bundled Offerings.
Corporate and Other gross margin increased $625 million, primarily due to increased revenue.</t>
  </si>
  <si>
    <t>FY14 Results</t>
  </si>
  <si>
    <t>Revenue increased $9.0 billion or 12%, demonstrating growth across our consumer and commercial businesses, primarily due to higher revenue from server products, Xbox Platform, Commercial Cloud, and Surface. Revenue also increased due to the acquisition of NDS. Commercial Cloud revenue doubled, reflecting continued subscriber growth from our cloud-based offerings.</t>
  </si>
  <si>
    <t>Gross margin increased $2.3 billion or 4%, primarily due to higher revenue, offset in part by a $6.7 billion or 33% increase in cost of revenue.</t>
  </si>
  <si>
    <t>Operating income increased $995 million or 4%, reflecting higher gross margin, offset in part by increased research and development expenses and sales and marketing expenses.</t>
  </si>
  <si>
    <t>Cost of revenue increased mainly due to higher volumes of Xbox consoles and Surface devices sold, and $575 million of higher datacenter expenses, primarily in support of Commercial Cloud revenue growth. Cost of revenue also increased due to the acquisition of NDS.</t>
  </si>
  <si>
    <t>Sales and marketing expenses increased $535 million or 4%, primarily due to NDS expenses and increased investment in sales resources, offset in part by lower advertising costs.</t>
  </si>
  <si>
    <t>Research and development expenses increased $970 million or 9%, mainly due to increased investment in new products and services in our Devices engineering group, including NDS expenses, and increased investment in our Applications and Services engineering group.</t>
  </si>
  <si>
    <r>
      <t>D&amp;C revenue increased $5.6 billion or 18%, primarily due to higher revenue from Xbox Platform, Surface, and Windows Phone. Revenue also increased $2.0 billion due to the acquisition of NDS. D&amp;C gross margin decreased slightly, reflecting higher cost of revenue, offset in part by higher revenue. Cost of revenue increased $5.7 billion or 47%, mainly due to Xbox Platform and Surface. Cost of revenue also increased $1.9 billion due to NDS.
D</t>
    </r>
    <r>
      <rPr>
        <i/>
        <sz val="8"/>
        <color theme="1"/>
        <rFont val="Arial"/>
        <family val="2"/>
      </rPr>
      <t>&amp;C Licensing</t>
    </r>
    <r>
      <rPr>
        <sz val="8"/>
        <color theme="1"/>
        <rFont val="Arial"/>
        <family val="2"/>
      </rPr>
      <t xml:space="preserve">
D&amp;C Licensing revenue increased $101 million or 1%, mainly due to increased Windows Phone revenue, offset in part by lower revenue from licenses of Windows and Office Consumer. Windows Phone revenue increased $822 million or 48%, mainly due to the recognition of $382 million revenue under our joint strategic initiatives with Nokia, which concluded in conjunction with the acquisition of NDS, as well as an increase in phone patent licensing revenue. Retail and non-OEM sales of Windows declined $274 million or 35%, mainly due to the launch of Windows 8 in the prior year. Windows OEM revenue declined $136 million or 1%, due to continued softness in the consumer PC market, offset in part by a 12% increase in OEM Pro revenue. Office Consumer revenue declined $249 million or 7%, reflecting the transition of customers to Office 365 Consumer as well as continued softness in the consumer PC market. The declines in Windows OEM and Office Consumer revenue were partially offset by benefits realized from ending our support for Windows XP in April 2014.
D&amp;C Licensing gross margin increased $454 million or 3%, primarily due to a $353 million or 14% decrease in cost of revenue. D&amp;C Licensing cost of revenue decreased, mainly due to a $411 million or 23% decline in traffic acquisition costs.
</t>
    </r>
    <r>
      <rPr>
        <i/>
        <sz val="8"/>
        <color theme="1"/>
        <rFont val="Arial"/>
        <family val="2"/>
      </rPr>
      <t>Computing and Gaming Hardware</t>
    </r>
    <r>
      <rPr>
        <sz val="8"/>
        <color theme="1"/>
        <rFont val="Arial"/>
        <family val="2"/>
      </rPr>
      <t xml:space="preserve">
Computing and Gaming Hardware revenue increased $2.9 billion or 48%, primarily due to higher revenue from the Xbox Platform and Surface. Xbox Platform revenue increased $1.7 billion or 34%, mainly due to sales of Xbox One, which was released in November 2013, offset in part by a decrease in sales of Xbox 360. We sold 11.7 million Xbox consoles during fiscal year 2014 compared with 9.8 million Xbox consoles during fiscal year 2013. Surface revenue increased $1.3 billion or 157%, mainly due to a higher number of devices and accessories sold.
Computing and Gaming Hardware gross margin decreased slightly, due to a $3.0 billion or 58% increase in cost of revenue, offset in part by higher revenue. Xbox Platform cost of revenue increased $2.1 billion or 72%, mainly due to higher volumes of consoles sold and higher costs associated with Xbox One. Surface cost of revenue increased $970 million or 51%, mainly due to a higher number of devices and accessories sold, offset in part by a charge for Surface RT inventory adjustments of approximately $900 million in fiscal year 2013.
</t>
    </r>
    <r>
      <rPr>
        <i/>
        <sz val="8"/>
        <color theme="1"/>
        <rFont val="Arial"/>
        <family val="2"/>
      </rPr>
      <t>Phone Hardware</t>
    </r>
    <r>
      <rPr>
        <sz val="8"/>
        <color theme="1"/>
        <rFont val="Arial"/>
        <family val="2"/>
      </rPr>
      <t xml:space="preserve">
Phone Hardware revenue was $2.0 billion in fiscal year 2014, reflecting sales of Lumia phones and other non-Lumia phones following the acquisition of NDS on April 25, 2014. Since the acquisition, we sold 5.8 million Lumia phones and 30.3 million other non-Lumia phones in fiscal year 2014.
Phone Hardware gross margin was $54 million in fiscal year 2014, reflecting revenue of $2.0 billion, offset in part by $1.9 billion cost of revenue, including amortization of acquired intangible assets and the impact of decisions to rationalize our device portfolio.
</t>
    </r>
    <r>
      <rPr>
        <i/>
        <sz val="8"/>
        <color theme="1"/>
        <rFont val="Arial"/>
        <family val="2"/>
      </rPr>
      <t>D&amp;C Other</t>
    </r>
    <r>
      <rPr>
        <sz val="8"/>
        <color theme="1"/>
        <rFont val="Arial"/>
        <family val="2"/>
      </rPr>
      <t xml:space="preserve">
D&amp;C Other revenue increased $583 million or 9%, mainly due to higher online advertising revenue and Office 365 Consumer revenue, offset in part by a $213 million decrease in first-party video games revenue, primarily due to the release of Halo 4 in the second quarter of fiscal year 2013. Online advertising revenue increased $497 million or 14%. Search advertising revenue increased 39%, primarily due to increased revenue per search resulting from ongoing improvements in advertising products, higher search volume, and the expiration of North American revenue per search guarantee payments to Yahoo! in the prior year, offset in part by a 25% reduction in display advertising revenue. Office 365 Consumer revenue grew $316 million, primarily reflecting subscriber growth. We ended fiscal year 2014 with over five million subscribers.
D&amp;C Other gross margin decreased $558 million or 29%, due to a $1.1 billion or 25% increase in cost of revenue, offset in part by higher revenue. D&amp;C Other cost of revenue grew, mainly due to a $541 million or 24% increase in online advertising cost of revenue, reflecting support of online infrastructure. Cost of revenue also increased $219 million or 15%, due to higher resale transactions costs.</t>
    </r>
  </si>
  <si>
    <r>
      <t xml:space="preserve">Commercial revenue increased $4.2 billion or 9%, mainly due to growth in revenue from our on-premises licensing businesses and Commercial Cloud. Collectively, Office Commercial and Office 365 Commercial revenue grew 7%. Collectively, our server products revenue, including Microsoft Azure, grew 13%. Commercial gross margin increased $3.3 billion or 9%, in line with revenue.
</t>
    </r>
    <r>
      <rPr>
        <i/>
        <sz val="8"/>
        <color theme="1"/>
        <rFont val="Arial"/>
        <family val="2"/>
      </rPr>
      <t>Commercial Licensing</t>
    </r>
    <r>
      <rPr>
        <sz val="8"/>
        <color theme="1"/>
        <rFont val="Arial"/>
        <family val="2"/>
      </rPr>
      <t xml:space="preserve">
Commercial Licensing revenue increased $2.3 billion or 6%, primarily due to increased revenue from our server products, as well as higher revenue from Windows Commercial and Office Commercial. Our server products revenue grew $1.7 billion or 11%, driven primarily by increased sales of Microsoft SQL Server. Windows Commercial revenue grew $334 million or 10%, mainly due to increased renewal rates and transactional purchases driven by Windows XP end of support. Office Commercial revenue grew $219 million or 1%, and was impacted by customers transitioning to Office 365 Commercial.
Commercial Licensing gross margin increased $2.3 billion or 6%, in line with revenue growth.
</t>
    </r>
    <r>
      <rPr>
        <i/>
        <sz val="8"/>
        <color theme="1"/>
        <rFont val="Arial"/>
        <family val="2"/>
      </rPr>
      <t>Commercial Other</t>
    </r>
    <r>
      <rPr>
        <sz val="8"/>
        <color theme="1"/>
        <rFont val="Arial"/>
        <family val="2"/>
      </rPr>
      <t xml:space="preserve">
Commercial Other revenue increased $1.9 billion or 33%, due to higher Commercial Cloud revenue and Enterprise Services revenue. Commercial Cloud revenue grew $1.5 billion or 116%, mainly due to higher revenue from Office 365 Commercial. Enterprise Services revenue grew $380 million or 9%, mainly due to growth in Premier Support Services.
Commercial Other gross margin increased $933 million or 101%, due to higher revenue, offset in part by a $952 million or 20% increase in cost of revenue. The increase in cost of revenue was mainly due to higher datacenter expenses, reflecting support of our growing Commercial Cloud.</t>
    </r>
  </si>
  <si>
    <t>Corporate and Other revenue decreased $818 million, primarily due to the timing of revenue deferrals. During fiscal year 2014, we deferred a net $349 million of revenue related to Bundled Offerings. During fiscal year 2013, we recognized $540 million of previously deferred revenue related to the Windows Upgrade Offer. The revenue was recognized upon expiration of the offer.
Corporate and Other gross margin decreased $863 million, mainly due to decreased revenue.</t>
  </si>
  <si>
    <t>FY13 Results</t>
  </si>
  <si>
    <t>Revenue increased $4.1 billion or 6%, mainly due to growth in revenue from our Commercial segments. Revenue was also impacted by the timing of revenue deferrals.</t>
  </si>
  <si>
    <t>Operating income grew $5.0 billion or 23%, primarily due to the $6.2 billion goodwill impairment charge recorded during the prior year.</t>
  </si>
  <si>
    <t>Cost of revenue increased $2.7 billion or 16%, reflecting increased product costs associated with Surface and Windows 8, including an approximately $900 million charge for Surface RT inventory adjustments, higher headcount-related expenses, payments made to Nokia related to joint strategic initiatives, royalties on Xbox Live content, and retail stores expenses, offset in part by decreased costs associated with lower sales of Xbox 360 consoles and decreased traffic acquisition costs.</t>
  </si>
  <si>
    <t>Sales and marketing expenses increased $1.4 billion or 10%, reflecting advertising of Windows 8 and Surface.</t>
  </si>
  <si>
    <t>Research and development expenses increased $600 million or 6%, due mainly to higher headcount-related expenses, largely related to the Xbox Platform.</t>
  </si>
  <si>
    <t>General and administrative expenses increased $580 million or 13%, due to higher legal charges, primarily due to the European Commission fine of €561 million (approximately $733 million) for failure to comply with our 2009 agreement to display a “Browser Choice Screen” on Windows PCs where Internet Explorer is the default browser (the “EU fine”).</t>
  </si>
  <si>
    <r>
      <t xml:space="preserve">D&amp;C revenue decreased $338 million or 1%, reflecting lower revenue from D&amp;C Licensing and Computing and Gaming Hardware, offset in part by increased revenue from D&amp;C Other. D&amp;C gross margin decreased $1.7 billion or 8%, primarily due to higher cost of revenue and lower revenue. Cost of revenue increased $1.3 billion or 13%, primarily due to Computing and Gaming Hardware.
</t>
    </r>
    <r>
      <rPr>
        <i/>
        <sz val="8"/>
        <color theme="1"/>
        <rFont val="Arial"/>
        <family val="2"/>
      </rPr>
      <t xml:space="preserve">D&amp;C Licensing
</t>
    </r>
    <r>
      <rPr>
        <sz val="8"/>
        <color theme="1"/>
        <rFont val="Arial"/>
        <family val="2"/>
      </rPr>
      <t xml:space="preserve">D&amp;C Licensing revenue decreased $474 million or 2%, due mainly to lower revenue from licenses of Consumer and Windows OEM, offset in part by increased Windows Phone revenue. Office Consumer revenue declined $618 million or 15%, while Windows OEM revenue declined 10%. These decreases resulted primarily from the impact on revenue of a decline in the x86 PC market, which we estimate declined approximately 9%. Windows Phone revenue increased $1.2 billion, including an increase in patent licensing revenue and sales of Windows Phone licenses. In May 2013, we announced that we had surpassed 100 million licenses sold for Windows 8.
D&amp;C Licensing gross margin decreased $196 million or 1%, due to decreased revenue, offset in part by a $278 million or 12% decrease in cost of revenue. D&amp;C Licensing cost of revenue decreased, due mainly to lower traffic acquisition costs, offset in part by a $375 million increase in expenses for payments made to Nokia related to joint strategic initiatives.
</t>
    </r>
    <r>
      <rPr>
        <i/>
        <sz val="8"/>
        <color theme="1"/>
        <rFont val="Arial"/>
        <family val="2"/>
      </rPr>
      <t xml:space="preserve">Computing and Gaming Hardware
</t>
    </r>
    <r>
      <rPr>
        <sz val="8"/>
        <color theme="1"/>
        <rFont val="Arial"/>
        <family val="2"/>
      </rPr>
      <t xml:space="preserve">Computing and Gaming Hardware revenue decreased $279 million or 4%, due primarily to lower revenue from the Xbox Platform, offset in part by Surface revenue. Xbox Platform revenue decreased $1.3 billion or 22%, due mainly to lower volumes of consoles sold, offset in part by higher Xbox Live subscription revenue. We shipped 9.8 million Xbox 360 consoles during fiscal year 2013, compared with 13.0 million Xbox 360 consoles during fiscal year 2012. Surface revenue was $853 million. The general availability of Surface RT and Surface Pro started October 26, 2012 and February 9, 2013, respectively.
Computing and Gaming Hardware gross margin decreased $1.5 billion or 62%, due to a $1.3 billion or 30% increase in cost of revenue and decreased revenue. Computing and Gaming Hardware cost of revenue increased, primarily due to $1.9 billion in product costs associated with Surface, including a charge for Surface RT inventory adjustments of approximately $900 million. These costs were offset in part by a $920 million or 24% decrease in Xbox Platform cost of revenue, due mainly to a decrease in manufacturing and distribution costs associated with lower volumes of Xbox 360 consoles sold.
</t>
    </r>
    <r>
      <rPr>
        <i/>
        <sz val="8"/>
        <color theme="1"/>
        <rFont val="Arial"/>
        <family val="2"/>
      </rPr>
      <t xml:space="preserve">D&amp;C Other
</t>
    </r>
    <r>
      <rPr>
        <sz val="8"/>
        <color theme="1"/>
        <rFont val="Arial"/>
        <family val="2"/>
      </rPr>
      <t>D&amp;C Other revenue increased $415 million or 7%, due mainly to higher advertising revenue, which increased $213 million or 7% to $3.5 billion. Search advertising revenue growth was offset in part by a decline in display advertising revenue. Search advertising revenue grew primarily due to increased revenue per search, resulting from ongoing improvements in ad products, while display advertising revenue decreased primarily due to industry-wide market pressure. D&amp;C Other revenue also increased $202 million or 7%, due mainly to higher volumes of content resold through our online platforms.
D&amp;C Other gross margin increased $48 million or 2%, due to increased revenue offset in part by a $367 million or 9% increase in cost of revenue. D&amp;C Other cost of revenue increased, due mainly to a $327 million or 28% increase in costs associated with higher volumes of resale transactions, primarily a $257 million increase in royalties on Xbox Live content. Increased traffic acquisition costs were offset in part by lower Yahoo! reimbursement costs.</t>
    </r>
  </si>
  <si>
    <r>
      <t xml:space="preserve">Commercial revenue increased $3.6 billion or 9%, due mainly to growth in revenue from our on-premises licensing businesses and Commercial Cloud.
Commercial gross margin increased $2.1 billion or 6%.
</t>
    </r>
    <r>
      <rPr>
        <i/>
        <sz val="8"/>
        <color theme="1"/>
        <rFont val="Arial"/>
        <family val="2"/>
      </rPr>
      <t xml:space="preserve">Commercial Licensing
</t>
    </r>
    <r>
      <rPr>
        <sz val="8"/>
        <color theme="1"/>
        <rFont val="Arial"/>
        <family val="2"/>
      </rPr>
      <t xml:space="preserve">Commercial Licensing revenue increased $2.6 billion or 7%, due to increased revenue from all major commercial offerings. Server products revenue increased $1.2 billion or 9%, driven primarily by growth in Microsoft SQL Server, System Center, and Windows Server. Office Commercial revenue increased $622 million or 4%, reflecting growth in Office revenue from volume licensing agreements with software assurance. Windows Commercial revenue increased $379 million or 13%, reflecting continued support of our platform. Skype revenue increased, due primarily to including a full year of results in fiscal year 2013.
Commercial Licensing gross margin increased $1.8 billion or 5%, due to higher revenue, offset in part by a $762 million or 29% increase in cost of revenue. Commercial Licensing cost of revenue increased, due to increased costs from all major commercial offerings, including $287 million higher intellectual property licensing costs.
</t>
    </r>
    <r>
      <rPr>
        <i/>
        <sz val="8"/>
        <color theme="1"/>
        <rFont val="Arial"/>
        <family val="2"/>
      </rPr>
      <t xml:space="preserve">Commercial Other
</t>
    </r>
    <r>
      <rPr>
        <sz val="8"/>
        <color theme="1"/>
        <rFont val="Arial"/>
        <family val="2"/>
      </rPr>
      <t>Commercial Other revenue increased $1.0 billion or 22%, due to higher Commercial Cloud and Enterprise Services revenue. Commercial Cloud revenue grew $582 million or 82%, due mainly to higher revenue from Office 365 Commercial. Enterprise Services revenue grew $434 million or 11%, due to growth in both Premier product support and consulting services.
Commercial Other gross margin increased $342 million or 59%, due to higher revenue, offset in part by a $674 million or 17% increase in cost of revenue. The increase in cost of revenue was due mainly to higher datacenter expenses, reflecting investment in online operations infrastructure, and increased headcount-related expenses, mainly due to higher Enterprise Services headcount supporting revenue growth.</t>
    </r>
  </si>
  <si>
    <t>Corporate and Other revenue increased $888 million or 183%, primarily due to the timing of revenue deferrals. During fiscal year 2013, we recognized $540 million of revenue that had been deferred in fiscal year 2012 related to the Windows Upgrade Offer. The revenue was recognized upon expiration of the offer.
Corporate and Other gross margin increased $954 million or 164%, due mainly to increased revenue.</t>
  </si>
  <si>
    <t xml:space="preserve">For the Fiscal Period Ending
</t>
  </si>
  <si>
    <t>Restated
12 months
Jun-30-1991</t>
  </si>
  <si>
    <t>Restated
12 months
Jun-30-1992</t>
  </si>
  <si>
    <t>12 months
Jun-30-1993</t>
  </si>
  <si>
    <t>12 months
Jun-30-1994</t>
  </si>
  <si>
    <t>12 months
Jun-30-1995</t>
  </si>
  <si>
    <t>Reclassified
12 months
Jun-30-1996</t>
  </si>
  <si>
    <t>Reclassified
12 months
Jun-30-1997</t>
  </si>
  <si>
    <t>Reclassified
12 months
Jun-30-1998</t>
  </si>
  <si>
    <t>Reclassified
12 months
Jun-30-1999</t>
  </si>
  <si>
    <t>Reclassified
12 months
Jun-30-2000</t>
  </si>
  <si>
    <t>12 months
Jun-30-2001</t>
  </si>
  <si>
    <t>Restated
12 months
Jun-30-2002</t>
  </si>
  <si>
    <t>Restated
12 months
Jun-30-2003</t>
  </si>
  <si>
    <t>Reclassified
12 months
Jun-30-2004</t>
  </si>
  <si>
    <t>Reclassified
12 months
Jun-30-2005</t>
  </si>
  <si>
    <t>Reclassified
12 months
Jun-30-2006</t>
  </si>
  <si>
    <t>Reclassified
12 months
Jun-30-2007</t>
  </si>
  <si>
    <t>Reclassified
12 months
Jun-30-2008</t>
  </si>
  <si>
    <t>Reclassified
12 months
Jun-30-2009</t>
  </si>
  <si>
    <t>Reclassified
12 months
Jun-30-2010</t>
  </si>
  <si>
    <t>12 months
Jun-30-2011</t>
  </si>
  <si>
    <t>12 months
Jun-30-2012</t>
  </si>
  <si>
    <t>Reclassified
12 months
Jun-30-2013</t>
  </si>
  <si>
    <t>Reclassified
12 months
Jun-30-2014</t>
  </si>
  <si>
    <t>12 months
Jun-30-2015</t>
  </si>
  <si>
    <t>Restated
12 months
Jun-30-2016</t>
  </si>
  <si>
    <t>Restated
12 months
Jun-30-2017</t>
  </si>
  <si>
    <t>12 months
Jun-30-2018</t>
  </si>
  <si>
    <t>12 months
Jun-30-2019</t>
  </si>
  <si>
    <t>LTM
12 months
Mar-31-2020</t>
  </si>
  <si>
    <t>3 months
FQ1/CQ3
Sep-30-1992</t>
  </si>
  <si>
    <t>3 months
FQ2/CQ4
Dec-31-1992</t>
  </si>
  <si>
    <t>3 months
FQ3/CQ1
Mar-31-1993</t>
  </si>
  <si>
    <t>3 months
FQ4/CQ2
Jun-30-1993</t>
  </si>
  <si>
    <t>3 months
FQ1/CQ3
Sep-30-1993</t>
  </si>
  <si>
    <t>3 months
FQ2/CQ4
Dec-31-1993</t>
  </si>
  <si>
    <t>3 months
FQ3/CQ1
Mar-31-1994</t>
  </si>
  <si>
    <t>3 months
FQ4/CQ2
Jun-30-1994</t>
  </si>
  <si>
    <t>3 months
FQ1/CQ3
Sep-30-1994</t>
  </si>
  <si>
    <t>3 months
FQ2/CQ4
Dec-31-1994</t>
  </si>
  <si>
    <t>3 months
FQ3/CQ1
Mar-31-1995</t>
  </si>
  <si>
    <t>3 months
FQ4/CQ2
Jun-30-1995</t>
  </si>
  <si>
    <t>3 months
FQ1/CQ3
Sep-30-1995</t>
  </si>
  <si>
    <t>3 months
FQ2/CQ4
Dec-31-1995</t>
  </si>
  <si>
    <t>3 months
FQ3/CQ1
Mar-31-1996</t>
  </si>
  <si>
    <t>3 months
FQ4/CQ2
Jun-30-1996</t>
  </si>
  <si>
    <t>3 months
FQ1/CQ3
Sep-30-1996</t>
  </si>
  <si>
    <t>3 months
FQ2/CQ4
Dec-31-1996</t>
  </si>
  <si>
    <t>3 months
FQ3/CQ1
Mar-31-1997</t>
  </si>
  <si>
    <t>Reclassified
3 months
FQ4/CQ2
Jun-30-1997</t>
  </si>
  <si>
    <t>Reclassified
3 months
FQ1/CQ3
Sep-30-1997</t>
  </si>
  <si>
    <t>Reclassified
3 months
FQ2/CQ4
Dec-31-1997</t>
  </si>
  <si>
    <t>Reclassified
3 months
FQ3/CQ1
Mar-31-1998</t>
  </si>
  <si>
    <t>Reclassified
3 months
FQ4/CQ2
Jun-30-1998</t>
  </si>
  <si>
    <t>Reclassified
3 months
FQ1/CQ3
Sep-30-1998</t>
  </si>
  <si>
    <t>Reclassified
3 months
FQ2/CQ4
Dec-31-1998</t>
  </si>
  <si>
    <t>Reclassified
3 months
FQ3/CQ1
Mar-31-1999</t>
  </si>
  <si>
    <t>Reclassified
3 months
FQ4/CQ2
Jun-30-1999</t>
  </si>
  <si>
    <t>Reclassified
3 months
FQ1/CQ3
Sep-30-1999</t>
  </si>
  <si>
    <t>Reclassified
3 months
FQ2/CQ4
Dec-31-1999</t>
  </si>
  <si>
    <t>Reclassified
3 months
FQ3/CQ1
Mar-31-2000</t>
  </si>
  <si>
    <t>Reclassified
3 months
FQ4/CQ2
Jun-30-2000</t>
  </si>
  <si>
    <t>Reclassified
3 months
FQ1/CQ3
Sep-30-2000</t>
  </si>
  <si>
    <t>Reclassified
3 months
FQ2/CQ4
Dec-31-2000</t>
  </si>
  <si>
    <t>Reclassified
3 months
FQ3/CQ1
Mar-31-2001</t>
  </si>
  <si>
    <t>Reclassified
3 months
FQ4/CQ2
Jun-30-2001</t>
  </si>
  <si>
    <t>3 months
FQ1/CQ3
Sep-30-2001</t>
  </si>
  <si>
    <t>3 months
FQ2/CQ4
Dec-31-2001</t>
  </si>
  <si>
    <t>3 months
FQ3/CQ1
Mar-31-2002</t>
  </si>
  <si>
    <t>3 months
FQ4/CQ2
Jun-30-2002</t>
  </si>
  <si>
    <t>Restated
3 months
FQ1/CQ3
Sep-30-2002</t>
  </si>
  <si>
    <t>Restated
3 months
FQ2/CQ4
Dec-31-2002</t>
  </si>
  <si>
    <t>Restated
3 months
FQ3/CQ1
Mar-31-2003</t>
  </si>
  <si>
    <t>Restated
3 months
FQ4/CQ2
Jun-30-2003</t>
  </si>
  <si>
    <t>3 months
FQ1/CQ3
Sep-30-2003</t>
  </si>
  <si>
    <t>3 months
FQ2/CQ4
Dec-31-2003</t>
  </si>
  <si>
    <t>3 months
FQ3/CQ1
Mar-31-2004</t>
  </si>
  <si>
    <t>3 months
FQ4/CQ2
Jun-30-2004</t>
  </si>
  <si>
    <t>Reclassified
3 months
FQ1/CQ3
Sep-30-2004</t>
  </si>
  <si>
    <t>Reclassified
3 months
FQ2/CQ4
Dec-31-2004</t>
  </si>
  <si>
    <t>Reclassified
3 months
FQ3/CQ1
Mar-31-2005</t>
  </si>
  <si>
    <t>Reclassified
3 months
FQ4/CQ2
Jun-30-2005</t>
  </si>
  <si>
    <t>Reclassified
3 months
FQ1/CQ3
Sep-30-2005</t>
  </si>
  <si>
    <t>Reclassified
3 months
FQ2/CQ4
Dec-31-2005</t>
  </si>
  <si>
    <t>3 months
FQ3/CQ1
Mar-31-2006</t>
  </si>
  <si>
    <t>3 months
FQ4/CQ2
Jun-30-2006</t>
  </si>
  <si>
    <t>3 months
FQ1/CQ3
Sep-30-2006</t>
  </si>
  <si>
    <t>3 months
FQ2/CQ4
Dec-31-2006</t>
  </si>
  <si>
    <t>3 months
FQ3/CQ1
Mar-31-2007</t>
  </si>
  <si>
    <t>3 months
FQ4/CQ2
Jun-30-2007</t>
  </si>
  <si>
    <t>Reclassified
3 months
FQ1/CQ3
Sep-30-2007</t>
  </si>
  <si>
    <t>Reclassified
3 months
FQ2/CQ4
Dec-31-2007</t>
  </si>
  <si>
    <t>Reclassified
3 months
FQ3/CQ1
Mar-31-2008</t>
  </si>
  <si>
    <t>Reclassified
3 months
FQ4/CQ2
Jun-30-2008</t>
  </si>
  <si>
    <t>3 months
FQ1/CQ3
Sep-30-2008</t>
  </si>
  <si>
    <t>3 months
FQ2/CQ4
Dec-31-2008</t>
  </si>
  <si>
    <t>3 months
FQ3/CQ1
Mar-31-2009</t>
  </si>
  <si>
    <t>3 months
FQ4/CQ2
Jun-30-2009</t>
  </si>
  <si>
    <t>3 months
FQ1/CQ3
Sep-30-2009</t>
  </si>
  <si>
    <t>Reclassified
3 months
FQ2/CQ4
Dec-31-2009</t>
  </si>
  <si>
    <t>Reclassified
3 months
FQ3/CQ1
Mar-31-2010</t>
  </si>
  <si>
    <t>Reclassified
3 months
FQ4/CQ2
Jun-30-2010</t>
  </si>
  <si>
    <t>3 months
FQ1/CQ3
Sep-30-2010</t>
  </si>
  <si>
    <t>3 months
FQ2/CQ4
Dec-31-2010</t>
  </si>
  <si>
    <t>3 months
FQ3/CQ1
Mar-31-2011</t>
  </si>
  <si>
    <t>3 months
FQ4/CQ2
Jun-30-2011</t>
  </si>
  <si>
    <t>3 months
FQ1/CQ3
Sep-30-2011</t>
  </si>
  <si>
    <t>3 months
FQ2/CQ4
Dec-31-2011</t>
  </si>
  <si>
    <t>3 months
FQ3/CQ1
Mar-31-2012</t>
  </si>
  <si>
    <t>3 months
FQ4/CQ2
Jun-30-2012</t>
  </si>
  <si>
    <t>3 months
FQ1/CQ3
Sep-30-2012</t>
  </si>
  <si>
    <t>3 months
FQ2/CQ4
Dec-31-2012</t>
  </si>
  <si>
    <t>3 months
FQ3/CQ1
Mar-31-2013</t>
  </si>
  <si>
    <t>3 months
FQ4/CQ2
Jun-30-2013</t>
  </si>
  <si>
    <t>Reclassified
3 months
FQ1/CQ3
Sep-30-2013</t>
  </si>
  <si>
    <t>Reclassified
3 months
FQ2/CQ4
Dec-31-2013</t>
  </si>
  <si>
    <t>Reclassified
3 months
FQ3/CQ1
Mar-31-2014</t>
  </si>
  <si>
    <t>Reclassified
3 months
FQ4/CQ2
Jun-30-2014</t>
  </si>
  <si>
    <t>3 months
FQ1/CQ3
Sep-30-2014</t>
  </si>
  <si>
    <t>3 months
FQ2/CQ4
Dec-31-2014</t>
  </si>
  <si>
    <t>3 months
FQ3/CQ1
Mar-31-2015</t>
  </si>
  <si>
    <t>3 months
FQ4/CQ2
Jun-30-2015</t>
  </si>
  <si>
    <t>Restated
3 months
FQ1/CQ3
Sep-30-2015</t>
  </si>
  <si>
    <t>Restated
3 months
FQ2/CQ4
Dec-31-2015</t>
  </si>
  <si>
    <t>3 months
FQ3/CQ1
Mar-31-2016</t>
  </si>
  <si>
    <t>3 months
FQ4/CQ2
Jun-30-2016</t>
  </si>
  <si>
    <t>Restated
3 months
FQ1/CQ3
Sep-30-2016</t>
  </si>
  <si>
    <t>Restated
3 months
FQ2/CQ4
Dec-31-2016</t>
  </si>
  <si>
    <t>Restated
3 months
FQ3/CQ1
Mar-31-2017</t>
  </si>
  <si>
    <t>Restated
3 months
FQ4/CQ2
Jun-30-2017</t>
  </si>
  <si>
    <t>3 months
FQ1/CQ3
Sep-30-2017</t>
  </si>
  <si>
    <t>3 months
FQ2/CQ4
Dec-31-2017</t>
  </si>
  <si>
    <t>3 months
FQ3/CQ1
Mar-31-2018</t>
  </si>
  <si>
    <t>3 months
FQ4/CQ2
Jun-30-2018</t>
  </si>
  <si>
    <t>3 months
FQ1/CQ3
Sep-30-2018</t>
  </si>
  <si>
    <t>3 months
FQ2/CQ4
Dec-31-2018</t>
  </si>
  <si>
    <t>3 months
FQ3/CQ1
Mar-31-2019</t>
  </si>
  <si>
    <t>3 months
FQ4/CQ2
Jun-30-2019</t>
  </si>
  <si>
    <t>3 months
FQ1/CQ3
Sep-30-2019</t>
  </si>
  <si>
    <t>3 months
FQ2/CQ4
Dec-31-2019</t>
  </si>
  <si>
    <t>3 months
FQ3/CQ1
Mar-31-2020</t>
  </si>
  <si>
    <t>Currency</t>
  </si>
  <si>
    <t>Other Revenue</t>
  </si>
  <si>
    <t xml:space="preserve">  Total Revenue</t>
  </si>
  <si>
    <t>Cost Of Goods Sold</t>
  </si>
  <si>
    <t xml:space="preserve">  Gross Profit</t>
  </si>
  <si>
    <t>Selling General &amp; Admin Exp.</t>
  </si>
  <si>
    <t>R &amp; D Exp.</t>
  </si>
  <si>
    <t>Depreciation &amp; Amort.</t>
  </si>
  <si>
    <t>Other Operating Expense/(Income)</t>
  </si>
  <si>
    <t xml:space="preserve">  Other Operating Exp., Total</t>
  </si>
  <si>
    <t xml:space="preserve">  Operating Income</t>
  </si>
  <si>
    <t>Interest Expense</t>
  </si>
  <si>
    <t>Interest and Invest. Income</t>
  </si>
  <si>
    <t xml:space="preserve">  Net Interest Exp.</t>
  </si>
  <si>
    <t>Income/(Loss) from Affiliates</t>
  </si>
  <si>
    <t>Currency Exchange Gains (Loss)</t>
  </si>
  <si>
    <t>Other Non-Operating Inc. (Exp.)</t>
  </si>
  <si>
    <t xml:space="preserve">  EBT Excl. Unusual Items</t>
  </si>
  <si>
    <t>Restructuring Charges</t>
  </si>
  <si>
    <t>Merger &amp; Related Restruct. Charges</t>
  </si>
  <si>
    <t>Impairment of Goodwill</t>
  </si>
  <si>
    <t>Gain (Loss) On Sale Of Invest.</t>
  </si>
  <si>
    <t>Gain (Loss) On Sale Of Assets</t>
  </si>
  <si>
    <t>Asset Writedown</t>
  </si>
  <si>
    <t>In Process R &amp; D Exp.</t>
  </si>
  <si>
    <t>Legal Settlements</t>
  </si>
  <si>
    <t>Other Unusual Items</t>
  </si>
  <si>
    <t xml:space="preserve">  EBT Incl. Unusual Items</t>
  </si>
  <si>
    <t>Income Tax Expense</t>
  </si>
  <si>
    <t xml:space="preserve">  Earnings from Cont. Ops.</t>
  </si>
  <si>
    <t>Earnings of Discontinued Ops.</t>
  </si>
  <si>
    <t>Extraord. Item &amp; Account. Change</t>
  </si>
  <si>
    <t xml:space="preserve">  Net Income to Company</t>
  </si>
  <si>
    <t>Minority Int. in Earnings</t>
  </si>
  <si>
    <t xml:space="preserve">  Net Income</t>
  </si>
  <si>
    <t>Pref. Dividends and Other Adj.</t>
  </si>
  <si>
    <t xml:space="preserve">  NI to Common Incl Extra Items</t>
  </si>
  <si>
    <t xml:space="preserve">  NI to Common Excl. Extra Items</t>
  </si>
  <si>
    <t>Per Share Items</t>
  </si>
  <si>
    <t>Basic EPS</t>
  </si>
  <si>
    <t>Basic EPS Excl. Extra Items</t>
  </si>
  <si>
    <t>Weighted Avg. Basic Shares Out.</t>
  </si>
  <si>
    <t>Diluted EPS</t>
  </si>
  <si>
    <t>Diluted EPS Excl. Extra Items</t>
  </si>
  <si>
    <t>Weighted Avg. Diluted Shares Out.</t>
  </si>
  <si>
    <t>Normalized Basic EPS</t>
  </si>
  <si>
    <t>Normalized Diluted EPS</t>
  </si>
  <si>
    <t>Dividends per Share</t>
  </si>
  <si>
    <t>Payout Ratio %</t>
  </si>
  <si>
    <t>Shares per Depository Receipt</t>
  </si>
  <si>
    <t>Supplemental Items</t>
  </si>
  <si>
    <t>EBITA</t>
  </si>
  <si>
    <t>EBITDAR</t>
  </si>
  <si>
    <t>As Reported Total Revenue*</t>
  </si>
  <si>
    <t>Effective Tax Rate %</t>
  </si>
  <si>
    <t>Current Domestic Taxes</t>
  </si>
  <si>
    <t>Current Foreign Taxes</t>
  </si>
  <si>
    <t>Total Current Taxes</t>
  </si>
  <si>
    <t>Deferred Domestic Taxes</t>
  </si>
  <si>
    <t>Deferred Foreign Taxes</t>
  </si>
  <si>
    <t>Total Deferred Taxes</t>
  </si>
  <si>
    <t>Normalized Net Income</t>
  </si>
  <si>
    <t>NI per SFAS 123 (after Options)</t>
  </si>
  <si>
    <t>Interest Capitalized</t>
  </si>
  <si>
    <t>Interest on Long Term Debt</t>
  </si>
  <si>
    <t>Filing Date</t>
  </si>
  <si>
    <t>Restatement Type</t>
  </si>
  <si>
    <t>RS</t>
  </si>
  <si>
    <t>NC</t>
  </si>
  <si>
    <t>RC</t>
  </si>
  <si>
    <t>O</t>
  </si>
  <si>
    <t>NCA</t>
  </si>
  <si>
    <t>RCA</t>
  </si>
  <si>
    <t>Calculation Type</t>
  </si>
  <si>
    <t>REP</t>
  </si>
  <si>
    <t>INTQ</t>
  </si>
  <si>
    <t>Q4</t>
  </si>
  <si>
    <t>Supplemental Operating Expense Items</t>
  </si>
  <si>
    <t>Advertising Exp.</t>
  </si>
  <si>
    <t>Selling and Marketing Exp.</t>
  </si>
  <si>
    <t>General and Administrative Exp.</t>
  </si>
  <si>
    <t>R&amp;D Exp.</t>
  </si>
  <si>
    <t>Net Rental Exp.</t>
  </si>
  <si>
    <t>Imputed Oper. Lease Interest Exp.</t>
  </si>
  <si>
    <t>Imputed Oper. Lease Depreciation</t>
  </si>
  <si>
    <t>Stock-Based Comp., G&amp;A Exp.</t>
  </si>
  <si>
    <t>Stock-Based Comp., Unallocated</t>
  </si>
  <si>
    <t xml:space="preserve">  Stock-Based Comp., Total</t>
  </si>
  <si>
    <t xml:space="preserve">Balance Sheet as of:
</t>
  </si>
  <si>
    <t>Restated
Jun-30-1992</t>
  </si>
  <si>
    <t>Restated
Jun-30-1998</t>
  </si>
  <si>
    <t>Restated
Jun-30-1999</t>
  </si>
  <si>
    <t>Restated
Jun-30-2001</t>
  </si>
  <si>
    <t>Restated
Jun-30-2003</t>
  </si>
  <si>
    <t>Restated
Jun-30-2004</t>
  </si>
  <si>
    <t>Restated
Jun-30-2015</t>
  </si>
  <si>
    <t>Restated
Jun-30-2016</t>
  </si>
  <si>
    <t>Restated
Jun-30-2017</t>
  </si>
  <si>
    <t>FQ1/CQ3
Sep-30-1992</t>
  </si>
  <si>
    <t>FQ2/CQ4
Dec-31-1992</t>
  </si>
  <si>
    <t>FQ3/CQ1
Mar-31-1993</t>
  </si>
  <si>
    <t>FQ4/CQ2
Jun-30-1993</t>
  </si>
  <si>
    <t>FQ1/CQ3
Sep-30-1993</t>
  </si>
  <si>
    <t>FQ2/CQ4
Dec-31-1993</t>
  </si>
  <si>
    <t>FQ3/CQ1
Mar-31-1994</t>
  </si>
  <si>
    <t>FQ4/CQ2
Jun-30-1994</t>
  </si>
  <si>
    <t>FQ1/CQ3
Sep-30-1994</t>
  </si>
  <si>
    <t>FQ2/CQ4
Dec-31-1994</t>
  </si>
  <si>
    <t>FQ3/CQ1
Mar-31-1995</t>
  </si>
  <si>
    <t>FQ4/CQ2
Jun-30-1995</t>
  </si>
  <si>
    <t>FQ1/CQ3
Sep-30-1995</t>
  </si>
  <si>
    <t>FQ2/CQ4
Dec-31-1995</t>
  </si>
  <si>
    <t>FQ3/CQ1
Mar-31-1996</t>
  </si>
  <si>
    <t>FQ4/CQ2
Jun-30-1996</t>
  </si>
  <si>
    <t>FQ1/CQ3
Sep-30-1996</t>
  </si>
  <si>
    <t>FQ2/CQ4
Dec-31-1996</t>
  </si>
  <si>
    <t>FQ3/CQ1
Mar-31-1997</t>
  </si>
  <si>
    <t>FQ4/CQ2
Jun-30-1997</t>
  </si>
  <si>
    <t>FQ1/CQ3
Sep-30-1997</t>
  </si>
  <si>
    <t>FQ2/CQ4
Dec-31-1997</t>
  </si>
  <si>
    <t>FQ3/CQ1
Mar-31-1998</t>
  </si>
  <si>
    <t>Restated
FQ4/CQ2
Jun-30-1998</t>
  </si>
  <si>
    <t>FQ1/CQ3
Sep-30-1998</t>
  </si>
  <si>
    <t>FQ2/CQ4
Dec-31-1998</t>
  </si>
  <si>
    <t>FQ3/CQ1
Mar-31-1999</t>
  </si>
  <si>
    <t>Restated
FQ4/CQ2
Jun-30-1999</t>
  </si>
  <si>
    <t>FQ1/CQ3
Sep-30-1999</t>
  </si>
  <si>
    <t>FQ2/CQ4
Dec-31-1999</t>
  </si>
  <si>
    <t>FQ3/CQ1
Mar-31-2000</t>
  </si>
  <si>
    <t>FQ4/CQ2
Jun-30-2000</t>
  </si>
  <si>
    <t>FQ1/CQ3
Sep-30-2000</t>
  </si>
  <si>
    <t>FQ2/CQ4
Dec-31-2000</t>
  </si>
  <si>
    <t>FQ3/CQ1
Mar-31-2001</t>
  </si>
  <si>
    <t>Restated
FQ4/CQ2
Jun-30-2001</t>
  </si>
  <si>
    <t>FQ1/CQ3
Sep-30-2001</t>
  </si>
  <si>
    <t>FQ2/CQ4
Dec-31-2001</t>
  </si>
  <si>
    <t>FQ3/CQ1
Mar-31-2002</t>
  </si>
  <si>
    <t>FQ4/CQ2
Jun-30-2002</t>
  </si>
  <si>
    <t>FQ1/CQ3
Sep-30-2002</t>
  </si>
  <si>
    <t>FQ2/CQ4
Dec-31-2002</t>
  </si>
  <si>
    <t>FQ3/CQ1
Mar-31-2003</t>
  </si>
  <si>
    <t>Restated
FQ4/CQ2
Jun-30-2003</t>
  </si>
  <si>
    <t>FQ1/CQ3
Sep-30-2003</t>
  </si>
  <si>
    <t>FQ2/CQ4
Dec-31-2003</t>
  </si>
  <si>
    <t>FQ3/CQ1
Mar-31-2004</t>
  </si>
  <si>
    <t>Restated
FQ4/CQ2
Jun-30-2004</t>
  </si>
  <si>
    <t>FQ1/CQ3
Sep-30-2004</t>
  </si>
  <si>
    <t>FQ2/CQ4
Dec-31-2004</t>
  </si>
  <si>
    <t>FQ3/CQ1
Mar-31-2005</t>
  </si>
  <si>
    <t>FQ4/CQ2
Jun-30-2005</t>
  </si>
  <si>
    <t>FQ1/CQ3
Sep-30-2005</t>
  </si>
  <si>
    <t>FQ2/CQ4
Dec-31-2005</t>
  </si>
  <si>
    <t>FQ3/CQ1
Mar-31-2006</t>
  </si>
  <si>
    <t>FQ4/CQ2
Jun-30-2006</t>
  </si>
  <si>
    <t>FQ1/CQ3
Sep-30-2006</t>
  </si>
  <si>
    <t>FQ2/CQ4
Dec-31-2006</t>
  </si>
  <si>
    <t>FQ3/CQ1
Mar-31-2007</t>
  </si>
  <si>
    <t>FQ4/CQ2
Jun-30-2007</t>
  </si>
  <si>
    <t>FQ1/CQ3
Sep-30-2007</t>
  </si>
  <si>
    <t>FQ2/CQ4
Dec-31-2007</t>
  </si>
  <si>
    <t>FQ3/CQ1
Mar-31-2008</t>
  </si>
  <si>
    <t>FQ4/CQ2
Jun-30-2008</t>
  </si>
  <si>
    <t>FQ1/CQ3
Sep-30-2008</t>
  </si>
  <si>
    <t>FQ2/CQ4
Dec-31-2008</t>
  </si>
  <si>
    <t>FQ3/CQ1
Mar-31-2009</t>
  </si>
  <si>
    <t>FQ4/CQ2
Jun-30-2009</t>
  </si>
  <si>
    <t>FQ1/CQ3
Sep-30-2009</t>
  </si>
  <si>
    <t>FQ2/CQ4
Dec-31-2009</t>
  </si>
  <si>
    <t>FQ3/CQ1
Mar-31-2010</t>
  </si>
  <si>
    <t>FQ4/CQ2
Jun-30-2010</t>
  </si>
  <si>
    <t>FQ1/CQ3
Sep-30-2010</t>
  </si>
  <si>
    <t>FQ2/CQ4
Dec-31-2010</t>
  </si>
  <si>
    <t>FQ3/CQ1
Mar-31-2011</t>
  </si>
  <si>
    <t>FQ4/CQ2
Jun-30-2011</t>
  </si>
  <si>
    <t>FQ1/CQ3
Sep-30-2011</t>
  </si>
  <si>
    <t>FQ2/CQ4
Dec-31-2011</t>
  </si>
  <si>
    <t>FQ3/CQ1
Mar-31-2012</t>
  </si>
  <si>
    <t>FQ4/CQ2
Jun-30-2012</t>
  </si>
  <si>
    <t>FQ1/CQ3
Sep-30-2012</t>
  </si>
  <si>
    <t>FQ2/CQ4
Dec-31-2012</t>
  </si>
  <si>
    <t>FQ3/CQ1
Mar-31-2013</t>
  </si>
  <si>
    <t>FQ4/CQ2
Jun-30-2013</t>
  </si>
  <si>
    <t>FQ1/CQ3
Sep-30-2013</t>
  </si>
  <si>
    <t>FQ2/CQ4
Dec-31-2013</t>
  </si>
  <si>
    <t>FQ3/CQ1
Mar-31-2014</t>
  </si>
  <si>
    <t>FQ4/CQ2
Jun-30-2014</t>
  </si>
  <si>
    <t>FQ1/CQ3
Sep-30-2014</t>
  </si>
  <si>
    <t>FQ2/CQ4
Dec-31-2014</t>
  </si>
  <si>
    <t>FQ3/CQ1
Mar-31-2015</t>
  </si>
  <si>
    <t>Restated
FQ4/CQ2
Jun-30-2015</t>
  </si>
  <si>
    <t>FQ1/CQ3
Sep-30-2015</t>
  </si>
  <si>
    <t>FQ2/CQ4
Dec-31-2015</t>
  </si>
  <si>
    <t>FQ3/CQ1
Mar-31-2016</t>
  </si>
  <si>
    <t>Restated
FQ4/CQ2
Jun-30-2016</t>
  </si>
  <si>
    <t>FQ1/CQ3
Sep-30-2016</t>
  </si>
  <si>
    <t>FQ2/CQ4
Dec-31-2016</t>
  </si>
  <si>
    <t>FQ3/CQ1
Mar-31-2017</t>
  </si>
  <si>
    <t>Restated
FQ4/CQ2
Jun-30-2017</t>
  </si>
  <si>
    <t>FQ1/CQ3
Sep-30-2017</t>
  </si>
  <si>
    <t>FQ2/CQ4
Dec-31-2017</t>
  </si>
  <si>
    <t>FQ3/CQ1
Mar-31-2018</t>
  </si>
  <si>
    <t>FQ4/CQ2
Jun-30-2018</t>
  </si>
  <si>
    <t>FQ1/CQ3
Sep-30-2018</t>
  </si>
  <si>
    <t>FQ2/CQ4
Dec-31-2018</t>
  </si>
  <si>
    <t>FQ3/CQ1
Mar-31-2019</t>
  </si>
  <si>
    <t>FQ4/CQ2
Jun-30-2019</t>
  </si>
  <si>
    <t>FQ1/CQ3
Sep-30-2019</t>
  </si>
  <si>
    <t>FQ2/CQ4
Dec-31-2019</t>
  </si>
  <si>
    <t>FQ3/CQ1
Mar-31-2020</t>
  </si>
  <si>
    <t>Cash And Equivalents</t>
  </si>
  <si>
    <t>Trading Asset Securities</t>
  </si>
  <si>
    <t xml:space="preserve">  Total Cash &amp; ST Investments</t>
  </si>
  <si>
    <t>Accounts Receivable</t>
  </si>
  <si>
    <t xml:space="preserve">  Total Receivables</t>
  </si>
  <si>
    <t>Inventory</t>
  </si>
  <si>
    <t>Deferred Tax Assets, Curr.</t>
  </si>
  <si>
    <t xml:space="preserve">  Total Current Assets</t>
  </si>
  <si>
    <t>Gross Property, Plant &amp; Equipment</t>
  </si>
  <si>
    <t xml:space="preserve">  Net Property, Plant &amp; Equipment</t>
  </si>
  <si>
    <t>Long-term Investments</t>
  </si>
  <si>
    <t>Other Intangibles</t>
  </si>
  <si>
    <t>Accounts Receivable Long-Term</t>
  </si>
  <si>
    <t>Deferred Tax Assets, LT</t>
  </si>
  <si>
    <t>Other Long-Term Assets</t>
  </si>
  <si>
    <t>LIABILITIES</t>
  </si>
  <si>
    <t>Accrued Exp.</t>
  </si>
  <si>
    <t>Short-term Borrowings</t>
  </si>
  <si>
    <t>Curr. Port. of LT Debt</t>
  </si>
  <si>
    <t>Curr. Port. of Leases</t>
  </si>
  <si>
    <t>Curr. Income Taxes Payable</t>
  </si>
  <si>
    <t>Unearned Revenue, Current</t>
  </si>
  <si>
    <t>Def. Tax Liability, Curr.</t>
  </si>
  <si>
    <t>Other Current Liabilities</t>
  </si>
  <si>
    <t xml:space="preserve">  Total Current Liabilities</t>
  </si>
  <si>
    <t>Long-Term Debt</t>
  </si>
  <si>
    <t>Long-Term Leases</t>
  </si>
  <si>
    <t>Unearned Revenue, Non-Current</t>
  </si>
  <si>
    <t>Def. Tax Liability, Non-Curr.</t>
  </si>
  <si>
    <t>Other Non-Current Liabilities</t>
  </si>
  <si>
    <t>Pref. Stock, Convertible</t>
  </si>
  <si>
    <t xml:space="preserve">  Total Pref. Equity</t>
  </si>
  <si>
    <t>Additional Paid In Capital</t>
  </si>
  <si>
    <t>Retained Earnings</t>
  </si>
  <si>
    <t>Treasury Stock</t>
  </si>
  <si>
    <t>Comprehensive Inc. and Other</t>
  </si>
  <si>
    <t xml:space="preserve">  Total Common Equity</t>
  </si>
  <si>
    <t>Minority Interest</t>
  </si>
  <si>
    <t>Total Equity</t>
  </si>
  <si>
    <t>Total Liabilities And Equity</t>
  </si>
  <si>
    <t>Total Shares Out. on Filing Date</t>
  </si>
  <si>
    <t>Total Shares Out. on Balance Sheet Date</t>
  </si>
  <si>
    <t>Book Value/Share</t>
  </si>
  <si>
    <t>Tangible Book Value</t>
  </si>
  <si>
    <t>Tangible Book Value/Share</t>
  </si>
  <si>
    <t>Debt Equivalent Oper. Leases</t>
  </si>
  <si>
    <t>Total Minority Interest</t>
  </si>
  <si>
    <t>Inventory Method</t>
  </si>
  <si>
    <t>FIFO</t>
  </si>
  <si>
    <t>Avg Cost</t>
  </si>
  <si>
    <t>Raw Materials Inventory</t>
  </si>
  <si>
    <t>Work in Progress Inventory</t>
  </si>
  <si>
    <t>Finished Goods Inventory</t>
  </si>
  <si>
    <t>Buildings</t>
  </si>
  <si>
    <t>Machinery</t>
  </si>
  <si>
    <t>Leasehold Improvements</t>
  </si>
  <si>
    <t>Full Time Employees</t>
  </si>
  <si>
    <t>Assets under Cap. Lease, Gross</t>
  </si>
  <si>
    <t>Assets under Cap. Lease, Accum. Depr.</t>
  </si>
  <si>
    <t>Accum. Allowance for Doubtful Accts</t>
  </si>
  <si>
    <t>NV</t>
  </si>
  <si>
    <t>RUP</t>
  </si>
  <si>
    <t>FWD</t>
  </si>
  <si>
    <t>Cash Flow</t>
  </si>
  <si>
    <t>12 months
Jun-30-1996</t>
  </si>
  <si>
    <t>12 months
Jun-30-1997</t>
  </si>
  <si>
    <t>Restated
12 months
Jun-30-1998</t>
  </si>
  <si>
    <t>Restated
12 months
Jun-30-1999</t>
  </si>
  <si>
    <t>Restated
12 months
Jun-30-2000</t>
  </si>
  <si>
    <t>Restated
12 months
Jun-30-2004</t>
  </si>
  <si>
    <t>12 months
Jun-30-2005</t>
  </si>
  <si>
    <t>12 months
Jun-30-2006</t>
  </si>
  <si>
    <t>12 months
Jun-30-2007</t>
  </si>
  <si>
    <t>12 months
Jun-30-2008</t>
  </si>
  <si>
    <t>12 months
Jun-30-2009</t>
  </si>
  <si>
    <t>12 months
Jun-30-2010</t>
  </si>
  <si>
    <t>12 months
Jun-30-2013</t>
  </si>
  <si>
    <t>Restated
12 months
Jun-30-2014</t>
  </si>
  <si>
    <t>Restated
12 months
Jun-30-2015</t>
  </si>
  <si>
    <t>3 months
FQ4/CQ2
Jun-30-1997</t>
  </si>
  <si>
    <t>3 months
FQ1/CQ3
Sep-30-1997</t>
  </si>
  <si>
    <t>3 months
FQ2/CQ4
Dec-31-1997</t>
  </si>
  <si>
    <t>3 months
FQ3/CQ1
Mar-31-1998</t>
  </si>
  <si>
    <t>3 months
FQ4/CQ2
Jun-30-1998</t>
  </si>
  <si>
    <t>3 months
FQ1/CQ3
Sep-30-1998</t>
  </si>
  <si>
    <t>3 months
FQ2/CQ4
Dec-31-1998</t>
  </si>
  <si>
    <t>3 months
FQ3/CQ1
Mar-31-1999</t>
  </si>
  <si>
    <t>Restated
3 months
FQ4/CQ2
Jun-30-1999</t>
  </si>
  <si>
    <t>Restated
3 months
FQ1/CQ3
Sep-30-1999</t>
  </si>
  <si>
    <t>Restated
3 months
FQ2/CQ4
Dec-31-1999</t>
  </si>
  <si>
    <t>Restated
3 months
FQ3/CQ1
Mar-31-2000</t>
  </si>
  <si>
    <t>Restated
3 months
FQ4/CQ2
Jun-30-2000</t>
  </si>
  <si>
    <t>3 months
FQ1/CQ3
Sep-30-2000</t>
  </si>
  <si>
    <t>Restated
3 months
FQ2/CQ4
Dec-31-2000</t>
  </si>
  <si>
    <t>Restated
3 months
FQ3/CQ1
Mar-31-2001</t>
  </si>
  <si>
    <t>3 months
FQ4/CQ2
Jun-30-2001</t>
  </si>
  <si>
    <t>Restated
3 months
FQ3/CQ1
Mar-31-2004</t>
  </si>
  <si>
    <t>Restated
3 months
FQ4/CQ2
Jun-30-2004</t>
  </si>
  <si>
    <t>Restated
3 months
FQ1/CQ3
Sep-30-2004</t>
  </si>
  <si>
    <t>Restated
3 months
FQ2/CQ4
Dec-31-2004</t>
  </si>
  <si>
    <t>3 months
FQ3/CQ1
Mar-31-2005</t>
  </si>
  <si>
    <t>3 months
FQ4/CQ2
Jun-30-2005</t>
  </si>
  <si>
    <t>3 months
FQ1/CQ3
Sep-30-2005</t>
  </si>
  <si>
    <t>3 months
FQ2/CQ4
Dec-31-2005</t>
  </si>
  <si>
    <t>3 months
FQ1/CQ3
Sep-30-2007</t>
  </si>
  <si>
    <t>3 months
FQ2/CQ4
Dec-31-2007</t>
  </si>
  <si>
    <t>3 months
FQ3/CQ1
Mar-31-2008</t>
  </si>
  <si>
    <t>3 months
FQ4/CQ2
Jun-30-2008</t>
  </si>
  <si>
    <t>3 months
FQ2/CQ4
Dec-31-2009</t>
  </si>
  <si>
    <t>3 months
FQ3/CQ1
Mar-31-2010</t>
  </si>
  <si>
    <t>3 months
FQ4/CQ2
Jun-30-2010</t>
  </si>
  <si>
    <t>3 months
FQ1/CQ3
Sep-30-2013</t>
  </si>
  <si>
    <t>3 months
FQ2/CQ4
Dec-31-2013</t>
  </si>
  <si>
    <t>3 months
FQ3/CQ1
Mar-31-2014</t>
  </si>
  <si>
    <t>3 months
FQ4/CQ2
Jun-30-2014</t>
  </si>
  <si>
    <t>Restated
3 months
FQ3/CQ1
Mar-31-2015</t>
  </si>
  <si>
    <t>Restated
3 months
FQ4/CQ2
Jun-30-2015</t>
  </si>
  <si>
    <t>Amort. of Goodwill and Intangibles</t>
  </si>
  <si>
    <t>Depreciation &amp; Amort., Total</t>
  </si>
  <si>
    <t>Other Amortization</t>
  </si>
  <si>
    <t>(Gain) Loss From Sale Of Assets</t>
  </si>
  <si>
    <t>(Gain) Loss On Sale Of Invest.</t>
  </si>
  <si>
    <t>Asset Writedown &amp; Restructuring Costs</t>
  </si>
  <si>
    <t>Stock-Based Compensation</t>
  </si>
  <si>
    <t>Tax Benefit from Stock Options</t>
  </si>
  <si>
    <t>Other Operating Activities</t>
  </si>
  <si>
    <t>Change in Acc. Receivable</t>
  </si>
  <si>
    <t>Change In Inventories</t>
  </si>
  <si>
    <t>Change in Acc. Payable</t>
  </si>
  <si>
    <t>Change in Unearned Rev.</t>
  </si>
  <si>
    <t>Change in Inc. Taxes</t>
  </si>
  <si>
    <t>Change in Other Net Operating Assets</t>
  </si>
  <si>
    <t xml:space="preserve">  Cash from Ops.</t>
  </si>
  <si>
    <t>Capital Expenditure</t>
  </si>
  <si>
    <t>Cash Acquisitions</t>
  </si>
  <si>
    <t>Invest. in Marketable &amp; Equity Securt.</t>
  </si>
  <si>
    <t>Net (Inc.) Dec. in Loans Originated/Sold</t>
  </si>
  <si>
    <t>Other Investing Activities</t>
  </si>
  <si>
    <t xml:space="preserve">  Cash from Investing</t>
  </si>
  <si>
    <t>Short Term Debt Issued</t>
  </si>
  <si>
    <t>Long-Term Debt Issued</t>
  </si>
  <si>
    <t>Total Debt Issued</t>
  </si>
  <si>
    <t>Short Term Debt Repaid</t>
  </si>
  <si>
    <t>Long-Term Debt Repaid</t>
  </si>
  <si>
    <t>Total Debt Repaid</t>
  </si>
  <si>
    <t>Issuance of Common Stock</t>
  </si>
  <si>
    <t>Repurchase of Common Stock</t>
  </si>
  <si>
    <t>Issuance of Pref. Stock</t>
  </si>
  <si>
    <t>Common Dividends Paid</t>
  </si>
  <si>
    <t>Pref. Dividends Paid</t>
  </si>
  <si>
    <t>Total Dividends Paid</t>
  </si>
  <si>
    <t>Special Dividend Paid</t>
  </si>
  <si>
    <t>Other Financing Activities</t>
  </si>
  <si>
    <t xml:space="preserve">  Cash from Financing</t>
  </si>
  <si>
    <t>Foreign Exchange Rate Adj.</t>
  </si>
  <si>
    <t xml:space="preserve">  Net Change in Cash</t>
  </si>
  <si>
    <t>Cash Interest Paid</t>
  </si>
  <si>
    <t>Cash Taxes Paid</t>
  </si>
  <si>
    <t>Levered Free Cash Flow</t>
  </si>
  <si>
    <t>Unlevered Free Cash Flow</t>
  </si>
  <si>
    <t>Change in Net Working Capital</t>
  </si>
  <si>
    <t>Net Debt Issued</t>
  </si>
  <si>
    <t>RSA</t>
  </si>
  <si>
    <t>CFQ</t>
  </si>
  <si>
    <t>Business Segments</t>
  </si>
  <si>
    <t xml:space="preserve">
               </t>
  </si>
  <si>
    <t>Revenues</t>
  </si>
  <si>
    <t>Windows Division</t>
  </si>
  <si>
    <t>Server and Tools</t>
  </si>
  <si>
    <t>Online Services Division</t>
  </si>
  <si>
    <t>Microsoft Business Division</t>
  </si>
  <si>
    <t>Entertainment and Devices Division</t>
  </si>
  <si>
    <t>Reconciling Amounts</t>
  </si>
  <si>
    <t>Information Worker</t>
  </si>
  <si>
    <t>MSN</t>
  </si>
  <si>
    <t>Mobile and Embedded Devices</t>
  </si>
  <si>
    <t>Home and Entertainment</t>
  </si>
  <si>
    <t>Desktop and Enterprise Software and Services</t>
  </si>
  <si>
    <t>Consumer Software, Services and Devices</t>
  </si>
  <si>
    <t>Consumer Commerce Investments</t>
  </si>
  <si>
    <t>Productivity Applications and Developer</t>
  </si>
  <si>
    <t>Consumer and Other</t>
  </si>
  <si>
    <t xml:space="preserve">  Total Revenues</t>
  </si>
  <si>
    <t>Gross Profit Before Tax</t>
  </si>
  <si>
    <t xml:space="preserve">  Total Gross Profit Before Tax</t>
  </si>
  <si>
    <t>Operating Profit Before Tax</t>
  </si>
  <si>
    <t>Unallocated Net Revenue Deferral from Windows</t>
  </si>
  <si>
    <t>Unallocated Other</t>
  </si>
  <si>
    <t>Unallocated Cost of Revenue Reconciling Amounts</t>
  </si>
  <si>
    <t>Unallocated Operating Expenses Reconciling Amounts</t>
  </si>
  <si>
    <t>Unallocated Corporate Level Activity</t>
  </si>
  <si>
    <t>Unallocated Stock - Based Compensation Expense</t>
  </si>
  <si>
    <t xml:space="preserve">  Total Operating Profit Before Tax</t>
  </si>
  <si>
    <t>Geographic Segments</t>
  </si>
  <si>
    <t>United States</t>
  </si>
  <si>
    <t>Other Countries</t>
  </si>
  <si>
    <t>Net Profit Before Tax</t>
  </si>
  <si>
    <t xml:space="preserve">  Total Net Profit Before Tax</t>
  </si>
  <si>
    <t>Ireland</t>
  </si>
  <si>
    <t>Luxembourg</t>
  </si>
  <si>
    <t>Finland</t>
  </si>
  <si>
    <t xml:space="preserve">  Total Assets</t>
  </si>
  <si>
    <t>MSFT Guidance Analysis</t>
  </si>
  <si>
    <t>Reference</t>
  </si>
  <si>
    <t>FY21 Q2e Guidance</t>
  </si>
  <si>
    <t>CRC (old)</t>
  </si>
  <si>
    <t>CRC (new)</t>
  </si>
  <si>
    <t>Cons.</t>
  </si>
  <si>
    <t>FY21 Q1 Guidance</t>
  </si>
  <si>
    <t>Q1 Actual</t>
  </si>
  <si>
    <t>Productivity and Business Process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</si>
</sst>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7">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_);\(#,##0.0%\)"/>
    <numFmt numFmtId="165" formatCode="m/d/yy;@"/>
    <numFmt numFmtId="166" formatCode="#,##0%_);\(#,##0%\)"/>
    <numFmt numFmtId="167" formatCode="0.000000000000000%"/>
    <numFmt numFmtId="168" formatCode="_(* #,##0_);_(* \(#,##0\);_(* &quot;-&quot;??_);_(@_)"/>
    <numFmt numFmtId="169" formatCode="#,##0.0\x_);\(#,##0.0\x\)"/>
    <numFmt numFmtId="170" formatCode="_(* #,##0.00_);_(* \(#,##0.00\);_(* &quot;-&quot;_);_(@_)"/>
    <numFmt numFmtId="171" formatCode="&quot;$&quot;#,##0.0_);\(&quot;$&quot;#,##0.0\)"/>
    <numFmt numFmtId="172" formatCode="_(* #,##0.0%_);_(* \(#,##0.0%\);_(* &quot;-&quot;?_);_(* @_)"/>
    <numFmt numFmtId="173" formatCode="_(* #,##0.0_);_(* \(#,##0.0\)_)\ ;_(* 0_)"/>
    <numFmt numFmtId="174" formatCode="_(&quot;$&quot;#,##0.0#_);_(\(&quot;$&quot;#,##0.0#\)_);_(&quot;$&quot;&quot; - &quot;_)"/>
    <numFmt numFmtId="175" formatCode="_(* #,##0.0#_);_(* \(#,##0.0#\)_)\ ;_(* 0_)"/>
    <numFmt numFmtId="176" formatCode="_(#,##0.0%_);_(\(#,##0.0%\)_);_(#,##0.0%_)"/>
    <numFmt numFmtId="177" formatCode="_(* #,##0.0##_);_(* \(#,##0.0##\)_)\ ;_(* 0_)"/>
    <numFmt numFmtId="178" formatCode="mmm\-dd\-yyyy"/>
    <numFmt numFmtId="179" formatCode="_(* #,##0_);_(* \(#,##0\)_)\ ;_(* 0_)"/>
    <numFmt numFmtId="180" formatCode="_(* #,##0.0\x_);_(* \(#,##0.0\x\);_(* &quot;-&quot;?_);_(* @_)"/>
    <numFmt numFmtId="181" formatCode="0.0%"/>
    <numFmt numFmtId="182" formatCode="_(* #,##0%_);_(* \(#,##0%\);_(* &quot;-&quot;?_);_(* @_)"/>
    <numFmt numFmtId="183" formatCode="_(* #,##0.000_);_(* \(#,##0.000\);_(* &quot;-&quot;??_);_(@_)"/>
    <numFmt numFmtId="184" formatCode="_(* #,##0.0_);_(* \(#,##0.0\);_(* &quot;-&quot;??_);_(@_)"/>
    <numFmt numFmtId="185" formatCode="0.000"/>
    <numFmt numFmtId="186" formatCode=";;;"/>
    <numFmt numFmtId="187" formatCode="#,##0.0"/>
    <numFmt numFmtId="188" formatCode="#,##0_);\(#,##0\);\-\-_);@_)"/>
    <numFmt numFmtId="189" formatCode="#,##0.000"/>
    <numFmt numFmtId="190" formatCode="General&quot;A&quot;"/>
    <numFmt numFmtId="191" formatCode="General&quot;E&quot;"/>
    <numFmt numFmtId="192" formatCode="#,##0.0_);\(#,##0.0\);\-\-_);@_)"/>
    <numFmt numFmtId="193" formatCode="00&quot;bp&quot;"/>
    <numFmt numFmtId="194" formatCode="#,##0.0000_);\(#,##0.0000\);\-\-_);@_)"/>
    <numFmt numFmtId="195" formatCode="#,##0.0_);\(#,##0.0\)"/>
    <numFmt numFmtId="196" formatCode="&quot;$&quot;#,##0.0_);\(&quot;$&quot;#,##0.0\);&quot;$&quot;\-\-_);@_)"/>
    <numFmt numFmtId="197" formatCode="#,##0.00_);\(#,##0.00\);\-\-_);@_)"/>
    <numFmt numFmtId="198" formatCode="#,##0.000000_);\(#,##0.000000\);\-\-_);@_)"/>
    <numFmt numFmtId="199" formatCode="#,##0.000_);\(#,##0.000\);\-\-_);@_)"/>
    <numFmt numFmtId="200" formatCode="&quot;$&quot;#,##0.0000_);\(&quot;$&quot;#,##0.0000\);&quot;$&quot;\-\-_);@_)"/>
    <numFmt numFmtId="201" formatCode="&quot;$&quot;#,##0.00000_);\(&quot;$&quot;#,##0.00000\);&quot;$&quot;\-\-_);@_)"/>
    <numFmt numFmtId="202" formatCode="_(* #,##0.000_);_(* \(#,##0.000\);_(* &quot;-&quot;_);_(@_)"/>
    <numFmt numFmtId="203" formatCode="0.0000000000000000%"/>
    <numFmt numFmtId="204" formatCode="_(* #,##0.000000_);_(* \(#,##0.000000\);_(* &quot;-&quot;??_);_(@_)"/>
    <numFmt numFmtId="205" formatCode="&quot;$&quot;#,##0.0_);[Red]\(&quot;$&quot;#,##0.0\)"/>
    <numFmt numFmtId="206" formatCode="#,##0.00;[Red]\(#,##0.00\)"/>
    <numFmt numFmtId="207" formatCode="#,##0.00&quot;%&quot;;[Red]\(#,##0.00&quot;%&quot;\)"/>
    <numFmt numFmtId="208" formatCode="#,##0.00&quot;bps&quot;;[Red]\(#,##0.00&quot;bps&quot;\)"/>
    <numFmt numFmtId="209" formatCode="#,##0_);\(#,##0\);\-\-_)"/>
    <numFmt numFmtId="210" formatCode="_(* #,##0.0_);_(* \(#,##0.0\);_(* &quot;-&quot;_);_(@_)"/>
    <numFmt numFmtId="211" formatCode="_(* #,##0%_);_(* \(#,##0%\);_(* &quot;-&quot;_);_(@_)"/>
    <numFmt numFmtId="212" formatCode="_(* #,##0.00%_);_(* \(#,##0.00%\);_(* &quot;-&quot;?_);_(* @_)"/>
  </numFmts>
  <fonts count="178">
    <font>
      <sz val="8"/>
      <color theme="1"/>
      <name val="Arial"/>
      <family val="2"/>
    </font>
    <font>
      <sz val="11"/>
      <color theme="1"/>
      <name val="Calibri"/>
      <family val="2"/>
      <scheme val="minor"/>
    </font>
    <font>
      <sz val="11"/>
      <color theme="1"/>
      <name val="Calibri"/>
      <family val="2"/>
      <scheme val="minor"/>
    </font>
    <font>
      <b/>
      <sz val="8"/>
      <color theme="1"/>
      <name val="Arial"/>
      <family val="2"/>
    </font>
    <font>
      <i/>
      <sz val="8"/>
      <color theme="1"/>
      <name val="Arial"/>
      <family val="2"/>
    </font>
    <font>
      <b/>
      <u val="singleAccounting"/>
      <sz val="8"/>
      <color theme="1"/>
      <name val="Arial"/>
      <family val="2"/>
    </font>
    <font>
      <b/>
      <i/>
      <sz val="8"/>
      <color theme="1"/>
      <name val="Arial"/>
      <family val="2"/>
    </font>
    <font>
      <sz val="8"/>
      <color rgb="FF0000FF"/>
      <name val="Arial"/>
      <family val="2"/>
    </font>
    <font>
      <u val="singleAccounting"/>
      <sz val="8"/>
      <color rgb="FF0000FF"/>
      <name val="Arial"/>
      <family val="2"/>
    </font>
    <font>
      <u val="singleAccounting"/>
      <sz val="8"/>
      <color theme="1"/>
      <name val="Arial"/>
      <family val="2"/>
    </font>
    <font>
      <sz val="8"/>
      <name val="Arial"/>
      <family val="2"/>
    </font>
    <font>
      <u val="singleAccounting"/>
      <sz val="8"/>
      <name val="Arial"/>
      <family val="2"/>
    </font>
    <font>
      <b/>
      <u/>
      <sz val="8"/>
      <color theme="1"/>
      <name val="Arial"/>
      <family val="2"/>
    </font>
    <font>
      <i/>
      <sz val="8"/>
      <color rgb="FF0000FF"/>
      <name val="Arial"/>
      <family val="2"/>
    </font>
    <font>
      <i/>
      <sz val="8"/>
      <name val="Arial"/>
      <family val="2"/>
    </font>
    <font>
      <i/>
      <u/>
      <sz val="8"/>
      <color theme="1"/>
      <name val="Arial"/>
      <family val="2"/>
    </font>
    <font>
      <sz val="8"/>
      <color theme="1"/>
      <name val="Arial"/>
      <family val="2"/>
    </font>
    <font>
      <sz val="8"/>
      <color rgb="FFFF0000"/>
      <name val="Arial"/>
      <family val="2"/>
    </font>
    <font>
      <i/>
      <sz val="8"/>
      <color theme="0"/>
      <name val="Arial"/>
      <family val="2"/>
    </font>
    <font>
      <i/>
      <sz val="8"/>
      <color rgb="FFFF0000"/>
      <name val="Arial"/>
      <family val="2"/>
    </font>
    <font>
      <u val="singleAccounting"/>
      <sz val="8"/>
      <color rgb="FFFF0000"/>
      <name val="Arial"/>
      <family val="2"/>
    </font>
    <font>
      <sz val="11"/>
      <color theme="1"/>
      <name val="Calibri"/>
      <family val="2"/>
      <scheme val="minor"/>
    </font>
    <font>
      <b/>
      <sz val="8"/>
      <color rgb="FF0000FF"/>
      <name val="Arial"/>
      <family val="2"/>
    </font>
    <font>
      <i/>
      <sz val="8"/>
      <color theme="1"/>
      <name val="Calibri"/>
      <family val="2"/>
      <scheme val="minor"/>
    </font>
    <font>
      <b/>
      <u val="singleAccounting"/>
      <sz val="8"/>
      <name val="Calibri"/>
      <family val="2"/>
      <scheme val="minor"/>
    </font>
    <font>
      <b/>
      <sz val="13"/>
      <color indexed="8"/>
      <name val="Verdana"/>
      <family val="2"/>
    </font>
    <font>
      <b/>
      <sz val="8"/>
      <name val="Arial"/>
      <family val="2"/>
    </font>
    <font>
      <sz val="8"/>
      <color indexed="8"/>
      <name val="Arial"/>
      <family val="2"/>
    </font>
    <font>
      <b/>
      <sz val="8"/>
      <color indexed="9"/>
      <name val="Verdana"/>
      <family val="2"/>
    </font>
    <font>
      <sz val="1"/>
      <color indexed="9"/>
      <name val="Symbol"/>
      <family val="1"/>
      <charset val="2"/>
    </font>
    <font>
      <b/>
      <sz val="8"/>
      <color indexed="8"/>
      <name val="Arial"/>
      <family val="2"/>
    </font>
    <font>
      <b/>
      <i/>
      <sz val="8"/>
      <color indexed="8"/>
      <name val="Arial"/>
      <family val="2"/>
    </font>
    <font>
      <b/>
      <u val="double"/>
      <sz val="8"/>
      <color indexed="8"/>
      <name val="Arial"/>
      <family val="2"/>
    </font>
    <font>
      <b/>
      <u/>
      <sz val="8"/>
      <color indexed="8"/>
      <name val="Arial"/>
      <family val="2"/>
    </font>
    <font>
      <sz val="8"/>
      <color theme="0"/>
      <name val="Arial"/>
      <family val="2"/>
    </font>
    <font>
      <sz val="9"/>
      <name val="Calibri"/>
      <family val="2"/>
      <scheme val="minor"/>
    </font>
    <font>
      <sz val="9"/>
      <color theme="1"/>
      <name val="Calibri"/>
      <family val="2"/>
      <scheme val="minor"/>
    </font>
    <font>
      <b/>
      <sz val="9"/>
      <color theme="1"/>
      <name val="Calibri"/>
      <family val="2"/>
      <scheme val="minor"/>
    </font>
    <font>
      <i/>
      <sz val="9"/>
      <name val="Calibri"/>
      <family val="2"/>
      <scheme val="minor"/>
    </font>
    <font>
      <sz val="9"/>
      <color theme="0"/>
      <name val="Calibri"/>
      <family val="2"/>
      <scheme val="minor"/>
    </font>
    <font>
      <i/>
      <sz val="9"/>
      <color theme="1"/>
      <name val="Calibri"/>
      <family val="2"/>
      <scheme val="minor"/>
    </font>
    <font>
      <b/>
      <u val="singleAccounting"/>
      <sz val="10"/>
      <name val="Calibri"/>
      <family val="2"/>
      <scheme val="minor"/>
    </font>
    <font>
      <b/>
      <u val="singleAccounting"/>
      <sz val="9"/>
      <color theme="1"/>
      <name val="Calibri"/>
      <family val="2"/>
      <scheme val="minor"/>
    </font>
    <font>
      <i/>
      <sz val="9"/>
      <color rgb="FFFF0000"/>
      <name val="Calibri"/>
      <family val="2"/>
      <scheme val="minor"/>
    </font>
    <font>
      <sz val="9"/>
      <color rgb="FF00B050"/>
      <name val="Calibri"/>
      <family val="2"/>
      <scheme val="minor"/>
    </font>
    <font>
      <i/>
      <sz val="9"/>
      <color rgb="FF0070C0"/>
      <name val="Calibri"/>
      <family val="2"/>
      <scheme val="minor"/>
    </font>
    <font>
      <sz val="9"/>
      <color rgb="FF0070C0"/>
      <name val="Calibri"/>
      <family val="2"/>
      <scheme val="minor"/>
    </font>
    <font>
      <u val="singleAccounting"/>
      <sz val="9"/>
      <name val="Calibri"/>
      <family val="2"/>
      <scheme val="minor"/>
    </font>
    <font>
      <b/>
      <i/>
      <sz val="9"/>
      <color theme="1"/>
      <name val="Calibri"/>
      <family val="2"/>
      <scheme val="minor"/>
    </font>
    <font>
      <sz val="9"/>
      <color theme="0" tint="-0.14999847407452621"/>
      <name val="Calibri"/>
      <family val="2"/>
      <scheme val="minor"/>
    </font>
    <font>
      <b/>
      <u/>
      <sz val="9"/>
      <color theme="1"/>
      <name val="Calibri"/>
      <family val="2"/>
      <scheme val="minor"/>
    </font>
    <font>
      <u val="singleAccounting"/>
      <sz val="9"/>
      <color rgb="FF0000FF"/>
      <name val="Calibri"/>
      <family val="2"/>
      <scheme val="minor"/>
    </font>
    <font>
      <u val="singleAccounting"/>
      <sz val="9"/>
      <color rgb="FF00B050"/>
      <name val="Calibri"/>
      <family val="2"/>
      <scheme val="minor"/>
    </font>
    <font>
      <u val="singleAccounting"/>
      <sz val="9"/>
      <color theme="1"/>
      <name val="Calibri"/>
      <family val="2"/>
      <scheme val="minor"/>
    </font>
    <font>
      <i/>
      <sz val="9"/>
      <color rgb="FF0000FF"/>
      <name val="Calibri"/>
      <family val="2"/>
      <scheme val="minor"/>
    </font>
    <font>
      <i/>
      <u/>
      <sz val="9"/>
      <color theme="1"/>
      <name val="Calibri"/>
      <family val="2"/>
      <scheme val="minor"/>
    </font>
    <font>
      <i/>
      <sz val="9"/>
      <color rgb="FF00B050"/>
      <name val="Calibri"/>
      <family val="2"/>
      <scheme val="minor"/>
    </font>
    <font>
      <b/>
      <i/>
      <sz val="8"/>
      <color rgb="FF0000FF"/>
      <name val="Arial"/>
      <family val="2"/>
    </font>
    <font>
      <b/>
      <u val="singleAccounting"/>
      <sz val="9"/>
      <name val="Calibri"/>
      <family val="2"/>
      <scheme val="minor"/>
    </font>
    <font>
      <sz val="9"/>
      <color rgb="FFFF0000"/>
      <name val="Calibri"/>
      <family val="2"/>
      <scheme val="minor"/>
    </font>
    <font>
      <u val="singleAccounting"/>
      <sz val="9"/>
      <color rgb="FFFF0000"/>
      <name val="Calibri"/>
      <family val="2"/>
      <scheme val="minor"/>
    </font>
    <font>
      <i/>
      <u val="singleAccounting"/>
      <sz val="9"/>
      <color theme="1"/>
      <name val="Calibri"/>
      <family val="2"/>
      <scheme val="minor"/>
    </font>
    <font>
      <i/>
      <u val="singleAccounting"/>
      <sz val="9"/>
      <name val="Calibri"/>
      <family val="2"/>
      <scheme val="minor"/>
    </font>
    <font>
      <i/>
      <u val="singleAccounting"/>
      <sz val="9"/>
      <color rgb="FFFF0000"/>
      <name val="Calibri"/>
      <family val="2"/>
      <scheme val="minor"/>
    </font>
    <font>
      <i/>
      <u val="singleAccounting"/>
      <sz val="9"/>
      <color rgb="FF0070C0"/>
      <name val="Calibri"/>
      <family val="2"/>
      <scheme val="minor"/>
    </font>
    <font>
      <b/>
      <sz val="9"/>
      <name val="Calibri"/>
      <family val="2"/>
      <scheme val="minor"/>
    </font>
    <font>
      <b/>
      <i/>
      <sz val="9"/>
      <name val="Calibri"/>
      <family val="2"/>
      <scheme val="minor"/>
    </font>
    <font>
      <b/>
      <i/>
      <sz val="9"/>
      <color rgb="FFFF0000"/>
      <name val="Calibri"/>
      <family val="2"/>
      <scheme val="minor"/>
    </font>
    <font>
      <i/>
      <u val="singleAccounting"/>
      <sz val="9"/>
      <color rgb="FF00B050"/>
      <name val="Calibri"/>
      <family val="2"/>
      <scheme val="minor"/>
    </font>
    <font>
      <sz val="10"/>
      <name val="Arial"/>
      <family val="2"/>
    </font>
    <font>
      <sz val="10"/>
      <color indexed="62"/>
      <name val="Arial"/>
      <family val="2"/>
    </font>
    <font>
      <b/>
      <sz val="10"/>
      <name val="Arial"/>
      <family val="2"/>
    </font>
    <font>
      <b/>
      <sz val="10"/>
      <color theme="0"/>
      <name val="Arial"/>
      <family val="2"/>
    </font>
    <font>
      <sz val="10"/>
      <color theme="0"/>
      <name val="Arial"/>
      <family val="2"/>
    </font>
    <font>
      <sz val="10"/>
      <color indexed="8"/>
      <name val="Arial"/>
      <family val="2"/>
    </font>
    <font>
      <b/>
      <u/>
      <sz val="10"/>
      <color theme="0"/>
      <name val="Arial"/>
      <family val="2"/>
    </font>
    <font>
      <sz val="10"/>
      <color rgb="FF000000"/>
      <name val="Arial"/>
      <family val="2"/>
    </font>
    <font>
      <b/>
      <sz val="10"/>
      <color rgb="FF000000"/>
      <name val="Arial"/>
      <family val="2"/>
    </font>
    <font>
      <sz val="10"/>
      <color rgb="FF0000FF"/>
      <name val="Arial"/>
      <family val="2"/>
    </font>
    <font>
      <sz val="10"/>
      <color rgb="FF00B050"/>
      <name val="Arial"/>
      <family val="2"/>
    </font>
    <font>
      <b/>
      <sz val="10"/>
      <color rgb="FF0000FF"/>
      <name val="Arial"/>
      <family val="2"/>
    </font>
    <font>
      <b/>
      <u/>
      <sz val="10"/>
      <color indexed="8"/>
      <name val="Arial"/>
      <family val="2"/>
    </font>
    <font>
      <b/>
      <u/>
      <sz val="10"/>
      <name val="Arial"/>
      <family val="2"/>
    </font>
    <font>
      <sz val="9"/>
      <color indexed="8"/>
      <name val="Arial"/>
      <family val="2"/>
    </font>
    <font>
      <b/>
      <sz val="10"/>
      <color indexed="8"/>
      <name val="Arial"/>
      <family val="2"/>
    </font>
    <font>
      <b/>
      <u/>
      <sz val="10"/>
      <color rgb="FF0000FF"/>
      <name val="Arial"/>
      <family val="2"/>
    </font>
    <font>
      <i/>
      <sz val="10"/>
      <name val="Arial"/>
      <family val="2"/>
    </font>
    <font>
      <sz val="10"/>
      <color indexed="12"/>
      <name val="Arial"/>
      <family val="2"/>
    </font>
    <font>
      <sz val="10"/>
      <color indexed="17"/>
      <name val="Arial"/>
      <family val="2"/>
    </font>
    <font>
      <b/>
      <i/>
      <sz val="10"/>
      <name val="Arial"/>
      <family val="2"/>
    </font>
    <font>
      <b/>
      <i/>
      <sz val="10"/>
      <color indexed="8"/>
      <name val="Arial"/>
      <family val="2"/>
    </font>
    <font>
      <b/>
      <i/>
      <sz val="10"/>
      <color rgb="FF000000"/>
      <name val="Arial"/>
      <family val="2"/>
    </font>
    <font>
      <sz val="10"/>
      <color theme="6" tint="-0.499984740745262"/>
      <name val="Arial"/>
      <family val="2"/>
    </font>
    <font>
      <b/>
      <u/>
      <sz val="10"/>
      <color theme="1"/>
      <name val="Arial"/>
      <family val="2"/>
    </font>
    <font>
      <b/>
      <i/>
      <u val="singleAccounting"/>
      <sz val="9"/>
      <color theme="1"/>
      <name val="Calibri"/>
      <family val="2"/>
      <scheme val="minor"/>
    </font>
    <font>
      <b/>
      <sz val="10"/>
      <color rgb="FFFF0000"/>
      <name val="Arial"/>
      <family val="2"/>
    </font>
    <font>
      <b/>
      <u/>
      <sz val="9"/>
      <name val="Calibri"/>
      <family val="2"/>
      <scheme val="minor"/>
    </font>
    <font>
      <sz val="10"/>
      <color theme="1"/>
      <name val="Arial"/>
      <family val="2"/>
    </font>
    <font>
      <b/>
      <sz val="10"/>
      <color theme="1"/>
      <name val="Arial"/>
      <family val="2"/>
    </font>
    <font>
      <i/>
      <sz val="10"/>
      <color theme="1"/>
      <name val="Arial"/>
      <family val="2"/>
    </font>
    <font>
      <b/>
      <u val="singleAccounting"/>
      <sz val="10"/>
      <name val="Arial"/>
      <family val="2"/>
    </font>
    <font>
      <b/>
      <i/>
      <sz val="10"/>
      <color theme="1"/>
      <name val="Arial"/>
      <family val="2"/>
    </font>
    <font>
      <b/>
      <u val="singleAccounting"/>
      <sz val="10"/>
      <color theme="1"/>
      <name val="Arial"/>
      <family val="2"/>
    </font>
    <font>
      <u/>
      <sz val="10"/>
      <color theme="1"/>
      <name val="Arial"/>
      <family val="2"/>
    </font>
    <font>
      <i/>
      <u/>
      <sz val="10"/>
      <name val="Arial"/>
      <family val="2"/>
    </font>
    <font>
      <i/>
      <sz val="9"/>
      <color theme="1"/>
      <name val="Arial"/>
      <family val="2"/>
    </font>
    <font>
      <b/>
      <u val="singleAccounting"/>
      <sz val="8"/>
      <name val="Arial"/>
      <family val="2"/>
    </font>
    <font>
      <b/>
      <i/>
      <u val="singleAccounting"/>
      <sz val="8"/>
      <name val="Arial"/>
      <family val="2"/>
    </font>
    <font>
      <i/>
      <u val="singleAccounting"/>
      <sz val="8"/>
      <name val="Arial"/>
      <family val="2"/>
    </font>
    <font>
      <b/>
      <i/>
      <sz val="8"/>
      <name val="Arial"/>
      <family val="2"/>
    </font>
    <font>
      <i/>
      <u val="singleAccounting"/>
      <sz val="8"/>
      <color theme="1"/>
      <name val="Arial"/>
      <family val="2"/>
    </font>
    <font>
      <b/>
      <i/>
      <u/>
      <sz val="8"/>
      <color theme="1"/>
      <name val="Arial"/>
      <family val="2"/>
    </font>
    <font>
      <u/>
      <sz val="8"/>
      <color theme="1"/>
      <name val="Arial"/>
      <family val="2"/>
    </font>
    <font>
      <i/>
      <u/>
      <sz val="8"/>
      <name val="Arial"/>
      <family val="2"/>
    </font>
    <font>
      <i/>
      <u val="singleAccounting"/>
      <sz val="8"/>
      <color rgb="FFFF0000"/>
      <name val="Arial"/>
      <family val="2"/>
    </font>
    <font>
      <u/>
      <sz val="8"/>
      <color rgb="FF0000FF"/>
      <name val="Arial"/>
      <family val="2"/>
    </font>
    <font>
      <u/>
      <sz val="8"/>
      <name val="Arial"/>
      <family val="2"/>
    </font>
    <font>
      <b/>
      <i/>
      <sz val="8"/>
      <color rgb="FFFF0000"/>
      <name val="Arial"/>
      <family val="2"/>
    </font>
    <font>
      <b/>
      <u/>
      <sz val="8"/>
      <name val="Arial"/>
      <family val="2"/>
    </font>
    <font>
      <u val="singleAccounting"/>
      <sz val="8"/>
      <color rgb="FF00B050"/>
      <name val="Arial"/>
      <family val="2"/>
    </font>
    <font>
      <sz val="10"/>
      <color rgb="FF666666"/>
      <name val="Segoe UI"/>
      <family val="2"/>
    </font>
    <font>
      <i/>
      <u val="singleAccounting"/>
      <sz val="8"/>
      <color rgb="FF0000FF"/>
      <name val="Arial"/>
      <family val="2"/>
    </font>
    <font>
      <u/>
      <sz val="11"/>
      <color theme="10"/>
      <name val="Calibri"/>
      <family val="2"/>
    </font>
    <font>
      <u/>
      <sz val="8"/>
      <color theme="10"/>
      <name val="Arial"/>
      <family val="2"/>
    </font>
    <font>
      <i/>
      <u/>
      <sz val="10"/>
      <color rgb="FF006A64"/>
      <name val="Arial"/>
      <family val="2"/>
    </font>
    <font>
      <sz val="8"/>
      <color rgb="FF00B050"/>
      <name val="Arial"/>
      <family val="2"/>
    </font>
    <font>
      <sz val="10"/>
      <color theme="1"/>
      <name val="Calibri"/>
      <family val="2"/>
    </font>
    <font>
      <sz val="11"/>
      <color theme="1"/>
      <name val="Calibri"/>
      <family val="2"/>
    </font>
    <font>
      <b/>
      <sz val="11"/>
      <color theme="1"/>
      <name val="Calibri"/>
      <family val="2"/>
    </font>
    <font>
      <b/>
      <sz val="16"/>
      <color theme="1"/>
      <name val="Calibri"/>
      <family val="2"/>
    </font>
    <font>
      <b/>
      <sz val="10"/>
      <color rgb="FFFF0000"/>
      <name val="Calibri"/>
      <family val="2"/>
    </font>
    <font>
      <b/>
      <sz val="28"/>
      <color theme="1"/>
      <name val="Arial"/>
      <family val="2"/>
    </font>
    <font>
      <b/>
      <sz val="9"/>
      <color indexed="81"/>
      <name val="Tahoma"/>
      <family val="2"/>
    </font>
    <font>
      <sz val="9"/>
      <color indexed="81"/>
      <name val="Tahoma"/>
      <family val="2"/>
    </font>
    <font>
      <sz val="8"/>
      <color rgb="FF666666"/>
      <name val="Arial"/>
      <family val="2"/>
    </font>
    <font>
      <b/>
      <i/>
      <u/>
      <sz val="8"/>
      <name val="Arial"/>
      <family val="2"/>
    </font>
    <font>
      <i/>
      <sz val="8"/>
      <color rgb="FF000000"/>
      <name val="Arial"/>
      <family val="2"/>
    </font>
    <font>
      <sz val="10"/>
      <color rgb="FFFF0000"/>
      <name val="Arial"/>
      <family val="2"/>
    </font>
    <font>
      <u/>
      <sz val="8"/>
      <color rgb="FFFF0000"/>
      <name val="Arial"/>
      <family val="2"/>
    </font>
    <font>
      <b/>
      <sz val="8"/>
      <color rgb="FFFF0000"/>
      <name val="Arial"/>
      <family val="2"/>
    </font>
    <font>
      <i/>
      <sz val="8"/>
      <color rgb="FF00B050"/>
      <name val="Arial"/>
      <family val="2"/>
    </font>
    <font>
      <i/>
      <sz val="10"/>
      <color rgb="FF666666"/>
      <name val="Segoe UI"/>
      <family val="2"/>
    </font>
    <font>
      <b/>
      <sz val="8"/>
      <color rgb="FF7030A0"/>
      <name val="Arial"/>
      <family val="2"/>
    </font>
    <font>
      <i/>
      <sz val="8"/>
      <color rgb="FF7030A0"/>
      <name val="Arial"/>
      <family val="2"/>
    </font>
    <font>
      <u val="singleAccounting"/>
      <sz val="8"/>
      <color theme="0" tint="-0.249977111117893"/>
      <name val="Arial"/>
      <family val="2"/>
    </font>
    <font>
      <sz val="12"/>
      <name val="Arial"/>
      <family val="2"/>
    </font>
    <font>
      <sz val="12"/>
      <color theme="1"/>
      <name val="Arial"/>
      <family val="2"/>
    </font>
    <font>
      <b/>
      <sz val="12"/>
      <name val="Arial"/>
      <family val="2"/>
    </font>
    <font>
      <i/>
      <sz val="12"/>
      <color theme="1"/>
      <name val="Arial"/>
      <family val="2"/>
    </font>
    <font>
      <b/>
      <sz val="12"/>
      <color theme="1"/>
      <name val="Arial"/>
      <family val="2"/>
    </font>
    <font>
      <i/>
      <sz val="12"/>
      <name val="Arial"/>
      <family val="2"/>
    </font>
    <font>
      <sz val="12"/>
      <color theme="0"/>
      <name val="Arial"/>
      <family val="2"/>
    </font>
    <font>
      <b/>
      <u val="singleAccounting"/>
      <sz val="12"/>
      <name val="Arial"/>
      <family val="2"/>
    </font>
    <font>
      <b/>
      <u val="singleAccounting"/>
      <sz val="12"/>
      <color theme="1"/>
      <name val="Arial"/>
      <family val="2"/>
    </font>
    <font>
      <i/>
      <sz val="12"/>
      <color rgb="FFFF0000"/>
      <name val="Arial"/>
      <family val="2"/>
    </font>
    <font>
      <sz val="12"/>
      <color rgb="FF00B050"/>
      <name val="Arial"/>
      <family val="2"/>
    </font>
    <font>
      <u/>
      <sz val="12"/>
      <color theme="1"/>
      <name val="Arial"/>
      <family val="2"/>
    </font>
    <font>
      <i/>
      <sz val="12"/>
      <color rgb="FF0070C0"/>
      <name val="Arial"/>
      <family val="2"/>
    </font>
    <font>
      <i/>
      <sz val="12"/>
      <color rgb="FF00B050"/>
      <name val="Arial"/>
      <family val="2"/>
    </font>
    <font>
      <sz val="12"/>
      <color rgb="FF0070C0"/>
      <name val="Arial"/>
      <family val="2"/>
    </font>
    <font>
      <b/>
      <u/>
      <sz val="12"/>
      <color theme="1"/>
      <name val="Arial"/>
      <family val="2"/>
    </font>
    <font>
      <sz val="12"/>
      <color rgb="FF0000FF"/>
      <name val="Arial"/>
      <family val="2"/>
    </font>
    <font>
      <u val="singleAccounting"/>
      <sz val="12"/>
      <color theme="1"/>
      <name val="Arial"/>
      <family val="2"/>
    </font>
    <font>
      <u val="singleAccounting"/>
      <sz val="12"/>
      <color rgb="FF00B050"/>
      <name val="Arial"/>
      <family val="2"/>
    </font>
    <font>
      <i/>
      <u/>
      <sz val="12"/>
      <color theme="1"/>
      <name val="Arial"/>
      <family val="2"/>
    </font>
    <font>
      <i/>
      <sz val="12"/>
      <color rgb="FF0000FF"/>
      <name val="Arial"/>
      <family val="2"/>
    </font>
    <font>
      <u val="singleAccounting"/>
      <sz val="12"/>
      <name val="Arial"/>
      <family val="2"/>
    </font>
    <font>
      <sz val="12"/>
      <color rgb="FFFF0000"/>
      <name val="Arial"/>
      <family val="2"/>
    </font>
    <font>
      <u val="singleAccounting"/>
      <sz val="12"/>
      <color rgb="FFFF0000"/>
      <name val="Arial"/>
      <family val="2"/>
    </font>
    <font>
      <b/>
      <i/>
      <sz val="12"/>
      <color theme="1"/>
      <name val="Arial"/>
      <family val="2"/>
    </font>
    <font>
      <sz val="12"/>
      <color theme="0" tint="-0.14999847407452621"/>
      <name val="Arial"/>
      <family val="2"/>
    </font>
    <font>
      <u val="singleAccounting"/>
      <sz val="12"/>
      <color rgb="FF0000FF"/>
      <name val="Arial"/>
      <family val="2"/>
    </font>
    <font>
      <u/>
      <sz val="12"/>
      <name val="Arial"/>
      <family val="2"/>
    </font>
    <font>
      <u/>
      <sz val="12"/>
      <color rgb="FF00B050"/>
      <name val="Arial"/>
      <family val="2"/>
    </font>
    <font>
      <b/>
      <sz val="12"/>
      <color theme="0"/>
      <name val="Arial"/>
      <family val="2"/>
    </font>
    <font>
      <b/>
      <i/>
      <sz val="12"/>
      <color rgb="FFFF0000"/>
      <name val="Arial"/>
      <family val="2"/>
    </font>
    <font>
      <sz val="12"/>
      <color theme="0" tint="-0.249977111117893"/>
      <name val="Arial"/>
      <family val="2"/>
    </font>
    <font>
      <sz val="11"/>
      <color rgb="FFFF0000"/>
      <name val="Arial"/>
      <family val="2"/>
    </font>
  </fonts>
  <fills count="20">
    <fill>
      <patternFill patternType="none"/>
    </fill>
    <fill>
      <patternFill patternType="gray125"/>
    </fill>
    <fill>
      <patternFill patternType="solid">
        <fgColor rgb="FFFFFF99"/>
        <bgColor indexed="64"/>
      </patternFill>
    </fill>
    <fill>
      <patternFill patternType="solid">
        <fgColor rgb="FFFFFF00"/>
        <bgColor indexed="64"/>
      </patternFill>
    </fill>
    <fill>
      <patternFill patternType="solid">
        <fgColor indexed="56"/>
        <bgColor indexed="64"/>
      </patternFill>
    </fill>
    <fill>
      <patternFill patternType="solid">
        <fgColor indexed="60"/>
        <bgColor indexed="64"/>
      </patternFill>
    </fill>
    <fill>
      <patternFill patternType="solid">
        <fgColor theme="0" tint="-0.14999847407452621"/>
        <bgColor indexed="64"/>
      </patternFill>
    </fill>
    <fill>
      <patternFill patternType="solid">
        <fgColor rgb="FFFFC000"/>
        <bgColor indexed="64"/>
      </patternFill>
    </fill>
    <fill>
      <patternFill patternType="solid">
        <fgColor theme="2"/>
        <bgColor indexed="64"/>
      </patternFill>
    </fill>
    <fill>
      <patternFill patternType="solid">
        <fgColor indexed="9"/>
        <bgColor indexed="64"/>
      </patternFill>
    </fill>
    <fill>
      <patternFill patternType="solid">
        <fgColor rgb="FF137CB1"/>
        <bgColor indexed="64"/>
      </patternFill>
    </fill>
    <fill>
      <patternFill patternType="solid">
        <fgColor theme="4"/>
        <bgColor indexed="64"/>
      </patternFill>
    </fill>
    <fill>
      <patternFill patternType="solid">
        <fgColor theme="1"/>
        <bgColor indexed="64"/>
      </patternFill>
    </fill>
    <fill>
      <patternFill patternType="solid">
        <fgColor indexed="22"/>
        <bgColor indexed="64"/>
      </patternFill>
    </fill>
    <fill>
      <patternFill patternType="solid">
        <fgColor theme="0" tint="-0.249977111117893"/>
        <bgColor indexed="64"/>
      </patternFill>
    </fill>
    <fill>
      <patternFill patternType="solid">
        <fgColor rgb="FFF2F2F2"/>
        <bgColor indexed="64"/>
      </patternFill>
    </fill>
    <fill>
      <patternFill patternType="solid">
        <fgColor rgb="FFD3D3D3"/>
        <bgColor indexed="64"/>
      </patternFill>
    </fill>
    <fill>
      <patternFill patternType="solid">
        <fgColor rgb="FFFF0000"/>
        <bgColor indexed="64"/>
      </patternFill>
    </fill>
    <fill>
      <patternFill patternType="solid">
        <fgColor rgb="FF00B050"/>
        <bgColor indexed="64"/>
      </patternFill>
    </fill>
    <fill>
      <patternFill patternType="solid">
        <fgColor rgb="FF0000FF"/>
        <bgColor indexed="64"/>
      </patternFill>
    </fill>
  </fills>
  <borders count="30">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hair">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8"/>
      </top>
      <bottom/>
      <diagonal/>
    </border>
    <border>
      <left/>
      <right style="thin">
        <color indexed="64"/>
      </right>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dashed">
        <color indexed="64"/>
      </right>
      <top/>
      <bottom/>
      <diagonal/>
    </border>
    <border>
      <left/>
      <right style="dashed">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medium">
        <color indexed="8"/>
      </bottom>
      <diagonal/>
    </border>
    <border>
      <left style="thin">
        <color indexed="64"/>
      </left>
      <right style="thin">
        <color indexed="64"/>
      </right>
      <top/>
      <bottom/>
      <diagonal/>
    </border>
    <border>
      <left style="thin">
        <color indexed="64"/>
      </left>
      <right style="thin">
        <color indexed="64"/>
      </right>
      <top style="medium">
        <color indexed="8"/>
      </top>
      <bottom/>
      <diagonal/>
    </border>
    <border>
      <left/>
      <right/>
      <top/>
      <bottom style="thin">
        <color indexed="8"/>
      </bottom>
      <diagonal/>
    </border>
    <border>
      <left/>
      <right style="thin">
        <color indexed="64"/>
      </right>
      <top style="thin">
        <color indexed="8"/>
      </top>
      <bottom/>
      <diagonal/>
    </border>
    <border>
      <left style="thin">
        <color indexed="64"/>
      </left>
      <right/>
      <top style="thin">
        <color indexed="8"/>
      </top>
      <bottom/>
      <diagonal/>
    </border>
    <border>
      <left/>
      <right style="thin">
        <color indexed="64"/>
      </right>
      <top/>
      <bottom style="thin">
        <color indexed="8"/>
      </bottom>
      <diagonal/>
    </border>
    <border>
      <left style="thin">
        <color indexed="64"/>
      </left>
      <right/>
      <top/>
      <bottom style="thin">
        <color indexed="8"/>
      </bottom>
      <diagonal/>
    </border>
    <border>
      <left style="thin">
        <color indexed="64"/>
      </left>
      <right style="thin">
        <color indexed="64"/>
      </right>
      <top/>
      <bottom style="thin">
        <color indexed="64"/>
      </bottom>
      <diagonal/>
    </border>
    <border>
      <left/>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top style="thin">
        <color indexed="8"/>
      </top>
      <bottom style="thin">
        <color indexed="64"/>
      </bottom>
      <diagonal/>
    </border>
  </borders>
  <cellStyleXfs count="19">
    <xf numFmtId="0" fontId="0" fillId="0" borderId="0"/>
    <xf numFmtId="9" fontId="16" fillId="0" borderId="0" applyFont="0" applyFill="0" applyBorder="0" applyAlignment="0" applyProtection="0"/>
    <xf numFmtId="0" fontId="21" fillId="0" borderId="0"/>
    <xf numFmtId="43" fontId="16" fillId="0" borderId="0" applyFont="0" applyFill="0" applyBorder="0" applyAlignment="0" applyProtection="0"/>
    <xf numFmtId="0" fontId="29" fillId="0" borderId="0" applyAlignment="0"/>
    <xf numFmtId="0" fontId="69" fillId="0" borderId="0"/>
    <xf numFmtId="43" fontId="69" fillId="0" borderId="0" applyFont="0" applyFill="0" applyBorder="0" applyAlignment="0" applyProtection="0"/>
    <xf numFmtId="9" fontId="69" fillId="0" borderId="0" applyFont="0" applyFill="0" applyBorder="0" applyAlignment="0" applyProtection="0"/>
    <xf numFmtId="0" fontId="2" fillId="0" borderId="0"/>
    <xf numFmtId="0" fontId="122" fillId="0" borderId="0">
      <alignment vertical="top"/>
      <protection locked="0"/>
    </xf>
    <xf numFmtId="0" fontId="123" fillId="0" borderId="0" applyNumberFormat="0" applyFill="0" applyBorder="0" applyAlignment="0" applyProtection="0"/>
    <xf numFmtId="0" fontId="126" fillId="0" borderId="0"/>
    <xf numFmtId="9" fontId="97" fillId="0" borderId="0" applyFont="0" applyFill="0" applyBorder="0" applyAlignment="0" applyProtection="0"/>
    <xf numFmtId="44" fontId="97" fillId="0" borderId="0" applyFont="0" applyFill="0" applyBorder="0" applyAlignment="0" applyProtection="0"/>
    <xf numFmtId="42" fontId="97" fillId="0" borderId="0" applyFont="0" applyFill="0" applyBorder="0" applyAlignment="0" applyProtection="0"/>
    <xf numFmtId="43" fontId="97" fillId="0" borderId="0" applyFont="0" applyFill="0" applyBorder="0" applyAlignment="0" applyProtection="0"/>
    <xf numFmtId="41" fontId="97" fillId="0" borderId="0" applyFont="0" applyFill="0" applyBorder="0" applyAlignment="0" applyProtection="0"/>
    <xf numFmtId="0" fontId="1" fillId="0" borderId="0"/>
    <xf numFmtId="0" fontId="1" fillId="0" borderId="0"/>
  </cellStyleXfs>
  <cellXfs count="1441">
    <xf numFmtId="0" fontId="0" fillId="0" borderId="0" xfId="0"/>
    <xf numFmtId="0" fontId="3" fillId="0" borderId="0" xfId="0" applyFont="1"/>
    <xf numFmtId="0" fontId="3" fillId="0" borderId="1" xfId="0" applyFont="1" applyBorder="1"/>
    <xf numFmtId="0" fontId="4" fillId="0" borderId="0" xfId="0" applyFont="1"/>
    <xf numFmtId="0" fontId="0" fillId="0" borderId="3" xfId="0" applyBorder="1"/>
    <xf numFmtId="0" fontId="3" fillId="0" borderId="2" xfId="0" applyFont="1" applyBorder="1"/>
    <xf numFmtId="0" fontId="5" fillId="0" borderId="0" xfId="0" applyFont="1" applyAlignment="1">
      <alignment horizontal="center"/>
    </xf>
    <xf numFmtId="0" fontId="6" fillId="0" borderId="0" xfId="0" applyFont="1"/>
    <xf numFmtId="41" fontId="0" fillId="0" borderId="0" xfId="0" applyNumberFormat="1"/>
    <xf numFmtId="43" fontId="0" fillId="0" borderId="0" xfId="0" applyNumberFormat="1"/>
    <xf numFmtId="41" fontId="9" fillId="0" borderId="0" xfId="0" applyNumberFormat="1" applyFont="1"/>
    <xf numFmtId="41" fontId="10" fillId="0" borderId="0" xfId="0" applyNumberFormat="1" applyFont="1"/>
    <xf numFmtId="0" fontId="0" fillId="0" borderId="0" xfId="0" applyAlignment="1">
      <alignment horizontal="left" indent="1"/>
    </xf>
    <xf numFmtId="0" fontId="4" fillId="0" borderId="0" xfId="0" applyFont="1" applyAlignment="1">
      <alignment horizontal="left" indent="1"/>
    </xf>
    <xf numFmtId="164" fontId="4" fillId="0" borderId="0" xfId="0" applyNumberFormat="1" applyFont="1" applyAlignment="1">
      <alignment horizontal="right"/>
    </xf>
    <xf numFmtId="0" fontId="4" fillId="0" borderId="0" xfId="0" applyFont="1" applyAlignment="1">
      <alignment horizontal="left" indent="2"/>
    </xf>
    <xf numFmtId="0" fontId="15" fillId="0" borderId="0" xfId="0" applyFont="1" applyAlignment="1">
      <alignment horizontal="left" indent="2"/>
    </xf>
    <xf numFmtId="0" fontId="0" fillId="0" borderId="0" xfId="0" applyAlignment="1">
      <alignment horizontal="left" indent="2"/>
    </xf>
    <xf numFmtId="0" fontId="0" fillId="0" borderId="0" xfId="0" applyAlignment="1">
      <alignment horizontal="left" indent="3"/>
    </xf>
    <xf numFmtId="0" fontId="4" fillId="0" borderId="0" xfId="0" applyFont="1" applyAlignment="1">
      <alignment horizontal="left" indent="3"/>
    </xf>
    <xf numFmtId="0" fontId="4" fillId="0" borderId="0" xfId="0" applyFont="1" applyAlignment="1">
      <alignment horizontal="left" indent="4"/>
    </xf>
    <xf numFmtId="166" fontId="4" fillId="0" borderId="0" xfId="0" applyNumberFormat="1" applyFont="1"/>
    <xf numFmtId="166" fontId="13" fillId="0" borderId="0" xfId="0" applyNumberFormat="1" applyFont="1" applyAlignment="1">
      <alignment horizontal="right"/>
    </xf>
    <xf numFmtId="166" fontId="4" fillId="0" borderId="0" xfId="0" applyNumberFormat="1" applyFont="1" applyAlignment="1">
      <alignment horizontal="right"/>
    </xf>
    <xf numFmtId="0" fontId="15" fillId="0" borderId="0" xfId="0" applyFont="1" applyAlignment="1">
      <alignment horizontal="left" indent="1"/>
    </xf>
    <xf numFmtId="166" fontId="0" fillId="0" borderId="0" xfId="0" applyNumberFormat="1" applyAlignment="1">
      <alignment horizontal="right"/>
    </xf>
    <xf numFmtId="41" fontId="9" fillId="0" borderId="0" xfId="0" applyNumberFormat="1" applyFont="1" applyAlignment="1">
      <alignment horizontal="right"/>
    </xf>
    <xf numFmtId="0" fontId="0" fillId="0" borderId="0" xfId="0" applyAlignment="1">
      <alignment horizontal="center"/>
    </xf>
    <xf numFmtId="0" fontId="4" fillId="0" borderId="0" xfId="0" applyFont="1" applyAlignment="1">
      <alignment horizontal="center"/>
    </xf>
    <xf numFmtId="41" fontId="7" fillId="0" borderId="0" xfId="0" applyNumberFormat="1" applyFont="1"/>
    <xf numFmtId="41" fontId="8" fillId="0" borderId="0" xfId="0" applyNumberFormat="1" applyFont="1"/>
    <xf numFmtId="0" fontId="4" fillId="0" borderId="0" xfId="0" applyFont="1" applyAlignment="1">
      <alignment horizontal="centerContinuous"/>
    </xf>
    <xf numFmtId="164" fontId="0" fillId="0" borderId="0" xfId="0" applyNumberFormat="1"/>
    <xf numFmtId="164" fontId="4" fillId="0" borderId="0" xfId="0" applyNumberFormat="1" applyFont="1"/>
    <xf numFmtId="41" fontId="11" fillId="0" borderId="0" xfId="0" applyNumberFormat="1" applyFont="1"/>
    <xf numFmtId="164" fontId="0" fillId="0" borderId="0" xfId="0" applyNumberFormat="1" applyAlignment="1">
      <alignment horizontal="right"/>
    </xf>
    <xf numFmtId="0" fontId="4" fillId="0" borderId="0" xfId="0" quotePrefix="1" applyFont="1" applyAlignment="1">
      <alignment horizontal="left" indent="1"/>
    </xf>
    <xf numFmtId="0" fontId="3" fillId="0" borderId="5" xfId="0" applyFont="1" applyBorder="1"/>
    <xf numFmtId="43" fontId="3" fillId="0" borderId="5" xfId="0" applyNumberFormat="1" applyFont="1" applyBorder="1"/>
    <xf numFmtId="0" fontId="3" fillId="0" borderId="5" xfId="0" applyFont="1" applyBorder="1" applyAlignment="1">
      <alignment horizontal="left" indent="2"/>
    </xf>
    <xf numFmtId="41" fontId="13" fillId="0" borderId="0" xfId="0" applyNumberFormat="1" applyFont="1"/>
    <xf numFmtId="0" fontId="0" fillId="0" borderId="0" xfId="0" applyAlignment="1">
      <alignment horizontal="right"/>
    </xf>
    <xf numFmtId="0" fontId="0" fillId="0" borderId="0" xfId="0" applyAlignment="1">
      <alignment wrapText="1"/>
    </xf>
    <xf numFmtId="166" fontId="0" fillId="0" borderId="0" xfId="0" applyNumberFormat="1" applyAlignment="1">
      <alignment wrapText="1"/>
    </xf>
    <xf numFmtId="166" fontId="4" fillId="0" borderId="0" xfId="0" applyNumberFormat="1" applyFont="1" applyAlignment="1">
      <alignment wrapText="1"/>
    </xf>
    <xf numFmtId="0" fontId="12" fillId="0" borderId="0" xfId="0" applyFont="1"/>
    <xf numFmtId="0" fontId="3" fillId="0" borderId="2" xfId="0" applyFont="1" applyBorder="1" applyAlignment="1">
      <alignment horizontal="centerContinuous"/>
    </xf>
    <xf numFmtId="0" fontId="0" fillId="0" borderId="5" xfId="0" applyBorder="1" applyAlignment="1">
      <alignment horizontal="centerContinuous"/>
    </xf>
    <xf numFmtId="0" fontId="0" fillId="0" borderId="3" xfId="0" applyBorder="1" applyAlignment="1">
      <alignment horizontal="centerContinuous"/>
    </xf>
    <xf numFmtId="0" fontId="3" fillId="0" borderId="6" xfId="0" applyFont="1" applyBorder="1" applyAlignment="1">
      <alignment vertical="center"/>
    </xf>
    <xf numFmtId="0" fontId="0" fillId="0" borderId="6" xfId="0" applyBorder="1"/>
    <xf numFmtId="0" fontId="0" fillId="0" borderId="6" xfId="0" applyBorder="1" applyAlignment="1">
      <alignment vertical="top" wrapText="1"/>
    </xf>
    <xf numFmtId="0" fontId="0" fillId="0" borderId="6" xfId="0" applyBorder="1" applyAlignment="1">
      <alignment wrapText="1"/>
    </xf>
    <xf numFmtId="14" fontId="4" fillId="0" borderId="0" xfId="0" applyNumberFormat="1" applyFont="1"/>
    <xf numFmtId="165" fontId="18" fillId="0" borderId="0" xfId="0" applyNumberFormat="1" applyFont="1" applyAlignment="1">
      <alignment horizontal="center"/>
    </xf>
    <xf numFmtId="164" fontId="19" fillId="2" borderId="0" xfId="0" applyNumberFormat="1" applyFont="1" applyFill="1"/>
    <xf numFmtId="167" fontId="0" fillId="0" borderId="0" xfId="0" applyNumberFormat="1"/>
    <xf numFmtId="164" fontId="19" fillId="0" borderId="0" xfId="0" applyNumberFormat="1" applyFont="1"/>
    <xf numFmtId="41" fontId="20" fillId="0" borderId="0" xfId="0" applyNumberFormat="1" applyFont="1"/>
    <xf numFmtId="169" fontId="4" fillId="0" borderId="0" xfId="0" applyNumberFormat="1" applyFont="1"/>
    <xf numFmtId="169" fontId="19" fillId="2" borderId="0" xfId="0" applyNumberFormat="1" applyFont="1" applyFill="1"/>
    <xf numFmtId="41" fontId="17" fillId="0" borderId="0" xfId="0" applyNumberFormat="1" applyFont="1"/>
    <xf numFmtId="169" fontId="16" fillId="0" borderId="0" xfId="2" applyNumberFormat="1" applyFont="1"/>
    <xf numFmtId="169" fontId="20" fillId="0" borderId="0" xfId="2" applyNumberFormat="1" applyFont="1"/>
    <xf numFmtId="169" fontId="20" fillId="2" borderId="0" xfId="2" applyNumberFormat="1" applyFont="1" applyFill="1"/>
    <xf numFmtId="168" fontId="0" fillId="0" borderId="0" xfId="0" applyNumberFormat="1"/>
    <xf numFmtId="41" fontId="16" fillId="0" borderId="0" xfId="2" applyNumberFormat="1" applyFont="1" applyAlignment="1">
      <alignment horizontal="right"/>
    </xf>
    <xf numFmtId="0" fontId="3" fillId="3" borderId="2" xfId="0" applyFont="1" applyFill="1" applyBorder="1"/>
    <xf numFmtId="0" fontId="3" fillId="3" borderId="5" xfId="0" applyFont="1" applyFill="1" applyBorder="1"/>
    <xf numFmtId="166" fontId="3" fillId="3" borderId="3" xfId="0" applyNumberFormat="1" applyFont="1" applyFill="1" applyBorder="1"/>
    <xf numFmtId="170" fontId="7" fillId="0" borderId="0" xfId="0" applyNumberFormat="1" applyFont="1"/>
    <xf numFmtId="43" fontId="9" fillId="0" borderId="0" xfId="0" applyNumberFormat="1" applyFont="1"/>
    <xf numFmtId="164" fontId="6" fillId="0" borderId="6" xfId="0" applyNumberFormat="1" applyFont="1" applyBorder="1"/>
    <xf numFmtId="0" fontId="0" fillId="0" borderId="1" xfId="0" applyBorder="1"/>
    <xf numFmtId="0" fontId="3" fillId="0" borderId="2" xfId="0" applyFont="1" applyBorder="1" applyAlignment="1">
      <alignment horizontal="centerContinuous" wrapText="1"/>
    </xf>
    <xf numFmtId="0" fontId="3" fillId="0" borderId="5" xfId="0" applyFont="1" applyBorder="1" applyAlignment="1">
      <alignment horizontal="centerContinuous" wrapText="1"/>
    </xf>
    <xf numFmtId="0" fontId="3" fillId="0" borderId="3" xfId="0" applyFont="1" applyBorder="1" applyAlignment="1">
      <alignment horizontal="centerContinuous" wrapText="1"/>
    </xf>
    <xf numFmtId="165" fontId="5" fillId="0" borderId="0" xfId="0" applyNumberFormat="1" applyFont="1" applyAlignment="1">
      <alignment horizontal="center"/>
    </xf>
    <xf numFmtId="0" fontId="5" fillId="0" borderId="0" xfId="0" applyFont="1" applyAlignment="1">
      <alignment horizontal="center" wrapText="1"/>
    </xf>
    <xf numFmtId="9" fontId="0" fillId="0" borderId="0" xfId="1" applyFont="1"/>
    <xf numFmtId="41" fontId="22" fillId="0" borderId="5" xfId="0" applyNumberFormat="1" applyFont="1" applyBorder="1"/>
    <xf numFmtId="166" fontId="3" fillId="0" borderId="5" xfId="0" applyNumberFormat="1" applyFont="1" applyBorder="1" applyAlignment="1">
      <alignment horizontal="right"/>
    </xf>
    <xf numFmtId="168" fontId="3" fillId="0" borderId="5" xfId="0" applyNumberFormat="1" applyFont="1" applyBorder="1"/>
    <xf numFmtId="168" fontId="9" fillId="0" borderId="0" xfId="0" applyNumberFormat="1" applyFont="1"/>
    <xf numFmtId="0" fontId="0" fillId="0" borderId="0" xfId="0" quotePrefix="1" applyAlignment="1">
      <alignment horizontal="right"/>
    </xf>
    <xf numFmtId="169" fontId="13" fillId="0" borderId="0" xfId="0" applyNumberFormat="1" applyFont="1"/>
    <xf numFmtId="171" fontId="0" fillId="0" borderId="0" xfId="0" applyNumberFormat="1" applyAlignment="1">
      <alignment horizontal="right"/>
    </xf>
    <xf numFmtId="168" fontId="0" fillId="0" borderId="0" xfId="0" applyNumberFormat="1" applyAlignment="1">
      <alignment horizontal="right"/>
    </xf>
    <xf numFmtId="169" fontId="0" fillId="0" borderId="0" xfId="0" applyNumberFormat="1" applyAlignment="1">
      <alignment horizontal="right"/>
    </xf>
    <xf numFmtId="0" fontId="3" fillId="0" borderId="1" xfId="0" applyFont="1" applyBorder="1" applyAlignment="1">
      <alignment horizontal="centerContinuous"/>
    </xf>
    <xf numFmtId="0" fontId="0" fillId="0" borderId="1" xfId="0" applyBorder="1" applyAlignment="1">
      <alignment horizontal="centerContinuous"/>
    </xf>
    <xf numFmtId="0" fontId="4" fillId="0" borderId="1" xfId="0" applyFont="1" applyBorder="1" applyAlignment="1">
      <alignment horizontal="centerContinuous"/>
    </xf>
    <xf numFmtId="41" fontId="4" fillId="0" borderId="0" xfId="0" applyNumberFormat="1" applyFont="1"/>
    <xf numFmtId="166" fontId="19" fillId="0" borderId="0" xfId="0" applyNumberFormat="1" applyFont="1" applyAlignment="1">
      <alignment horizontal="right"/>
    </xf>
    <xf numFmtId="41" fontId="14" fillId="0" borderId="0" xfId="0" applyNumberFormat="1" applyFont="1"/>
    <xf numFmtId="0" fontId="5" fillId="0" borderId="0" xfId="0" applyFont="1" applyAlignment="1">
      <alignment horizontal="left"/>
    </xf>
    <xf numFmtId="41" fontId="3" fillId="0" borderId="5" xfId="0" applyNumberFormat="1" applyFont="1" applyBorder="1"/>
    <xf numFmtId="0" fontId="23" fillId="0" borderId="0" xfId="0" applyFont="1" applyAlignment="1">
      <alignment horizontal="centerContinuous"/>
    </xf>
    <xf numFmtId="0" fontId="24" fillId="0" borderId="0" xfId="0" applyFont="1" applyAlignment="1">
      <alignment horizontal="centerContinuous"/>
    </xf>
    <xf numFmtId="0" fontId="25" fillId="0" borderId="0" xfId="0" applyFont="1"/>
    <xf numFmtId="0" fontId="10" fillId="0" borderId="0" xfId="0" applyFont="1"/>
    <xf numFmtId="0" fontId="14" fillId="0" borderId="0" xfId="0" applyFont="1" applyAlignment="1">
      <alignment wrapText="1"/>
    </xf>
    <xf numFmtId="0" fontId="26" fillId="0" borderId="0" xfId="0" applyFont="1"/>
    <xf numFmtId="0" fontId="27" fillId="0" borderId="0" xfId="0" applyFont="1" applyAlignment="1">
      <alignment horizontal="left" vertical="top"/>
    </xf>
    <xf numFmtId="49" fontId="10" fillId="0" borderId="0" xfId="0" applyNumberFormat="1" applyFont="1"/>
    <xf numFmtId="0" fontId="27" fillId="0" borderId="0" xfId="0" applyFont="1" applyAlignment="1">
      <alignment horizontal="left" vertical="center"/>
    </xf>
    <xf numFmtId="0" fontId="28" fillId="4" borderId="0" xfId="0" applyFont="1" applyFill="1"/>
    <xf numFmtId="0" fontId="29" fillId="0" borderId="0" xfId="4"/>
    <xf numFmtId="0" fontId="30" fillId="5" borderId="0" xfId="0" applyFont="1" applyFill="1" applyAlignment="1">
      <alignment wrapText="1"/>
    </xf>
    <xf numFmtId="0" fontId="30" fillId="5" borderId="0" xfId="0" applyFont="1" applyFill="1" applyAlignment="1">
      <alignment horizontal="right" wrapText="1"/>
    </xf>
    <xf numFmtId="0" fontId="31" fillId="5" borderId="0" xfId="0" applyFont="1" applyFill="1" applyAlignment="1">
      <alignment wrapText="1"/>
    </xf>
    <xf numFmtId="0" fontId="31" fillId="5" borderId="0" xfId="0" applyFont="1" applyFill="1" applyAlignment="1">
      <alignment horizontal="right" wrapText="1"/>
    </xf>
    <xf numFmtId="0" fontId="30" fillId="0" borderId="0" xfId="0" applyFont="1" applyAlignment="1">
      <alignment horizontal="left" vertical="top"/>
    </xf>
    <xf numFmtId="173" fontId="27" fillId="0" borderId="0" xfId="0" applyNumberFormat="1" applyFont="1" applyAlignment="1">
      <alignment horizontal="right" vertical="top" wrapText="1"/>
    </xf>
    <xf numFmtId="173" fontId="30" fillId="0" borderId="7" xfId="0" applyNumberFormat="1" applyFont="1" applyBorder="1" applyAlignment="1">
      <alignment horizontal="right" vertical="top" wrapText="1"/>
    </xf>
    <xf numFmtId="173" fontId="30" fillId="0" borderId="0" xfId="0" applyNumberFormat="1" applyFont="1" applyAlignment="1">
      <alignment horizontal="right" vertical="top" wrapText="1"/>
    </xf>
    <xf numFmtId="173" fontId="32" fillId="0" borderId="7" xfId="0" applyNumberFormat="1" applyFont="1" applyBorder="1" applyAlignment="1">
      <alignment horizontal="right" vertical="top" wrapText="1"/>
    </xf>
    <xf numFmtId="174" fontId="27" fillId="0" borderId="0" xfId="0" applyNumberFormat="1" applyFont="1" applyAlignment="1">
      <alignment horizontal="right" vertical="top" wrapText="1"/>
    </xf>
    <xf numFmtId="175" fontId="27" fillId="0" borderId="0" xfId="0" applyNumberFormat="1" applyFont="1" applyAlignment="1">
      <alignment horizontal="right" vertical="top" wrapText="1"/>
    </xf>
    <xf numFmtId="49" fontId="27" fillId="0" borderId="0" xfId="0" applyNumberFormat="1" applyFont="1" applyAlignment="1">
      <alignment horizontal="right" vertical="top" wrapText="1"/>
    </xf>
    <xf numFmtId="176" fontId="27" fillId="0" borderId="0" xfId="0" applyNumberFormat="1" applyFont="1" applyAlignment="1">
      <alignment horizontal="right" vertical="top" wrapText="1"/>
    </xf>
    <xf numFmtId="177" fontId="27" fillId="0" borderId="0" xfId="0" applyNumberFormat="1" applyFont="1" applyAlignment="1">
      <alignment horizontal="right" vertical="top" wrapText="1"/>
    </xf>
    <xf numFmtId="178" fontId="27" fillId="0" borderId="0" xfId="0" applyNumberFormat="1" applyFont="1" applyAlignment="1">
      <alignment horizontal="right" vertical="top" wrapText="1"/>
    </xf>
    <xf numFmtId="178" fontId="30" fillId="5" borderId="0" xfId="0" applyNumberFormat="1" applyFont="1" applyFill="1" applyAlignment="1">
      <alignment horizontal="right" wrapText="1"/>
    </xf>
    <xf numFmtId="173" fontId="33" fillId="0" borderId="0" xfId="0" applyNumberFormat="1" applyFont="1" applyAlignment="1">
      <alignment horizontal="right" vertical="top" wrapText="1"/>
    </xf>
    <xf numFmtId="173" fontId="32" fillId="0" borderId="0" xfId="0" applyNumberFormat="1" applyFont="1" applyAlignment="1">
      <alignment horizontal="right" vertical="top" wrapText="1"/>
    </xf>
    <xf numFmtId="179" fontId="27" fillId="0" borderId="0" xfId="0" applyNumberFormat="1" applyFont="1" applyAlignment="1">
      <alignment horizontal="right" vertical="top" wrapText="1"/>
    </xf>
    <xf numFmtId="0" fontId="10" fillId="0" borderId="0" xfId="0" applyFont="1" applyAlignment="1">
      <alignment vertical="top" wrapText="1"/>
    </xf>
    <xf numFmtId="0" fontId="27" fillId="0" borderId="0" xfId="0" applyFont="1" applyAlignment="1">
      <alignment horizontal="center" vertical="center"/>
    </xf>
    <xf numFmtId="0" fontId="27" fillId="0" borderId="0" xfId="0" applyFont="1" applyAlignment="1">
      <alignment horizontal="center" vertical="center" wrapText="1"/>
    </xf>
    <xf numFmtId="0" fontId="18" fillId="0" borderId="0" xfId="0" applyFont="1"/>
    <xf numFmtId="0" fontId="34" fillId="0" borderId="0" xfId="0" applyFont="1"/>
    <xf numFmtId="14" fontId="34" fillId="0" borderId="0" xfId="0" applyNumberFormat="1" applyFont="1"/>
    <xf numFmtId="0" fontId="35" fillId="0" borderId="0" xfId="0" applyFont="1"/>
    <xf numFmtId="0" fontId="36" fillId="0" borderId="0" xfId="0" applyFont="1"/>
    <xf numFmtId="14" fontId="36" fillId="0" borderId="0" xfId="0" applyNumberFormat="1" applyFont="1" applyAlignment="1">
      <alignment horizontal="center"/>
    </xf>
    <xf numFmtId="0" fontId="37" fillId="0" borderId="1" xfId="0" applyFont="1" applyBorder="1"/>
    <xf numFmtId="0" fontId="36" fillId="0" borderId="1" xfId="0" applyFont="1" applyBorder="1"/>
    <xf numFmtId="0" fontId="38" fillId="0" borderId="0" xfId="0" applyFont="1"/>
    <xf numFmtId="14" fontId="39" fillId="0" borderId="0" xfId="0" applyNumberFormat="1" applyFont="1"/>
    <xf numFmtId="0" fontId="40" fillId="0" borderId="0" xfId="0" applyFont="1"/>
    <xf numFmtId="0" fontId="41" fillId="0" borderId="0" xfId="0" applyFont="1" applyAlignment="1">
      <alignment horizontal="centerContinuous"/>
    </xf>
    <xf numFmtId="0" fontId="42" fillId="0" borderId="0" xfId="0" applyFont="1" applyAlignment="1">
      <alignment horizontal="centerContinuous"/>
    </xf>
    <xf numFmtId="0" fontId="42" fillId="0" borderId="0" xfId="0" applyFont="1" applyAlignment="1">
      <alignment horizontal="center"/>
    </xf>
    <xf numFmtId="0" fontId="42" fillId="0" borderId="8" xfId="0" applyFont="1" applyBorder="1" applyAlignment="1">
      <alignment horizontal="center"/>
    </xf>
    <xf numFmtId="168" fontId="36" fillId="0" borderId="0" xfId="3" applyNumberFormat="1" applyFont="1"/>
    <xf numFmtId="168" fontId="44" fillId="0" borderId="0" xfId="3" applyNumberFormat="1" applyFont="1"/>
    <xf numFmtId="168" fontId="35" fillId="0" borderId="0" xfId="3" applyNumberFormat="1" applyFont="1"/>
    <xf numFmtId="0" fontId="40" fillId="0" borderId="0" xfId="0" applyFont="1" applyAlignment="1">
      <alignment horizontal="left" indent="1"/>
    </xf>
    <xf numFmtId="172" fontId="40" fillId="0" borderId="0" xfId="0" applyNumberFormat="1" applyFont="1"/>
    <xf numFmtId="172" fontId="38" fillId="0" borderId="0" xfId="0" applyNumberFormat="1" applyFont="1"/>
    <xf numFmtId="172" fontId="45" fillId="0" borderId="0" xfId="0" applyNumberFormat="1" applyFont="1"/>
    <xf numFmtId="182" fontId="40" fillId="0" borderId="0" xfId="0" applyNumberFormat="1" applyFont="1"/>
    <xf numFmtId="182" fontId="38" fillId="0" borderId="0" xfId="0" applyNumberFormat="1" applyFont="1"/>
    <xf numFmtId="168" fontId="44" fillId="0" borderId="8" xfId="3" applyNumberFormat="1" applyFont="1" applyBorder="1"/>
    <xf numFmtId="172" fontId="40" fillId="0" borderId="8" xfId="0" applyNumberFormat="1" applyFont="1" applyBorder="1"/>
    <xf numFmtId="172" fontId="38" fillId="0" borderId="8" xfId="0" applyNumberFormat="1" applyFont="1" applyBorder="1"/>
    <xf numFmtId="0" fontId="35" fillId="0" borderId="8" xfId="0" applyFont="1" applyBorder="1"/>
    <xf numFmtId="168" fontId="35" fillId="0" borderId="8" xfId="3" applyNumberFormat="1" applyFont="1" applyBorder="1"/>
    <xf numFmtId="172" fontId="40" fillId="7" borderId="6" xfId="0" applyNumberFormat="1" applyFont="1" applyFill="1" applyBorder="1"/>
    <xf numFmtId="168" fontId="46" fillId="0" borderId="0" xfId="3" applyNumberFormat="1" applyFont="1"/>
    <xf numFmtId="43" fontId="36" fillId="0" borderId="0" xfId="3" applyFont="1"/>
    <xf numFmtId="7" fontId="36" fillId="0" borderId="0" xfId="0" applyNumberFormat="1" applyFont="1"/>
    <xf numFmtId="41" fontId="47" fillId="0" borderId="0" xfId="0" applyNumberFormat="1" applyFont="1"/>
    <xf numFmtId="41" fontId="47" fillId="0" borderId="8" xfId="0" applyNumberFormat="1" applyFont="1" applyBorder="1"/>
    <xf numFmtId="6" fontId="36" fillId="0" borderId="0" xfId="0" applyNumberFormat="1" applyFont="1" applyAlignment="1">
      <alignment horizontal="left" indent="1"/>
    </xf>
    <xf numFmtId="6" fontId="36" fillId="0" borderId="0" xfId="0" applyNumberFormat="1" applyFont="1"/>
    <xf numFmtId="180" fontId="40" fillId="0" borderId="0" xfId="0" applyNumberFormat="1" applyFont="1"/>
    <xf numFmtId="180" fontId="40" fillId="0" borderId="8" xfId="0" applyNumberFormat="1" applyFont="1" applyBorder="1"/>
    <xf numFmtId="180" fontId="45" fillId="0" borderId="0" xfId="0" applyNumberFormat="1" applyFont="1"/>
    <xf numFmtId="0" fontId="36" fillId="0" borderId="0" xfId="0" applyFont="1" applyAlignment="1">
      <alignment horizontal="left" indent="1"/>
    </xf>
    <xf numFmtId="0" fontId="40" fillId="0" borderId="0" xfId="0" applyFont="1" applyAlignment="1">
      <alignment horizontal="left" indent="2"/>
    </xf>
    <xf numFmtId="172" fontId="48" fillId="0" borderId="6" xfId="0" applyNumberFormat="1" applyFont="1" applyBorder="1"/>
    <xf numFmtId="180" fontId="49" fillId="0" borderId="0" xfId="0" applyNumberFormat="1" applyFont="1"/>
    <xf numFmtId="180" fontId="49" fillId="0" borderId="8" xfId="0" applyNumberFormat="1" applyFont="1" applyBorder="1"/>
    <xf numFmtId="180" fontId="35" fillId="0" borderId="0" xfId="0" applyNumberFormat="1" applyFont="1"/>
    <xf numFmtId="180" fontId="35" fillId="0" borderId="8" xfId="0" applyNumberFormat="1" applyFont="1" applyBorder="1"/>
    <xf numFmtId="0" fontId="37" fillId="0" borderId="2" xfId="0" applyFont="1" applyBorder="1"/>
    <xf numFmtId="0" fontId="35" fillId="0" borderId="3" xfId="0" applyFont="1" applyBorder="1"/>
    <xf numFmtId="0" fontId="50" fillId="0" borderId="0" xfId="0" applyFont="1"/>
    <xf numFmtId="180" fontId="51" fillId="0" borderId="0" xfId="0" applyNumberFormat="1" applyFont="1"/>
    <xf numFmtId="0" fontId="37" fillId="3" borderId="2" xfId="0" applyFont="1" applyFill="1" applyBorder="1" applyAlignment="1">
      <alignment horizontal="left" indent="1"/>
    </xf>
    <xf numFmtId="0" fontId="37" fillId="3" borderId="5" xfId="0" applyFont="1" applyFill="1" applyBorder="1"/>
    <xf numFmtId="9" fontId="37" fillId="3" borderId="5" xfId="0" applyNumberFormat="1" applyFont="1" applyFill="1" applyBorder="1"/>
    <xf numFmtId="9" fontId="37" fillId="3" borderId="3" xfId="0" applyNumberFormat="1" applyFont="1" applyFill="1" applyBorder="1"/>
    <xf numFmtId="4" fontId="35" fillId="0" borderId="0" xfId="0" applyNumberFormat="1" applyFont="1"/>
    <xf numFmtId="5" fontId="35" fillId="0" borderId="0" xfId="0" applyNumberFormat="1" applyFont="1"/>
    <xf numFmtId="0" fontId="37" fillId="0" borderId="2" xfId="0" applyFont="1" applyBorder="1" applyAlignment="1">
      <alignment horizontal="centerContinuous"/>
    </xf>
    <xf numFmtId="0" fontId="37" fillId="0" borderId="5" xfId="0" applyFont="1" applyBorder="1" applyAlignment="1">
      <alignment horizontal="centerContinuous"/>
    </xf>
    <xf numFmtId="9" fontId="37" fillId="0" borderId="5" xfId="0" applyNumberFormat="1" applyFont="1" applyBorder="1"/>
    <xf numFmtId="9" fontId="37" fillId="0" borderId="3" xfId="0" applyNumberFormat="1" applyFont="1" applyBorder="1"/>
    <xf numFmtId="0" fontId="50" fillId="0" borderId="0" xfId="0" applyFont="1" applyAlignment="1">
      <alignment horizontal="right"/>
    </xf>
    <xf numFmtId="6" fontId="35" fillId="0" borderId="0" xfId="0" applyNumberFormat="1" applyFont="1"/>
    <xf numFmtId="168" fontId="52" fillId="0" borderId="0" xfId="3" applyNumberFormat="1" applyFont="1"/>
    <xf numFmtId="43" fontId="53" fillId="0" borderId="0" xfId="3" applyFont="1"/>
    <xf numFmtId="0" fontId="37" fillId="0" borderId="0" xfId="0" applyFont="1" applyAlignment="1">
      <alignment horizontal="left" indent="1"/>
    </xf>
    <xf numFmtId="0" fontId="37" fillId="0" borderId="0" xfId="0" applyFont="1"/>
    <xf numFmtId="8" fontId="35" fillId="0" borderId="0" xfId="0" applyNumberFormat="1" applyFont="1"/>
    <xf numFmtId="10" fontId="36" fillId="0" borderId="0" xfId="0" applyNumberFormat="1" applyFont="1"/>
    <xf numFmtId="43" fontId="36" fillId="0" borderId="0" xfId="0" applyNumberFormat="1" applyFont="1"/>
    <xf numFmtId="181" fontId="36" fillId="0" borderId="0" xfId="1" applyNumberFormat="1" applyFont="1"/>
    <xf numFmtId="172" fontId="54" fillId="0" borderId="0" xfId="0" applyNumberFormat="1" applyFont="1"/>
    <xf numFmtId="14" fontId="40" fillId="0" borderId="0" xfId="0" applyNumberFormat="1" applyFont="1" applyAlignment="1">
      <alignment horizontal="center"/>
    </xf>
    <xf numFmtId="0" fontId="55" fillId="0" borderId="0" xfId="0" applyFont="1" applyAlignment="1">
      <alignment horizontal="left" indent="1"/>
    </xf>
    <xf numFmtId="168" fontId="40" fillId="0" borderId="0" xfId="3" applyNumberFormat="1" applyFont="1"/>
    <xf numFmtId="168" fontId="56" fillId="0" borderId="0" xfId="3" applyNumberFormat="1" applyFont="1"/>
    <xf numFmtId="168" fontId="56" fillId="0" borderId="8" xfId="3" applyNumberFormat="1" applyFont="1" applyBorder="1"/>
    <xf numFmtId="0" fontId="38" fillId="0" borderId="8" xfId="0" applyFont="1" applyBorder="1"/>
    <xf numFmtId="5" fontId="38" fillId="0" borderId="0" xfId="0" applyNumberFormat="1" applyFont="1" applyAlignment="1">
      <alignment horizontal="left" indent="1"/>
    </xf>
    <xf numFmtId="168" fontId="38" fillId="0" borderId="0" xfId="3" applyNumberFormat="1" applyFont="1"/>
    <xf numFmtId="0" fontId="40" fillId="0" borderId="0" xfId="0" applyFont="1" applyAlignment="1">
      <alignment horizontal="left"/>
    </xf>
    <xf numFmtId="168" fontId="38" fillId="0" borderId="8" xfId="3" applyNumberFormat="1" applyFont="1" applyBorder="1"/>
    <xf numFmtId="0" fontId="47" fillId="0" borderId="0" xfId="0" applyFont="1"/>
    <xf numFmtId="168" fontId="47" fillId="0" borderId="0" xfId="3" applyNumberFormat="1" applyFont="1"/>
    <xf numFmtId="168" fontId="47" fillId="0" borderId="8" xfId="3" applyNumberFormat="1" applyFont="1" applyBorder="1"/>
    <xf numFmtId="172" fontId="45" fillId="0" borderId="0" xfId="0" applyNumberFormat="1" applyFont="1" applyAlignment="1">
      <alignment horizontal="right"/>
    </xf>
    <xf numFmtId="0" fontId="35" fillId="0" borderId="0" xfId="0" applyFont="1" applyAlignment="1">
      <alignment horizontal="right"/>
    </xf>
    <xf numFmtId="168" fontId="44" fillId="0" borderId="0" xfId="3" applyNumberFormat="1" applyFont="1" applyBorder="1"/>
    <xf numFmtId="168" fontId="56" fillId="0" borderId="0" xfId="3" applyNumberFormat="1" applyFont="1" applyBorder="1"/>
    <xf numFmtId="168" fontId="38" fillId="0" borderId="0" xfId="3" applyNumberFormat="1" applyFont="1" applyBorder="1"/>
    <xf numFmtId="168" fontId="35" fillId="0" borderId="0" xfId="3" applyNumberFormat="1" applyFont="1" applyBorder="1"/>
    <xf numFmtId="7" fontId="35" fillId="0" borderId="0" xfId="0" applyNumberFormat="1" applyFont="1"/>
    <xf numFmtId="168" fontId="47" fillId="0" borderId="0" xfId="3" applyNumberFormat="1" applyFont="1" applyBorder="1"/>
    <xf numFmtId="0" fontId="43" fillId="0" borderId="8" xfId="0" applyFont="1" applyBorder="1" applyAlignment="1">
      <alignment horizontal="right"/>
    </xf>
    <xf numFmtId="0" fontId="4" fillId="0" borderId="0" xfId="0" applyFont="1" applyAlignment="1">
      <alignment horizontal="center" wrapText="1"/>
    </xf>
    <xf numFmtId="165" fontId="57" fillId="0" borderId="0" xfId="0" applyNumberFormat="1" applyFont="1" applyAlignment="1">
      <alignment horizontal="center"/>
    </xf>
    <xf numFmtId="0" fontId="36" fillId="0" borderId="3" xfId="0" applyFont="1" applyBorder="1"/>
    <xf numFmtId="168" fontId="0" fillId="0" borderId="0" xfId="3" applyNumberFormat="1" applyFont="1"/>
    <xf numFmtId="172" fontId="14" fillId="0" borderId="0" xfId="0" applyNumberFormat="1" applyFont="1"/>
    <xf numFmtId="0" fontId="0" fillId="0" borderId="9" xfId="0" applyBorder="1"/>
    <xf numFmtId="0" fontId="3" fillId="0" borderId="5" xfId="0" applyFont="1" applyBorder="1" applyAlignment="1">
      <alignment horizontal="centerContinuous"/>
    </xf>
    <xf numFmtId="0" fontId="3" fillId="0" borderId="3" xfId="0" applyFont="1" applyBorder="1" applyAlignment="1">
      <alignment horizontal="centerContinuous"/>
    </xf>
    <xf numFmtId="168" fontId="0" fillId="0" borderId="10" xfId="3" applyNumberFormat="1" applyFont="1" applyBorder="1"/>
    <xf numFmtId="168" fontId="0" fillId="0" borderId="0" xfId="3" applyNumberFormat="1" applyFont="1" applyBorder="1"/>
    <xf numFmtId="168" fontId="0" fillId="0" borderId="8" xfId="3" applyNumberFormat="1" applyFont="1" applyBorder="1"/>
    <xf numFmtId="172" fontId="14" fillId="0" borderId="10" xfId="0" applyNumberFormat="1" applyFont="1" applyBorder="1"/>
    <xf numFmtId="172" fontId="14" fillId="0" borderId="8" xfId="0" applyNumberFormat="1" applyFont="1" applyBorder="1"/>
    <xf numFmtId="172" fontId="14" fillId="0" borderId="11" xfId="0" applyNumberFormat="1" applyFont="1" applyBorder="1"/>
    <xf numFmtId="172" fontId="14" fillId="0" borderId="1" xfId="0" applyNumberFormat="1" applyFont="1" applyBorder="1"/>
    <xf numFmtId="172" fontId="14" fillId="0" borderId="12" xfId="0" applyNumberFormat="1" applyFont="1" applyBorder="1"/>
    <xf numFmtId="14" fontId="0" fillId="0" borderId="0" xfId="0" applyNumberFormat="1"/>
    <xf numFmtId="41" fontId="36" fillId="0" borderId="0" xfId="0" applyNumberFormat="1" applyFont="1"/>
    <xf numFmtId="0" fontId="58" fillId="0" borderId="0" xfId="0" applyFont="1" applyAlignment="1">
      <alignment horizontal="centerContinuous"/>
    </xf>
    <xf numFmtId="0" fontId="43" fillId="0" borderId="0" xfId="0" applyFont="1" applyAlignment="1">
      <alignment horizontal="right"/>
    </xf>
    <xf numFmtId="172" fontId="45" fillId="0" borderId="8" xfId="0" applyNumberFormat="1" applyFont="1" applyBorder="1"/>
    <xf numFmtId="0" fontId="42" fillId="0" borderId="13" xfId="0" applyFont="1" applyBorder="1" applyAlignment="1">
      <alignment horizontal="center"/>
    </xf>
    <xf numFmtId="0" fontId="43" fillId="0" borderId="13" xfId="0" applyFont="1" applyBorder="1" applyAlignment="1">
      <alignment horizontal="right"/>
    </xf>
    <xf numFmtId="168" fontId="44" fillId="0" borderId="13" xfId="3" applyNumberFormat="1" applyFont="1" applyBorder="1"/>
    <xf numFmtId="172" fontId="38" fillId="0" borderId="13" xfId="0" applyNumberFormat="1" applyFont="1" applyBorder="1"/>
    <xf numFmtId="172" fontId="45" fillId="0" borderId="13" xfId="0" applyNumberFormat="1" applyFont="1" applyBorder="1"/>
    <xf numFmtId="168" fontId="56" fillId="0" borderId="13" xfId="3" applyNumberFormat="1" applyFont="1" applyBorder="1"/>
    <xf numFmtId="172" fontId="40" fillId="0" borderId="13" xfId="0" applyNumberFormat="1" applyFont="1" applyBorder="1"/>
    <xf numFmtId="0" fontId="38" fillId="0" borderId="13" xfId="0" applyFont="1" applyBorder="1"/>
    <xf numFmtId="0" fontId="35" fillId="0" borderId="13" xfId="0" applyFont="1" applyBorder="1"/>
    <xf numFmtId="168" fontId="38" fillId="0" borderId="13" xfId="3" applyNumberFormat="1" applyFont="1" applyBorder="1"/>
    <xf numFmtId="168" fontId="35" fillId="0" borderId="13" xfId="3" applyNumberFormat="1" applyFont="1" applyBorder="1"/>
    <xf numFmtId="168" fontId="47" fillId="0" borderId="13" xfId="3" applyNumberFormat="1" applyFont="1" applyBorder="1"/>
    <xf numFmtId="180" fontId="35" fillId="0" borderId="13" xfId="0" applyNumberFormat="1" applyFont="1" applyBorder="1"/>
    <xf numFmtId="41" fontId="47" fillId="0" borderId="13" xfId="0" applyNumberFormat="1" applyFont="1" applyBorder="1"/>
    <xf numFmtId="180" fontId="40" fillId="0" borderId="13" xfId="0" applyNumberFormat="1" applyFont="1" applyBorder="1"/>
    <xf numFmtId="41" fontId="59" fillId="0" borderId="0" xfId="0" applyNumberFormat="1" applyFont="1"/>
    <xf numFmtId="41" fontId="60" fillId="0" borderId="0" xfId="0" applyNumberFormat="1" applyFont="1"/>
    <xf numFmtId="172" fontId="43" fillId="0" borderId="0" xfId="0" applyNumberFormat="1" applyFont="1"/>
    <xf numFmtId="172" fontId="43" fillId="0" borderId="8" xfId="0" applyNumberFormat="1" applyFont="1" applyBorder="1"/>
    <xf numFmtId="172" fontId="43" fillId="0" borderId="13" xfId="0" applyNumberFormat="1" applyFont="1" applyBorder="1"/>
    <xf numFmtId="180" fontId="60" fillId="0" borderId="0" xfId="0" applyNumberFormat="1" applyFont="1"/>
    <xf numFmtId="8" fontId="59" fillId="0" borderId="0" xfId="0" applyNumberFormat="1" applyFont="1"/>
    <xf numFmtId="43" fontId="35" fillId="0" borderId="14" xfId="0" applyNumberFormat="1" applyFont="1" applyBorder="1"/>
    <xf numFmtId="0" fontId="55" fillId="0" borderId="0" xfId="0" applyFont="1" applyAlignment="1">
      <alignment horizontal="left" indent="2"/>
    </xf>
    <xf numFmtId="0" fontId="40" fillId="0" borderId="0" xfId="0" applyFont="1" applyAlignment="1">
      <alignment horizontal="left" indent="3"/>
    </xf>
    <xf numFmtId="5" fontId="38" fillId="0" borderId="0" xfId="0" applyNumberFormat="1" applyFont="1" applyAlignment="1">
      <alignment horizontal="left" indent="2"/>
    </xf>
    <xf numFmtId="0" fontId="53" fillId="0" borderId="0" xfId="0" applyFont="1"/>
    <xf numFmtId="168" fontId="52" fillId="0" borderId="0" xfId="3" applyNumberFormat="1" applyFont="1" applyBorder="1"/>
    <xf numFmtId="168" fontId="52" fillId="0" borderId="8" xfId="3" applyNumberFormat="1" applyFont="1" applyBorder="1"/>
    <xf numFmtId="168" fontId="52" fillId="0" borderId="13" xfId="3" applyNumberFormat="1" applyFont="1" applyBorder="1"/>
    <xf numFmtId="0" fontId="35" fillId="0" borderId="0" xfId="0" applyFont="1" applyAlignment="1">
      <alignment horizontal="left" indent="1"/>
    </xf>
    <xf numFmtId="172" fontId="61" fillId="0" borderId="0" xfId="0" applyNumberFormat="1" applyFont="1"/>
    <xf numFmtId="172" fontId="62" fillId="0" borderId="0" xfId="0" applyNumberFormat="1" applyFont="1"/>
    <xf numFmtId="172" fontId="62" fillId="0" borderId="8" xfId="0" applyNumberFormat="1" applyFont="1" applyBorder="1"/>
    <xf numFmtId="172" fontId="62" fillId="0" borderId="13" xfId="0" applyNumberFormat="1" applyFont="1" applyBorder="1"/>
    <xf numFmtId="172" fontId="63" fillId="0" borderId="0" xfId="0" applyNumberFormat="1" applyFont="1"/>
    <xf numFmtId="172" fontId="64" fillId="0" borderId="0" xfId="0" applyNumberFormat="1" applyFont="1"/>
    <xf numFmtId="172" fontId="46" fillId="0" borderId="0" xfId="0" applyNumberFormat="1" applyFont="1" applyAlignment="1">
      <alignment horizontal="right"/>
    </xf>
    <xf numFmtId="172" fontId="46" fillId="0" borderId="0" xfId="0" applyNumberFormat="1" applyFont="1"/>
    <xf numFmtId="0" fontId="65" fillId="0" borderId="0" xfId="0" applyFont="1" applyAlignment="1">
      <alignment horizontal="left" indent="1"/>
    </xf>
    <xf numFmtId="168" fontId="65" fillId="0" borderId="0" xfId="3" applyNumberFormat="1" applyFont="1"/>
    <xf numFmtId="168" fontId="65" fillId="0" borderId="0" xfId="3" applyNumberFormat="1" applyFont="1" applyBorder="1"/>
    <xf numFmtId="168" fontId="65" fillId="0" borderId="8" xfId="3" applyNumberFormat="1" applyFont="1" applyBorder="1"/>
    <xf numFmtId="168" fontId="65" fillId="0" borderId="13" xfId="3" applyNumberFormat="1" applyFont="1" applyBorder="1"/>
    <xf numFmtId="0" fontId="65" fillId="0" borderId="0" xfId="0" applyFont="1"/>
    <xf numFmtId="172" fontId="48" fillId="0" borderId="0" xfId="0" applyNumberFormat="1" applyFont="1"/>
    <xf numFmtId="172" fontId="66" fillId="0" borderId="0" xfId="0" applyNumberFormat="1" applyFont="1"/>
    <xf numFmtId="172" fontId="66" fillId="0" borderId="8" xfId="0" applyNumberFormat="1" applyFont="1" applyBorder="1"/>
    <xf numFmtId="172" fontId="66" fillId="0" borderId="13" xfId="0" applyNumberFormat="1" applyFont="1" applyBorder="1"/>
    <xf numFmtId="172" fontId="67" fillId="0" borderId="0" xfId="0" applyNumberFormat="1" applyFont="1"/>
    <xf numFmtId="168" fontId="37" fillId="0" borderId="0" xfId="3" applyNumberFormat="1" applyFont="1"/>
    <xf numFmtId="172" fontId="48" fillId="0" borderId="8" xfId="0" applyNumberFormat="1" applyFont="1" applyBorder="1"/>
    <xf numFmtId="172" fontId="48" fillId="0" borderId="13" xfId="0" applyNumberFormat="1" applyFont="1" applyBorder="1"/>
    <xf numFmtId="172" fontId="61" fillId="0" borderId="8" xfId="0" applyNumberFormat="1" applyFont="1" applyBorder="1"/>
    <xf numFmtId="172" fontId="61" fillId="0" borderId="13" xfId="0" applyNumberFormat="1" applyFont="1" applyBorder="1"/>
    <xf numFmtId="0" fontId="48" fillId="0" borderId="0" xfId="0" applyFont="1" applyAlignment="1">
      <alignment horizontal="left" indent="2"/>
    </xf>
    <xf numFmtId="0" fontId="61" fillId="0" borderId="0" xfId="0" applyFont="1"/>
    <xf numFmtId="168" fontId="68" fillId="0" borderId="0" xfId="3" applyNumberFormat="1" applyFont="1"/>
    <xf numFmtId="168" fontId="68" fillId="0" borderId="0" xfId="3" applyNumberFormat="1" applyFont="1" applyBorder="1"/>
    <xf numFmtId="168" fontId="68" fillId="0" borderId="8" xfId="3" applyNumberFormat="1" applyFont="1" applyBorder="1"/>
    <xf numFmtId="168" fontId="68" fillId="0" borderId="13" xfId="3" applyNumberFormat="1" applyFont="1" applyBorder="1"/>
    <xf numFmtId="0" fontId="62" fillId="0" borderId="0" xfId="0" applyFont="1" applyAlignment="1">
      <alignment horizontal="right"/>
    </xf>
    <xf numFmtId="0" fontId="62" fillId="0" borderId="0" xfId="0" applyFont="1"/>
    <xf numFmtId="0" fontId="38" fillId="0" borderId="0" xfId="0" applyFont="1" applyAlignment="1">
      <alignment horizontal="left" indent="2"/>
    </xf>
    <xf numFmtId="0" fontId="63" fillId="0" borderId="0" xfId="0" applyFont="1" applyAlignment="1">
      <alignment horizontal="right"/>
    </xf>
    <xf numFmtId="168" fontId="62" fillId="0" borderId="0" xfId="3" applyNumberFormat="1" applyFont="1"/>
    <xf numFmtId="168" fontId="62" fillId="0" borderId="0" xfId="3" applyNumberFormat="1" applyFont="1" applyBorder="1"/>
    <xf numFmtId="168" fontId="62" fillId="0" borderId="8" xfId="3" applyNumberFormat="1" applyFont="1" applyBorder="1"/>
    <xf numFmtId="168" fontId="62" fillId="0" borderId="13" xfId="3" applyNumberFormat="1" applyFont="1" applyBorder="1"/>
    <xf numFmtId="168" fontId="53" fillId="0" borderId="0" xfId="3" applyNumberFormat="1" applyFont="1"/>
    <xf numFmtId="0" fontId="69" fillId="0" borderId="0" xfId="0" applyFont="1" applyAlignment="1">
      <alignment horizontal="right" vertical="center"/>
    </xf>
    <xf numFmtId="186" fontId="69" fillId="0" borderId="0" xfId="0" applyNumberFormat="1" applyFont="1" applyAlignment="1">
      <alignment vertical="center"/>
    </xf>
    <xf numFmtId="5" fontId="70" fillId="0" borderId="0" xfId="0" applyNumberFormat="1" applyFont="1" applyAlignment="1">
      <alignment horizontal="right"/>
    </xf>
    <xf numFmtId="0" fontId="69" fillId="0" borderId="0" xfId="0" applyFont="1"/>
    <xf numFmtId="168" fontId="69" fillId="0" borderId="0" xfId="3" applyNumberFormat="1" applyFont="1" applyAlignment="1">
      <alignment horizontal="center" vertical="center"/>
    </xf>
    <xf numFmtId="9" fontId="69" fillId="0" borderId="0" xfId="1" applyFont="1" applyFill="1" applyBorder="1" applyAlignment="1">
      <alignment horizontal="center"/>
    </xf>
    <xf numFmtId="187" fontId="69" fillId="0" borderId="0" xfId="0" applyNumberFormat="1" applyFont="1" applyAlignment="1">
      <alignment horizontal="right" vertical="center"/>
    </xf>
    <xf numFmtId="187" fontId="69" fillId="0" borderId="0" xfId="0" applyNumberFormat="1" applyFont="1" applyAlignment="1">
      <alignment vertical="center"/>
    </xf>
    <xf numFmtId="187" fontId="69" fillId="0" borderId="0" xfId="0" applyNumberFormat="1" applyFont="1" applyAlignment="1">
      <alignment horizontal="left"/>
    </xf>
    <xf numFmtId="187" fontId="70" fillId="0" borderId="0" xfId="0" applyNumberFormat="1" applyFont="1" applyAlignment="1">
      <alignment vertical="center"/>
    </xf>
    <xf numFmtId="188" fontId="69" fillId="0" borderId="0" xfId="0" applyNumberFormat="1" applyFont="1" applyAlignment="1">
      <alignment horizontal="center"/>
    </xf>
    <xf numFmtId="187" fontId="69" fillId="0" borderId="0" xfId="0" applyNumberFormat="1" applyFont="1"/>
    <xf numFmtId="187" fontId="70" fillId="0" borderId="0" xfId="0" applyNumberFormat="1" applyFont="1" applyAlignment="1">
      <alignment horizontal="center" vertical="center"/>
    </xf>
    <xf numFmtId="189" fontId="70" fillId="0" borderId="0" xfId="0" applyNumberFormat="1" applyFont="1" applyAlignment="1">
      <alignment vertical="center"/>
    </xf>
    <xf numFmtId="3" fontId="70" fillId="0" borderId="0" xfId="0" applyNumberFormat="1" applyFont="1" applyAlignment="1">
      <alignment vertical="center"/>
    </xf>
    <xf numFmtId="189" fontId="69" fillId="0" borderId="0" xfId="0" applyNumberFormat="1" applyFont="1" applyAlignment="1">
      <alignment vertical="center"/>
    </xf>
    <xf numFmtId="9" fontId="70" fillId="0" borderId="0" xfId="1" applyFont="1" applyAlignment="1">
      <alignment vertical="center"/>
    </xf>
    <xf numFmtId="168" fontId="69" fillId="0" borderId="0" xfId="3" applyNumberFormat="1" applyFont="1" applyFill="1" applyBorder="1" applyAlignment="1">
      <alignment vertical="center"/>
    </xf>
    <xf numFmtId="4" fontId="70" fillId="0" borderId="0" xfId="0" applyNumberFormat="1" applyFont="1" applyAlignment="1">
      <alignment vertical="center"/>
    </xf>
    <xf numFmtId="4" fontId="69" fillId="0" borderId="0" xfId="0" applyNumberFormat="1" applyFont="1" applyAlignment="1">
      <alignment vertical="center"/>
    </xf>
    <xf numFmtId="8" fontId="69" fillId="0" borderId="0" xfId="0" applyNumberFormat="1" applyFont="1" applyAlignment="1">
      <alignment vertical="center"/>
    </xf>
    <xf numFmtId="187" fontId="69" fillId="0" borderId="1" xfId="0" applyNumberFormat="1" applyFont="1" applyBorder="1" applyAlignment="1">
      <alignment vertical="center"/>
    </xf>
    <xf numFmtId="0" fontId="69" fillId="0" borderId="0" xfId="0" applyFont="1" applyAlignment="1">
      <alignment horizontal="right"/>
    </xf>
    <xf numFmtId="0" fontId="71" fillId="9" borderId="17" xfId="0" applyFont="1" applyFill="1" applyBorder="1" applyAlignment="1">
      <alignment horizontal="left"/>
    </xf>
    <xf numFmtId="190" fontId="72" fillId="10" borderId="5" xfId="0" applyNumberFormat="1" applyFont="1" applyFill="1" applyBorder="1" applyAlignment="1">
      <alignment horizontal="centerContinuous"/>
    </xf>
    <xf numFmtId="190" fontId="72" fillId="10" borderId="3" xfId="0" applyNumberFormat="1" applyFont="1" applyFill="1" applyBorder="1" applyAlignment="1">
      <alignment horizontal="centerContinuous"/>
    </xf>
    <xf numFmtId="191" fontId="72" fillId="10" borderId="5" xfId="0" applyNumberFormat="1" applyFont="1" applyFill="1" applyBorder="1" applyAlignment="1">
      <alignment horizontal="centerContinuous"/>
    </xf>
    <xf numFmtId="0" fontId="73" fillId="11" borderId="15" xfId="0" applyFont="1" applyFill="1" applyBorder="1"/>
    <xf numFmtId="0" fontId="73" fillId="11" borderId="9" xfId="0" applyFont="1" applyFill="1" applyBorder="1"/>
    <xf numFmtId="0" fontId="69" fillId="11" borderId="9" xfId="0" applyFont="1" applyFill="1" applyBorder="1"/>
    <xf numFmtId="0" fontId="69" fillId="0" borderId="10" xfId="0" applyFont="1" applyBorder="1"/>
    <xf numFmtId="0" fontId="71" fillId="9" borderId="18" xfId="0" applyFont="1" applyFill="1" applyBorder="1" applyAlignment="1">
      <alignment horizontal="left"/>
    </xf>
    <xf numFmtId="0" fontId="72" fillId="10" borderId="1" xfId="0" applyFont="1" applyFill="1" applyBorder="1" applyAlignment="1">
      <alignment horizontal="center"/>
    </xf>
    <xf numFmtId="0" fontId="72" fillId="10" borderId="12" xfId="0" applyFont="1" applyFill="1" applyBorder="1" applyAlignment="1">
      <alignment horizontal="center"/>
    </xf>
    <xf numFmtId="0" fontId="72" fillId="10" borderId="1" xfId="5" applyFont="1" applyFill="1" applyBorder="1" applyAlignment="1">
      <alignment horizontal="center"/>
    </xf>
    <xf numFmtId="0" fontId="69" fillId="0" borderId="19" xfId="0" applyFont="1" applyBorder="1" applyAlignment="1">
      <alignment horizontal="center"/>
    </xf>
    <xf numFmtId="190" fontId="72" fillId="11" borderId="11" xfId="0" applyNumberFormat="1" applyFont="1" applyFill="1" applyBorder="1" applyAlignment="1">
      <alignment horizontal="center"/>
    </xf>
    <xf numFmtId="190" fontId="72" fillId="11" borderId="1" xfId="0" applyNumberFormat="1" applyFont="1" applyFill="1" applyBorder="1" applyAlignment="1">
      <alignment horizontal="center"/>
    </xf>
    <xf numFmtId="191" fontId="72" fillId="11" borderId="1" xfId="0" applyNumberFormat="1" applyFont="1" applyFill="1" applyBorder="1" applyAlignment="1">
      <alignment horizontal="center"/>
    </xf>
    <xf numFmtId="191" fontId="72" fillId="11" borderId="0" xfId="0" applyNumberFormat="1" applyFont="1" applyFill="1" applyAlignment="1">
      <alignment horizontal="center"/>
    </xf>
    <xf numFmtId="0" fontId="69" fillId="0" borderId="10" xfId="0" applyFont="1" applyBorder="1" applyAlignment="1">
      <alignment horizontal="center"/>
    </xf>
    <xf numFmtId="0" fontId="69" fillId="0" borderId="0" xfId="0" applyFont="1" applyAlignment="1">
      <alignment horizontal="center"/>
    </xf>
    <xf numFmtId="0" fontId="74" fillId="0" borderId="0" xfId="0" applyFont="1" applyAlignment="1">
      <alignment horizontal="center"/>
    </xf>
    <xf numFmtId="0" fontId="75" fillId="12" borderId="20" xfId="0" applyFont="1" applyFill="1" applyBorder="1" applyAlignment="1">
      <alignment horizontal="left"/>
    </xf>
    <xf numFmtId="0" fontId="73" fillId="12" borderId="0" xfId="0" applyFont="1" applyFill="1" applyAlignment="1">
      <alignment horizontal="center"/>
    </xf>
    <xf numFmtId="0" fontId="73" fillId="12" borderId="8" xfId="0" applyFont="1" applyFill="1" applyBorder="1" applyAlignment="1">
      <alignment horizontal="center"/>
    </xf>
    <xf numFmtId="0" fontId="73" fillId="12" borderId="15" xfId="0" applyFont="1" applyFill="1" applyBorder="1" applyAlignment="1">
      <alignment horizontal="center"/>
    </xf>
    <xf numFmtId="0" fontId="73" fillId="12" borderId="9" xfId="0" applyFont="1" applyFill="1" applyBorder="1" applyAlignment="1">
      <alignment horizontal="center"/>
    </xf>
    <xf numFmtId="0" fontId="73" fillId="12" borderId="16" xfId="0" applyFont="1" applyFill="1" applyBorder="1" applyAlignment="1">
      <alignment horizontal="center"/>
    </xf>
    <xf numFmtId="0" fontId="74" fillId="0" borderId="19" xfId="0" applyFont="1" applyBorder="1" applyAlignment="1">
      <alignment horizontal="center"/>
    </xf>
    <xf numFmtId="0" fontId="74" fillId="12" borderId="10" xfId="0" applyFont="1" applyFill="1" applyBorder="1" applyAlignment="1">
      <alignment horizontal="center"/>
    </xf>
    <xf numFmtId="0" fontId="74" fillId="12" borderId="0" xfId="0" applyFont="1" applyFill="1" applyAlignment="1">
      <alignment horizontal="center"/>
    </xf>
    <xf numFmtId="0" fontId="69" fillId="12" borderId="0" xfId="0" applyFont="1" applyFill="1" applyAlignment="1">
      <alignment horizontal="center"/>
    </xf>
    <xf numFmtId="192" fontId="71" fillId="0" borderId="0" xfId="0" quotePrefix="1" applyNumberFormat="1" applyFont="1" applyAlignment="1">
      <alignment horizontal="left"/>
    </xf>
    <xf numFmtId="192" fontId="71" fillId="0" borderId="0" xfId="0" applyNumberFormat="1" applyFont="1" applyAlignment="1">
      <alignment horizontal="center"/>
    </xf>
    <xf numFmtId="192" fontId="69" fillId="0" borderId="19" xfId="0" applyNumberFormat="1" applyFont="1" applyBorder="1" applyAlignment="1">
      <alignment horizontal="left"/>
    </xf>
    <xf numFmtId="192" fontId="71" fillId="0" borderId="8" xfId="0" applyNumberFormat="1" applyFont="1" applyBorder="1" applyAlignment="1">
      <alignment horizontal="center"/>
    </xf>
    <xf numFmtId="188" fontId="69" fillId="0" borderId="8" xfId="0" applyNumberFormat="1" applyFont="1" applyBorder="1" applyAlignment="1">
      <alignment horizontal="center"/>
    </xf>
    <xf numFmtId="188" fontId="69" fillId="0" borderId="10" xfId="0" applyNumberFormat="1" applyFont="1" applyBorder="1" applyAlignment="1">
      <alignment horizontal="center"/>
    </xf>
    <xf numFmtId="192" fontId="71" fillId="0" borderId="19" xfId="0" applyNumberFormat="1" applyFont="1" applyBorder="1" applyAlignment="1">
      <alignment horizontal="center"/>
    </xf>
    <xf numFmtId="192" fontId="71" fillId="0" borderId="10" xfId="0" applyNumberFormat="1" applyFont="1" applyBorder="1" applyAlignment="1">
      <alignment horizontal="center"/>
    </xf>
    <xf numFmtId="188" fontId="76" fillId="0" borderId="0" xfId="0" applyNumberFormat="1" applyFont="1" applyAlignment="1">
      <alignment horizontal="center"/>
    </xf>
    <xf numFmtId="192" fontId="71" fillId="0" borderId="0" xfId="0" applyNumberFormat="1" applyFont="1" applyAlignment="1">
      <alignment vertical="center"/>
    </xf>
    <xf numFmtId="192" fontId="69" fillId="0" borderId="19" xfId="0" quotePrefix="1" applyNumberFormat="1" applyFont="1" applyBorder="1" applyAlignment="1">
      <alignment horizontal="left"/>
    </xf>
    <xf numFmtId="192" fontId="71" fillId="0" borderId="19" xfId="0" quotePrefix="1" applyNumberFormat="1" applyFont="1" applyBorder="1" applyAlignment="1">
      <alignment horizontal="left"/>
    </xf>
    <xf numFmtId="188" fontId="71" fillId="0" borderId="15" xfId="0" applyNumberFormat="1" applyFont="1" applyBorder="1" applyAlignment="1">
      <alignment horizontal="center"/>
    </xf>
    <xf numFmtId="188" fontId="71" fillId="0" borderId="9" xfId="0" applyNumberFormat="1" applyFont="1" applyBorder="1" applyAlignment="1">
      <alignment horizontal="center"/>
    </xf>
    <xf numFmtId="188" fontId="71" fillId="0" borderId="16" xfId="0" applyNumberFormat="1" applyFont="1" applyBorder="1" applyAlignment="1">
      <alignment horizontal="center"/>
    </xf>
    <xf numFmtId="188" fontId="77" fillId="0" borderId="9" xfId="0" applyNumberFormat="1" applyFont="1" applyBorder="1" applyAlignment="1">
      <alignment horizontal="center"/>
    </xf>
    <xf numFmtId="9" fontId="71" fillId="0" borderId="0" xfId="1" applyFont="1" applyFill="1" applyBorder="1" applyAlignment="1">
      <alignment horizontal="center"/>
    </xf>
    <xf numFmtId="192" fontId="69" fillId="0" borderId="0" xfId="0" quotePrefix="1" applyNumberFormat="1" applyFont="1" applyAlignment="1">
      <alignment horizontal="left"/>
    </xf>
    <xf numFmtId="192" fontId="69" fillId="0" borderId="0" xfId="0" applyNumberFormat="1" applyFont="1" applyAlignment="1">
      <alignment horizontal="center"/>
    </xf>
    <xf numFmtId="192" fontId="69" fillId="0" borderId="19" xfId="0" quotePrefix="1" applyNumberFormat="1" applyFont="1" applyBorder="1" applyAlignment="1">
      <alignment horizontal="left" wrapText="1"/>
    </xf>
    <xf numFmtId="192" fontId="69" fillId="0" borderId="8" xfId="0" applyNumberFormat="1" applyFont="1" applyBorder="1" applyAlignment="1">
      <alignment horizontal="center"/>
    </xf>
    <xf numFmtId="192" fontId="69" fillId="0" borderId="10" xfId="0" applyNumberFormat="1" applyFont="1" applyBorder="1" applyAlignment="1">
      <alignment horizontal="center"/>
    </xf>
    <xf numFmtId="192" fontId="69" fillId="0" borderId="0" xfId="0" applyNumberFormat="1" applyFont="1" applyAlignment="1">
      <alignment vertical="center"/>
    </xf>
    <xf numFmtId="188" fontId="69" fillId="0" borderId="21" xfId="0" applyNumberFormat="1" applyFont="1" applyBorder="1" applyAlignment="1">
      <alignment horizontal="center"/>
    </xf>
    <xf numFmtId="192" fontId="71" fillId="0" borderId="7" xfId="0" applyNumberFormat="1" applyFont="1" applyBorder="1" applyAlignment="1">
      <alignment horizontal="center"/>
    </xf>
    <xf numFmtId="192" fontId="71" fillId="0" borderId="22" xfId="0" applyNumberFormat="1" applyFont="1" applyBorder="1" applyAlignment="1">
      <alignment horizontal="center"/>
    </xf>
    <xf numFmtId="188" fontId="71" fillId="0" borderId="7" xfId="0" applyNumberFormat="1" applyFont="1" applyBorder="1" applyAlignment="1">
      <alignment horizontal="center"/>
    </xf>
    <xf numFmtId="188" fontId="71" fillId="0" borderId="22" xfId="0" applyNumberFormat="1" applyFont="1" applyBorder="1" applyAlignment="1">
      <alignment horizontal="center"/>
    </xf>
    <xf numFmtId="188" fontId="71" fillId="0" borderId="23" xfId="0" applyNumberFormat="1" applyFont="1" applyBorder="1" applyAlignment="1">
      <alignment horizontal="center"/>
    </xf>
    <xf numFmtId="192" fontId="71" fillId="0" borderId="23" xfId="0" applyNumberFormat="1" applyFont="1" applyBorder="1" applyAlignment="1">
      <alignment horizontal="center"/>
    </xf>
    <xf numFmtId="188" fontId="77" fillId="0" borderId="7" xfId="0" applyNumberFormat="1" applyFont="1" applyBorder="1" applyAlignment="1">
      <alignment horizontal="center"/>
    </xf>
    <xf numFmtId="192" fontId="78" fillId="0" borderId="0" xfId="0" applyNumberFormat="1" applyFont="1" applyAlignment="1">
      <alignment horizontal="center"/>
    </xf>
    <xf numFmtId="192" fontId="78" fillId="0" borderId="8" xfId="0" applyNumberFormat="1" applyFont="1" applyBorder="1" applyAlignment="1">
      <alignment horizontal="center"/>
    </xf>
    <xf numFmtId="188" fontId="78" fillId="0" borderId="0" xfId="0" applyNumberFormat="1" applyFont="1" applyAlignment="1">
      <alignment horizontal="center"/>
    </xf>
    <xf numFmtId="188" fontId="78" fillId="0" borderId="8" xfId="0" applyNumberFormat="1" applyFont="1" applyBorder="1" applyAlignment="1">
      <alignment horizontal="center"/>
    </xf>
    <xf numFmtId="188" fontId="79" fillId="0" borderId="0" xfId="0" applyNumberFormat="1" applyFont="1" applyAlignment="1">
      <alignment horizontal="center"/>
    </xf>
    <xf numFmtId="188" fontId="79" fillId="0" borderId="24" xfId="0" applyNumberFormat="1" applyFont="1" applyBorder="1" applyAlignment="1">
      <alignment horizontal="center"/>
    </xf>
    <xf numFmtId="188" fontId="79" fillId="0" borderId="25" xfId="0" applyNumberFormat="1" applyFont="1" applyBorder="1" applyAlignment="1">
      <alignment horizontal="center"/>
    </xf>
    <xf numFmtId="188" fontId="79" fillId="0" borderId="21" xfId="0" applyNumberFormat="1" applyFont="1" applyBorder="1" applyAlignment="1">
      <alignment horizontal="center"/>
    </xf>
    <xf numFmtId="188" fontId="74" fillId="0" borderId="24" xfId="0" applyNumberFormat="1" applyFont="1" applyBorder="1" applyAlignment="1">
      <alignment horizontal="center"/>
    </xf>
    <xf numFmtId="188" fontId="69" fillId="0" borderId="25" xfId="0" applyNumberFormat="1" applyFont="1" applyBorder="1" applyAlignment="1">
      <alignment horizontal="center"/>
    </xf>
    <xf numFmtId="192" fontId="74" fillId="0" borderId="0" xfId="0" applyNumberFormat="1" applyFont="1" applyAlignment="1">
      <alignment horizontal="center"/>
    </xf>
    <xf numFmtId="192" fontId="74" fillId="0" borderId="8" xfId="0" applyNumberFormat="1" applyFont="1" applyBorder="1" applyAlignment="1">
      <alignment horizontal="center"/>
    </xf>
    <xf numFmtId="192" fontId="78" fillId="0" borderId="10" xfId="0" applyNumberFormat="1" applyFont="1" applyBorder="1" applyAlignment="1">
      <alignment horizontal="center"/>
    </xf>
    <xf numFmtId="188" fontId="74" fillId="0" borderId="0" xfId="0" applyNumberFormat="1" applyFont="1" applyAlignment="1">
      <alignment horizontal="center"/>
    </xf>
    <xf numFmtId="188" fontId="74" fillId="0" borderId="8" xfId="0" applyNumberFormat="1" applyFont="1" applyBorder="1" applyAlignment="1">
      <alignment horizontal="center"/>
    </xf>
    <xf numFmtId="192" fontId="80" fillId="0" borderId="0" xfId="0" applyNumberFormat="1" applyFont="1" applyAlignment="1">
      <alignment horizontal="center"/>
    </xf>
    <xf numFmtId="7" fontId="69" fillId="0" borderId="0" xfId="0" quotePrefix="1" applyNumberFormat="1" applyFont="1" applyAlignment="1">
      <alignment horizontal="left"/>
    </xf>
    <xf numFmtId="7" fontId="69" fillId="0" borderId="0" xfId="0" applyNumberFormat="1" applyFont="1" applyAlignment="1">
      <alignment vertical="center"/>
    </xf>
    <xf numFmtId="7" fontId="69" fillId="0" borderId="19" xfId="0" quotePrefix="1" applyNumberFormat="1" applyFont="1" applyBorder="1" applyAlignment="1">
      <alignment horizontal="left"/>
    </xf>
    <xf numFmtId="7" fontId="69" fillId="0" borderId="0" xfId="0" applyNumberFormat="1" applyFont="1" applyAlignment="1">
      <alignment horizontal="center"/>
    </xf>
    <xf numFmtId="7" fontId="69" fillId="0" borderId="8" xfId="0" applyNumberFormat="1" applyFont="1" applyBorder="1" applyAlignment="1">
      <alignment horizontal="center"/>
    </xf>
    <xf numFmtId="7" fontId="69" fillId="0" borderId="10" xfId="0" applyNumberFormat="1" applyFont="1" applyBorder="1" applyAlignment="1">
      <alignment horizontal="center"/>
    </xf>
    <xf numFmtId="7" fontId="76" fillId="0" borderId="0" xfId="0" applyNumberFormat="1" applyFont="1" applyAlignment="1">
      <alignment horizontal="center"/>
    </xf>
    <xf numFmtId="171" fontId="69" fillId="0" borderId="0" xfId="0" applyNumberFormat="1" applyFont="1" applyAlignment="1">
      <alignment horizontal="center"/>
    </xf>
    <xf numFmtId="7" fontId="69" fillId="0" borderId="19" xfId="0" applyNumberFormat="1" applyFont="1" applyBorder="1" applyAlignment="1">
      <alignment horizontal="left"/>
    </xf>
    <xf numFmtId="7" fontId="71" fillId="0" borderId="19" xfId="0" applyNumberFormat="1" applyFont="1" applyBorder="1" applyAlignment="1">
      <alignment horizontal="left"/>
    </xf>
    <xf numFmtId="7" fontId="71" fillId="0" borderId="0" xfId="0" applyNumberFormat="1" applyFont="1" applyAlignment="1">
      <alignment horizontal="center"/>
    </xf>
    <xf numFmtId="7" fontId="71" fillId="0" borderId="8" xfId="0" applyNumberFormat="1" applyFont="1" applyBorder="1" applyAlignment="1">
      <alignment horizontal="center"/>
    </xf>
    <xf numFmtId="7" fontId="71" fillId="0" borderId="10" xfId="0" applyNumberFormat="1" applyFont="1" applyBorder="1" applyAlignment="1">
      <alignment horizontal="center"/>
    </xf>
    <xf numFmtId="9" fontId="71" fillId="0" borderId="19" xfId="1" applyFont="1" applyFill="1" applyBorder="1" applyAlignment="1">
      <alignment horizontal="center"/>
    </xf>
    <xf numFmtId="7" fontId="77" fillId="0" borderId="0" xfId="0" applyNumberFormat="1" applyFont="1" applyAlignment="1">
      <alignment horizontal="center"/>
    </xf>
    <xf numFmtId="181" fontId="69" fillId="0" borderId="10" xfId="1" applyNumberFormat="1" applyFont="1" applyFill="1" applyBorder="1" applyAlignment="1">
      <alignment horizontal="center"/>
    </xf>
    <xf numFmtId="7" fontId="80" fillId="0" borderId="0" xfId="0" applyNumberFormat="1" applyFont="1" applyAlignment="1">
      <alignment horizontal="center"/>
    </xf>
    <xf numFmtId="9" fontId="71" fillId="0" borderId="0" xfId="0" applyNumberFormat="1" applyFont="1" applyAlignment="1">
      <alignment horizontal="center"/>
    </xf>
    <xf numFmtId="4" fontId="71" fillId="0" borderId="0" xfId="1" applyNumberFormat="1" applyFont="1" applyFill="1" applyBorder="1" applyAlignment="1">
      <alignment horizontal="center"/>
    </xf>
    <xf numFmtId="188" fontId="69" fillId="0" borderId="0" xfId="0" quotePrefix="1" applyNumberFormat="1" applyFont="1" applyAlignment="1">
      <alignment horizontal="left"/>
    </xf>
    <xf numFmtId="188" fontId="69" fillId="0" borderId="19" xfId="0" quotePrefix="1" applyNumberFormat="1" applyFont="1" applyBorder="1" applyAlignment="1">
      <alignment horizontal="left"/>
    </xf>
    <xf numFmtId="188" fontId="79" fillId="0" borderId="8" xfId="0" applyNumberFormat="1" applyFont="1" applyBorder="1" applyAlignment="1">
      <alignment horizontal="center"/>
    </xf>
    <xf numFmtId="188" fontId="79" fillId="0" borderId="10" xfId="0" applyNumberFormat="1" applyFont="1" applyBorder="1" applyAlignment="1">
      <alignment horizontal="center"/>
    </xf>
    <xf numFmtId="188" fontId="78" fillId="0" borderId="10" xfId="0" applyNumberFormat="1" applyFont="1" applyBorder="1" applyAlignment="1">
      <alignment horizontal="center"/>
    </xf>
    <xf numFmtId="188" fontId="69" fillId="0" borderId="0" xfId="0" applyNumberFormat="1" applyFont="1" applyAlignment="1">
      <alignment vertical="center"/>
    </xf>
    <xf numFmtId="9" fontId="69" fillId="0" borderId="19" xfId="1" applyFont="1" applyFill="1" applyBorder="1" applyAlignment="1">
      <alignment horizontal="center"/>
    </xf>
    <xf numFmtId="192" fontId="72" fillId="12" borderId="0" xfId="0" quotePrefix="1" applyNumberFormat="1" applyFont="1" applyFill="1" applyAlignment="1">
      <alignment horizontal="left"/>
    </xf>
    <xf numFmtId="192" fontId="72" fillId="12" borderId="0" xfId="0" applyNumberFormat="1" applyFont="1" applyFill="1" applyAlignment="1">
      <alignment horizontal="center"/>
    </xf>
    <xf numFmtId="192" fontId="72" fillId="12" borderId="19" xfId="0" quotePrefix="1" applyNumberFormat="1" applyFont="1" applyFill="1" applyBorder="1" applyAlignment="1">
      <alignment horizontal="left"/>
    </xf>
    <xf numFmtId="192" fontId="72" fillId="12" borderId="8" xfId="0" applyNumberFormat="1" applyFont="1" applyFill="1" applyBorder="1" applyAlignment="1">
      <alignment horizontal="center"/>
    </xf>
    <xf numFmtId="192" fontId="72" fillId="12" borderId="10" xfId="0" applyNumberFormat="1" applyFont="1" applyFill="1" applyBorder="1" applyAlignment="1">
      <alignment horizontal="center"/>
    </xf>
    <xf numFmtId="192" fontId="72" fillId="0" borderId="19" xfId="0" applyNumberFormat="1" applyFont="1" applyBorder="1" applyAlignment="1">
      <alignment horizontal="center"/>
    </xf>
    <xf numFmtId="192" fontId="72" fillId="12" borderId="0" xfId="0" applyNumberFormat="1" applyFont="1" applyFill="1" applyAlignment="1">
      <alignment vertical="center"/>
    </xf>
    <xf numFmtId="188" fontId="71" fillId="0" borderId="0" xfId="0" applyNumberFormat="1" applyFont="1" applyAlignment="1">
      <alignment horizontal="center"/>
    </xf>
    <xf numFmtId="188" fontId="71" fillId="0" borderId="8" xfId="0" applyNumberFormat="1" applyFont="1" applyBorder="1" applyAlignment="1">
      <alignment horizontal="center"/>
    </xf>
    <xf numFmtId="188" fontId="71" fillId="0" borderId="10" xfId="0" applyNumberFormat="1" applyFont="1" applyBorder="1" applyAlignment="1">
      <alignment horizontal="center"/>
    </xf>
    <xf numFmtId="192" fontId="69" fillId="0" borderId="19" xfId="0" quotePrefix="1" applyNumberFormat="1" applyFont="1" applyBorder="1" applyAlignment="1">
      <alignment horizontal="left" indent="1"/>
    </xf>
    <xf numFmtId="9" fontId="69" fillId="0" borderId="8" xfId="1" applyFont="1" applyFill="1" applyBorder="1" applyAlignment="1">
      <alignment horizontal="center"/>
    </xf>
    <xf numFmtId="9" fontId="69" fillId="0" borderId="10" xfId="1" applyFont="1" applyFill="1" applyBorder="1" applyAlignment="1">
      <alignment horizontal="center"/>
    </xf>
    <xf numFmtId="192" fontId="69" fillId="0" borderId="19" xfId="0" applyNumberFormat="1" applyFont="1" applyBorder="1" applyAlignment="1">
      <alignment horizontal="center"/>
    </xf>
    <xf numFmtId="9" fontId="71" fillId="0" borderId="8" xfId="1" applyFont="1" applyFill="1" applyBorder="1" applyAlignment="1">
      <alignment horizontal="center"/>
    </xf>
    <xf numFmtId="9" fontId="69" fillId="0" borderId="0" xfId="0" applyNumberFormat="1" applyFont="1" applyAlignment="1">
      <alignment horizontal="center"/>
    </xf>
    <xf numFmtId="193" fontId="69" fillId="0" borderId="0" xfId="0" applyNumberFormat="1" applyFont="1" applyAlignment="1">
      <alignment horizontal="center"/>
    </xf>
    <xf numFmtId="193" fontId="69" fillId="0" borderId="8" xfId="0" applyNumberFormat="1" applyFont="1" applyBorder="1" applyAlignment="1">
      <alignment horizontal="center"/>
    </xf>
    <xf numFmtId="193" fontId="69" fillId="0" borderId="10" xfId="0" applyNumberFormat="1" applyFont="1" applyBorder="1" applyAlignment="1">
      <alignment horizontal="center"/>
    </xf>
    <xf numFmtId="4" fontId="71" fillId="0" borderId="8" xfId="1" applyNumberFormat="1" applyFont="1" applyFill="1" applyBorder="1" applyAlignment="1">
      <alignment horizontal="center"/>
    </xf>
    <xf numFmtId="188" fontId="77" fillId="0" borderId="0" xfId="0" applyNumberFormat="1" applyFont="1" applyAlignment="1">
      <alignment horizontal="center"/>
    </xf>
    <xf numFmtId="9" fontId="69" fillId="0" borderId="8" xfId="0" applyNumberFormat="1" applyFont="1" applyBorder="1" applyAlignment="1">
      <alignment horizontal="center"/>
    </xf>
    <xf numFmtId="9" fontId="69" fillId="0" borderId="10" xfId="0" applyNumberFormat="1" applyFont="1" applyBorder="1" applyAlignment="1">
      <alignment horizontal="center"/>
    </xf>
    <xf numFmtId="192" fontId="71" fillId="0" borderId="26" xfId="0" quotePrefix="1" applyNumberFormat="1" applyFont="1" applyBorder="1" applyAlignment="1">
      <alignment horizontal="left"/>
    </xf>
    <xf numFmtId="192" fontId="71" fillId="0" borderId="1" xfId="0" applyNumberFormat="1" applyFont="1" applyBorder="1" applyAlignment="1">
      <alignment horizontal="center"/>
    </xf>
    <xf numFmtId="192" fontId="71" fillId="0" borderId="12" xfId="0" applyNumberFormat="1" applyFont="1" applyBorder="1" applyAlignment="1">
      <alignment horizontal="center"/>
    </xf>
    <xf numFmtId="188" fontId="71" fillId="0" borderId="1" xfId="0" applyNumberFormat="1" applyFont="1" applyBorder="1" applyAlignment="1">
      <alignment horizontal="center"/>
    </xf>
    <xf numFmtId="188" fontId="71" fillId="0" borderId="12" xfId="0" applyNumberFormat="1" applyFont="1" applyBorder="1" applyAlignment="1">
      <alignment horizontal="center"/>
    </xf>
    <xf numFmtId="188" fontId="71" fillId="0" borderId="11" xfId="0" applyNumberFormat="1" applyFont="1" applyBorder="1" applyAlignment="1">
      <alignment horizontal="center"/>
    </xf>
    <xf numFmtId="192" fontId="71" fillId="0" borderId="26" xfId="0" applyNumberFormat="1" applyFont="1" applyBorder="1" applyAlignment="1">
      <alignment horizontal="center"/>
    </xf>
    <xf numFmtId="192" fontId="71" fillId="0" borderId="11" xfId="0" applyNumberFormat="1" applyFont="1" applyBorder="1" applyAlignment="1">
      <alignment horizontal="center"/>
    </xf>
    <xf numFmtId="194" fontId="69" fillId="0" borderId="0" xfId="0" applyNumberFormat="1" applyFont="1" applyAlignment="1">
      <alignment horizontal="center"/>
    </xf>
    <xf numFmtId="195" fontId="69" fillId="0" borderId="0" xfId="0" quotePrefix="1" applyNumberFormat="1" applyFont="1" applyAlignment="1">
      <alignment horizontal="left"/>
    </xf>
    <xf numFmtId="195" fontId="69" fillId="0" borderId="0" xfId="0" applyNumberFormat="1" applyFont="1" applyAlignment="1">
      <alignment horizontal="center"/>
    </xf>
    <xf numFmtId="0" fontId="81" fillId="0" borderId="19" xfId="0" applyFont="1" applyBorder="1" applyAlignment="1">
      <alignment horizontal="left"/>
    </xf>
    <xf numFmtId="196" fontId="69" fillId="0" borderId="0" xfId="0" applyNumberFormat="1" applyFont="1" applyAlignment="1">
      <alignment horizontal="center"/>
    </xf>
    <xf numFmtId="0" fontId="69" fillId="0" borderId="8" xfId="0" applyFont="1" applyBorder="1" applyAlignment="1">
      <alignment horizontal="center"/>
    </xf>
    <xf numFmtId="37" fontId="69" fillId="0" borderId="8" xfId="0" applyNumberFormat="1" applyFont="1" applyBorder="1" applyAlignment="1">
      <alignment horizontal="center"/>
    </xf>
    <xf numFmtId="37" fontId="69" fillId="0" borderId="0" xfId="0" applyNumberFormat="1" applyFont="1" applyAlignment="1">
      <alignment horizontal="center"/>
    </xf>
    <xf numFmtId="192" fontId="69" fillId="0" borderId="19" xfId="3" applyNumberFormat="1" applyFont="1" applyFill="1" applyBorder="1" applyAlignment="1">
      <alignment horizontal="center"/>
    </xf>
    <xf numFmtId="0" fontId="78" fillId="0" borderId="0" xfId="0" applyFont="1" applyAlignment="1">
      <alignment horizontal="center"/>
    </xf>
    <xf numFmtId="0" fontId="69" fillId="0" borderId="0" xfId="0" applyFont="1" applyAlignment="1">
      <alignment vertical="center"/>
    </xf>
    <xf numFmtId="37" fontId="76" fillId="0" borderId="0" xfId="0" applyNumberFormat="1" applyFont="1" applyAlignment="1">
      <alignment horizontal="center"/>
    </xf>
    <xf numFmtId="37" fontId="76" fillId="0" borderId="8" xfId="0" applyNumberFormat="1" applyFont="1" applyBorder="1" applyAlignment="1">
      <alignment horizontal="center"/>
    </xf>
    <xf numFmtId="188" fontId="76" fillId="0" borderId="8" xfId="0" applyNumberFormat="1" applyFont="1" applyBorder="1" applyAlignment="1">
      <alignment horizontal="center"/>
    </xf>
    <xf numFmtId="188" fontId="69" fillId="0" borderId="19" xfId="0" applyNumberFormat="1" applyFont="1" applyBorder="1" applyAlignment="1">
      <alignment horizontal="center"/>
    </xf>
    <xf numFmtId="188" fontId="76" fillId="0" borderId="10" xfId="0" applyNumberFormat="1" applyFont="1" applyBorder="1" applyAlignment="1">
      <alignment horizontal="center"/>
    </xf>
    <xf numFmtId="37" fontId="71" fillId="0" borderId="8" xfId="0" applyNumberFormat="1" applyFont="1" applyBorder="1" applyAlignment="1">
      <alignment horizontal="center"/>
    </xf>
    <xf numFmtId="188" fontId="77" fillId="0" borderId="16" xfId="0" applyNumberFormat="1" applyFont="1" applyBorder="1" applyAlignment="1">
      <alignment horizontal="center"/>
    </xf>
    <xf numFmtId="188" fontId="77" fillId="0" borderId="15" xfId="0" applyNumberFormat="1" applyFont="1" applyBorder="1" applyAlignment="1">
      <alignment horizontal="center"/>
    </xf>
    <xf numFmtId="188" fontId="71" fillId="0" borderId="19" xfId="0" applyNumberFormat="1" applyFont="1" applyBorder="1" applyAlignment="1">
      <alignment horizontal="center"/>
    </xf>
    <xf numFmtId="37" fontId="78" fillId="0" borderId="0" xfId="0" applyNumberFormat="1" applyFont="1" applyAlignment="1">
      <alignment horizontal="center"/>
    </xf>
    <xf numFmtId="37" fontId="78" fillId="0" borderId="8" xfId="0" applyNumberFormat="1" applyFont="1" applyBorder="1" applyAlignment="1">
      <alignment horizontal="center"/>
    </xf>
    <xf numFmtId="188" fontId="79" fillId="0" borderId="12" xfId="0" applyNumberFormat="1" applyFont="1" applyBorder="1" applyAlignment="1">
      <alignment horizontal="center"/>
    </xf>
    <xf numFmtId="188" fontId="79" fillId="0" borderId="11" xfId="0" applyNumberFormat="1" applyFont="1" applyBorder="1" applyAlignment="1">
      <alignment horizontal="center"/>
    </xf>
    <xf numFmtId="188" fontId="78" fillId="0" borderId="11" xfId="0" applyNumberFormat="1" applyFont="1" applyBorder="1" applyAlignment="1">
      <alignment horizontal="center"/>
    </xf>
    <xf numFmtId="37" fontId="71" fillId="0" borderId="15" xfId="0" applyNumberFormat="1" applyFont="1" applyBorder="1" applyAlignment="1">
      <alignment horizontal="center"/>
    </xf>
    <xf numFmtId="37" fontId="71" fillId="0" borderId="9" xfId="0" applyNumberFormat="1" applyFont="1" applyBorder="1" applyAlignment="1">
      <alignment horizontal="center"/>
    </xf>
    <xf numFmtId="37" fontId="71" fillId="0" borderId="16" xfId="0" applyNumberFormat="1" applyFont="1" applyBorder="1" applyAlignment="1">
      <alignment horizontal="center"/>
    </xf>
    <xf numFmtId="37" fontId="77" fillId="0" borderId="16" xfId="0" applyNumberFormat="1" applyFont="1" applyBorder="1" applyAlignment="1">
      <alignment horizontal="center"/>
    </xf>
    <xf numFmtId="188" fontId="80" fillId="0" borderId="9" xfId="0" applyNumberFormat="1" applyFont="1" applyBorder="1" applyAlignment="1">
      <alignment horizontal="center"/>
    </xf>
    <xf numFmtId="188" fontId="80" fillId="0" borderId="16" xfId="0" applyNumberFormat="1" applyFont="1" applyBorder="1" applyAlignment="1">
      <alignment horizontal="center"/>
    </xf>
    <xf numFmtId="188" fontId="80" fillId="0" borderId="15" xfId="0" applyNumberFormat="1" applyFont="1" applyBorder="1" applyAlignment="1">
      <alignment horizontal="center"/>
    </xf>
    <xf numFmtId="37" fontId="71" fillId="0" borderId="0" xfId="0" applyNumberFormat="1" applyFont="1" applyAlignment="1">
      <alignment horizontal="center"/>
    </xf>
    <xf numFmtId="37" fontId="77" fillId="0" borderId="8" xfId="0" applyNumberFormat="1" applyFont="1" applyBorder="1" applyAlignment="1">
      <alignment horizontal="center"/>
    </xf>
    <xf numFmtId="188" fontId="69" fillId="0" borderId="1" xfId="0" applyNumberFormat="1" applyFont="1" applyBorder="1" applyAlignment="1">
      <alignment horizontal="center"/>
    </xf>
    <xf numFmtId="188" fontId="80" fillId="0" borderId="0" xfId="0" applyNumberFormat="1" applyFont="1" applyAlignment="1">
      <alignment horizontal="center"/>
    </xf>
    <xf numFmtId="188" fontId="69" fillId="0" borderId="9" xfId="0" applyNumberFormat="1" applyFont="1" applyBorder="1" applyAlignment="1">
      <alignment horizontal="center"/>
    </xf>
    <xf numFmtId="188" fontId="69" fillId="0" borderId="16" xfId="0" applyNumberFormat="1" applyFont="1" applyBorder="1" applyAlignment="1">
      <alignment horizontal="center"/>
    </xf>
    <xf numFmtId="188" fontId="69" fillId="0" borderId="15" xfId="0" applyNumberFormat="1" applyFont="1" applyBorder="1" applyAlignment="1">
      <alignment horizontal="center"/>
    </xf>
    <xf numFmtId="188" fontId="69" fillId="0" borderId="5" xfId="0" applyNumberFormat="1" applyFont="1" applyBorder="1" applyAlignment="1">
      <alignment horizontal="center"/>
    </xf>
    <xf numFmtId="188" fontId="69" fillId="0" borderId="3" xfId="0" applyNumberFormat="1" applyFont="1" applyBorder="1" applyAlignment="1">
      <alignment horizontal="center"/>
    </xf>
    <xf numFmtId="188" fontId="69" fillId="0" borderId="2" xfId="0" applyNumberFormat="1" applyFont="1" applyBorder="1" applyAlignment="1">
      <alignment horizontal="center"/>
    </xf>
    <xf numFmtId="9" fontId="69" fillId="0" borderId="9" xfId="1" applyFont="1" applyFill="1" applyBorder="1" applyAlignment="1">
      <alignment horizontal="center"/>
    </xf>
    <xf numFmtId="9" fontId="69" fillId="0" borderId="16" xfId="1" applyFont="1" applyFill="1" applyBorder="1" applyAlignment="1">
      <alignment horizontal="center"/>
    </xf>
    <xf numFmtId="9" fontId="69" fillId="0" borderId="15" xfId="1" applyFont="1" applyFill="1" applyBorder="1" applyAlignment="1">
      <alignment horizontal="center"/>
    </xf>
    <xf numFmtId="192" fontId="71" fillId="0" borderId="19" xfId="0" applyNumberFormat="1" applyFont="1" applyBorder="1" applyAlignment="1">
      <alignment horizontal="left"/>
    </xf>
    <xf numFmtId="9" fontId="69" fillId="0" borderId="0" xfId="1" applyFont="1" applyBorder="1" applyAlignment="1">
      <alignment horizontal="center"/>
    </xf>
    <xf numFmtId="188" fontId="69" fillId="0" borderId="19" xfId="3" applyNumberFormat="1" applyFont="1" applyFill="1" applyBorder="1" applyAlignment="1">
      <alignment horizontal="center"/>
    </xf>
    <xf numFmtId="192" fontId="82" fillId="0" borderId="19" xfId="0" quotePrefix="1" applyNumberFormat="1" applyFont="1" applyBorder="1" applyAlignment="1">
      <alignment horizontal="left"/>
    </xf>
    <xf numFmtId="192" fontId="69" fillId="0" borderId="1" xfId="0" applyNumberFormat="1" applyFont="1" applyBorder="1" applyAlignment="1">
      <alignment horizontal="center"/>
    </xf>
    <xf numFmtId="192" fontId="69" fillId="0" borderId="12" xfId="0" applyNumberFormat="1" applyFont="1" applyBorder="1" applyAlignment="1">
      <alignment horizontal="center"/>
    </xf>
    <xf numFmtId="37" fontId="69" fillId="0" borderId="12" xfId="0" applyNumberFormat="1" applyFont="1" applyBorder="1" applyAlignment="1">
      <alignment horizontal="center"/>
    </xf>
    <xf numFmtId="37" fontId="69" fillId="0" borderId="1" xfId="0" applyNumberFormat="1" applyFont="1" applyBorder="1" applyAlignment="1">
      <alignment horizontal="center"/>
    </xf>
    <xf numFmtId="37" fontId="76" fillId="0" borderId="12" xfId="0" applyNumberFormat="1" applyFont="1" applyBorder="1" applyAlignment="1">
      <alignment horizontal="center"/>
    </xf>
    <xf numFmtId="188" fontId="76" fillId="0" borderId="12" xfId="0" applyNumberFormat="1" applyFont="1" applyBorder="1" applyAlignment="1">
      <alignment horizontal="center"/>
    </xf>
    <xf numFmtId="188" fontId="69" fillId="0" borderId="12" xfId="0" applyNumberFormat="1" applyFont="1" applyBorder="1" applyAlignment="1">
      <alignment horizontal="center"/>
    </xf>
    <xf numFmtId="188" fontId="69" fillId="0" borderId="11" xfId="0" applyNumberFormat="1" applyFont="1" applyBorder="1" applyAlignment="1">
      <alignment horizontal="center"/>
    </xf>
    <xf numFmtId="192" fontId="69" fillId="0" borderId="11" xfId="0" applyNumberFormat="1" applyFont="1" applyBorder="1" applyAlignment="1">
      <alignment horizontal="center"/>
    </xf>
    <xf numFmtId="188" fontId="76" fillId="0" borderId="1" xfId="0" applyNumberFormat="1" applyFont="1" applyBorder="1" applyAlignment="1">
      <alignment horizontal="center"/>
    </xf>
    <xf numFmtId="37" fontId="77" fillId="0" borderId="12" xfId="0" applyNumberFormat="1" applyFont="1" applyBorder="1" applyAlignment="1">
      <alignment horizontal="center"/>
    </xf>
    <xf numFmtId="188" fontId="77" fillId="0" borderId="12" xfId="0" applyNumberFormat="1" applyFont="1" applyBorder="1" applyAlignment="1">
      <alignment horizontal="center"/>
    </xf>
    <xf numFmtId="188" fontId="71" fillId="0" borderId="19" xfId="3" applyNumberFormat="1" applyFont="1" applyFill="1" applyBorder="1" applyAlignment="1">
      <alignment horizontal="center"/>
    </xf>
    <xf numFmtId="188" fontId="77" fillId="0" borderId="1" xfId="0" applyNumberFormat="1" applyFont="1" applyBorder="1" applyAlignment="1">
      <alignment horizontal="center"/>
    </xf>
    <xf numFmtId="192" fontId="83" fillId="0" borderId="0" xfId="0" applyNumberFormat="1" applyFont="1" applyAlignment="1">
      <alignment horizontal="center"/>
    </xf>
    <xf numFmtId="192" fontId="75" fillId="12" borderId="17" xfId="0" applyNumberFormat="1" applyFont="1" applyFill="1" applyBorder="1" applyAlignment="1">
      <alignment horizontal="left"/>
    </xf>
    <xf numFmtId="192" fontId="73" fillId="12" borderId="0" xfId="0" applyNumberFormat="1" applyFont="1" applyFill="1" applyAlignment="1">
      <alignment horizontal="center"/>
    </xf>
    <xf numFmtId="192" fontId="73" fillId="12" borderId="8" xfId="0" applyNumberFormat="1" applyFont="1" applyFill="1" applyBorder="1" applyAlignment="1">
      <alignment horizontal="center"/>
    </xf>
    <xf numFmtId="192" fontId="73" fillId="12" borderId="10" xfId="0" applyNumberFormat="1" applyFont="1" applyFill="1" applyBorder="1" applyAlignment="1">
      <alignment horizontal="center"/>
    </xf>
    <xf numFmtId="192" fontId="73" fillId="12" borderId="16" xfId="0" applyNumberFormat="1" applyFont="1" applyFill="1" applyBorder="1" applyAlignment="1">
      <alignment horizontal="center"/>
    </xf>
    <xf numFmtId="192" fontId="73" fillId="12" borderId="9" xfId="0" applyNumberFormat="1" applyFont="1" applyFill="1" applyBorder="1" applyAlignment="1">
      <alignment horizontal="center"/>
    </xf>
    <xf numFmtId="192" fontId="73" fillId="12" borderId="15" xfId="0" applyNumberFormat="1" applyFont="1" applyFill="1" applyBorder="1" applyAlignment="1">
      <alignment horizontal="center"/>
    </xf>
    <xf numFmtId="192" fontId="74" fillId="0" borderId="19" xfId="0" applyNumberFormat="1" applyFont="1" applyBorder="1" applyAlignment="1">
      <alignment horizontal="center"/>
    </xf>
    <xf numFmtId="192" fontId="69" fillId="12" borderId="9" xfId="0" applyNumberFormat="1" applyFont="1" applyFill="1" applyBorder="1" applyAlignment="1">
      <alignment horizontal="center"/>
    </xf>
    <xf numFmtId="192" fontId="0" fillId="0" borderId="10" xfId="0" applyNumberFormat="1" applyBorder="1"/>
    <xf numFmtId="192" fontId="0" fillId="0" borderId="0" xfId="0" applyNumberFormat="1"/>
    <xf numFmtId="192" fontId="82" fillId="0" borderId="19" xfId="0" applyNumberFormat="1" applyFont="1" applyBorder="1" applyAlignment="1">
      <alignment horizontal="left"/>
    </xf>
    <xf numFmtId="192" fontId="82" fillId="0" borderId="0" xfId="0" applyNumberFormat="1" applyFont="1" applyAlignment="1">
      <alignment horizontal="center"/>
    </xf>
    <xf numFmtId="192" fontId="82" fillId="0" borderId="8" xfId="0" applyNumberFormat="1" applyFont="1" applyBorder="1" applyAlignment="1">
      <alignment horizontal="center"/>
    </xf>
    <xf numFmtId="192" fontId="82" fillId="0" borderId="10" xfId="0" applyNumberFormat="1" applyFont="1" applyBorder="1" applyAlignment="1">
      <alignment horizontal="center"/>
    </xf>
    <xf numFmtId="197" fontId="69" fillId="0" borderId="19" xfId="0" applyNumberFormat="1" applyFont="1" applyBorder="1" applyAlignment="1">
      <alignment horizontal="center"/>
    </xf>
    <xf numFmtId="192" fontId="84" fillId="0" borderId="7" xfId="0" applyNumberFormat="1" applyFont="1" applyBorder="1" applyAlignment="1">
      <alignment horizontal="center"/>
    </xf>
    <xf numFmtId="192" fontId="84" fillId="0" borderId="22" xfId="0" applyNumberFormat="1" applyFont="1" applyBorder="1" applyAlignment="1">
      <alignment horizontal="center"/>
    </xf>
    <xf numFmtId="188" fontId="84" fillId="0" borderId="7" xfId="0" applyNumberFormat="1" applyFont="1" applyBorder="1" applyAlignment="1">
      <alignment horizontal="center"/>
    </xf>
    <xf numFmtId="188" fontId="84" fillId="0" borderId="22" xfId="0" applyNumberFormat="1" applyFont="1" applyBorder="1" applyAlignment="1">
      <alignment horizontal="center"/>
    </xf>
    <xf numFmtId="188" fontId="77" fillId="0" borderId="22" xfId="0" applyNumberFormat="1" applyFont="1" applyBorder="1" applyAlignment="1">
      <alignment horizontal="center"/>
    </xf>
    <xf numFmtId="188" fontId="84" fillId="0" borderId="23" xfId="0" applyNumberFormat="1" applyFont="1" applyBorder="1" applyAlignment="1">
      <alignment horizontal="center"/>
    </xf>
    <xf numFmtId="192" fontId="84" fillId="0" borderId="23" xfId="0" applyNumberFormat="1" applyFont="1" applyBorder="1" applyAlignment="1">
      <alignment horizontal="center"/>
    </xf>
    <xf numFmtId="192" fontId="84" fillId="0" borderId="0" xfId="0" applyNumberFormat="1" applyFont="1" applyAlignment="1">
      <alignment horizontal="center"/>
    </xf>
    <xf numFmtId="192" fontId="84" fillId="0" borderId="8" xfId="0" applyNumberFormat="1" applyFont="1" applyBorder="1" applyAlignment="1">
      <alignment horizontal="center"/>
    </xf>
    <xf numFmtId="192" fontId="84" fillId="0" borderId="10" xfId="0" applyNumberFormat="1" applyFont="1" applyBorder="1" applyAlignment="1">
      <alignment horizontal="center"/>
    </xf>
    <xf numFmtId="188" fontId="84" fillId="0" borderId="0" xfId="0" applyNumberFormat="1" applyFont="1" applyAlignment="1">
      <alignment horizontal="center"/>
    </xf>
    <xf numFmtId="188" fontId="82" fillId="0" borderId="0" xfId="0" applyNumberFormat="1" applyFont="1" applyAlignment="1">
      <alignment horizontal="center"/>
    </xf>
    <xf numFmtId="188" fontId="82" fillId="0" borderId="8" xfId="0" applyNumberFormat="1" applyFont="1" applyBorder="1" applyAlignment="1">
      <alignment horizontal="center"/>
    </xf>
    <xf numFmtId="188" fontId="85" fillId="0" borderId="0" xfId="0" applyNumberFormat="1" applyFont="1" applyAlignment="1">
      <alignment horizontal="center"/>
    </xf>
    <xf numFmtId="188" fontId="82" fillId="0" borderId="10" xfId="0" applyNumberFormat="1" applyFont="1" applyBorder="1" applyAlignment="1">
      <alignment horizontal="center"/>
    </xf>
    <xf numFmtId="188" fontId="74" fillId="0" borderId="10" xfId="0" applyNumberFormat="1" applyFont="1" applyBorder="1" applyAlignment="1">
      <alignment horizontal="center"/>
    </xf>
    <xf numFmtId="192" fontId="71" fillId="0" borderId="26" xfId="0" applyNumberFormat="1" applyFont="1" applyBorder="1" applyAlignment="1">
      <alignment horizontal="left"/>
    </xf>
    <xf numFmtId="192" fontId="84" fillId="0" borderId="27" xfId="0" applyNumberFormat="1" applyFont="1" applyBorder="1" applyAlignment="1">
      <alignment horizontal="center"/>
    </xf>
    <xf numFmtId="192" fontId="84" fillId="0" borderId="28" xfId="0" applyNumberFormat="1" applyFont="1" applyBorder="1" applyAlignment="1">
      <alignment horizontal="center"/>
    </xf>
    <xf numFmtId="188" fontId="84" fillId="0" borderId="27" xfId="0" applyNumberFormat="1" applyFont="1" applyBorder="1" applyAlignment="1">
      <alignment horizontal="center"/>
    </xf>
    <xf numFmtId="188" fontId="84" fillId="0" borderId="28" xfId="0" applyNumberFormat="1" applyFont="1" applyBorder="1" applyAlignment="1">
      <alignment horizontal="center"/>
    </xf>
    <xf numFmtId="188" fontId="84" fillId="0" borderId="29" xfId="0" applyNumberFormat="1" applyFont="1" applyBorder="1" applyAlignment="1">
      <alignment horizontal="center"/>
    </xf>
    <xf numFmtId="192" fontId="69" fillId="0" borderId="26" xfId="0" applyNumberFormat="1" applyFont="1" applyBorder="1" applyAlignment="1">
      <alignment horizontal="center"/>
    </xf>
    <xf numFmtId="192" fontId="84" fillId="0" borderId="29" xfId="0" applyNumberFormat="1" applyFont="1" applyBorder="1" applyAlignment="1">
      <alignment horizontal="center"/>
    </xf>
    <xf numFmtId="188" fontId="77" fillId="0" borderId="27" xfId="0" applyNumberFormat="1" applyFont="1" applyBorder="1" applyAlignment="1">
      <alignment horizontal="center"/>
    </xf>
    <xf numFmtId="188" fontId="71" fillId="0" borderId="27" xfId="0" applyNumberFormat="1" applyFont="1" applyBorder="1" applyAlignment="1">
      <alignment horizontal="center"/>
    </xf>
    <xf numFmtId="0" fontId="69" fillId="0" borderId="19" xfId="0" applyFont="1" applyBorder="1" applyAlignment="1">
      <alignment horizontal="left"/>
    </xf>
    <xf numFmtId="195" fontId="86" fillId="0" borderId="0" xfId="0" quotePrefix="1" applyNumberFormat="1" applyFont="1" applyAlignment="1">
      <alignment horizontal="left"/>
    </xf>
    <xf numFmtId="195" fontId="86" fillId="0" borderId="0" xfId="0" applyNumberFormat="1" applyFont="1" applyAlignment="1">
      <alignment horizontal="center"/>
    </xf>
    <xf numFmtId="0" fontId="86" fillId="0" borderId="19" xfId="0" applyFont="1" applyBorder="1" applyAlignment="1">
      <alignment horizontal="left"/>
    </xf>
    <xf numFmtId="0" fontId="86" fillId="0" borderId="0" xfId="0" applyFont="1" applyAlignment="1">
      <alignment horizontal="center"/>
    </xf>
    <xf numFmtId="0" fontId="86" fillId="0" borderId="8" xfId="0" applyFont="1" applyBorder="1" applyAlignment="1">
      <alignment horizontal="center"/>
    </xf>
    <xf numFmtId="198" fontId="74" fillId="0" borderId="0" xfId="0" applyNumberFormat="1" applyFont="1" applyAlignment="1">
      <alignment horizontal="center"/>
    </xf>
    <xf numFmtId="188" fontId="86" fillId="0" borderId="0" xfId="0" applyNumberFormat="1" applyFont="1" applyAlignment="1">
      <alignment horizontal="center"/>
    </xf>
    <xf numFmtId="0" fontId="86" fillId="0" borderId="10" xfId="0" applyFont="1" applyBorder="1" applyAlignment="1">
      <alignment horizontal="center"/>
    </xf>
    <xf numFmtId="192" fontId="86" fillId="0" borderId="19" xfId="0" applyNumberFormat="1" applyFont="1" applyBorder="1" applyAlignment="1">
      <alignment horizontal="center"/>
    </xf>
    <xf numFmtId="0" fontId="86" fillId="0" borderId="0" xfId="0" applyFont="1" applyAlignment="1">
      <alignment vertical="center"/>
    </xf>
    <xf numFmtId="0" fontId="74" fillId="0" borderId="0" xfId="0" applyFont="1"/>
    <xf numFmtId="0" fontId="81" fillId="13" borderId="19" xfId="0" applyFont="1" applyFill="1" applyBorder="1"/>
    <xf numFmtId="199" fontId="74" fillId="0" borderId="0" xfId="0" applyNumberFormat="1" applyFont="1" applyAlignment="1">
      <alignment horizontal="center"/>
    </xf>
    <xf numFmtId="0" fontId="74" fillId="0" borderId="8" xfId="0" applyFont="1" applyBorder="1" applyAlignment="1">
      <alignment horizontal="center"/>
    </xf>
    <xf numFmtId="199" fontId="74" fillId="0" borderId="10" xfId="0" applyNumberFormat="1" applyFont="1" applyBorder="1" applyAlignment="1">
      <alignment horizontal="center"/>
    </xf>
    <xf numFmtId="0" fontId="74" fillId="0" borderId="10" xfId="0" applyFont="1" applyBorder="1" applyAlignment="1">
      <alignment horizontal="center"/>
    </xf>
    <xf numFmtId="199" fontId="69" fillId="0" borderId="0" xfId="0" applyNumberFormat="1" applyFont="1" applyAlignment="1">
      <alignment horizontal="center"/>
    </xf>
    <xf numFmtId="192" fontId="74" fillId="0" borderId="0" xfId="0" applyNumberFormat="1" applyFont="1"/>
    <xf numFmtId="192" fontId="84" fillId="0" borderId="19" xfId="0" applyNumberFormat="1" applyFont="1" applyBorder="1"/>
    <xf numFmtId="192" fontId="74" fillId="0" borderId="10" xfId="0" applyNumberFormat="1" applyFont="1" applyBorder="1" applyAlignment="1">
      <alignment horizontal="center"/>
    </xf>
    <xf numFmtId="188" fontId="84" fillId="0" borderId="10" xfId="0" applyNumberFormat="1" applyFont="1" applyBorder="1" applyAlignment="1">
      <alignment horizontal="center"/>
    </xf>
    <xf numFmtId="188" fontId="84" fillId="0" borderId="8" xfId="0" applyNumberFormat="1" applyFont="1" applyBorder="1" applyAlignment="1">
      <alignment horizontal="center"/>
    </xf>
    <xf numFmtId="181" fontId="0" fillId="0" borderId="0" xfId="1" applyNumberFormat="1" applyFont="1" applyFill="1"/>
    <xf numFmtId="181" fontId="74" fillId="0" borderId="0" xfId="1" applyNumberFormat="1" applyFont="1" applyFill="1"/>
    <xf numFmtId="181" fontId="74" fillId="0" borderId="19" xfId="1" applyNumberFormat="1" applyFont="1" applyBorder="1" applyAlignment="1">
      <alignment horizontal="left" indent="2"/>
    </xf>
    <xf numFmtId="181" fontId="74" fillId="0" borderId="0" xfId="1" applyNumberFormat="1" applyFont="1" applyBorder="1" applyAlignment="1">
      <alignment horizontal="center"/>
    </xf>
    <xf numFmtId="181" fontId="74" fillId="0" borderId="8" xfId="1" applyNumberFormat="1" applyFont="1" applyBorder="1" applyAlignment="1">
      <alignment horizontal="center"/>
    </xf>
    <xf numFmtId="181" fontId="74" fillId="0" borderId="10" xfId="1" applyNumberFormat="1" applyFont="1" applyBorder="1" applyAlignment="1">
      <alignment horizontal="center"/>
    </xf>
    <xf numFmtId="181" fontId="69" fillId="0" borderId="0" xfId="1" applyNumberFormat="1" applyFont="1" applyBorder="1" applyAlignment="1">
      <alignment horizontal="center"/>
    </xf>
    <xf numFmtId="181" fontId="69" fillId="0" borderId="10" xfId="1" applyNumberFormat="1" applyFont="1" applyBorder="1" applyAlignment="1">
      <alignment horizontal="center"/>
    </xf>
    <xf numFmtId="181" fontId="69" fillId="0" borderId="8" xfId="1" applyNumberFormat="1" applyFont="1" applyBorder="1" applyAlignment="1">
      <alignment horizontal="center"/>
    </xf>
    <xf numFmtId="181" fontId="87" fillId="0" borderId="0" xfId="1" applyNumberFormat="1" applyFont="1" applyBorder="1" applyAlignment="1">
      <alignment horizontal="center"/>
    </xf>
    <xf numFmtId="181" fontId="87" fillId="0" borderId="8" xfId="1" applyNumberFormat="1" applyFont="1" applyBorder="1" applyAlignment="1">
      <alignment horizontal="center"/>
    </xf>
    <xf numFmtId="181" fontId="74" fillId="0" borderId="0" xfId="1" applyNumberFormat="1" applyFont="1" applyAlignment="1">
      <alignment horizontal="center"/>
    </xf>
    <xf numFmtId="181" fontId="74" fillId="0" borderId="0" xfId="1" applyNumberFormat="1" applyFont="1"/>
    <xf numFmtId="181" fontId="69" fillId="0" borderId="0" xfId="1" applyNumberFormat="1" applyFont="1" applyFill="1" applyBorder="1" applyAlignment="1">
      <alignment horizontal="center"/>
    </xf>
    <xf numFmtId="181" fontId="78" fillId="0" borderId="10" xfId="1" applyNumberFormat="1" applyFont="1" applyBorder="1" applyAlignment="1">
      <alignment horizontal="center"/>
    </xf>
    <xf numFmtId="181" fontId="78" fillId="0" borderId="0" xfId="1" applyNumberFormat="1" applyFont="1" applyFill="1" applyBorder="1" applyAlignment="1">
      <alignment horizontal="center"/>
    </xf>
    <xf numFmtId="195" fontId="74" fillId="0" borderId="19" xfId="0" applyNumberFormat="1" applyFont="1" applyBorder="1" applyAlignment="1">
      <alignment horizontal="left"/>
    </xf>
    <xf numFmtId="192" fontId="69" fillId="0" borderId="0" xfId="6" applyNumberFormat="1" applyFont="1" applyFill="1" applyBorder="1" applyAlignment="1">
      <alignment horizontal="center"/>
    </xf>
    <xf numFmtId="192" fontId="69" fillId="0" borderId="8" xfId="6" applyNumberFormat="1" applyFont="1" applyFill="1" applyBorder="1" applyAlignment="1">
      <alignment horizontal="center"/>
    </xf>
    <xf numFmtId="192" fontId="69" fillId="0" borderId="10" xfId="6" applyNumberFormat="1" applyFont="1" applyFill="1" applyBorder="1" applyAlignment="1">
      <alignment horizontal="center"/>
    </xf>
    <xf numFmtId="192" fontId="87" fillId="0" borderId="0" xfId="6" applyNumberFormat="1" applyFont="1" applyFill="1" applyBorder="1" applyAlignment="1">
      <alignment horizontal="center"/>
    </xf>
    <xf numFmtId="195" fontId="88" fillId="0" borderId="10" xfId="7" applyNumberFormat="1" applyFont="1" applyFill="1" applyBorder="1" applyAlignment="1">
      <alignment horizontal="center"/>
    </xf>
    <xf numFmtId="195" fontId="88" fillId="0" borderId="0" xfId="7" applyNumberFormat="1" applyFont="1" applyFill="1" applyBorder="1" applyAlignment="1">
      <alignment horizontal="center"/>
    </xf>
    <xf numFmtId="181" fontId="0" fillId="0" borderId="0" xfId="7" applyNumberFormat="1" applyFont="1" applyFill="1"/>
    <xf numFmtId="181" fontId="74" fillId="0" borderId="0" xfId="7" applyNumberFormat="1" applyFont="1" applyFill="1"/>
    <xf numFmtId="181" fontId="74" fillId="0" borderId="19" xfId="7" applyNumberFormat="1" applyFont="1" applyBorder="1" applyAlignment="1">
      <alignment horizontal="left" indent="2"/>
    </xf>
    <xf numFmtId="181" fontId="74" fillId="0" borderId="0" xfId="7" applyNumberFormat="1" applyFont="1" applyBorder="1" applyAlignment="1">
      <alignment horizontal="center"/>
    </xf>
    <xf numFmtId="181" fontId="74" fillId="0" borderId="8" xfId="7" applyNumberFormat="1" applyFont="1" applyBorder="1" applyAlignment="1">
      <alignment horizontal="center"/>
    </xf>
    <xf numFmtId="181" fontId="74" fillId="0" borderId="10" xfId="7" applyNumberFormat="1" applyFont="1" applyBorder="1" applyAlignment="1">
      <alignment horizontal="center"/>
    </xf>
    <xf numFmtId="181" fontId="78" fillId="0" borderId="0" xfId="7" applyNumberFormat="1" applyFont="1" applyBorder="1" applyAlignment="1">
      <alignment horizontal="center"/>
    </xf>
    <xf numFmtId="181" fontId="87" fillId="0" borderId="0" xfId="7" applyNumberFormat="1" applyFont="1" applyBorder="1" applyAlignment="1">
      <alignment horizontal="center"/>
    </xf>
    <xf numFmtId="181" fontId="87" fillId="0" borderId="8" xfId="7" applyNumberFormat="1" applyFont="1" applyBorder="1" applyAlignment="1">
      <alignment horizontal="center"/>
    </xf>
    <xf numFmtId="181" fontId="69" fillId="0" borderId="0" xfId="7" applyNumberFormat="1" applyFont="1" applyBorder="1" applyAlignment="1">
      <alignment horizontal="center"/>
    </xf>
    <xf numFmtId="181" fontId="74" fillId="0" borderId="0" xfId="7" applyNumberFormat="1" applyFont="1" applyAlignment="1">
      <alignment horizontal="center"/>
    </xf>
    <xf numFmtId="181" fontId="74" fillId="0" borderId="0" xfId="7" applyNumberFormat="1" applyFont="1"/>
    <xf numFmtId="0" fontId="84" fillId="0" borderId="19" xfId="0" applyFont="1" applyBorder="1"/>
    <xf numFmtId="192" fontId="74" fillId="0" borderId="19" xfId="0" applyNumberFormat="1" applyFont="1" applyBorder="1"/>
    <xf numFmtId="192" fontId="74" fillId="0" borderId="19" xfId="0" quotePrefix="1" applyNumberFormat="1" applyFont="1" applyBorder="1"/>
    <xf numFmtId="192" fontId="74" fillId="0" borderId="1" xfId="0" applyNumberFormat="1" applyFont="1" applyBorder="1" applyAlignment="1">
      <alignment horizontal="center"/>
    </xf>
    <xf numFmtId="192" fontId="74" fillId="0" borderId="12" xfId="0" applyNumberFormat="1" applyFont="1" applyBorder="1" applyAlignment="1">
      <alignment horizontal="center"/>
    </xf>
    <xf numFmtId="188" fontId="74" fillId="0" borderId="11" xfId="0" applyNumberFormat="1" applyFont="1" applyBorder="1" applyAlignment="1">
      <alignment horizontal="center"/>
    </xf>
    <xf numFmtId="188" fontId="74" fillId="0" borderId="1" xfId="0" applyNumberFormat="1" applyFont="1" applyBorder="1" applyAlignment="1">
      <alignment horizontal="center"/>
    </xf>
    <xf numFmtId="188" fontId="74" fillId="0" borderId="12" xfId="0" applyNumberFormat="1" applyFont="1" applyBorder="1" applyAlignment="1">
      <alignment horizontal="center"/>
    </xf>
    <xf numFmtId="188" fontId="87" fillId="0" borderId="12" xfId="0" applyNumberFormat="1" applyFont="1" applyBorder="1" applyAlignment="1">
      <alignment horizontal="center"/>
    </xf>
    <xf numFmtId="192" fontId="87" fillId="0" borderId="1" xfId="0" applyNumberFormat="1" applyFont="1" applyBorder="1" applyAlignment="1">
      <alignment horizontal="center"/>
    </xf>
    <xf numFmtId="192" fontId="87" fillId="0" borderId="12" xfId="0" applyNumberFormat="1" applyFont="1" applyBorder="1" applyAlignment="1">
      <alignment horizontal="center"/>
    </xf>
    <xf numFmtId="192" fontId="74" fillId="0" borderId="11" xfId="0" applyNumberFormat="1" applyFont="1" applyBorder="1" applyAlignment="1">
      <alignment horizontal="center"/>
    </xf>
    <xf numFmtId="188" fontId="87" fillId="0" borderId="1" xfId="0" applyNumberFormat="1" applyFont="1" applyBorder="1" applyAlignment="1">
      <alignment horizontal="center"/>
    </xf>
    <xf numFmtId="192" fontId="84" fillId="0" borderId="19" xfId="0" quotePrefix="1" applyNumberFormat="1" applyFont="1" applyBorder="1"/>
    <xf numFmtId="181" fontId="74" fillId="0" borderId="19" xfId="7" quotePrefix="1" applyNumberFormat="1" applyFont="1" applyBorder="1" applyAlignment="1">
      <alignment horizontal="left" indent="3"/>
    </xf>
    <xf numFmtId="181" fontId="69" fillId="0" borderId="10" xfId="7" applyNumberFormat="1" applyFont="1" applyBorder="1" applyAlignment="1">
      <alignment horizontal="center"/>
    </xf>
    <xf numFmtId="181" fontId="69" fillId="0" borderId="8" xfId="7" applyNumberFormat="1" applyFont="1" applyBorder="1" applyAlignment="1">
      <alignment horizontal="center"/>
    </xf>
    <xf numFmtId="181" fontId="74" fillId="0" borderId="0" xfId="7" applyNumberFormat="1" applyFont="1" applyFill="1" applyBorder="1" applyAlignment="1">
      <alignment horizontal="center"/>
    </xf>
    <xf numFmtId="181" fontId="78" fillId="0" borderId="10" xfId="7" applyNumberFormat="1" applyFont="1" applyBorder="1" applyAlignment="1">
      <alignment horizontal="center"/>
    </xf>
    <xf numFmtId="181" fontId="78" fillId="0" borderId="0" xfId="7" applyNumberFormat="1" applyFont="1" applyFill="1" applyBorder="1" applyAlignment="1">
      <alignment horizontal="center"/>
    </xf>
    <xf numFmtId="181" fontId="69" fillId="0" borderId="0" xfId="0" applyNumberFormat="1" applyFont="1" applyAlignment="1">
      <alignment horizontal="center"/>
    </xf>
    <xf numFmtId="181" fontId="74" fillId="0" borderId="19" xfId="0" applyNumberFormat="1" applyFont="1" applyBorder="1" applyAlignment="1">
      <alignment horizontal="left" indent="2"/>
    </xf>
    <xf numFmtId="181" fontId="74" fillId="0" borderId="0" xfId="7" applyNumberFormat="1" applyFont="1" applyFill="1" applyAlignment="1">
      <alignment horizontal="center"/>
    </xf>
    <xf numFmtId="181" fontId="74" fillId="0" borderId="8" xfId="7" applyNumberFormat="1" applyFont="1" applyFill="1" applyBorder="1" applyAlignment="1">
      <alignment horizontal="center"/>
    </xf>
    <xf numFmtId="181" fontId="74" fillId="0" borderId="10" xfId="7" applyNumberFormat="1" applyFont="1" applyFill="1" applyBorder="1" applyAlignment="1">
      <alignment horizontal="center"/>
    </xf>
    <xf numFmtId="188" fontId="69" fillId="0" borderId="0" xfId="6" applyNumberFormat="1" applyFont="1" applyFill="1" applyBorder="1" applyAlignment="1">
      <alignment horizontal="center"/>
    </xf>
    <xf numFmtId="188" fontId="69" fillId="0" borderId="8" xfId="6" applyNumberFormat="1" applyFont="1" applyFill="1" applyBorder="1" applyAlignment="1">
      <alignment horizontal="center"/>
    </xf>
    <xf numFmtId="188" fontId="69" fillId="0" borderId="10" xfId="6" applyNumberFormat="1" applyFont="1" applyFill="1" applyBorder="1" applyAlignment="1">
      <alignment horizontal="center"/>
    </xf>
    <xf numFmtId="188" fontId="87" fillId="0" borderId="0" xfId="0" applyNumberFormat="1" applyFont="1" applyAlignment="1">
      <alignment horizontal="center"/>
    </xf>
    <xf numFmtId="188" fontId="87" fillId="0" borderId="8" xfId="0" applyNumberFormat="1" applyFont="1" applyBorder="1" applyAlignment="1">
      <alignment horizontal="center"/>
    </xf>
    <xf numFmtId="188" fontId="74" fillId="0" borderId="0" xfId="7" applyNumberFormat="1" applyFont="1" applyFill="1" applyAlignment="1">
      <alignment horizontal="center"/>
    </xf>
    <xf numFmtId="188" fontId="74" fillId="0" borderId="0" xfId="7" applyNumberFormat="1" applyFont="1" applyFill="1" applyBorder="1" applyAlignment="1">
      <alignment horizontal="center"/>
    </xf>
    <xf numFmtId="181" fontId="88" fillId="0" borderId="10" xfId="7" applyNumberFormat="1" applyFont="1" applyFill="1" applyBorder="1" applyAlignment="1">
      <alignment horizontal="center"/>
    </xf>
    <xf numFmtId="181" fontId="88" fillId="0" borderId="0" xfId="7" applyNumberFormat="1" applyFont="1" applyFill="1" applyBorder="1" applyAlignment="1">
      <alignment horizontal="center"/>
    </xf>
    <xf numFmtId="0" fontId="84" fillId="0" borderId="19" xfId="0" quotePrefix="1" applyFont="1" applyBorder="1"/>
    <xf numFmtId="188" fontId="74" fillId="0" borderId="19" xfId="0" applyNumberFormat="1" applyFont="1" applyBorder="1" applyAlignment="1">
      <alignment horizontal="center"/>
    </xf>
    <xf numFmtId="188" fontId="87" fillId="0" borderId="11" xfId="0" applyNumberFormat="1" applyFont="1" applyBorder="1" applyAlignment="1">
      <alignment horizontal="center"/>
    </xf>
    <xf numFmtId="181" fontId="87" fillId="0" borderId="10" xfId="7" applyNumberFormat="1" applyFont="1" applyBorder="1" applyAlignment="1">
      <alignment horizontal="center"/>
    </xf>
    <xf numFmtId="181" fontId="74" fillId="0" borderId="19" xfId="7" applyNumberFormat="1" applyFont="1" applyBorder="1" applyAlignment="1">
      <alignment horizontal="center"/>
    </xf>
    <xf numFmtId="192" fontId="87" fillId="0" borderId="0" xfId="0" applyNumberFormat="1" applyFont="1" applyAlignment="1">
      <alignment horizontal="center"/>
    </xf>
    <xf numFmtId="192" fontId="87" fillId="0" borderId="8" xfId="0" applyNumberFormat="1" applyFont="1" applyBorder="1" applyAlignment="1">
      <alignment horizontal="center"/>
    </xf>
    <xf numFmtId="181" fontId="74" fillId="0" borderId="19" xfId="7" quotePrefix="1" applyNumberFormat="1" applyFont="1" applyBorder="1"/>
    <xf numFmtId="181" fontId="76" fillId="0" borderId="0" xfId="7" applyNumberFormat="1" applyFont="1" applyBorder="1" applyAlignment="1">
      <alignment horizontal="center"/>
    </xf>
    <xf numFmtId="181" fontId="78" fillId="0" borderId="8" xfId="7" applyNumberFormat="1" applyFont="1" applyBorder="1" applyAlignment="1">
      <alignment horizontal="center"/>
    </xf>
    <xf numFmtId="0" fontId="74" fillId="0" borderId="19" xfId="0" applyFont="1" applyBorder="1"/>
    <xf numFmtId="192" fontId="76" fillId="0" borderId="0" xfId="0" applyNumberFormat="1" applyFont="1" applyAlignment="1">
      <alignment horizontal="center"/>
    </xf>
    <xf numFmtId="181" fontId="74" fillId="0" borderId="26" xfId="7" quotePrefix="1" applyNumberFormat="1" applyFont="1" applyBorder="1"/>
    <xf numFmtId="181" fontId="74" fillId="0" borderId="1" xfId="7" applyNumberFormat="1" applyFont="1" applyBorder="1" applyAlignment="1">
      <alignment horizontal="center"/>
    </xf>
    <xf numFmtId="181" fontId="74" fillId="0" borderId="11" xfId="7" applyNumberFormat="1" applyFont="1" applyBorder="1" applyAlignment="1">
      <alignment horizontal="center"/>
    </xf>
    <xf numFmtId="181" fontId="76" fillId="0" borderId="1" xfId="7" applyNumberFormat="1" applyFont="1" applyBorder="1" applyAlignment="1">
      <alignment horizontal="center"/>
    </xf>
    <xf numFmtId="181" fontId="74" fillId="0" borderId="12" xfId="7" applyNumberFormat="1" applyFont="1" applyBorder="1" applyAlignment="1">
      <alignment horizontal="center"/>
    </xf>
    <xf numFmtId="181" fontId="74" fillId="0" borderId="1" xfId="7" applyNumberFormat="1" applyFont="1" applyFill="1" applyBorder="1" applyAlignment="1">
      <alignment horizontal="center"/>
    </xf>
    <xf numFmtId="181" fontId="87" fillId="0" borderId="12" xfId="7" applyNumberFormat="1" applyFont="1" applyBorder="1" applyAlignment="1">
      <alignment horizontal="center"/>
    </xf>
    <xf numFmtId="181" fontId="78" fillId="0" borderId="11" xfId="7" applyNumberFormat="1" applyFont="1" applyBorder="1" applyAlignment="1">
      <alignment horizontal="center"/>
    </xf>
    <xf numFmtId="181" fontId="78" fillId="0" borderId="1" xfId="7" applyNumberFormat="1" applyFont="1" applyFill="1" applyBorder="1" applyAlignment="1">
      <alignment horizontal="center"/>
    </xf>
    <xf numFmtId="181" fontId="87" fillId="0" borderId="1" xfId="7" applyNumberFormat="1" applyFont="1" applyBorder="1" applyAlignment="1">
      <alignment horizontal="center"/>
    </xf>
    <xf numFmtId="181" fontId="69" fillId="0" borderId="1" xfId="7" applyNumberFormat="1" applyFont="1" applyBorder="1" applyAlignment="1">
      <alignment horizontal="center"/>
    </xf>
    <xf numFmtId="181" fontId="69" fillId="0" borderId="16" xfId="0" applyNumberFormat="1" applyFont="1" applyBorder="1" applyAlignment="1">
      <alignment horizontal="left"/>
    </xf>
    <xf numFmtId="181" fontId="69" fillId="0" borderId="9" xfId="0" applyNumberFormat="1" applyFont="1" applyBorder="1" applyAlignment="1">
      <alignment horizontal="center"/>
    </xf>
    <xf numFmtId="181" fontId="78" fillId="0" borderId="9" xfId="0" applyNumberFormat="1" applyFont="1" applyBorder="1" applyAlignment="1">
      <alignment horizontal="center"/>
    </xf>
    <xf numFmtId="181" fontId="78" fillId="0" borderId="16" xfId="0" applyNumberFormat="1" applyFont="1" applyBorder="1" applyAlignment="1">
      <alignment horizontal="center"/>
    </xf>
    <xf numFmtId="181" fontId="78" fillId="0" borderId="15" xfId="0" applyNumberFormat="1" applyFont="1" applyBorder="1" applyAlignment="1">
      <alignment horizontal="center"/>
    </xf>
    <xf numFmtId="181" fontId="78" fillId="0" borderId="0" xfId="0" applyNumberFormat="1" applyFont="1" applyAlignment="1">
      <alignment horizontal="center"/>
    </xf>
    <xf numFmtId="181" fontId="69" fillId="0" borderId="5" xfId="0" applyNumberFormat="1" applyFont="1" applyBorder="1" applyAlignment="1">
      <alignment horizontal="center"/>
    </xf>
    <xf numFmtId="181" fontId="78" fillId="0" borderId="5" xfId="0" applyNumberFormat="1" applyFont="1" applyBorder="1" applyAlignment="1">
      <alignment horizontal="center"/>
    </xf>
    <xf numFmtId="181" fontId="69" fillId="0" borderId="10" xfId="0" applyNumberFormat="1" applyFont="1" applyBorder="1" applyAlignment="1">
      <alignment horizontal="center"/>
    </xf>
    <xf numFmtId="0" fontId="83" fillId="0" borderId="0" xfId="0" applyFont="1" applyAlignment="1">
      <alignment horizontal="center"/>
    </xf>
    <xf numFmtId="0" fontId="75" fillId="12" borderId="17" xfId="0" applyFont="1" applyFill="1" applyBorder="1" applyAlignment="1">
      <alignment horizontal="left"/>
    </xf>
    <xf numFmtId="0" fontId="73" fillId="12" borderId="10" xfId="0" applyFont="1" applyFill="1" applyBorder="1" applyAlignment="1">
      <alignment horizontal="center"/>
    </xf>
    <xf numFmtId="0" fontId="69" fillId="12" borderId="9" xfId="0" applyFont="1" applyFill="1" applyBorder="1" applyAlignment="1">
      <alignment horizontal="center"/>
    </xf>
    <xf numFmtId="0" fontId="0" fillId="0" borderId="10" xfId="0" applyBorder="1"/>
    <xf numFmtId="0" fontId="82" fillId="0" borderId="19" xfId="0" applyFont="1" applyBorder="1" applyAlignment="1">
      <alignment horizontal="left"/>
    </xf>
    <xf numFmtId="0" fontId="82" fillId="0" borderId="0" xfId="0" applyFont="1" applyAlignment="1">
      <alignment horizontal="center"/>
    </xf>
    <xf numFmtId="0" fontId="82" fillId="0" borderId="8" xfId="0" applyFont="1" applyBorder="1" applyAlignment="1">
      <alignment horizontal="center"/>
    </xf>
    <xf numFmtId="0" fontId="82" fillId="0" borderId="10" xfId="0" applyFont="1" applyBorder="1" applyAlignment="1">
      <alignment horizontal="center"/>
    </xf>
    <xf numFmtId="192" fontId="86" fillId="0" borderId="0" xfId="0" quotePrefix="1" applyNumberFormat="1" applyFont="1" applyAlignment="1">
      <alignment horizontal="left"/>
    </xf>
    <xf numFmtId="192" fontId="86" fillId="0" borderId="0" xfId="0" applyNumberFormat="1" applyFont="1" applyAlignment="1">
      <alignment vertical="center"/>
    </xf>
    <xf numFmtId="192" fontId="89" fillId="0" borderId="19" xfId="0" applyNumberFormat="1" applyFont="1" applyBorder="1" applyAlignment="1">
      <alignment horizontal="left"/>
    </xf>
    <xf numFmtId="192" fontId="90" fillId="0" borderId="7" xfId="0" applyNumberFormat="1" applyFont="1" applyBorder="1" applyAlignment="1">
      <alignment horizontal="center"/>
    </xf>
    <xf numFmtId="192" fontId="90" fillId="0" borderId="22" xfId="0" applyNumberFormat="1" applyFont="1" applyBorder="1" applyAlignment="1">
      <alignment horizontal="center"/>
    </xf>
    <xf numFmtId="188" fontId="90" fillId="0" borderId="7" xfId="0" applyNumberFormat="1" applyFont="1" applyBorder="1" applyAlignment="1">
      <alignment horizontal="center"/>
    </xf>
    <xf numFmtId="188" fontId="90" fillId="0" borderId="22" xfId="0" applyNumberFormat="1" applyFont="1" applyBorder="1" applyAlignment="1">
      <alignment horizontal="center"/>
    </xf>
    <xf numFmtId="188" fontId="90" fillId="0" borderId="23" xfId="0" applyNumberFormat="1" applyFont="1" applyBorder="1" applyAlignment="1">
      <alignment horizontal="center"/>
    </xf>
    <xf numFmtId="192" fontId="90" fillId="0" borderId="23" xfId="0" applyNumberFormat="1" applyFont="1" applyBorder="1" applyAlignment="1">
      <alignment horizontal="center"/>
    </xf>
    <xf numFmtId="188" fontId="91" fillId="0" borderId="7" xfId="0" applyNumberFormat="1" applyFont="1" applyBorder="1" applyAlignment="1">
      <alignment horizontal="center"/>
    </xf>
    <xf numFmtId="188" fontId="89" fillId="0" borderId="7" xfId="0" applyNumberFormat="1" applyFont="1" applyBorder="1" applyAlignment="1">
      <alignment horizontal="center"/>
    </xf>
    <xf numFmtId="192" fontId="86" fillId="0" borderId="10" xfId="0" applyNumberFormat="1" applyFont="1" applyBorder="1" applyAlignment="1">
      <alignment horizontal="center"/>
    </xf>
    <xf numFmtId="192" fontId="86" fillId="0" borderId="0" xfId="0" applyNumberFormat="1" applyFont="1" applyAlignment="1">
      <alignment horizontal="center"/>
    </xf>
    <xf numFmtId="192" fontId="69" fillId="0" borderId="19" xfId="0" applyNumberFormat="1" applyFont="1" applyBorder="1" applyAlignment="1">
      <alignment horizontal="left" indent="1"/>
    </xf>
    <xf numFmtId="188" fontId="92" fillId="0" borderId="0" xfId="0" applyNumberFormat="1" applyFont="1" applyAlignment="1">
      <alignment horizontal="center"/>
    </xf>
    <xf numFmtId="188" fontId="92" fillId="0" borderId="8" xfId="0" applyNumberFormat="1" applyFont="1" applyBorder="1" applyAlignment="1">
      <alignment horizontal="center"/>
    </xf>
    <xf numFmtId="188" fontId="80" fillId="0" borderId="8" xfId="0" applyNumberFormat="1" applyFont="1" applyBorder="1" applyAlignment="1">
      <alignment horizontal="center"/>
    </xf>
    <xf numFmtId="197" fontId="82" fillId="0" borderId="0" xfId="0" applyNumberFormat="1" applyFont="1" applyAlignment="1">
      <alignment horizontal="center"/>
    </xf>
    <xf numFmtId="188" fontId="92" fillId="0" borderId="10" xfId="0" applyNumberFormat="1" applyFont="1" applyBorder="1" applyAlignment="1">
      <alignment horizontal="center"/>
    </xf>
    <xf numFmtId="188" fontId="70" fillId="0" borderId="0" xfId="0" applyNumberFormat="1" applyFont="1" applyAlignment="1">
      <alignment horizontal="center"/>
    </xf>
    <xf numFmtId="188" fontId="70" fillId="0" borderId="8" xfId="0" applyNumberFormat="1" applyFont="1" applyBorder="1" applyAlignment="1">
      <alignment horizontal="center"/>
    </xf>
    <xf numFmtId="188" fontId="70" fillId="0" borderId="25" xfId="0" applyNumberFormat="1" applyFont="1" applyBorder="1" applyAlignment="1">
      <alignment horizontal="center"/>
    </xf>
    <xf numFmtId="188" fontId="70" fillId="0" borderId="21" xfId="0" applyNumberFormat="1" applyFont="1" applyBorder="1" applyAlignment="1">
      <alignment horizontal="center"/>
    </xf>
    <xf numFmtId="192" fontId="70" fillId="0" borderId="0" xfId="0" applyNumberFormat="1" applyFont="1" applyAlignment="1">
      <alignment horizontal="center"/>
    </xf>
    <xf numFmtId="192" fontId="70" fillId="0" borderId="8" xfId="0" applyNumberFormat="1" applyFont="1" applyBorder="1" applyAlignment="1">
      <alignment horizontal="center"/>
    </xf>
    <xf numFmtId="196" fontId="74" fillId="0" borderId="0" xfId="0" applyNumberFormat="1" applyFont="1" applyAlignment="1">
      <alignment horizontal="center"/>
    </xf>
    <xf numFmtId="196" fontId="74" fillId="0" borderId="8" xfId="0" applyNumberFormat="1" applyFont="1" applyBorder="1" applyAlignment="1">
      <alignment horizontal="center"/>
    </xf>
    <xf numFmtId="196" fontId="74" fillId="0" borderId="10" xfId="0" applyNumberFormat="1" applyFont="1" applyBorder="1" applyAlignment="1">
      <alignment horizontal="center"/>
    </xf>
    <xf numFmtId="0" fontId="71" fillId="0" borderId="19" xfId="0" applyFont="1" applyBorder="1" applyAlignment="1">
      <alignment horizontal="left"/>
    </xf>
    <xf numFmtId="196" fontId="84" fillId="0" borderId="0" xfId="0" applyNumberFormat="1" applyFont="1" applyAlignment="1">
      <alignment horizontal="center"/>
    </xf>
    <xf numFmtId="196" fontId="84" fillId="0" borderId="8" xfId="0" applyNumberFormat="1" applyFont="1" applyBorder="1" applyAlignment="1">
      <alignment horizontal="center"/>
    </xf>
    <xf numFmtId="200" fontId="84" fillId="0" borderId="0" xfId="0" applyNumberFormat="1" applyFont="1" applyAlignment="1">
      <alignment horizontal="center"/>
    </xf>
    <xf numFmtId="200" fontId="84" fillId="0" borderId="8" xfId="0" applyNumberFormat="1" applyFont="1" applyBorder="1" applyAlignment="1">
      <alignment horizontal="center"/>
    </xf>
    <xf numFmtId="196" fontId="84" fillId="0" borderId="10" xfId="0" applyNumberFormat="1" applyFont="1" applyBorder="1" applyAlignment="1">
      <alignment horizontal="center"/>
    </xf>
    <xf numFmtId="181" fontId="69" fillId="0" borderId="0" xfId="7" quotePrefix="1" applyNumberFormat="1" applyFont="1" applyFill="1" applyBorder="1" applyAlignment="1">
      <alignment horizontal="left"/>
    </xf>
    <xf numFmtId="181" fontId="69" fillId="0" borderId="0" xfId="7" applyNumberFormat="1" applyFont="1" applyFill="1" applyBorder="1" applyAlignment="1">
      <alignment horizontal="center"/>
    </xf>
    <xf numFmtId="181" fontId="69" fillId="0" borderId="19" xfId="7" applyNumberFormat="1" applyFont="1" applyBorder="1" applyAlignment="1">
      <alignment horizontal="left"/>
    </xf>
    <xf numFmtId="181" fontId="69" fillId="0" borderId="19" xfId="7" applyNumberFormat="1" applyFont="1" applyFill="1" applyBorder="1" applyAlignment="1">
      <alignment horizontal="center"/>
    </xf>
    <xf numFmtId="188" fontId="69" fillId="0" borderId="0" xfId="7" applyNumberFormat="1" applyFont="1" applyBorder="1" applyAlignment="1">
      <alignment horizontal="center"/>
    </xf>
    <xf numFmtId="181" fontId="69" fillId="0" borderId="10" xfId="7" applyNumberFormat="1" applyFont="1" applyFill="1" applyBorder="1" applyAlignment="1">
      <alignment horizontal="center"/>
    </xf>
    <xf numFmtId="181" fontId="69" fillId="0" borderId="0" xfId="7" applyNumberFormat="1" applyFont="1" applyFill="1" applyBorder="1" applyAlignment="1">
      <alignment vertical="center"/>
    </xf>
    <xf numFmtId="181" fontId="71" fillId="0" borderId="19" xfId="7" applyNumberFormat="1" applyFont="1" applyBorder="1" applyAlignment="1">
      <alignment horizontal="left"/>
    </xf>
    <xf numFmtId="181" fontId="84" fillId="0" borderId="0" xfId="7" applyNumberFormat="1" applyFont="1" applyBorder="1" applyAlignment="1">
      <alignment horizontal="center"/>
    </xf>
    <xf numFmtId="181" fontId="84" fillId="0" borderId="8" xfId="7" applyNumberFormat="1" applyFont="1" applyBorder="1" applyAlignment="1">
      <alignment horizontal="center"/>
    </xf>
    <xf numFmtId="181" fontId="84" fillId="0" borderId="10" xfId="7" applyNumberFormat="1" applyFont="1" applyBorder="1" applyAlignment="1">
      <alignment horizontal="center"/>
    </xf>
    <xf numFmtId="181" fontId="71" fillId="0" borderId="0" xfId="7" applyNumberFormat="1" applyFont="1" applyBorder="1" applyAlignment="1">
      <alignment horizontal="center"/>
    </xf>
    <xf numFmtId="181" fontId="71" fillId="0" borderId="0" xfId="7" quotePrefix="1" applyNumberFormat="1" applyFont="1" applyFill="1" applyAlignment="1">
      <alignment horizontal="left"/>
    </xf>
    <xf numFmtId="181" fontId="71" fillId="0" borderId="0" xfId="7" applyNumberFormat="1" applyFont="1" applyFill="1" applyAlignment="1">
      <alignment horizontal="center"/>
    </xf>
    <xf numFmtId="181" fontId="71" fillId="0" borderId="26" xfId="7" applyNumberFormat="1" applyFont="1" applyBorder="1" applyAlignment="1">
      <alignment horizontal="left"/>
    </xf>
    <xf numFmtId="181" fontId="71" fillId="0" borderId="1" xfId="7" applyNumberFormat="1" applyFont="1" applyBorder="1" applyAlignment="1">
      <alignment horizontal="center"/>
    </xf>
    <xf numFmtId="181" fontId="71" fillId="0" borderId="12" xfId="7" applyNumberFormat="1" applyFont="1" applyBorder="1" applyAlignment="1">
      <alignment horizontal="center"/>
    </xf>
    <xf numFmtId="181" fontId="71" fillId="0" borderId="19" xfId="7" applyNumberFormat="1" applyFont="1" applyFill="1" applyBorder="1" applyAlignment="1">
      <alignment horizontal="center"/>
    </xf>
    <xf numFmtId="181" fontId="71" fillId="0" borderId="11" xfId="7" applyNumberFormat="1" applyFont="1" applyBorder="1" applyAlignment="1">
      <alignment horizontal="center"/>
    </xf>
    <xf numFmtId="181" fontId="71" fillId="0" borderId="10" xfId="7" applyNumberFormat="1" applyFont="1" applyFill="1" applyBorder="1" applyAlignment="1">
      <alignment horizontal="center"/>
    </xf>
    <xf numFmtId="181" fontId="71" fillId="0" borderId="0" xfId="7" applyNumberFormat="1" applyFont="1" applyFill="1" applyBorder="1" applyAlignment="1">
      <alignment horizontal="center"/>
    </xf>
    <xf numFmtId="181" fontId="71" fillId="0" borderId="0" xfId="7" applyNumberFormat="1" applyFont="1" applyFill="1" applyBorder="1" applyAlignment="1">
      <alignment vertical="center"/>
    </xf>
    <xf numFmtId="0" fontId="71" fillId="0" borderId="0" xfId="0" applyFont="1" applyAlignment="1">
      <alignment horizontal="left"/>
    </xf>
    <xf numFmtId="201" fontId="69" fillId="0" borderId="0" xfId="0" applyNumberFormat="1" applyFont="1" applyAlignment="1">
      <alignment horizontal="center"/>
    </xf>
    <xf numFmtId="0" fontId="81" fillId="0" borderId="0" xfId="0" applyFont="1"/>
    <xf numFmtId="0" fontId="74" fillId="0" borderId="0" xfId="0" applyFont="1" applyAlignment="1">
      <alignment horizontal="left"/>
    </xf>
    <xf numFmtId="0" fontId="87" fillId="0" borderId="0" xfId="0" applyFont="1" applyAlignment="1">
      <alignment horizontal="center"/>
    </xf>
    <xf numFmtId="181" fontId="87" fillId="0" borderId="0" xfId="7" applyNumberFormat="1" applyFont="1" applyAlignment="1">
      <alignment horizontal="center"/>
    </xf>
    <xf numFmtId="181" fontId="69" fillId="0" borderId="0" xfId="7" applyNumberFormat="1" applyFont="1" applyAlignment="1">
      <alignment horizontal="center"/>
    </xf>
    <xf numFmtId="181" fontId="74" fillId="0" borderId="0" xfId="7" applyNumberFormat="1" applyFont="1" applyAlignment="1">
      <alignment horizontal="left" indent="1"/>
    </xf>
    <xf numFmtId="181" fontId="78" fillId="0" borderId="0" xfId="7" applyNumberFormat="1" applyFont="1" applyAlignment="1">
      <alignment horizontal="center"/>
    </xf>
    <xf numFmtId="186" fontId="69" fillId="0" borderId="0" xfId="0" applyNumberFormat="1" applyFont="1"/>
    <xf numFmtId="0" fontId="69" fillId="0" borderId="0" xfId="0" applyFont="1" applyAlignment="1">
      <alignment horizontal="left"/>
    </xf>
    <xf numFmtId="0" fontId="93" fillId="0" borderId="0" xfId="0" applyFont="1"/>
    <xf numFmtId="0" fontId="94" fillId="0" borderId="0" xfId="0" applyFont="1" applyAlignment="1">
      <alignment horizontal="center"/>
    </xf>
    <xf numFmtId="0" fontId="48" fillId="0" borderId="0" xfId="0" applyFont="1" applyAlignment="1">
      <alignment horizontal="center"/>
    </xf>
    <xf numFmtId="188" fontId="95" fillId="0" borderId="0" xfId="0" applyNumberFormat="1" applyFont="1" applyAlignment="1">
      <alignment horizontal="center"/>
    </xf>
    <xf numFmtId="168" fontId="56" fillId="0" borderId="0" xfId="3" applyNumberFormat="1" applyFont="1" applyFill="1"/>
    <xf numFmtId="168" fontId="56" fillId="0" borderId="8" xfId="3" applyNumberFormat="1" applyFont="1" applyFill="1" applyBorder="1"/>
    <xf numFmtId="168" fontId="56" fillId="0" borderId="13" xfId="3" applyNumberFormat="1" applyFont="1" applyFill="1" applyBorder="1"/>
    <xf numFmtId="0" fontId="96" fillId="0" borderId="0" xfId="0" applyFont="1"/>
    <xf numFmtId="43" fontId="47" fillId="0" borderId="0" xfId="3" applyFont="1"/>
    <xf numFmtId="168" fontId="36" fillId="0" borderId="0" xfId="0" applyNumberFormat="1" applyFont="1"/>
    <xf numFmtId="9" fontId="36" fillId="0" borderId="0" xfId="0" applyNumberFormat="1" applyFont="1"/>
    <xf numFmtId="180" fontId="36" fillId="0" borderId="0" xfId="0" applyNumberFormat="1" applyFont="1"/>
    <xf numFmtId="0" fontId="97" fillId="0" borderId="0" xfId="0" applyFont="1"/>
    <xf numFmtId="172" fontId="86" fillId="0" borderId="0" xfId="0" applyNumberFormat="1" applyFont="1"/>
    <xf numFmtId="14" fontId="4" fillId="0" borderId="0" xfId="0" applyNumberFormat="1" applyFont="1" applyAlignment="1">
      <alignment horizontal="center"/>
    </xf>
    <xf numFmtId="0" fontId="98" fillId="0" borderId="0" xfId="0" applyFont="1"/>
    <xf numFmtId="0" fontId="98" fillId="0" borderId="1" xfId="0" applyFont="1" applyBorder="1"/>
    <xf numFmtId="184" fontId="98" fillId="0" borderId="1" xfId="3" applyNumberFormat="1" applyFont="1" applyBorder="1"/>
    <xf numFmtId="0" fontId="99" fillId="0" borderId="0" xfId="0" applyFont="1"/>
    <xf numFmtId="0" fontId="100" fillId="0" borderId="0" xfId="0" applyFont="1" applyAlignment="1">
      <alignment horizontal="centerContinuous"/>
    </xf>
    <xf numFmtId="0" fontId="99" fillId="0" borderId="0" xfId="0" applyFont="1" applyAlignment="1">
      <alignment horizontal="centerContinuous"/>
    </xf>
    <xf numFmtId="0" fontId="101" fillId="0" borderId="0" xfId="0" applyFont="1"/>
    <xf numFmtId="0" fontId="102" fillId="0" borderId="0" xfId="0" applyFont="1" applyAlignment="1">
      <alignment horizontal="center"/>
    </xf>
    <xf numFmtId="0" fontId="102" fillId="0" borderId="10" xfId="0" applyFont="1" applyBorder="1" applyAlignment="1">
      <alignment horizontal="center"/>
    </xf>
    <xf numFmtId="0" fontId="102" fillId="0" borderId="8" xfId="0" applyFont="1" applyBorder="1" applyAlignment="1">
      <alignment horizontal="center"/>
    </xf>
    <xf numFmtId="41" fontId="97" fillId="0" borderId="0" xfId="0" applyNumberFormat="1" applyFont="1"/>
    <xf numFmtId="41" fontId="97" fillId="0" borderId="10" xfId="0" applyNumberFormat="1" applyFont="1" applyBorder="1"/>
    <xf numFmtId="41" fontId="97" fillId="0" borderId="8" xfId="0" applyNumberFormat="1" applyFont="1" applyBorder="1"/>
    <xf numFmtId="0" fontId="99" fillId="0" borderId="0" xfId="0" applyFont="1" applyAlignment="1">
      <alignment horizontal="left" indent="1"/>
    </xf>
    <xf numFmtId="172" fontId="86" fillId="0" borderId="10" xfId="0" applyNumberFormat="1" applyFont="1" applyBorder="1"/>
    <xf numFmtId="172" fontId="86" fillId="0" borderId="8" xfId="0" applyNumberFormat="1" applyFont="1" applyBorder="1"/>
    <xf numFmtId="0" fontId="103" fillId="0" borderId="0" xfId="0" applyFont="1"/>
    <xf numFmtId="0" fontId="103" fillId="0" borderId="10" xfId="0" applyFont="1" applyBorder="1"/>
    <xf numFmtId="182" fontId="104" fillId="0" borderId="10" xfId="0" applyNumberFormat="1" applyFont="1" applyBorder="1"/>
    <xf numFmtId="182" fontId="104" fillId="0" borderId="0" xfId="0" applyNumberFormat="1" applyFont="1"/>
    <xf numFmtId="182" fontId="104" fillId="0" borderId="8" xfId="0" applyNumberFormat="1" applyFont="1" applyBorder="1"/>
    <xf numFmtId="0" fontId="99" fillId="0" borderId="0" xfId="0" applyFont="1" applyAlignment="1">
      <alignment horizontal="left" indent="2"/>
    </xf>
    <xf numFmtId="0" fontId="97" fillId="0" borderId="10" xfId="0" applyFont="1" applyBorder="1"/>
    <xf numFmtId="0" fontId="97" fillId="0" borderId="8" xfId="0" applyFont="1" applyBorder="1"/>
    <xf numFmtId="43" fontId="97" fillId="0" borderId="0" xfId="0" applyNumberFormat="1" applyFont="1"/>
    <xf numFmtId="0" fontId="99" fillId="0" borderId="0" xfId="0" applyFont="1" applyAlignment="1">
      <alignment vertical="center"/>
    </xf>
    <xf numFmtId="14" fontId="105" fillId="0" borderId="0" xfId="0" applyNumberFormat="1" applyFont="1" applyAlignment="1">
      <alignment horizontal="center"/>
    </xf>
    <xf numFmtId="184" fontId="3" fillId="0" borderId="1" xfId="3" applyNumberFormat="1" applyFont="1" applyBorder="1"/>
    <xf numFmtId="0" fontId="106" fillId="0" borderId="0" xfId="0" applyFont="1" applyAlignment="1">
      <alignment horizontal="centerContinuous"/>
    </xf>
    <xf numFmtId="165" fontId="13" fillId="0" borderId="0" xfId="0" applyNumberFormat="1" applyFont="1" applyAlignment="1">
      <alignment horizontal="center"/>
    </xf>
    <xf numFmtId="0" fontId="107" fillId="0" borderId="0" xfId="0" applyFont="1" applyAlignment="1">
      <alignment horizontal="centerContinuous"/>
    </xf>
    <xf numFmtId="183" fontId="0" fillId="0" borderId="0" xfId="0" applyNumberFormat="1"/>
    <xf numFmtId="3" fontId="0" fillId="0" borderId="0" xfId="0" applyNumberFormat="1"/>
    <xf numFmtId="0" fontId="19" fillId="0" borderId="0" xfId="0" applyFont="1"/>
    <xf numFmtId="0" fontId="19" fillId="0" borderId="0" xfId="0" applyFont="1" applyAlignment="1">
      <alignment horizontal="left"/>
    </xf>
    <xf numFmtId="0" fontId="19" fillId="0" borderId="0" xfId="0" applyFont="1" applyAlignment="1">
      <alignment horizontal="right"/>
    </xf>
    <xf numFmtId="172" fontId="19" fillId="0" borderId="0" xfId="0" applyNumberFormat="1" applyFont="1"/>
    <xf numFmtId="181" fontId="14" fillId="0" borderId="0" xfId="1" applyNumberFormat="1" applyFont="1" applyFill="1"/>
    <xf numFmtId="181" fontId="14" fillId="0" borderId="0" xfId="0" applyNumberFormat="1" applyFont="1"/>
    <xf numFmtId="168" fontId="0" fillId="0" borderId="0" xfId="3" applyNumberFormat="1" applyFont="1" applyBorder="1" applyAlignment="1"/>
    <xf numFmtId="9" fontId="4" fillId="0" borderId="0" xfId="1" applyFont="1" applyFill="1" applyBorder="1" applyAlignment="1"/>
    <xf numFmtId="9" fontId="14" fillId="0" borderId="0" xfId="1" applyFont="1" applyFill="1"/>
    <xf numFmtId="9" fontId="14" fillId="0" borderId="0" xfId="1" applyFont="1" applyFill="1" applyAlignment="1">
      <alignment horizontal="right"/>
    </xf>
    <xf numFmtId="182" fontId="14" fillId="0" borderId="0" xfId="0" applyNumberFormat="1" applyFont="1"/>
    <xf numFmtId="0" fontId="3" fillId="0" borderId="0" xfId="0" applyFont="1" applyAlignment="1">
      <alignment horizontal="left" indent="1"/>
    </xf>
    <xf numFmtId="41" fontId="3" fillId="0" borderId="0" xfId="0" applyNumberFormat="1" applyFont="1"/>
    <xf numFmtId="0" fontId="15" fillId="0" borderId="0" xfId="0" applyFont="1"/>
    <xf numFmtId="172" fontId="108" fillId="0" borderId="0" xfId="0" applyNumberFormat="1" applyFont="1"/>
    <xf numFmtId="0" fontId="6" fillId="0" borderId="0" xfId="0" applyFont="1" applyAlignment="1">
      <alignment horizontal="left" indent="2"/>
    </xf>
    <xf numFmtId="172" fontId="109" fillId="0" borderId="0" xfId="0" applyNumberFormat="1" applyFont="1"/>
    <xf numFmtId="0" fontId="0" fillId="0" borderId="0" xfId="0" applyAlignment="1">
      <alignment horizontal="left"/>
    </xf>
    <xf numFmtId="41" fontId="19" fillId="0" borderId="0" xfId="0" applyNumberFormat="1" applyFont="1" applyAlignment="1">
      <alignment horizontal="left"/>
    </xf>
    <xf numFmtId="168" fontId="14" fillId="0" borderId="0" xfId="3" applyNumberFormat="1" applyFont="1"/>
    <xf numFmtId="41" fontId="110" fillId="0" borderId="0" xfId="0" applyNumberFormat="1" applyFont="1"/>
    <xf numFmtId="0" fontId="111" fillId="0" borderId="0" xfId="0" applyFont="1" applyAlignment="1">
      <alignment horizontal="left" indent="1"/>
    </xf>
    <xf numFmtId="0" fontId="3" fillId="0" borderId="0" xfId="0" applyFont="1" applyAlignment="1">
      <alignment horizontal="left" indent="2"/>
    </xf>
    <xf numFmtId="41" fontId="26" fillId="0" borderId="0" xfId="0" applyNumberFormat="1" applyFont="1"/>
    <xf numFmtId="0" fontId="6" fillId="0" borderId="0" xfId="0" applyFont="1" applyAlignment="1">
      <alignment horizontal="left" indent="3"/>
    </xf>
    <xf numFmtId="164" fontId="19" fillId="0" borderId="0" xfId="0" applyNumberFormat="1" applyFont="1" applyAlignment="1">
      <alignment horizontal="right"/>
    </xf>
    <xf numFmtId="0" fontId="112" fillId="0" borderId="0" xfId="0" applyFont="1"/>
    <xf numFmtId="41" fontId="112" fillId="0" borderId="0" xfId="0" applyNumberFormat="1" applyFont="1"/>
    <xf numFmtId="43" fontId="3" fillId="0" borderId="0" xfId="0" applyNumberFormat="1" applyFont="1"/>
    <xf numFmtId="164" fontId="6" fillId="0" borderId="0" xfId="0" applyNumberFormat="1" applyFont="1" applyAlignment="1">
      <alignment horizontal="right"/>
    </xf>
    <xf numFmtId="41" fontId="10" fillId="0" borderId="0" xfId="0" applyNumberFormat="1" applyFont="1" applyAlignment="1">
      <alignment horizontal="right" vertical="center"/>
    </xf>
    <xf numFmtId="41" fontId="10" fillId="0" borderId="0" xfId="0" applyNumberFormat="1" applyFont="1" applyAlignment="1">
      <alignment horizontal="right"/>
    </xf>
    <xf numFmtId="0" fontId="12" fillId="0" borderId="0" xfId="0" applyFont="1" applyAlignment="1">
      <alignment horizontal="left"/>
    </xf>
    <xf numFmtId="41" fontId="0" fillId="0" borderId="0" xfId="0" applyNumberFormat="1" applyAlignment="1">
      <alignment horizontal="right"/>
    </xf>
    <xf numFmtId="41" fontId="17" fillId="0" borderId="0" xfId="0" applyNumberFormat="1" applyFont="1" applyAlignment="1">
      <alignment horizontal="right"/>
    </xf>
    <xf numFmtId="180" fontId="6" fillId="0" borderId="0" xfId="0" applyNumberFormat="1" applyFont="1"/>
    <xf numFmtId="41" fontId="6" fillId="0" borderId="0" xfId="0" applyNumberFormat="1" applyFont="1"/>
    <xf numFmtId="0" fontId="26" fillId="0" borderId="2" xfId="0" applyFont="1" applyBorder="1" applyAlignment="1">
      <alignment horizontal="left"/>
    </xf>
    <xf numFmtId="180" fontId="10" fillId="0" borderId="5" xfId="0" applyNumberFormat="1" applyFont="1" applyBorder="1"/>
    <xf numFmtId="180" fontId="10" fillId="0" borderId="3" xfId="0" applyNumberFormat="1" applyFont="1" applyBorder="1"/>
    <xf numFmtId="180" fontId="10" fillId="0" borderId="0" xfId="0" applyNumberFormat="1" applyFont="1"/>
    <xf numFmtId="0" fontId="12" fillId="0" borderId="0" xfId="0" applyFont="1" applyAlignment="1">
      <alignment horizontal="right"/>
    </xf>
    <xf numFmtId="6" fontId="10" fillId="0" borderId="0" xfId="0" applyNumberFormat="1" applyFont="1"/>
    <xf numFmtId="8" fontId="10" fillId="0" borderId="0" xfId="0" applyNumberFormat="1" applyFont="1"/>
    <xf numFmtId="168" fontId="11" fillId="0" borderId="0" xfId="3" applyNumberFormat="1" applyFont="1"/>
    <xf numFmtId="43" fontId="11" fillId="0" borderId="0" xfId="3" applyFont="1"/>
    <xf numFmtId="0" fontId="14" fillId="0" borderId="0" xfId="0" applyFont="1"/>
    <xf numFmtId="0" fontId="26" fillId="0" borderId="0" xfId="0" applyFont="1" applyAlignment="1">
      <alignment horizontal="left" indent="1"/>
    </xf>
    <xf numFmtId="181" fontId="0" fillId="0" borderId="0" xfId="1" applyNumberFormat="1" applyFont="1" applyAlignment="1"/>
    <xf numFmtId="0" fontId="14" fillId="0" borderId="0" xfId="0" applyFont="1" applyAlignment="1">
      <alignment horizontal="left" indent="1"/>
    </xf>
    <xf numFmtId="0" fontId="4" fillId="0" borderId="4" xfId="0" applyFont="1" applyBorder="1" applyAlignment="1">
      <alignment horizontal="centerContinuous"/>
    </xf>
    <xf numFmtId="0" fontId="0" fillId="0" borderId="4" xfId="0" applyBorder="1" applyAlignment="1">
      <alignment horizontal="centerContinuous"/>
    </xf>
    <xf numFmtId="0" fontId="0" fillId="0" borderId="0" xfId="0" applyAlignment="1">
      <alignment vertical="center"/>
    </xf>
    <xf numFmtId="41" fontId="7" fillId="0" borderId="0" xfId="0" applyNumberFormat="1" applyFont="1" applyAlignment="1">
      <alignment vertical="center"/>
    </xf>
    <xf numFmtId="41" fontId="10" fillId="0" borderId="0" xfId="0" applyNumberFormat="1" applyFont="1" applyAlignment="1">
      <alignment vertical="center"/>
    </xf>
    <xf numFmtId="164" fontId="19" fillId="3" borderId="0" xfId="0" applyNumberFormat="1" applyFont="1" applyFill="1" applyAlignment="1">
      <alignment horizontal="right"/>
    </xf>
    <xf numFmtId="0" fontId="3" fillId="0" borderId="0" xfId="0" applyFont="1" applyAlignment="1">
      <alignment horizontal="left" vertical="center" indent="1"/>
    </xf>
    <xf numFmtId="0" fontId="15" fillId="0" borderId="0" xfId="0" applyFont="1" applyAlignment="1">
      <alignment horizontal="left" vertical="center" indent="1"/>
    </xf>
    <xf numFmtId="0" fontId="4" fillId="0" borderId="0" xfId="0" applyFont="1" applyAlignment="1">
      <alignment horizontal="left" vertical="center" indent="1"/>
    </xf>
    <xf numFmtId="9" fontId="4" fillId="0" borderId="0" xfId="1" applyFont="1" applyAlignment="1"/>
    <xf numFmtId="164" fontId="15" fillId="0" borderId="0" xfId="0" applyNumberFormat="1" applyFont="1" applyAlignment="1">
      <alignment horizontal="right"/>
    </xf>
    <xf numFmtId="0" fontId="6" fillId="0" borderId="0" xfId="0" applyFont="1" applyAlignment="1">
      <alignment horizontal="left" vertical="center" indent="2"/>
    </xf>
    <xf numFmtId="0" fontId="4" fillId="0" borderId="0" xfId="0" applyFont="1" applyAlignment="1">
      <alignment horizontal="left" vertical="center"/>
    </xf>
    <xf numFmtId="2" fontId="4" fillId="0" borderId="0" xfId="0" applyNumberFormat="1" applyFont="1"/>
    <xf numFmtId="164" fontId="14" fillId="0" borderId="0" xfId="0" applyNumberFormat="1" applyFont="1" applyAlignment="1">
      <alignment horizontal="right"/>
    </xf>
    <xf numFmtId="166" fontId="14" fillId="0" borderId="0" xfId="0" applyNumberFormat="1" applyFont="1" applyAlignment="1">
      <alignment horizontal="right"/>
    </xf>
    <xf numFmtId="2" fontId="0" fillId="0" borderId="0" xfId="0" applyNumberFormat="1"/>
    <xf numFmtId="164" fontId="113" fillId="0" borderId="0" xfId="0" applyNumberFormat="1" applyFont="1" applyAlignment="1">
      <alignment horizontal="right"/>
    </xf>
    <xf numFmtId="181" fontId="15" fillId="0" borderId="0" xfId="1" applyNumberFormat="1" applyFont="1" applyAlignment="1"/>
    <xf numFmtId="166" fontId="6" fillId="0" borderId="0" xfId="0" applyNumberFormat="1" applyFont="1" applyAlignment="1">
      <alignment horizontal="right"/>
    </xf>
    <xf numFmtId="166" fontId="6" fillId="0" borderId="0" xfId="0" applyNumberFormat="1" applyFont="1"/>
    <xf numFmtId="166" fontId="109" fillId="0" borderId="0" xfId="0" applyNumberFormat="1" applyFont="1" applyAlignment="1">
      <alignment horizontal="right"/>
    </xf>
    <xf numFmtId="9" fontId="6" fillId="0" borderId="0" xfId="1" applyFont="1" applyAlignment="1"/>
    <xf numFmtId="185" fontId="0" fillId="0" borderId="0" xfId="0" applyNumberFormat="1"/>
    <xf numFmtId="9" fontId="0" fillId="0" borderId="0" xfId="1" applyFont="1" applyAlignment="1"/>
    <xf numFmtId="9" fontId="15" fillId="0" borderId="0" xfId="1" applyFont="1" applyAlignment="1"/>
    <xf numFmtId="164" fontId="109" fillId="0" borderId="0" xfId="0" applyNumberFormat="1" applyFont="1" applyAlignment="1">
      <alignment horizontal="right"/>
    </xf>
    <xf numFmtId="0" fontId="14" fillId="0" borderId="0" xfId="0" applyFont="1" applyAlignment="1">
      <alignment horizontal="centerContinuous"/>
    </xf>
    <xf numFmtId="164" fontId="13" fillId="0" borderId="0" xfId="0" applyNumberFormat="1" applyFont="1" applyAlignment="1">
      <alignment horizontal="right"/>
    </xf>
    <xf numFmtId="41" fontId="8" fillId="0" borderId="0" xfId="0" applyNumberFormat="1" applyFont="1" applyAlignment="1">
      <alignment vertical="center"/>
    </xf>
    <xf numFmtId="41" fontId="11" fillId="0" borderId="0" xfId="0" applyNumberFormat="1" applyFont="1" applyAlignment="1">
      <alignment vertical="center"/>
    </xf>
    <xf numFmtId="41" fontId="26" fillId="0" borderId="0" xfId="0" applyNumberFormat="1" applyFont="1" applyAlignment="1">
      <alignment vertical="center"/>
    </xf>
    <xf numFmtId="172" fontId="114" fillId="0" borderId="0" xfId="0" applyNumberFormat="1" applyFont="1"/>
    <xf numFmtId="172" fontId="0" fillId="0" borderId="0" xfId="0" applyNumberFormat="1"/>
    <xf numFmtId="0" fontId="12" fillId="0" borderId="0" xfId="0" applyFont="1" applyAlignment="1">
      <alignment vertical="center"/>
    </xf>
    <xf numFmtId="166" fontId="7" fillId="0" borderId="0" xfId="0" applyNumberFormat="1" applyFont="1" applyAlignment="1">
      <alignment horizontal="right"/>
    </xf>
    <xf numFmtId="166" fontId="0" fillId="0" borderId="0" xfId="0" applyNumberFormat="1"/>
    <xf numFmtId="166" fontId="17" fillId="0" borderId="0" xfId="0" applyNumberFormat="1" applyFont="1"/>
    <xf numFmtId="0" fontId="0" fillId="0" borderId="0" xfId="0" applyAlignment="1">
      <alignment horizontal="left" vertical="center" indent="2"/>
    </xf>
    <xf numFmtId="0" fontId="0" fillId="0" borderId="0" xfId="0" applyAlignment="1">
      <alignment horizontal="left" vertical="center" indent="3"/>
    </xf>
    <xf numFmtId="0" fontId="0" fillId="0" borderId="0" xfId="0" applyAlignment="1">
      <alignment horizontal="left" vertical="center" indent="1"/>
    </xf>
    <xf numFmtId="0" fontId="0" fillId="0" borderId="0" xfId="0" applyAlignment="1">
      <alignment horizontal="left" vertical="center"/>
    </xf>
    <xf numFmtId="0" fontId="0" fillId="0" borderId="0" xfId="0" applyAlignment="1">
      <alignment horizontal="left" vertical="center" indent="4"/>
    </xf>
    <xf numFmtId="0" fontId="3" fillId="0" borderId="0" xfId="0" applyFont="1" applyAlignment="1">
      <alignment horizontal="center"/>
    </xf>
    <xf numFmtId="166" fontId="15" fillId="0" borderId="0" xfId="0" applyNumberFormat="1" applyFont="1" applyAlignment="1">
      <alignment horizontal="right"/>
    </xf>
    <xf numFmtId="0" fontId="4" fillId="0" borderId="0" xfId="0" applyFont="1" applyAlignment="1">
      <alignment horizontal="left"/>
    </xf>
    <xf numFmtId="0" fontId="112" fillId="0" borderId="0" xfId="0" applyFont="1" applyAlignment="1">
      <alignment horizontal="left" indent="1"/>
    </xf>
    <xf numFmtId="164" fontId="4" fillId="0" borderId="0" xfId="0" applyNumberFormat="1" applyFont="1" applyAlignment="1">
      <alignment horizontal="left" indent="3"/>
    </xf>
    <xf numFmtId="41" fontId="20" fillId="0" borderId="0" xfId="0" applyNumberFormat="1" applyFont="1" applyAlignment="1">
      <alignment vertical="center"/>
    </xf>
    <xf numFmtId="41" fontId="7" fillId="6" borderId="0" xfId="0" applyNumberFormat="1" applyFont="1" applyFill="1" applyAlignment="1">
      <alignment vertical="center"/>
    </xf>
    <xf numFmtId="41" fontId="0" fillId="6" borderId="0" xfId="0" applyNumberFormat="1" applyFill="1"/>
    <xf numFmtId="41" fontId="8" fillId="6" borderId="0" xfId="0" applyNumberFormat="1" applyFont="1" applyFill="1" applyAlignment="1">
      <alignment vertical="center"/>
    </xf>
    <xf numFmtId="41" fontId="26" fillId="6" borderId="0" xfId="0" applyNumberFormat="1" applyFont="1" applyFill="1" applyAlignment="1">
      <alignment vertical="center"/>
    </xf>
    <xf numFmtId="164" fontId="7" fillId="0" borderId="0" xfId="0" applyNumberFormat="1" applyFont="1" applyAlignment="1">
      <alignment horizontal="right"/>
    </xf>
    <xf numFmtId="0" fontId="108" fillId="0" borderId="0" xfId="0" applyFont="1" applyAlignment="1">
      <alignment horizontal="centerContinuous"/>
    </xf>
    <xf numFmtId="41" fontId="13" fillId="0" borderId="0" xfId="0" applyNumberFormat="1" applyFont="1" applyAlignment="1">
      <alignment vertical="center"/>
    </xf>
    <xf numFmtId="0" fontId="4" fillId="0" borderId="0" xfId="0" applyFont="1" applyAlignment="1">
      <alignment horizontal="right"/>
    </xf>
    <xf numFmtId="41" fontId="13" fillId="0" borderId="0" xfId="0" applyNumberFormat="1" applyFont="1" applyAlignment="1">
      <alignment horizontal="right" vertical="center"/>
    </xf>
    <xf numFmtId="0" fontId="0" fillId="6" borderId="0" xfId="0" applyFill="1"/>
    <xf numFmtId="164" fontId="4" fillId="6" borderId="0" xfId="0" applyNumberFormat="1" applyFont="1" applyFill="1" applyAlignment="1">
      <alignment horizontal="right"/>
    </xf>
    <xf numFmtId="41" fontId="22" fillId="0" borderId="0" xfId="0" applyNumberFormat="1" applyFont="1"/>
    <xf numFmtId="41" fontId="57" fillId="0" borderId="0" xfId="0" applyNumberFormat="1" applyFont="1"/>
    <xf numFmtId="41" fontId="109" fillId="0" borderId="0" xfId="0" applyNumberFormat="1" applyFont="1"/>
    <xf numFmtId="41" fontId="115" fillId="0" borderId="0" xfId="0" applyNumberFormat="1" applyFont="1"/>
    <xf numFmtId="41" fontId="116" fillId="0" borderId="0" xfId="0" applyNumberFormat="1" applyFont="1"/>
    <xf numFmtId="0" fontId="3" fillId="0" borderId="0" xfId="0" applyFont="1" applyAlignment="1">
      <alignment vertical="center"/>
    </xf>
    <xf numFmtId="0" fontId="110" fillId="0" borderId="0" xfId="0" applyFont="1"/>
    <xf numFmtId="41" fontId="108" fillId="0" borderId="0" xfId="0" applyNumberFormat="1" applyFont="1"/>
    <xf numFmtId="0" fontId="112" fillId="0" borderId="0" xfId="0" applyFont="1" applyAlignment="1">
      <alignment vertical="center"/>
    </xf>
    <xf numFmtId="43" fontId="10" fillId="0" borderId="0" xfId="0" applyNumberFormat="1" applyFont="1"/>
    <xf numFmtId="164" fontId="6" fillId="0" borderId="0" xfId="0" applyNumberFormat="1" applyFont="1"/>
    <xf numFmtId="9" fontId="6" fillId="0" borderId="0" xfId="1" applyFont="1" applyFill="1" applyAlignment="1">
      <alignment horizontal="right"/>
    </xf>
    <xf numFmtId="9" fontId="6" fillId="0" borderId="0" xfId="1" applyFont="1" applyFill="1" applyAlignment="1"/>
    <xf numFmtId="9" fontId="57" fillId="0" borderId="0" xfId="1" applyFont="1" applyFill="1" applyAlignment="1">
      <alignment horizontal="right"/>
    </xf>
    <xf numFmtId="9" fontId="57" fillId="0" borderId="0" xfId="1" applyFont="1" applyFill="1" applyAlignment="1"/>
    <xf numFmtId="9" fontId="117" fillId="0" borderId="0" xfId="1" applyFont="1" applyFill="1" applyAlignment="1"/>
    <xf numFmtId="6" fontId="7" fillId="0" borderId="0" xfId="0" applyNumberFormat="1" applyFont="1"/>
    <xf numFmtId="0" fontId="9" fillId="0" borderId="0" xfId="0" applyFont="1"/>
    <xf numFmtId="0" fontId="112" fillId="0" borderId="0" xfId="0" applyFont="1" applyAlignment="1">
      <alignment horizontal="left"/>
    </xf>
    <xf numFmtId="0" fontId="10" fillId="0" borderId="0" xfId="0" applyFont="1" applyAlignment="1">
      <alignment horizontal="right"/>
    </xf>
    <xf numFmtId="41" fontId="7" fillId="0" borderId="0" xfId="0" applyNumberFormat="1" applyFont="1" applyAlignment="1">
      <alignment horizontal="right"/>
    </xf>
    <xf numFmtId="8" fontId="0" fillId="0" borderId="0" xfId="0" applyNumberFormat="1"/>
    <xf numFmtId="0" fontId="118" fillId="0" borderId="0" xfId="0" applyFont="1"/>
    <xf numFmtId="41" fontId="106" fillId="0" borderId="0" xfId="0" applyNumberFormat="1" applyFont="1"/>
    <xf numFmtId="172" fontId="86" fillId="0" borderId="0" xfId="0" applyNumberFormat="1" applyFont="1" applyAlignment="1">
      <alignment horizontal="center"/>
    </xf>
    <xf numFmtId="14" fontId="99" fillId="0" borderId="0" xfId="0" applyNumberFormat="1" applyFont="1" applyAlignment="1">
      <alignment horizontal="center"/>
    </xf>
    <xf numFmtId="184" fontId="98" fillId="0" borderId="1" xfId="3" applyNumberFormat="1" applyFont="1" applyBorder="1" applyAlignment="1">
      <alignment horizontal="center"/>
    </xf>
    <xf numFmtId="184" fontId="98" fillId="0" borderId="0" xfId="3" applyNumberFormat="1" applyFont="1" applyBorder="1" applyAlignment="1">
      <alignment horizontal="center"/>
    </xf>
    <xf numFmtId="184" fontId="98" fillId="0" borderId="0" xfId="3" applyNumberFormat="1" applyFont="1" applyBorder="1"/>
    <xf numFmtId="0" fontId="93" fillId="0" borderId="0" xfId="0" applyFont="1" applyAlignment="1">
      <alignment vertical="center"/>
    </xf>
    <xf numFmtId="0" fontId="93" fillId="0" borderId="15" xfId="0" applyFont="1" applyBorder="1" applyAlignment="1">
      <alignment horizontal="center" vertical="center"/>
    </xf>
    <xf numFmtId="0" fontId="93" fillId="0" borderId="9" xfId="0" applyFont="1" applyBorder="1" applyAlignment="1">
      <alignment horizontal="center" vertical="center"/>
    </xf>
    <xf numFmtId="0" fontId="93" fillId="0" borderId="16" xfId="0" applyFont="1" applyBorder="1" applyAlignment="1">
      <alignment horizontal="center" vertical="center"/>
    </xf>
    <xf numFmtId="0" fontId="93" fillId="0" borderId="0" xfId="0" applyFont="1" applyAlignment="1">
      <alignment horizontal="center"/>
    </xf>
    <xf numFmtId="37" fontId="97" fillId="8" borderId="10" xfId="0" applyNumberFormat="1" applyFont="1" applyFill="1" applyBorder="1" applyAlignment="1">
      <alignment horizontal="center"/>
    </xf>
    <xf numFmtId="37" fontId="97" fillId="0" borderId="0" xfId="0" applyNumberFormat="1" applyFont="1" applyAlignment="1">
      <alignment horizontal="center"/>
    </xf>
    <xf numFmtId="37" fontId="97" fillId="8" borderId="8" xfId="0" applyNumberFormat="1" applyFont="1" applyFill="1" applyBorder="1" applyAlignment="1">
      <alignment horizontal="center"/>
    </xf>
    <xf numFmtId="9" fontId="97" fillId="8" borderId="10" xfId="1" applyFont="1" applyFill="1" applyBorder="1" applyAlignment="1">
      <alignment horizontal="center"/>
    </xf>
    <xf numFmtId="9" fontId="97" fillId="0" borderId="0" xfId="1" applyFont="1" applyBorder="1" applyAlignment="1">
      <alignment horizontal="center"/>
    </xf>
    <xf numFmtId="9" fontId="97" fillId="8" borderId="8" xfId="1" applyFont="1" applyFill="1" applyBorder="1" applyAlignment="1">
      <alignment horizontal="center"/>
    </xf>
    <xf numFmtId="37" fontId="97" fillId="8" borderId="11" xfId="0" applyNumberFormat="1" applyFont="1" applyFill="1" applyBorder="1" applyAlignment="1">
      <alignment horizontal="center"/>
    </xf>
    <xf numFmtId="37" fontId="97" fillId="0" borderId="1" xfId="0" applyNumberFormat="1" applyFont="1" applyBorder="1" applyAlignment="1">
      <alignment horizontal="center"/>
    </xf>
    <xf numFmtId="37" fontId="97" fillId="8" borderId="12" xfId="0" applyNumberFormat="1" applyFont="1" applyFill="1" applyBorder="1" applyAlignment="1">
      <alignment horizontal="center"/>
    </xf>
    <xf numFmtId="9" fontId="97" fillId="8" borderId="11" xfId="1" applyFont="1" applyFill="1" applyBorder="1" applyAlignment="1">
      <alignment horizontal="center"/>
    </xf>
    <xf numFmtId="9" fontId="97" fillId="0" borderId="1" xfId="1" applyFont="1" applyBorder="1" applyAlignment="1">
      <alignment horizontal="center"/>
    </xf>
    <xf numFmtId="9" fontId="97" fillId="8" borderId="12" xfId="1" applyFont="1" applyFill="1" applyBorder="1" applyAlignment="1">
      <alignment horizontal="center"/>
    </xf>
    <xf numFmtId="0" fontId="99" fillId="0" borderId="0" xfId="0" applyFont="1" applyAlignment="1">
      <alignment horizontal="center"/>
    </xf>
    <xf numFmtId="37" fontId="99" fillId="0" borderId="0" xfId="0" applyNumberFormat="1" applyFont="1" applyAlignment="1">
      <alignment horizontal="center"/>
    </xf>
    <xf numFmtId="9" fontId="99" fillId="0" borderId="0" xfId="0" applyNumberFormat="1" applyFont="1" applyAlignment="1">
      <alignment horizontal="center"/>
    </xf>
    <xf numFmtId="0" fontId="97" fillId="0" borderId="0" xfId="0" applyFont="1" applyAlignment="1">
      <alignment horizontal="center"/>
    </xf>
    <xf numFmtId="43" fontId="4" fillId="0" borderId="0" xfId="0" applyNumberFormat="1" applyFont="1"/>
    <xf numFmtId="202" fontId="10" fillId="0" borderId="0" xfId="0" applyNumberFormat="1" applyFont="1" applyAlignment="1">
      <alignment vertical="center"/>
    </xf>
    <xf numFmtId="203" fontId="99" fillId="0" borderId="0" xfId="0" applyNumberFormat="1" applyFont="1"/>
    <xf numFmtId="167" fontId="4" fillId="0" borderId="0" xfId="0" applyNumberFormat="1" applyFont="1"/>
    <xf numFmtId="204" fontId="4" fillId="0" borderId="0" xfId="0" applyNumberFormat="1" applyFont="1"/>
    <xf numFmtId="41" fontId="14" fillId="0" borderId="0" xfId="0" applyNumberFormat="1" applyFont="1" applyAlignment="1">
      <alignment horizontal="right" vertical="center"/>
    </xf>
    <xf numFmtId="37" fontId="19" fillId="0" borderId="0" xfId="0" applyNumberFormat="1" applyFont="1" applyAlignment="1">
      <alignment horizontal="right"/>
    </xf>
    <xf numFmtId="41" fontId="119" fillId="0" borderId="0" xfId="0" applyNumberFormat="1" applyFont="1"/>
    <xf numFmtId="6" fontId="0" fillId="0" borderId="0" xfId="0" applyNumberFormat="1"/>
    <xf numFmtId="0" fontId="4" fillId="14" borderId="8" xfId="0" applyFont="1" applyFill="1" applyBorder="1"/>
    <xf numFmtId="0" fontId="0" fillId="14" borderId="8" xfId="0" applyFill="1" applyBorder="1"/>
    <xf numFmtId="0" fontId="120" fillId="0" borderId="0" xfId="0" applyFont="1"/>
    <xf numFmtId="8" fontId="120" fillId="0" borderId="0" xfId="0" applyNumberFormat="1" applyFont="1"/>
    <xf numFmtId="41" fontId="115" fillId="0" borderId="0" xfId="0" applyNumberFormat="1" applyFont="1" applyAlignment="1">
      <alignment vertical="center"/>
    </xf>
    <xf numFmtId="41" fontId="116" fillId="0" borderId="0" xfId="0" applyNumberFormat="1" applyFont="1" applyAlignment="1">
      <alignment vertical="center"/>
    </xf>
    <xf numFmtId="41" fontId="116" fillId="0" borderId="0" xfId="0" applyNumberFormat="1" applyFont="1" applyAlignment="1">
      <alignment horizontal="right" vertical="center"/>
    </xf>
    <xf numFmtId="41" fontId="11" fillId="0" borderId="0" xfId="0" applyNumberFormat="1" applyFont="1" applyAlignment="1">
      <alignment horizontal="right" vertical="center"/>
    </xf>
    <xf numFmtId="0" fontId="116" fillId="0" borderId="0" xfId="0" applyFont="1"/>
    <xf numFmtId="0" fontId="11" fillId="0" borderId="0" xfId="0" applyFont="1" applyAlignment="1">
      <alignment horizontal="centerContinuous"/>
    </xf>
    <xf numFmtId="0" fontId="0" fillId="0" borderId="0" xfId="0" applyAlignment="1">
      <alignment horizontal="centerContinuous"/>
    </xf>
    <xf numFmtId="166" fontId="10" fillId="0" borderId="0" xfId="0" applyNumberFormat="1" applyFont="1" applyAlignment="1">
      <alignment horizontal="right"/>
    </xf>
    <xf numFmtId="9" fontId="16" fillId="0" borderId="0" xfId="1" applyFont="1" applyAlignment="1"/>
    <xf numFmtId="164" fontId="10" fillId="0" borderId="0" xfId="0" applyNumberFormat="1" applyFont="1" applyAlignment="1">
      <alignment horizontal="right"/>
    </xf>
    <xf numFmtId="0" fontId="109" fillId="0" borderId="0" xfId="0" applyFont="1" applyAlignment="1">
      <alignment horizontal="left"/>
    </xf>
    <xf numFmtId="172" fontId="13" fillId="0" borderId="0" xfId="0" applyNumberFormat="1" applyFont="1"/>
    <xf numFmtId="172" fontId="121" fillId="0" borderId="0" xfId="0" applyNumberFormat="1" applyFont="1"/>
    <xf numFmtId="172" fontId="57" fillId="0" borderId="0" xfId="0" applyNumberFormat="1" applyFont="1"/>
    <xf numFmtId="164" fontId="57" fillId="0" borderId="0" xfId="0" applyNumberFormat="1" applyFont="1" applyAlignment="1">
      <alignment horizontal="right"/>
    </xf>
    <xf numFmtId="41" fontId="10" fillId="14" borderId="0" xfId="0" applyNumberFormat="1" applyFont="1" applyFill="1" applyAlignment="1">
      <alignment horizontal="right" vertical="center"/>
    </xf>
    <xf numFmtId="41" fontId="116" fillId="14" borderId="0" xfId="0" applyNumberFormat="1" applyFont="1" applyFill="1" applyAlignment="1">
      <alignment horizontal="right" vertical="center"/>
    </xf>
    <xf numFmtId="41" fontId="0" fillId="14" borderId="0" xfId="0" applyNumberFormat="1" applyFill="1"/>
    <xf numFmtId="41" fontId="9" fillId="14" borderId="0" xfId="0" applyNumberFormat="1" applyFont="1" applyFill="1"/>
    <xf numFmtId="0" fontId="0" fillId="14" borderId="0" xfId="0" applyFill="1"/>
    <xf numFmtId="41" fontId="115" fillId="14" borderId="0" xfId="0" applyNumberFormat="1" applyFont="1" applyFill="1"/>
    <xf numFmtId="41" fontId="3" fillId="14" borderId="0" xfId="0" applyNumberFormat="1" applyFont="1" applyFill="1"/>
    <xf numFmtId="0" fontId="9" fillId="14" borderId="0" xfId="0" applyFont="1" applyFill="1"/>
    <xf numFmtId="0" fontId="26" fillId="14" borderId="0" xfId="0" applyFont="1" applyFill="1"/>
    <xf numFmtId="0" fontId="3" fillId="14" borderId="0" xfId="0" applyFont="1" applyFill="1"/>
    <xf numFmtId="181" fontId="4" fillId="0" borderId="0" xfId="1" applyNumberFormat="1" applyFont="1" applyAlignment="1"/>
    <xf numFmtId="184" fontId="0" fillId="14" borderId="0" xfId="3" applyNumberFormat="1" applyFont="1" applyFill="1" applyAlignment="1"/>
    <xf numFmtId="184" fontId="0" fillId="0" borderId="10" xfId="3" applyNumberFormat="1" applyFont="1" applyBorder="1" applyAlignment="1"/>
    <xf numFmtId="184" fontId="0" fillId="0" borderId="0" xfId="3" applyNumberFormat="1" applyFont="1" applyAlignment="1"/>
    <xf numFmtId="184" fontId="0" fillId="0" borderId="9" xfId="3" applyNumberFormat="1" applyFont="1" applyBorder="1" applyAlignment="1"/>
    <xf numFmtId="184" fontId="0" fillId="14" borderId="15" xfId="3" applyNumberFormat="1" applyFont="1" applyFill="1" applyBorder="1" applyAlignment="1"/>
    <xf numFmtId="184" fontId="0" fillId="14" borderId="9" xfId="3" applyNumberFormat="1" applyFont="1" applyFill="1" applyBorder="1" applyAlignment="1"/>
    <xf numFmtId="184" fontId="7" fillId="0" borderId="0" xfId="3" applyNumberFormat="1" applyFont="1" applyAlignment="1"/>
    <xf numFmtId="184" fontId="7" fillId="0" borderId="9" xfId="3" applyNumberFormat="1" applyFont="1" applyBorder="1" applyAlignment="1"/>
    <xf numFmtId="184" fontId="3" fillId="0" borderId="0" xfId="3" applyNumberFormat="1" applyFont="1" applyAlignment="1"/>
    <xf numFmtId="184" fontId="3" fillId="0" borderId="10" xfId="3" applyNumberFormat="1" applyFont="1" applyBorder="1" applyAlignment="1"/>
    <xf numFmtId="184" fontId="0" fillId="7" borderId="10" xfId="3" applyNumberFormat="1" applyFont="1" applyFill="1" applyBorder="1" applyAlignment="1"/>
    <xf numFmtId="0" fontId="3" fillId="0" borderId="0" xfId="0" applyFont="1" applyAlignment="1">
      <alignment horizontal="right"/>
    </xf>
    <xf numFmtId="184" fontId="0" fillId="0" borderId="15" xfId="3" applyNumberFormat="1" applyFont="1" applyBorder="1" applyAlignment="1"/>
    <xf numFmtId="0" fontId="3" fillId="0" borderId="0" xfId="0" applyFont="1" applyAlignment="1">
      <alignment horizontal="left"/>
    </xf>
    <xf numFmtId="0" fontId="3" fillId="0" borderId="9" xfId="0" applyFont="1" applyBorder="1" applyAlignment="1">
      <alignment horizontal="left"/>
    </xf>
    <xf numFmtId="184" fontId="0" fillId="0" borderId="8" xfId="3" applyNumberFormat="1" applyFont="1" applyBorder="1" applyAlignment="1"/>
    <xf numFmtId="184" fontId="0" fillId="7" borderId="8" xfId="3" applyNumberFormat="1" applyFont="1" applyFill="1" applyBorder="1" applyAlignment="1"/>
    <xf numFmtId="184" fontId="0" fillId="14" borderId="16" xfId="3" applyNumberFormat="1" applyFont="1" applyFill="1" applyBorder="1" applyAlignment="1"/>
    <xf numFmtId="184" fontId="0" fillId="14" borderId="8" xfId="3" applyNumberFormat="1" applyFont="1" applyFill="1" applyBorder="1" applyAlignment="1"/>
    <xf numFmtId="184" fontId="3" fillId="0" borderId="8" xfId="3" applyNumberFormat="1" applyFont="1" applyBorder="1" applyAlignment="1"/>
    <xf numFmtId="184" fontId="0" fillId="0" borderId="16" xfId="3" applyNumberFormat="1" applyFont="1" applyBorder="1" applyAlignment="1"/>
    <xf numFmtId="184" fontId="0" fillId="3" borderId="0" xfId="3" applyNumberFormat="1" applyFont="1" applyFill="1" applyAlignment="1"/>
    <xf numFmtId="184" fontId="0" fillId="3" borderId="9" xfId="3" applyNumberFormat="1" applyFont="1" applyFill="1" applyBorder="1" applyAlignment="1"/>
    <xf numFmtId="0" fontId="4" fillId="0" borderId="10" xfId="0" applyFont="1" applyBorder="1" applyAlignment="1">
      <alignment horizontal="right"/>
    </xf>
    <xf numFmtId="0" fontId="4" fillId="0" borderId="8" xfId="0" applyFont="1" applyBorder="1" applyAlignment="1">
      <alignment horizontal="right"/>
    </xf>
    <xf numFmtId="0" fontId="3" fillId="0" borderId="10" xfId="0" applyFont="1" applyBorder="1" applyAlignment="1">
      <alignment horizontal="right"/>
    </xf>
    <xf numFmtId="0" fontId="3" fillId="0" borderId="8" xfId="0" applyFont="1" applyBorder="1" applyAlignment="1">
      <alignment horizontal="right"/>
    </xf>
    <xf numFmtId="184" fontId="3" fillId="0" borderId="1" xfId="3" applyNumberFormat="1" applyFont="1" applyBorder="1" applyAlignment="1"/>
    <xf numFmtId="0" fontId="5" fillId="0" borderId="8" xfId="0" applyFont="1" applyBorder="1" applyAlignment="1">
      <alignment horizontal="center"/>
    </xf>
    <xf numFmtId="184" fontId="3" fillId="0" borderId="0" xfId="3" applyNumberFormat="1" applyFont="1" applyAlignment="1">
      <alignment horizontal="right"/>
    </xf>
    <xf numFmtId="0" fontId="3" fillId="0" borderId="6" xfId="0" applyFont="1" applyBorder="1"/>
    <xf numFmtId="41" fontId="0" fillId="0" borderId="8" xfId="0" applyNumberFormat="1" applyBorder="1"/>
    <xf numFmtId="41" fontId="3" fillId="0" borderId="8" xfId="0" applyNumberFormat="1" applyFont="1" applyBorder="1"/>
    <xf numFmtId="41" fontId="9" fillId="0" borderId="8" xfId="0" applyNumberFormat="1" applyFont="1" applyBorder="1"/>
    <xf numFmtId="41" fontId="20" fillId="0" borderId="8" xfId="0" applyNumberFormat="1" applyFont="1" applyBorder="1"/>
    <xf numFmtId="182" fontId="109" fillId="0" borderId="0" xfId="0" applyNumberFormat="1" applyFont="1"/>
    <xf numFmtId="182" fontId="109" fillId="0" borderId="8" xfId="0" applyNumberFormat="1" applyFont="1" applyBorder="1"/>
    <xf numFmtId="182" fontId="14" fillId="0" borderId="8" xfId="0" applyNumberFormat="1" applyFont="1" applyBorder="1"/>
    <xf numFmtId="182" fontId="19" fillId="0" borderId="0" xfId="0" applyNumberFormat="1" applyFont="1"/>
    <xf numFmtId="41" fontId="11" fillId="0" borderId="8" xfId="0" applyNumberFormat="1" applyFont="1" applyBorder="1"/>
    <xf numFmtId="0" fontId="0" fillId="0" borderId="8" xfId="0" applyBorder="1"/>
    <xf numFmtId="0" fontId="5" fillId="0" borderId="14" xfId="0" applyFont="1" applyBorder="1" applyAlignment="1">
      <alignment horizontal="center"/>
    </xf>
    <xf numFmtId="0" fontId="0" fillId="0" borderId="14" xfId="0" applyBorder="1"/>
    <xf numFmtId="41" fontId="0" fillId="0" borderId="14" xfId="0" applyNumberFormat="1" applyBorder="1"/>
    <xf numFmtId="182" fontId="14" fillId="0" borderId="14" xfId="0" applyNumberFormat="1" applyFont="1" applyBorder="1"/>
    <xf numFmtId="41" fontId="9" fillId="0" borderId="14" xfId="0" applyNumberFormat="1" applyFont="1" applyBorder="1"/>
    <xf numFmtId="41" fontId="3" fillId="0" borderId="14" xfId="0" applyNumberFormat="1" applyFont="1" applyBorder="1"/>
    <xf numFmtId="182" fontId="109" fillId="0" borderId="14" xfId="0" applyNumberFormat="1" applyFont="1" applyBorder="1"/>
    <xf numFmtId="172" fontId="14" fillId="0" borderId="14" xfId="0" applyNumberFormat="1" applyFont="1" applyBorder="1"/>
    <xf numFmtId="41" fontId="20" fillId="0" borderId="14" xfId="0" applyNumberFormat="1" applyFont="1" applyBorder="1"/>
    <xf numFmtId="0" fontId="4" fillId="0" borderId="14" xfId="0" applyFont="1" applyBorder="1"/>
    <xf numFmtId="0" fontId="0" fillId="7" borderId="0" xfId="0" applyFill="1"/>
    <xf numFmtId="0" fontId="0" fillId="3" borderId="0" xfId="0" applyFill="1"/>
    <xf numFmtId="202" fontId="3" fillId="0" borderId="0" xfId="0" applyNumberFormat="1" applyFont="1"/>
    <xf numFmtId="168" fontId="19" fillId="0" borderId="0" xfId="3" applyNumberFormat="1" applyFont="1" applyAlignment="1">
      <alignment horizontal="right"/>
    </xf>
    <xf numFmtId="9" fontId="4" fillId="0" borderId="0" xfId="0" applyNumberFormat="1" applyFont="1"/>
    <xf numFmtId="170" fontId="4" fillId="0" borderId="0" xfId="0" applyNumberFormat="1" applyFont="1"/>
    <xf numFmtId="182" fontId="113" fillId="0" borderId="0" xfId="0" applyNumberFormat="1" applyFont="1"/>
    <xf numFmtId="182" fontId="108" fillId="0" borderId="0" xfId="0" applyNumberFormat="1" applyFont="1"/>
    <xf numFmtId="182" fontId="0" fillId="0" borderId="0" xfId="0" applyNumberFormat="1"/>
    <xf numFmtId="182" fontId="9" fillId="0" borderId="0" xfId="0" applyNumberFormat="1" applyFont="1"/>
    <xf numFmtId="0" fontId="98" fillId="0" borderId="15" xfId="0" applyFont="1" applyBorder="1"/>
    <xf numFmtId="0" fontId="72" fillId="0" borderId="9" xfId="0" applyFont="1" applyBorder="1"/>
    <xf numFmtId="0" fontId="73" fillId="0" borderId="16" xfId="0" applyFont="1" applyBorder="1"/>
    <xf numFmtId="0" fontId="124" fillId="0" borderId="10" xfId="10" applyFont="1" applyBorder="1"/>
    <xf numFmtId="0" fontId="124" fillId="0" borderId="0" xfId="10" applyFont="1" applyBorder="1"/>
    <xf numFmtId="181" fontId="97" fillId="0" borderId="8" xfId="1" applyNumberFormat="1" applyFont="1" applyFill="1" applyBorder="1"/>
    <xf numFmtId="10" fontId="97" fillId="0" borderId="8" xfId="1" applyNumberFormat="1" applyFont="1" applyFill="1" applyBorder="1"/>
    <xf numFmtId="0" fontId="97" fillId="0" borderId="11" xfId="0" applyFont="1" applyBorder="1"/>
    <xf numFmtId="0" fontId="97" fillId="0" borderId="1" xfId="0" applyFont="1" applyBorder="1"/>
    <xf numFmtId="0" fontId="97" fillId="0" borderId="12" xfId="0" applyFont="1" applyBorder="1"/>
    <xf numFmtId="0" fontId="10" fillId="0" borderId="0" xfId="0" applyFont="1" applyAlignment="1">
      <alignment horizontal="left" indent="1"/>
    </xf>
    <xf numFmtId="0" fontId="4" fillId="0" borderId="14" xfId="0" applyFont="1" applyBorder="1" applyAlignment="1">
      <alignment horizontal="center"/>
    </xf>
    <xf numFmtId="41" fontId="125" fillId="0" borderId="0" xfId="0" applyNumberFormat="1" applyFont="1"/>
    <xf numFmtId="0" fontId="131" fillId="0" borderId="0" xfId="0" applyFont="1"/>
    <xf numFmtId="0" fontId="0" fillId="16" borderId="0" xfId="0" applyFill="1"/>
    <xf numFmtId="0" fontId="0" fillId="16" borderId="0" xfId="0" applyFill="1" applyAlignment="1">
      <alignment wrapText="1"/>
    </xf>
    <xf numFmtId="0" fontId="127" fillId="15" borderId="0" xfId="0" applyFont="1" applyFill="1" applyAlignment="1">
      <alignment horizontal="right"/>
    </xf>
    <xf numFmtId="0" fontId="127" fillId="16" borderId="0" xfId="0" applyFont="1" applyFill="1" applyAlignment="1">
      <alignment horizontal="right"/>
    </xf>
    <xf numFmtId="0" fontId="129" fillId="0" borderId="0" xfId="0" applyFont="1" applyAlignment="1">
      <alignment wrapText="1"/>
    </xf>
    <xf numFmtId="0" fontId="128" fillId="0" borderId="0" xfId="0" applyFont="1" applyAlignment="1">
      <alignment horizontal="left" vertical="top" wrapText="1"/>
    </xf>
    <xf numFmtId="0" fontId="127" fillId="15" borderId="0" xfId="0" applyFont="1" applyFill="1" applyAlignment="1">
      <alignment vertical="top"/>
    </xf>
    <xf numFmtId="0" fontId="127" fillId="16" borderId="0" xfId="0" applyFont="1" applyFill="1" applyAlignment="1">
      <alignment vertical="top"/>
    </xf>
    <xf numFmtId="206" fontId="0" fillId="0" borderId="0" xfId="0" applyNumberFormat="1" applyAlignment="1">
      <alignment horizontal="right"/>
    </xf>
    <xf numFmtId="207" fontId="0" fillId="0" borderId="0" xfId="0" applyNumberFormat="1" applyAlignment="1">
      <alignment horizontal="right"/>
    </xf>
    <xf numFmtId="0" fontId="130" fillId="0" borderId="0" xfId="0" applyFont="1"/>
    <xf numFmtId="208" fontId="0" fillId="0" borderId="0" xfId="0" applyNumberFormat="1" applyAlignment="1">
      <alignment horizontal="right"/>
    </xf>
    <xf numFmtId="0" fontId="11" fillId="0" borderId="0" xfId="0" applyFont="1"/>
    <xf numFmtId="172" fontId="113" fillId="0" borderId="0" xfId="0" applyNumberFormat="1" applyFont="1"/>
    <xf numFmtId="43" fontId="14" fillId="0" borderId="0" xfId="0" applyNumberFormat="1" applyFont="1"/>
    <xf numFmtId="181" fontId="0" fillId="0" borderId="0" xfId="1" applyNumberFormat="1" applyFont="1"/>
    <xf numFmtId="17" fontId="4" fillId="0" borderId="0" xfId="0" applyNumberFormat="1" applyFont="1" applyAlignment="1">
      <alignment horizontal="center"/>
    </xf>
    <xf numFmtId="17" fontId="4" fillId="0" borderId="14" xfId="0" applyNumberFormat="1" applyFont="1" applyBorder="1" applyAlignment="1">
      <alignment horizontal="center"/>
    </xf>
    <xf numFmtId="38" fontId="7" fillId="0" borderId="0" xfId="0" applyNumberFormat="1" applyFont="1"/>
    <xf numFmtId="38" fontId="0" fillId="0" borderId="0" xfId="0" applyNumberFormat="1"/>
    <xf numFmtId="209" fontId="0" fillId="0" borderId="0" xfId="0" applyNumberFormat="1"/>
    <xf numFmtId="9" fontId="4" fillId="0" borderId="14" xfId="1" applyFont="1" applyFill="1" applyBorder="1"/>
    <xf numFmtId="9" fontId="4" fillId="0" borderId="0" xfId="1" applyFont="1" applyFill="1" applyBorder="1"/>
    <xf numFmtId="38" fontId="0" fillId="0" borderId="14" xfId="0" applyNumberFormat="1" applyBorder="1"/>
    <xf numFmtId="9" fontId="4" fillId="0" borderId="14" xfId="1" applyFont="1" applyFill="1" applyBorder="1" applyAlignment="1"/>
    <xf numFmtId="0" fontId="7" fillId="0" borderId="0" xfId="0" applyFont="1"/>
    <xf numFmtId="37" fontId="10" fillId="0" borderId="0" xfId="0" applyNumberFormat="1" applyFont="1"/>
    <xf numFmtId="168" fontId="3" fillId="0" borderId="0" xfId="0" applyNumberFormat="1" applyFont="1" applyAlignment="1">
      <alignment horizontal="right"/>
    </xf>
    <xf numFmtId="168" fontId="3" fillId="0" borderId="0" xfId="3" applyNumberFormat="1" applyFont="1" applyFill="1" applyBorder="1" applyAlignment="1">
      <alignment horizontal="right"/>
    </xf>
    <xf numFmtId="168" fontId="3" fillId="0" borderId="0" xfId="3" applyNumberFormat="1" applyFont="1" applyFill="1" applyBorder="1" applyAlignment="1"/>
    <xf numFmtId="168" fontId="3" fillId="0" borderId="14" xfId="3" applyNumberFormat="1" applyFont="1" applyFill="1" applyBorder="1" applyAlignment="1"/>
    <xf numFmtId="0" fontId="5" fillId="0" borderId="0" xfId="0" applyFont="1" applyAlignment="1">
      <alignment horizontal="centerContinuous"/>
    </xf>
    <xf numFmtId="0" fontId="5" fillId="0" borderId="14" xfId="0" applyFont="1" applyBorder="1" applyAlignment="1">
      <alignment horizontal="centerContinuous"/>
    </xf>
    <xf numFmtId="17" fontId="3" fillId="0" borderId="0" xfId="0" applyNumberFormat="1" applyFont="1" applyAlignment="1">
      <alignment horizontal="center"/>
    </xf>
    <xf numFmtId="17" fontId="3" fillId="0" borderId="14" xfId="0" applyNumberFormat="1" applyFont="1" applyBorder="1" applyAlignment="1">
      <alignment horizontal="center"/>
    </xf>
    <xf numFmtId="17" fontId="0" fillId="0" borderId="0" xfId="0" applyNumberFormat="1"/>
    <xf numFmtId="38" fontId="10" fillId="0" borderId="0" xfId="0" applyNumberFormat="1" applyFont="1"/>
    <xf numFmtId="38" fontId="10" fillId="0" borderId="14" xfId="0" applyNumberFormat="1" applyFont="1" applyBorder="1"/>
    <xf numFmtId="37" fontId="10" fillId="0" borderId="14" xfId="0" applyNumberFormat="1" applyFont="1" applyBorder="1"/>
    <xf numFmtId="0" fontId="6" fillId="0" borderId="0" xfId="0" applyFont="1" applyAlignment="1">
      <alignment horizontal="left" indent="1"/>
    </xf>
    <xf numFmtId="9" fontId="6" fillId="0" borderId="0" xfId="1" applyFont="1" applyFill="1" applyBorder="1"/>
    <xf numFmtId="9" fontId="6" fillId="0" borderId="0" xfId="1" applyFont="1" applyFill="1" applyBorder="1" applyAlignment="1"/>
    <xf numFmtId="168" fontId="6" fillId="0" borderId="0" xfId="0" applyNumberFormat="1" applyFont="1" applyAlignment="1">
      <alignment horizontal="right"/>
    </xf>
    <xf numFmtId="168" fontId="6" fillId="0" borderId="0" xfId="3" applyNumberFormat="1" applyFont="1" applyFill="1" applyBorder="1" applyAlignment="1">
      <alignment horizontal="right"/>
    </xf>
    <xf numFmtId="168" fontId="6" fillId="0" borderId="0" xfId="3" applyNumberFormat="1" applyFont="1" applyFill="1" applyBorder="1" applyAlignment="1"/>
    <xf numFmtId="168" fontId="6" fillId="0" borderId="14" xfId="3" applyNumberFormat="1" applyFont="1" applyFill="1" applyBorder="1" applyAlignment="1"/>
    <xf numFmtId="9" fontId="16" fillId="0" borderId="0" xfId="1" applyFont="1" applyFill="1" applyBorder="1" applyAlignment="1"/>
    <xf numFmtId="182" fontId="10" fillId="0" borderId="0" xfId="0" applyNumberFormat="1" applyFont="1"/>
    <xf numFmtId="182" fontId="10" fillId="0" borderId="14" xfId="0" applyNumberFormat="1" applyFont="1" applyBorder="1"/>
    <xf numFmtId="9" fontId="16" fillId="0" borderId="0" xfId="1" applyFont="1" applyFill="1" applyBorder="1"/>
    <xf numFmtId="182" fontId="17" fillId="0" borderId="0" xfId="0" applyNumberFormat="1" applyFont="1"/>
    <xf numFmtId="172" fontId="10" fillId="0" borderId="0" xfId="0" applyNumberFormat="1" applyFont="1"/>
    <xf numFmtId="172" fontId="10" fillId="0" borderId="14" xfId="0" applyNumberFormat="1" applyFont="1" applyBorder="1"/>
    <xf numFmtId="0" fontId="112" fillId="0" borderId="0" xfId="0" applyFont="1" applyAlignment="1">
      <alignment horizontal="center"/>
    </xf>
    <xf numFmtId="41" fontId="125" fillId="0" borderId="0" xfId="0" applyNumberFormat="1" applyFont="1" applyAlignment="1">
      <alignment vertical="center"/>
    </xf>
    <xf numFmtId="4" fontId="0" fillId="0" borderId="0" xfId="0" applyNumberFormat="1"/>
    <xf numFmtId="14" fontId="12" fillId="0" borderId="0" xfId="0" applyNumberFormat="1" applyFont="1"/>
    <xf numFmtId="181" fontId="0" fillId="0" borderId="0" xfId="1" applyNumberFormat="1" applyFont="1" applyFill="1" applyBorder="1"/>
    <xf numFmtId="38" fontId="125" fillId="0" borderId="0" xfId="0" applyNumberFormat="1" applyFont="1"/>
    <xf numFmtId="38" fontId="7" fillId="0" borderId="14" xfId="0" applyNumberFormat="1" applyFont="1" applyBorder="1"/>
    <xf numFmtId="0" fontId="113" fillId="0" borderId="0" xfId="0" applyFont="1" applyAlignment="1">
      <alignment horizontal="left" indent="1"/>
    </xf>
    <xf numFmtId="0" fontId="108" fillId="0" borderId="0" xfId="0" applyFont="1"/>
    <xf numFmtId="0" fontId="14" fillId="0" borderId="0" xfId="0" applyFont="1" applyAlignment="1">
      <alignment horizontal="left" indent="2"/>
    </xf>
    <xf numFmtId="0" fontId="113" fillId="0" borderId="0" xfId="0" applyFont="1"/>
    <xf numFmtId="0" fontId="109" fillId="0" borderId="0" xfId="0" applyFont="1"/>
    <xf numFmtId="0" fontId="109" fillId="0" borderId="0" xfId="0" applyFont="1" applyAlignment="1">
      <alignment horizontal="left" indent="2"/>
    </xf>
    <xf numFmtId="9" fontId="109" fillId="0" borderId="0" xfId="1" applyFont="1" applyFill="1"/>
    <xf numFmtId="170" fontId="0" fillId="0" borderId="0" xfId="0" applyNumberFormat="1"/>
    <xf numFmtId="8" fontId="134" fillId="0" borderId="0" xfId="0" applyNumberFormat="1" applyFont="1"/>
    <xf numFmtId="0" fontId="134" fillId="0" borderId="0" xfId="0" applyFont="1"/>
    <xf numFmtId="168" fontId="10" fillId="0" borderId="0" xfId="0" applyNumberFormat="1" applyFont="1"/>
    <xf numFmtId="168" fontId="10" fillId="0" borderId="0" xfId="3" applyNumberFormat="1" applyFont="1" applyBorder="1"/>
    <xf numFmtId="168" fontId="11" fillId="0" borderId="0" xfId="3" applyNumberFormat="1" applyFont="1" applyBorder="1"/>
    <xf numFmtId="168" fontId="26" fillId="0" borderId="0" xfId="3" applyNumberFormat="1" applyFont="1" applyBorder="1" applyAlignment="1">
      <alignment horizontal="left" indent="1"/>
    </xf>
    <xf numFmtId="168" fontId="26" fillId="0" borderId="0" xfId="3" applyNumberFormat="1" applyFont="1" applyBorder="1"/>
    <xf numFmtId="168" fontId="10" fillId="0" borderId="0" xfId="3" applyNumberFormat="1" applyFont="1" applyBorder="1" applyAlignment="1">
      <alignment horizontal="left" indent="1"/>
    </xf>
    <xf numFmtId="0" fontId="113" fillId="0" borderId="0" xfId="0" applyFont="1" applyAlignment="1">
      <alignment horizontal="left" indent="2"/>
    </xf>
    <xf numFmtId="205" fontId="14" fillId="0" borderId="0" xfId="0" applyNumberFormat="1" applyFont="1" applyAlignment="1">
      <alignment horizontal="left" indent="2"/>
    </xf>
    <xf numFmtId="205" fontId="109" fillId="0" borderId="0" xfId="0" applyNumberFormat="1" applyFont="1" applyAlignment="1">
      <alignment horizontal="left" indent="3"/>
    </xf>
    <xf numFmtId="172" fontId="117" fillId="0" borderId="0" xfId="0" applyNumberFormat="1" applyFont="1"/>
    <xf numFmtId="0" fontId="135" fillId="0" borderId="0" xfId="0" applyFont="1"/>
    <xf numFmtId="172" fontId="135" fillId="0" borderId="0" xfId="0" applyNumberFormat="1" applyFont="1"/>
    <xf numFmtId="205" fontId="14" fillId="0" borderId="0" xfId="0" applyNumberFormat="1" applyFont="1" applyAlignment="1">
      <alignment horizontal="left" indent="4"/>
    </xf>
    <xf numFmtId="205" fontId="14" fillId="0" borderId="0" xfId="0" applyNumberFormat="1" applyFont="1" applyAlignment="1">
      <alignment horizontal="left" indent="3"/>
    </xf>
    <xf numFmtId="0" fontId="135" fillId="0" borderId="0" xfId="0" applyFont="1" applyAlignment="1">
      <alignment horizontal="left" indent="2"/>
    </xf>
    <xf numFmtId="168" fontId="14" fillId="0" borderId="0" xfId="3" applyNumberFormat="1" applyFont="1" applyBorder="1" applyAlignment="1">
      <alignment horizontal="left" indent="2"/>
    </xf>
    <xf numFmtId="168" fontId="14" fillId="0" borderId="0" xfId="3" applyNumberFormat="1" applyFont="1" applyBorder="1"/>
    <xf numFmtId="168" fontId="14" fillId="0" borderId="0" xfId="3" applyNumberFormat="1" applyFont="1" applyBorder="1" applyAlignment="1">
      <alignment horizontal="left" indent="3"/>
    </xf>
    <xf numFmtId="168" fontId="109" fillId="0" borderId="0" xfId="3" applyNumberFormat="1" applyFont="1" applyBorder="1" applyAlignment="1">
      <alignment horizontal="left" indent="4"/>
    </xf>
    <xf numFmtId="168" fontId="109" fillId="0" borderId="0" xfId="3" applyNumberFormat="1" applyFont="1" applyBorder="1"/>
    <xf numFmtId="14" fontId="10" fillId="0" borderId="0" xfId="0" applyNumberFormat="1" applyFont="1"/>
    <xf numFmtId="43" fontId="10" fillId="0" borderId="0" xfId="3" applyFont="1" applyBorder="1"/>
    <xf numFmtId="172" fontId="136" fillId="0" borderId="0" xfId="0" applyNumberFormat="1" applyFont="1" applyAlignment="1">
      <alignment horizontal="right"/>
    </xf>
    <xf numFmtId="0" fontId="10" fillId="0" borderId="0" xfId="0" applyFont="1" applyAlignment="1">
      <alignment horizontal="left" indent="4"/>
    </xf>
    <xf numFmtId="8" fontId="17" fillId="0" borderId="0" xfId="0" applyNumberFormat="1" applyFont="1"/>
    <xf numFmtId="8" fontId="34" fillId="0" borderId="0" xfId="0" applyNumberFormat="1" applyFont="1"/>
    <xf numFmtId="184" fontId="34" fillId="0" borderId="0" xfId="3" applyNumberFormat="1" applyFont="1" applyBorder="1"/>
    <xf numFmtId="3" fontId="10" fillId="0" borderId="0" xfId="0" applyNumberFormat="1" applyFont="1"/>
    <xf numFmtId="10" fontId="3" fillId="0" borderId="0" xfId="1" applyNumberFormat="1" applyFont="1"/>
    <xf numFmtId="168" fontId="14" fillId="0" borderId="8" xfId="3" applyNumberFormat="1" applyFont="1" applyBorder="1"/>
    <xf numFmtId="41" fontId="110" fillId="0" borderId="8" xfId="0" applyNumberFormat="1" applyFont="1" applyBorder="1"/>
    <xf numFmtId="43" fontId="0" fillId="0" borderId="8" xfId="0" applyNumberFormat="1" applyBorder="1"/>
    <xf numFmtId="164" fontId="4" fillId="0" borderId="8" xfId="0" applyNumberFormat="1" applyFont="1" applyBorder="1" applyAlignment="1">
      <alignment horizontal="right"/>
    </xf>
    <xf numFmtId="38" fontId="125" fillId="0" borderId="14" xfId="0" applyNumberFormat="1" applyFont="1" applyBorder="1"/>
    <xf numFmtId="0" fontId="0" fillId="0" borderId="14" xfId="0" applyBorder="1" applyAlignment="1">
      <alignment horizontal="center"/>
    </xf>
    <xf numFmtId="182" fontId="108" fillId="0" borderId="14" xfId="0" applyNumberFormat="1" applyFont="1" applyBorder="1"/>
    <xf numFmtId="182" fontId="0" fillId="0" borderId="14" xfId="0" applyNumberFormat="1" applyBorder="1"/>
    <xf numFmtId="182" fontId="9" fillId="0" borderId="14" xfId="0" applyNumberFormat="1" applyFont="1" applyBorder="1"/>
    <xf numFmtId="37" fontId="137" fillId="0" borderId="0" xfId="0" applyNumberFormat="1" applyFont="1" applyAlignment="1">
      <alignment horizontal="center"/>
    </xf>
    <xf numFmtId="41" fontId="138" fillId="0" borderId="0" xfId="0" applyNumberFormat="1" applyFont="1"/>
    <xf numFmtId="37" fontId="97" fillId="0" borderId="0" xfId="0" applyNumberFormat="1" applyFont="1"/>
    <xf numFmtId="168" fontId="9" fillId="0" borderId="0" xfId="3" applyNumberFormat="1" applyFont="1"/>
    <xf numFmtId="181" fontId="4" fillId="0" borderId="0" xfId="1" applyNumberFormat="1" applyFont="1"/>
    <xf numFmtId="0" fontId="120" fillId="0" borderId="0" xfId="0" applyFont="1" applyAlignment="1">
      <alignment horizontal="left"/>
    </xf>
    <xf numFmtId="41" fontId="3" fillId="0" borderId="0" xfId="1" applyNumberFormat="1" applyFont="1"/>
    <xf numFmtId="184" fontId="15" fillId="0" borderId="0" xfId="3" applyNumberFormat="1" applyFont="1"/>
    <xf numFmtId="184" fontId="0" fillId="0" borderId="0" xfId="3" applyNumberFormat="1" applyFont="1"/>
    <xf numFmtId="184" fontId="4" fillId="0" borderId="0" xfId="3" applyNumberFormat="1" applyFont="1"/>
    <xf numFmtId="184" fontId="112" fillId="0" borderId="0" xfId="3" applyNumberFormat="1" applyFont="1"/>
    <xf numFmtId="184" fontId="6" fillId="0" borderId="0" xfId="3" applyNumberFormat="1" applyFont="1"/>
    <xf numFmtId="41" fontId="17" fillId="0" borderId="0" xfId="0" applyNumberFormat="1" applyFont="1" applyAlignment="1">
      <alignment vertical="center"/>
    </xf>
    <xf numFmtId="41" fontId="139" fillId="0" borderId="0" xfId="0" applyNumberFormat="1" applyFont="1"/>
    <xf numFmtId="165" fontId="4" fillId="0" borderId="0" xfId="0" applyNumberFormat="1" applyFont="1"/>
    <xf numFmtId="210" fontId="7" fillId="2" borderId="0" xfId="0" applyNumberFormat="1" applyFont="1" applyFill="1"/>
    <xf numFmtId="0" fontId="0" fillId="0" borderId="0" xfId="0" quotePrefix="1"/>
    <xf numFmtId="211" fontId="4" fillId="0" borderId="0" xfId="0" applyNumberFormat="1" applyFont="1"/>
    <xf numFmtId="210" fontId="4" fillId="0" borderId="0" xfId="0" applyNumberFormat="1" applyFont="1"/>
    <xf numFmtId="41" fontId="7" fillId="0" borderId="0" xfId="0" quotePrefix="1" applyNumberFormat="1" applyFont="1" applyAlignment="1">
      <alignment horizontal="right"/>
    </xf>
    <xf numFmtId="41" fontId="140" fillId="0" borderId="0" xfId="0" applyNumberFormat="1" applyFont="1"/>
    <xf numFmtId="168" fontId="20" fillId="0" borderId="0" xfId="3" applyNumberFormat="1" applyFont="1"/>
    <xf numFmtId="0" fontId="17" fillId="0" borderId="0" xfId="0" applyFont="1"/>
    <xf numFmtId="41" fontId="17" fillId="0" borderId="14" xfId="0" applyNumberFormat="1" applyFont="1" applyBorder="1"/>
    <xf numFmtId="0" fontId="111" fillId="0" borderId="0" xfId="0" applyFont="1"/>
    <xf numFmtId="0" fontId="141" fillId="0" borderId="0" xfId="0" applyFont="1" applyAlignment="1">
      <alignment horizontal="left"/>
    </xf>
    <xf numFmtId="41" fontId="19" fillId="0" borderId="0" xfId="0" applyNumberFormat="1" applyFont="1"/>
    <xf numFmtId="41" fontId="121" fillId="0" borderId="0" xfId="0" applyNumberFormat="1" applyFont="1"/>
    <xf numFmtId="41" fontId="114" fillId="0" borderId="0" xfId="0" applyNumberFormat="1" applyFont="1"/>
    <xf numFmtId="41" fontId="107" fillId="0" borderId="0" xfId="0" applyNumberFormat="1" applyFont="1"/>
    <xf numFmtId="0" fontId="141" fillId="0" borderId="0" xfId="0" applyFont="1"/>
    <xf numFmtId="0" fontId="15" fillId="0" borderId="0" xfId="0" applyFont="1" applyAlignment="1">
      <alignment horizontal="left" vertical="center" indent="2"/>
    </xf>
    <xf numFmtId="0" fontId="4" fillId="0" borderId="0" xfId="0" applyFont="1" applyAlignment="1">
      <alignment horizontal="left" vertical="center" indent="2"/>
    </xf>
    <xf numFmtId="41" fontId="19" fillId="0" borderId="0" xfId="0" applyNumberFormat="1" applyFont="1" applyAlignment="1">
      <alignment horizontal="right"/>
    </xf>
    <xf numFmtId="43" fontId="19" fillId="0" borderId="0" xfId="0" applyNumberFormat="1" applyFont="1" applyAlignment="1">
      <alignment horizontal="right"/>
    </xf>
    <xf numFmtId="0" fontId="3" fillId="0" borderId="0" xfId="0" applyFont="1" applyAlignment="1">
      <alignment wrapText="1"/>
    </xf>
    <xf numFmtId="0" fontId="3" fillId="0" borderId="1" xfId="0" applyFont="1" applyBorder="1" applyAlignment="1">
      <alignment wrapText="1"/>
    </xf>
    <xf numFmtId="41" fontId="8" fillId="0" borderId="0" xfId="0" applyNumberFormat="1" applyFont="1" applyAlignment="1">
      <alignment horizontal="right"/>
    </xf>
    <xf numFmtId="210" fontId="14" fillId="0" borderId="0" xfId="0" applyNumberFormat="1" applyFont="1" applyAlignment="1">
      <alignment horizontal="right"/>
    </xf>
    <xf numFmtId="41" fontId="3" fillId="0" borderId="0" xfId="0" applyNumberFormat="1" applyFont="1" applyAlignment="1">
      <alignment horizontal="right"/>
    </xf>
    <xf numFmtId="41" fontId="142" fillId="0" borderId="0" xfId="0" applyNumberFormat="1" applyFont="1" applyAlignment="1">
      <alignment horizontal="right"/>
    </xf>
    <xf numFmtId="41" fontId="4" fillId="0" borderId="0" xfId="0" applyNumberFormat="1" applyFont="1" applyAlignment="1">
      <alignment horizontal="right"/>
    </xf>
    <xf numFmtId="41" fontId="143" fillId="0" borderId="0" xfId="0" applyNumberFormat="1" applyFont="1" applyAlignment="1">
      <alignment horizontal="right"/>
    </xf>
    <xf numFmtId="41" fontId="144" fillId="0" borderId="0" xfId="0" applyNumberFormat="1" applyFont="1"/>
    <xf numFmtId="9" fontId="10" fillId="0" borderId="0" xfId="1" applyFont="1"/>
    <xf numFmtId="9" fontId="17" fillId="0" borderId="0" xfId="0" applyNumberFormat="1" applyFont="1"/>
    <xf numFmtId="0" fontId="4" fillId="3" borderId="0" xfId="0" applyFont="1" applyFill="1" applyAlignment="1">
      <alignment horizontal="left" indent="1"/>
    </xf>
    <xf numFmtId="164" fontId="4" fillId="3" borderId="0" xfId="0" applyNumberFormat="1" applyFont="1" applyFill="1" applyAlignment="1">
      <alignment horizontal="right"/>
    </xf>
    <xf numFmtId="210" fontId="0" fillId="0" borderId="0" xfId="0" applyNumberFormat="1"/>
    <xf numFmtId="184" fontId="16" fillId="0" borderId="0" xfId="3" applyNumberFormat="1" applyFont="1"/>
    <xf numFmtId="182" fontId="15" fillId="0" borderId="0" xfId="0" applyNumberFormat="1" applyFont="1"/>
    <xf numFmtId="182" fontId="114" fillId="0" borderId="0" xfId="0" applyNumberFormat="1" applyFont="1"/>
    <xf numFmtId="182" fontId="15" fillId="0" borderId="0" xfId="0" applyNumberFormat="1" applyFont="1" applyAlignment="1">
      <alignment horizontal="right"/>
    </xf>
    <xf numFmtId="182" fontId="6" fillId="0" borderId="0" xfId="0" applyNumberFormat="1" applyFont="1"/>
    <xf numFmtId="182" fontId="117" fillId="0" borderId="0" xfId="0" applyNumberFormat="1" applyFont="1"/>
    <xf numFmtId="182" fontId="6" fillId="0" borderId="0" xfId="0" applyNumberFormat="1" applyFont="1" applyAlignment="1">
      <alignment horizontal="right"/>
    </xf>
    <xf numFmtId="212" fontId="14" fillId="0" borderId="0" xfId="0" applyNumberFormat="1" applyFont="1"/>
    <xf numFmtId="41" fontId="125" fillId="0" borderId="0" xfId="0" applyNumberFormat="1" applyFont="1" applyAlignment="1">
      <alignment horizontal="right"/>
    </xf>
    <xf numFmtId="0" fontId="145" fillId="0" borderId="0" xfId="0" applyFont="1"/>
    <xf numFmtId="0" fontId="146" fillId="0" borderId="0" xfId="0" applyFont="1"/>
    <xf numFmtId="0" fontId="145" fillId="3" borderId="0" xfId="0" applyFont="1" applyFill="1"/>
    <xf numFmtId="0" fontId="147" fillId="3" borderId="0" xfId="0" applyFont="1" applyFill="1"/>
    <xf numFmtId="0" fontId="146" fillId="3" borderId="0" xfId="0" applyFont="1" applyFill="1"/>
    <xf numFmtId="14" fontId="146" fillId="0" borderId="0" xfId="0" applyNumberFormat="1" applyFont="1" applyAlignment="1">
      <alignment horizontal="center"/>
    </xf>
    <xf numFmtId="14" fontId="148" fillId="0" borderId="0" xfId="0" applyNumberFormat="1" applyFont="1" applyAlignment="1">
      <alignment horizontal="center"/>
    </xf>
    <xf numFmtId="0" fontId="149" fillId="0" borderId="1" xfId="0" applyFont="1" applyBorder="1"/>
    <xf numFmtId="0" fontId="146" fillId="0" borderId="1" xfId="0" applyFont="1" applyBorder="1"/>
    <xf numFmtId="0" fontId="150" fillId="0" borderId="0" xfId="0" applyFont="1"/>
    <xf numFmtId="14" fontId="151" fillId="0" borderId="0" xfId="0" applyNumberFormat="1" applyFont="1"/>
    <xf numFmtId="0" fontId="148" fillId="0" borderId="0" xfId="0" applyFont="1"/>
    <xf numFmtId="0" fontId="152" fillId="0" borderId="0" xfId="0" applyFont="1" applyAlignment="1">
      <alignment horizontal="centerContinuous"/>
    </xf>
    <xf numFmtId="0" fontId="153" fillId="0" borderId="0" xfId="0" applyFont="1" applyAlignment="1">
      <alignment horizontal="centerContinuous"/>
    </xf>
    <xf numFmtId="0" fontId="153" fillId="0" borderId="0" xfId="0" applyFont="1" applyAlignment="1">
      <alignment horizontal="center"/>
    </xf>
    <xf numFmtId="0" fontId="153" fillId="0" borderId="13" xfId="0" applyFont="1" applyBorder="1" applyAlignment="1">
      <alignment horizontal="center"/>
    </xf>
    <xf numFmtId="0" fontId="149" fillId="0" borderId="2" xfId="0" applyFont="1" applyBorder="1"/>
    <xf numFmtId="0" fontId="146" fillId="0" borderId="3" xfId="0" applyFont="1" applyBorder="1"/>
    <xf numFmtId="10" fontId="153" fillId="0" borderId="0" xfId="0" applyNumberFormat="1" applyFont="1" applyAlignment="1">
      <alignment horizontal="center"/>
    </xf>
    <xf numFmtId="0" fontId="154" fillId="0" borderId="0" xfId="0" applyFont="1" applyAlignment="1">
      <alignment horizontal="center"/>
    </xf>
    <xf numFmtId="6" fontId="154" fillId="0" borderId="0" xfId="0" applyNumberFormat="1" applyFont="1" applyAlignment="1">
      <alignment horizontal="right"/>
    </xf>
    <xf numFmtId="0" fontId="154" fillId="0" borderId="0" xfId="0" applyFont="1" applyAlignment="1">
      <alignment horizontal="right"/>
    </xf>
    <xf numFmtId="172" fontId="154" fillId="0" borderId="13" xfId="0" applyNumberFormat="1" applyFont="1" applyBorder="1"/>
    <xf numFmtId="10" fontId="153" fillId="0" borderId="0" xfId="1" applyNumberFormat="1" applyFont="1" applyAlignment="1">
      <alignment horizontal="center"/>
    </xf>
    <xf numFmtId="168" fontId="146" fillId="0" borderId="0" xfId="3" applyNumberFormat="1" applyFont="1"/>
    <xf numFmtId="168" fontId="155" fillId="0" borderId="0" xfId="3" applyNumberFormat="1" applyFont="1"/>
    <xf numFmtId="168" fontId="155" fillId="0" borderId="0" xfId="3" applyNumberFormat="1" applyFont="1" applyBorder="1"/>
    <xf numFmtId="168" fontId="155" fillId="0" borderId="13" xfId="3" applyNumberFormat="1" applyFont="1" applyBorder="1"/>
    <xf numFmtId="168" fontId="145" fillId="0" borderId="0" xfId="3" applyNumberFormat="1" applyFont="1"/>
    <xf numFmtId="0" fontId="148" fillId="0" borderId="0" xfId="0" applyFont="1" applyAlignment="1">
      <alignment horizontal="left" indent="1"/>
    </xf>
    <xf numFmtId="172" fontId="148" fillId="0" borderId="0" xfId="0" applyNumberFormat="1" applyFont="1"/>
    <xf numFmtId="172" fontId="150" fillId="0" borderId="0" xfId="0" applyNumberFormat="1" applyFont="1"/>
    <xf numFmtId="172" fontId="150" fillId="0" borderId="13" xfId="0" applyNumberFormat="1" applyFont="1" applyBorder="1"/>
    <xf numFmtId="172" fontId="154" fillId="0" borderId="0" xfId="0" applyNumberFormat="1" applyFont="1"/>
    <xf numFmtId="0" fontId="149" fillId="0" borderId="0" xfId="0" applyFont="1"/>
    <xf numFmtId="0" fontId="156" fillId="0" borderId="0" xfId="0" applyFont="1"/>
    <xf numFmtId="0" fontId="146" fillId="0" borderId="0" xfId="0" applyFont="1" applyAlignment="1">
      <alignment horizontal="right"/>
    </xf>
    <xf numFmtId="172" fontId="157" fillId="0" borderId="0" xfId="0" applyNumberFormat="1" applyFont="1"/>
    <xf numFmtId="43" fontId="157" fillId="0" borderId="0" xfId="3" applyFont="1" applyBorder="1"/>
    <xf numFmtId="172" fontId="157" fillId="0" borderId="13" xfId="0" applyNumberFormat="1" applyFont="1" applyBorder="1"/>
    <xf numFmtId="9" fontId="146" fillId="0" borderId="0" xfId="0" applyNumberFormat="1" applyFont="1" applyAlignment="1">
      <alignment horizontal="right"/>
    </xf>
    <xf numFmtId="5" fontId="145" fillId="0" borderId="0" xfId="0" applyNumberFormat="1" applyFont="1" applyAlignment="1">
      <alignment horizontal="left"/>
    </xf>
    <xf numFmtId="168" fontId="158" fillId="0" borderId="0" xfId="3" applyNumberFormat="1" applyFont="1" applyBorder="1"/>
    <xf numFmtId="182" fontId="150" fillId="0" borderId="0" xfId="0" applyNumberFormat="1" applyFont="1"/>
    <xf numFmtId="182" fontId="148" fillId="0" borderId="0" xfId="0" applyNumberFormat="1" applyFont="1"/>
    <xf numFmtId="172" fontId="148" fillId="0" borderId="13" xfId="0" applyNumberFormat="1" applyFont="1" applyBorder="1"/>
    <xf numFmtId="0" fontId="156" fillId="0" borderId="0" xfId="0" applyFont="1" applyAlignment="1">
      <alignment horizontal="left" indent="1"/>
    </xf>
    <xf numFmtId="172" fontId="146" fillId="0" borderId="0" xfId="0" applyNumberFormat="1" applyFont="1"/>
    <xf numFmtId="172" fontId="145" fillId="0" borderId="0" xfId="0" applyNumberFormat="1" applyFont="1"/>
    <xf numFmtId="172" fontId="159" fillId="0" borderId="0" xfId="0" applyNumberFormat="1" applyFont="1"/>
    <xf numFmtId="172" fontId="159" fillId="0" borderId="13" xfId="0" applyNumberFormat="1" applyFont="1" applyBorder="1"/>
    <xf numFmtId="0" fontId="160" fillId="0" borderId="0" xfId="0" applyFont="1"/>
    <xf numFmtId="168" fontId="161" fillId="0" borderId="0" xfId="0" applyNumberFormat="1" applyFont="1"/>
    <xf numFmtId="168" fontId="146" fillId="0" borderId="0" xfId="0" applyNumberFormat="1" applyFont="1"/>
    <xf numFmtId="9" fontId="154" fillId="0" borderId="0" xfId="0" applyNumberFormat="1" applyFont="1"/>
    <xf numFmtId="168" fontId="150" fillId="0" borderId="0" xfId="3" applyNumberFormat="1" applyFont="1"/>
    <xf numFmtId="168" fontId="150" fillId="0" borderId="0" xfId="3" applyNumberFormat="1" applyFont="1" applyBorder="1"/>
    <xf numFmtId="9" fontId="148" fillId="0" borderId="0" xfId="0" applyNumberFormat="1" applyFont="1"/>
    <xf numFmtId="0" fontId="146" fillId="0" borderId="0" xfId="0" applyFont="1" applyAlignment="1">
      <alignment horizontal="left"/>
    </xf>
    <xf numFmtId="168" fontId="162" fillId="0" borderId="0" xfId="3" applyNumberFormat="1" applyFont="1" applyFill="1"/>
    <xf numFmtId="168" fontId="163" fillId="0" borderId="0" xfId="3" applyNumberFormat="1" applyFont="1" applyFill="1"/>
    <xf numFmtId="168" fontId="163" fillId="0" borderId="0" xfId="3" applyNumberFormat="1" applyFont="1" applyFill="1" applyBorder="1"/>
    <xf numFmtId="168" fontId="163" fillId="0" borderId="13" xfId="3" applyNumberFormat="1" applyFont="1" applyFill="1" applyBorder="1"/>
    <xf numFmtId="0" fontId="162" fillId="0" borderId="0" xfId="0" applyFont="1"/>
    <xf numFmtId="0" fontId="153" fillId="0" borderId="0" xfId="0" applyFont="1"/>
    <xf numFmtId="0" fontId="148" fillId="0" borderId="0" xfId="0" applyFont="1" applyAlignment="1">
      <alignment horizontal="left" indent="2"/>
    </xf>
    <xf numFmtId="0" fontId="148" fillId="0" borderId="0" xfId="0" applyFont="1" applyAlignment="1">
      <alignment horizontal="left"/>
    </xf>
    <xf numFmtId="0" fontId="150" fillId="0" borderId="13" xfId="0" applyFont="1" applyBorder="1"/>
    <xf numFmtId="0" fontId="164" fillId="0" borderId="0" xfId="0" applyFont="1" applyAlignment="1">
      <alignment horizontal="left" indent="1"/>
    </xf>
    <xf numFmtId="5" fontId="145" fillId="0" borderId="0" xfId="0" applyNumberFormat="1" applyFont="1" applyAlignment="1">
      <alignment horizontal="left" indent="1"/>
    </xf>
    <xf numFmtId="168" fontId="145" fillId="0" borderId="0" xfId="3" applyNumberFormat="1" applyFont="1" applyBorder="1"/>
    <xf numFmtId="168" fontId="145" fillId="0" borderId="13" xfId="3" applyNumberFormat="1" applyFont="1" applyBorder="1"/>
    <xf numFmtId="0" fontId="145" fillId="0" borderId="13" xfId="0" applyFont="1" applyBorder="1"/>
    <xf numFmtId="0" fontId="146" fillId="0" borderId="0" xfId="0" applyFont="1" applyAlignment="1">
      <alignment horizontal="left" indent="1"/>
    </xf>
    <xf numFmtId="168" fontId="155" fillId="0" borderId="0" xfId="3" applyNumberFormat="1" applyFont="1" applyFill="1" applyBorder="1"/>
    <xf numFmtId="168" fontId="155" fillId="0" borderId="13" xfId="3" applyNumberFormat="1" applyFont="1" applyFill="1" applyBorder="1"/>
    <xf numFmtId="168" fontId="155" fillId="0" borderId="0" xfId="3" applyNumberFormat="1" applyFont="1" applyFill="1"/>
    <xf numFmtId="43" fontId="145" fillId="0" borderId="0" xfId="0" applyNumberFormat="1" applyFont="1"/>
    <xf numFmtId="168" fontId="145" fillId="0" borderId="0" xfId="0" applyNumberFormat="1" applyFont="1"/>
    <xf numFmtId="0" fontId="148" fillId="0" borderId="0" xfId="2" applyFont="1" applyAlignment="1">
      <alignment horizontal="left" indent="2"/>
    </xf>
    <xf numFmtId="41" fontId="146" fillId="0" borderId="0" xfId="0" applyNumberFormat="1" applyFont="1"/>
    <xf numFmtId="43" fontId="148" fillId="0" borderId="0" xfId="0" applyNumberFormat="1" applyFont="1"/>
    <xf numFmtId="172" fontId="148" fillId="7" borderId="6" xfId="0" applyNumberFormat="1" applyFont="1" applyFill="1" applyBorder="1"/>
    <xf numFmtId="172" fontId="165" fillId="0" borderId="0" xfId="0" applyNumberFormat="1" applyFont="1"/>
    <xf numFmtId="43" fontId="146" fillId="0" borderId="0" xfId="3" applyFont="1"/>
    <xf numFmtId="7" fontId="145" fillId="0" borderId="0" xfId="0" applyNumberFormat="1" applyFont="1"/>
    <xf numFmtId="168" fontId="166" fillId="0" borderId="0" xfId="3" applyNumberFormat="1" applyFont="1"/>
    <xf numFmtId="168" fontId="166" fillId="0" borderId="0" xfId="3" applyNumberFormat="1" applyFont="1" applyBorder="1"/>
    <xf numFmtId="168" fontId="166" fillId="0" borderId="13" xfId="3" applyNumberFormat="1" applyFont="1" applyBorder="1"/>
    <xf numFmtId="0" fontId="166" fillId="0" borderId="0" xfId="0" applyFont="1"/>
    <xf numFmtId="168" fontId="159" fillId="0" borderId="0" xfId="3" applyNumberFormat="1" applyFont="1"/>
    <xf numFmtId="41" fontId="167" fillId="0" borderId="13" xfId="0" applyNumberFormat="1" applyFont="1" applyBorder="1"/>
    <xf numFmtId="41" fontId="167" fillId="0" borderId="0" xfId="0" applyNumberFormat="1" applyFont="1"/>
    <xf numFmtId="7" fontId="146" fillId="0" borderId="0" xfId="0" applyNumberFormat="1" applyFont="1"/>
    <xf numFmtId="41" fontId="166" fillId="0" borderId="0" xfId="0" applyNumberFormat="1" applyFont="1"/>
    <xf numFmtId="41" fontId="168" fillId="0" borderId="13" xfId="0" applyNumberFormat="1" applyFont="1" applyBorder="1"/>
    <xf numFmtId="41" fontId="168" fillId="0" borderId="0" xfId="0" applyNumberFormat="1" applyFont="1"/>
    <xf numFmtId="6" fontId="146" fillId="0" borderId="0" xfId="0" applyNumberFormat="1" applyFont="1" applyAlignment="1">
      <alignment horizontal="left" indent="1"/>
    </xf>
    <xf numFmtId="6" fontId="146" fillId="0" borderId="0" xfId="0" applyNumberFormat="1" applyFont="1"/>
    <xf numFmtId="180" fontId="148" fillId="0" borderId="0" xfId="0" applyNumberFormat="1" applyFont="1"/>
    <xf numFmtId="180" fontId="150" fillId="0" borderId="0" xfId="0" applyNumberFormat="1" applyFont="1"/>
    <xf numFmtId="180" fontId="150" fillId="0" borderId="13" xfId="0" applyNumberFormat="1" applyFont="1" applyBorder="1"/>
    <xf numFmtId="180" fontId="154" fillId="0" borderId="0" xfId="0" applyNumberFormat="1" applyFont="1"/>
    <xf numFmtId="172" fontId="169" fillId="0" borderId="6" xfId="0" applyNumberFormat="1" applyFont="1" applyBorder="1"/>
    <xf numFmtId="180" fontId="145" fillId="0" borderId="0" xfId="0" applyNumberFormat="1" applyFont="1"/>
    <xf numFmtId="180" fontId="170" fillId="0" borderId="0" xfId="0" applyNumberFormat="1" applyFont="1"/>
    <xf numFmtId="180" fontId="145" fillId="0" borderId="13" xfId="0" applyNumberFormat="1" applyFont="1" applyBorder="1"/>
    <xf numFmtId="180" fontId="145" fillId="0" borderId="8" xfId="0" applyNumberFormat="1" applyFont="1" applyBorder="1"/>
    <xf numFmtId="180" fontId="145" fillId="0" borderId="14" xfId="0" applyNumberFormat="1" applyFont="1" applyBorder="1"/>
    <xf numFmtId="184" fontId="145" fillId="0" borderId="0" xfId="0" applyNumberFormat="1" applyFont="1"/>
    <xf numFmtId="0" fontId="145" fillId="0" borderId="3" xfId="0" applyFont="1" applyBorder="1"/>
    <xf numFmtId="180" fontId="168" fillId="0" borderId="0" xfId="0" applyNumberFormat="1" applyFont="1"/>
    <xf numFmtId="180" fontId="171" fillId="0" borderId="0" xfId="0" applyNumberFormat="1" applyFont="1"/>
    <xf numFmtId="0" fontId="149" fillId="3" borderId="2" xfId="0" applyFont="1" applyFill="1" applyBorder="1" applyAlignment="1">
      <alignment horizontal="left" indent="1"/>
    </xf>
    <xf numFmtId="0" fontId="149" fillId="3" borderId="5" xfId="0" applyFont="1" applyFill="1" applyBorder="1"/>
    <xf numFmtId="9" fontId="149" fillId="3" borderId="5" xfId="0" applyNumberFormat="1" applyFont="1" applyFill="1" applyBorder="1"/>
    <xf numFmtId="9" fontId="149" fillId="3" borderId="3" xfId="0" applyNumberFormat="1" applyFont="1" applyFill="1" applyBorder="1"/>
    <xf numFmtId="4" fontId="145" fillId="0" borderId="0" xfId="0" applyNumberFormat="1" applyFont="1"/>
    <xf numFmtId="5" fontId="145" fillId="0" borderId="0" xfId="0" applyNumberFormat="1" applyFont="1"/>
    <xf numFmtId="0" fontId="149" fillId="0" borderId="2" xfId="0" applyFont="1" applyBorder="1" applyAlignment="1">
      <alignment horizontal="centerContinuous"/>
    </xf>
    <xf numFmtId="0" fontId="149" fillId="0" borderId="5" xfId="0" applyFont="1" applyBorder="1" applyAlignment="1">
      <alignment horizontal="centerContinuous"/>
    </xf>
    <xf numFmtId="9" fontId="149" fillId="0" borderId="5" xfId="0" applyNumberFormat="1" applyFont="1" applyBorder="1"/>
    <xf numFmtId="9" fontId="149" fillId="0" borderId="3" xfId="0" applyNumberFormat="1" applyFont="1" applyBorder="1"/>
    <xf numFmtId="0" fontId="160" fillId="0" borderId="0" xfId="0" applyFont="1" applyAlignment="1">
      <alignment horizontal="right"/>
    </xf>
    <xf numFmtId="6" fontId="145" fillId="0" borderId="0" xfId="0" applyNumberFormat="1" applyFont="1"/>
    <xf numFmtId="168" fontId="163" fillId="0" borderId="0" xfId="3" applyNumberFormat="1" applyFont="1"/>
    <xf numFmtId="43" fontId="162" fillId="0" borderId="0" xfId="3" applyFont="1"/>
    <xf numFmtId="0" fontId="149" fillId="0" borderId="0" xfId="0" applyFont="1" applyAlignment="1">
      <alignment horizontal="left" indent="1"/>
    </xf>
    <xf numFmtId="8" fontId="145" fillId="0" borderId="0" xfId="0" applyNumberFormat="1" applyFont="1"/>
    <xf numFmtId="168" fontId="158" fillId="0" borderId="0" xfId="3" applyNumberFormat="1" applyFont="1"/>
    <xf numFmtId="0" fontId="160" fillId="0" borderId="0" xfId="0" quotePrefix="1" applyFont="1"/>
    <xf numFmtId="0" fontId="146" fillId="0" borderId="0" xfId="0" applyFont="1" applyAlignment="1">
      <alignment horizontal="left" vertical="center"/>
    </xf>
    <xf numFmtId="168" fontId="172" fillId="0" borderId="0" xfId="0" applyNumberFormat="1" applyFont="1"/>
    <xf numFmtId="168" fontId="167" fillId="0" borderId="0" xfId="0" applyNumberFormat="1" applyFont="1"/>
    <xf numFmtId="41" fontId="173" fillId="0" borderId="0" xfId="0" applyNumberFormat="1" applyFont="1"/>
    <xf numFmtId="41" fontId="149" fillId="0" borderId="0" xfId="0" applyNumberFormat="1" applyFont="1"/>
    <xf numFmtId="0" fontId="169" fillId="0" borderId="5" xfId="0" applyFont="1" applyBorder="1" applyAlignment="1">
      <alignment horizontal="left" indent="1"/>
    </xf>
    <xf numFmtId="172" fontId="169" fillId="0" borderId="5" xfId="0" applyNumberFormat="1" applyFont="1" applyBorder="1"/>
    <xf numFmtId="0" fontId="149" fillId="0" borderId="5" xfId="0" applyFont="1" applyBorder="1"/>
    <xf numFmtId="10" fontId="146" fillId="0" borderId="0" xfId="0" applyNumberFormat="1" applyFont="1"/>
    <xf numFmtId="43" fontId="146" fillId="0" borderId="0" xfId="0" applyNumberFormat="1" applyFont="1"/>
    <xf numFmtId="181" fontId="146" fillId="0" borderId="0" xfId="1" applyNumberFormat="1" applyFont="1"/>
    <xf numFmtId="180" fontId="146" fillId="0" borderId="0" xfId="0" applyNumberFormat="1" applyFont="1"/>
    <xf numFmtId="0" fontId="151" fillId="19" borderId="0" xfId="0" applyFont="1" applyFill="1"/>
    <xf numFmtId="0" fontId="174" fillId="19" borderId="0" xfId="0" applyFont="1" applyFill="1"/>
    <xf numFmtId="168" fontId="162" fillId="0" borderId="0" xfId="3" applyNumberFormat="1" applyFont="1"/>
    <xf numFmtId="8" fontId="146" fillId="0" borderId="0" xfId="0" applyNumberFormat="1" applyFont="1"/>
    <xf numFmtId="168" fontId="148" fillId="0" borderId="0" xfId="3" applyNumberFormat="1" applyFont="1"/>
    <xf numFmtId="172" fontId="175" fillId="0" borderId="5" xfId="0" applyNumberFormat="1" applyFont="1" applyBorder="1"/>
    <xf numFmtId="0" fontId="151" fillId="18" borderId="0" xfId="0" applyFont="1" applyFill="1"/>
    <xf numFmtId="0" fontId="174" fillId="18" borderId="0" xfId="0" applyFont="1" applyFill="1"/>
    <xf numFmtId="168" fontId="148" fillId="0" borderId="0" xfId="0" applyNumberFormat="1" applyFont="1"/>
    <xf numFmtId="168" fontId="154" fillId="0" borderId="0" xfId="0" applyNumberFormat="1" applyFont="1"/>
    <xf numFmtId="168" fontId="156" fillId="0" borderId="0" xfId="3" applyNumberFormat="1" applyFont="1"/>
    <xf numFmtId="168" fontId="173" fillId="0" borderId="0" xfId="3" applyNumberFormat="1" applyFont="1"/>
    <xf numFmtId="168" fontId="173" fillId="0" borderId="0" xfId="3" applyNumberFormat="1" applyFont="1" applyBorder="1"/>
    <xf numFmtId="168" fontId="167" fillId="0" borderId="0" xfId="3" applyNumberFormat="1" applyFont="1" applyBorder="1"/>
    <xf numFmtId="43" fontId="166" fillId="0" borderId="0" xfId="3" applyFont="1"/>
    <xf numFmtId="0" fontId="151" fillId="17" borderId="0" xfId="0" applyFont="1" applyFill="1"/>
    <xf numFmtId="0" fontId="174" fillId="17" borderId="0" xfId="0" applyFont="1" applyFill="1"/>
    <xf numFmtId="180" fontId="176" fillId="0" borderId="0" xfId="0" applyNumberFormat="1" applyFont="1"/>
    <xf numFmtId="180" fontId="176" fillId="0" borderId="8" xfId="0" applyNumberFormat="1" applyFont="1" applyBorder="1"/>
    <xf numFmtId="14" fontId="154" fillId="0" borderId="0" xfId="0" applyNumberFormat="1" applyFont="1" applyAlignment="1">
      <alignment horizontal="center"/>
    </xf>
    <xf numFmtId="14" fontId="17" fillId="0" borderId="0" xfId="0" applyNumberFormat="1" applyFont="1"/>
    <xf numFmtId="43" fontId="177" fillId="0" borderId="0" xfId="3" applyFont="1" applyAlignment="1">
      <alignment horizontal="right"/>
    </xf>
    <xf numFmtId="0" fontId="128" fillId="0" borderId="0" xfId="0" applyFont="1" applyAlignment="1">
      <alignment horizontal="left" vertical="top" wrapText="1"/>
    </xf>
    <xf numFmtId="0" fontId="0" fillId="0" borderId="0" xfId="0" applyAlignment="1">
      <alignment wrapText="1"/>
    </xf>
    <xf numFmtId="0" fontId="127" fillId="0" borderId="0" xfId="0" applyFont="1" applyAlignment="1">
      <alignment vertical="top"/>
    </xf>
    <xf numFmtId="0" fontId="127" fillId="0" borderId="0" xfId="0" applyFont="1" applyAlignment="1">
      <alignment horizontal="left" vertical="top" wrapText="1" indent="1"/>
    </xf>
    <xf numFmtId="0" fontId="127" fillId="0" borderId="0" xfId="0" applyFont="1" applyAlignment="1">
      <alignment horizontal="left" vertical="top" wrapText="1" indent="2"/>
    </xf>
    <xf numFmtId="0" fontId="127" fillId="0" borderId="0" xfId="0" applyFont="1" applyAlignment="1">
      <alignment horizontal="left" vertical="top" wrapText="1" indent="3"/>
    </xf>
    <xf numFmtId="0" fontId="127" fillId="0" borderId="0" xfId="0" applyFont="1" applyAlignment="1">
      <alignment horizontal="left" vertical="top" wrapText="1" indent="4"/>
    </xf>
    <xf numFmtId="0" fontId="4" fillId="0" borderId="0" xfId="0" applyFont="1" applyAlignment="1">
      <alignment horizontal="center" wrapText="1"/>
    </xf>
    <xf numFmtId="0" fontId="4" fillId="0" borderId="4" xfId="0" applyFont="1" applyBorder="1" applyAlignment="1">
      <alignment horizontal="center" wrapText="1"/>
    </xf>
    <xf numFmtId="0" fontId="0" fillId="0" borderId="0" xfId="0" applyAlignment="1"/>
  </cellXfs>
  <cellStyles count="19">
    <cellStyle name="Comma" xfId="3" builtinId="3"/>
    <cellStyle name="Comma [0] 2" xfId="16" xr:uid="{793E3186-957F-4E8D-871F-23559B79385B}"/>
    <cellStyle name="Comma 2" xfId="6" xr:uid="{8FA8C982-FB0D-42BF-A4B2-0719CA8B6177}"/>
    <cellStyle name="Comma 3" xfId="15" xr:uid="{5DBFA2B9-6269-4174-A07E-4D490885F6C8}"/>
    <cellStyle name="Currency [0] 2" xfId="14" xr:uid="{734BEBAB-38FE-46CA-A7DB-FF25FD1B59D1}"/>
    <cellStyle name="Currency 2" xfId="13" xr:uid="{4A8014DD-7267-4C6F-9D05-C7F3C4A76D1A}"/>
    <cellStyle name="Hyperlink" xfId="10" builtinId="8"/>
    <cellStyle name="Hyperlink 2" xfId="9" xr:uid="{C8244C10-1D60-4080-9424-4255BD05C35D}"/>
    <cellStyle name="Invisible" xfId="4" xr:uid="{5B62E735-AB33-4A2E-9D7A-6F5C4FF31384}"/>
    <cellStyle name="Normal" xfId="0" builtinId="0"/>
    <cellStyle name="Normal 17" xfId="5" xr:uid="{89500B5F-4707-4DE0-B3A0-1060E53D10B6}"/>
    <cellStyle name="Normal 2" xfId="8" xr:uid="{F53E9E60-91E8-4119-8086-36AB698A9865}"/>
    <cellStyle name="Normal 2 2" xfId="2" xr:uid="{00000000-0005-0000-0000-000001000000}"/>
    <cellStyle name="Normal 2 2 2" xfId="17" xr:uid="{7158801A-054C-4292-85E1-18B49A21591C}"/>
    <cellStyle name="Normal 2 3" xfId="18" xr:uid="{D290EDDB-9170-4F84-8A7D-D65B9B58C0CB}"/>
    <cellStyle name="Normal 3" xfId="11" xr:uid="{013C29B3-BE25-4C90-8568-376D3B7CE20A}"/>
    <cellStyle name="Percent" xfId="1" builtinId="5"/>
    <cellStyle name="Percent 2" xfId="12" xr:uid="{5E4C9448-C7BC-4032-8C43-154DFF5F048A}"/>
    <cellStyle name="Percent 2 4" xfId="7" xr:uid="{BFED70A9-3DA1-40A9-83DA-1E4E5F5E252A}"/>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Revenue vs. Commercial Bookings CC</a:t>
            </a:r>
            <a:r>
              <a:rPr lang="en-US" sz="1200" b="1" baseline="0"/>
              <a:t> Growth %</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'Historical Financials'!$B$1055:$O$1055</c:f>
              <c:strCache>
                <c:ptCount val="2"/>
                <c:pt idx="0">
                  <c:v>Revenue growth - CC</c:v>
                </c:pt>
              </c:strCache>
            </c:strRef>
          </c:tx>
          <c:spPr>
            <a:ln w="28575" cap="rnd">
              <a:solidFill>
                <a:schemeClr val="accent1"/>
              </a:solidFill>
              <a:round/>
            </a:ln>
            <a:effectLst/>
          </c:spPr>
          <c:marker>
            <c:symbol val="none"/>
          </c:marker>
          <c:cat>
            <c:strRef>
              <c:f>'Historical Financials'!$P$1054:$AF$1054</c:f>
              <c:strCache>
                <c:ptCount val="13"/>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c:v>
                </c:pt>
              </c:strCache>
            </c:strRef>
          </c:cat>
          <c:val>
            <c:numRef>
              <c:f>'Historical Financials'!$P$1055:$AF$1055</c:f>
              <c:numCache>
                <c:formatCode>#,##0%_);\(#,##0%\)</c:formatCode>
                <c:ptCount val="13"/>
                <c:pt idx="0">
                  <c:v>0.15429033145372026</c:v>
                </c:pt>
                <c:pt idx="1">
                  <c:v>0.15197037356410337</c:v>
                </c:pt>
                <c:pt idx="2">
                  <c:v>0.15910928657878379</c:v>
                </c:pt>
                <c:pt idx="3">
                  <c:v>0.14502413322656227</c:v>
                </c:pt>
                <c:pt idx="4">
                  <c:v>0.12050704885796401</c:v>
                </c:pt>
                <c:pt idx="5">
                  <c:v>0.15363536010404813</c:v>
                </c:pt>
                <c:pt idx="6">
                  <c:v>0.16171448844978725</c:v>
                </c:pt>
                <c:pt idx="7">
                  <c:v>0.17445905660873451</c:v>
                </c:pt>
                <c:pt idx="8">
                  <c:v>0.20385421219787908</c:v>
                </c:pt>
                <c:pt idx="9">
                  <c:v>0.20078497539232981</c:v>
                </c:pt>
                <c:pt idx="10">
                  <c:v>0.20149706517047911</c:v>
                </c:pt>
                <c:pt idx="11">
                  <c:v>0.16459280637892182</c:v>
                </c:pt>
                <c:pt idx="12">
                  <c:v>0.16</c:v>
                </c:pt>
              </c:numCache>
            </c:numRef>
          </c:val>
          <c:smooth val="0"/>
          <c:extLst>
            <c:ext xmlns:c16="http://schemas.microsoft.com/office/drawing/2014/chart" uri="{C3380CC4-5D6E-409C-BE32-E72D297353CC}">
              <c16:uniqueId val="{00000000-6488-4C88-B7BE-C926CA5AD7DD}"/>
            </c:ext>
          </c:extLst>
        </c:ser>
        <c:ser>
          <c:idx val="1"/>
          <c:order val="1"/>
          <c:tx>
            <c:strRef>
              <c:f>'Historical Financials'!$B$1056</c:f>
              <c:strCache>
                <c:ptCount val="1"/>
                <c:pt idx="0">
                  <c:v>Commercial Bookings growth - CC</c:v>
                </c:pt>
              </c:strCache>
            </c:strRef>
          </c:tx>
          <c:spPr>
            <a:ln w="28575" cap="rnd">
              <a:solidFill>
                <a:schemeClr val="accent2"/>
              </a:solidFill>
              <a:round/>
            </a:ln>
            <a:effectLst/>
          </c:spPr>
          <c:marker>
            <c:symbol val="none"/>
          </c:marker>
          <c:cat>
            <c:strRef>
              <c:f>'Historical Financials'!$P$1054:$AF$1054</c:f>
              <c:strCache>
                <c:ptCount val="13"/>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c:v>
                </c:pt>
              </c:strCache>
            </c:strRef>
          </c:cat>
          <c:val>
            <c:numRef>
              <c:f>'Historical Financials'!$P$1056:$AF$1056</c:f>
              <c:numCache>
                <c:formatCode>#,##0%_);\(#,##0%\)</c:formatCode>
                <c:ptCount val="13"/>
                <c:pt idx="0">
                  <c:v>0.35</c:v>
                </c:pt>
                <c:pt idx="1">
                  <c:v>0.3</c:v>
                </c:pt>
                <c:pt idx="2">
                  <c:v>0.12</c:v>
                </c:pt>
                <c:pt idx="3">
                  <c:v>0.14000000000000001</c:v>
                </c:pt>
                <c:pt idx="4">
                  <c:v>0.18</c:v>
                </c:pt>
                <c:pt idx="5">
                  <c:v>0.11</c:v>
                </c:pt>
                <c:pt idx="6">
                  <c:v>0.38</c:v>
                </c:pt>
                <c:pt idx="7">
                  <c:v>0.25</c:v>
                </c:pt>
                <c:pt idx="8">
                  <c:v>0.14000000000000001</c:v>
                </c:pt>
                <c:pt idx="9">
                  <c:v>0.37</c:v>
                </c:pt>
                <c:pt idx="10">
                  <c:v>0.35</c:v>
                </c:pt>
                <c:pt idx="11">
                  <c:v>0.35</c:v>
                </c:pt>
                <c:pt idx="12">
                  <c:v>0.16</c:v>
                </c:pt>
              </c:numCache>
            </c:numRef>
          </c:val>
          <c:smooth val="0"/>
          <c:extLst>
            <c:ext xmlns:c16="http://schemas.microsoft.com/office/drawing/2014/chart" uri="{C3380CC4-5D6E-409C-BE32-E72D297353CC}">
              <c16:uniqueId val="{00000001-6488-4C88-B7BE-C926CA5AD7DD}"/>
            </c:ext>
          </c:extLst>
        </c:ser>
        <c:dLbls>
          <c:showLegendKey val="0"/>
          <c:showVal val="0"/>
          <c:showCatName val="0"/>
          <c:showSerName val="0"/>
          <c:showPercent val="0"/>
          <c:showBubbleSize val="0"/>
        </c:dLbls>
        <c:smooth val="0"/>
        <c:axId val="686642480"/>
        <c:axId val="686642896"/>
      </c:lineChart>
      <c:catAx>
        <c:axId val="68664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642896"/>
        <c:crosses val="autoZero"/>
        <c:auto val="1"/>
        <c:lblAlgn val="ctr"/>
        <c:lblOffset val="100"/>
        <c:noMultiLvlLbl val="0"/>
      </c:catAx>
      <c:valAx>
        <c:axId val="686642896"/>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642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Revenue vs. Commercial Bookings 2yr</a:t>
            </a:r>
            <a:r>
              <a:rPr lang="en-US" sz="1200" b="1" baseline="0"/>
              <a:t> Stack </a:t>
            </a:r>
            <a:r>
              <a:rPr lang="en-US" sz="1200" b="1"/>
              <a:t>CC</a:t>
            </a:r>
            <a:r>
              <a:rPr lang="en-US" sz="1200" b="1" baseline="0"/>
              <a:t> Growth %</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'Historical Financials'!$B$1063:$O$1063</c:f>
              <c:strCache>
                <c:ptCount val="2"/>
                <c:pt idx="0">
                  <c:v>Revenue growth - CC 2yr Stack</c:v>
                </c:pt>
              </c:strCache>
            </c:strRef>
          </c:tx>
          <c:spPr>
            <a:ln w="28575" cap="rnd">
              <a:solidFill>
                <a:schemeClr val="accent1"/>
              </a:solidFill>
              <a:round/>
            </a:ln>
            <a:effectLst/>
          </c:spPr>
          <c:marker>
            <c:symbol val="none"/>
          </c:marker>
          <c:cat>
            <c:strRef>
              <c:f>'Historical Financials'!$P$1054:$AF$1054</c:f>
              <c:strCache>
                <c:ptCount val="13"/>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c:v>
                </c:pt>
              </c:strCache>
            </c:strRef>
          </c:cat>
          <c:val>
            <c:numRef>
              <c:f>'Historical Financials'!$P$1063:$AF$1063</c:f>
              <c:numCache>
                <c:formatCode>#,##0%_);\(#,##0%\)</c:formatCode>
                <c:ptCount val="13"/>
                <c:pt idx="0">
                  <c:v>0.33975043415157663</c:v>
                </c:pt>
                <c:pt idx="1">
                  <c:v>0.27828408820550321</c:v>
                </c:pt>
                <c:pt idx="2">
                  <c:v>0.31910928657878379</c:v>
                </c:pt>
                <c:pt idx="3">
                  <c:v>0.28826761004225115</c:v>
                </c:pt>
                <c:pt idx="4">
                  <c:v>0.27479738031168427</c:v>
                </c:pt>
                <c:pt idx="5">
                  <c:v>0.30560573366815147</c:v>
                </c:pt>
                <c:pt idx="6">
                  <c:v>0.32082377502857107</c:v>
                </c:pt>
                <c:pt idx="7">
                  <c:v>0.31948318983529678</c:v>
                </c:pt>
                <c:pt idx="8">
                  <c:v>0.32436126105584306</c:v>
                </c:pt>
                <c:pt idx="9">
                  <c:v>0.35442033549637797</c:v>
                </c:pt>
                <c:pt idx="10">
                  <c:v>0.36321155362026636</c:v>
                </c:pt>
                <c:pt idx="11">
                  <c:v>0.33905186298765633</c:v>
                </c:pt>
                <c:pt idx="12">
                  <c:v>0.36385421219787906</c:v>
                </c:pt>
              </c:numCache>
            </c:numRef>
          </c:val>
          <c:smooth val="0"/>
          <c:extLst>
            <c:ext xmlns:c16="http://schemas.microsoft.com/office/drawing/2014/chart" uri="{C3380CC4-5D6E-409C-BE32-E72D297353CC}">
              <c16:uniqueId val="{00000000-6488-4C88-B7BE-C926CA5AD7DD}"/>
            </c:ext>
          </c:extLst>
        </c:ser>
        <c:ser>
          <c:idx val="1"/>
          <c:order val="1"/>
          <c:tx>
            <c:strRef>
              <c:f>'Historical Financials'!$B$1064:$O$1064</c:f>
              <c:strCache>
                <c:ptCount val="2"/>
                <c:pt idx="0">
                  <c:v>Commercieal Bookings Growth - CC 2yr Stack </c:v>
                </c:pt>
              </c:strCache>
            </c:strRef>
          </c:tx>
          <c:spPr>
            <a:ln w="28575" cap="rnd">
              <a:solidFill>
                <a:schemeClr val="accent2"/>
              </a:solidFill>
              <a:round/>
            </a:ln>
            <a:effectLst/>
          </c:spPr>
          <c:marker>
            <c:symbol val="none"/>
          </c:marker>
          <c:cat>
            <c:strRef>
              <c:f>'Historical Financials'!$P$1054:$AF$1054</c:f>
              <c:strCache>
                <c:ptCount val="13"/>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c:v>
                </c:pt>
              </c:strCache>
            </c:strRef>
          </c:cat>
          <c:val>
            <c:numRef>
              <c:f>'Historical Financials'!$P$1064:$AF$1064</c:f>
              <c:numCache>
                <c:formatCode>#,##0%_);\(#,##0%\)</c:formatCode>
                <c:ptCount val="13"/>
                <c:pt idx="0">
                  <c:v>0.51</c:v>
                </c:pt>
                <c:pt idx="1">
                  <c:v>0.52</c:v>
                </c:pt>
                <c:pt idx="2">
                  <c:v>0.46</c:v>
                </c:pt>
                <c:pt idx="3">
                  <c:v>0.39</c:v>
                </c:pt>
                <c:pt idx="4">
                  <c:v>0.53</c:v>
                </c:pt>
                <c:pt idx="5">
                  <c:v>0.41</c:v>
                </c:pt>
                <c:pt idx="6">
                  <c:v>0.5</c:v>
                </c:pt>
                <c:pt idx="7">
                  <c:v>0.39</c:v>
                </c:pt>
                <c:pt idx="8">
                  <c:v>0.32</c:v>
                </c:pt>
                <c:pt idx="9">
                  <c:v>0.48</c:v>
                </c:pt>
                <c:pt idx="10">
                  <c:v>0.73</c:v>
                </c:pt>
                <c:pt idx="11">
                  <c:v>0.6</c:v>
                </c:pt>
                <c:pt idx="12">
                  <c:v>0.30000000000000004</c:v>
                </c:pt>
              </c:numCache>
            </c:numRef>
          </c:val>
          <c:smooth val="0"/>
          <c:extLst>
            <c:ext xmlns:c16="http://schemas.microsoft.com/office/drawing/2014/chart" uri="{C3380CC4-5D6E-409C-BE32-E72D297353CC}">
              <c16:uniqueId val="{00000001-6488-4C88-B7BE-C926CA5AD7DD}"/>
            </c:ext>
          </c:extLst>
        </c:ser>
        <c:dLbls>
          <c:showLegendKey val="0"/>
          <c:showVal val="0"/>
          <c:showCatName val="0"/>
          <c:showSerName val="0"/>
          <c:showPercent val="0"/>
          <c:showBubbleSize val="0"/>
        </c:dLbls>
        <c:smooth val="0"/>
        <c:axId val="686642480"/>
        <c:axId val="686642896"/>
      </c:lineChart>
      <c:catAx>
        <c:axId val="68664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642896"/>
        <c:crosses val="autoZero"/>
        <c:auto val="1"/>
        <c:lblAlgn val="ctr"/>
        <c:lblOffset val="100"/>
        <c:noMultiLvlLbl val="0"/>
      </c:catAx>
      <c:valAx>
        <c:axId val="686642896"/>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642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 Share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Azure!$A$34</c:f>
              <c:strCache>
                <c:ptCount val="1"/>
                <c:pt idx="0">
                  <c:v>AWS (cons. forecast)</c:v>
                </c:pt>
              </c:strCache>
            </c:strRef>
          </c:tx>
          <c:spPr>
            <a:ln w="28575" cap="rnd">
              <a:solidFill>
                <a:schemeClr val="accent1"/>
              </a:solidFill>
              <a:round/>
            </a:ln>
            <a:effectLst/>
          </c:spPr>
          <c:marker>
            <c:symbol val="none"/>
          </c:marker>
          <c:cat>
            <c:strRef>
              <c:f>Azure!$Z$5:$AU$5</c:f>
              <c:strCache>
                <c:ptCount val="22"/>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strCache>
            </c:strRef>
          </c:cat>
          <c:val>
            <c:numRef>
              <c:f>Azure!$B$34:$AU$34</c:f>
              <c:numCache>
                <c:formatCode>_(* #,##0%_);_(* \(#,##0%\);_(* "-"?_);_(* @_)</c:formatCode>
                <c:ptCount val="22"/>
                <c:pt idx="0">
                  <c:v>0.60010550274076313</c:v>
                </c:pt>
                <c:pt idx="1">
                  <c:v>0.5778223915520263</c:v>
                </c:pt>
                <c:pt idx="2">
                  <c:v>0.57320485790533748</c:v>
                </c:pt>
                <c:pt idx="3">
                  <c:v>0.57220202013195143</c:v>
                </c:pt>
                <c:pt idx="4">
                  <c:v>0.56017488555382655</c:v>
                </c:pt>
                <c:pt idx="5">
                  <c:v>0.54800553619577697</c:v>
                </c:pt>
                <c:pt idx="6">
                  <c:v>0.54127518860294954</c:v>
                </c:pt>
                <c:pt idx="7">
                  <c:v>0.53509375285292504</c:v>
                </c:pt>
                <c:pt idx="8">
                  <c:v>0.53144675223179061</c:v>
                </c:pt>
                <c:pt idx="9">
                  <c:v>0.52209150506734225</c:v>
                </c:pt>
                <c:pt idx="10">
                  <c:v>0.5251159513141298</c:v>
                </c:pt>
                <c:pt idx="11">
                  <c:v>0.52476568911957244</c:v>
                </c:pt>
                <c:pt idx="12">
                  <c:v>0.51668444408063385</c:v>
                </c:pt>
                <c:pt idx="13">
                  <c:v>0.51315391511235642</c:v>
                </c:pt>
                <c:pt idx="14">
                  <c:v>0.50955192775269187</c:v>
                </c:pt>
                <c:pt idx="15">
                  <c:v>0.50220823153542571</c:v>
                </c:pt>
                <c:pt idx="16">
                  <c:v>0.4929036541094442</c:v>
                </c:pt>
                <c:pt idx="17">
                  <c:v>0.48278089336593477</c:v>
                </c:pt>
                <c:pt idx="18">
                  <c:v>0.47928748103344349</c:v>
                </c:pt>
                <c:pt idx="19">
                  <c:v>0.47058823529411764</c:v>
                </c:pt>
                <c:pt idx="20">
                  <c:v>0.46688628788869219</c:v>
                </c:pt>
                <c:pt idx="21">
                  <c:v>0.4618228174037623</c:v>
                </c:pt>
              </c:numCache>
            </c:numRef>
          </c:val>
          <c:smooth val="0"/>
          <c:extLst>
            <c:ext xmlns:c16="http://schemas.microsoft.com/office/drawing/2014/chart" uri="{C3380CC4-5D6E-409C-BE32-E72D297353CC}">
              <c16:uniqueId val="{00000000-5539-4B60-9310-681ADF75FFE3}"/>
            </c:ext>
          </c:extLst>
        </c:ser>
        <c:ser>
          <c:idx val="1"/>
          <c:order val="1"/>
          <c:tx>
            <c:strRef>
              <c:f>Azure!$A$35</c:f>
              <c:strCache>
                <c:ptCount val="1"/>
                <c:pt idx="0">
                  <c:v>Azure</c:v>
                </c:pt>
              </c:strCache>
            </c:strRef>
          </c:tx>
          <c:spPr>
            <a:ln w="28575" cap="rnd">
              <a:solidFill>
                <a:schemeClr val="accent2"/>
              </a:solidFill>
              <a:round/>
            </a:ln>
            <a:effectLst/>
          </c:spPr>
          <c:marker>
            <c:symbol val="none"/>
          </c:marker>
          <c:cat>
            <c:strRef>
              <c:f>Azure!$Z$5:$AU$5</c:f>
              <c:strCache>
                <c:ptCount val="22"/>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strCache>
            </c:strRef>
          </c:cat>
          <c:val>
            <c:numRef>
              <c:f>Azure!$B$35:$AU$35</c:f>
              <c:numCache>
                <c:formatCode>_(* #,##0%_);_(* \(#,##0%\);_(* "-"?_);_(* @_)</c:formatCode>
                <c:ptCount val="22"/>
                <c:pt idx="0">
                  <c:v>0.25758777396117405</c:v>
                </c:pt>
                <c:pt idx="1">
                  <c:v>0.27739452501410483</c:v>
                </c:pt>
                <c:pt idx="2">
                  <c:v>0.27519376833626358</c:v>
                </c:pt>
                <c:pt idx="3">
                  <c:v>0.2775331536047454</c:v>
                </c:pt>
                <c:pt idx="4">
                  <c:v>0.28759831562212251</c:v>
                </c:pt>
                <c:pt idx="5">
                  <c:v>0.29952845276233714</c:v>
                </c:pt>
                <c:pt idx="6">
                  <c:v>0.29803592685704894</c:v>
                </c:pt>
                <c:pt idx="7">
                  <c:v>0.30402536760072774</c:v>
                </c:pt>
                <c:pt idx="8">
                  <c:v>0.30927271705043891</c:v>
                </c:pt>
                <c:pt idx="9">
                  <c:v>0.31474828928395371</c:v>
                </c:pt>
                <c:pt idx="10">
                  <c:v>0.31223174595107778</c:v>
                </c:pt>
                <c:pt idx="11">
                  <c:v>0.3116951273364707</c:v>
                </c:pt>
                <c:pt idx="12">
                  <c:v>0.32022135555098202</c:v>
                </c:pt>
                <c:pt idx="13">
                  <c:v>0.32368918883185815</c:v>
                </c:pt>
                <c:pt idx="14">
                  <c:v>0.32005160522006648</c:v>
                </c:pt>
                <c:pt idx="15">
                  <c:v>0.32594906972373616</c:v>
                </c:pt>
                <c:pt idx="16">
                  <c:v>0.3350394086548249</c:v>
                </c:pt>
                <c:pt idx="17">
                  <c:v>0.34209655222476892</c:v>
                </c:pt>
                <c:pt idx="18">
                  <c:v>0.34588763484442225</c:v>
                </c:pt>
                <c:pt idx="19">
                  <c:v>0.35069555834232552</c:v>
                </c:pt>
                <c:pt idx="20">
                  <c:v>0.35457917042315268</c:v>
                </c:pt>
                <c:pt idx="21">
                  <c:v>0.35974422552847662</c:v>
                </c:pt>
              </c:numCache>
            </c:numRef>
          </c:val>
          <c:smooth val="0"/>
          <c:extLst>
            <c:ext xmlns:c16="http://schemas.microsoft.com/office/drawing/2014/chart" uri="{C3380CC4-5D6E-409C-BE32-E72D297353CC}">
              <c16:uniqueId val="{00000001-5539-4B60-9310-681ADF75FFE3}"/>
            </c:ext>
          </c:extLst>
        </c:ser>
        <c:ser>
          <c:idx val="2"/>
          <c:order val="2"/>
          <c:tx>
            <c:strRef>
              <c:f>Azure!$A$36</c:f>
              <c:strCache>
                <c:ptCount val="1"/>
                <c:pt idx="0">
                  <c:v>Google Cloud (cons. forecast)</c:v>
                </c:pt>
              </c:strCache>
            </c:strRef>
          </c:tx>
          <c:spPr>
            <a:ln w="28575" cap="rnd">
              <a:solidFill>
                <a:schemeClr val="accent3"/>
              </a:solidFill>
              <a:round/>
            </a:ln>
            <a:effectLst/>
          </c:spPr>
          <c:marker>
            <c:symbol val="none"/>
          </c:marker>
          <c:cat>
            <c:strRef>
              <c:f>Azure!$Z$5:$AU$5</c:f>
              <c:strCache>
                <c:ptCount val="22"/>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strCache>
            </c:strRef>
          </c:cat>
          <c:val>
            <c:numRef>
              <c:f>Azure!$B$36:$AU$36</c:f>
              <c:numCache>
                <c:formatCode>_(* #,##0%_);_(* \(#,##0%\);_(* "-"?_);_(* @_)</c:formatCode>
                <c:ptCount val="22"/>
                <c:pt idx="0">
                  <c:v>0.14230672329806296</c:v>
                </c:pt>
                <c:pt idx="1">
                  <c:v>0.14478308343386889</c:v>
                </c:pt>
                <c:pt idx="2">
                  <c:v>0.15160137375839888</c:v>
                </c:pt>
                <c:pt idx="3">
                  <c:v>0.15026482626330329</c:v>
                </c:pt>
                <c:pt idx="4">
                  <c:v>0.15222679882405094</c:v>
                </c:pt>
                <c:pt idx="5">
                  <c:v>0.15246601104188576</c:v>
                </c:pt>
                <c:pt idx="6">
                  <c:v>0.16068888454000158</c:v>
                </c:pt>
                <c:pt idx="7">
                  <c:v>0.16088087954634719</c:v>
                </c:pt>
                <c:pt idx="8">
                  <c:v>0.1592805307177706</c:v>
                </c:pt>
                <c:pt idx="9">
                  <c:v>0.16316020564870415</c:v>
                </c:pt>
                <c:pt idx="10">
                  <c:v>0.16265230273479253</c:v>
                </c:pt>
                <c:pt idx="11">
                  <c:v>0.16353918354395675</c:v>
                </c:pt>
                <c:pt idx="12">
                  <c:v>0.16309420036838401</c:v>
                </c:pt>
                <c:pt idx="13">
                  <c:v>0.16315689605578543</c:v>
                </c:pt>
                <c:pt idx="14">
                  <c:v>0.17039646702724159</c:v>
                </c:pt>
                <c:pt idx="15">
                  <c:v>0.17184269874083818</c:v>
                </c:pt>
                <c:pt idx="16">
                  <c:v>0.17205693723573087</c:v>
                </c:pt>
                <c:pt idx="17">
                  <c:v>0.17512255440929639</c:v>
                </c:pt>
                <c:pt idx="18">
                  <c:v>0.17482488412213423</c:v>
                </c:pt>
                <c:pt idx="19">
                  <c:v>0.17871620636355681</c:v>
                </c:pt>
                <c:pt idx="20">
                  <c:v>0.17853454168815508</c:v>
                </c:pt>
                <c:pt idx="21">
                  <c:v>0.17843295706776105</c:v>
                </c:pt>
              </c:numCache>
            </c:numRef>
          </c:val>
          <c:smooth val="0"/>
          <c:extLst>
            <c:ext xmlns:c16="http://schemas.microsoft.com/office/drawing/2014/chart" uri="{C3380CC4-5D6E-409C-BE32-E72D297353CC}">
              <c16:uniqueId val="{00000002-5539-4B60-9310-681ADF75FFE3}"/>
            </c:ext>
          </c:extLst>
        </c:ser>
        <c:dLbls>
          <c:showLegendKey val="0"/>
          <c:showVal val="0"/>
          <c:showCatName val="0"/>
          <c:showSerName val="0"/>
          <c:showPercent val="0"/>
          <c:showBubbleSize val="0"/>
        </c:dLbls>
        <c:smooth val="0"/>
        <c:axId val="886660543"/>
        <c:axId val="886655967"/>
      </c:lineChart>
      <c:catAx>
        <c:axId val="88666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55967"/>
        <c:crosses val="autoZero"/>
        <c:auto val="1"/>
        <c:lblAlgn val="ctr"/>
        <c:lblOffset val="100"/>
        <c:noMultiLvlLbl val="0"/>
      </c:catAx>
      <c:valAx>
        <c:axId val="88665596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60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 (Reported)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Azure!$A$14</c:f>
              <c:strCache>
                <c:ptCount val="1"/>
                <c:pt idx="0">
                  <c:v>AWS (cons. forecast)</c:v>
                </c:pt>
              </c:strCache>
            </c:strRef>
          </c:tx>
          <c:spPr>
            <a:ln w="28575" cap="rnd">
              <a:solidFill>
                <a:schemeClr val="accent1"/>
              </a:solidFill>
              <a:round/>
            </a:ln>
            <a:effectLst/>
          </c:spPr>
          <c:marker>
            <c:symbol val="none"/>
          </c:marker>
          <c:cat>
            <c:strRef>
              <c:f>Azure!$Z$5:$AU$5</c:f>
              <c:strCache>
                <c:ptCount val="22"/>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strCache>
            </c:strRef>
          </c:cat>
          <c:val>
            <c:numRef>
              <c:f>Azure!$B$14:$AU$14</c:f>
              <c:numCache>
                <c:formatCode>_(* #,##0%_);_(* \(#,##0%\);_(* "-"?_);_(* @_)</c:formatCode>
                <c:ptCount val="22"/>
                <c:pt idx="0">
                  <c:v>0.41418596104373395</c:v>
                </c:pt>
                <c:pt idx="1">
                  <c:v>0.37280917280917292</c:v>
                </c:pt>
                <c:pt idx="2">
                  <c:v>0.34675849678095516</c:v>
                </c:pt>
                <c:pt idx="3">
                  <c:v>0.33970390309555865</c:v>
                </c:pt>
                <c:pt idx="4">
                  <c:v>0.32783264033264037</c:v>
                </c:pt>
                <c:pt idx="5">
                  <c:v>0.28958358191146649</c:v>
                </c:pt>
                <c:pt idx="6">
                  <c:v>0.28971650917176217</c:v>
                </c:pt>
                <c:pt idx="7">
                  <c:v>0.28008840667068524</c:v>
                </c:pt>
                <c:pt idx="8">
                  <c:v>0.32136216850963883</c:v>
                </c:pt>
                <c:pt idx="9">
                  <c:v>0.37018874907475952</c:v>
                </c:pt>
                <c:pt idx="10">
                  <c:v>0.3886733902249806</c:v>
                </c:pt>
                <c:pt idx="11">
                  <c:v>0.39538533982106427</c:v>
                </c:pt>
                <c:pt idx="12">
                  <c:v>0.36569651188624741</c:v>
                </c:pt>
                <c:pt idx="13">
                  <c:v>0.33290566547369838</c:v>
                </c:pt>
                <c:pt idx="14">
                  <c:v>0.27486033519553077</c:v>
                </c:pt>
                <c:pt idx="15">
                  <c:v>0.20236220472440936</c:v>
                </c:pt>
                <c:pt idx="16">
                  <c:v>0.157963234097934</c:v>
                </c:pt>
                <c:pt idx="17">
                  <c:v>0.12163736764780375</c:v>
                </c:pt>
                <c:pt idx="18">
                  <c:v>0.1227480767358069</c:v>
                </c:pt>
                <c:pt idx="19">
                  <c:v>0.13219197305641317</c:v>
                </c:pt>
                <c:pt idx="20">
                  <c:v>0.17247354125690739</c:v>
                </c:pt>
                <c:pt idx="21">
                  <c:v>0.17346431797651318</c:v>
                </c:pt>
              </c:numCache>
            </c:numRef>
          </c:val>
          <c:smooth val="0"/>
          <c:extLst>
            <c:ext xmlns:c16="http://schemas.microsoft.com/office/drawing/2014/chart" uri="{C3380CC4-5D6E-409C-BE32-E72D297353CC}">
              <c16:uniqueId val="{00000000-5539-4B60-9310-681ADF75FFE3}"/>
            </c:ext>
          </c:extLst>
        </c:ser>
        <c:ser>
          <c:idx val="1"/>
          <c:order val="1"/>
          <c:tx>
            <c:strRef>
              <c:f>Azure!$A$15</c:f>
              <c:strCache>
                <c:ptCount val="1"/>
                <c:pt idx="0">
                  <c:v>Azure</c:v>
                </c:pt>
              </c:strCache>
            </c:strRef>
          </c:tx>
          <c:spPr>
            <a:ln w="28575" cap="rnd">
              <a:solidFill>
                <a:schemeClr val="accent2"/>
              </a:solidFill>
              <a:round/>
            </a:ln>
            <a:effectLst/>
          </c:spPr>
          <c:marker>
            <c:symbol val="none"/>
          </c:marker>
          <c:cat>
            <c:strRef>
              <c:f>Azure!$Z$5:$AU$5</c:f>
              <c:strCache>
                <c:ptCount val="22"/>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strCache>
            </c:strRef>
          </c:cat>
          <c:val>
            <c:numRef>
              <c:f>Azure!$B$15:$AU$15</c:f>
              <c:numCache>
                <c:formatCode>_(* #,##0%_);_(* \(#,##0%\);_(* "-"?_);_(* @_)</c:formatCode>
                <c:ptCount val="22"/>
                <c:pt idx="0">
                  <c:v>0.73101723752948167</c:v>
                </c:pt>
                <c:pt idx="1">
                  <c:v>0.62667597347516368</c:v>
                </c:pt>
                <c:pt idx="2">
                  <c:v>0.59085230064168881</c:v>
                </c:pt>
                <c:pt idx="3">
                  <c:v>0.62009799992947956</c:v>
                </c:pt>
                <c:pt idx="4">
                  <c:v>0.58821175943955106</c:v>
                </c:pt>
                <c:pt idx="5">
                  <c:v>0.46824697555649819</c:v>
                </c:pt>
                <c:pt idx="6">
                  <c:v>0.47916296898311139</c:v>
                </c:pt>
                <c:pt idx="7">
                  <c:v>0.49952745622344996</c:v>
                </c:pt>
                <c:pt idx="8">
                  <c:v>0.49775582341590807</c:v>
                </c:pt>
                <c:pt idx="9">
                  <c:v>0.51127678584879188</c:v>
                </c:pt>
                <c:pt idx="10">
                  <c:v>0.49958628868543009</c:v>
                </c:pt>
                <c:pt idx="11">
                  <c:v>0.45874303578955766</c:v>
                </c:pt>
                <c:pt idx="12">
                  <c:v>0.45444483269312119</c:v>
                </c:pt>
                <c:pt idx="13">
                  <c:v>0.39464350961882055</c:v>
                </c:pt>
                <c:pt idx="14">
                  <c:v>0.34670453701846027</c:v>
                </c:pt>
                <c:pt idx="15">
                  <c:v>0.3138223748487583</c:v>
                </c:pt>
                <c:pt idx="16">
                  <c:v>0.27</c:v>
                </c:pt>
                <c:pt idx="17">
                  <c:v>0.26</c:v>
                </c:pt>
                <c:pt idx="18">
                  <c:v>0.29000000000000004</c:v>
                </c:pt>
                <c:pt idx="19">
                  <c:v>0.30000000000000004</c:v>
                </c:pt>
                <c:pt idx="20">
                  <c:v>0.31000000000000005</c:v>
                </c:pt>
                <c:pt idx="21">
                  <c:v>0.29000000000000004</c:v>
                </c:pt>
              </c:numCache>
            </c:numRef>
          </c:val>
          <c:smooth val="0"/>
          <c:extLst>
            <c:ext xmlns:c16="http://schemas.microsoft.com/office/drawing/2014/chart" uri="{C3380CC4-5D6E-409C-BE32-E72D297353CC}">
              <c16:uniqueId val="{00000001-5539-4B60-9310-681ADF75FFE3}"/>
            </c:ext>
          </c:extLst>
        </c:ser>
        <c:ser>
          <c:idx val="2"/>
          <c:order val="2"/>
          <c:tx>
            <c:strRef>
              <c:f>Azure!$A$16</c:f>
              <c:strCache>
                <c:ptCount val="1"/>
                <c:pt idx="0">
                  <c:v>Google Cloud (cons. forecast)</c:v>
                </c:pt>
              </c:strCache>
            </c:strRef>
          </c:tx>
          <c:spPr>
            <a:ln w="28575" cap="rnd">
              <a:solidFill>
                <a:schemeClr val="accent3"/>
              </a:solidFill>
              <a:round/>
            </a:ln>
            <a:effectLst/>
          </c:spPr>
          <c:marker>
            <c:symbol val="none"/>
          </c:marker>
          <c:cat>
            <c:strRef>
              <c:f>Azure!$Z$5:$AU$5</c:f>
              <c:strCache>
                <c:ptCount val="22"/>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strCache>
            </c:strRef>
          </c:cat>
          <c:val>
            <c:numRef>
              <c:f>Azure!$Z$16:$AU$16</c:f>
              <c:numCache>
                <c:formatCode>_(* #,##0%_);_(* \(#,##0%\);_(* "-"?_);_(* @_)</c:formatCode>
                <c:ptCount val="22"/>
                <c:pt idx="3">
                  <c:v>0.529549444119368</c:v>
                </c:pt>
                <c:pt idx="4">
                  <c:v>0.52164383561643834</c:v>
                </c:pt>
                <c:pt idx="5">
                  <c:v>0.43190476190476201</c:v>
                </c:pt>
                <c:pt idx="6">
                  <c:v>0.44766708701134927</c:v>
                </c:pt>
                <c:pt idx="7">
                  <c:v>0.46557000765110934</c:v>
                </c:pt>
                <c:pt idx="8">
                  <c:v>0.4573280518545193</c:v>
                </c:pt>
                <c:pt idx="9">
                  <c:v>0.53907549052211512</c:v>
                </c:pt>
                <c:pt idx="10">
                  <c:v>0.44889663182346107</c:v>
                </c:pt>
                <c:pt idx="11">
                  <c:v>0.44635865309318712</c:v>
                </c:pt>
                <c:pt idx="12">
                  <c:v>0.4383493946132937</c:v>
                </c:pt>
                <c:pt idx="13">
                  <c:v>0.35609334485738975</c:v>
                </c:pt>
                <c:pt idx="14">
                  <c:v>0.37635270541082155</c:v>
                </c:pt>
                <c:pt idx="15">
                  <c:v>0.3201588160981772</c:v>
                </c:pt>
                <c:pt idx="16">
                  <c:v>0.28053599037965982</c:v>
                </c:pt>
                <c:pt idx="17">
                  <c:v>0.2796367112810707</c:v>
                </c:pt>
                <c:pt idx="18">
                  <c:v>0.22466511357018049</c:v>
                </c:pt>
                <c:pt idx="19">
                  <c:v>0.25659603554340404</c:v>
                </c:pt>
                <c:pt idx="20">
                  <c:v>0.28441105446740012</c:v>
                </c:pt>
                <c:pt idx="21">
                  <c:v>0.24990661187896901</c:v>
                </c:pt>
              </c:numCache>
            </c:numRef>
          </c:val>
          <c:smooth val="0"/>
          <c:extLst>
            <c:ext xmlns:c16="http://schemas.microsoft.com/office/drawing/2014/chart" uri="{C3380CC4-5D6E-409C-BE32-E72D297353CC}">
              <c16:uniqueId val="{00000002-5539-4B60-9310-681ADF75FFE3}"/>
            </c:ext>
          </c:extLst>
        </c:ser>
        <c:dLbls>
          <c:showLegendKey val="0"/>
          <c:showVal val="0"/>
          <c:showCatName val="0"/>
          <c:showSerName val="0"/>
          <c:showPercent val="0"/>
          <c:showBubbleSize val="0"/>
        </c:dLbls>
        <c:smooth val="0"/>
        <c:axId val="886660543"/>
        <c:axId val="886655967"/>
      </c:lineChart>
      <c:catAx>
        <c:axId val="88666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55967"/>
        <c:crosses val="autoZero"/>
        <c:auto val="1"/>
        <c:lblAlgn val="ctr"/>
        <c:lblOffset val="100"/>
        <c:noMultiLvlLbl val="0"/>
      </c:catAx>
      <c:valAx>
        <c:axId val="88665596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60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 (ex-FX)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Azure!$A$24</c:f>
              <c:strCache>
                <c:ptCount val="1"/>
                <c:pt idx="0">
                  <c:v>AWS (cons. forecast)</c:v>
                </c:pt>
              </c:strCache>
            </c:strRef>
          </c:tx>
          <c:spPr>
            <a:ln w="28575" cap="rnd">
              <a:solidFill>
                <a:schemeClr val="accent1"/>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Azure!$B$24:$AY$24</c:f>
              <c:numCache>
                <c:formatCode>_(* #,##0%_);_(* \(#,##0%\);_(* "-"?_);_(* @_)</c:formatCode>
                <c:ptCount val="26"/>
                <c:pt idx="0">
                  <c:v>0.42</c:v>
                </c:pt>
                <c:pt idx="1">
                  <c:v>0.37</c:v>
                </c:pt>
                <c:pt idx="2">
                  <c:v>0.35</c:v>
                </c:pt>
                <c:pt idx="3">
                  <c:v>0.34</c:v>
                </c:pt>
                <c:pt idx="4">
                  <c:v>0.33</c:v>
                </c:pt>
                <c:pt idx="5">
                  <c:v>0.28999999999999998</c:v>
                </c:pt>
                <c:pt idx="6">
                  <c:v>0.28999999999999998</c:v>
                </c:pt>
                <c:pt idx="7">
                  <c:v>0.28000000000000003</c:v>
                </c:pt>
                <c:pt idx="8">
                  <c:v>0.32</c:v>
                </c:pt>
                <c:pt idx="9">
                  <c:v>0.37</c:v>
                </c:pt>
                <c:pt idx="10">
                  <c:v>0.39</c:v>
                </c:pt>
                <c:pt idx="11">
                  <c:v>0.4</c:v>
                </c:pt>
                <c:pt idx="12">
                  <c:v>0.37</c:v>
                </c:pt>
                <c:pt idx="13">
                  <c:v>0.33</c:v>
                </c:pt>
                <c:pt idx="14">
                  <c:v>0.28000000000000003</c:v>
                </c:pt>
                <c:pt idx="15">
                  <c:v>0.2</c:v>
                </c:pt>
                <c:pt idx="16">
                  <c:v>0.157963234097934</c:v>
                </c:pt>
                <c:pt idx="17">
                  <c:v>0.12163736764780375</c:v>
                </c:pt>
                <c:pt idx="18">
                  <c:v>0.1227480767358069</c:v>
                </c:pt>
                <c:pt idx="19">
                  <c:v>0.13219197305641317</c:v>
                </c:pt>
                <c:pt idx="20">
                  <c:v>0.17247354125690739</c:v>
                </c:pt>
                <c:pt idx="21">
                  <c:v>0.17346431797651318</c:v>
                </c:pt>
                <c:pt idx="22">
                  <c:v>0.17835552278936651</c:v>
                </c:pt>
                <c:pt idx="23">
                  <c:v>0.1821888943976202</c:v>
                </c:pt>
                <c:pt idx="24">
                  <c:v>0.18036905380037549</c:v>
                </c:pt>
                <c:pt idx="25">
                  <c:v>0.18138219048902071</c:v>
                </c:pt>
              </c:numCache>
            </c:numRef>
          </c:val>
          <c:smooth val="0"/>
          <c:extLst>
            <c:ext xmlns:c16="http://schemas.microsoft.com/office/drawing/2014/chart" uri="{C3380CC4-5D6E-409C-BE32-E72D297353CC}">
              <c16:uniqueId val="{00000000-5539-4B60-9310-681ADF75FFE3}"/>
            </c:ext>
          </c:extLst>
        </c:ser>
        <c:ser>
          <c:idx val="1"/>
          <c:order val="1"/>
          <c:tx>
            <c:strRef>
              <c:f>Azure!$A$25</c:f>
              <c:strCache>
                <c:ptCount val="1"/>
                <c:pt idx="0">
                  <c:v>Azure</c:v>
                </c:pt>
              </c:strCache>
            </c:strRef>
          </c:tx>
          <c:spPr>
            <a:ln w="28575" cap="rnd">
              <a:solidFill>
                <a:schemeClr val="accent2"/>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Azure!$B$25:$AY$25</c:f>
              <c:numCache>
                <c:formatCode>_(* #,##0%_);_(* \(#,##0%\);_(* "-"?_);_(* @_)</c:formatCode>
                <c:ptCount val="26"/>
                <c:pt idx="0">
                  <c:v>0.75</c:v>
                </c:pt>
                <c:pt idx="1">
                  <c:v>0.68</c:v>
                </c:pt>
                <c:pt idx="2">
                  <c:v>0.63</c:v>
                </c:pt>
                <c:pt idx="3">
                  <c:v>0.64</c:v>
                </c:pt>
                <c:pt idx="4">
                  <c:v>0.61</c:v>
                </c:pt>
                <c:pt idx="5">
                  <c:v>0.5</c:v>
                </c:pt>
                <c:pt idx="6">
                  <c:v>0.47</c:v>
                </c:pt>
                <c:pt idx="7">
                  <c:v>0.48</c:v>
                </c:pt>
                <c:pt idx="8">
                  <c:v>0.46</c:v>
                </c:pt>
                <c:pt idx="9">
                  <c:v>0.45</c:v>
                </c:pt>
                <c:pt idx="10">
                  <c:v>0.48</c:v>
                </c:pt>
                <c:pt idx="11">
                  <c:v>0.46</c:v>
                </c:pt>
                <c:pt idx="12">
                  <c:v>0.49</c:v>
                </c:pt>
                <c:pt idx="13">
                  <c:v>0.46</c:v>
                </c:pt>
                <c:pt idx="14">
                  <c:v>0.42</c:v>
                </c:pt>
                <c:pt idx="15">
                  <c:v>0.38</c:v>
                </c:pt>
                <c:pt idx="16">
                  <c:v>0.31</c:v>
                </c:pt>
                <c:pt idx="17">
                  <c:v>0.27</c:v>
                </c:pt>
                <c:pt idx="18">
                  <c:v>0.28000000000000003</c:v>
                </c:pt>
                <c:pt idx="19">
                  <c:v>0.28000000000000003</c:v>
                </c:pt>
                <c:pt idx="20">
                  <c:v>0.31</c:v>
                </c:pt>
                <c:pt idx="21">
                  <c:v>0.3</c:v>
                </c:pt>
                <c:pt idx="22">
                  <c:v>0.28999999999999998</c:v>
                </c:pt>
                <c:pt idx="23">
                  <c:v>0.28999999999999998</c:v>
                </c:pt>
                <c:pt idx="24">
                  <c:v>0.3</c:v>
                </c:pt>
                <c:pt idx="25">
                  <c:v>0.3</c:v>
                </c:pt>
              </c:numCache>
            </c:numRef>
          </c:val>
          <c:smooth val="0"/>
          <c:extLst>
            <c:ext xmlns:c16="http://schemas.microsoft.com/office/drawing/2014/chart" uri="{C3380CC4-5D6E-409C-BE32-E72D297353CC}">
              <c16:uniqueId val="{00000001-5539-4B60-9310-681ADF75FFE3}"/>
            </c:ext>
          </c:extLst>
        </c:ser>
        <c:dLbls>
          <c:showLegendKey val="0"/>
          <c:showVal val="0"/>
          <c:showCatName val="0"/>
          <c:showSerName val="0"/>
          <c:showPercent val="0"/>
          <c:showBubbleSize val="0"/>
        </c:dLbls>
        <c:smooth val="0"/>
        <c:axId val="886660543"/>
        <c:axId val="886655967"/>
      </c:lineChart>
      <c:catAx>
        <c:axId val="88666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55967"/>
        <c:crosses val="autoZero"/>
        <c:auto val="1"/>
        <c:lblAlgn val="ctr"/>
        <c:lblOffset val="100"/>
        <c:noMultiLvlLbl val="0"/>
      </c:catAx>
      <c:valAx>
        <c:axId val="88665596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60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 2 yr Stack (ex-FX)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Azure!$A$29</c:f>
              <c:strCache>
                <c:ptCount val="1"/>
                <c:pt idx="0">
                  <c:v>AWS (cons. forecast)</c:v>
                </c:pt>
              </c:strCache>
            </c:strRef>
          </c:tx>
          <c:spPr>
            <a:ln w="28575" cap="rnd">
              <a:solidFill>
                <a:schemeClr val="accent1"/>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Azure!$B$29:$AY$29</c:f>
              <c:numCache>
                <c:formatCode>_(* #,##0%_);_(* \(#,##0%\);_(* "-"?_);_(* @_)</c:formatCode>
                <c:ptCount val="26"/>
                <c:pt idx="0">
                  <c:v>0.90999999999999992</c:v>
                </c:pt>
                <c:pt idx="1">
                  <c:v>0.86</c:v>
                </c:pt>
                <c:pt idx="2">
                  <c:v>0.81</c:v>
                </c:pt>
                <c:pt idx="3">
                  <c:v>0.8</c:v>
                </c:pt>
                <c:pt idx="4">
                  <c:v>0.75</c:v>
                </c:pt>
                <c:pt idx="5">
                  <c:v>0.65999999999999992</c:v>
                </c:pt>
                <c:pt idx="6">
                  <c:v>0.6399999999999999</c:v>
                </c:pt>
                <c:pt idx="7">
                  <c:v>0.62000000000000011</c:v>
                </c:pt>
                <c:pt idx="8">
                  <c:v>0.65</c:v>
                </c:pt>
                <c:pt idx="9">
                  <c:v>0.65999999999999992</c:v>
                </c:pt>
                <c:pt idx="10">
                  <c:v>0.67999999999999994</c:v>
                </c:pt>
                <c:pt idx="11">
                  <c:v>0.68</c:v>
                </c:pt>
                <c:pt idx="12">
                  <c:v>0.69</c:v>
                </c:pt>
                <c:pt idx="13">
                  <c:v>0.7</c:v>
                </c:pt>
                <c:pt idx="14">
                  <c:v>0.67</c:v>
                </c:pt>
                <c:pt idx="15">
                  <c:v>0.60000000000000009</c:v>
                </c:pt>
                <c:pt idx="16">
                  <c:v>0.527963234097934</c:v>
                </c:pt>
                <c:pt idx="17">
                  <c:v>0.45163736764780377</c:v>
                </c:pt>
                <c:pt idx="18">
                  <c:v>0.40274807673580693</c:v>
                </c:pt>
                <c:pt idx="19">
                  <c:v>0.33219197305641318</c:v>
                </c:pt>
                <c:pt idx="20">
                  <c:v>0.33043677535484139</c:v>
                </c:pt>
                <c:pt idx="21">
                  <c:v>0.29510168562431693</c:v>
                </c:pt>
                <c:pt idx="22">
                  <c:v>0.3011035995251734</c:v>
                </c:pt>
                <c:pt idx="23">
                  <c:v>0.31438086745403337</c:v>
                </c:pt>
                <c:pt idx="24">
                  <c:v>0.35284259505728288</c:v>
                </c:pt>
                <c:pt idx="25">
                  <c:v>0.35484650846553389</c:v>
                </c:pt>
              </c:numCache>
            </c:numRef>
          </c:val>
          <c:smooth val="0"/>
          <c:extLst>
            <c:ext xmlns:c16="http://schemas.microsoft.com/office/drawing/2014/chart" uri="{C3380CC4-5D6E-409C-BE32-E72D297353CC}">
              <c16:uniqueId val="{00000000-5539-4B60-9310-681ADF75FFE3}"/>
            </c:ext>
          </c:extLst>
        </c:ser>
        <c:ser>
          <c:idx val="1"/>
          <c:order val="1"/>
          <c:tx>
            <c:strRef>
              <c:f>Azure!$A$30</c:f>
              <c:strCache>
                <c:ptCount val="1"/>
                <c:pt idx="0">
                  <c:v>Azure</c:v>
                </c:pt>
              </c:strCache>
            </c:strRef>
          </c:tx>
          <c:spPr>
            <a:ln w="28575" cap="rnd">
              <a:solidFill>
                <a:schemeClr val="accent2"/>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Azure!$B$30:$AY$30</c:f>
              <c:numCache>
                <c:formatCode>_(* #,##0%_);_(* \(#,##0%\);_(* "-"?_);_(* @_)</c:formatCode>
                <c:ptCount val="26"/>
                <c:pt idx="0">
                  <c:v>1.6400000000000001</c:v>
                </c:pt>
                <c:pt idx="1">
                  <c:v>1.53</c:v>
                </c:pt>
                <c:pt idx="2">
                  <c:v>1.3900000000000001</c:v>
                </c:pt>
                <c:pt idx="3">
                  <c:v>1.4</c:v>
                </c:pt>
                <c:pt idx="4">
                  <c:v>1.3599999999999999</c:v>
                </c:pt>
                <c:pt idx="5">
                  <c:v>1.1800000000000002</c:v>
                </c:pt>
                <c:pt idx="6">
                  <c:v>1.1000000000000001</c:v>
                </c:pt>
                <c:pt idx="7">
                  <c:v>1.1200000000000001</c:v>
                </c:pt>
                <c:pt idx="8">
                  <c:v>1.07</c:v>
                </c:pt>
                <c:pt idx="9">
                  <c:v>0.95</c:v>
                </c:pt>
                <c:pt idx="10">
                  <c:v>0.95</c:v>
                </c:pt>
                <c:pt idx="11">
                  <c:v>0.94</c:v>
                </c:pt>
                <c:pt idx="12">
                  <c:v>0.95</c:v>
                </c:pt>
                <c:pt idx="13">
                  <c:v>0.91</c:v>
                </c:pt>
                <c:pt idx="14">
                  <c:v>0.89999999999999991</c:v>
                </c:pt>
                <c:pt idx="15">
                  <c:v>0.84000000000000008</c:v>
                </c:pt>
                <c:pt idx="16">
                  <c:v>0.8</c:v>
                </c:pt>
                <c:pt idx="17">
                  <c:v>0.73</c:v>
                </c:pt>
                <c:pt idx="18">
                  <c:v>0.7</c:v>
                </c:pt>
                <c:pt idx="19">
                  <c:v>0.66</c:v>
                </c:pt>
                <c:pt idx="20">
                  <c:v>0.62</c:v>
                </c:pt>
                <c:pt idx="21">
                  <c:v>0.57000000000000006</c:v>
                </c:pt>
                <c:pt idx="22">
                  <c:v>0.57000000000000006</c:v>
                </c:pt>
                <c:pt idx="23">
                  <c:v>0.57000000000000006</c:v>
                </c:pt>
                <c:pt idx="24">
                  <c:v>0.61</c:v>
                </c:pt>
                <c:pt idx="25">
                  <c:v>0.6</c:v>
                </c:pt>
              </c:numCache>
            </c:numRef>
          </c:val>
          <c:smooth val="0"/>
          <c:extLst>
            <c:ext xmlns:c16="http://schemas.microsoft.com/office/drawing/2014/chart" uri="{C3380CC4-5D6E-409C-BE32-E72D297353CC}">
              <c16:uniqueId val="{00000001-5539-4B60-9310-681ADF75FFE3}"/>
            </c:ext>
          </c:extLst>
        </c:ser>
        <c:dLbls>
          <c:showLegendKey val="0"/>
          <c:showVal val="0"/>
          <c:showCatName val="0"/>
          <c:showSerName val="0"/>
          <c:showPercent val="0"/>
          <c:showBubbleSize val="0"/>
        </c:dLbls>
        <c:smooth val="0"/>
        <c:axId val="886660543"/>
        <c:axId val="886655967"/>
      </c:lineChart>
      <c:catAx>
        <c:axId val="88666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55967"/>
        <c:crosses val="autoZero"/>
        <c:auto val="1"/>
        <c:lblAlgn val="ctr"/>
        <c:lblOffset val="100"/>
        <c:noMultiLvlLbl val="0"/>
      </c:catAx>
      <c:valAx>
        <c:axId val="88665596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60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QoQ $ Added ($M)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Azure!$A$44</c:f>
              <c:strCache>
                <c:ptCount val="1"/>
                <c:pt idx="0">
                  <c:v>AWS (cons. forecast)</c:v>
                </c:pt>
              </c:strCache>
            </c:strRef>
          </c:tx>
          <c:spPr>
            <a:ln w="28575" cap="rnd">
              <a:solidFill>
                <a:schemeClr val="accent1"/>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Azure!$C$44:$AY$44</c:f>
              <c:numCache>
                <c:formatCode>#,##0_);[Red]\(#,##0\)</c:formatCode>
                <c:ptCount val="26"/>
                <c:pt idx="0">
                  <c:v>266</c:v>
                </c:pt>
                <c:pt idx="1">
                  <c:v>685</c:v>
                </c:pt>
                <c:pt idx="2">
                  <c:v>614</c:v>
                </c:pt>
                <c:pt idx="3">
                  <c:v>959</c:v>
                </c:pt>
                <c:pt idx="4">
                  <c:v>265</c:v>
                </c:pt>
                <c:pt idx="5">
                  <c:v>589</c:v>
                </c:pt>
                <c:pt idx="6">
                  <c:v>793</c:v>
                </c:pt>
                <c:pt idx="7">
                  <c:v>1141</c:v>
                </c:pt>
                <c:pt idx="8">
                  <c:v>761</c:v>
                </c:pt>
                <c:pt idx="9">
                  <c:v>1306</c:v>
                </c:pt>
                <c:pt idx="10">
                  <c:v>1301</c:v>
                </c:pt>
                <c:pt idx="11">
                  <c:v>1670</c:v>
                </c:pt>
                <c:pt idx="12">
                  <c:v>661</c:v>
                </c:pt>
                <c:pt idx="13">
                  <c:v>1298</c:v>
                </c:pt>
                <c:pt idx="14">
                  <c:v>799</c:v>
                </c:pt>
                <c:pt idx="15">
                  <c:v>840</c:v>
                </c:pt>
                <c:pt idx="16">
                  <c:v>-24</c:v>
                </c:pt>
                <c:pt idx="17">
                  <c:v>786</c:v>
                </c:pt>
                <c:pt idx="18">
                  <c:v>919</c:v>
                </c:pt>
                <c:pt idx="19">
                  <c:v>1145</c:v>
                </c:pt>
                <c:pt idx="20">
                  <c:v>833</c:v>
                </c:pt>
                <c:pt idx="21">
                  <c:v>943.5</c:v>
                </c:pt>
                <c:pt idx="22">
                  <c:v>1191.2000000000007</c:v>
                </c:pt>
                <c:pt idx="23">
                  <c:v>1442</c:v>
                </c:pt>
                <c:pt idx="24">
                  <c:v>939.20000000000073</c:v>
                </c:pt>
                <c:pt idx="25">
                  <c:v>1140</c:v>
                </c:pt>
              </c:numCache>
            </c:numRef>
          </c:val>
          <c:smooth val="0"/>
          <c:extLst>
            <c:ext xmlns:c16="http://schemas.microsoft.com/office/drawing/2014/chart" uri="{C3380CC4-5D6E-409C-BE32-E72D297353CC}">
              <c16:uniqueId val="{00000000-5539-4B60-9310-681ADF75FFE3}"/>
            </c:ext>
          </c:extLst>
        </c:ser>
        <c:ser>
          <c:idx val="1"/>
          <c:order val="1"/>
          <c:tx>
            <c:strRef>
              <c:f>Azure!$A$45</c:f>
              <c:strCache>
                <c:ptCount val="1"/>
                <c:pt idx="0">
                  <c:v>Azure</c:v>
                </c:pt>
              </c:strCache>
            </c:strRef>
          </c:tx>
          <c:spPr>
            <a:ln w="28575" cap="rnd">
              <a:solidFill>
                <a:schemeClr val="accent2"/>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Azure!$B$45:$AY$45</c:f>
              <c:numCache>
                <c:formatCode>#,##0_);[Red]\(#,##0\)</c:formatCode>
                <c:ptCount val="26"/>
                <c:pt idx="0">
                  <c:v>323.37342687707041</c:v>
                </c:pt>
                <c:pt idx="1">
                  <c:v>720.04529574936305</c:v>
                </c:pt>
                <c:pt idx="2">
                  <c:v>295.01299147740383</c:v>
                </c:pt>
                <c:pt idx="3">
                  <c:v>509.48402717109548</c:v>
                </c:pt>
                <c:pt idx="4">
                  <c:v>418.56326383545002</c:v>
                </c:pt>
                <c:pt idx="5">
                  <c:v>660.91126319417344</c:v>
                </c:pt>
                <c:pt idx="6">
                  <c:v>480.29232192385734</c:v>
                </c:pt>
                <c:pt idx="7">
                  <c:v>851.92871316518631</c:v>
                </c:pt>
                <c:pt idx="8">
                  <c:v>618.35220424259114</c:v>
                </c:pt>
                <c:pt idx="9">
                  <c:v>1069.7578119047585</c:v>
                </c:pt>
                <c:pt idx="10">
                  <c:v>651.17900450736488</c:v>
                </c:pt>
                <c:pt idx="11">
                  <c:v>981.84978075025901</c:v>
                </c:pt>
                <c:pt idx="12">
                  <c:v>868.24168423718947</c:v>
                </c:pt>
                <c:pt idx="13">
                  <c:v>1022.0118890750346</c:v>
                </c:pt>
                <c:pt idx="14">
                  <c:v>448.9580997290177</c:v>
                </c:pt>
                <c:pt idx="15">
                  <c:v>975</c:v>
                </c:pt>
                <c:pt idx="16">
                  <c:v>639.86811421885432</c:v>
                </c:pt>
                <c:pt idx="17">
                  <c:v>1173.444680122584</c:v>
                </c:pt>
                <c:pt idx="18">
                  <c:v>952.68720565856165</c:v>
                </c:pt>
                <c:pt idx="19">
                  <c:v>1396.5</c:v>
                </c:pt>
                <c:pt idx="20">
                  <c:v>976.97722962670014</c:v>
                </c:pt>
                <c:pt idx="21">
                  <c:v>1223.4462750737548</c:v>
                </c:pt>
                <c:pt idx="22">
                  <c:v>1317.0203232852255</c:v>
                </c:pt>
                <c:pt idx="23">
                  <c:v>2116.4401689603437</c:v>
                </c:pt>
                <c:pt idx="24">
                  <c:v>1362.2040996904798</c:v>
                </c:pt>
                <c:pt idx="25">
                  <c:v>1679.5226228192296</c:v>
                </c:pt>
              </c:numCache>
            </c:numRef>
          </c:val>
          <c:smooth val="0"/>
          <c:extLst>
            <c:ext xmlns:c16="http://schemas.microsoft.com/office/drawing/2014/chart" uri="{C3380CC4-5D6E-409C-BE32-E72D297353CC}">
              <c16:uniqueId val="{00000001-5539-4B60-9310-681ADF75FFE3}"/>
            </c:ext>
          </c:extLst>
        </c:ser>
        <c:ser>
          <c:idx val="2"/>
          <c:order val="2"/>
          <c:tx>
            <c:strRef>
              <c:f>Azure!$A$46</c:f>
              <c:strCache>
                <c:ptCount val="1"/>
                <c:pt idx="0">
                  <c:v>Google Cloud (cons. forecast)</c:v>
                </c:pt>
              </c:strCache>
            </c:strRef>
          </c:tx>
          <c:spPr>
            <a:ln w="28575" cap="rnd">
              <a:solidFill>
                <a:schemeClr val="accent3"/>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Azure!$B$46:$AY$46</c:f>
              <c:numCache>
                <c:formatCode>#,##0_);[Red]\(#,##0\)</c:formatCode>
                <c:ptCount val="26"/>
                <c:pt idx="0">
                  <c:v>116</c:v>
                </c:pt>
                <c:pt idx="1">
                  <c:v>275</c:v>
                </c:pt>
                <c:pt idx="2">
                  <c:v>279</c:v>
                </c:pt>
                <c:pt idx="3">
                  <c:v>235</c:v>
                </c:pt>
                <c:pt idx="4">
                  <c:v>163</c:v>
                </c:pt>
                <c:pt idx="5">
                  <c:v>230</c:v>
                </c:pt>
                <c:pt idx="6">
                  <c:v>437</c:v>
                </c:pt>
                <c:pt idx="7">
                  <c:v>387</c:v>
                </c:pt>
                <c:pt idx="8">
                  <c:v>216</c:v>
                </c:pt>
                <c:pt idx="9">
                  <c:v>581</c:v>
                </c:pt>
                <c:pt idx="10">
                  <c:v>362</c:v>
                </c:pt>
                <c:pt idx="11">
                  <c:v>551</c:v>
                </c:pt>
                <c:pt idx="12">
                  <c:v>280</c:v>
                </c:pt>
                <c:pt idx="13">
                  <c:v>455</c:v>
                </c:pt>
                <c:pt idx="14">
                  <c:v>592</c:v>
                </c:pt>
                <c:pt idx="15">
                  <c:v>447</c:v>
                </c:pt>
                <c:pt idx="16" formatCode="#,##0_);\(#,##0\)">
                  <c:v>139</c:v>
                </c:pt>
                <c:pt idx="17">
                  <c:v>577</c:v>
                </c:pt>
                <c:pt idx="18">
                  <c:v>380</c:v>
                </c:pt>
                <c:pt idx="19">
                  <c:v>781</c:v>
                </c:pt>
                <c:pt idx="20" formatCode="#,##0_);\(#,##0\)">
                  <c:v>382</c:v>
                </c:pt>
                <c:pt idx="21">
                  <c:v>464</c:v>
                </c:pt>
                <c:pt idx="22">
                  <c:v>516</c:v>
                </c:pt>
                <c:pt idx="23">
                  <c:v>887</c:v>
                </c:pt>
                <c:pt idx="24">
                  <c:v>70</c:v>
                </c:pt>
                <c:pt idx="25">
                  <c:v>806</c:v>
                </c:pt>
              </c:numCache>
            </c:numRef>
          </c:val>
          <c:smooth val="0"/>
          <c:extLst>
            <c:ext xmlns:c16="http://schemas.microsoft.com/office/drawing/2014/chart" uri="{C3380CC4-5D6E-409C-BE32-E72D297353CC}">
              <c16:uniqueId val="{00000002-5539-4B60-9310-681ADF75FFE3}"/>
            </c:ext>
          </c:extLst>
        </c:ser>
        <c:dLbls>
          <c:showLegendKey val="0"/>
          <c:showVal val="0"/>
          <c:showCatName val="0"/>
          <c:showSerName val="0"/>
          <c:showPercent val="0"/>
          <c:showBubbleSize val="0"/>
        </c:dLbls>
        <c:smooth val="0"/>
        <c:axId val="886660543"/>
        <c:axId val="886655967"/>
      </c:lineChart>
      <c:catAx>
        <c:axId val="88666054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55967"/>
        <c:crosses val="autoZero"/>
        <c:auto val="1"/>
        <c:lblAlgn val="ctr"/>
        <c:lblOffset val="100"/>
        <c:noMultiLvlLbl val="0"/>
      </c:catAx>
      <c:valAx>
        <c:axId val="88665596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60543"/>
        <c:crosses val="autoZero"/>
        <c:crossBetween val="between"/>
      </c:valAx>
      <c:spPr>
        <a:noFill/>
        <a:ln>
          <a:noFill/>
        </a:ln>
        <a:effectLst/>
      </c:spPr>
    </c:plotArea>
    <c:legend>
      <c:legendPos val="b"/>
      <c:layout>
        <c:manualLayout>
          <c:xMode val="edge"/>
          <c:yMode val="edge"/>
          <c:x val="2.9650947492584581E-2"/>
          <c:y val="0.82955020338760632"/>
          <c:w val="0.92406807678830427"/>
          <c:h val="0.14371273873438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LTM $ Added ($M)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Azure!$A$54</c:f>
              <c:strCache>
                <c:ptCount val="1"/>
                <c:pt idx="0">
                  <c:v>AWS (cons. forecast)</c:v>
                </c:pt>
              </c:strCache>
            </c:strRef>
          </c:tx>
          <c:spPr>
            <a:ln w="28575" cap="rnd">
              <a:solidFill>
                <a:schemeClr val="accent1"/>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Azure!$B$54:$AY$54</c:f>
              <c:numCache>
                <c:formatCode>#,##0_);[Red]\(#,##0\)</c:formatCode>
                <c:ptCount val="26"/>
                <c:pt idx="0">
                  <c:v>2254</c:v>
                </c:pt>
                <c:pt idx="1">
                  <c:v>2276</c:v>
                </c:pt>
                <c:pt idx="2">
                  <c:v>2316</c:v>
                </c:pt>
                <c:pt idx="3">
                  <c:v>2524</c:v>
                </c:pt>
                <c:pt idx="4">
                  <c:v>2523</c:v>
                </c:pt>
                <c:pt idx="5">
                  <c:v>2427</c:v>
                </c:pt>
                <c:pt idx="6">
                  <c:v>2606</c:v>
                </c:pt>
                <c:pt idx="7">
                  <c:v>2788</c:v>
                </c:pt>
                <c:pt idx="8">
                  <c:v>3284</c:v>
                </c:pt>
                <c:pt idx="9">
                  <c:v>4001</c:v>
                </c:pt>
                <c:pt idx="10">
                  <c:v>4509</c:v>
                </c:pt>
                <c:pt idx="11">
                  <c:v>5038</c:v>
                </c:pt>
                <c:pt idx="12">
                  <c:v>4938</c:v>
                </c:pt>
                <c:pt idx="13">
                  <c:v>4930</c:v>
                </c:pt>
                <c:pt idx="14">
                  <c:v>4428</c:v>
                </c:pt>
                <c:pt idx="15">
                  <c:v>3598</c:v>
                </c:pt>
                <c:pt idx="16">
                  <c:v>2913</c:v>
                </c:pt>
                <c:pt idx="17">
                  <c:v>2401</c:v>
                </c:pt>
                <c:pt idx="18">
                  <c:v>2521</c:v>
                </c:pt>
                <c:pt idx="19">
                  <c:v>2826</c:v>
                </c:pt>
                <c:pt idx="20">
                  <c:v>3683</c:v>
                </c:pt>
                <c:pt idx="21">
                  <c:v>3840.5</c:v>
                </c:pt>
                <c:pt idx="22">
                  <c:v>4112.7000000000007</c:v>
                </c:pt>
                <c:pt idx="23">
                  <c:v>4409.7000000000007</c:v>
                </c:pt>
                <c:pt idx="24">
                  <c:v>4515.9000000000015</c:v>
                </c:pt>
                <c:pt idx="25">
                  <c:v>4712.4000000000015</c:v>
                </c:pt>
              </c:numCache>
            </c:numRef>
          </c:val>
          <c:smooth val="0"/>
          <c:extLst>
            <c:ext xmlns:c16="http://schemas.microsoft.com/office/drawing/2014/chart" uri="{C3380CC4-5D6E-409C-BE32-E72D297353CC}">
              <c16:uniqueId val="{00000000-5539-4B60-9310-681ADF75FFE3}"/>
            </c:ext>
          </c:extLst>
        </c:ser>
        <c:ser>
          <c:idx val="1"/>
          <c:order val="1"/>
          <c:tx>
            <c:strRef>
              <c:f>Azure!$A$55</c:f>
              <c:strCache>
                <c:ptCount val="1"/>
                <c:pt idx="0">
                  <c:v>Azure</c:v>
                </c:pt>
              </c:strCache>
            </c:strRef>
          </c:tx>
          <c:spPr>
            <a:ln w="28575" cap="rnd">
              <a:solidFill>
                <a:schemeClr val="accent2"/>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Azure!$B$55:$AY$55</c:f>
              <c:numCache>
                <c:formatCode>#,##0_);[Red]\(#,##0\)</c:formatCode>
                <c:ptCount val="26"/>
                <c:pt idx="0">
                  <c:v>1395.047262237789</c:v>
                </c:pt>
                <c:pt idx="1">
                  <c:v>1550.0344498375657</c:v>
                </c:pt>
                <c:pt idx="2">
                  <c:v>1603.9062181098498</c:v>
                </c:pt>
                <c:pt idx="3">
                  <c:v>1847.9157412749328</c:v>
                </c:pt>
                <c:pt idx="4">
                  <c:v>1943.1055782333124</c:v>
                </c:pt>
                <c:pt idx="5">
                  <c:v>1883.9715456781228</c:v>
                </c:pt>
                <c:pt idx="6">
                  <c:v>2069.2508761245763</c:v>
                </c:pt>
                <c:pt idx="7">
                  <c:v>2411.6955621186671</c:v>
                </c:pt>
                <c:pt idx="8">
                  <c:v>2611.4845025258082</c:v>
                </c:pt>
                <c:pt idx="9">
                  <c:v>3020.3310512363933</c:v>
                </c:pt>
                <c:pt idx="10">
                  <c:v>3191.2177338199008</c:v>
                </c:pt>
                <c:pt idx="11">
                  <c:v>3321.1388014049735</c:v>
                </c:pt>
                <c:pt idx="12">
                  <c:v>3571.0282813995718</c:v>
                </c:pt>
                <c:pt idx="13">
                  <c:v>3523.2823585698479</c:v>
                </c:pt>
                <c:pt idx="14">
                  <c:v>3321.0614537915008</c:v>
                </c:pt>
                <c:pt idx="15">
                  <c:v>3314.2116730412417</c:v>
                </c:pt>
                <c:pt idx="16">
                  <c:v>3085.8381030229066</c:v>
                </c:pt>
                <c:pt idx="17">
                  <c:v>3237.2708940704561</c:v>
                </c:pt>
                <c:pt idx="18">
                  <c:v>3741</c:v>
                </c:pt>
                <c:pt idx="19">
                  <c:v>4162.5</c:v>
                </c:pt>
                <c:pt idx="20">
                  <c:v>4499.6091154078458</c:v>
                </c:pt>
                <c:pt idx="21">
                  <c:v>4549.6107103590166</c:v>
                </c:pt>
                <c:pt idx="22">
                  <c:v>4913.9438279856804</c:v>
                </c:pt>
                <c:pt idx="23">
                  <c:v>5633.8839969460241</c:v>
                </c:pt>
                <c:pt idx="24">
                  <c:v>6019.1108670098038</c:v>
                </c:pt>
                <c:pt idx="25">
                  <c:v>6475.1872147552785</c:v>
                </c:pt>
              </c:numCache>
            </c:numRef>
          </c:val>
          <c:smooth val="0"/>
          <c:extLst>
            <c:ext xmlns:c16="http://schemas.microsoft.com/office/drawing/2014/chart" uri="{C3380CC4-5D6E-409C-BE32-E72D297353CC}">
              <c16:uniqueId val="{00000001-5539-4B60-9310-681ADF75FFE3}"/>
            </c:ext>
          </c:extLst>
        </c:ser>
        <c:ser>
          <c:idx val="2"/>
          <c:order val="2"/>
          <c:tx>
            <c:strRef>
              <c:f>Azure!$A$56</c:f>
              <c:strCache>
                <c:ptCount val="1"/>
                <c:pt idx="0">
                  <c:v>Google Cloud (cons. forecast)</c:v>
                </c:pt>
              </c:strCache>
            </c:strRef>
          </c:tx>
          <c:spPr>
            <a:ln w="28575" cap="rnd">
              <a:solidFill>
                <a:schemeClr val="accent3"/>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Azure!$B$56:$AY$56</c:f>
              <c:numCache>
                <c:formatCode>#,##0_);[Red]\(#,##0\)</c:formatCode>
                <c:ptCount val="26"/>
                <c:pt idx="3">
                  <c:v>905</c:v>
                </c:pt>
                <c:pt idx="4">
                  <c:v>952</c:v>
                </c:pt>
                <c:pt idx="5">
                  <c:v>907</c:v>
                </c:pt>
                <c:pt idx="6">
                  <c:v>1065</c:v>
                </c:pt>
                <c:pt idx="7">
                  <c:v>1217</c:v>
                </c:pt>
                <c:pt idx="8">
                  <c:v>1270</c:v>
                </c:pt>
                <c:pt idx="9">
                  <c:v>1621</c:v>
                </c:pt>
                <c:pt idx="10">
                  <c:v>1546</c:v>
                </c:pt>
                <c:pt idx="11">
                  <c:v>1710</c:v>
                </c:pt>
                <c:pt idx="12">
                  <c:v>1774</c:v>
                </c:pt>
                <c:pt idx="13">
                  <c:v>1648</c:v>
                </c:pt>
                <c:pt idx="14">
                  <c:v>1878</c:v>
                </c:pt>
                <c:pt idx="15">
                  <c:v>1774</c:v>
                </c:pt>
                <c:pt idx="16">
                  <c:v>1633</c:v>
                </c:pt>
                <c:pt idx="17">
                  <c:v>1755</c:v>
                </c:pt>
                <c:pt idx="18">
                  <c:v>1543</c:v>
                </c:pt>
                <c:pt idx="19">
                  <c:v>1877</c:v>
                </c:pt>
                <c:pt idx="20">
                  <c:v>2120</c:v>
                </c:pt>
                <c:pt idx="21">
                  <c:v>2007</c:v>
                </c:pt>
                <c:pt idx="22">
                  <c:v>2143</c:v>
                </c:pt>
                <c:pt idx="23">
                  <c:v>2249</c:v>
                </c:pt>
                <c:pt idx="24">
                  <c:v>1937</c:v>
                </c:pt>
                <c:pt idx="25">
                  <c:v>2279</c:v>
                </c:pt>
              </c:numCache>
            </c:numRef>
          </c:val>
          <c:smooth val="0"/>
          <c:extLst>
            <c:ext xmlns:c16="http://schemas.microsoft.com/office/drawing/2014/chart" uri="{C3380CC4-5D6E-409C-BE32-E72D297353CC}">
              <c16:uniqueId val="{00000002-5539-4B60-9310-681ADF75FFE3}"/>
            </c:ext>
          </c:extLst>
        </c:ser>
        <c:dLbls>
          <c:showLegendKey val="0"/>
          <c:showVal val="0"/>
          <c:showCatName val="0"/>
          <c:showSerName val="0"/>
          <c:showPercent val="0"/>
          <c:showBubbleSize val="0"/>
        </c:dLbls>
        <c:smooth val="0"/>
        <c:axId val="886660543"/>
        <c:axId val="886655967"/>
      </c:lineChart>
      <c:catAx>
        <c:axId val="88666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55967"/>
        <c:crosses val="autoZero"/>
        <c:auto val="1"/>
        <c:lblAlgn val="ctr"/>
        <c:lblOffset val="100"/>
        <c:noMultiLvlLbl val="0"/>
      </c:catAx>
      <c:valAx>
        <c:axId val="88665596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60543"/>
        <c:crosses val="autoZero"/>
        <c:crossBetween val="between"/>
      </c:valAx>
      <c:spPr>
        <a:noFill/>
        <a:ln>
          <a:noFill/>
        </a:ln>
        <a:effectLst/>
      </c:spPr>
    </c:plotArea>
    <c:legend>
      <c:legendPos val="b"/>
      <c:layout>
        <c:manualLayout>
          <c:xMode val="edge"/>
          <c:yMode val="edge"/>
          <c:x val="2.3609465430901189E-2"/>
          <c:y val="0.82955020338760632"/>
          <c:w val="0.93593717299151646"/>
          <c:h val="0.14371273873438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b="1"/>
              <a:t>PC Shipments vs. Windows</a:t>
            </a:r>
            <a:r>
              <a:rPr lang="en-US" sz="1200" b="1" baseline="0"/>
              <a:t> OEM </a:t>
            </a:r>
            <a:r>
              <a:rPr lang="en-US" sz="1200" b="1"/>
              <a:t>Revenue (LTM Growth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'Windows OEM'!$A$142:$B$142</c:f>
              <c:strCache>
                <c:ptCount val="2"/>
                <c:pt idx="0">
                  <c:v>LTM PC OEM Shipments (# in '000s)</c:v>
                </c:pt>
              </c:strCache>
            </c:strRef>
          </c:tx>
          <c:spPr>
            <a:ln w="28575" cap="rnd">
              <a:solidFill>
                <a:schemeClr val="accent1"/>
              </a:solidFill>
              <a:round/>
            </a:ln>
            <a:effectLst/>
          </c:spPr>
          <c:marker>
            <c:symbol val="none"/>
          </c:marker>
          <c:cat>
            <c:strRef>
              <c:f>'Windows OEM'!$C$141:$AR$141</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OEM'!$C$142:$AR$142</c:f>
              <c:numCache>
                <c:formatCode>_(* #,##0_);_(* \(#,##0\);_(* "-"_);_(@_)</c:formatCode>
                <c:ptCount val="34"/>
                <c:pt idx="5" formatCode="_(* #,##0%_);_(* \(#,##0%\);_(* &quot;-&quot;?_);_(* @_)">
                  <c:v>-1.0347465323179317E-2</c:v>
                </c:pt>
                <c:pt idx="6" formatCode="_(* #,##0%_);_(* \(#,##0%\);_(* &quot;-&quot;?_);_(* @_)">
                  <c:v>-3.442467468416921E-3</c:v>
                </c:pt>
                <c:pt idx="7" formatCode="_(* #,##0%_);_(* \(#,##0%\);_(* &quot;-&quot;?_);_(* @_)">
                  <c:v>-1.1659274769201367E-2</c:v>
                </c:pt>
                <c:pt idx="8" formatCode="_(* #,##0%_);_(* \(#,##0%\);_(* &quot;-&quot;?_);_(* @_)">
                  <c:v>-1.9120523163427383E-2</c:v>
                </c:pt>
                <c:pt idx="9" formatCode="_(* #,##0%_);_(* \(#,##0%\);_(* &quot;-&quot;?_);_(* @_)">
                  <c:v>-1.8636652667410325E-2</c:v>
                </c:pt>
                <c:pt idx="10" formatCode="_(* #,##0%_);_(* \(#,##0%\);_(* &quot;-&quot;?_);_(* @_)">
                  <c:v>-1.2490359087354852E-2</c:v>
                </c:pt>
                <c:pt idx="11" formatCode="_(* #,##0%_);_(* \(#,##0%\);_(* &quot;-&quot;?_);_(* @_)">
                  <c:v>1.1217491922573597E-2</c:v>
                </c:pt>
                <c:pt idx="12" formatCode="_(* #,##0%_);_(* \(#,##0%\);_(* &quot;-&quot;?_);_(* @_)">
                  <c:v>-5.7830165460478478E-3</c:v>
                </c:pt>
                <c:pt idx="13" formatCode="_(* #,##0%_);_(* \(#,##0%\);_(* &quot;-&quot;?_);_(* @_)">
                  <c:v>-2.6235904312279512E-3</c:v>
                </c:pt>
                <c:pt idx="14" formatCode="_(* #,##0%_);_(* \(#,##0%\);_(* &quot;-&quot;?_);_(* @_)">
                  <c:v>6.5072844577684918E-4</c:v>
                </c:pt>
                <c:pt idx="15" formatCode="_(* #,##0%_);_(* \(#,##0%\);_(* &quot;-&quot;?_);_(* @_)">
                  <c:v>1.785965962808822E-2</c:v>
                </c:pt>
                <c:pt idx="16" formatCode="_(* #,##0%_);_(* \(#,##0%\);_(* &quot;-&quot;?_);_(* @_)">
                  <c:v>0.17154234171845539</c:v>
                </c:pt>
                <c:pt idx="17" formatCode="_(* #,##0%_);_(* \(#,##0%\);_(* &quot;-&quot;?_);_(* @_)">
                  <c:v>0.23204656304972082</c:v>
                </c:pt>
                <c:pt idx="18" formatCode="_(* #,##0%_);_(* \(#,##0%\);_(* &quot;-&quot;?_);_(* @_)">
                  <c:v>0.27049386216610194</c:v>
                </c:pt>
                <c:pt idx="19" formatCode="_(* #,##0%_);_(* \(#,##0%\);_(* &quot;-&quot;?_);_(* @_)">
                  <c:v>0.27870479452362384</c:v>
                </c:pt>
                <c:pt idx="20" formatCode="_(* #,##0%_);_(* \(#,##0%\);_(* &quot;-&quot;?_);_(* @_)">
                  <c:v>0.12347590943923081</c:v>
                </c:pt>
                <c:pt idx="21" formatCode="_(* #,##0%_);_(* \(#,##0%\);_(* &quot;-&quot;?_);_(* @_)">
                  <c:v>2.8106238905556635E-2</c:v>
                </c:pt>
                <c:pt idx="22" formatCode="_(* #,##0%_);_(* \(#,##0%\);_(* &quot;-&quot;?_);_(* @_)">
                  <c:v>-6.2527252802300537E-2</c:v>
                </c:pt>
                <c:pt idx="23" formatCode="_(* #,##0%_);_(* \(#,##0%\);_(* &quot;-&quot;?_);_(* @_)">
                  <c:v>-0.17129371108278102</c:v>
                </c:pt>
                <c:pt idx="24" formatCode="_(* #,##0%_);_(* \(#,##0%\);_(* &quot;-&quot;?_);_(* @_)">
                  <c:v>-0.22491128704903995</c:v>
                </c:pt>
                <c:pt idx="25" formatCode="_(* #,##0%_);_(* \(#,##0%\);_(* &quot;-&quot;?_);_(* @_)">
                  <c:v>-0.23807806907683993</c:v>
                </c:pt>
                <c:pt idx="26" formatCode="_(* #,##0%_);_(* \(#,##0%\);_(* &quot;-&quot;?_);_(* @_)">
                  <c:v>-0.21732653603836427</c:v>
                </c:pt>
                <c:pt idx="27" formatCode="_(* #,##0%_);_(* \(#,##0%\);_(* &quot;-&quot;?_);_(* @_)">
                  <c:v>-0.14475690321304713</c:v>
                </c:pt>
                <c:pt idx="28" formatCode="_(* #,##0%_);_(* \(#,##0%\);_(* &quot;-&quot;?_);_(* @_)">
                  <c:v>-4.7601784390575497E-2</c:v>
                </c:pt>
                <c:pt idx="29" formatCode="_(* #,##0%_);_(* \(#,##0%\);_(* &quot;-&quot;?_);_(* @_)">
                  <c:v>9.8376901742869283E-3</c:v>
                </c:pt>
                <c:pt idx="30" formatCode="_(* #,##0%_);_(* \(#,##0%\);_(* &quot;-&quot;?_);_(* @_)">
                  <c:v>5.962740396089572E-2</c:v>
                </c:pt>
                <c:pt idx="31" formatCode="_(* #,##0%_);_(* \(#,##0%\);_(* &quot;-&quot;?_);_(* @_)">
                  <c:v>8.0254207743833517E-2</c:v>
                </c:pt>
                <c:pt idx="32" formatCode="_(* #,##0%_);_(* \(#,##0%\);_(* &quot;-&quot;?_);_(* @_)">
                  <c:v>3.9937694326413364E-2</c:v>
                </c:pt>
                <c:pt idx="33" formatCode="_(* #,##0%_);_(* \(#,##0%\);_(* &quot;-&quot;?_);_(* @_)">
                  <c:v>3.437178466508084E-2</c:v>
                </c:pt>
              </c:numCache>
            </c:numRef>
          </c:val>
          <c:smooth val="0"/>
          <c:extLst>
            <c:ext xmlns:c16="http://schemas.microsoft.com/office/drawing/2014/chart" uri="{C3380CC4-5D6E-409C-BE32-E72D297353CC}">
              <c16:uniqueId val="{00000000-B23D-4D86-96BB-BA4CB2AA72C7}"/>
            </c:ext>
          </c:extLst>
        </c:ser>
        <c:ser>
          <c:idx val="1"/>
          <c:order val="1"/>
          <c:tx>
            <c:strRef>
              <c:f>'Windows OEM'!$A$143:$B$143</c:f>
              <c:strCache>
                <c:ptCount val="2"/>
                <c:pt idx="0">
                  <c:v>LTM Windows OEM Revenue (Deferral Adj.)</c:v>
                </c:pt>
              </c:strCache>
            </c:strRef>
          </c:tx>
          <c:spPr>
            <a:ln w="28575" cap="rnd">
              <a:solidFill>
                <a:schemeClr val="accent2"/>
              </a:solidFill>
              <a:round/>
            </a:ln>
            <a:effectLst/>
          </c:spPr>
          <c:marker>
            <c:symbol val="none"/>
          </c:marker>
          <c:cat>
            <c:strRef>
              <c:f>'Windows OEM'!$C$141:$AR$141</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OEM'!$C$143:$AR$143</c:f>
              <c:numCache>
                <c:formatCode>_(* #,##0_);_(* \(#,##0\);_(* "-"_);_(@_)</c:formatCode>
                <c:ptCount val="34"/>
                <c:pt idx="5" formatCode="_(* #,##0%_);_(* \(#,##0%\);_(* &quot;-&quot;?_);_(* @_)">
                  <c:v>4.47174786058675E-2</c:v>
                </c:pt>
                <c:pt idx="6" formatCode="_(* #,##0%_);_(* \(#,##0%\);_(* &quot;-&quot;?_);_(* @_)">
                  <c:v>4.4268252530051511E-2</c:v>
                </c:pt>
                <c:pt idx="7" formatCode="_(* #,##0%_);_(* \(#,##0%\);_(* &quot;-&quot;?_);_(* @_)">
                  <c:v>2.0119084114434749E-2</c:v>
                </c:pt>
                <c:pt idx="8" formatCode="_(* #,##0%_);_(* \(#,##0%\);_(* &quot;-&quot;?_);_(* @_)">
                  <c:v>3.1174968677611936E-2</c:v>
                </c:pt>
                <c:pt idx="9" formatCode="_(* #,##0%_);_(* \(#,##0%\);_(* &quot;-&quot;?_);_(* @_)">
                  <c:v>3.6367498611270088E-2</c:v>
                </c:pt>
                <c:pt idx="10" formatCode="_(* #,##0%_);_(* \(#,##0%\);_(* &quot;-&quot;?_);_(* @_)">
                  <c:v>5.2333974191676624E-2</c:v>
                </c:pt>
                <c:pt idx="11" formatCode="_(* #,##0%_);_(* \(#,##0%\);_(* &quot;-&quot;?_);_(* @_)">
                  <c:v>0.1125089546110396</c:v>
                </c:pt>
                <c:pt idx="12" formatCode="_(* #,##0%_);_(* \(#,##0%\);_(* &quot;-&quot;?_);_(* @_)">
                  <c:v>8.9420535712896321E-2</c:v>
                </c:pt>
                <c:pt idx="13" formatCode="_(* #,##0%_);_(* \(#,##0%\);_(* &quot;-&quot;?_);_(* @_)">
                  <c:v>7.6505797375303164E-2</c:v>
                </c:pt>
                <c:pt idx="14" formatCode="_(* #,##0%_);_(* \(#,##0%\);_(* &quot;-&quot;?_);_(* @_)">
                  <c:v>3.9505110033409174E-2</c:v>
                </c:pt>
                <c:pt idx="15" formatCode="_(* #,##0%_);_(* \(#,##0%\);_(* &quot;-&quot;?_);_(* @_)">
                  <c:v>7.7542628426030547E-4</c:v>
                </c:pt>
                <c:pt idx="16" formatCode="_(* #,##0%_);_(* \(#,##0%\);_(* &quot;-&quot;?_);_(* @_)">
                  <c:v>2.4709866728942265E-2</c:v>
                </c:pt>
                <c:pt idx="17" formatCode="_(* #,##0%_);_(* \(#,##0%\);_(* &quot;-&quot;?_);_(* @_)">
                  <c:v>1.3807020893893185E-2</c:v>
                </c:pt>
                <c:pt idx="18" formatCode="_(* #,##0%_);_(* \(#,##0%\);_(* &quot;-&quot;?_);_(* @_)">
                  <c:v>6.6363318522934867E-2</c:v>
                </c:pt>
                <c:pt idx="19" formatCode="_(* #,##0%_);_(* \(#,##0%\);_(* &quot;-&quot;?_);_(* @_)">
                  <c:v>0.11117585194371937</c:v>
                </c:pt>
                <c:pt idx="20" formatCode="_(* #,##0%_);_(* \(#,##0%\);_(* &quot;-&quot;?_);_(* @_)">
                  <c:v>0.1123902210483736</c:v>
                </c:pt>
                <c:pt idx="21" formatCode="_(* #,##0%_);_(* \(#,##0%\);_(* &quot;-&quot;?_);_(* @_)">
                  <c:v>0.10626973831423947</c:v>
                </c:pt>
                <c:pt idx="22" formatCode="_(* #,##0%_);_(* \(#,##0%\);_(* &quot;-&quot;?_);_(* @_)">
                  <c:v>1.3627496066876077E-2</c:v>
                </c:pt>
                <c:pt idx="23" formatCode="_(* #,##0%_);_(* \(#,##0%\);_(* &quot;-&quot;?_);_(* @_)">
                  <c:v>-0.13097178144500099</c:v>
                </c:pt>
                <c:pt idx="24" formatCode="_(* #,##0%_);_(* \(#,##0%\);_(* &quot;-&quot;?_);_(* @_)">
                  <c:v>-0.2199175837556262</c:v>
                </c:pt>
                <c:pt idx="25" formatCode="_(* #,##0%_);_(* \(#,##0%\);_(* &quot;-&quot;?_);_(* @_)">
                  <c:v>-0.24351778317469097</c:v>
                </c:pt>
                <c:pt idx="26" formatCode="_(* #,##0%_);_(* \(#,##0%\);_(* &quot;-&quot;?_);_(* @_)">
                  <c:v>-0.19658225808956742</c:v>
                </c:pt>
                <c:pt idx="27" formatCode="_(* #,##0%_);_(* \(#,##0%\);_(* &quot;-&quot;?_);_(* @_)">
                  <c:v>-8.0941298429627717E-2</c:v>
                </c:pt>
                <c:pt idx="28" formatCode="_(* #,##0%_);_(* \(#,##0%\);_(* &quot;-&quot;?_);_(* @_)">
                  <c:v>2.4410591823468275E-2</c:v>
                </c:pt>
                <c:pt idx="29" formatCode="_(* #,##0%_);_(* \(#,##0%\);_(* &quot;-&quot;?_);_(* @_)">
                  <c:v>7.2704617231269308E-2</c:v>
                </c:pt>
                <c:pt idx="30" formatCode="_(* #,##0%_);_(* \(#,##0%\);_(* &quot;-&quot;?_);_(* @_)">
                  <c:v>6.1493896070527354E-2</c:v>
                </c:pt>
                <c:pt idx="31" formatCode="_(* #,##0%_);_(* \(#,##0%\);_(* &quot;-&quot;?_);_(* @_)">
                  <c:v>3.517714444043496E-2</c:v>
                </c:pt>
                <c:pt idx="32" formatCode="_(* #,##0%_);_(* \(#,##0%\);_(* &quot;-&quot;?_);_(* @_)">
                  <c:v>2.2334497456824698E-2</c:v>
                </c:pt>
                <c:pt idx="33" formatCode="_(* #,##0%_);_(* \(#,##0%\);_(* &quot;-&quot;?_);_(* @_)">
                  <c:v>2.5117192259334953E-2</c:v>
                </c:pt>
              </c:numCache>
            </c:numRef>
          </c:val>
          <c:smooth val="0"/>
          <c:extLst>
            <c:ext xmlns:c16="http://schemas.microsoft.com/office/drawing/2014/chart" uri="{C3380CC4-5D6E-409C-BE32-E72D297353CC}">
              <c16:uniqueId val="{00000001-B23D-4D86-96BB-BA4CB2AA72C7}"/>
            </c:ext>
          </c:extLst>
        </c:ser>
        <c:ser>
          <c:idx val="2"/>
          <c:order val="2"/>
          <c:tx>
            <c:strRef>
              <c:f>'Windows OEM'!$A$69</c:f>
            </c:strRef>
          </c:tx>
          <c:spPr>
            <a:ln w="28575" cap="rnd">
              <a:solidFill>
                <a:schemeClr val="accent3"/>
              </a:solidFill>
              <a:round/>
            </a:ln>
            <a:effectLst/>
          </c:spPr>
          <c:marker>
            <c:symbol val="none"/>
          </c:marker>
          <c:cat>
            <c:strRef>
              <c:f>'Windows OEM'!$C$141:$AR$141</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OEM'!$K$69:$AH$69</c:f>
            </c:numRef>
          </c:val>
          <c:smooth val="0"/>
          <c:extLst>
            <c:ext xmlns:c16="http://schemas.microsoft.com/office/drawing/2014/chart" uri="{C3380CC4-5D6E-409C-BE32-E72D297353CC}">
              <c16:uniqueId val="{00000002-B23D-4D86-96BB-BA4CB2AA72C7}"/>
            </c:ext>
          </c:extLst>
        </c:ser>
        <c:dLbls>
          <c:showLegendKey val="0"/>
          <c:showVal val="0"/>
          <c:showCatName val="0"/>
          <c:showSerName val="0"/>
          <c:showPercent val="0"/>
          <c:showBubbleSize val="0"/>
        </c:dLbls>
        <c:smooth val="0"/>
        <c:axId val="523290064"/>
        <c:axId val="523297136"/>
      </c:lineChart>
      <c:catAx>
        <c:axId val="52329006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23297136"/>
        <c:crosses val="autoZero"/>
        <c:auto val="1"/>
        <c:lblAlgn val="ctr"/>
        <c:lblOffset val="100"/>
        <c:noMultiLvlLbl val="0"/>
      </c:catAx>
      <c:valAx>
        <c:axId val="52329713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23290064"/>
        <c:crosses val="autoZero"/>
        <c:crossBetween val="between"/>
      </c:valAx>
      <c:spPr>
        <a:noFill/>
        <a:ln>
          <a:noFill/>
        </a:ln>
        <a:effectLst/>
      </c:spPr>
    </c:plotArea>
    <c:legend>
      <c:legendPos val="b"/>
      <c:layout>
        <c:manualLayout>
          <c:xMode val="edge"/>
          <c:yMode val="edge"/>
          <c:x val="9.5170212621008693E-3"/>
          <c:y val="0.86878152243273132"/>
          <c:w val="0.99048297873789914"/>
          <c:h val="0.109588496710653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b="1"/>
              <a:t>Indexed PC Shipments vs. Indexed Windows OEM Revenue (LTM)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'Windows OEM'!$A$65:$B$65</c:f>
              <c:strCache>
                <c:ptCount val="2"/>
                <c:pt idx="0">
                  <c:v>Indexed PC OEM Shipments (# in '000s)</c:v>
                </c:pt>
              </c:strCache>
            </c:strRef>
          </c:tx>
          <c:spPr>
            <a:ln w="28575" cap="rnd">
              <a:solidFill>
                <a:schemeClr val="accent1"/>
              </a:solidFill>
              <a:round/>
            </a:ln>
            <a:effectLst/>
          </c:spPr>
          <c:marker>
            <c:symbol val="none"/>
          </c:marker>
          <c:cat>
            <c:strRef>
              <c:f>'Windows OEM'!$C$136:$AR$136</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OEM'!$C$65:$AR$65</c:f>
              <c:numCache>
                <c:formatCode>_(* #,##0_);_(* \(#,##0\);_(* "-"_);_(@_)</c:formatCode>
                <c:ptCount val="34"/>
                <c:pt idx="1">
                  <c:v>100</c:v>
                </c:pt>
                <c:pt idx="2">
                  <c:v>99.325869793766657</c:v>
                </c:pt>
                <c:pt idx="3">
                  <c:v>98.981079889516494</c:v>
                </c:pt>
                <c:pt idx="4">
                  <c:v>98.648348211425912</c:v>
                </c:pt>
                <c:pt idx="5">
                  <c:v>98.965253467682075</c:v>
                </c:pt>
                <c:pt idx="6">
                  <c:v>98.983943718229398</c:v>
                </c:pt>
                <c:pt idx="7">
                  <c:v>97.82703228213235</c:v>
                </c:pt>
                <c:pt idx="8">
                  <c:v>96.7621401844155</c:v>
                </c:pt>
                <c:pt idx="9">
                  <c:v>97.120872412662649</c:v>
                </c:pt>
                <c:pt idx="10">
                  <c:v>97.74759871730619</c:v>
                </c:pt>
                <c:pt idx="11">
                  <c:v>98.924406226566518</c:v>
                </c:pt>
                <c:pt idx="12">
                  <c:v>96.202563126698024</c:v>
                </c:pt>
                <c:pt idx="13">
                  <c:v>96.866067021128273</c:v>
                </c:pt>
                <c:pt idx="14">
                  <c:v>97.811205860297918</c:v>
                </c:pt>
                <c:pt idx="15">
                  <c:v>100.69116245068375</c:v>
                </c:pt>
                <c:pt idx="16">
                  <c:v>112.70537608476934</c:v>
                </c:pt>
                <c:pt idx="17">
                  <c:v>119.34350494952501</c:v>
                </c:pt>
                <c:pt idx="18">
                  <c:v>124.26853669657356</c:v>
                </c:pt>
                <c:pt idx="19">
                  <c:v>128.75427219184635</c:v>
                </c:pt>
                <c:pt idx="20">
                  <c:v>126.62177489552677</c:v>
                </c:pt>
                <c:pt idx="21">
                  <c:v>122.69780201146283</c:v>
                </c:pt>
                <c:pt idx="22">
                  <c:v>116.49836648717495</c:v>
                </c:pt>
                <c:pt idx="23">
                  <c:v>106.6994750903425</c:v>
                </c:pt>
                <c:pt idx="24">
                  <c:v>98.143108535340033</c:v>
                </c:pt>
                <c:pt idx="25">
                  <c:v>93.48614622860137</c:v>
                </c:pt>
                <c:pt idx="26">
                  <c:v>91.180180044389346</c:v>
                </c:pt>
                <c:pt idx="27">
                  <c:v>91.253989501806856</c:v>
                </c:pt>
                <c:pt idx="28">
                  <c:v>93.471321443419924</c:v>
                </c:pt>
                <c:pt idx="29">
                  <c:v>94.405833970786432</c:v>
                </c:pt>
                <c:pt idx="30">
                  <c:v>96.61701747312334</c:v>
                </c:pt>
                <c:pt idx="31">
                  <c:v>98.577506132738463</c:v>
                </c:pt>
                <c:pt idx="32">
                  <c:v>97.204350507513155</c:v>
                </c:pt>
                <c:pt idx="33">
                  <c:v>97.650730967157671</c:v>
                </c:pt>
              </c:numCache>
            </c:numRef>
          </c:val>
          <c:smooth val="0"/>
          <c:extLst>
            <c:ext xmlns:c16="http://schemas.microsoft.com/office/drawing/2014/chart" uri="{C3380CC4-5D6E-409C-BE32-E72D297353CC}">
              <c16:uniqueId val="{00000000-2326-4AE2-B74F-944FBC305995}"/>
            </c:ext>
          </c:extLst>
        </c:ser>
        <c:dLbls>
          <c:showLegendKey val="0"/>
          <c:showVal val="0"/>
          <c:showCatName val="0"/>
          <c:showSerName val="0"/>
          <c:showPercent val="0"/>
          <c:showBubbleSize val="0"/>
        </c:dLbls>
        <c:marker val="1"/>
        <c:smooth val="0"/>
        <c:axId val="731022367"/>
        <c:axId val="731024031"/>
      </c:lineChart>
      <c:lineChart>
        <c:grouping val="standard"/>
        <c:varyColors val="0"/>
        <c:ser>
          <c:idx val="1"/>
          <c:order val="1"/>
          <c:tx>
            <c:strRef>
              <c:f>'Windows OEM'!$A$66:$B$66</c:f>
              <c:strCache>
                <c:ptCount val="2"/>
                <c:pt idx="0">
                  <c:v>Indexed Windows OEM Revenue (Deferral Adj.)</c:v>
                </c:pt>
              </c:strCache>
            </c:strRef>
          </c:tx>
          <c:spPr>
            <a:ln w="28575" cap="rnd">
              <a:solidFill>
                <a:schemeClr val="accent2"/>
              </a:solidFill>
              <a:round/>
            </a:ln>
            <a:effectLst/>
          </c:spPr>
          <c:marker>
            <c:symbol val="none"/>
          </c:marker>
          <c:cat>
            <c:strRef>
              <c:f>'Windows OEM'!$C$136:$AR$136</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OEM'!$C$66:$AR$66</c:f>
              <c:numCache>
                <c:formatCode>_(* #,##0_);_(* \(#,##0\);_(* "-"_);_(@_)</c:formatCode>
                <c:ptCount val="34"/>
                <c:pt idx="1">
                  <c:v>100</c:v>
                </c:pt>
                <c:pt idx="2">
                  <c:v>100.7370952431867</c:v>
                </c:pt>
                <c:pt idx="3">
                  <c:v>101.66198812146099</c:v>
                </c:pt>
                <c:pt idx="4">
                  <c:v>102.62409070626921</c:v>
                </c:pt>
                <c:pt idx="5">
                  <c:v>104.47174786058675</c:v>
                </c:pt>
                <c:pt idx="6">
                  <c:v>105.19655041455596</c:v>
                </c:pt>
                <c:pt idx="7">
                  <c:v>103.70733421171734</c:v>
                </c:pt>
                <c:pt idx="8">
                  <c:v>105.82339351960557</c:v>
                </c:pt>
                <c:pt idx="9">
                  <c:v>108.27112400582359</c:v>
                </c:pt>
                <c:pt idx="10">
                  <c:v>110.70190396900472</c:v>
                </c:pt>
                <c:pt idx="11">
                  <c:v>115.37533796937535</c:v>
                </c:pt>
                <c:pt idx="12">
                  <c:v>115.28617805908534</c:v>
                </c:pt>
                <c:pt idx="13">
                  <c:v>116.55449268060944</c:v>
                </c:pt>
                <c:pt idx="14">
                  <c:v>115.07519486620814</c:v>
                </c:pt>
                <c:pt idx="15">
                  <c:v>115.46480303899223</c:v>
                </c:pt>
                <c:pt idx="16">
                  <c:v>118.13488415461444</c:v>
                </c:pt>
                <c:pt idx="17">
                  <c:v>118.16376299632773</c:v>
                </c:pt>
                <c:pt idx="18">
                  <c:v>122.71196667720309</c:v>
                </c:pt>
                <c:pt idx="19">
                  <c:v>128.30170088636595</c:v>
                </c:pt>
                <c:pt idx="20">
                  <c:v>131.41208989827558</c:v>
                </c:pt>
                <c:pt idx="21">
                  <c:v>130.72099516817332</c:v>
                </c:pt>
                <c:pt idx="22">
                  <c:v>124.38422352045532</c:v>
                </c:pt>
                <c:pt idx="23">
                  <c:v>111.49779855885495</c:v>
                </c:pt>
                <c:pt idx="24">
                  <c:v>102.51226061156966</c:v>
                </c:pt>
                <c:pt idx="25">
                  <c:v>98.888108210430261</c:v>
                </c:pt>
                <c:pt idx="26">
                  <c:v>99.932491990086731</c:v>
                </c:pt>
                <c:pt idx="27">
                  <c:v>102.47302197145616</c:v>
                </c:pt>
                <c:pt idx="28">
                  <c:v>105.0146455622597</c:v>
                </c:pt>
                <c:pt idx="29">
                  <c:v>106.07773026659393</c:v>
                </c:pt>
                <c:pt idx="30">
                  <c:v>106.07773026659393</c:v>
                </c:pt>
                <c:pt idx="31">
                  <c:v>106.07773026659393</c:v>
                </c:pt>
                <c:pt idx="32">
                  <c:v>107.36009489649933</c:v>
                </c:pt>
                <c:pt idx="33">
                  <c:v>108.74210501213383</c:v>
                </c:pt>
              </c:numCache>
            </c:numRef>
          </c:val>
          <c:smooth val="0"/>
          <c:extLst>
            <c:ext xmlns:c16="http://schemas.microsoft.com/office/drawing/2014/chart" uri="{C3380CC4-5D6E-409C-BE32-E72D297353CC}">
              <c16:uniqueId val="{00000001-2326-4AE2-B74F-944FBC305995}"/>
            </c:ext>
          </c:extLst>
        </c:ser>
        <c:dLbls>
          <c:showLegendKey val="0"/>
          <c:showVal val="0"/>
          <c:showCatName val="0"/>
          <c:showSerName val="0"/>
          <c:showPercent val="0"/>
          <c:showBubbleSize val="0"/>
        </c:dLbls>
        <c:marker val="1"/>
        <c:smooth val="0"/>
        <c:axId val="712383696"/>
        <c:axId val="712388272"/>
      </c:lineChart>
      <c:catAx>
        <c:axId val="73102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31024031"/>
        <c:crosses val="autoZero"/>
        <c:auto val="1"/>
        <c:lblAlgn val="ctr"/>
        <c:lblOffset val="100"/>
        <c:noMultiLvlLbl val="0"/>
      </c:catAx>
      <c:valAx>
        <c:axId val="73102403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31022367"/>
        <c:crosses val="autoZero"/>
        <c:crossBetween val="between"/>
      </c:valAx>
      <c:valAx>
        <c:axId val="712388272"/>
        <c:scaling>
          <c:orientation val="minMax"/>
        </c:scaling>
        <c:delete val="0"/>
        <c:axPos val="r"/>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12383696"/>
        <c:crosses val="max"/>
        <c:crossBetween val="between"/>
      </c:valAx>
      <c:catAx>
        <c:axId val="712383696"/>
        <c:scaling>
          <c:orientation val="minMax"/>
        </c:scaling>
        <c:delete val="1"/>
        <c:axPos val="b"/>
        <c:numFmt formatCode="General" sourceLinked="1"/>
        <c:majorTickMark val="out"/>
        <c:minorTickMark val="none"/>
        <c:tickLblPos val="nextTo"/>
        <c:crossAx val="7123882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b="1"/>
              <a:t>Indexed PC Shipments vs. Indexed Windows OEM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'Windows OEM'!$A$44:$B$44</c:f>
              <c:strCache>
                <c:ptCount val="2"/>
                <c:pt idx="0">
                  <c:v>Indexed PC OEM Shipments (# in '000s)</c:v>
                </c:pt>
              </c:strCache>
            </c:strRef>
          </c:tx>
          <c:spPr>
            <a:ln w="28575" cap="rnd">
              <a:solidFill>
                <a:schemeClr val="accent1"/>
              </a:solidFill>
              <a:round/>
            </a:ln>
            <a:effectLst/>
          </c:spPr>
          <c:marker>
            <c:symbol val="none"/>
          </c:marker>
          <c:cat>
            <c:strRef>
              <c:f>'Windows OEM'!$C$136:$AR$136</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OEM'!$C$44:$AR$44</c:f>
              <c:numCache>
                <c:formatCode>_(* #,##0_);_(* \(#,##0\);_(* "-"_);_(@_)</c:formatCode>
                <c:ptCount val="34"/>
                <c:pt idx="0">
                  <c:v>102.14679857641951</c:v>
                </c:pt>
                <c:pt idx="1">
                  <c:v>100</c:v>
                </c:pt>
                <c:pt idx="2">
                  <c:v>109.63528912397558</c:v>
                </c:pt>
                <c:pt idx="3">
                  <c:v>117.04704998857218</c:v>
                </c:pt>
                <c:pt idx="4">
                  <c:v>100.70526006464884</c:v>
                </c:pt>
                <c:pt idx="5">
                  <c:v>101.3729715610409</c:v>
                </c:pt>
                <c:pt idx="6">
                  <c:v>109.71626342769454</c:v>
                </c:pt>
                <c:pt idx="7">
                  <c:v>112.03480589022759</c:v>
                </c:pt>
                <c:pt idx="8">
                  <c:v>96.091683808404355</c:v>
                </c:pt>
                <c:pt idx="9">
                  <c:v>102.92715577758187</c:v>
                </c:pt>
                <c:pt idx="10">
                  <c:v>112.43151467659256</c:v>
                </c:pt>
                <c:pt idx="11">
                  <c:v>117.13324844091815</c:v>
                </c:pt>
                <c:pt idx="12">
                  <c:v>84.299474320044411</c:v>
                </c:pt>
                <c:pt idx="13">
                  <c:v>105.80174355960428</c:v>
                </c:pt>
                <c:pt idx="14">
                  <c:v>116.52626767231529</c:v>
                </c:pt>
                <c:pt idx="15">
                  <c:v>129.61047441799721</c:v>
                </c:pt>
                <c:pt idx="16">
                  <c:v>136.35027916544226</c:v>
                </c:pt>
                <c:pt idx="17">
                  <c:v>134.56100826068501</c:v>
                </c:pt>
                <c:pt idx="18">
                  <c:v>137.86364972083456</c:v>
                </c:pt>
                <c:pt idx="19">
                  <c:v>149.04463381983217</c:v>
                </c:pt>
                <c:pt idx="20">
                  <c:v>127.11137231854246</c:v>
                </c:pt>
                <c:pt idx="21">
                  <c:v>117.5606491004669</c:v>
                </c:pt>
                <c:pt idx="22">
                  <c:v>111.0049955921246</c:v>
                </c:pt>
                <c:pt idx="23">
                  <c:v>106.59156953015314</c:v>
                </c:pt>
                <c:pt idx="24">
                  <c:v>90.041466679727037</c:v>
                </c:pt>
                <c:pt idx="25">
                  <c:v>97.384660593593892</c:v>
                </c:pt>
                <c:pt idx="26">
                  <c:v>101.01454598883339</c:v>
                </c:pt>
                <c:pt idx="27">
                  <c:v>106.91134423874358</c:v>
                </c:pt>
                <c:pt idx="28">
                  <c:v>99.647914149824231</c:v>
                </c:pt>
                <c:pt idx="29">
                  <c:v>101.43337577954092</c:v>
                </c:pt>
                <c:pt idx="30">
                  <c:v>110.59435574275423</c:v>
                </c:pt>
                <c:pt idx="31">
                  <c:v>115.40503477323929</c:v>
                </c:pt>
                <c:pt idx="32">
                  <c:v>93.698806064365854</c:v>
                </c:pt>
                <c:pt idx="33">
                  <c:v>103.36729029940901</c:v>
                </c:pt>
              </c:numCache>
            </c:numRef>
          </c:val>
          <c:smooth val="0"/>
          <c:extLst>
            <c:ext xmlns:c16="http://schemas.microsoft.com/office/drawing/2014/chart" uri="{C3380CC4-5D6E-409C-BE32-E72D297353CC}">
              <c16:uniqueId val="{00000000-2326-4AE2-B74F-944FBC305995}"/>
            </c:ext>
          </c:extLst>
        </c:ser>
        <c:dLbls>
          <c:showLegendKey val="0"/>
          <c:showVal val="0"/>
          <c:showCatName val="0"/>
          <c:showSerName val="0"/>
          <c:showPercent val="0"/>
          <c:showBubbleSize val="0"/>
        </c:dLbls>
        <c:marker val="1"/>
        <c:smooth val="0"/>
        <c:axId val="731022367"/>
        <c:axId val="731024031"/>
      </c:lineChart>
      <c:lineChart>
        <c:grouping val="standard"/>
        <c:varyColors val="0"/>
        <c:ser>
          <c:idx val="1"/>
          <c:order val="1"/>
          <c:tx>
            <c:strRef>
              <c:f>'Windows OEM'!$A$45:$B$45</c:f>
              <c:strCache>
                <c:ptCount val="2"/>
                <c:pt idx="0">
                  <c:v>Indexed Windows OEM Revenue (Deferral Adj.)</c:v>
                </c:pt>
              </c:strCache>
            </c:strRef>
          </c:tx>
          <c:spPr>
            <a:ln w="28575" cap="rnd">
              <a:solidFill>
                <a:schemeClr val="accent2"/>
              </a:solidFill>
              <a:round/>
            </a:ln>
            <a:effectLst/>
          </c:spPr>
          <c:marker>
            <c:symbol val="none"/>
          </c:marker>
          <c:cat>
            <c:strRef>
              <c:f>'Windows OEM'!$C$136:$AR$136</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OEM'!$C$45:$AR$45</c:f>
              <c:numCache>
                <c:formatCode>_(* #,##0_);_(* \(#,##0\);_(* "-"_);_(@_)</c:formatCode>
                <c:ptCount val="34"/>
                <c:pt idx="0">
                  <c:v>92.181558468462967</c:v>
                </c:pt>
                <c:pt idx="1">
                  <c:v>100</c:v>
                </c:pt>
                <c:pt idx="2">
                  <c:v>103.64467195828114</c:v>
                </c:pt>
                <c:pt idx="3">
                  <c:v>106.00324600209177</c:v>
                </c:pt>
                <c:pt idx="4">
                  <c:v>95.984368004928356</c:v>
                </c:pt>
                <c:pt idx="5">
                  <c:v>107.30305516012895</c:v>
                </c:pt>
                <c:pt idx="6">
                  <c:v>106.50952868750183</c:v>
                </c:pt>
                <c:pt idx="7">
                  <c:v>100.11696561220774</c:v>
                </c:pt>
                <c:pt idx="8">
                  <c:v>104.34831031505902</c:v>
                </c:pt>
                <c:pt idx="9">
                  <c:v>116.97796195558496</c:v>
                </c:pt>
                <c:pt idx="10">
                  <c:v>116.11743679521859</c:v>
                </c:pt>
                <c:pt idx="11">
                  <c:v>118.58919473338116</c:v>
                </c:pt>
                <c:pt idx="12">
                  <c:v>103.99589658862797</c:v>
                </c:pt>
                <c:pt idx="13">
                  <c:v>121.99110609855772</c:v>
                </c:pt>
                <c:pt idx="14">
                  <c:v>110.27035985695322</c:v>
                </c:pt>
                <c:pt idx="15">
                  <c:v>120.12916115519836</c:v>
                </c:pt>
                <c:pt idx="16">
                  <c:v>114.5496671427817</c:v>
                </c:pt>
                <c:pt idx="17">
                  <c:v>122.10525269415309</c:v>
                </c:pt>
                <c:pt idx="18">
                  <c:v>128.24760324505547</c:v>
                </c:pt>
                <c:pt idx="19">
                  <c:v>142.22316120525338</c:v>
                </c:pt>
                <c:pt idx="20">
                  <c:v>126.84379999657152</c:v>
                </c:pt>
                <c:pt idx="21">
                  <c:v>119.37362960974198</c:v>
                </c:pt>
                <c:pt idx="22">
                  <c:v>103.20086079487416</c:v>
                </c:pt>
                <c:pt idx="23">
                  <c:v>91.288239598440541</c:v>
                </c:pt>
                <c:pt idx="24">
                  <c:v>91.327535997531498</c:v>
                </c:pt>
                <c:pt idx="25">
                  <c:v>105.04879405657294</c:v>
                </c:pt>
                <c:pt idx="26">
                  <c:v>107.32889522666913</c:v>
                </c:pt>
                <c:pt idx="27">
                  <c:v>101.32994595426901</c:v>
                </c:pt>
                <c:pt idx="28">
                  <c:v>101.37356495725997</c:v>
                </c:pt>
                <c:pt idx="29">
                  <c:v>109.25074581883587</c:v>
                </c:pt>
                <c:pt idx="30">
                  <c:v>107.32889522666913</c:v>
                </c:pt>
                <c:pt idx="31">
                  <c:v>101.32994595426901</c:v>
                </c:pt>
                <c:pt idx="32">
                  <c:v>106.44224320512296</c:v>
                </c:pt>
                <c:pt idx="33">
                  <c:v>114.71328310977766</c:v>
                </c:pt>
              </c:numCache>
            </c:numRef>
          </c:val>
          <c:smooth val="0"/>
          <c:extLst>
            <c:ext xmlns:c16="http://schemas.microsoft.com/office/drawing/2014/chart" uri="{C3380CC4-5D6E-409C-BE32-E72D297353CC}">
              <c16:uniqueId val="{00000001-2326-4AE2-B74F-944FBC305995}"/>
            </c:ext>
          </c:extLst>
        </c:ser>
        <c:dLbls>
          <c:showLegendKey val="0"/>
          <c:showVal val="0"/>
          <c:showCatName val="0"/>
          <c:showSerName val="0"/>
          <c:showPercent val="0"/>
          <c:showBubbleSize val="0"/>
        </c:dLbls>
        <c:marker val="1"/>
        <c:smooth val="0"/>
        <c:axId val="712383696"/>
        <c:axId val="712388272"/>
      </c:lineChart>
      <c:catAx>
        <c:axId val="73102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31024031"/>
        <c:crosses val="autoZero"/>
        <c:auto val="1"/>
        <c:lblAlgn val="ctr"/>
        <c:lblOffset val="100"/>
        <c:noMultiLvlLbl val="0"/>
      </c:catAx>
      <c:valAx>
        <c:axId val="73102403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31022367"/>
        <c:crosses val="autoZero"/>
        <c:crossBetween val="between"/>
      </c:valAx>
      <c:valAx>
        <c:axId val="712388272"/>
        <c:scaling>
          <c:orientation val="minMax"/>
        </c:scaling>
        <c:delete val="0"/>
        <c:axPos val="r"/>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12383696"/>
        <c:crosses val="max"/>
        <c:crossBetween val="between"/>
      </c:valAx>
      <c:catAx>
        <c:axId val="712383696"/>
        <c:scaling>
          <c:orientation val="minMax"/>
        </c:scaling>
        <c:delete val="1"/>
        <c:axPos val="b"/>
        <c:numFmt formatCode="General" sourceLinked="1"/>
        <c:majorTickMark val="out"/>
        <c:minorTickMark val="none"/>
        <c:tickLblPos val="nextTo"/>
        <c:crossAx val="7123882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b="1"/>
              <a:t>PC Shipments vs. Windows OEM Revenue (Growth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'Windows OEM'!$A$39:$B$39</c:f>
              <c:strCache>
                <c:ptCount val="2"/>
                <c:pt idx="0">
                  <c:v>PC OEM Shipments (# in '000s)</c:v>
                </c:pt>
              </c:strCache>
            </c:strRef>
          </c:tx>
          <c:spPr>
            <a:ln w="28575" cap="rnd">
              <a:solidFill>
                <a:schemeClr val="accent1"/>
              </a:solidFill>
              <a:round/>
            </a:ln>
            <a:effectLst/>
          </c:spPr>
          <c:marker>
            <c:symbol val="none"/>
          </c:marker>
          <c:cat>
            <c:strRef>
              <c:f>'Windows OEM'!$C$141:$AR$141</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OEM'!$C$39:$AR$39</c:f>
              <c:numCache>
                <c:formatCode>General</c:formatCode>
                <c:ptCount val="34"/>
                <c:pt idx="2" formatCode="_(* #,##0%_);_(* \(#,##0%\);_(* &quot;-&quot;?_);_(* @_)">
                  <c:v>-2.5948219595329558E-2</c:v>
                </c:pt>
                <c:pt idx="3" formatCode="_(* #,##0%_);_(* \(#,##0%\);_(* &quot;-&quot;?_);_(* @_)">
                  <c:v>-1.2601396482626592E-2</c:v>
                </c:pt>
                <c:pt idx="4" formatCode="_(* #,##0%_);_(* \(#,##0%\);_(* &quot;-&quot;?_);_(* @_)">
                  <c:v>-1.411241988844314E-2</c:v>
                </c:pt>
                <c:pt idx="5" formatCode="_(* #,##0%_);_(* \(#,##0%\);_(* &quot;-&quot;?_);_(* @_)">
                  <c:v>1.3729715610409032E-2</c:v>
                </c:pt>
                <c:pt idx="6" formatCode="_(* #,##0%_);_(* \(#,##0%\);_(* &quot;-&quot;?_);_(* @_)">
                  <c:v>7.3857883137784519E-4</c:v>
                </c:pt>
                <c:pt idx="7" formatCode="_(* #,##0%_);_(* \(#,##0%\);_(* &quot;-&quot;?_);_(* @_)">
                  <c:v>-4.2822472662352062E-2</c:v>
                </c:pt>
                <c:pt idx="8" formatCode="_(* #,##0%_);_(* \(#,##0%\);_(* &quot;-&quot;?_);_(* @_)">
                  <c:v>-4.5812664137729775E-2</c:v>
                </c:pt>
                <c:pt idx="9" formatCode="_(* #,##0%_);_(* \(#,##0%\);_(* &quot;-&quot;?_);_(* @_)">
                  <c:v>1.5331347129398543E-2</c:v>
                </c:pt>
                <c:pt idx="10" formatCode="_(* #,##0%_);_(* \(#,##0%\);_(* &quot;-&quot;?_);_(* @_)">
                  <c:v>2.4747937671860676E-2</c:v>
                </c:pt>
                <c:pt idx="11" formatCode="_(* #,##0%_);_(* \(#,##0%\);_(* &quot;-&quot;?_);_(* @_)">
                  <c:v>4.550766621299851E-2</c:v>
                </c:pt>
                <c:pt idx="12" formatCode="_(* #,##0%_);_(* \(#,##0%\);_(* &quot;-&quot;?_);_(* @_)">
                  <c:v>-0.12271831464492011</c:v>
                </c:pt>
                <c:pt idx="13" formatCode="_(* #,##0%_);_(* \(#,##0%\);_(* &quot;-&quot;?_);_(* @_)">
                  <c:v>2.7928370897901678E-2</c:v>
                </c:pt>
                <c:pt idx="14" formatCode="_(* #,##0%_);_(* \(#,##0%\);_(* &quot;-&quot;?_);_(* @_)">
                  <c:v>3.6419975373463753E-2</c:v>
                </c:pt>
                <c:pt idx="15" formatCode="_(* #,##0%_);_(* \(#,##0%\);_(* &quot;-&quot;?_);_(* @_)">
                  <c:v>0.10652164217380644</c:v>
                </c:pt>
                <c:pt idx="16" formatCode="_(* #,##0%_);_(* \(#,##0%\);_(* &quot;-&quot;?_);_(* @_)">
                  <c:v>0.61745112013137904</c:v>
                </c:pt>
                <c:pt idx="17" formatCode="_(* #,##0%_);_(* \(#,##0%\);_(* &quot;-&quot;?_);_(* @_)">
                  <c:v>0.27182221893043734</c:v>
                </c:pt>
                <c:pt idx="18" formatCode="_(* #,##0%_);_(* \(#,##0%\);_(* &quot;-&quot;?_);_(* @_)">
                  <c:v>0.18311220701346365</c:v>
                </c:pt>
                <c:pt idx="19" formatCode="_(* #,##0%_);_(* \(#,##0%\);_(* &quot;-&quot;?_);_(* @_)">
                  <c:v>0.14994281510890306</c:v>
                </c:pt>
                <c:pt idx="20" formatCode="_(* #,##0%_);_(* \(#,##0%\);_(* &quot;-&quot;?_);_(* @_)">
                  <c:v>-6.7758620689655102E-2</c:v>
                </c:pt>
                <c:pt idx="21" formatCode="_(* #,##0%_);_(* \(#,##0%\);_(* &quot;-&quot;?_);_(* @_)">
                  <c:v>-0.12633941570416374</c:v>
                </c:pt>
                <c:pt idx="22" formatCode="_(* #,##0%_);_(* \(#,##0%\);_(* &quot;-&quot;?_);_(* @_)">
                  <c:v>-0.19482041990834487</c:v>
                </c:pt>
                <c:pt idx="23" formatCode="_(* #,##0%_);_(* \(#,##0%\);_(* &quot;-&quot;?_);_(* @_)">
                  <c:v>-0.284834570703143</c:v>
                </c:pt>
                <c:pt idx="24" formatCode="_(* #,##0%_);_(* \(#,##0%\);_(* &quot;-&quot;?_);_(* @_)">
                  <c:v>-0.2916332737398023</c:v>
                </c:pt>
                <c:pt idx="25" formatCode="_(* #,##0%_);_(* \(#,##0%\);_(* &quot;-&quot;?_);_(* @_)">
                  <c:v>-0.17162195565652838</c:v>
                </c:pt>
                <c:pt idx="26" formatCode="_(* #,##0%_);_(* \(#,##0%\);_(* &quot;-&quot;?_);_(* @_)">
                  <c:v>-0.09</c:v>
                </c:pt>
                <c:pt idx="27" formatCode="_(* #,##0%_);_(* \(#,##0%\);_(* &quot;-&quot;?_);_(* @_)">
                  <c:v>3.0000000000000001E-3</c:v>
                </c:pt>
                <c:pt idx="28" formatCode="_(* #,##0%_);_(* \(#,##0%\);_(* &quot;-&quot;?_);_(* @_)">
                  <c:v>0.10668914917020222</c:v>
                </c:pt>
                <c:pt idx="29" formatCode="_(* #,##0%_);_(* \(#,##0%\);_(* &quot;-&quot;?_);_(* @_)">
                  <c:v>4.157446523167696E-2</c:v>
                </c:pt>
                <c:pt idx="30" formatCode="_(* #,##0%_);_(* \(#,##0%\);_(* &quot;-&quot;?_);_(* @_)">
                  <c:v>9.4835943280682011E-2</c:v>
                </c:pt>
                <c:pt idx="31" formatCode="_(* #,##0%_);_(* \(#,##0%\);_(* &quot;-&quot;?_);_(* @_)">
                  <c:v>7.944611112108424E-2</c:v>
                </c:pt>
                <c:pt idx="32" formatCode="_(* #,##0%_);_(* \(#,##0%\);_(* &quot;-&quot;?_);_(* @_)">
                  <c:v>-5.9701280616006436E-2</c:v>
                </c:pt>
                <c:pt idx="33" formatCode="_(* #,##0%_);_(* \(#,##0%\);_(* &quot;-&quot;?_);_(* @_)">
                  <c:v>1.906585978239872E-2</c:v>
                </c:pt>
              </c:numCache>
            </c:numRef>
          </c:val>
          <c:smooth val="0"/>
          <c:extLst>
            <c:ext xmlns:c16="http://schemas.microsoft.com/office/drawing/2014/chart" uri="{C3380CC4-5D6E-409C-BE32-E72D297353CC}">
              <c16:uniqueId val="{00000000-B23D-4D86-96BB-BA4CB2AA72C7}"/>
            </c:ext>
          </c:extLst>
        </c:ser>
        <c:ser>
          <c:idx val="1"/>
          <c:order val="1"/>
          <c:tx>
            <c:strRef>
              <c:f>'Windows OEM'!$A$40:$B$40</c:f>
              <c:strCache>
                <c:ptCount val="2"/>
                <c:pt idx="0">
                  <c:v>Windows OEM Revenue (Deferral Adj.)</c:v>
                </c:pt>
              </c:strCache>
            </c:strRef>
          </c:tx>
          <c:spPr>
            <a:ln w="28575" cap="rnd">
              <a:solidFill>
                <a:schemeClr val="accent2"/>
              </a:solidFill>
              <a:round/>
            </a:ln>
            <a:effectLst/>
          </c:spPr>
          <c:marker>
            <c:symbol val="none"/>
          </c:marker>
          <c:cat>
            <c:strRef>
              <c:f>'Windows OEM'!$C$141:$AR$141</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OEM'!$C$40:$AR$40</c:f>
              <c:numCache>
                <c:formatCode>General</c:formatCode>
                <c:ptCount val="34"/>
                <c:pt idx="2" formatCode="_(* #,##0%_);_(* \(#,##0%\);_(* &quot;-&quot;?_);_(* @_)">
                  <c:v>2.8922955996599997E-2</c:v>
                </c:pt>
                <c:pt idx="3" formatCode="_(* #,##0%_);_(* \(#,##0%\);_(* &quot;-&quot;?_);_(* @_)">
                  <c:v>3.5718839475847863E-2</c:v>
                </c:pt>
                <c:pt idx="4" formatCode="_(* #,##0%_);_(* \(#,##0%\);_(* &quot;-&quot;?_);_(* @_)">
                  <c:v>4.1253474118322808E-2</c:v>
                </c:pt>
                <c:pt idx="5" formatCode="_(* #,##0%_);_(* \(#,##0%\);_(* &quot;-&quot;?_);_(* @_)">
                  <c:v>7.3030551601289462E-2</c:v>
                </c:pt>
                <c:pt idx="6" formatCode="_(* #,##0%_);_(* \(#,##0%\);_(* &quot;-&quot;?_);_(* @_)">
                  <c:v>2.7641138469461035E-2</c:v>
                </c:pt>
                <c:pt idx="7" formatCode="_(* #,##0%_);_(* \(#,##0%\);_(* &quot;-&quot;?_);_(* @_)">
                  <c:v>-5.5529246621069395E-2</c:v>
                </c:pt>
                <c:pt idx="8" formatCode="_(* #,##0%_);_(* \(#,##0%\);_(* &quot;-&quot;?_);_(* @_)">
                  <c:v>8.7138588126154382E-2</c:v>
                </c:pt>
                <c:pt idx="9" formatCode="_(* #,##0%_);_(* \(#,##0%\);_(* &quot;-&quot;?_);_(* @_)">
                  <c:v>9.0164318071075389E-2</c:v>
                </c:pt>
                <c:pt idx="10" formatCode="_(* #,##0%_);_(* \(#,##0%\);_(* &quot;-&quot;?_);_(* @_)">
                  <c:v>9.0207028667888212E-2</c:v>
                </c:pt>
                <c:pt idx="11" formatCode="_(* #,##0%_);_(* \(#,##0%\);_(* &quot;-&quot;?_);_(* @_)">
                  <c:v>0.18450648207541209</c:v>
                </c:pt>
                <c:pt idx="12" formatCode="_(* #,##0%_);_(* \(#,##0%\);_(* &quot;-&quot;?_);_(* @_)">
                  <c:v>-3.3772825392860417E-3</c:v>
                </c:pt>
                <c:pt idx="13" formatCode="_(* #,##0%_);_(* \(#,##0%\);_(* &quot;-&quot;?_);_(* @_)">
                  <c:v>4.2855458063769225E-2</c:v>
                </c:pt>
                <c:pt idx="14" formatCode="_(* #,##0%_);_(* \(#,##0%\);_(* &quot;-&quot;?_);_(* @_)">
                  <c:v>-5.0354857113984575E-2</c:v>
                </c:pt>
                <c:pt idx="15" formatCode="_(* #,##0%_);_(* \(#,##0%\);_(* &quot;-&quot;?_);_(* @_)">
                  <c:v>1.2985722900635599E-2</c:v>
                </c:pt>
                <c:pt idx="16" formatCode="_(* #,##0%_);_(* \(#,##0%\);_(* &quot;-&quot;?_);_(* @_)">
                  <c:v>0.10148256710455406</c:v>
                </c:pt>
                <c:pt idx="17" formatCode="_(* #,##0%_);_(* \(#,##0%\);_(* &quot;-&quot;?_);_(* @_)">
                  <c:v>9.3569604576848597E-4</c:v>
                </c:pt>
                <c:pt idx="18" formatCode="_(* #,##0%_);_(* \(#,##0%\);_(* &quot;-&quot;?_);_(* @_)">
                  <c:v>0.16302879043310448</c:v>
                </c:pt>
                <c:pt idx="19" formatCode="_(* #,##0%_);_(* \(#,##0%\);_(* &quot;-&quot;?_);_(* @_)">
                  <c:v>0.18391870747778816</c:v>
                </c:pt>
                <c:pt idx="20" formatCode="_(* #,##0%_);_(* \(#,##0%\);_(* &quot;-&quot;?_);_(* @_)">
                  <c:v>0.10732578418115923</c:v>
                </c:pt>
                <c:pt idx="21" formatCode="_(* #,##0%_);_(* \(#,##0%\);_(* &quot;-&quot;?_);_(* @_)">
                  <c:v>-2.2371053039407118E-2</c:v>
                </c:pt>
                <c:pt idx="22" formatCode="_(* #,##0%_);_(* \(#,##0%\);_(* &quot;-&quot;?_);_(* @_)">
                  <c:v>-0.19529988722145541</c:v>
                </c:pt>
                <c:pt idx="23" formatCode="_(* #,##0%_);_(* \(#,##0%\);_(* &quot;-&quot;?_);_(* @_)">
                  <c:v>-0.35813380306815623</c:v>
                </c:pt>
                <c:pt idx="24" formatCode="_(* #,##0%_);_(* \(#,##0%\);_(* &quot;-&quot;?_);_(* @_)">
                  <c:v>-0.27999999999999992</c:v>
                </c:pt>
                <c:pt idx="25" formatCode="_(* #,##0%_);_(* \(#,##0%\);_(* &quot;-&quot;?_);_(* @_)">
                  <c:v>-0.12</c:v>
                </c:pt>
                <c:pt idx="26" formatCode="_(* #,##0%_);_(* \(#,##0%\);_(* &quot;-&quot;?_);_(* @_)">
                  <c:v>4.0000000000000036E-2</c:v>
                </c:pt>
                <c:pt idx="27" formatCode="_(* #,##0%_);_(* \(#,##0%\);_(* &quot;-&quot;?_);_(* @_)">
                  <c:v>0.1100000000000001</c:v>
                </c:pt>
                <c:pt idx="28" formatCode="_(* #,##0%_);_(* \(#,##0%\);_(* &quot;-&quot;?_);_(* @_)">
                  <c:v>0.1100000000000001</c:v>
                </c:pt>
                <c:pt idx="29" formatCode="_(* #,##0%_);_(* \(#,##0%\);_(* &quot;-&quot;?_);_(* @_)">
                  <c:v>4.0000000000000036E-2</c:v>
                </c:pt>
                <c:pt idx="30" formatCode="_(* #,##0%_);_(* \(#,##0%\);_(* &quot;-&quot;?_);_(* @_)">
                  <c:v>0</c:v>
                </c:pt>
                <c:pt idx="31" formatCode="_(* #,##0%_);_(* \(#,##0%\);_(* &quot;-&quot;?_);_(* @_)">
                  <c:v>0</c:v>
                </c:pt>
                <c:pt idx="32" formatCode="_(* #,##0%_);_(* \(#,##0%\);_(* &quot;-&quot;?_);_(* @_)">
                  <c:v>0.05</c:v>
                </c:pt>
                <c:pt idx="33" formatCode="_(* #,##0%_);_(* \(#,##0%\);_(* &quot;-&quot;?_);_(* @_)">
                  <c:v>0.05</c:v>
                </c:pt>
              </c:numCache>
            </c:numRef>
          </c:val>
          <c:smooth val="0"/>
          <c:extLst>
            <c:ext xmlns:c16="http://schemas.microsoft.com/office/drawing/2014/chart" uri="{C3380CC4-5D6E-409C-BE32-E72D297353CC}">
              <c16:uniqueId val="{00000001-B23D-4D86-96BB-BA4CB2AA72C7}"/>
            </c:ext>
          </c:extLst>
        </c:ser>
        <c:ser>
          <c:idx val="2"/>
          <c:order val="2"/>
          <c:tx>
            <c:strRef>
              <c:f>'Windows OEM'!$A$48</c:f>
            </c:strRef>
          </c:tx>
          <c:spPr>
            <a:ln w="28575" cap="rnd">
              <a:solidFill>
                <a:schemeClr val="accent3"/>
              </a:solidFill>
              <a:round/>
            </a:ln>
            <a:effectLst/>
          </c:spPr>
          <c:marker>
            <c:symbol val="none"/>
          </c:marker>
          <c:cat>
            <c:strRef>
              <c:f>'Windows OEM'!$C$141:$AR$141</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OEM'!$K$48:$AH$48</c:f>
            </c:numRef>
          </c:val>
          <c:smooth val="0"/>
          <c:extLst>
            <c:ext xmlns:c16="http://schemas.microsoft.com/office/drawing/2014/chart" uri="{C3380CC4-5D6E-409C-BE32-E72D297353CC}">
              <c16:uniqueId val="{00000000-F6F0-4DAF-A6B5-5203F7483CB2}"/>
            </c:ext>
          </c:extLst>
        </c:ser>
        <c:dLbls>
          <c:showLegendKey val="0"/>
          <c:showVal val="0"/>
          <c:showCatName val="0"/>
          <c:showSerName val="0"/>
          <c:showPercent val="0"/>
          <c:showBubbleSize val="0"/>
        </c:dLbls>
        <c:smooth val="0"/>
        <c:axId val="523290064"/>
        <c:axId val="523297136"/>
      </c:lineChart>
      <c:catAx>
        <c:axId val="52329006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23297136"/>
        <c:crosses val="autoZero"/>
        <c:auto val="1"/>
        <c:lblAlgn val="ctr"/>
        <c:lblOffset val="100"/>
        <c:noMultiLvlLbl val="0"/>
      </c:catAx>
      <c:valAx>
        <c:axId val="52329713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23290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46</xdr:col>
      <xdr:colOff>190500</xdr:colOff>
      <xdr:row>145</xdr:row>
      <xdr:rowOff>0</xdr:rowOff>
    </xdr:from>
    <xdr:to>
      <xdr:col>52</xdr:col>
      <xdr:colOff>222250</xdr:colOff>
      <xdr:row>209</xdr:row>
      <xdr:rowOff>0</xdr:rowOff>
    </xdr:to>
    <xdr:sp macro="" textlink="">
      <xdr:nvSpPr>
        <xdr:cNvPr id="2" name="TextBox 1">
          <a:extLst>
            <a:ext uri="{FF2B5EF4-FFF2-40B4-BE49-F238E27FC236}">
              <a16:creationId xmlns:a16="http://schemas.microsoft.com/office/drawing/2014/main" id="{CBBAE518-F192-4F69-918F-87B1E061086A}"/>
            </a:ext>
          </a:extLst>
        </xdr:cNvPr>
        <xdr:cNvSpPr txBox="1"/>
      </xdr:nvSpPr>
      <xdr:spPr>
        <a:xfrm>
          <a:off x="10914063" y="21193125"/>
          <a:ext cx="3222625" cy="82788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i="0" u="sng">
              <a:solidFill>
                <a:schemeClr val="dk1"/>
              </a:solidFill>
              <a:effectLst/>
              <a:latin typeface="Arial" panose="020B0604020202020204" pitchFamily="34" charset="0"/>
              <a:ea typeface="+mn-ea"/>
              <a:cs typeface="Arial" panose="020B0604020202020204" pitchFamily="34" charset="0"/>
            </a:rPr>
            <a:t>Segment Description</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Productivity and Business Processes</a:t>
          </a:r>
        </a:p>
        <a:p>
          <a:r>
            <a:rPr lang="en-US" sz="800" b="0" i="0">
              <a:solidFill>
                <a:schemeClr val="dk1"/>
              </a:solidFill>
              <a:effectLst/>
              <a:latin typeface="Arial" panose="020B0604020202020204" pitchFamily="34" charset="0"/>
              <a:ea typeface="+mn-ea"/>
              <a:cs typeface="Arial" panose="020B0604020202020204" pitchFamily="34" charset="0"/>
            </a:rPr>
            <a:t>Our Productivity and Business Processes segment consists of products and services in our portfolio of productivity, communication, and information services, spanning a variety of devices and platforms. This segment primarily comprises: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•Office Commercial, including Office 365 subscriptions and Office licensed on-premises, comprising Office, Exchange, SharePoint, Skype for Business, and Microsoft Teams, and related Client Access Licenses (“CALs”).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•Office Consumer, including Office 365 subscriptions and Office licensed on-premises, and Office Consumer Services, including Skype, Outlook.com, and OneDrive.</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•LinkedIn, including Talent Solutions, Marketing Solutions, and Premium Subscriptions.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•Dynamics business solutions, including Dynamics ERP on-premises, Dynamics CRM on-premises, and Dynamics 365, a set of cloud-based applications across ERP and CRM.</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Intelligent Cloud</a:t>
          </a:r>
        </a:p>
        <a:p>
          <a:r>
            <a:rPr lang="en-US" sz="800" b="0" i="0">
              <a:solidFill>
                <a:schemeClr val="dk1"/>
              </a:solidFill>
              <a:effectLst/>
              <a:latin typeface="Arial" panose="020B0604020202020204" pitchFamily="34" charset="0"/>
              <a:ea typeface="+mn-ea"/>
              <a:cs typeface="Arial" panose="020B0604020202020204" pitchFamily="34" charset="0"/>
            </a:rPr>
            <a:t>Our Intelligent Cloud segment consists of our public, private, and hybrid server products and cloud services that can power modern business. This segment primarily comprises: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•Server products and cloud services, including Microsoft SQL Server, Windows Server, Visual Studio, System Center, and related CALs, and Azure.</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•Enterprise Services, including Premier Support Services and Microsoft Consulting Services.</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More Personal Computing</a:t>
          </a:r>
        </a:p>
        <a:p>
          <a:r>
            <a:rPr lang="en-US" sz="800" b="0" i="0">
              <a:solidFill>
                <a:schemeClr val="dk1"/>
              </a:solidFill>
              <a:effectLst/>
              <a:latin typeface="Arial" panose="020B0604020202020204" pitchFamily="34" charset="0"/>
              <a:ea typeface="+mn-ea"/>
              <a:cs typeface="Arial" panose="020B0604020202020204" pitchFamily="34" charset="0"/>
            </a:rPr>
            <a:t>Our More Personal Computing segment consists of products and services geared towards harmonizing the interests of end users, developers, and IT professionals across all devices. This segment primarily comprises: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•Windows, including Windows OEM licensing and other non-volume licensing of the Windows operating system; Windows Commercial, comprising volume licensing of the Windows operating system, Windows cloud services, and other Windows commercial offerings; patent licensing; Windows Internet of Things (“IoT”); and MSN advertising.</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•Devices, including Microsoft Surface, PC accessories, and other intelligent devices.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•Gaming, including Xbox hardware and Xbox software and services, comprising Xbox Live transactions, subscriptions, and advertising (“Xbox Live”), video games, and third-party video game royalties.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•Search.</a:t>
          </a:r>
        </a:p>
      </xdr:txBody>
    </xdr:sp>
    <xdr:clientData/>
  </xdr:twoCellAnchor>
  <xdr:twoCellAnchor>
    <xdr:from>
      <xdr:col>14</xdr:col>
      <xdr:colOff>567204</xdr:colOff>
      <xdr:row>4</xdr:row>
      <xdr:rowOff>142314</xdr:rowOff>
    </xdr:from>
    <xdr:to>
      <xdr:col>14</xdr:col>
      <xdr:colOff>567204</xdr:colOff>
      <xdr:row>1054</xdr:row>
      <xdr:rowOff>41461</xdr:rowOff>
    </xdr:to>
    <xdr:cxnSp macro="">
      <xdr:nvCxnSpPr>
        <xdr:cNvPr id="9" name="Straight Connector 8">
          <a:extLst>
            <a:ext uri="{FF2B5EF4-FFF2-40B4-BE49-F238E27FC236}">
              <a16:creationId xmlns:a16="http://schemas.microsoft.com/office/drawing/2014/main" id="{88C151CD-6EF3-48BA-8F09-ED6C224A218D}"/>
            </a:ext>
          </a:extLst>
        </xdr:cNvPr>
        <xdr:cNvCxnSpPr/>
      </xdr:nvCxnSpPr>
      <xdr:spPr>
        <a:xfrm>
          <a:off x="4529604" y="723339"/>
          <a:ext cx="0" cy="84671647"/>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2704</xdr:colOff>
      <xdr:row>4</xdr:row>
      <xdr:rowOff>142314</xdr:rowOff>
    </xdr:from>
    <xdr:to>
      <xdr:col>23</xdr:col>
      <xdr:colOff>2704</xdr:colOff>
      <xdr:row>1054</xdr:row>
      <xdr:rowOff>41461</xdr:rowOff>
    </xdr:to>
    <xdr:cxnSp macro="">
      <xdr:nvCxnSpPr>
        <xdr:cNvPr id="14" name="Straight Connector 13">
          <a:extLst>
            <a:ext uri="{FF2B5EF4-FFF2-40B4-BE49-F238E27FC236}">
              <a16:creationId xmlns:a16="http://schemas.microsoft.com/office/drawing/2014/main" id="{D2EBF312-79DE-4F0D-8D09-BF20E02F9E2A}"/>
            </a:ext>
          </a:extLst>
        </xdr:cNvPr>
        <xdr:cNvCxnSpPr/>
      </xdr:nvCxnSpPr>
      <xdr:spPr>
        <a:xfrm>
          <a:off x="14262990" y="686600"/>
          <a:ext cx="0" cy="92545647"/>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606717</xdr:colOff>
      <xdr:row>4</xdr:row>
      <xdr:rowOff>142314</xdr:rowOff>
    </xdr:from>
    <xdr:to>
      <xdr:col>66</xdr:col>
      <xdr:colOff>606717</xdr:colOff>
      <xdr:row>1054</xdr:row>
      <xdr:rowOff>41461</xdr:rowOff>
    </xdr:to>
    <xdr:cxnSp macro="">
      <xdr:nvCxnSpPr>
        <xdr:cNvPr id="15" name="Straight Connector 14">
          <a:extLst>
            <a:ext uri="{FF2B5EF4-FFF2-40B4-BE49-F238E27FC236}">
              <a16:creationId xmlns:a16="http://schemas.microsoft.com/office/drawing/2014/main" id="{93AC25A3-C3AE-474E-8259-EF4216C89294}"/>
            </a:ext>
          </a:extLst>
        </xdr:cNvPr>
        <xdr:cNvCxnSpPr/>
      </xdr:nvCxnSpPr>
      <xdr:spPr>
        <a:xfrm>
          <a:off x="21688717" y="665255"/>
          <a:ext cx="0" cy="112294147"/>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47623</xdr:colOff>
      <xdr:row>798</xdr:row>
      <xdr:rowOff>47625</xdr:rowOff>
    </xdr:from>
    <xdr:to>
      <xdr:col>34</xdr:col>
      <xdr:colOff>433294</xdr:colOff>
      <xdr:row>810</xdr:row>
      <xdr:rowOff>71437</xdr:rowOff>
    </xdr:to>
    <xdr:sp macro="" textlink="">
      <xdr:nvSpPr>
        <xdr:cNvPr id="11" name="TextBox 10">
          <a:extLst>
            <a:ext uri="{FF2B5EF4-FFF2-40B4-BE49-F238E27FC236}">
              <a16:creationId xmlns:a16="http://schemas.microsoft.com/office/drawing/2014/main" id="{F96158CC-A0A1-4595-A055-71D9E868756D}"/>
            </a:ext>
          </a:extLst>
        </xdr:cNvPr>
        <xdr:cNvSpPr txBox="1"/>
      </xdr:nvSpPr>
      <xdr:spPr>
        <a:xfrm>
          <a:off x="264270" y="77958390"/>
          <a:ext cx="6608671" cy="15478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i="0" u="sng">
              <a:solidFill>
                <a:schemeClr val="dk1"/>
              </a:solidFill>
              <a:effectLst/>
              <a:latin typeface="Arial" panose="020B0604020202020204" pitchFamily="34" charset="0"/>
              <a:ea typeface="+mn-ea"/>
              <a:cs typeface="Arial" panose="020B0604020202020204" pitchFamily="34" charset="0"/>
            </a:rPr>
            <a:t>Segment Description</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Product revenue </a:t>
          </a:r>
          <a:r>
            <a:rPr lang="en-US" sz="800" b="0" i="0">
              <a:solidFill>
                <a:schemeClr val="dk1"/>
              </a:solidFill>
              <a:effectLst/>
              <a:latin typeface="Arial" panose="020B0604020202020204" pitchFamily="34" charset="0"/>
              <a:ea typeface="+mn-ea"/>
              <a:cs typeface="Arial" panose="020B0604020202020204" pitchFamily="34" charset="0"/>
            </a:rPr>
            <a:t>includes sales from operating systems; cross-device productivity applications; server applications; business solution applications; desktop and server management tools; software development tools; video games; and hardware such as PCs, tablets, gaming and entertainment consoles, other intelligent devices, and related accessories.</a:t>
          </a:r>
        </a:p>
        <a:p>
          <a:endParaRPr lang="en-US" sz="800" b="0"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Service and other revenue </a:t>
          </a:r>
          <a:r>
            <a:rPr lang="en-US" sz="800" b="0" i="0">
              <a:solidFill>
                <a:schemeClr val="dk1"/>
              </a:solidFill>
              <a:effectLst/>
              <a:latin typeface="Arial" panose="020B0604020202020204" pitchFamily="34" charset="0"/>
              <a:ea typeface="+mn-ea"/>
              <a:cs typeface="Arial" panose="020B0604020202020204" pitchFamily="34" charset="0"/>
            </a:rPr>
            <a:t>includes sales from cloud-based solutions that provide customers with software, services, platforms, and content such as Microsoft Office 365, Microsoft Azure, Microsoft Dynamics 365, and Xbox Live; solution support; and consulting services. Service and other revenue also includes sales from online advertising and LinkedIn.</a:t>
          </a:r>
        </a:p>
        <a:p>
          <a:endParaRPr lang="en-US" sz="800" b="1" i="0">
            <a:solidFill>
              <a:schemeClr val="dk1"/>
            </a:solidFill>
            <a:effectLst/>
            <a:latin typeface="Arial" panose="020B0604020202020204" pitchFamily="34" charset="0"/>
            <a:ea typeface="+mn-ea"/>
            <a:cs typeface="Arial" panose="020B0604020202020204" pitchFamily="34" charset="0"/>
          </a:endParaRPr>
        </a:p>
      </xdr:txBody>
    </xdr:sp>
    <xdr:clientData/>
  </xdr:twoCellAnchor>
  <xdr:twoCellAnchor>
    <xdr:from>
      <xdr:col>26</xdr:col>
      <xdr:colOff>625488</xdr:colOff>
      <xdr:row>4</xdr:row>
      <xdr:rowOff>142314</xdr:rowOff>
    </xdr:from>
    <xdr:to>
      <xdr:col>26</xdr:col>
      <xdr:colOff>625488</xdr:colOff>
      <xdr:row>1054</xdr:row>
      <xdr:rowOff>41461</xdr:rowOff>
    </xdr:to>
    <xdr:cxnSp macro="">
      <xdr:nvCxnSpPr>
        <xdr:cNvPr id="12" name="Straight Connector 11">
          <a:extLst>
            <a:ext uri="{FF2B5EF4-FFF2-40B4-BE49-F238E27FC236}">
              <a16:creationId xmlns:a16="http://schemas.microsoft.com/office/drawing/2014/main" id="{67A101C6-4CBF-43B0-8D4F-A6B8F6C21634}"/>
            </a:ext>
          </a:extLst>
        </xdr:cNvPr>
        <xdr:cNvCxnSpPr/>
      </xdr:nvCxnSpPr>
      <xdr:spPr>
        <a:xfrm>
          <a:off x="12463702" y="704743"/>
          <a:ext cx="0" cy="79591647"/>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5432</xdr:colOff>
      <xdr:row>4</xdr:row>
      <xdr:rowOff>142314</xdr:rowOff>
    </xdr:from>
    <xdr:to>
      <xdr:col>31</xdr:col>
      <xdr:colOff>5432</xdr:colOff>
      <xdr:row>1054</xdr:row>
      <xdr:rowOff>41461</xdr:rowOff>
    </xdr:to>
    <xdr:cxnSp macro="">
      <xdr:nvCxnSpPr>
        <xdr:cNvPr id="18" name="Straight Connector 17">
          <a:extLst>
            <a:ext uri="{FF2B5EF4-FFF2-40B4-BE49-F238E27FC236}">
              <a16:creationId xmlns:a16="http://schemas.microsoft.com/office/drawing/2014/main" id="{B1FB9445-C63C-4F8D-BAFC-68A53B027AB2}"/>
            </a:ext>
          </a:extLst>
        </xdr:cNvPr>
        <xdr:cNvCxnSpPr/>
      </xdr:nvCxnSpPr>
      <xdr:spPr>
        <a:xfrm>
          <a:off x="13579491" y="680196"/>
          <a:ext cx="0" cy="75830206"/>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478117</xdr:colOff>
      <xdr:row>1066</xdr:row>
      <xdr:rowOff>59764</xdr:rowOff>
    </xdr:from>
    <xdr:to>
      <xdr:col>25</xdr:col>
      <xdr:colOff>448236</xdr:colOff>
      <xdr:row>1088</xdr:row>
      <xdr:rowOff>8964</xdr:rowOff>
    </xdr:to>
    <xdr:graphicFrame macro="">
      <xdr:nvGraphicFramePr>
        <xdr:cNvPr id="6" name="Chart 5">
          <a:extLst>
            <a:ext uri="{FF2B5EF4-FFF2-40B4-BE49-F238E27FC236}">
              <a16:creationId xmlns:a16="http://schemas.microsoft.com/office/drawing/2014/main" id="{1F5B69D3-1653-4014-95BF-7940414068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560293</xdr:colOff>
      <xdr:row>1066</xdr:row>
      <xdr:rowOff>59764</xdr:rowOff>
    </xdr:from>
    <xdr:to>
      <xdr:col>34</xdr:col>
      <xdr:colOff>358588</xdr:colOff>
      <xdr:row>1088</xdr:row>
      <xdr:rowOff>8964</xdr:rowOff>
    </xdr:to>
    <xdr:graphicFrame macro="">
      <xdr:nvGraphicFramePr>
        <xdr:cNvPr id="7" name="Chart 6">
          <a:extLst>
            <a:ext uri="{FF2B5EF4-FFF2-40B4-BE49-F238E27FC236}">
              <a16:creationId xmlns:a16="http://schemas.microsoft.com/office/drawing/2014/main" id="{3072E601-CA24-49E6-21AD-38506B5EB6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604146</xdr:colOff>
      <xdr:row>4</xdr:row>
      <xdr:rowOff>142314</xdr:rowOff>
    </xdr:from>
    <xdr:to>
      <xdr:col>34</xdr:col>
      <xdr:colOff>604146</xdr:colOff>
      <xdr:row>1054</xdr:row>
      <xdr:rowOff>41461</xdr:rowOff>
    </xdr:to>
    <xdr:cxnSp macro="">
      <xdr:nvCxnSpPr>
        <xdr:cNvPr id="3" name="Straight Connector 2">
          <a:extLst>
            <a:ext uri="{FF2B5EF4-FFF2-40B4-BE49-F238E27FC236}">
              <a16:creationId xmlns:a16="http://schemas.microsoft.com/office/drawing/2014/main" id="{B7344724-5F2A-AF80-52DC-EEA9B8CECA21}"/>
            </a:ext>
          </a:extLst>
        </xdr:cNvPr>
        <xdr:cNvCxnSpPr/>
      </xdr:nvCxnSpPr>
      <xdr:spPr>
        <a:xfrm>
          <a:off x="13975432" y="686600"/>
          <a:ext cx="0" cy="79709575"/>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10235</xdr:colOff>
      <xdr:row>5</xdr:row>
      <xdr:rowOff>374</xdr:rowOff>
    </xdr:from>
    <xdr:to>
      <xdr:col>39</xdr:col>
      <xdr:colOff>10235</xdr:colOff>
      <xdr:row>1054</xdr:row>
      <xdr:rowOff>71345</xdr:rowOff>
    </xdr:to>
    <xdr:cxnSp macro="">
      <xdr:nvCxnSpPr>
        <xdr:cNvPr id="10" name="Straight Connector 9">
          <a:extLst>
            <a:ext uri="{FF2B5EF4-FFF2-40B4-BE49-F238E27FC236}">
              <a16:creationId xmlns:a16="http://schemas.microsoft.com/office/drawing/2014/main" id="{0678DF26-9972-228F-C1FF-00F503B21EA0}"/>
            </a:ext>
          </a:extLst>
        </xdr:cNvPr>
        <xdr:cNvCxnSpPr/>
      </xdr:nvCxnSpPr>
      <xdr:spPr>
        <a:xfrm>
          <a:off x="9512823" y="695139"/>
          <a:ext cx="0" cy="106033794"/>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80</xdr:col>
      <xdr:colOff>358588</xdr:colOff>
      <xdr:row>61</xdr:row>
      <xdr:rowOff>96868</xdr:rowOff>
    </xdr:from>
    <xdr:to>
      <xdr:col>99</xdr:col>
      <xdr:colOff>320719</xdr:colOff>
      <xdr:row>115</xdr:row>
      <xdr:rowOff>113374</xdr:rowOff>
    </xdr:to>
    <xdr:pic>
      <xdr:nvPicPr>
        <xdr:cNvPr id="16" name="Picture 15">
          <a:extLst>
            <a:ext uri="{FF2B5EF4-FFF2-40B4-BE49-F238E27FC236}">
              <a16:creationId xmlns:a16="http://schemas.microsoft.com/office/drawing/2014/main" id="{098FB1AC-3295-D793-DE3F-29330766C74A}"/>
            </a:ext>
          </a:extLst>
        </xdr:cNvPr>
        <xdr:cNvPicPr>
          <a:picLocks noChangeAspect="1"/>
        </xdr:cNvPicPr>
      </xdr:nvPicPr>
      <xdr:blipFill>
        <a:blip xmlns:r="http://schemas.openxmlformats.org/officeDocument/2006/relationships" r:embed="rId3"/>
        <a:stretch>
          <a:fillRect/>
        </a:stretch>
      </xdr:blipFill>
      <xdr:spPr>
        <a:xfrm>
          <a:off x="31555764" y="8030633"/>
          <a:ext cx="9610394" cy="5350255"/>
        </a:xfrm>
        <a:prstGeom prst="rect">
          <a:avLst/>
        </a:prstGeom>
      </xdr:spPr>
    </xdr:pic>
    <xdr:clientData/>
  </xdr:twoCellAnchor>
  <xdr:twoCellAnchor editAs="oneCell">
    <xdr:from>
      <xdr:col>69</xdr:col>
      <xdr:colOff>247793</xdr:colOff>
      <xdr:row>118</xdr:row>
      <xdr:rowOff>19750</xdr:rowOff>
    </xdr:from>
    <xdr:to>
      <xdr:col>76</xdr:col>
      <xdr:colOff>487597</xdr:colOff>
      <xdr:row>140</xdr:row>
      <xdr:rowOff>82177</xdr:rowOff>
    </xdr:to>
    <xdr:pic>
      <xdr:nvPicPr>
        <xdr:cNvPr id="8" name="Picture 7">
          <a:extLst>
            <a:ext uri="{FF2B5EF4-FFF2-40B4-BE49-F238E27FC236}">
              <a16:creationId xmlns:a16="http://schemas.microsoft.com/office/drawing/2014/main" id="{2C23C79A-5962-2855-8261-9785DD07FACC}"/>
            </a:ext>
          </a:extLst>
        </xdr:cNvPr>
        <xdr:cNvPicPr>
          <a:picLocks noChangeAspect="1"/>
        </xdr:cNvPicPr>
      </xdr:nvPicPr>
      <xdr:blipFill>
        <a:blip xmlns:r="http://schemas.openxmlformats.org/officeDocument/2006/relationships" r:embed="rId4"/>
        <a:stretch>
          <a:fillRect/>
        </a:stretch>
      </xdr:blipFill>
      <xdr:spPr>
        <a:xfrm>
          <a:off x="23742793" y="12062338"/>
          <a:ext cx="5648510" cy="29460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69</xdr:col>
      <xdr:colOff>420228</xdr:colOff>
      <xdr:row>63</xdr:row>
      <xdr:rowOff>26733</xdr:rowOff>
    </xdr:from>
    <xdr:to>
      <xdr:col>75</xdr:col>
      <xdr:colOff>326571</xdr:colOff>
      <xdr:row>78</xdr:row>
      <xdr:rowOff>40821</xdr:rowOff>
    </xdr:to>
    <xdr:graphicFrame macro="">
      <xdr:nvGraphicFramePr>
        <xdr:cNvPr id="3" name="Chart 2">
          <a:extLst>
            <a:ext uri="{FF2B5EF4-FFF2-40B4-BE49-F238E27FC236}">
              <a16:creationId xmlns:a16="http://schemas.microsoft.com/office/drawing/2014/main" id="{B47F3B3A-6729-39F6-D222-6EAAB72F34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148085</xdr:colOff>
      <xdr:row>63</xdr:row>
      <xdr:rowOff>26733</xdr:rowOff>
    </xdr:from>
    <xdr:to>
      <xdr:col>69</xdr:col>
      <xdr:colOff>163285</xdr:colOff>
      <xdr:row>78</xdr:row>
      <xdr:rowOff>40821</xdr:rowOff>
    </xdr:to>
    <xdr:graphicFrame macro="">
      <xdr:nvGraphicFramePr>
        <xdr:cNvPr id="5" name="Chart 4">
          <a:extLst>
            <a:ext uri="{FF2B5EF4-FFF2-40B4-BE49-F238E27FC236}">
              <a16:creationId xmlns:a16="http://schemas.microsoft.com/office/drawing/2014/main" id="{8BBAE5B3-0F2D-3A3C-9A1D-48DB2D210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176098</xdr:colOff>
      <xdr:row>63</xdr:row>
      <xdr:rowOff>26733</xdr:rowOff>
    </xdr:from>
    <xdr:to>
      <xdr:col>28</xdr:col>
      <xdr:colOff>313765</xdr:colOff>
      <xdr:row>82</xdr:row>
      <xdr:rowOff>108857</xdr:rowOff>
    </xdr:to>
    <xdr:graphicFrame macro="">
      <xdr:nvGraphicFramePr>
        <xdr:cNvPr id="6" name="Chart 5">
          <a:extLst>
            <a:ext uri="{FF2B5EF4-FFF2-40B4-BE49-F238E27FC236}">
              <a16:creationId xmlns:a16="http://schemas.microsoft.com/office/drawing/2014/main" id="{0A3FE3DD-3A03-7A3A-8F73-E1FA3E2D3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442640</xdr:colOff>
      <xdr:row>63</xdr:row>
      <xdr:rowOff>26733</xdr:rowOff>
    </xdr:from>
    <xdr:to>
      <xdr:col>36</xdr:col>
      <xdr:colOff>22413</xdr:colOff>
      <xdr:row>82</xdr:row>
      <xdr:rowOff>108857</xdr:rowOff>
    </xdr:to>
    <xdr:graphicFrame macro="">
      <xdr:nvGraphicFramePr>
        <xdr:cNvPr id="7" name="Chart 6">
          <a:extLst>
            <a:ext uri="{FF2B5EF4-FFF2-40B4-BE49-F238E27FC236}">
              <a16:creationId xmlns:a16="http://schemas.microsoft.com/office/drawing/2014/main" id="{53CA968E-33AB-0E55-213F-4292F66AFD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156882</xdr:colOff>
      <xdr:row>63</xdr:row>
      <xdr:rowOff>26733</xdr:rowOff>
    </xdr:from>
    <xdr:to>
      <xdr:col>43</xdr:col>
      <xdr:colOff>358587</xdr:colOff>
      <xdr:row>82</xdr:row>
      <xdr:rowOff>108857</xdr:rowOff>
    </xdr:to>
    <xdr:graphicFrame macro="">
      <xdr:nvGraphicFramePr>
        <xdr:cNvPr id="9" name="Chart 8">
          <a:extLst>
            <a:ext uri="{FF2B5EF4-FFF2-40B4-BE49-F238E27FC236}">
              <a16:creationId xmlns:a16="http://schemas.microsoft.com/office/drawing/2014/main" id="{91EACBB6-4BDD-FB5F-D915-4DB590394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376206</xdr:colOff>
      <xdr:row>63</xdr:row>
      <xdr:rowOff>26733</xdr:rowOff>
    </xdr:from>
    <xdr:to>
      <xdr:col>50</xdr:col>
      <xdr:colOff>560294</xdr:colOff>
      <xdr:row>82</xdr:row>
      <xdr:rowOff>108857</xdr:rowOff>
    </xdr:to>
    <xdr:graphicFrame macro="">
      <xdr:nvGraphicFramePr>
        <xdr:cNvPr id="10" name="Chart 9">
          <a:extLst>
            <a:ext uri="{FF2B5EF4-FFF2-40B4-BE49-F238E27FC236}">
              <a16:creationId xmlns:a16="http://schemas.microsoft.com/office/drawing/2014/main" id="{915C6BEE-C931-E203-C186-50666A548A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197969</xdr:colOff>
      <xdr:row>65</xdr:row>
      <xdr:rowOff>108857</xdr:rowOff>
    </xdr:from>
    <xdr:to>
      <xdr:col>34</xdr:col>
      <xdr:colOff>197969</xdr:colOff>
      <xdr:row>78</xdr:row>
      <xdr:rowOff>40821</xdr:rowOff>
    </xdr:to>
    <xdr:cxnSp macro="">
      <xdr:nvCxnSpPr>
        <xdr:cNvPr id="13" name="Straight Connector 12">
          <a:extLst>
            <a:ext uri="{FF2B5EF4-FFF2-40B4-BE49-F238E27FC236}">
              <a16:creationId xmlns:a16="http://schemas.microsoft.com/office/drawing/2014/main" id="{56FEF082-D1FD-AB37-0077-FB69D130E355}"/>
            </a:ext>
          </a:extLst>
        </xdr:cNvPr>
        <xdr:cNvCxnSpPr/>
      </xdr:nvCxnSpPr>
      <xdr:spPr>
        <a:xfrm flipV="1">
          <a:off x="7885204" y="9611445"/>
          <a:ext cx="0" cy="1825758"/>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32551</xdr:colOff>
      <xdr:row>65</xdr:row>
      <xdr:rowOff>108857</xdr:rowOff>
    </xdr:from>
    <xdr:to>
      <xdr:col>42</xdr:col>
      <xdr:colOff>32551</xdr:colOff>
      <xdr:row>78</xdr:row>
      <xdr:rowOff>0</xdr:rowOff>
    </xdr:to>
    <xdr:cxnSp macro="">
      <xdr:nvCxnSpPr>
        <xdr:cNvPr id="15" name="Straight Connector 14">
          <a:extLst>
            <a:ext uri="{FF2B5EF4-FFF2-40B4-BE49-F238E27FC236}">
              <a16:creationId xmlns:a16="http://schemas.microsoft.com/office/drawing/2014/main" id="{05411107-A111-FC22-A705-0A42A08BD491}"/>
            </a:ext>
          </a:extLst>
        </xdr:cNvPr>
        <xdr:cNvCxnSpPr/>
      </xdr:nvCxnSpPr>
      <xdr:spPr>
        <a:xfrm flipV="1">
          <a:off x="12381433" y="9611445"/>
          <a:ext cx="0" cy="1784937"/>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244662</xdr:colOff>
      <xdr:row>65</xdr:row>
      <xdr:rowOff>108857</xdr:rowOff>
    </xdr:from>
    <xdr:to>
      <xdr:col>49</xdr:col>
      <xdr:colOff>244662</xdr:colOff>
      <xdr:row>78</xdr:row>
      <xdr:rowOff>2722</xdr:rowOff>
    </xdr:to>
    <xdr:cxnSp macro="">
      <xdr:nvCxnSpPr>
        <xdr:cNvPr id="16" name="Straight Connector 15">
          <a:extLst>
            <a:ext uri="{FF2B5EF4-FFF2-40B4-BE49-F238E27FC236}">
              <a16:creationId xmlns:a16="http://schemas.microsoft.com/office/drawing/2014/main" id="{98BEB315-526D-AD87-0021-2B79D3BAF1AD}"/>
            </a:ext>
          </a:extLst>
        </xdr:cNvPr>
        <xdr:cNvCxnSpPr/>
      </xdr:nvCxnSpPr>
      <xdr:spPr>
        <a:xfrm flipV="1">
          <a:off x="16706103" y="9611445"/>
          <a:ext cx="0" cy="1787659"/>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564029</xdr:colOff>
      <xdr:row>65</xdr:row>
      <xdr:rowOff>108857</xdr:rowOff>
    </xdr:from>
    <xdr:to>
      <xdr:col>26</xdr:col>
      <xdr:colOff>564029</xdr:colOff>
      <xdr:row>78</xdr:row>
      <xdr:rowOff>40821</xdr:rowOff>
    </xdr:to>
    <xdr:cxnSp macro="">
      <xdr:nvCxnSpPr>
        <xdr:cNvPr id="2" name="Straight Connector 1">
          <a:extLst>
            <a:ext uri="{FF2B5EF4-FFF2-40B4-BE49-F238E27FC236}">
              <a16:creationId xmlns:a16="http://schemas.microsoft.com/office/drawing/2014/main" id="{30C96BA3-DF8F-D39C-4BCC-EB592CC3E3CA}"/>
            </a:ext>
          </a:extLst>
        </xdr:cNvPr>
        <xdr:cNvCxnSpPr/>
      </xdr:nvCxnSpPr>
      <xdr:spPr>
        <a:xfrm flipV="1">
          <a:off x="3589617" y="9611445"/>
          <a:ext cx="0" cy="1825758"/>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372842</xdr:colOff>
      <xdr:row>97</xdr:row>
      <xdr:rowOff>112687</xdr:rowOff>
    </xdr:from>
    <xdr:to>
      <xdr:col>38</xdr:col>
      <xdr:colOff>148322</xdr:colOff>
      <xdr:row>121</xdr:row>
      <xdr:rowOff>115790</xdr:rowOff>
    </xdr:to>
    <xdr:graphicFrame macro="">
      <xdr:nvGraphicFramePr>
        <xdr:cNvPr id="3" name="Chart 2">
          <a:extLst>
            <a:ext uri="{FF2B5EF4-FFF2-40B4-BE49-F238E27FC236}">
              <a16:creationId xmlns:a16="http://schemas.microsoft.com/office/drawing/2014/main" id="{BC8FD471-9ACB-0342-A807-ED2D65408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362860</xdr:colOff>
      <xdr:row>97</xdr:row>
      <xdr:rowOff>117223</xdr:rowOff>
    </xdr:from>
    <xdr:to>
      <xdr:col>24</xdr:col>
      <xdr:colOff>443816</xdr:colOff>
      <xdr:row>121</xdr:row>
      <xdr:rowOff>116398</xdr:rowOff>
    </xdr:to>
    <xdr:graphicFrame macro="">
      <xdr:nvGraphicFramePr>
        <xdr:cNvPr id="14" name="Chart 1">
          <a:extLst>
            <a:ext uri="{FF2B5EF4-FFF2-40B4-BE49-F238E27FC236}">
              <a16:creationId xmlns:a16="http://schemas.microsoft.com/office/drawing/2014/main" id="{A4157F1D-577D-562B-FEF6-6F582B31D6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217713</xdr:colOff>
      <xdr:row>150</xdr:row>
      <xdr:rowOff>99786</xdr:rowOff>
    </xdr:from>
    <xdr:to>
      <xdr:col>41</xdr:col>
      <xdr:colOff>217713</xdr:colOff>
      <xdr:row>164</xdr:row>
      <xdr:rowOff>36286</xdr:rowOff>
    </xdr:to>
    <xdr:cxnSp macro="">
      <xdr:nvCxnSpPr>
        <xdr:cNvPr id="5" name="Straight Connector 4">
          <a:extLst>
            <a:ext uri="{FF2B5EF4-FFF2-40B4-BE49-F238E27FC236}">
              <a16:creationId xmlns:a16="http://schemas.microsoft.com/office/drawing/2014/main" id="{EC14C08C-A6E5-04ED-ECCF-38C89B10E626}"/>
            </a:ext>
          </a:extLst>
        </xdr:cNvPr>
        <xdr:cNvCxnSpPr/>
      </xdr:nvCxnSpPr>
      <xdr:spPr>
        <a:xfrm>
          <a:off x="18142856" y="7293429"/>
          <a:ext cx="0" cy="171450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244042</xdr:colOff>
      <xdr:row>101</xdr:row>
      <xdr:rowOff>104586</xdr:rowOff>
    </xdr:from>
    <xdr:to>
      <xdr:col>22</xdr:col>
      <xdr:colOff>244042</xdr:colOff>
      <xdr:row>120</xdr:row>
      <xdr:rowOff>104586</xdr:rowOff>
    </xdr:to>
    <xdr:cxnSp macro="">
      <xdr:nvCxnSpPr>
        <xdr:cNvPr id="16" name="Straight Connector 7">
          <a:extLst>
            <a:ext uri="{FF2B5EF4-FFF2-40B4-BE49-F238E27FC236}">
              <a16:creationId xmlns:a16="http://schemas.microsoft.com/office/drawing/2014/main" id="{6991CE6D-CC74-A119-1818-27EC0ED37D20}"/>
            </a:ext>
          </a:extLst>
        </xdr:cNvPr>
        <xdr:cNvCxnSpPr/>
      </xdr:nvCxnSpPr>
      <xdr:spPr>
        <a:xfrm>
          <a:off x="8506513" y="11444939"/>
          <a:ext cx="0" cy="241300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178754</xdr:colOff>
      <xdr:row>101</xdr:row>
      <xdr:rowOff>120461</xdr:rowOff>
    </xdr:from>
    <xdr:to>
      <xdr:col>36</xdr:col>
      <xdr:colOff>178754</xdr:colOff>
      <xdr:row>120</xdr:row>
      <xdr:rowOff>120461</xdr:rowOff>
    </xdr:to>
    <xdr:cxnSp macro="">
      <xdr:nvCxnSpPr>
        <xdr:cNvPr id="9" name="Straight Connector 8">
          <a:extLst>
            <a:ext uri="{FF2B5EF4-FFF2-40B4-BE49-F238E27FC236}">
              <a16:creationId xmlns:a16="http://schemas.microsoft.com/office/drawing/2014/main" id="{B7FF7826-0365-EDDF-7576-D5CDA02C7D0E}"/>
            </a:ext>
          </a:extLst>
        </xdr:cNvPr>
        <xdr:cNvCxnSpPr/>
      </xdr:nvCxnSpPr>
      <xdr:spPr>
        <a:xfrm>
          <a:off x="15575636" y="11460814"/>
          <a:ext cx="0" cy="241300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362860</xdr:colOff>
      <xdr:row>66</xdr:row>
      <xdr:rowOff>38786</xdr:rowOff>
    </xdr:from>
    <xdr:to>
      <xdr:col>24</xdr:col>
      <xdr:colOff>443816</xdr:colOff>
      <xdr:row>97</xdr:row>
      <xdr:rowOff>37961</xdr:rowOff>
    </xdr:to>
    <xdr:graphicFrame macro="">
      <xdr:nvGraphicFramePr>
        <xdr:cNvPr id="7" name="Chart 9">
          <a:extLst>
            <a:ext uri="{FF2B5EF4-FFF2-40B4-BE49-F238E27FC236}">
              <a16:creationId xmlns:a16="http://schemas.microsoft.com/office/drawing/2014/main" id="{D8E218F7-7DC4-FB59-734E-DB5624C28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372842</xdr:colOff>
      <xdr:row>66</xdr:row>
      <xdr:rowOff>34250</xdr:rowOff>
    </xdr:from>
    <xdr:to>
      <xdr:col>38</xdr:col>
      <xdr:colOff>148322</xdr:colOff>
      <xdr:row>97</xdr:row>
      <xdr:rowOff>37353</xdr:rowOff>
    </xdr:to>
    <xdr:graphicFrame macro="">
      <xdr:nvGraphicFramePr>
        <xdr:cNvPr id="11" name="Chart 10">
          <a:extLst>
            <a:ext uri="{FF2B5EF4-FFF2-40B4-BE49-F238E27FC236}">
              <a16:creationId xmlns:a16="http://schemas.microsoft.com/office/drawing/2014/main" id="{BE638C7E-ACC6-940E-94DE-1E68714BE7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277660</xdr:colOff>
      <xdr:row>78</xdr:row>
      <xdr:rowOff>40821</xdr:rowOff>
    </xdr:from>
    <xdr:to>
      <xdr:col>22</xdr:col>
      <xdr:colOff>277660</xdr:colOff>
      <xdr:row>97</xdr:row>
      <xdr:rowOff>40821</xdr:rowOff>
    </xdr:to>
    <xdr:cxnSp macro="">
      <xdr:nvCxnSpPr>
        <xdr:cNvPr id="15" name="Straight Connector 11">
          <a:extLst>
            <a:ext uri="{FF2B5EF4-FFF2-40B4-BE49-F238E27FC236}">
              <a16:creationId xmlns:a16="http://schemas.microsoft.com/office/drawing/2014/main" id="{F918783D-DCD1-BD56-24F4-D88BCF93207F}"/>
            </a:ext>
          </a:extLst>
        </xdr:cNvPr>
        <xdr:cNvCxnSpPr/>
      </xdr:nvCxnSpPr>
      <xdr:spPr>
        <a:xfrm>
          <a:off x="8906189" y="9027939"/>
          <a:ext cx="0" cy="2767853"/>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172606</xdr:colOff>
      <xdr:row>78</xdr:row>
      <xdr:rowOff>40821</xdr:rowOff>
    </xdr:from>
    <xdr:to>
      <xdr:col>36</xdr:col>
      <xdr:colOff>172606</xdr:colOff>
      <xdr:row>97</xdr:row>
      <xdr:rowOff>40821</xdr:rowOff>
    </xdr:to>
    <xdr:cxnSp macro="">
      <xdr:nvCxnSpPr>
        <xdr:cNvPr id="2" name="Straight Connector 11">
          <a:extLst>
            <a:ext uri="{FF2B5EF4-FFF2-40B4-BE49-F238E27FC236}">
              <a16:creationId xmlns:a16="http://schemas.microsoft.com/office/drawing/2014/main" id="{C81DBCE6-BB5D-1413-D8E8-0889782A864C}"/>
            </a:ext>
          </a:extLst>
        </xdr:cNvPr>
        <xdr:cNvCxnSpPr/>
      </xdr:nvCxnSpPr>
      <xdr:spPr>
        <a:xfrm>
          <a:off x="16331488" y="9027939"/>
          <a:ext cx="0" cy="2767853"/>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21</xdr:col>
      <xdr:colOff>9071</xdr:colOff>
      <xdr:row>4</xdr:row>
      <xdr:rowOff>0</xdr:rowOff>
    </xdr:from>
    <xdr:to>
      <xdr:col>21</xdr:col>
      <xdr:colOff>9071</xdr:colOff>
      <xdr:row>218</xdr:row>
      <xdr:rowOff>33618</xdr:rowOff>
    </xdr:to>
    <xdr:cxnSp macro="">
      <xdr:nvCxnSpPr>
        <xdr:cNvPr id="2" name="Straight Connector 1">
          <a:extLst>
            <a:ext uri="{FF2B5EF4-FFF2-40B4-BE49-F238E27FC236}">
              <a16:creationId xmlns:a16="http://schemas.microsoft.com/office/drawing/2014/main" id="{BD0CAF63-5C62-4860-BDC6-70C9A2C466F1}"/>
            </a:ext>
          </a:extLst>
        </xdr:cNvPr>
        <xdr:cNvCxnSpPr/>
      </xdr:nvCxnSpPr>
      <xdr:spPr>
        <a:xfrm>
          <a:off x="5506357" y="535214"/>
          <a:ext cx="0" cy="14883547"/>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21</xdr:col>
      <xdr:colOff>0</xdr:colOff>
      <xdr:row>4</xdr:row>
      <xdr:rowOff>0</xdr:rowOff>
    </xdr:from>
    <xdr:to>
      <xdr:col>21</xdr:col>
      <xdr:colOff>0</xdr:colOff>
      <xdr:row>216</xdr:row>
      <xdr:rowOff>33618</xdr:rowOff>
    </xdr:to>
    <xdr:cxnSp macro="">
      <xdr:nvCxnSpPr>
        <xdr:cNvPr id="3" name="Straight Connector 2">
          <a:extLst>
            <a:ext uri="{FF2B5EF4-FFF2-40B4-BE49-F238E27FC236}">
              <a16:creationId xmlns:a16="http://schemas.microsoft.com/office/drawing/2014/main" id="{2FBBF15D-2F40-4427-833E-514FBE682951}"/>
            </a:ext>
          </a:extLst>
        </xdr:cNvPr>
        <xdr:cNvCxnSpPr/>
      </xdr:nvCxnSpPr>
      <xdr:spPr>
        <a:xfrm>
          <a:off x="5453529" y="530412"/>
          <a:ext cx="0" cy="14840324"/>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9071</xdr:colOff>
      <xdr:row>4</xdr:row>
      <xdr:rowOff>0</xdr:rowOff>
    </xdr:from>
    <xdr:to>
      <xdr:col>21</xdr:col>
      <xdr:colOff>9071</xdr:colOff>
      <xdr:row>218</xdr:row>
      <xdr:rowOff>33618</xdr:rowOff>
    </xdr:to>
    <xdr:cxnSp macro="">
      <xdr:nvCxnSpPr>
        <xdr:cNvPr id="2" name="Straight Connector 1">
          <a:extLst>
            <a:ext uri="{FF2B5EF4-FFF2-40B4-BE49-F238E27FC236}">
              <a16:creationId xmlns:a16="http://schemas.microsoft.com/office/drawing/2014/main" id="{2D5C9EE8-B1BD-4492-BC93-95307848B2D7}"/>
            </a:ext>
          </a:extLst>
        </xdr:cNvPr>
        <xdr:cNvCxnSpPr/>
      </xdr:nvCxnSpPr>
      <xdr:spPr>
        <a:xfrm>
          <a:off x="5657396" y="571500"/>
          <a:ext cx="0" cy="16607118"/>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21</xdr:col>
      <xdr:colOff>7471</xdr:colOff>
      <xdr:row>4</xdr:row>
      <xdr:rowOff>0</xdr:rowOff>
    </xdr:from>
    <xdr:to>
      <xdr:col>21</xdr:col>
      <xdr:colOff>7471</xdr:colOff>
      <xdr:row>216</xdr:row>
      <xdr:rowOff>33618</xdr:rowOff>
    </xdr:to>
    <xdr:cxnSp macro="">
      <xdr:nvCxnSpPr>
        <xdr:cNvPr id="4" name="Straight Connector 3">
          <a:extLst>
            <a:ext uri="{FF2B5EF4-FFF2-40B4-BE49-F238E27FC236}">
              <a16:creationId xmlns:a16="http://schemas.microsoft.com/office/drawing/2014/main" id="{602FAFC2-EBD3-4BB0-8F87-62CDD49AB4F5}"/>
            </a:ext>
          </a:extLst>
        </xdr:cNvPr>
        <xdr:cNvCxnSpPr/>
      </xdr:nvCxnSpPr>
      <xdr:spPr>
        <a:xfrm>
          <a:off x="5461000" y="530412"/>
          <a:ext cx="0" cy="1486273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4</xdr:row>
      <xdr:rowOff>0</xdr:rowOff>
    </xdr:from>
    <xdr:to>
      <xdr:col>21</xdr:col>
      <xdr:colOff>0</xdr:colOff>
      <xdr:row>216</xdr:row>
      <xdr:rowOff>33618</xdr:rowOff>
    </xdr:to>
    <xdr:cxnSp macro="">
      <xdr:nvCxnSpPr>
        <xdr:cNvPr id="2" name="Straight Connector 1">
          <a:extLst>
            <a:ext uri="{FF2B5EF4-FFF2-40B4-BE49-F238E27FC236}">
              <a16:creationId xmlns:a16="http://schemas.microsoft.com/office/drawing/2014/main" id="{96703836-D09B-480F-B5F8-58A1A4A28653}"/>
            </a:ext>
          </a:extLst>
        </xdr:cNvPr>
        <xdr:cNvCxnSpPr/>
      </xdr:nvCxnSpPr>
      <xdr:spPr>
        <a:xfrm>
          <a:off x="5648325" y="571500"/>
          <a:ext cx="0" cy="16321368"/>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9071</xdr:colOff>
      <xdr:row>4</xdr:row>
      <xdr:rowOff>0</xdr:rowOff>
    </xdr:from>
    <xdr:to>
      <xdr:col>21</xdr:col>
      <xdr:colOff>9071</xdr:colOff>
      <xdr:row>218</xdr:row>
      <xdr:rowOff>33618</xdr:rowOff>
    </xdr:to>
    <xdr:cxnSp macro="">
      <xdr:nvCxnSpPr>
        <xdr:cNvPr id="3" name="Straight Connector 2">
          <a:extLst>
            <a:ext uri="{FF2B5EF4-FFF2-40B4-BE49-F238E27FC236}">
              <a16:creationId xmlns:a16="http://schemas.microsoft.com/office/drawing/2014/main" id="{09E5216D-BA0E-4A10-955B-4B9AB81D8B85}"/>
            </a:ext>
          </a:extLst>
        </xdr:cNvPr>
        <xdr:cNvCxnSpPr/>
      </xdr:nvCxnSpPr>
      <xdr:spPr>
        <a:xfrm>
          <a:off x="5657396" y="571500"/>
          <a:ext cx="0" cy="16607118"/>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0</xdr:colOff>
      <xdr:row>5</xdr:row>
      <xdr:rowOff>0</xdr:rowOff>
    </xdr:from>
    <xdr:to>
      <xdr:col>7</xdr:col>
      <xdr:colOff>0</xdr:colOff>
      <xdr:row>76</xdr:row>
      <xdr:rowOff>0</xdr:rowOff>
    </xdr:to>
    <xdr:cxnSp macro="">
      <xdr:nvCxnSpPr>
        <xdr:cNvPr id="2" name="Straight Connector 1">
          <a:extLst>
            <a:ext uri="{FF2B5EF4-FFF2-40B4-BE49-F238E27FC236}">
              <a16:creationId xmlns:a16="http://schemas.microsoft.com/office/drawing/2014/main" id="{178DF785-C56A-4780-89C6-8B93C37D972D}"/>
            </a:ext>
          </a:extLst>
        </xdr:cNvPr>
        <xdr:cNvCxnSpPr/>
      </xdr:nvCxnSpPr>
      <xdr:spPr>
        <a:xfrm>
          <a:off x="3733800" y="714375"/>
          <a:ext cx="0" cy="186309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5</xdr:row>
      <xdr:rowOff>0</xdr:rowOff>
    </xdr:from>
    <xdr:to>
      <xdr:col>11</xdr:col>
      <xdr:colOff>0</xdr:colOff>
      <xdr:row>76</xdr:row>
      <xdr:rowOff>0</xdr:rowOff>
    </xdr:to>
    <xdr:cxnSp macro="">
      <xdr:nvCxnSpPr>
        <xdr:cNvPr id="3" name="Straight Connector 2">
          <a:extLst>
            <a:ext uri="{FF2B5EF4-FFF2-40B4-BE49-F238E27FC236}">
              <a16:creationId xmlns:a16="http://schemas.microsoft.com/office/drawing/2014/main" id="{E9C120B9-A338-4418-849E-D209C933FFEB}"/>
            </a:ext>
          </a:extLst>
        </xdr:cNvPr>
        <xdr:cNvCxnSpPr/>
      </xdr:nvCxnSpPr>
      <xdr:spPr>
        <a:xfrm>
          <a:off x="5981700" y="714375"/>
          <a:ext cx="0" cy="186309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5</xdr:row>
      <xdr:rowOff>0</xdr:rowOff>
    </xdr:from>
    <xdr:to>
      <xdr:col>15</xdr:col>
      <xdr:colOff>0</xdr:colOff>
      <xdr:row>76</xdr:row>
      <xdr:rowOff>0</xdr:rowOff>
    </xdr:to>
    <xdr:cxnSp macro="">
      <xdr:nvCxnSpPr>
        <xdr:cNvPr id="4" name="Straight Connector 3">
          <a:extLst>
            <a:ext uri="{FF2B5EF4-FFF2-40B4-BE49-F238E27FC236}">
              <a16:creationId xmlns:a16="http://schemas.microsoft.com/office/drawing/2014/main" id="{DECCC4F2-EAD5-4C34-9D76-5A0F40059C67}"/>
            </a:ext>
          </a:extLst>
        </xdr:cNvPr>
        <xdr:cNvCxnSpPr/>
      </xdr:nvCxnSpPr>
      <xdr:spPr>
        <a:xfrm>
          <a:off x="8229600" y="714375"/>
          <a:ext cx="0" cy="186309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14941</xdr:colOff>
      <xdr:row>5</xdr:row>
      <xdr:rowOff>0</xdr:rowOff>
    </xdr:from>
    <xdr:to>
      <xdr:col>28</xdr:col>
      <xdr:colOff>14941</xdr:colOff>
      <xdr:row>76</xdr:row>
      <xdr:rowOff>0</xdr:rowOff>
    </xdr:to>
    <xdr:cxnSp macro="">
      <xdr:nvCxnSpPr>
        <xdr:cNvPr id="5" name="Straight Connector 4">
          <a:extLst>
            <a:ext uri="{FF2B5EF4-FFF2-40B4-BE49-F238E27FC236}">
              <a16:creationId xmlns:a16="http://schemas.microsoft.com/office/drawing/2014/main" id="{FFD9884D-2242-4551-9778-3DC255E8655C}"/>
            </a:ext>
          </a:extLst>
        </xdr:cNvPr>
        <xdr:cNvCxnSpPr/>
      </xdr:nvCxnSpPr>
      <xdr:spPr>
        <a:xfrm>
          <a:off x="14530294" y="657412"/>
          <a:ext cx="0" cy="940547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36</xdr:col>
      <xdr:colOff>112058</xdr:colOff>
      <xdr:row>111</xdr:row>
      <xdr:rowOff>0</xdr:rowOff>
    </xdr:from>
    <xdr:to>
      <xdr:col>44</xdr:col>
      <xdr:colOff>222250</xdr:colOff>
      <xdr:row>161</xdr:row>
      <xdr:rowOff>0</xdr:rowOff>
    </xdr:to>
    <xdr:sp macro="" textlink="">
      <xdr:nvSpPr>
        <xdr:cNvPr id="2" name="TextBox 1">
          <a:extLst>
            <a:ext uri="{FF2B5EF4-FFF2-40B4-BE49-F238E27FC236}">
              <a16:creationId xmlns:a16="http://schemas.microsoft.com/office/drawing/2014/main" id="{A6ED0570-3F5A-4776-87B8-859D3BB406E5}"/>
            </a:ext>
          </a:extLst>
        </xdr:cNvPr>
        <xdr:cNvSpPr txBox="1"/>
      </xdr:nvSpPr>
      <xdr:spPr>
        <a:xfrm>
          <a:off x="2633382" y="15105529"/>
          <a:ext cx="4816662" cy="65106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i="0" u="sng">
              <a:solidFill>
                <a:schemeClr val="dk1"/>
              </a:solidFill>
              <a:effectLst/>
              <a:latin typeface="Arial" panose="020B0604020202020204" pitchFamily="34" charset="0"/>
              <a:ea typeface="+mn-ea"/>
              <a:cs typeface="Arial" panose="020B0604020202020204" pitchFamily="34" charset="0"/>
            </a:rPr>
            <a:t>Segment Description</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Productivity and Business Processes</a:t>
          </a:r>
        </a:p>
        <a:p>
          <a:r>
            <a:rPr lang="en-US" sz="800" b="0" i="0">
              <a:solidFill>
                <a:schemeClr val="dk1"/>
              </a:solidFill>
              <a:effectLst/>
              <a:latin typeface="Arial" panose="020B0604020202020204" pitchFamily="34" charset="0"/>
              <a:ea typeface="+mn-ea"/>
              <a:cs typeface="Arial" panose="020B0604020202020204" pitchFamily="34" charset="0"/>
            </a:rPr>
            <a:t>Our Productivity and Business Processes segment consists of products and services in our portfolio of productivity, communication, and information services, spanning a variety of devices and platforms. This segment primarily comprises: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•Office Commercial, including Office 365 subscriptions and Office licensed on-premises, comprising Office, Exchange, SharePoint, Skype for Business, and Microsoft Teams, and related Client Access Licenses (“CALs”).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•Office Consumer, including Office 365 subscriptions and Office licensed on-premises, and Office Consumer Services, including Skype, Outlook.com, and OneDrive.</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•LinkedIn, including Talent Solutions, Marketing Solutions, and Premium Subscriptions.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•Dynamics business solutions, including Dynamics ERP on-premises, Dynamics CRM on-premises, and Dynamics 365, a set of cloud-based applications across ERP and CRM.</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Intelligent Cloud</a:t>
          </a:r>
        </a:p>
        <a:p>
          <a:r>
            <a:rPr lang="en-US" sz="800" b="0" i="0">
              <a:solidFill>
                <a:schemeClr val="dk1"/>
              </a:solidFill>
              <a:effectLst/>
              <a:latin typeface="Arial" panose="020B0604020202020204" pitchFamily="34" charset="0"/>
              <a:ea typeface="+mn-ea"/>
              <a:cs typeface="Arial" panose="020B0604020202020204" pitchFamily="34" charset="0"/>
            </a:rPr>
            <a:t>Our Intelligent Cloud segment consists of our public, private, and hybrid server products and cloud services that can power modern business. This segment primarily comprises: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•Server products and cloud services, including Microsoft SQL Server, Windows Server, Visual Studio, System Center, and related CALs, and Azure.</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•Enterprise Services, including Premier Support Services and Microsoft Consulting Services.</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More Personal Computing</a:t>
          </a:r>
        </a:p>
        <a:p>
          <a:r>
            <a:rPr lang="en-US" sz="800" b="0" i="0">
              <a:solidFill>
                <a:schemeClr val="dk1"/>
              </a:solidFill>
              <a:effectLst/>
              <a:latin typeface="Arial" panose="020B0604020202020204" pitchFamily="34" charset="0"/>
              <a:ea typeface="+mn-ea"/>
              <a:cs typeface="Arial" panose="020B0604020202020204" pitchFamily="34" charset="0"/>
            </a:rPr>
            <a:t>Our More Personal Computing segment consists of products and services geared towards harmonizing the interests of end users, developers, and IT professionals across all devices. This segment primarily comprises: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•Windows, including Windows OEM licensing and other non-volume licensing of the Windows operating system; Windows Commercial, comprising volume licensing of the Windows operating system, Windows cloud services, and other Windows commercial offerings; patent licensing; Windows Internet of Things (“IoT”); and MSN advertising.</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•Devices, including Microsoft Surface, PC accessories, and other intelligent devices.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•Gaming, including Xbox hardware and Xbox software and services, comprising Xbox Live transactions, subscriptions, and advertising (“Xbox Live”), video games, and third-party video game royalties.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•Search.</a:t>
          </a:r>
        </a:p>
      </xdr:txBody>
    </xdr:sp>
    <xdr:clientData/>
  </xdr:twoCellAnchor>
  <xdr:twoCellAnchor>
    <xdr:from>
      <xdr:col>36</xdr:col>
      <xdr:colOff>78441</xdr:colOff>
      <xdr:row>200</xdr:row>
      <xdr:rowOff>56028</xdr:rowOff>
    </xdr:from>
    <xdr:to>
      <xdr:col>42</xdr:col>
      <xdr:colOff>358588</xdr:colOff>
      <xdr:row>244</xdr:row>
      <xdr:rowOff>100852</xdr:rowOff>
    </xdr:to>
    <xdr:sp macro="" textlink="">
      <xdr:nvSpPr>
        <xdr:cNvPr id="3" name="TextBox 2">
          <a:extLst>
            <a:ext uri="{FF2B5EF4-FFF2-40B4-BE49-F238E27FC236}">
              <a16:creationId xmlns:a16="http://schemas.microsoft.com/office/drawing/2014/main" id="{8C505E0A-2922-40E0-AC5E-28188892C766}"/>
            </a:ext>
          </a:extLst>
        </xdr:cNvPr>
        <xdr:cNvSpPr txBox="1"/>
      </xdr:nvSpPr>
      <xdr:spPr>
        <a:xfrm>
          <a:off x="14573250" y="28898850"/>
          <a:ext cx="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i="0" u="sng">
              <a:solidFill>
                <a:schemeClr val="dk1"/>
              </a:solidFill>
              <a:effectLst/>
              <a:latin typeface="Arial" panose="020B0604020202020204" pitchFamily="34" charset="0"/>
              <a:ea typeface="+mn-ea"/>
              <a:cs typeface="Arial" panose="020B0604020202020204" pitchFamily="34" charset="0"/>
            </a:rPr>
            <a:t>Segment Description</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0" i="1">
              <a:solidFill>
                <a:schemeClr val="dk1"/>
              </a:solidFill>
              <a:effectLst/>
              <a:latin typeface="Arial" panose="020B0604020202020204" pitchFamily="34" charset="0"/>
              <a:ea typeface="+mn-ea"/>
              <a:cs typeface="Arial" panose="020B0604020202020204" pitchFamily="34" charset="0"/>
            </a:rPr>
            <a:t>Devices and Consumer (“D&amp;C”)</a:t>
          </a:r>
          <a:endParaRPr lang="en-US" sz="800" b="0" i="0">
            <a:solidFill>
              <a:schemeClr val="dk1"/>
            </a:solidFill>
            <a:effectLst/>
            <a:latin typeface="Arial" panose="020B0604020202020204" pitchFamily="34" charset="0"/>
            <a:ea typeface="+mn-ea"/>
            <a:cs typeface="Arial" panose="020B0604020202020204" pitchFamily="34" charset="0"/>
          </a:endParaRPr>
        </a:p>
        <a:p>
          <a:r>
            <a:rPr lang="en-US" sz="800" b="0" i="0">
              <a:solidFill>
                <a:schemeClr val="dk1"/>
              </a:solidFill>
              <a:effectLst/>
              <a:latin typeface="Arial" panose="020B0604020202020204" pitchFamily="34" charset="0"/>
              <a:ea typeface="+mn-ea"/>
              <a:cs typeface="Arial" panose="020B0604020202020204" pitchFamily="34" charset="0"/>
            </a:rPr>
            <a:t>Our D&amp;C segments develop, manufacture, market, and support products and services designed to entertain and connect people, increase personal productivity, help people simplify tasks and make more informed decisions online, and help advertisers connect with audiences. Our D&amp;C segments are:</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a:solidFill>
                <a:schemeClr val="dk1"/>
              </a:solidFill>
              <a:effectLst/>
              <a:latin typeface="Arial" panose="020B0604020202020204" pitchFamily="34" charset="0"/>
              <a:ea typeface="+mn-ea"/>
              <a:cs typeface="Arial" panose="020B0604020202020204" pitchFamily="34" charset="0"/>
            </a:rPr>
            <a:t>•</a:t>
          </a:r>
          <a:r>
            <a:rPr lang="en-US" sz="800" b="1">
              <a:solidFill>
                <a:schemeClr val="dk1"/>
              </a:solidFill>
              <a:effectLst/>
              <a:latin typeface="Arial" panose="020B0604020202020204" pitchFamily="34" charset="0"/>
              <a:ea typeface="+mn-ea"/>
              <a:cs typeface="Arial" panose="020B0604020202020204" pitchFamily="34" charset="0"/>
            </a:rPr>
            <a:t>D&amp;C Licensing</a:t>
          </a:r>
          <a:r>
            <a:rPr lang="en-US" sz="800">
              <a:solidFill>
                <a:schemeClr val="dk1"/>
              </a:solidFill>
              <a:effectLst/>
              <a:latin typeface="Arial" panose="020B0604020202020204" pitchFamily="34" charset="0"/>
              <a:ea typeface="+mn-ea"/>
              <a:cs typeface="Arial" panose="020B0604020202020204" pitchFamily="34" charset="0"/>
            </a:rPr>
            <a:t>, comprising: Windows, including all OEM licensing (“Windows OEM”) and other non-volume licensing and academic volume licensing of the Windows operating system and related software; non-volume licensing of Microsoft Office, comprising the core Office product set, for consumers (“Office Consumer”); Windows Phone operating system, including related patent licensing; and certain other patent licensing revenue;</a:t>
          </a:r>
          <a:endParaRPr lang="en-US" sz="800">
            <a:latin typeface="Arial" panose="020B0604020202020204" pitchFamily="34" charset="0"/>
            <a:cs typeface="Arial" panose="020B0604020202020204" pitchFamily="34" charset="0"/>
          </a:endParaRP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a:solidFill>
                <a:schemeClr val="dk1"/>
              </a:solidFill>
              <a:effectLst/>
              <a:latin typeface="Arial" panose="020B0604020202020204" pitchFamily="34" charset="0"/>
              <a:ea typeface="+mn-ea"/>
              <a:cs typeface="Arial" panose="020B0604020202020204" pitchFamily="34" charset="0"/>
            </a:rPr>
            <a:t>•</a:t>
          </a:r>
          <a:r>
            <a:rPr lang="en-US" sz="800" b="1">
              <a:solidFill>
                <a:schemeClr val="dk1"/>
              </a:solidFill>
              <a:effectLst/>
              <a:latin typeface="Arial" panose="020B0604020202020204" pitchFamily="34" charset="0"/>
              <a:ea typeface="+mn-ea"/>
              <a:cs typeface="Arial" panose="020B0604020202020204" pitchFamily="34" charset="0"/>
            </a:rPr>
            <a:t>Computing and Gaming Hardware</a:t>
          </a:r>
          <a:r>
            <a:rPr lang="en-US" sz="800">
              <a:solidFill>
                <a:schemeClr val="dk1"/>
              </a:solidFill>
              <a:effectLst/>
              <a:latin typeface="Arial" panose="020B0604020202020204" pitchFamily="34" charset="0"/>
              <a:ea typeface="+mn-ea"/>
              <a:cs typeface="Arial" panose="020B0604020202020204" pitchFamily="34" charset="0"/>
            </a:rPr>
            <a:t>, comprising: Xbox gaming and entertainment consoles and accessories, second-party and third-party video game royalties, and Xbox Live subscriptions (“Xbox Platform”); Surface devices and accessories; and Microsoft PC accessories;</a:t>
          </a:r>
          <a:endParaRPr lang="en-US" sz="800">
            <a:latin typeface="Arial" panose="020B0604020202020204" pitchFamily="34" charset="0"/>
            <a:cs typeface="Arial" panose="020B0604020202020204" pitchFamily="34" charset="0"/>
          </a:endParaRP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a:solidFill>
                <a:schemeClr val="dk1"/>
              </a:solidFill>
              <a:effectLst/>
              <a:latin typeface="Arial" panose="020B0604020202020204" pitchFamily="34" charset="0"/>
              <a:ea typeface="+mn-ea"/>
              <a:cs typeface="Arial" panose="020B0604020202020204" pitchFamily="34" charset="0"/>
            </a:rPr>
            <a:t>•</a:t>
          </a:r>
          <a:r>
            <a:rPr lang="en-US" sz="800" b="1">
              <a:solidFill>
                <a:schemeClr val="dk1"/>
              </a:solidFill>
              <a:effectLst/>
              <a:latin typeface="Arial" panose="020B0604020202020204" pitchFamily="34" charset="0"/>
              <a:ea typeface="+mn-ea"/>
              <a:cs typeface="Arial" panose="020B0604020202020204" pitchFamily="34" charset="0"/>
            </a:rPr>
            <a:t>Phone Hardware,</a:t>
          </a:r>
          <a:r>
            <a:rPr lang="en-US" sz="800">
              <a:solidFill>
                <a:schemeClr val="dk1"/>
              </a:solidFill>
              <a:effectLst/>
              <a:latin typeface="Arial" panose="020B0604020202020204" pitchFamily="34" charset="0"/>
              <a:ea typeface="+mn-ea"/>
              <a:cs typeface="Arial" panose="020B0604020202020204" pitchFamily="34" charset="0"/>
            </a:rPr>
            <a:t> comprising: Lumia Smartphones and other non-Lumia phones, beginning with our acquisition of NDS; and</a:t>
          </a:r>
          <a:endParaRPr lang="en-US" sz="800">
            <a:latin typeface="Arial" panose="020B0604020202020204" pitchFamily="34" charset="0"/>
            <a:cs typeface="Arial" panose="020B0604020202020204" pitchFamily="34" charset="0"/>
          </a:endParaRP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a:solidFill>
                <a:schemeClr val="dk1"/>
              </a:solidFill>
              <a:effectLst/>
              <a:latin typeface="Arial" panose="020B0604020202020204" pitchFamily="34" charset="0"/>
              <a:ea typeface="+mn-ea"/>
              <a:cs typeface="Arial" panose="020B0604020202020204" pitchFamily="34" charset="0"/>
            </a:rPr>
            <a:t>•</a:t>
          </a:r>
          <a:r>
            <a:rPr lang="en-US" sz="800" b="1">
              <a:solidFill>
                <a:schemeClr val="dk1"/>
              </a:solidFill>
              <a:effectLst/>
              <a:latin typeface="Arial" panose="020B0604020202020204" pitchFamily="34" charset="0"/>
              <a:ea typeface="+mn-ea"/>
              <a:cs typeface="Arial" panose="020B0604020202020204" pitchFamily="34" charset="0"/>
            </a:rPr>
            <a:t>D&amp;C Other</a:t>
          </a:r>
          <a:r>
            <a:rPr lang="en-US" sz="800">
              <a:solidFill>
                <a:schemeClr val="dk1"/>
              </a:solidFill>
              <a:effectLst/>
              <a:latin typeface="Arial" panose="020B0604020202020204" pitchFamily="34" charset="0"/>
              <a:ea typeface="+mn-ea"/>
              <a:cs typeface="Arial" panose="020B0604020202020204" pitchFamily="34" charset="0"/>
            </a:rPr>
            <a:t>, comprising: Resale, including Windows Store, Xbox Live transactions, and Windows Phone Store; search advertising; display advertising; Office 365 Consumer, comprising Office 365 Home and Office 365 Personal; Studios, comprising first-party video games; our retail stores; and certain other consumer products and services not included in the categories above.</a:t>
          </a:r>
          <a:endParaRPr lang="en-US" sz="800">
            <a:latin typeface="Arial" panose="020B0604020202020204" pitchFamily="34" charset="0"/>
            <a:cs typeface="Arial" panose="020B0604020202020204" pitchFamily="34" charset="0"/>
          </a:endParaRPr>
        </a:p>
        <a:p>
          <a:endParaRPr lang="en-US" sz="800" b="0" i="1">
            <a:solidFill>
              <a:schemeClr val="dk1"/>
            </a:solidFill>
            <a:effectLst/>
            <a:latin typeface="Arial" panose="020B0604020202020204" pitchFamily="34" charset="0"/>
            <a:ea typeface="+mn-ea"/>
            <a:cs typeface="Arial" panose="020B0604020202020204" pitchFamily="34" charset="0"/>
          </a:endParaRPr>
        </a:p>
        <a:p>
          <a:r>
            <a:rPr lang="en-US" sz="800" b="0" i="1">
              <a:solidFill>
                <a:schemeClr val="dk1"/>
              </a:solidFill>
              <a:effectLst/>
              <a:latin typeface="Arial" panose="020B0604020202020204" pitchFamily="34" charset="0"/>
              <a:ea typeface="+mn-ea"/>
              <a:cs typeface="Arial" panose="020B0604020202020204" pitchFamily="34" charset="0"/>
            </a:rPr>
            <a:t>Commercial</a:t>
          </a:r>
          <a:endParaRPr lang="en-US" sz="800" b="0" i="0">
            <a:solidFill>
              <a:schemeClr val="dk1"/>
            </a:solidFill>
            <a:effectLst/>
            <a:latin typeface="Arial" panose="020B0604020202020204" pitchFamily="34" charset="0"/>
            <a:ea typeface="+mn-ea"/>
            <a:cs typeface="Arial" panose="020B0604020202020204" pitchFamily="34" charset="0"/>
          </a:endParaRPr>
        </a:p>
        <a:p>
          <a:r>
            <a:rPr lang="en-US" sz="800" b="0" i="0">
              <a:solidFill>
                <a:schemeClr val="dk1"/>
              </a:solidFill>
              <a:effectLst/>
              <a:latin typeface="Arial" panose="020B0604020202020204" pitchFamily="34" charset="0"/>
              <a:ea typeface="+mn-ea"/>
              <a:cs typeface="Arial" panose="020B0604020202020204" pitchFamily="34" charset="0"/>
            </a:rPr>
            <a:t>Our Commercial segments develop, market, and support software and services designed to increase individual, team, and organizational productivity and efficiency, including simplifying everyday tasks through seamless operations across the user’s hardware and software. Our Commercial segments are:</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a:solidFill>
                <a:schemeClr val="dk1"/>
              </a:solidFill>
              <a:effectLst/>
              <a:latin typeface="Arial" panose="020B0604020202020204" pitchFamily="34" charset="0"/>
              <a:ea typeface="+mn-ea"/>
              <a:cs typeface="Arial" panose="020B0604020202020204" pitchFamily="34" charset="0"/>
            </a:rPr>
            <a:t>•</a:t>
          </a:r>
          <a:r>
            <a:rPr lang="en-US" sz="800" b="1">
              <a:solidFill>
                <a:schemeClr val="dk1"/>
              </a:solidFill>
              <a:effectLst/>
              <a:latin typeface="Arial" panose="020B0604020202020204" pitchFamily="34" charset="0"/>
              <a:ea typeface="+mn-ea"/>
              <a:cs typeface="Arial" panose="020B0604020202020204" pitchFamily="34" charset="0"/>
            </a:rPr>
            <a:t>Commercial Licensing</a:t>
          </a:r>
          <a:r>
            <a:rPr lang="en-US" sz="800">
              <a:solidFill>
                <a:schemeClr val="dk1"/>
              </a:solidFill>
              <a:effectLst/>
              <a:latin typeface="Arial" panose="020B0604020202020204" pitchFamily="34" charset="0"/>
              <a:ea typeface="+mn-ea"/>
              <a:cs typeface="Arial" panose="020B0604020202020204" pitchFamily="34" charset="0"/>
            </a:rPr>
            <a:t>, comprising: server products, including Windows Server, Microsoft SQL Server, Visual Studio, System Center, and related Client Access Licenses (“CALs”); Windows Embedded; volume licensing of the Windows operating system, excluding academic (“Windows Commercial”); Microsoft Office for business, including Office, Exchange, SharePoint, Lync, and related CALs (“Office Commercial”); Microsoft Dynamics business solutions, excluding Dynamics CRM Online; and Skype; and</a:t>
          </a:r>
          <a:endParaRPr lang="en-US" sz="800">
            <a:latin typeface="Arial" panose="020B0604020202020204" pitchFamily="34" charset="0"/>
            <a:cs typeface="Arial" panose="020B0604020202020204" pitchFamily="34" charset="0"/>
          </a:endParaRP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a:solidFill>
                <a:schemeClr val="dk1"/>
              </a:solidFill>
              <a:effectLst/>
              <a:latin typeface="Arial" panose="020B0604020202020204" pitchFamily="34" charset="0"/>
              <a:ea typeface="+mn-ea"/>
              <a:cs typeface="Arial" panose="020B0604020202020204" pitchFamily="34" charset="0"/>
            </a:rPr>
            <a:t>•</a:t>
          </a:r>
          <a:r>
            <a:rPr lang="en-US" sz="800" b="1">
              <a:solidFill>
                <a:schemeClr val="dk1"/>
              </a:solidFill>
              <a:effectLst/>
              <a:latin typeface="Arial" panose="020B0604020202020204" pitchFamily="34" charset="0"/>
              <a:ea typeface="+mn-ea"/>
              <a:cs typeface="Arial" panose="020B0604020202020204" pitchFamily="34" charset="0"/>
            </a:rPr>
            <a:t>Commercial Other</a:t>
          </a:r>
          <a:r>
            <a:rPr lang="en-US" sz="800">
              <a:solidFill>
                <a:schemeClr val="dk1"/>
              </a:solidFill>
              <a:effectLst/>
              <a:latin typeface="Arial" panose="020B0604020202020204" pitchFamily="34" charset="0"/>
              <a:ea typeface="+mn-ea"/>
              <a:cs typeface="Arial" panose="020B0604020202020204" pitchFamily="34" charset="0"/>
            </a:rPr>
            <a:t>, comprising: Enterprise Services, including Premier Support Services and Microsoft Consulting Services; Commercial Cloud, comprising Office 365 Commercial, other Microsoft Office online offerings, Dynamics CRM Online, and Microsoft Azure; and certain other commercial products and online services not included in the categories above.</a:t>
          </a:r>
          <a:endParaRPr lang="en-US" sz="800">
            <a:latin typeface="Arial" panose="020B0604020202020204" pitchFamily="34" charset="0"/>
            <a:cs typeface="Arial" panose="020B0604020202020204" pitchFamily="34" charset="0"/>
          </a:endParaRPr>
        </a:p>
      </xdr:txBody>
    </xdr:sp>
    <xdr:clientData/>
  </xdr:twoCellAnchor>
  <xdr:twoCellAnchor>
    <xdr:from>
      <xdr:col>14</xdr:col>
      <xdr:colOff>567204</xdr:colOff>
      <xdr:row>4</xdr:row>
      <xdr:rowOff>142314</xdr:rowOff>
    </xdr:from>
    <xdr:to>
      <xdr:col>14</xdr:col>
      <xdr:colOff>567204</xdr:colOff>
      <xdr:row>723</xdr:row>
      <xdr:rowOff>0</xdr:rowOff>
    </xdr:to>
    <xdr:cxnSp macro="">
      <xdr:nvCxnSpPr>
        <xdr:cNvPr id="4" name="Straight Connector 3">
          <a:extLst>
            <a:ext uri="{FF2B5EF4-FFF2-40B4-BE49-F238E27FC236}">
              <a16:creationId xmlns:a16="http://schemas.microsoft.com/office/drawing/2014/main" id="{3501772B-4FE7-441A-880F-5E0B90D2D170}"/>
            </a:ext>
          </a:extLst>
        </xdr:cNvPr>
        <xdr:cNvCxnSpPr/>
      </xdr:nvCxnSpPr>
      <xdr:spPr>
        <a:xfrm>
          <a:off x="2400300" y="723339"/>
          <a:ext cx="0" cy="8959607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510053</xdr:colOff>
      <xdr:row>4</xdr:row>
      <xdr:rowOff>142314</xdr:rowOff>
    </xdr:from>
    <xdr:to>
      <xdr:col>18</xdr:col>
      <xdr:colOff>510053</xdr:colOff>
      <xdr:row>723</xdr:row>
      <xdr:rowOff>0</xdr:rowOff>
    </xdr:to>
    <xdr:cxnSp macro="">
      <xdr:nvCxnSpPr>
        <xdr:cNvPr id="5" name="Straight Connector 4">
          <a:extLst>
            <a:ext uri="{FF2B5EF4-FFF2-40B4-BE49-F238E27FC236}">
              <a16:creationId xmlns:a16="http://schemas.microsoft.com/office/drawing/2014/main" id="{EB06DFBD-93A0-4CB4-A902-8D4DDEB8698B}"/>
            </a:ext>
          </a:extLst>
        </xdr:cNvPr>
        <xdr:cNvCxnSpPr/>
      </xdr:nvCxnSpPr>
      <xdr:spPr>
        <a:xfrm>
          <a:off x="4586753" y="723339"/>
          <a:ext cx="0" cy="8959607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519780</xdr:colOff>
      <xdr:row>4</xdr:row>
      <xdr:rowOff>142314</xdr:rowOff>
    </xdr:from>
    <xdr:to>
      <xdr:col>22</xdr:col>
      <xdr:colOff>519780</xdr:colOff>
      <xdr:row>723</xdr:row>
      <xdr:rowOff>0</xdr:rowOff>
    </xdr:to>
    <xdr:cxnSp macro="">
      <xdr:nvCxnSpPr>
        <xdr:cNvPr id="6" name="Straight Connector 5">
          <a:extLst>
            <a:ext uri="{FF2B5EF4-FFF2-40B4-BE49-F238E27FC236}">
              <a16:creationId xmlns:a16="http://schemas.microsoft.com/office/drawing/2014/main" id="{83703553-866E-4A0E-A684-DA113C62D7CE}"/>
            </a:ext>
          </a:extLst>
        </xdr:cNvPr>
        <xdr:cNvCxnSpPr/>
      </xdr:nvCxnSpPr>
      <xdr:spPr>
        <a:xfrm>
          <a:off x="6682455" y="723339"/>
          <a:ext cx="0" cy="89596072"/>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9068</xdr:colOff>
      <xdr:row>5</xdr:row>
      <xdr:rowOff>8964</xdr:rowOff>
    </xdr:from>
    <xdr:to>
      <xdr:col>57</xdr:col>
      <xdr:colOff>9068</xdr:colOff>
      <xdr:row>723</xdr:row>
      <xdr:rowOff>38100</xdr:rowOff>
    </xdr:to>
    <xdr:cxnSp macro="">
      <xdr:nvCxnSpPr>
        <xdr:cNvPr id="7" name="Straight Connector 6">
          <a:extLst>
            <a:ext uri="{FF2B5EF4-FFF2-40B4-BE49-F238E27FC236}">
              <a16:creationId xmlns:a16="http://schemas.microsoft.com/office/drawing/2014/main" id="{62425A46-3E47-4631-9F28-104F6AEC0630}"/>
            </a:ext>
          </a:extLst>
        </xdr:cNvPr>
        <xdr:cNvCxnSpPr/>
      </xdr:nvCxnSpPr>
      <xdr:spPr>
        <a:xfrm>
          <a:off x="13353593" y="761439"/>
          <a:ext cx="0" cy="87744861"/>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562</xdr:row>
      <xdr:rowOff>47625</xdr:rowOff>
    </xdr:from>
    <xdr:to>
      <xdr:col>57</xdr:col>
      <xdr:colOff>526676</xdr:colOff>
      <xdr:row>573</xdr:row>
      <xdr:rowOff>71437</xdr:rowOff>
    </xdr:to>
    <xdr:sp macro="" textlink="">
      <xdr:nvSpPr>
        <xdr:cNvPr id="8" name="TextBox 7">
          <a:extLst>
            <a:ext uri="{FF2B5EF4-FFF2-40B4-BE49-F238E27FC236}">
              <a16:creationId xmlns:a16="http://schemas.microsoft.com/office/drawing/2014/main" id="{739CE975-E19A-4521-ABA6-01B5DB6ACC87}"/>
            </a:ext>
          </a:extLst>
        </xdr:cNvPr>
        <xdr:cNvSpPr txBox="1"/>
      </xdr:nvSpPr>
      <xdr:spPr>
        <a:xfrm>
          <a:off x="271742" y="63988390"/>
          <a:ext cx="13533905" cy="17495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i="0" u="sng">
              <a:solidFill>
                <a:schemeClr val="dk1"/>
              </a:solidFill>
              <a:effectLst/>
              <a:latin typeface="Arial" panose="020B0604020202020204" pitchFamily="34" charset="0"/>
              <a:ea typeface="+mn-ea"/>
              <a:cs typeface="Arial" panose="020B0604020202020204" pitchFamily="34" charset="0"/>
            </a:rPr>
            <a:t>Segment Description</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Product revenue </a:t>
          </a:r>
          <a:r>
            <a:rPr lang="en-US" sz="800" b="0" i="0">
              <a:solidFill>
                <a:schemeClr val="dk1"/>
              </a:solidFill>
              <a:effectLst/>
              <a:latin typeface="Arial" panose="020B0604020202020204" pitchFamily="34" charset="0"/>
              <a:ea typeface="+mn-ea"/>
              <a:cs typeface="Arial" panose="020B0604020202020204" pitchFamily="34" charset="0"/>
            </a:rPr>
            <a:t>includes sales from operating systems; cross-device productivity applications; server applications; business solution applications; desktop and server management tools; software development tools; video games; and hardware such as PCs, tablets, gaming and entertainment consoles, other intelligent devices, and related accessories.</a:t>
          </a:r>
        </a:p>
        <a:p>
          <a:endParaRPr lang="en-US" sz="800" b="0"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Service and other revenue </a:t>
          </a:r>
          <a:r>
            <a:rPr lang="en-US" sz="800" b="0" i="0">
              <a:solidFill>
                <a:schemeClr val="dk1"/>
              </a:solidFill>
              <a:effectLst/>
              <a:latin typeface="Arial" panose="020B0604020202020204" pitchFamily="34" charset="0"/>
              <a:ea typeface="+mn-ea"/>
              <a:cs typeface="Arial" panose="020B0604020202020204" pitchFamily="34" charset="0"/>
            </a:rPr>
            <a:t>includes sales from cloud-based solutions that provide customers with software, services, platforms, and content such as Microsoft Office 365, Microsoft Azure, Microsoft Dynamics 365, and Xbox Live; solution support; and consulting services. Service and other revenue also includes sales from online advertising and LinkedIn.</a:t>
          </a:r>
        </a:p>
        <a:p>
          <a:endParaRPr lang="en-US" sz="800" b="1" i="0">
            <a:solidFill>
              <a:schemeClr val="dk1"/>
            </a:solidFill>
            <a:effectLst/>
            <a:latin typeface="Arial" panose="020B0604020202020204" pitchFamily="34" charset="0"/>
            <a:ea typeface="+mn-ea"/>
            <a:cs typeface="Arial" panose="020B0604020202020204" pitchFamily="34" charset="0"/>
          </a:endParaRPr>
        </a:p>
      </xdr:txBody>
    </xdr:sp>
    <xdr:clientData/>
  </xdr:twoCellAnchor>
  <xdr:twoCellAnchor>
    <xdr:from>
      <xdr:col>26</xdr:col>
      <xdr:colOff>625488</xdr:colOff>
      <xdr:row>4</xdr:row>
      <xdr:rowOff>142314</xdr:rowOff>
    </xdr:from>
    <xdr:to>
      <xdr:col>26</xdr:col>
      <xdr:colOff>625488</xdr:colOff>
      <xdr:row>723</xdr:row>
      <xdr:rowOff>0</xdr:rowOff>
    </xdr:to>
    <xdr:cxnSp macro="">
      <xdr:nvCxnSpPr>
        <xdr:cNvPr id="9" name="Straight Connector 8">
          <a:extLst>
            <a:ext uri="{FF2B5EF4-FFF2-40B4-BE49-F238E27FC236}">
              <a16:creationId xmlns:a16="http://schemas.microsoft.com/office/drawing/2014/main" id="{9BDEED9B-F93F-41E2-8DEB-7DD2083BD318}"/>
            </a:ext>
          </a:extLst>
        </xdr:cNvPr>
        <xdr:cNvCxnSpPr/>
      </xdr:nvCxnSpPr>
      <xdr:spPr>
        <a:xfrm>
          <a:off x="9083688" y="723339"/>
          <a:ext cx="0" cy="89596072"/>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5432</xdr:colOff>
      <xdr:row>4</xdr:row>
      <xdr:rowOff>142314</xdr:rowOff>
    </xdr:from>
    <xdr:to>
      <xdr:col>31</xdr:col>
      <xdr:colOff>5432</xdr:colOff>
      <xdr:row>723</xdr:row>
      <xdr:rowOff>0</xdr:rowOff>
    </xdr:to>
    <xdr:cxnSp macro="">
      <xdr:nvCxnSpPr>
        <xdr:cNvPr id="10" name="Straight Connector 9">
          <a:extLst>
            <a:ext uri="{FF2B5EF4-FFF2-40B4-BE49-F238E27FC236}">
              <a16:creationId xmlns:a16="http://schemas.microsoft.com/office/drawing/2014/main" id="{2DD1D3DB-5D8C-424E-B1F8-348E02C4F3CB}"/>
            </a:ext>
          </a:extLst>
        </xdr:cNvPr>
        <xdr:cNvCxnSpPr/>
      </xdr:nvCxnSpPr>
      <xdr:spPr>
        <a:xfrm>
          <a:off x="11587832" y="723339"/>
          <a:ext cx="0" cy="89596072"/>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5432</xdr:colOff>
      <xdr:row>4</xdr:row>
      <xdr:rowOff>142314</xdr:rowOff>
    </xdr:from>
    <xdr:to>
      <xdr:col>32</xdr:col>
      <xdr:colOff>5432</xdr:colOff>
      <xdr:row>723</xdr:row>
      <xdr:rowOff>0</xdr:rowOff>
    </xdr:to>
    <xdr:cxnSp macro="">
      <xdr:nvCxnSpPr>
        <xdr:cNvPr id="14" name="Straight Connector 13">
          <a:extLst>
            <a:ext uri="{FF2B5EF4-FFF2-40B4-BE49-F238E27FC236}">
              <a16:creationId xmlns:a16="http://schemas.microsoft.com/office/drawing/2014/main" id="{94C0DC25-F525-4052-93F6-4C6BEF93309D}"/>
            </a:ext>
          </a:extLst>
        </xdr:cNvPr>
        <xdr:cNvCxnSpPr/>
      </xdr:nvCxnSpPr>
      <xdr:spPr>
        <a:xfrm>
          <a:off x="12197432" y="723339"/>
          <a:ext cx="0" cy="89596072"/>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58</xdr:col>
      <xdr:colOff>567766</xdr:colOff>
      <xdr:row>92</xdr:row>
      <xdr:rowOff>37562</xdr:rowOff>
    </xdr:from>
    <xdr:to>
      <xdr:col>65</xdr:col>
      <xdr:colOff>452630</xdr:colOff>
      <xdr:row>117</xdr:row>
      <xdr:rowOff>114291</xdr:rowOff>
    </xdr:to>
    <xdr:pic>
      <xdr:nvPicPr>
        <xdr:cNvPr id="15" name="Picture 14">
          <a:extLst>
            <a:ext uri="{FF2B5EF4-FFF2-40B4-BE49-F238E27FC236}">
              <a16:creationId xmlns:a16="http://schemas.microsoft.com/office/drawing/2014/main" id="{79949DA0-F084-4CC3-A416-474378B90E9C}"/>
            </a:ext>
          </a:extLst>
        </xdr:cNvPr>
        <xdr:cNvPicPr>
          <a:picLocks noChangeAspect="1"/>
        </xdr:cNvPicPr>
      </xdr:nvPicPr>
      <xdr:blipFill>
        <a:blip xmlns:r="http://schemas.openxmlformats.org/officeDocument/2006/relationships" r:embed="rId1"/>
        <a:stretch>
          <a:fillRect/>
        </a:stretch>
      </xdr:blipFill>
      <xdr:spPr>
        <a:xfrm>
          <a:off x="19408216" y="12153362"/>
          <a:ext cx="6257089" cy="364860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24094</xdr:colOff>
      <xdr:row>44</xdr:row>
      <xdr:rowOff>39782</xdr:rowOff>
    </xdr:from>
    <xdr:to>
      <xdr:col>10</xdr:col>
      <xdr:colOff>523875</xdr:colOff>
      <xdr:row>62</xdr:row>
      <xdr:rowOff>119117</xdr:rowOff>
    </xdr:to>
    <xdr:pic>
      <xdr:nvPicPr>
        <xdr:cNvPr id="2" name="Picture 1">
          <a:extLst>
            <a:ext uri="{FF2B5EF4-FFF2-40B4-BE49-F238E27FC236}">
              <a16:creationId xmlns:a16="http://schemas.microsoft.com/office/drawing/2014/main" id="{9BBD2291-1140-BB55-F04F-D48CCF893105}"/>
            </a:ext>
          </a:extLst>
        </xdr:cNvPr>
        <xdr:cNvPicPr>
          <a:picLocks noChangeAspect="1"/>
        </xdr:cNvPicPr>
      </xdr:nvPicPr>
      <xdr:blipFill>
        <a:blip xmlns:r="http://schemas.openxmlformats.org/officeDocument/2006/relationships" r:embed="rId1"/>
        <a:stretch>
          <a:fillRect/>
        </a:stretch>
      </xdr:blipFill>
      <xdr:spPr>
        <a:xfrm>
          <a:off x="1090894" y="3192557"/>
          <a:ext cx="4766981" cy="2651085"/>
        </a:xfrm>
        <a:prstGeom prst="rect">
          <a:avLst/>
        </a:prstGeom>
      </xdr:spPr>
    </xdr:pic>
    <xdr:clientData/>
  </xdr:twoCellAnchor>
  <xdr:twoCellAnchor editAs="oneCell">
    <xdr:from>
      <xdr:col>12</xdr:col>
      <xdr:colOff>35299</xdr:colOff>
      <xdr:row>44</xdr:row>
      <xdr:rowOff>4714</xdr:rowOff>
    </xdr:from>
    <xdr:to>
      <xdr:col>21</xdr:col>
      <xdr:colOff>115950</xdr:colOff>
      <xdr:row>63</xdr:row>
      <xdr:rowOff>0</xdr:rowOff>
    </xdr:to>
    <xdr:pic>
      <xdr:nvPicPr>
        <xdr:cNvPr id="3" name="Picture 2">
          <a:extLst>
            <a:ext uri="{FF2B5EF4-FFF2-40B4-BE49-F238E27FC236}">
              <a16:creationId xmlns:a16="http://schemas.microsoft.com/office/drawing/2014/main" id="{79421BD7-4FE8-8724-7F31-9ED887C8AB78}"/>
            </a:ext>
          </a:extLst>
        </xdr:cNvPr>
        <xdr:cNvPicPr>
          <a:picLocks noChangeAspect="1"/>
        </xdr:cNvPicPr>
      </xdr:nvPicPr>
      <xdr:blipFill>
        <a:blip xmlns:r="http://schemas.openxmlformats.org/officeDocument/2006/relationships" r:embed="rId2"/>
        <a:stretch>
          <a:fillRect/>
        </a:stretch>
      </xdr:blipFill>
      <xdr:spPr>
        <a:xfrm>
          <a:off x="6436099" y="3157489"/>
          <a:ext cx="4881251" cy="269086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5</xdr:row>
      <xdr:rowOff>2721</xdr:rowOff>
    </xdr:from>
    <xdr:to>
      <xdr:col>6</xdr:col>
      <xdr:colOff>0</xdr:colOff>
      <xdr:row>111</xdr:row>
      <xdr:rowOff>114300</xdr:rowOff>
    </xdr:to>
    <xdr:cxnSp macro="">
      <xdr:nvCxnSpPr>
        <xdr:cNvPr id="2" name="Straight Connector 1">
          <a:extLst>
            <a:ext uri="{FF2B5EF4-FFF2-40B4-BE49-F238E27FC236}">
              <a16:creationId xmlns:a16="http://schemas.microsoft.com/office/drawing/2014/main" id="{CEC509BE-954A-4114-BCA5-5495C4DD9D3B}"/>
            </a:ext>
          </a:extLst>
        </xdr:cNvPr>
        <xdr:cNvCxnSpPr/>
      </xdr:nvCxnSpPr>
      <xdr:spPr>
        <a:xfrm>
          <a:off x="4562475" y="536121"/>
          <a:ext cx="0" cy="13475154"/>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28</xdr:col>
      <xdr:colOff>0</xdr:colOff>
      <xdr:row>4</xdr:row>
      <xdr:rowOff>0</xdr:rowOff>
    </xdr:from>
    <xdr:to>
      <xdr:col>28</xdr:col>
      <xdr:colOff>0</xdr:colOff>
      <xdr:row>131</xdr:row>
      <xdr:rowOff>19610</xdr:rowOff>
    </xdr:to>
    <xdr:cxnSp macro="">
      <xdr:nvCxnSpPr>
        <xdr:cNvPr id="2" name="Straight Connector 1">
          <a:extLst>
            <a:ext uri="{FF2B5EF4-FFF2-40B4-BE49-F238E27FC236}">
              <a16:creationId xmlns:a16="http://schemas.microsoft.com/office/drawing/2014/main" id="{9705D8BE-019B-41F4-8576-596980D2CE79}"/>
            </a:ext>
          </a:extLst>
        </xdr:cNvPr>
        <xdr:cNvCxnSpPr/>
      </xdr:nvCxnSpPr>
      <xdr:spPr>
        <a:xfrm>
          <a:off x="13267765" y="582706"/>
          <a:ext cx="0" cy="18699816"/>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0</xdr:colOff>
      <xdr:row>131</xdr:row>
      <xdr:rowOff>19610</xdr:rowOff>
    </xdr:to>
    <xdr:cxnSp macro="">
      <xdr:nvCxnSpPr>
        <xdr:cNvPr id="3" name="Straight Connector 2">
          <a:extLst>
            <a:ext uri="{FF2B5EF4-FFF2-40B4-BE49-F238E27FC236}">
              <a16:creationId xmlns:a16="http://schemas.microsoft.com/office/drawing/2014/main" id="{B01AC360-49D4-4320-9834-34844F762E2D}"/>
            </a:ext>
          </a:extLst>
        </xdr:cNvPr>
        <xdr:cNvCxnSpPr/>
      </xdr:nvCxnSpPr>
      <xdr:spPr>
        <a:xfrm>
          <a:off x="6208059" y="582706"/>
          <a:ext cx="0" cy="18699816"/>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958850</xdr:colOff>
      <xdr:row>2</xdr:row>
      <xdr:rowOff>88900</xdr:rowOff>
    </xdr:to>
    <xdr:pic>
      <xdr:nvPicPr>
        <xdr:cNvPr id="2" name="Picture 2">
          <a:extLst>
            <a:ext uri="{FF2B5EF4-FFF2-40B4-BE49-F238E27FC236}">
              <a16:creationId xmlns:a16="http://schemas.microsoft.com/office/drawing/2014/main" id="{C962C618-4BAA-45AF-B5C7-44521AE5BC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588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Dan Berring" id="{4278B1C6-E86A-4359-9082-D890D57A3D72}" userId="Dan Berring" providerId="None"/>
  <person displayName="Dan Berring" id="{611737AC-4E77-4165-8EE6-5F4CCA24C1DF}" userId="S::dberring@catrockcap.com::0657c977-a13c-4668-bf06-1540a84f18b4"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16" dT="2022-07-27T11:57:35.03" personId="{611737AC-4E77-4165-8EE6-5F4CCA24C1DF}" id="{1B51892E-A1B3-4157-BFEB-B0EF403C8A0F}">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s>
</file>

<file path=xl/threadedComments/threadedComment2.xml><?xml version="1.0" encoding="utf-8"?>
<ThreadedComments xmlns="http://schemas.microsoft.com/office/spreadsheetml/2018/threadedcomments" xmlns:x="http://schemas.openxmlformats.org/spreadsheetml/2006/main">
  <threadedComment ref="I15" dT="2022-07-27T11:57:35.03" personId="{611737AC-4E77-4165-8EE6-5F4CCA24C1DF}" id="{48D3445A-EC74-4C55-899B-80FC96F2B798}">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s>
</file>

<file path=xl/threadedComments/threadedComment3.xml><?xml version="1.0" encoding="utf-8"?>
<ThreadedComments xmlns="http://schemas.microsoft.com/office/spreadsheetml/2018/threadedcomments" xmlns:x="http://schemas.openxmlformats.org/spreadsheetml/2006/main">
  <threadedComment ref="I15" dT="2022-07-27T11:57:35.03" personId="{611737AC-4E77-4165-8EE6-5F4CCA24C1DF}" id="{C78BC37E-5CCB-474E-9329-7F687E402888}">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s>
</file>

<file path=xl/threadedComments/threadedComment4.xml><?xml version="1.0" encoding="utf-8"?>
<ThreadedComments xmlns="http://schemas.microsoft.com/office/spreadsheetml/2018/threadedcomments" xmlns:x="http://schemas.openxmlformats.org/spreadsheetml/2006/main">
  <threadedComment ref="I15" dT="2022-07-27T11:57:35.03" personId="{611737AC-4E77-4165-8EE6-5F4CCA24C1DF}" id="{12E105FC-7EE4-4533-A399-47FD0BE4F005}">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s>
</file>

<file path=xl/threadedComments/threadedComment5.xml><?xml version="1.0" encoding="utf-8"?>
<ThreadedComments xmlns="http://schemas.microsoft.com/office/spreadsheetml/2018/threadedcomments" xmlns:x="http://schemas.openxmlformats.org/spreadsheetml/2006/main">
  <threadedComment ref="BG9" dT="2024-01-31T17:00:44.97" personId="{611737AC-4E77-4165-8EE6-5F4CCA24C1DF}" id="{D8F42EAC-573E-4580-BF63-D83C0F647240}">
    <text>Growth rates reflect previous policy period; margins reflect current period</text>
  </threadedComment>
  <threadedComment ref="X12" dT="2020-07-22T22:13:17.77" personId="{4278B1C6-E86A-4359-9082-D890D57A3D72}" id="{F596A33E-D6AF-4DC5-95CA-A37E863DBB31}">
    <text>35.150-36.050 Q4 guide</text>
  </threadedComment>
  <threadedComment ref="AF14" dT="2022-07-27T11:59:20.61" personId="{611737AC-4E77-4165-8EE6-5F4CCA24C1DF}" id="{E437CC59-0D1C-4CAF-B772-87FCE632ACC4}">
    <text>Q4 22 call: "Second, on FX. Assuming current rates remain stable, we expect a roughly 4-point impact to full-year revenue growth, with headwinds in H1 greater than in H2."
"With the stronger US dollar and based on current rates, we expect FX to decrease total revenue growth by approximately 5 points and to decrease total COGS and operating expense growth by approximately 3 points. Within the segments, we anticipate roughly 6 points of negative FX impact on revenue growth in Productivity and Business Processes and Intelligent Cloud and 3 points in More Personal Computing."</text>
  </threadedComment>
  <threadedComment ref="AG14" dT="2022-07-27T11:59:20.61" personId="{611737AC-4E77-4165-8EE6-5F4CCA24C1DF}" id="{C47B6BEA-B231-4054-88F5-13DC121F54A3}">
    <text>Q1 Guidance: 5ppt headwind</text>
  </threadedComment>
  <threadedComment ref="AN16" dT="2024-01-31T13:35:58.40" personId="{611737AC-4E77-4165-8EE6-5F4CCA24C1DF}" id="{48564B6D-BCA8-4B88-AB41-F7734C8CA6A3}">
    <text>Includes $700m of ATVI amort.</text>
  </threadedComment>
  <threadedComment ref="W22" dT="2020-06-09T15:31:13.15" personId="{4278B1C6-E86A-4359-9082-D890D57A3D72}" id="{F8F0B695-20FD-440C-965F-A912F0369B0E}">
    <text>11.55-11.75 COGS guide</text>
  </threadedComment>
  <threadedComment ref="X22" dT="2020-07-22T22:10:41.49" personId="{4278B1C6-E86A-4359-9082-D890D57A3D72}" id="{DC2B7D1F-83AA-4E9B-8AE2-3A0A148A0952}">
    <text>10.75-10.95 COGS guide</text>
  </threadedComment>
  <threadedComment ref="AK22" dT="2023-10-27T21:23:23.50" personId="{611737AC-4E77-4165-8EE6-5F4CCA24C1DF}" id="{B93B932F-2189-48B7-9689-56CA0DCE3900}">
    <text>Includes 580M PPA from ATVI</text>
  </threadedComment>
  <threadedComment ref="AL22" dT="2023-10-27T21:23:23.50" personId="{611737AC-4E77-4165-8EE6-5F4CCA24C1DF}" id="{B63D6ADF-8551-492B-B6C6-BCCD35519D4E}">
    <text>Includes 670M PPA from ATVI</text>
  </threadedComment>
  <threadedComment ref="AM22" dT="2023-10-27T21:23:23.50" personId="{611737AC-4E77-4165-8EE6-5F4CCA24C1DF}" id="{EC6670D8-4441-4E53-A34D-F99A21160B29}">
    <text>Includes 690M PPA from ATVI</text>
  </threadedComment>
  <threadedComment ref="AI24" dT="2023-04-27T15:56:45.86" personId="{611737AC-4E77-4165-8EE6-5F4CCA24C1DF}" id="{8A07C5F8-54F9-4134-B7E8-3BB604EE9324}">
    <text>Q3 guide of no FX impact on COGS growth</text>
  </threadedComment>
  <threadedComment ref="AN28" dT="2024-01-31T13:36:24.14" personId="{611737AC-4E77-4165-8EE6-5F4CCA24C1DF}" id="{0E7A72A8-4157-478C-A6FA-07D35FB6BA43}">
    <text>Includes $300m of ATVI costs</text>
  </threadedComment>
  <threadedComment ref="AK31" dT="2023-10-27T21:22:57.97" personId="{611737AC-4E77-4165-8EE6-5F4CCA24C1DF}" id="{5C0A8AE5-2930-460C-9266-63AA266F641B}">
    <text>Includes 400M deal costs</text>
  </threadedComment>
  <threadedComment ref="AL31" dT="2023-10-27T21:22:57.97" personId="{611737AC-4E77-4165-8EE6-5F4CCA24C1DF}" id="{5B255260-65BC-4F65-8D6D-D30729DCE61B}">
    <text>Includes 270M deal costs</text>
  </threadedComment>
  <threadedComment ref="AM31" dT="2023-10-27T21:22:57.97" personId="{611737AC-4E77-4165-8EE6-5F4CCA24C1DF}" id="{07C3E7B5-5EF3-4822-9A00-82E19BA6084F}">
    <text>Includes 250M deal costs</text>
  </threadedComment>
  <threadedComment ref="BA31" dT="2020-06-09T17:14:08.64" personId="{4278B1C6-E86A-4359-9082-D890D57A3D72}" id="{896E3A96-78A0-45E6-B06D-1CEB860F3BB7}">
    <text>Excl. EU fine</text>
  </threadedComment>
  <threadedComment ref="W32" dT="2020-06-09T15:31:13.15" personId="{4278B1C6-E86A-4359-9082-D890D57A3D72}" id="{10834FB4-F158-4FCD-BB7A-D4413C4D89DE}">
    <text>11.8-11.9 guide</text>
  </threadedComment>
  <threadedComment ref="AI38" dT="2022-10-26T12:16:25.65" personId="{611737AC-4E77-4165-8EE6-5F4CCA24C1DF}" id="{6F62FA5F-654E-4BEB-A420-E0342F1E6258}">
    <text>Q2 guide - LSD growth in CC
Q1 guide - opex growth to moderate materially through the year</text>
  </threadedComment>
  <threadedComment ref="AI39" dT="2023-04-27T15:56:45.86" personId="{611737AC-4E77-4165-8EE6-5F4CCA24C1DF}" id="{12C32A32-AA93-401A-A48D-6FBA6A5DD6B3}">
    <text>Q3 guide of no FX impact on opex growth</text>
  </threadedComment>
  <threadedComment ref="AN47" dT="2024-01-31T13:37:18.43" personId="{611737AC-4E77-4165-8EE6-5F4CCA24C1DF}" id="{97D0B22F-0137-4524-A03C-72FC19E83F3A}">
    <text>Includes 1B of ATVI deal costs</text>
  </threadedComment>
  <threadedComment ref="BN52" dT="2022-10-26T12:16:53.71" personId="{611737AC-4E77-4165-8EE6-5F4CCA24C1DF}" id="{9A6F7DBD-06F6-47D0-9349-4E465C09090E}">
    <text>Q1 guide - EBIT margins to decline ~1ppt</text>
  </threadedComment>
  <threadedComment ref="B58" dT="2021-07-10T18:02:08.19" personId="{611737AC-4E77-4165-8EE6-5F4CCA24C1DF}" id="{C483DB4D-9C4B-4739-A87A-285DFA2EB5BC}">
    <text>Q4 FY20 earnings call: Now before we turn to our outlook, I'd like to update you on a change in accounting estimate to the useful life of server and networking equipment assets in our cloud infrastructure. Effective at the start of fiscal year '21, we are extending the depreciable life for these assets to 4 years, which will apply to the asset balances on our balance sheet as of June 30, 2020, as well as future asset purchases. This change will not impact historical depreciation expense, the total depreciation expense over the life of the asset or cash flow, but it will impact the timing of depreciation expense in the future for these assets.
 As a result, based on the outstanding balances as of June 30, we expect fiscal year '21 operating income to be favorably impacted by approximately $900 million in the first quarter and approximately $2.7 billion for the full fiscal year. This has been included in the guidance we'll provide on today's call, and you will find additional details on the mechanics of the change in our earnings material</text>
  </threadedComment>
  <threadedComment ref="X58" dT="2021-07-10T18:21:09.70" personId="{611737AC-4E77-4165-8EE6-5F4CCA24C1DF}" id="{C3D9752B-44FF-4E67-BB6C-0D9A75137CC8}">
    <text>"And operating margins expanded 4 points yearover-year to 43%, including roughly 2 points of favorable impact from the change in accounting estimate."</text>
  </threadedComment>
  <threadedComment ref="Y58" dT="2021-07-10T18:18:01.59" personId="{611737AC-4E77-4165-8EE6-5F4CCA24C1DF}" id="{6809C394-527A-4D13-99B6-6644CF333E09}">
    <text>"Operating income increased 29% and 26% in constant currency, and operating margins expanded 4 points
year-over-year to 42%, including roughly 2 points of favorable impact from the change in accounting
estimate"</text>
  </threadedComment>
  <threadedComment ref="Z58" dT="2021-07-10T18:16:23.76" personId="{611737AC-4E77-4165-8EE6-5F4CCA24C1DF}" id="{C63893AF-80C2-495A-AC7F-F1DECCF6328A}">
    <text>"Year-over-year growth in operating expense includes roughly 2 points of impact from continued COVIDrelated savings. Operating income increased 31% and 27% in constant currency, and operating margins
expanded 4 points year-over-year to 41%, including nearly 2 points of favorable impact from the change
in accounting estimate"</text>
  </threadedComment>
  <threadedComment ref="AA58" dT="2021-07-27T22:06:55.35" personId="{611737AC-4E77-4165-8EE6-5F4CCA24C1DF}" id="{AC52CA9D-B09A-41DF-B9F2-40A16CA0E496}">
    <text>"Operating income increased 42% and 35% in constant currency, and operating margins expanded 6 points year-over-year to 41%, including roughly 2 points of impact from the retail stores charge and increase in bad debt expense in the prior year and nearly 1 point of favorable impact from the change in accounting estimate"</text>
  </threadedComment>
  <threadedComment ref="AB58" dT="2021-10-27T02:16:31.27" personId="{611737AC-4E77-4165-8EE6-5F4CCA24C1DF}" id="{21A9C06B-6014-4F2F-962A-409C6C0D809C}">
    <text>"Operating income increased 27% and 24% in constant currency, and operating margins expanded 2 points year-over-year to 45%. Excluding the impact of the change in accounting estimate, operating margins expanded roughly 4 points year-over-year."</text>
  </threadedComment>
  <threadedComment ref="AC58" dT="2021-10-27T02:16:31.27" personId="{611737AC-4E77-4165-8EE6-5F4CCA24C1DF}" id="{7DAA0DF8-66F3-41CA-8029-77910CBF5BEF}">
    <text>"Operating income increased 24% and operating margins expanded 1 point year-over-year to 43%. Excluding the impact of the change in accounting estimate, operating margins expanded roughly 3 points year-over-year."</text>
  </threadedComment>
  <threadedComment ref="AH58" dT="2022-07-27T11:54:36.99" personId="{611737AC-4E77-4165-8EE6-5F4CCA24C1DF}" id="{F41BBB2E-CF7E-4CD1-85C8-747CD3ECB950}">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I58" dT="2022-07-27T11:54:36.99" personId="{611737AC-4E77-4165-8EE6-5F4CCA24C1DF}" id="{119432E9-17B4-42B0-BED9-A2D59C7B0738}">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H60" dT="2022-07-27T11:57:35.03" personId="{611737AC-4E77-4165-8EE6-5F4CCA24C1DF}" id="{7BDDF774-BE0D-4AC9-8F5E-CE20875283A6}">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ext>
  </threadedComment>
  <threadedComment ref="AI60" dT="2022-07-27T11:57:35.03" personId="{611737AC-4E77-4165-8EE6-5F4CCA24C1DF}" id="{649592A7-F42C-4A2C-9491-D5A88268BF3A}">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ext>
  </threadedComment>
  <threadedComment ref="AH61" dT="2022-07-27T11:57:35.03" personId="{611737AC-4E77-4165-8EE6-5F4CCA24C1DF}" id="{ADE922F7-3D6B-4968-B687-08625096A464}">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 ref="AI61" dT="2022-07-27T11:57:35.03" personId="{611737AC-4E77-4165-8EE6-5F4CCA24C1DF}" id="{B9DA14C8-AE97-4D5E-A0C3-636B4DF979BA}">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 ref="BN61" dT="2022-07-27T11:57:35.03" personId="{611737AC-4E77-4165-8EE6-5F4CCA24C1DF}" id="{BE797D14-A9F0-4BB5-B456-E3B8CCFCB4D3}">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 ref="Z85" dT="2020-07-22T22:20:06.67" personId="{4278B1C6-E86A-4359-9082-D890D57A3D72}" id="{F2CECCAB-ACF5-4202-A5BF-FD0AF958D66B}">
    <text>D&amp;A change means 900M less Q1 and 2.7B less in FY21</text>
  </threadedComment>
  <threadedComment ref="AA85" dT="2020-07-22T22:20:06.67" personId="{4278B1C6-E86A-4359-9082-D890D57A3D72}" id="{A197E2F0-EC52-46B8-99BE-F952D5FF21ED}">
    <text>D&amp;A change means 900M less Q1 and 2.7B less in FY21</text>
  </threadedComment>
  <threadedComment ref="AF85" dT="2022-07-27T12:05:06.94" personId="{611737AC-4E77-4165-8EE6-5F4CCA24C1DF}" id="{60D051EE-5BD9-42F2-AFFF-74345913620F}">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G85" dT="2022-07-27T12:05:06.94" personId="{611737AC-4E77-4165-8EE6-5F4CCA24C1DF}" id="{DD073FED-4631-412F-BB32-BE12DF260871}">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H85" dT="2022-07-27T12:05:06.94" personId="{611737AC-4E77-4165-8EE6-5F4CCA24C1DF}" id="{A98F01C4-16DE-4A04-8485-F0048262A296}">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I85" dT="2022-07-27T12:05:06.94" personId="{611737AC-4E77-4165-8EE6-5F4CCA24C1DF}" id="{F1C44B2D-A037-4998-959F-D186FC9F5930}">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BL85" dT="2020-07-22T22:20:06.67" personId="{4278B1C6-E86A-4359-9082-D890D57A3D72}" id="{EC7F1674-E69A-4306-AD93-2825A8B797C8}">
    <text>D&amp;A change means 900M less Q1 and 2.7B less in FY21</text>
  </threadedComment>
  <threadedComment ref="AD106" dT="2022-01-26T12:26:02.21" personId="{611737AC-4E77-4165-8EE6-5F4CCA24C1DF}" id="{3549B366-A8EE-4F9A-BFCA-85289DAE846F}">
    <text>"And, on a dollar basis, we expect capital expenditures to be slightly down sequentially with normal quarterly variability in the timing of cloud infrastructure buildout." Q2 Call</text>
  </threadedComment>
  <threadedComment ref="AE106" dT="2022-04-26T22:24:52.43" personId="{611737AC-4E77-4165-8EE6-5F4CCA24C1DF}" id="{AE475268-E05B-4DCE-AE09-95A63DCBAEC1}">
    <text>"Capital expenditures, we expect a sequential increase on a dollar basis as we continue to invest to meet growing global demand for our cloud services"</text>
  </threadedComment>
  <threadedComment ref="AF106" dT="2022-07-27T12:55:58.40" personId="{611737AC-4E77-4165-8EE6-5F4CCA24C1DF}" id="{FDED9A05-1939-4634-898F-89D6B8DFF2B9}">
    <text>4Q22 call: "In capital expenditures, we expect a sequential decrease on a dollar basis with normal quarterly spend variability in the timing of our cloud infrastructure buildout."</text>
  </threadedComment>
  <threadedComment ref="AG106" dT="2022-10-26T12:33:14.26" personId="{611737AC-4E77-4165-8EE6-5F4CCA24C1DF}" id="{4FE7B39A-A01C-4108-AD60-3FB3D22185A1}">
    <text>Q1 guide of sequential decrease</text>
  </threadedComment>
  <threadedComment ref="AH111" dT="2023-02-08T18:17:35.35" personId="{611737AC-4E77-4165-8EE6-5F4CCA24C1DF}" id="{4BC7CE88-8F78-442E-A233-E5DBAAE5CB6A}">
    <text xml:space="preserve">In capital expenditures, we expect a sequential increase on a dollar basis with normal quarterly spend variability in the timing of our cloud infrastructure buildout </text>
  </threadedComment>
  <threadedComment ref="AI111" dT="2023-04-25T22:19:18.88" personId="{611737AC-4E77-4165-8EE6-5F4CCA24C1DF}" id="{925C8706-9C4D-4599-86BD-7BFB20B1BA29}">
    <text xml:space="preserve">Q3 call: We expect capital expenditures to have a material sequential increase on a dollar basis </text>
  </threadedComment>
  <threadedComment ref="AL111" dT="2024-01-31T13:31:26.31" personId="{611737AC-4E77-4165-8EE6-5F4CCA24C1DF}" id="{2D84EC84-7715-479A-84F2-6DC0BF1410E3}">
    <text xml:space="preserve">Q2 call: We expect capital expenditures to increase materially on a sequential basis, driven by investments in our cloud and AI infrastructure and the slip of a delivery date from Q2 to Q3 from a third-party provider noted earlier. As a reminder, there can be normal quarterly spend variability in the timing of our cloud infrastructure build-out </text>
  </threadedComment>
  <threadedComment ref="W148" dT="2020-06-09T15:29:33.78" personId="{4278B1C6-E86A-4359-9082-D890D57A3D72}" id="{17C67246-C2FF-4E39-A15D-DB819C50912A}">
    <text>11.65-11.95 guide</text>
  </threadedComment>
  <threadedComment ref="X148" dT="2020-07-22T22:07:43.84" personId="{4278B1C6-E86A-4359-9082-D890D57A3D72}" id="{159149FB-FDDE-479C-AAA6-3C8663D8398F}">
    <text>11.65-11.90 Q4 guide</text>
  </threadedComment>
  <threadedComment ref="Y148" dT="2020-10-27T22:03:00.79" personId="{611737AC-4E77-4165-8EE6-5F4CCA24C1DF}" id="{F1FB888E-B62D-403D-BDDB-5119CF80C0A0}">
    <text>$12.75-13 Q1 guide</text>
  </threadedComment>
  <threadedComment ref="Z148" dT="2021-01-26T23:06:19.30" personId="{611737AC-4E77-4165-8EE6-5F4CCA24C1DF}" id="{39921FC8-9610-4A9F-8C95-EDC125651A6A}">
    <text>Q1 guide of 13.35-13.6</text>
  </threadedComment>
  <threadedComment ref="AA148" dT="2021-04-27T22:04:04.00" personId="{611737AC-4E77-4165-8EE6-5F4CCA24C1DF}" id="{0199869F-0275-4255-AC81-765B6B87EDEB}">
    <text>Q3 guide of 13.8-14.05</text>
  </threadedComment>
  <threadedComment ref="AB148" dT="2021-04-27T22:04:04.00" personId="{611737AC-4E77-4165-8EE6-5F4CCA24C1DF}" id="{5BA45022-B214-42AA-9968-537DA625E0BD}">
    <text>Q4 guide of 14.5-14.75</text>
  </threadedComment>
  <threadedComment ref="AC148" dT="2021-10-27T12:21:35.53" personId="{611737AC-4E77-4165-8EE6-5F4CCA24C1DF}" id="{3A3213AD-E6BF-4E5F-8A06-FF607E9ED65E}">
    <text>Q1 guide of 15.7-15.95</text>
  </threadedComment>
  <threadedComment ref="AD148" dT="2022-01-26T12:14:23.10" personId="{611737AC-4E77-4165-8EE6-5F4CCA24C1DF}" id="{6CE095D5-DB2E-42A1-A44F-A2B7A71A9520}">
    <text>Q2 Guide of 15.6-15.85</text>
  </threadedComment>
  <threadedComment ref="AE148" dT="2022-01-26T12:14:23.10" personId="{611737AC-4E77-4165-8EE6-5F4CCA24C1DF}" id="{9549F028-C06A-4BE2-B67F-BCDE172C29BC}">
    <text>Q3 Guide of 16.65-16.90;
Updated 6.2.22 guide of 16.48-16.73</text>
  </threadedComment>
  <threadedComment ref="AF148" dT="2022-01-26T12:14:23.10" personId="{611737AC-4E77-4165-8EE6-5F4CCA24C1DF}" id="{851725EB-A30A-4D48-81A2-C3292345C0E3}">
    <text>Q4 Guide of 15.96-16.25</text>
  </threadedComment>
  <threadedComment ref="AG148" dT="2022-10-26T12:10:10.57" personId="{611737AC-4E77-4165-8EE6-5F4CCA24C1DF}" id="{5339DCA6-9F42-4AB3-86A7-C91790E0D35B}">
    <text>Q1 guide 16.6-16.9</text>
  </threadedComment>
  <threadedComment ref="AH148" dT="2022-10-26T12:10:10.57" personId="{611737AC-4E77-4165-8EE6-5F4CCA24C1DF}" id="{554736C5-5995-4666-8CAE-56492CDB40AD}">
    <text>Q2 guide 16.9-17.2</text>
  </threadedComment>
  <threadedComment ref="AI148" dT="2022-10-26T12:10:10.57" personId="{611737AC-4E77-4165-8EE6-5F4CCA24C1DF}" id="{3B48BC2B-37F8-4CA5-8EC5-4F71F00B4C3D}">
    <text>Q3 guide 17.9-18.2</text>
  </threadedComment>
  <threadedComment ref="AJ148" dT="2022-10-26T12:10:10.57" personId="{611737AC-4E77-4165-8EE6-5F4CCA24C1DF}" id="{8634CFF2-2EBF-4B37-9B15-AF5C9A2092B5}">
    <text>Q4 guide 18.0-18.3</text>
  </threadedComment>
  <threadedComment ref="AK148" dT="2022-10-26T12:10:10.57" personId="{611737AC-4E77-4165-8EE6-5F4CCA24C1DF}" id="{63ECFAA4-F9BF-45C6-8AFE-2974ADEA102E}">
    <text>Q1 guide 18.8-19.1</text>
  </threadedComment>
  <threadedComment ref="AL148" dT="2022-10-26T12:10:10.57" personId="{611737AC-4E77-4165-8EE6-5F4CCA24C1DF}" id="{3025E75C-475B-40F8-805D-92CBDAAC8518}">
    <text>Q2 guide 19.3-19.6</text>
  </threadedComment>
  <threadedComment ref="AM148" dT="2022-10-26T12:10:10.57" personId="{611737AC-4E77-4165-8EE6-5F4CCA24C1DF}" id="{1A040C9B-22A0-4521-AAE3-98284A459A6C}">
    <text>Q3 guide 19.9-20.2</text>
  </threadedComment>
  <threadedComment ref="AN148" dT="2022-10-26T12:10:10.57" personId="{611737AC-4E77-4165-8EE6-5F4CCA24C1DF}" id="{5AC0A2F0-B9B2-478A-B882-D5E27C800655}">
    <text>Q4 guide 20.3-20.6</text>
  </threadedComment>
  <threadedComment ref="W149" dT="2020-06-09T15:29:53.55" personId="{4278B1C6-E86A-4359-9082-D890D57A3D72}" id="{EB1E5059-A7ED-4001-BF49-0BB918E4D177}">
    <text>12.9-13.15 guide</text>
  </threadedComment>
  <threadedComment ref="X149" dT="2020-07-22T22:05:32.17" personId="{4278B1C6-E86A-4359-9082-D890D57A3D72}" id="{2C5D6C16-77CB-4A9F-AFAE-DEE2B09D290E}">
    <text>12.55-12.80 Q4 guide</text>
  </threadedComment>
  <threadedComment ref="Y149" dT="2020-10-27T22:03:50.30" personId="{611737AC-4E77-4165-8EE6-5F4CCA24C1DF}" id="{3C311589-3136-4371-ADD8-1BE1D5D44D4D}">
    <text>$13.55-13.8 Q1 guide</text>
  </threadedComment>
  <threadedComment ref="Z149" dT="2021-01-26T23:06:19.30" personId="{611737AC-4E77-4165-8EE6-5F4CCA24C1DF}" id="{169CF63E-77F1-465F-AFFE-117355FC5801}">
    <text>Q1 guide of 14.7-14.95</text>
  </threadedComment>
  <threadedComment ref="AA149" dT="2021-04-27T22:04:18.67" personId="{611737AC-4E77-4165-8EE6-5F4CCA24C1DF}" id="{2FA29D50-945C-45B1-94A5-DC273577AB6D}">
    <text>Q3 guide of 16.2-16.45</text>
  </threadedComment>
  <threadedComment ref="AB149" dT="2021-04-27T22:04:18.67" personId="{611737AC-4E77-4165-8EE6-5F4CCA24C1DF}" id="{4FE9C3E6-5703-4A8B-82B6-F0ED706435B4}">
    <text>Q4 guide of 16.4-16.65</text>
  </threadedComment>
  <threadedComment ref="AC149" dT="2021-10-27T12:21:35.53" personId="{611737AC-4E77-4165-8EE6-5F4CCA24C1DF}" id="{F96F8D84-B644-4767-84BA-D51B88FB26DB}">
    <text>Q1 guide of 18.1-18.35</text>
  </threadedComment>
  <threadedComment ref="AD149" dT="2022-01-26T12:14:23.10" personId="{611737AC-4E77-4165-8EE6-5F4CCA24C1DF}" id="{5970214F-E8ED-4821-97D0-D0ED5E895F8B}">
    <text>Q2 Guide of 18.75-19.0</text>
  </threadedComment>
  <threadedComment ref="AE149" dT="2022-01-26T12:14:23.10" personId="{611737AC-4E77-4165-8EE6-5F4CCA24C1DF}" id="{D3419850-CB8E-49C4-B5F5-075B34D6D5D7}">
    <text>Q3 Guide of 21.10-21.35;
updated 6.2.22 guide of 20.92-21.17</text>
  </threadedComment>
  <threadedComment ref="AF149" dT="2022-01-26T12:14:23.10" personId="{611737AC-4E77-4165-8EE6-5F4CCA24C1DF}" id="{62EAF508-B7E4-4608-8337-CCB83D3408C0}">
    <text>Q4 Guide of 20.3-20.6; revised 20.2-20.5 after FY23e investor metrics reallocate HoloLens</text>
  </threadedComment>
  <threadedComment ref="AG149" dT="2022-10-26T12:10:10.57" personId="{611737AC-4E77-4165-8EE6-5F4CCA24C1DF}" id="{8CD57D4E-44E1-4AAA-BF7D-8421E58459E2}">
    <text>Q1 guide 21.25-21.55</text>
  </threadedComment>
  <threadedComment ref="AH149" dT="2022-10-26T12:10:10.57" personId="{611737AC-4E77-4165-8EE6-5F4CCA24C1DF}" id="{82365E60-DEF0-4509-BCEE-41C43E6FB73A}">
    <text>Q2 guide 21.7-22.0</text>
  </threadedComment>
  <threadedComment ref="AI149" dT="2022-10-26T12:10:10.57" personId="{611737AC-4E77-4165-8EE6-5F4CCA24C1DF}" id="{FB0B37B1-379C-4079-93BB-802CDE06935B}">
    <text>Q3 guide 23.6-23.9</text>
  </threadedComment>
  <threadedComment ref="AJ149" dT="2022-10-26T12:10:10.57" personId="{611737AC-4E77-4165-8EE6-5F4CCA24C1DF}" id="{2F7AE5C4-D7E4-440D-875A-BF53E9059A30}">
    <text>Q4 guide 23.3-23.6</text>
  </threadedComment>
  <threadedComment ref="AK149" dT="2022-10-26T12:10:10.57" personId="{611737AC-4E77-4165-8EE6-5F4CCA24C1DF}" id="{B84FFBB7-8420-475F-AF59-6771F9EAC7B3}">
    <text>Q1 guide 25.1-25.4</text>
  </threadedComment>
  <threadedComment ref="AL149" dT="2022-10-26T12:10:10.57" personId="{611737AC-4E77-4165-8EE6-5F4CCA24C1DF}" id="{B9E90561-FEFF-4F8E-BBA8-8D720C0D0500}">
    <text>Q2 guide 26.0-26.3</text>
  </threadedComment>
  <threadedComment ref="AM149" dT="2022-10-26T12:10:10.57" personId="{611737AC-4E77-4165-8EE6-5F4CCA24C1DF}" id="{9C7115EF-65D9-4F41-834C-3B5AF01A0F70}">
    <text>Q3 guide 28.4-28.7</text>
  </threadedComment>
  <threadedComment ref="AN149" dT="2022-10-26T12:10:10.57" personId="{611737AC-4E77-4165-8EE6-5F4CCA24C1DF}" id="{A93FF644-D47B-4F82-9E5D-60DB2E610972}">
    <text>Q4 guide 28.6-28.9</text>
  </threadedComment>
  <threadedComment ref="W150" dT="2020-06-09T15:29:43.88" personId="{4278B1C6-E86A-4359-9082-D890D57A3D72}" id="{2B180CE2-CD14-4C52-9FBD-582848BCDDEE}">
    <text>11.3-11.7 guide</text>
  </threadedComment>
  <threadedComment ref="X150" dT="2020-07-22T22:06:09.21" personId="{4278B1C6-E86A-4359-9082-D890D57A3D72}" id="{423C43BF-0BB5-4E3E-9704-DF661089F256}">
    <text>10.95-11.35 Q4 guide</text>
  </threadedComment>
  <threadedComment ref="Y150" dT="2020-10-27T22:04:28.82" personId="{611737AC-4E77-4165-8EE6-5F4CCA24C1DF}" id="{B3351666-2D5F-4B01-908C-6C8CA539E530}">
    <text>$13.2-13.6 Q1 guide</text>
  </threadedComment>
  <threadedComment ref="Z150" dT="2021-01-26T23:06:19.30" personId="{611737AC-4E77-4165-8EE6-5F4CCA24C1DF}" id="{B72E91DE-0D22-48BC-A4B8-97CD50869B10}">
    <text>Q1 guide of 12.3-12.7</text>
  </threadedComment>
  <threadedComment ref="AA150" dT="2021-04-27T22:04:33.29" personId="{611737AC-4E77-4165-8EE6-5F4CCA24C1DF}" id="{7EC46D6E-7BFB-412D-B24C-81FA00271491}">
    <text>Q3 guide of 13.6-14.0</text>
  </threadedComment>
  <threadedComment ref="AB150" dT="2021-04-27T22:04:33.29" personId="{611737AC-4E77-4165-8EE6-5F4CCA24C1DF}" id="{119823E9-53F0-4172-8123-8C3C9CFB592C}">
    <text>Q4 guide of 12.4-12.8</text>
  </threadedComment>
  <threadedComment ref="AC150" dT="2021-10-27T12:21:35.53" personId="{611737AC-4E77-4165-8EE6-5F4CCA24C1DF}" id="{C1CEFE63-AF9B-4099-8C84-3796882DA414}">
    <text>Q1 guide of 16.35-16.75</text>
  </threadedComment>
  <threadedComment ref="AD150" dT="2022-01-26T12:14:23.10" personId="{611737AC-4E77-4165-8EE6-5F4CCA24C1DF}" id="{82F9CDC3-1E33-47CD-8A3B-2F578149F380}">
    <text>Q2 Guide of 14.15-14.45</text>
  </threadedComment>
  <threadedComment ref="AE150" dT="2022-01-26T12:14:23.10" personId="{611737AC-4E77-4165-8EE6-5F4CCA24C1DF}" id="{23DA28FB-F44E-45BA-B7BA-A0A057E9DC03}">
    <text>Q3 Guide of 14.65-14.95; 
updated 6.2.22 guide of 14.54-14.84</text>
  </threadedComment>
  <threadedComment ref="AF150" dT="2022-01-26T12:14:23.10" personId="{611737AC-4E77-4165-8EE6-5F4CCA24C1DF}" id="{FCC995E8-575B-4CEA-9570-F119CD0D4660}">
    <text>Q4 Guide of 13.0-13.4; revised 13.1-13.5 after FY23e investor metrics reallocate HoloLens</text>
  </threadedComment>
  <threadedComment ref="AG150" dT="2022-10-26T12:10:10.57" personId="{611737AC-4E77-4165-8EE6-5F4CCA24C1DF}" id="{3F38A7FF-B11B-4128-9FAE-295C4389DFF6}">
    <text>Q1 guide 14.5-14.9</text>
  </threadedComment>
  <threadedComment ref="AH150" dT="2023-02-08T18:38:38.35" personId="{611737AC-4E77-4165-8EE6-5F4CCA24C1DF}" id="{E11D095A-4274-4723-B87F-2AD6EB53B324}">
    <text>Q2 guide 11.9-12.3</text>
  </threadedComment>
  <threadedComment ref="AI150" dT="2022-10-26T12:10:10.57" personId="{611737AC-4E77-4165-8EE6-5F4CCA24C1DF}" id="{91F508C9-E291-433D-AD38-287E09F7019F}">
    <text>Q3 guide 13.35-13.75</text>
  </threadedComment>
  <threadedComment ref="AJ150" dT="2022-10-26T12:10:10.57" personId="{611737AC-4E77-4165-8EE6-5F4CCA24C1DF}" id="{126E8A4B-3827-4D60-A568-79C78AE1B50E}">
    <text>Q4 guide 12.5-12.9</text>
  </threadedComment>
  <threadedComment ref="AK150" dT="2022-10-26T12:10:10.57" personId="{611737AC-4E77-4165-8EE6-5F4CCA24C1DF}" id="{7CD7C127-E8C9-4FE3-887D-6D7D120EC35B}">
    <text>Q1 guide 16.5-16.9</text>
  </threadedComment>
  <threadedComment ref="AL150" dT="2022-10-26T12:10:10.57" personId="{611737AC-4E77-4165-8EE6-5F4CCA24C1DF}" id="{38D5A870-1C3F-47C7-BE0F-A9EC3D639967}">
    <text>Q2 guide 14.7-15.1</text>
  </threadedComment>
  <threadedComment ref="AM150" dT="2022-10-26T12:10:10.57" personId="{611737AC-4E77-4165-8EE6-5F4CCA24C1DF}" id="{2BC05321-107C-4431-8643-4BC6E9EC8E59}">
    <text>Q3 guide 15.2-15.6</text>
  </threadedComment>
  <threadedComment ref="AN150" dT="2022-10-26T12:10:10.57" personId="{611737AC-4E77-4165-8EE6-5F4CCA24C1DF}" id="{A294FDA8-0005-4ACB-A747-233FBEE1352D}">
    <text>Q4 guide 14.9-15.3</text>
  </threadedComment>
  <threadedComment ref="AE155" dT="2021-07-28T13:27:58.13" personId="{611737AC-4E77-4165-8EE6-5F4CCA24C1DF}" id="{AB64590A-8181-4A1E-8E22-736ED5ADA5D2}">
    <text>10.27.21 - gradually reduce off Q3 three year stack level</text>
  </threadedComment>
  <threadedComment ref="AF155" dT="2021-07-28T13:27:58.13" personId="{611737AC-4E77-4165-8EE6-5F4CCA24C1DF}" id="{C7B0B29E-F0BD-49C3-81A0-E5F134A7C946}">
    <text>4.22.22 - gradually reduce off Q4 three year stack level</text>
  </threadedComment>
  <threadedComment ref="AG155" dT="2021-07-28T13:27:58.13" personId="{611737AC-4E77-4165-8EE6-5F4CCA24C1DF}" id="{B0F3BAD2-E896-46E7-B808-929778ECB3E5}">
    <text>4.22.22 - gradually reduce off Q4 three year stack level</text>
  </threadedComment>
  <threadedComment ref="AD156" dT="2022-03-07T15:31:22.23" personId="{611737AC-4E77-4165-8EE6-5F4CCA24C1DF}" id="{5E0EE1F7-2B46-487C-BFF4-059C7B993F7F}">
    <text>Adding 350 per quarter for NUAN (only March in FQ3)</text>
  </threadedComment>
  <threadedComment ref="AE156" dT="2021-07-28T13:27:58.13" personId="{611737AC-4E77-4165-8EE6-5F4CCA24C1DF}" id="{4E40657B-E3B4-4207-8EC7-35231709C283}">
    <text>10.27.21 - gradually reduce off Q3 three year stack level</text>
  </threadedComment>
  <threadedComment ref="AF156" dT="2021-07-28T13:27:58.13" personId="{611737AC-4E77-4165-8EE6-5F4CCA24C1DF}" id="{ECD5094A-81E9-416A-9708-80AC57073844}">
    <text>4.22.22 - gradually reduce off Q4 three year stack level</text>
  </threadedComment>
  <threadedComment ref="AG156" dT="2021-07-28T13:27:58.13" personId="{611737AC-4E77-4165-8EE6-5F4CCA24C1DF}" id="{DC160D33-A66A-4BA0-8705-8DD610FFFA43}">
    <text>4.22.22 - gradually reduce off Q4 three year stack level</text>
  </threadedComment>
  <threadedComment ref="AE157" dT="2021-07-28T13:27:58.13" personId="{611737AC-4E77-4165-8EE6-5F4CCA24C1DF}" id="{F92F7468-363B-44B2-ABEE-E8CAB3DB1ADD}">
    <text>10.27.21 - gradually reduce off Q3 three year stack level</text>
  </threadedComment>
  <threadedComment ref="AF157" dT="2021-07-28T13:27:58.13" personId="{611737AC-4E77-4165-8EE6-5F4CCA24C1DF}" id="{AA241C3D-FEB9-4CC7-BC17-2C80C3B99ED2}">
    <text>4.22.22 - gradually reduce off Q4 three year stack level</text>
  </threadedComment>
  <threadedComment ref="AG157" dT="2021-07-28T13:27:58.13" personId="{611737AC-4E77-4165-8EE6-5F4CCA24C1DF}" id="{204B2B01-04DB-4797-9E8F-BFF5006BBE22}">
    <text>4.22.22 - gradually reduce off Q4 three year stack level</text>
  </threadedComment>
  <threadedComment ref="AG180" dT="2024-01-31T13:53:06.57" personId="{611737AC-4E77-4165-8EE6-5F4CCA24C1DF}" id="{1C447D6F-42C3-4977-B91F-A90A05D86931}">
    <text>Op Income grew +6% (+17% cc) including 3 points of negative impact from Q2 charge</text>
  </threadedComment>
  <threadedComment ref="AG181" dT="2024-01-31T13:53:06.57" personId="{611737AC-4E77-4165-8EE6-5F4CCA24C1DF}" id="{DA6B8991-559E-44FD-9FFF-37B049F61568}">
    <text>Op Income grew +7% (+15% cc) including 7 points of negative impact from Q2 charge</text>
  </threadedComment>
  <threadedComment ref="AG182" dT="2024-01-31T13:53:06.57" personId="{611737AC-4E77-4165-8EE6-5F4CCA24C1DF}" id="{D578B69B-BBA0-4E9F-BB17-F7E4C7B88D85}">
    <text>Op Income decreased -47% (-40% cc) including 6 points of negative impact from Q2 charge</text>
  </threadedComment>
  <threadedComment ref="X184" dT="2020-07-22T22:14:53.62" personId="{4278B1C6-E86A-4359-9082-D890D57A3D72}" id="{81F9AE90-997E-4DC6-9DB7-DAE812E82D9C}">
    <text>13.7 - 14.3 Q4 implied guide</text>
  </threadedComment>
  <threadedComment ref="Z184" dT="2021-01-26T23:08:32.49" personId="{611737AC-4E77-4165-8EE6-5F4CCA24C1DF}" id="{A0B89729-102D-47C0-8D04-6B92A188E61E}">
    <text>Q1 midpoint guide of 15.65</text>
  </threadedComment>
  <threadedComment ref="AJ301" dT="2023-10-24T20:44:53.50" personId="{611737AC-4E77-4165-8EE6-5F4CCA24C1DF}" id="{C5C93D43-584D-4233-9F0F-79B713E3D78C}">
    <text>Disclosed as 76.7 in presentation and 18% growth</text>
  </threadedComment>
  <threadedComment ref="R306" dT="2020-06-04T16:37:22.21" personId="{4278B1C6-E86A-4359-9082-D890D57A3D72}" id="{3995CA94-1B51-49C2-BCD2-18E87CBF1BA8}">
    <text>MAUs surpassed 180M</text>
  </threadedComment>
  <threadedComment ref="AH337" dT="2023-02-08T18:18:27.72" personId="{611737AC-4E77-4165-8EE6-5F4CCA24C1DF}" id="{606C3099-A90B-42B2-B244-BFA3BD87C016}">
    <text xml:space="preserve">In Office Commercial, revenue growth will again be driven by Office 365 with seat growth across customer segments and ARPU growth thru E5. We expect Office 365 revenue growth to be sequentially lower by roughly one point on a constant currency basis. In our on-premises business, we expect revenue to decline in the mid 20s </text>
  </threadedComment>
  <threadedComment ref="AH338" dT="2023-02-08T18:20:48.30" personId="{611737AC-4E77-4165-8EE6-5F4CCA24C1DF}" id="{A4463A9A-EE03-4B06-8653-E9483B5425F8}">
    <text xml:space="preserve">In Office consumer, we expect revenue growth in the low-single digits, driven by Microsoft 365 subscriptions. </text>
  </threadedComment>
  <threadedComment ref="AH341" dT="2023-02-08T18:12:26.21" personId="{611737AC-4E77-4165-8EE6-5F4CCA24C1DF}" id="{562B30C3-B8B1-4335-94A8-EF085A6120AD}">
    <text xml:space="preserve">LinkedIn and Search will be impacted as ad market spending remains a bit cautious. 
For LinkedIn, we expect mid-single digits revenue growth with continued strong engagement on the platform, although impacted by the advertising trends noted earlier and a slowdown in hiring, particularly in the technology industry where we have significant exposure. </text>
  </threadedComment>
  <threadedComment ref="AH342" dT="2023-02-08T18:23:37.32" personId="{611737AC-4E77-4165-8EE6-5F4CCA24C1DF}" id="{65E53EBD-A2FD-4500-B4BC-DEB9C5A39AD3}">
    <text xml:space="preserve">And in Dynamics, we expect revenue growth in the low to mid-teens driven by continued growth in Dynamics 365 which is now over 80 percent of total Dynamics revenue </text>
  </threadedComment>
  <threadedComment ref="AI346" dT="2023-04-25T22:22:36.19" personId="{611737AC-4E77-4165-8EE6-5F4CCA24C1DF}" id="{3CB1448C-8DCF-468A-85B8-6EFB40BBCC75}">
    <text>Q3 call: +16% YoY cc</text>
  </threadedComment>
  <threadedComment ref="AI347" dT="2023-04-25T22:22:36.19" personId="{611737AC-4E77-4165-8EE6-5F4CCA24C1DF}" id="{B955D955-2B35-4660-AA4A-62C35BC8E359}">
    <text>Q3 call: +MSD% YoY</text>
  </threadedComment>
  <threadedComment ref="AI349" dT="2023-04-25T22:22:36.19" personId="{611737AC-4E77-4165-8EE6-5F4CCA24C1DF}" id="{DEB41D76-D985-418E-8259-D1A568402546}">
    <text>Q3 call: +MSD% YoY</text>
  </threadedComment>
  <threadedComment ref="AI350" dT="2023-04-25T22:22:36.19" personId="{611737AC-4E77-4165-8EE6-5F4CCA24C1DF}" id="{C2EF436D-27EA-428B-BF7A-F2F9920E23F8}">
    <text>Q3 call: +High Teens% YoY</text>
  </threadedComment>
  <threadedComment ref="AH483" dT="2023-02-08T18:25:38.07" personId="{611737AC-4E77-4165-8EE6-5F4CCA24C1DF}" id="{38B046E4-7D16-459F-8707-AFBCDBFA8D3C}">
    <text xml:space="preserve">we exited Q2 with Azure growth in the mid 30s in constant currency and from that, we expect Q3 growth to decelerate roughly 4 to 5 points in constant currency. FX impact in Azure is about a point more than at the segment level. </text>
  </threadedComment>
  <threadedComment ref="AH484" dT="2023-02-08T18:26:16.43" personId="{611737AC-4E77-4165-8EE6-5F4CCA24C1DF}" id="{134A20E5-D4B1-4C49-8D3E-8F069C0DFE18}">
    <text>In our on-premises server business, we expect revenue to decline low-single digits as demand for our hybrid solutions will be more than offset by unfavorable FX impact</text>
  </threadedComment>
  <threadedComment ref="AH486" dT="2023-02-08T18:26:48.54" personId="{611737AC-4E77-4165-8EE6-5F4CCA24C1DF}" id="{487D3926-A418-494C-BD8F-B013685323C5}">
    <text xml:space="preserve">And in Enterprise Services, revenue should decline low to mid-single digits, driven by Microsoft Consulting Services. </text>
  </threadedComment>
  <threadedComment ref="AI491" dT="2023-04-25T22:22:36.19" personId="{611737AC-4E77-4165-8EE6-5F4CCA24C1DF}" id="{F479B80A-04A1-44F9-BDB2-5F3CAE1FC3AB}">
    <text>Q3 call: +25-26% YoY cc</text>
  </threadedComment>
  <threadedComment ref="AI492" dT="2023-04-25T22:22:36.19" personId="{611737AC-4E77-4165-8EE6-5F4CCA24C1DF}" id="{8395CFD7-3503-41AF-B0AB-F590E62A3559}">
    <text>Q3 call: decline LSD%</text>
  </threadedComment>
  <threadedComment ref="AI494" dT="2023-04-25T22:24:22.51" personId="{611737AC-4E77-4165-8EE6-5F4CCA24C1DF}" id="{8DD40CD5-1FAA-4AEA-B2BE-514142561DEB}">
    <text>Q3: Relatively unchanged YoY</text>
  </threadedComment>
  <threadedComment ref="AK517" dT="2024-01-30T22:08:36.54" personId="{611737AC-4E77-4165-8EE6-5F4CCA24C1DF}" id="{B94F0CE3-3A28-4889-9F20-D53F0061CA10}">
    <text xml:space="preserve">Add back 580 of ATVI deal costs </text>
  </threadedComment>
  <threadedComment ref="AL517" dT="2024-01-30T22:08:36.54" personId="{611737AC-4E77-4165-8EE6-5F4CCA24C1DF}" id="{7DDE7E06-85CF-4679-B103-A78E0AE07B30}">
    <text>Add back 670 of ATVI deal costs (PPA)</text>
  </threadedComment>
  <threadedComment ref="AM517" dT="2024-01-30T22:08:36.54" personId="{611737AC-4E77-4165-8EE6-5F4CCA24C1DF}" id="{30F80D6A-ED2E-49E1-A26C-91B54BF133D4}">
    <text>Add back 690 of ATVI deal costs (PPA)</text>
  </threadedComment>
  <threadedComment ref="AK525" dT="2023-10-25T18:24:53.74" personId="{611737AC-4E77-4165-8EE6-5F4CCA24C1DF}" id="{6CCA5FB0-E321-4DA2-A2F7-52B66AA954F5}">
    <text xml:space="preserve">$400 million from purchase accounting adjustments, integration and transaction-related costs from the Activision acquisition </text>
  </threadedComment>
  <threadedComment ref="BR525" dT="2023-10-25T18:24:53.74" personId="{611737AC-4E77-4165-8EE6-5F4CCA24C1DF}" id="{6AC7D8F2-1619-4667-A778-1521B64D1F9D}">
    <text xml:space="preserve">$400 million from purchase accounting adjustments, integration and transaction-related costs from the Activision acquisition </text>
  </threadedComment>
  <threadedComment ref="AK526" dT="2024-01-30T22:08:36.54" personId="{611737AC-4E77-4165-8EE6-5F4CCA24C1DF}" id="{E57F3BC7-2785-4253-A2F6-AD20612D199D}">
    <text xml:space="preserve">Add back 550 of ATVI deal costs </text>
  </threadedComment>
  <threadedComment ref="AL526" dT="2024-01-30T22:08:36.54" personId="{611737AC-4E77-4165-8EE6-5F4CCA24C1DF}" id="{86A2A3EB-BF20-485A-A2AB-8FCEF5F2E03A}">
    <text xml:space="preserve">Add back 270 of ATVI deal costs </text>
  </threadedComment>
  <threadedComment ref="AM526" dT="2024-01-30T22:08:36.54" personId="{611737AC-4E77-4165-8EE6-5F4CCA24C1DF}" id="{E888A63D-98E1-41DF-8486-5C3E6025E8CB}">
    <text xml:space="preserve">Add back 250 of ATVI deal costs </text>
  </threadedComment>
  <threadedComment ref="AK535" dT="2023-10-25T18:24:53.74" personId="{611737AC-4E77-4165-8EE6-5F4CCA24C1DF}" id="{C3585ACF-921F-4F27-B7B0-D986E1478671}">
    <text xml:space="preserve">$400 million from purchase accounting adjustments, integration and transaction-related costs from the Activision acquisition </text>
  </threadedComment>
  <threadedComment ref="AL535" dT="2023-10-25T18:24:53.74" personId="{611737AC-4E77-4165-8EE6-5F4CCA24C1DF}" id="{E1417AD0-A45D-40BE-87BB-5FC7A3E5F65A}">
    <text xml:space="preserve">$400 million from purchase accounting adjustments, integration and transaction-related costs from the Activision acquisition </text>
  </threadedComment>
  <threadedComment ref="AM535" dT="2023-10-25T18:24:53.74" personId="{611737AC-4E77-4165-8EE6-5F4CCA24C1DF}" id="{883F696D-5629-41B9-BD91-13F496D48BD4}">
    <text xml:space="preserve">$400 million from purchase accounting adjustments, integration and transaction-related costs from the Activision acquisition </text>
  </threadedComment>
  <threadedComment ref="AH565" dT="2023-02-08T18:28:45.96" personId="{611737AC-4E77-4165-8EE6-5F4CCA24C1DF}" id="{C5F4CE0D-705A-4584-A290-108564FC54B3}">
    <text xml:space="preserve">Windows OEM revenue should decline in the mid-to-high 30s in line with the PC market. We expect Q3 PC units to be similar to pre-pandemic levels. </text>
  </threadedComment>
  <threadedComment ref="AH566" dT="2023-02-08T18:06:30.43" personId="{611737AC-4E77-4165-8EE6-5F4CCA24C1DF}" id="{DB99AAC7-932C-4753-ACC0-73BB790DD287}">
    <text xml:space="preserve">In our consumer business, Windows OEM and Devices will see continued declines as the PC market returns to pre-pandemic levels. </text>
  </threadedComment>
  <threadedComment ref="AH568" dT="2023-02-08T18:33:01.81" personId="{611737AC-4E77-4165-8EE6-5F4CCA24C1DF}" id="{B2EBB012-641D-4208-8B53-D21BABD2F1F5}">
    <text xml:space="preserve">And in Gaming, on a prior year comparable that benefited from increased console supply, we expect revenue to decline in the high-single digits </text>
  </threadedComment>
  <threadedComment ref="AH569" dT="2023-02-08T18:09:49.12" personId="{611737AC-4E77-4165-8EE6-5F4CCA24C1DF}" id="{C005B130-A559-45C3-ABCD-04F49BA23201}">
    <text xml:space="preserve">LinkedIn and Search will be impacted as ad market spending remains a bit cautious. 
Search and news advertising ex-TAC should grow high-single digits, roughly 7 points faster than overall Search and news advertising revenue, driven by continued volume strength supported by Edge browser share gains and the inclusion of Xandr. </text>
  </threadedComment>
  <threadedComment ref="AH570" dT="2023-02-08T18:29:07.23" personId="{611737AC-4E77-4165-8EE6-5F4CCA24C1DF}" id="{62EC320A-38ED-4906-9941-0D2C98E591DC}">
    <text xml:space="preserve">In Devices, revenue should decline in the mid 40s, as we work through the execution challenges noted earlier. </text>
  </threadedComment>
  <threadedComment ref="AI570" dT="2023-02-08T18:29:07.23" personId="{611737AC-4E77-4165-8EE6-5F4CCA24C1DF}" id="{7BEB556E-2E15-4606-8F93-C4773FD49236}">
    <text xml:space="preserve">In Devices, revenue should decline in the mid 40s, as we work through the execution challenges noted earlier. </text>
  </threadedComment>
  <threadedComment ref="AM571" dT="2023-10-13T15:53:23.22" personId="{611737AC-4E77-4165-8EE6-5F4CCA24C1DF}" id="{6B991CDA-943D-4F8E-A722-A860A8AE1563}">
    <text>45% contribution to growth per call</text>
  </threadedComment>
  <threadedComment ref="AI575" dT="2023-04-25T22:25:43.11" personId="{611737AC-4E77-4165-8EE6-5F4CCA24C1DF}" id="{45801B4D-0426-4F09-AD4E-75E9E1FC92CE}">
    <text>Q3 Call: Decline Low to Mid 20s</text>
  </threadedComment>
  <threadedComment ref="AI578" dT="2023-04-25T22:26:53.54" personId="{611737AC-4E77-4165-8EE6-5F4CCA24C1DF}" id="{20B568C9-4DFC-41FA-A157-A447ADD952D2}">
    <text xml:space="preserve">Q3 Call: Mid-to-High SD growth </text>
  </threadedComment>
  <threadedComment ref="AI579" dT="2023-04-25T22:27:07.64" personId="{611737AC-4E77-4165-8EE6-5F4CCA24C1DF}" id="{0D588F50-24DC-4274-84EA-D21923770750}">
    <text>Q3: ~10% YoY</text>
  </threadedComment>
  <threadedComment ref="AI580" dT="2023-04-25T22:27:39.22" personId="{611737AC-4E77-4165-8EE6-5F4CCA24C1DF}" id="{91DAFE70-5E7C-48B8-884D-EE451D393C32}">
    <text>Q3: Decline Low to Mid 20s</text>
  </threadedComment>
  <threadedComment ref="B597" dT="2023-11-06T15:20:22.93" personId="{611737AC-4E77-4165-8EE6-5F4CCA24C1DF}" id="{0F3D4D4E-CE9D-4FE4-A662-BC624CA9624A}">
    <text>GS history and estimates</text>
  </threadedComment>
  <threadedComment ref="B604" dT="2023-11-06T15:20:22.93" personId="{611737AC-4E77-4165-8EE6-5F4CCA24C1DF}" id="{A9C368BA-29BA-43C3-917D-AA4F26B6B5F4}">
    <text>GS history and estimates</text>
  </threadedComment>
  <threadedComment ref="B607" dT="2023-11-06T15:20:22.93" personId="{611737AC-4E77-4165-8EE6-5F4CCA24C1DF}" id="{AC6D0CC0-177E-4233-8361-5BE476D74B5A}">
    <text>GS history and estimates</text>
  </threadedComment>
  <threadedComment ref="B615" dT="2023-11-06T15:20:22.93" personId="{611737AC-4E77-4165-8EE6-5F4CCA24C1DF}" id="{94FF27F9-B31B-4CE3-B1AE-C0DEBF25B13B}">
    <text>GS history and estimates</text>
  </threadedComment>
  <threadedComment ref="W626" dT="2020-06-09T15:31:13.15" personId="{4278B1C6-E86A-4359-9082-D890D57A3D72}" id="{88CEAB99-648E-46F6-B7F0-A70A3DE3DA04}">
    <text>11.8-11.9 guide</text>
  </threadedComment>
  <threadedComment ref="H840" dT="2020-10-27T20:43:18.46" personId="{611737AC-4E77-4165-8EE6-5F4CCA24C1DF}" id="{96F22923-95B5-49FD-A8D0-AF1B1859E1F1}">
    <text>Securities lending payable</text>
  </threadedComment>
  <threadedComment ref="I840" dT="2020-10-27T20:43:18.46" personId="{611737AC-4E77-4165-8EE6-5F4CCA24C1DF}" id="{3E2DE43E-5A53-490D-B8CD-79339B87C49E}">
    <text>Securities lending payable</text>
  </threadedComment>
  <threadedComment ref="J840" dT="2020-10-27T20:43:18.46" personId="{611737AC-4E77-4165-8EE6-5F4CCA24C1DF}" id="{71AADB76-C982-4789-A8E9-E48863D7BDE8}">
    <text>Securities lending payable</text>
  </threadedComment>
  <threadedComment ref="K840" dT="2020-10-27T20:43:18.46" personId="{611737AC-4E77-4165-8EE6-5F4CCA24C1DF}" id="{4CEA7E78-AAD9-4F7A-B967-0B7B1D17021F}">
    <text>Securities lending payable</text>
  </threadedComment>
  <threadedComment ref="L840" dT="2020-10-27T20:43:18.46" personId="{611737AC-4E77-4165-8EE6-5F4CCA24C1DF}" id="{9A51D814-3896-4D3F-8FE2-14FB7A5FC1A5}">
    <text>Securities lending payable</text>
  </threadedComment>
  <threadedComment ref="M840" dT="2020-10-27T20:43:18.46" personId="{611737AC-4E77-4165-8EE6-5F4CCA24C1DF}" id="{E96C3756-9FD4-4357-8135-A2DB47306BFB}">
    <text>Securities lending payable</text>
  </threadedComment>
  <threadedComment ref="N840" dT="2020-10-27T20:43:18.46" personId="{611737AC-4E77-4165-8EE6-5F4CCA24C1DF}" id="{A3B48793-19D3-4E10-BA79-94D9A1B30003}">
    <text>Securities lending payable</text>
  </threadedComment>
  <threadedComment ref="O840" dT="2020-10-27T20:43:18.46" personId="{611737AC-4E77-4165-8EE6-5F4CCA24C1DF}" id="{A084B67C-10CD-4F0C-98FD-14CB0B6BC806}">
    <text>Securities lending payable</text>
  </threadedComment>
  <threadedComment ref="P840" dT="2020-10-27T20:43:18.46" personId="{611737AC-4E77-4165-8EE6-5F4CCA24C1DF}" id="{436A7C3A-6CB1-4C88-8D02-D0D4758C06AE}">
    <text>Securities lending payable</text>
  </threadedComment>
  <threadedComment ref="Q840" dT="2020-10-27T20:43:18.46" personId="{611737AC-4E77-4165-8EE6-5F4CCA24C1DF}" id="{6599CFE0-641E-4DD9-A865-BC2DED8AE64C}">
    <text>Securities lending payable</text>
  </threadedComment>
  <threadedComment ref="R840" dT="2020-10-27T20:43:18.46" personId="{611737AC-4E77-4165-8EE6-5F4CCA24C1DF}" id="{8A8AE4C5-16B5-4C8F-A523-923010E3975D}">
    <text>Securities lending payable</text>
  </threadedComment>
  <threadedComment ref="S840" dT="2020-10-27T20:43:18.46" personId="{611737AC-4E77-4165-8EE6-5F4CCA24C1DF}" id="{BB70CABD-64F3-4F58-9A26-88D383E5547A}">
    <text>Securities lending payable</text>
  </threadedComment>
  <threadedComment ref="T840" dT="2020-10-27T20:43:18.46" personId="{611737AC-4E77-4165-8EE6-5F4CCA24C1DF}" id="{9019D5D0-17E9-4033-9647-A73C89F2AB02}">
    <text>Securities lending payable</text>
  </threadedComment>
  <threadedComment ref="U840" dT="2020-10-27T20:43:18.46" personId="{611737AC-4E77-4165-8EE6-5F4CCA24C1DF}" id="{AFAD4310-D6B9-49B4-B0F3-677FCF888181}">
    <text>Securities lending payable</text>
  </threadedComment>
  <threadedComment ref="V840" dT="2020-10-27T20:43:18.46" personId="{611737AC-4E77-4165-8EE6-5F4CCA24C1DF}" id="{84F3A8D7-8BAF-4506-B348-9896962DD6E2}">
    <text>Securities lending payable</text>
  </threadedComment>
  <threadedComment ref="W840" dT="2020-10-27T20:43:18.46" personId="{611737AC-4E77-4165-8EE6-5F4CCA24C1DF}" id="{F23A66A4-BE57-43AB-A154-B372B000CE7E}">
    <text>Securities lending payable</text>
  </threadedComment>
</ThreadedComments>
</file>

<file path=xl/threadedComments/threadedComment6.xml><?xml version="1.0" encoding="utf-8"?>
<ThreadedComments xmlns="http://schemas.microsoft.com/office/spreadsheetml/2018/threadedcomments" xmlns:x="http://schemas.openxmlformats.org/spreadsheetml/2006/main">
  <threadedComment ref="AP14" dT="2023-02-08T16:04:47.70" personId="{611737AC-4E77-4165-8EE6-5F4CCA24C1DF}" id="{58B786EC-52DE-4720-A5F8-12D5C3EBC1A0}">
    <text>Mid-teens in Jan</text>
  </threadedComment>
</ThreadedComments>
</file>

<file path=xl/threadedComments/threadedComment7.xml><?xml version="1.0" encoding="utf-8"?>
<ThreadedComments xmlns="http://schemas.microsoft.com/office/spreadsheetml/2018/threadedcomments" xmlns:x="http://schemas.openxmlformats.org/spreadsheetml/2006/main">
  <threadedComment ref="AK39" dT="2023-02-02T18:27:01.97" personId="{611737AC-4E77-4165-8EE6-5F4CCA24C1DF}" id="{0EEE35B2-B6D7-435E-8F71-1B3B3E8C471C}">
    <text>https://www.gartner.com/en/newsroom/press-releases/2023-10-09-gartner-says-worldwide-pc-shipments-declined-9-percent-in-third-quarter-of-2023</text>
    <extLst>
      <x:ext xmlns:xltc2="http://schemas.microsoft.com/office/spreadsheetml/2020/threadedcomments2" uri="{F7C98A9C-CBB3-438F-8F68-D28B6AF4A901}">
        <xltc2:checksum>16080915</xltc2:checksum>
        <xltc2:hyperlink startIndex="0" length="141" url="https://www.gartner.com/en/newsroom/press-releases/2023-10-09-gartner-says-worldwide-pc-shipments-declined-9-percent-in-third-quarter-of-2023"/>
      </x:ext>
    </extLst>
  </threadedComment>
  <threadedComment ref="AL39" dT="2024-01-31T14:13:15.16" personId="{611737AC-4E77-4165-8EE6-5F4CCA24C1DF}" id="{E0DA8FD9-FA0A-4DA8-852D-9985FBA422EF}">
    <text>https://www.gartner.com/en/newsroom/press-releases/01-10-2024-gartner-says-worldwide-pc-shipments-increased-zero-point-three-percent-in-fourth-quarter-of-2023-but-declined-fourteen-point-eight-percent-for-the-year</text>
    <extLst>
      <x:ext xmlns:xltc2="http://schemas.microsoft.com/office/spreadsheetml/2020/threadedcomments2" uri="{F7C98A9C-CBB3-438F-8F68-D28B6AF4A901}">
        <xltc2:checksum>3675818862</xltc2:checksum>
        <xltc2:hyperlink startIndex="0" length="213" url="https://www.gartner.com/en/newsroom/press-releases/01-10-2024-gartner-says-worldwide-pc-shipments-increased-zero-point-three-percent-in-fourth-quarter-of-2023-but-declined-fourteen-point-eight-percent-for-the-year"/>
      </x:ext>
    </extLst>
  </threadedComment>
</ThreadedComments>
</file>

<file path=xl/threadedComments/threadedComment8.xml><?xml version="1.0" encoding="utf-8"?>
<ThreadedComments xmlns="http://schemas.microsoft.com/office/spreadsheetml/2018/threadedcomments" xmlns:x="http://schemas.openxmlformats.org/spreadsheetml/2006/main">
  <threadedComment ref="N15" dT="2021-07-10T18:21:09.70" personId="{611737AC-4E77-4165-8EE6-5F4CCA24C1DF}" id="{24849539-4734-4ACE-9FF2-6A0BDAA128E6}">
    <text>"And operating margins expanded 4 points yearover-year to 43%, including roughly 2 points of favorable impact from the change in accounting estimate."</text>
  </threadedComment>
  <threadedComment ref="O15" dT="2021-07-10T18:18:01.59" personId="{611737AC-4E77-4165-8EE6-5F4CCA24C1DF}" id="{7B42998B-14DB-4217-A393-7C0D9ADE7EBA}">
    <text>"Operating income increased 29% and 26% in constant currency, and operating margins expanded 4 points
year-over-year to 42%, including roughly 2 points of favorable impact from the change in accounting
estimate"</text>
  </threadedComment>
  <threadedComment ref="P15" dT="2021-07-10T18:16:23.76" personId="{611737AC-4E77-4165-8EE6-5F4CCA24C1DF}" id="{2ABCE714-69CC-4C2F-B1A5-4C5177CD1BEB}">
    <text>"Year-over-year growth in operating expense includes roughly 2 points of impact from continued COVIDrelated savings. Operating income increased 31% and 27% in constant currency, and operating margins
expanded 4 points year-over-year to 41%, including nearly 2 points of favorable impact from the change
in accounting estimate"</text>
  </threadedComment>
  <threadedComment ref="Q15" dT="2021-07-27T22:06:55.35" personId="{611737AC-4E77-4165-8EE6-5F4CCA24C1DF}" id="{65B46C8F-3FED-4EC2-81E8-10824251AFEA}">
    <text>"Operating income increased 42% and 35% in constant currency, and operating margins expanded 6 points year-over-year to 41%, including roughly 2 points of impact from the retail stores charge and increase in bad debt expense in the prior year and nearly 1 point of favorable impact from the change in accounting estimate"</text>
  </threadedComment>
  <threadedComment ref="R15" dT="2021-10-27T02:16:31.27" personId="{611737AC-4E77-4165-8EE6-5F4CCA24C1DF}" id="{6B182B20-BAC8-409D-B183-F520EC807C90}">
    <text>"Operating income increased 27% and 24% in constant currency, and operating margins expanded 2 points year-over-year to 45%. Excluding the impact of the change in accounting estimate, operating margins expanded roughly 4 points year-over-year."</text>
  </threadedComment>
  <threadedComment ref="S15" dT="2021-10-27T02:16:31.27" personId="{611737AC-4E77-4165-8EE6-5F4CCA24C1DF}" id="{502B9DDF-06A7-427F-A05F-0A596703B96F}">
    <text>"Operating income increased 24% and operating margins expanded 1 point year-over-year to 43%. Excluding the impact of the change in accounting estimate, operating margins expanded roughly 3 points year-over-year."</text>
  </threadedComment>
  <threadedComment ref="T15" dT="2022-04-26T22:12:42.05" personId="{611737AC-4E77-4165-8EE6-5F4CCA24C1DF}" id="{12F4006B-79DA-47C4-AAE4-61E18CC12D4D}">
    <text>"Operating income increased 19% and 23% in constant currency, and operating margins increased slightly year-over-year to 41%. Excluding the impact of the change in accounting estimate, operating margins expanded roughly 2 points year-over-year."</text>
  </threadedComment>
</ThreadedComments>
</file>

<file path=xl/threadedComments/threadedComment9.xml><?xml version="1.0" encoding="utf-8"?>
<ThreadedComments xmlns="http://schemas.microsoft.com/office/spreadsheetml/2018/threadedcomments" xmlns:x="http://schemas.openxmlformats.org/spreadsheetml/2006/main">
  <threadedComment ref="X12" dT="2020-07-22T22:13:17.77" personId="{4278B1C6-E86A-4359-9082-D890D57A3D72}" id="{AAD717D9-F634-49BE-BE9A-06509A4CDD6B}">
    <text>35.150-36.050 Q4 guide</text>
  </threadedComment>
  <threadedComment ref="AF14" dT="2022-07-27T11:59:20.61" personId="{611737AC-4E77-4165-8EE6-5F4CCA24C1DF}" id="{64ABB4BB-F02E-42EA-9190-9877401F8392}">
    <text>Q4 22 call: "Second, on FX. Assuming current rates remain stable, we expect a roughly 4-point impact to full-year revenue growth, with headwinds in H1 greater than in H2."
"With the stronger US dollar and based on current rates, we expect FX to decrease total revenue growth by approximately 5 points and to decrease total COGS and operating expense growth by approximately 3 points. Within the segments, we anticipate roughly 6 points of negative FX impact on revenue growth in Productivity and Business Processes and Intelligent Cloud and 3 points in More Personal Computing."</text>
  </threadedComment>
  <threadedComment ref="AG14" dT="2022-07-27T11:59:20.61" personId="{611737AC-4E77-4165-8EE6-5F4CCA24C1DF}" id="{2AEACFC6-DBFE-409C-92CD-020F2CB46F29}">
    <text>Q1 Guidance: 5ppt headwind</text>
  </threadedComment>
  <threadedComment ref="AH14" dT="2022-07-27T11:59:20.61" personId="{611737AC-4E77-4165-8EE6-5F4CCA24C1DF}" id="{009E5C14-0911-4B0E-BF7F-C9EBDD211216}">
    <text>Q4 22 call: "Second, on FX. Assuming current rates remain stable, we expect a roughly 4-point impact to full-year revenue growth, with headwinds in H1 greater than in H2."</text>
  </threadedComment>
  <threadedComment ref="AI14" dT="2022-07-27T11:59:20.61" personId="{611737AC-4E77-4165-8EE6-5F4CCA24C1DF}" id="{B92D370F-1211-4291-AC8A-09B6E6CC1CCD}">
    <text>Q4 22 call: "Second, on FX. Assuming current rates remain stable, we expect a roughly 4-point impact to full-year revenue growth, with headwinds in H1 greater than in H2."</text>
  </threadedComment>
  <threadedComment ref="W21" dT="2020-06-09T15:31:13.15" personId="{4278B1C6-E86A-4359-9082-D890D57A3D72}" id="{76966A13-D0BC-4B80-9D54-454D6732C4FC}">
    <text>11.55-11.75 COGS guide</text>
  </threadedComment>
  <threadedComment ref="X21" dT="2020-07-22T22:10:41.49" personId="{4278B1C6-E86A-4359-9082-D890D57A3D72}" id="{DC9E0CB3-03B7-49F0-A575-27015768E07A}">
    <text>10.75-10.95 COGS guide</text>
  </threadedComment>
  <threadedComment ref="AS29" dT="2020-06-09T17:14:08.64" personId="{4278B1C6-E86A-4359-9082-D890D57A3D72}" id="{982DBD27-F589-4D06-9B3A-717D6296557C}">
    <text>Excl. EU fine</text>
  </threadedComment>
  <threadedComment ref="W30" dT="2020-06-09T15:31:13.15" personId="{4278B1C6-E86A-4359-9082-D890D57A3D72}" id="{625F7680-EA30-4663-9834-9E9A4F86AAAB}">
    <text>11.8-11.9 guide</text>
  </threadedComment>
  <threadedComment ref="AI36" dT="2022-10-26T12:16:25.65" personId="{611737AC-4E77-4165-8EE6-5F4CCA24C1DF}" id="{4EC26EAA-1A02-483E-BF03-B09EDBAB1147}">
    <text>Q1 guide - opex growth to moderate materially through the year</text>
  </threadedComment>
  <threadedComment ref="BF46" dT="2022-10-26T12:16:53.71" personId="{611737AC-4E77-4165-8EE6-5F4CCA24C1DF}" id="{E072D60C-234B-4F4E-BE29-9BA26CFE8C7D}">
    <text>Q1 guide - EBIT margins to decline ~1ppt</text>
  </threadedComment>
  <threadedComment ref="B52" dT="2021-07-10T18:02:08.19" personId="{611737AC-4E77-4165-8EE6-5F4CCA24C1DF}" id="{D59D2238-E1CE-462E-A48B-EB0950591A54}">
    <text>Q4 FY20 earnings call: Now before we turn to our outlook, I'd like to update you on a change in accounting estimate to the useful life of server and networking equipment assets in our cloud infrastructure. Effective at the start of fiscal year '21, we are extending the depreciable life for these assets to 4 years, which will apply to the asset balances on our balance sheet as of June 30, 2020, as well as future asset purchases. This change will not impact historical depreciation expense, the total depreciation expense over the life of the asset or cash flow, but it will impact the timing of depreciation expense in the future for these assets.
 As a result, based on the outstanding balances as of June 30, we expect fiscal year '21 operating income to be favorably impacted by approximately $900 million in the first quarter and approximately $2.7 billion for the full fiscal year. This has been included in the guidance we'll provide on today's call, and you will find additional details on the mechanics of the change in our earnings material</text>
  </threadedComment>
  <threadedComment ref="X52" dT="2021-07-10T18:21:09.70" personId="{611737AC-4E77-4165-8EE6-5F4CCA24C1DF}" id="{15544C64-16BE-447C-B5B9-F27A93C7C2E9}">
    <text>"And operating margins expanded 4 points yearover-year to 43%, including roughly 2 points of favorable impact from the change in accounting estimate."</text>
  </threadedComment>
  <threadedComment ref="Y52" dT="2021-07-10T18:18:01.59" personId="{611737AC-4E77-4165-8EE6-5F4CCA24C1DF}" id="{234D39A8-5A5E-4EA0-8942-2110BDC44390}">
    <text>"Operating income increased 29% and 26% in constant currency, and operating margins expanded 4 points
year-over-year to 42%, including roughly 2 points of favorable impact from the change in accounting
estimate"</text>
  </threadedComment>
  <threadedComment ref="Z52" dT="2021-07-10T18:16:23.76" personId="{611737AC-4E77-4165-8EE6-5F4CCA24C1DF}" id="{1105B808-920E-42ED-8C8C-05D9BB685135}">
    <text>"Year-over-year growth in operating expense includes roughly 2 points of impact from continued COVIDrelated savings. Operating income increased 31% and 27% in constant currency, and operating margins
expanded 4 points year-over-year to 41%, including nearly 2 points of favorable impact from the change
in accounting estimate"</text>
  </threadedComment>
  <threadedComment ref="AA52" dT="2021-07-27T22:06:55.35" personId="{611737AC-4E77-4165-8EE6-5F4CCA24C1DF}" id="{8309A102-7C11-4263-8B0D-FDEE23D76EB0}">
    <text>"Operating income increased 42% and 35% in constant currency, and operating margins expanded 6 points year-over-year to 41%, including roughly 2 points of impact from the retail stores charge and increase in bad debt expense in the prior year and nearly 1 point of favorable impact from the change in accounting estimate"</text>
  </threadedComment>
  <threadedComment ref="AB52" dT="2021-10-27T02:16:31.27" personId="{611737AC-4E77-4165-8EE6-5F4CCA24C1DF}" id="{A18CC879-1D07-43CF-98EB-3B59EEA71E01}">
    <text>"Operating income increased 27% and 24% in constant currency, and operating margins expanded 2 points year-over-year to 45%. Excluding the impact of the change in accounting estimate, operating margins expanded roughly 4 points year-over-year."</text>
  </threadedComment>
  <threadedComment ref="AC52" dT="2021-10-27T02:16:31.27" personId="{611737AC-4E77-4165-8EE6-5F4CCA24C1DF}" id="{ACBD8EEE-94F7-4951-9954-EE6ED8D8F762}">
    <text>"Operating income increased 24% and operating margins expanded 1 point year-over-year to 43%. Excluding the impact of the change in accounting estimate, operating margins expanded roughly 3 points year-over-year."</text>
  </threadedComment>
  <threadedComment ref="AG52" dT="2022-07-27T11:54:36.99" personId="{611737AC-4E77-4165-8EE6-5F4CCA24C1DF}" id="{25C467B2-E7DE-499E-A5E5-A611232A7F1E}">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H52" dT="2022-07-27T11:54:36.99" personId="{611737AC-4E77-4165-8EE6-5F4CCA24C1DF}" id="{7A5E2854-E694-4474-88AB-829840852CCB}">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I52" dT="2022-07-27T11:54:36.99" personId="{611737AC-4E77-4165-8EE6-5F4CCA24C1DF}" id="{8D915AD3-8130-493C-9F44-5DE1E6719BC3}">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G54" dT="2022-07-27T11:57:35.03" personId="{611737AC-4E77-4165-8EE6-5F4CCA24C1DF}" id="{C8D8ECD7-B41C-40D2-A180-7F4B93C5CE59}">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ext>
  </threadedComment>
  <threadedComment ref="AH54" dT="2022-07-27T11:57:35.03" personId="{611737AC-4E77-4165-8EE6-5F4CCA24C1DF}" id="{6F821223-A261-4C46-9EFA-EBF617D220EA}">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ext>
  </threadedComment>
  <threadedComment ref="AI54" dT="2022-07-27T11:57:35.03" personId="{611737AC-4E77-4165-8EE6-5F4CCA24C1DF}" id="{88C1C917-D856-490C-8A1D-EDB9386C4622}">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ext>
  </threadedComment>
  <threadedComment ref="AG55" dT="2022-07-27T11:57:35.03" personId="{611737AC-4E77-4165-8EE6-5F4CCA24C1DF}" id="{64DF6A0A-0505-45D0-AA2E-9E24B3E40ACF}">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 ref="AH55" dT="2022-07-27T11:57:35.03" personId="{611737AC-4E77-4165-8EE6-5F4CCA24C1DF}" id="{EF07325D-FB13-42EA-81A0-6DF758900F8D}">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 ref="AI55" dT="2022-07-27T11:57:35.03" personId="{611737AC-4E77-4165-8EE6-5F4CCA24C1DF}" id="{E64E492C-390F-49CE-BD31-A0105B8D131D}">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 ref="BF55" dT="2022-07-27T11:57:35.03" personId="{611737AC-4E77-4165-8EE6-5F4CCA24C1DF}" id="{7EBFA325-F554-492E-9D28-D2C441B45685}">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 ref="Z73" dT="2020-07-22T22:20:06.67" personId="{4278B1C6-E86A-4359-9082-D890D57A3D72}" id="{AC57B851-5476-49BC-8711-24ABBD02C7B8}">
    <text>D&amp;A change means 900M less Q1 and 2.7B less in FY21</text>
  </threadedComment>
  <threadedComment ref="AA73" dT="2020-07-22T22:20:06.67" personId="{4278B1C6-E86A-4359-9082-D890D57A3D72}" id="{D4FA7C14-6E0B-4E95-9D15-CBBB9E858B5F}">
    <text>D&amp;A change means 900M less Q1 and 2.7B less in FY21</text>
  </threadedComment>
  <threadedComment ref="AF73" dT="2022-07-27T12:05:06.94" personId="{611737AC-4E77-4165-8EE6-5F4CCA24C1DF}" id="{103CBC3E-EC99-4C4E-9571-998797F85A77}">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G73" dT="2022-07-27T12:05:06.94" personId="{611737AC-4E77-4165-8EE6-5F4CCA24C1DF}" id="{54B62CC3-D4F5-4B05-8D5C-913470225264}">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H73" dT="2022-07-27T12:05:06.94" personId="{611737AC-4E77-4165-8EE6-5F4CCA24C1DF}" id="{1C044D2A-374E-4120-937F-207C1B97A41E}">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I73" dT="2022-07-27T12:05:06.94" personId="{611737AC-4E77-4165-8EE6-5F4CCA24C1DF}" id="{85970624-4471-455C-8ABD-F1067DF27242}">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BD73" dT="2020-07-22T22:20:06.67" personId="{4278B1C6-E86A-4359-9082-D890D57A3D72}" id="{A275D6EF-D7C4-4047-8068-E8C491B7F562}">
    <text>D&amp;A change means 900M less Q1 and 2.7B less in FY21</text>
  </threadedComment>
  <threadedComment ref="AD79" dT="2022-01-26T12:26:02.21" personId="{611737AC-4E77-4165-8EE6-5F4CCA24C1DF}" id="{8871302A-9BD9-46B1-A8CB-C76A90D51258}">
    <text>"And, on a dollar basis, we expect capital expenditures to be slightly down sequentially with normal quarterly variability in the timing of cloud infrastructure buildout." Q2 Call</text>
  </threadedComment>
  <threadedComment ref="AE79" dT="2022-04-26T22:24:52.43" personId="{611737AC-4E77-4165-8EE6-5F4CCA24C1DF}" id="{46813019-3E59-4FC8-A16F-E809F8F67B21}">
    <text>"Capital expenditures, we expect a sequential increase on a dollar basis as we continue to invest to meet growing global demand for our cloud services"</text>
  </threadedComment>
  <threadedComment ref="AF79" dT="2022-07-27T12:55:58.40" personId="{611737AC-4E77-4165-8EE6-5F4CCA24C1DF}" id="{382BB08A-3755-43A1-88FE-D9A9F668C8DB}">
    <text>4Q22 call: "In capital expenditures, we expect a sequential decrease on a dollar basis with normal quarterly spend variability in the timing of our cloud infrastructure buildout."</text>
  </threadedComment>
  <threadedComment ref="AG79" dT="2022-10-26T12:33:14.26" personId="{611737AC-4E77-4165-8EE6-5F4CCA24C1DF}" id="{B6B17B0E-2767-4EF5-AE1F-FBDEADE7D2BB}">
    <text>Q1 guide of sequential decrease</text>
  </threadedComment>
  <threadedComment ref="W114" dT="2020-06-09T15:29:33.78" personId="{4278B1C6-E86A-4359-9082-D890D57A3D72}" id="{EB1AC7BC-78B8-44E6-92A3-10F327188AC6}">
    <text>11.65-11.95 guide</text>
  </threadedComment>
  <threadedComment ref="X114" dT="2020-07-22T22:07:43.84" personId="{4278B1C6-E86A-4359-9082-D890D57A3D72}" id="{1C05113E-0CDB-414F-AB3F-94257FFD7F54}">
    <text>11.65-11.90 Q4 guide</text>
  </threadedComment>
  <threadedComment ref="Y114" dT="2020-10-27T22:03:00.79" personId="{611737AC-4E77-4165-8EE6-5F4CCA24C1DF}" id="{3EDDCF45-6C30-4F64-91A6-73F09704FA61}">
    <text>$12.75-13 Q1 guide</text>
  </threadedComment>
  <threadedComment ref="Z114" dT="2021-01-26T23:06:19.30" personId="{611737AC-4E77-4165-8EE6-5F4CCA24C1DF}" id="{9685F24A-A7E1-4318-A2E5-76872B9436AE}">
    <text>Q1 guide of 13.35-13.6</text>
  </threadedComment>
  <threadedComment ref="AA114" dT="2021-04-27T22:04:04.00" personId="{611737AC-4E77-4165-8EE6-5F4CCA24C1DF}" id="{B5B6ED67-311D-4228-B457-EAFB72ACD482}">
    <text>Q3 guide of 13.8-14.05</text>
  </threadedComment>
  <threadedComment ref="AB114" dT="2021-04-27T22:04:04.00" personId="{611737AC-4E77-4165-8EE6-5F4CCA24C1DF}" id="{3BED3A54-4B15-42E6-A174-90B327372562}">
    <text>Q4 guide of 14.5-14.75</text>
  </threadedComment>
  <threadedComment ref="AC114" dT="2021-10-27T12:21:35.53" personId="{611737AC-4E77-4165-8EE6-5F4CCA24C1DF}" id="{0822F084-60B1-4CCA-BC53-41CDB6111521}">
    <text>Q1 guide of 15.7-15.95</text>
  </threadedComment>
  <threadedComment ref="AD114" dT="2022-01-26T12:14:23.10" personId="{611737AC-4E77-4165-8EE6-5F4CCA24C1DF}" id="{8A00680B-A0A9-45CC-9EC2-24C87AAF0BDD}">
    <text>Q2 Guide of 15.6-15.85</text>
  </threadedComment>
  <threadedComment ref="AE114" dT="2022-01-26T12:14:23.10" personId="{611737AC-4E77-4165-8EE6-5F4CCA24C1DF}" id="{F8C7EC10-DDCF-4A27-ACF4-A6D2F47EA426}">
    <text>Q3 Guide of 16.65-16.90;
Updated 6.2.22 guide of 16.48-16.73</text>
  </threadedComment>
  <threadedComment ref="AF114" dT="2022-01-26T12:14:23.10" personId="{611737AC-4E77-4165-8EE6-5F4CCA24C1DF}" id="{0F552A18-48C7-45BE-B971-AE210B086F65}">
    <text>Q4 Guide of 15.96-16.25</text>
  </threadedComment>
  <threadedComment ref="AG114" dT="2022-10-26T12:10:10.57" personId="{611737AC-4E77-4165-8EE6-5F4CCA24C1DF}" id="{87581234-D30B-4C4D-8625-20A2E2B3B9FF}">
    <text>Q1 guide 16.6-16.9</text>
  </threadedComment>
  <threadedComment ref="W115" dT="2020-06-09T15:29:53.55" personId="{4278B1C6-E86A-4359-9082-D890D57A3D72}" id="{78307713-C009-447D-A550-657247252C5A}">
    <text>12.9-13.15 guide</text>
  </threadedComment>
  <threadedComment ref="X115" dT="2020-07-22T22:05:32.17" personId="{4278B1C6-E86A-4359-9082-D890D57A3D72}" id="{388D9D9F-C72E-48F5-B650-65CDAF52C435}">
    <text>12.55-12.80 Q4 guide</text>
  </threadedComment>
  <threadedComment ref="Y115" dT="2020-10-27T22:03:50.30" personId="{611737AC-4E77-4165-8EE6-5F4CCA24C1DF}" id="{BB61DBB3-9E45-4B0E-9203-757B1881CB20}">
    <text>$13.55-13.8 Q1 guide</text>
  </threadedComment>
  <threadedComment ref="Z115" dT="2021-01-26T23:06:19.30" personId="{611737AC-4E77-4165-8EE6-5F4CCA24C1DF}" id="{86CC0559-E496-4208-A144-A86438E836A2}">
    <text>Q1 guide of 14.7-14.95</text>
  </threadedComment>
  <threadedComment ref="AA115" dT="2021-04-27T22:04:18.67" personId="{611737AC-4E77-4165-8EE6-5F4CCA24C1DF}" id="{B284F14B-0FD6-445D-B72E-CF8ADE3D8FE1}">
    <text>Q3 guide of 16.2-16.45</text>
  </threadedComment>
  <threadedComment ref="AB115" dT="2021-04-27T22:04:18.67" personId="{611737AC-4E77-4165-8EE6-5F4CCA24C1DF}" id="{BC5100C3-DD1E-4368-8814-1ECA46E52C7B}">
    <text>Q4 guide of 16.4-16.65</text>
  </threadedComment>
  <threadedComment ref="AC115" dT="2021-10-27T12:21:35.53" personId="{611737AC-4E77-4165-8EE6-5F4CCA24C1DF}" id="{C575EC67-1546-4673-AD6C-7A60BAEF1BB4}">
    <text>Q1 guide of 18.1-18.35</text>
  </threadedComment>
  <threadedComment ref="AD115" dT="2022-01-26T12:14:23.10" personId="{611737AC-4E77-4165-8EE6-5F4CCA24C1DF}" id="{92DB0D52-F784-49B5-95F3-1B927F6C0509}">
    <text>Q2 Guide of 18.75-19.0</text>
  </threadedComment>
  <threadedComment ref="AE115" dT="2022-01-26T12:14:23.10" personId="{611737AC-4E77-4165-8EE6-5F4CCA24C1DF}" id="{217682A9-5151-4F80-932C-CE012E445FFF}">
    <text>Q3 Guide of 21.10-21.35;
updated 6.2.22 guide of 20.92-21.17</text>
  </threadedComment>
  <threadedComment ref="AF115" dT="2022-01-26T12:14:23.10" personId="{611737AC-4E77-4165-8EE6-5F4CCA24C1DF}" id="{0AD1B5A8-10EA-4843-9EF8-9995F6AABD92}">
    <text>Q4 Guide of 20.3-20.6; revised 20.2-20.5 after FY23e investor metrics reallocate HoloLens</text>
  </threadedComment>
  <threadedComment ref="AG115" dT="2022-10-26T12:10:10.57" personId="{611737AC-4E77-4165-8EE6-5F4CCA24C1DF}" id="{401D3B40-7386-41D9-8C25-6C7B958002A6}">
    <text>Q1 guide 21.25-21.55</text>
  </threadedComment>
  <threadedComment ref="BI115" dT="2021-07-28T13:27:58.13" personId="{611737AC-4E77-4165-8EE6-5F4CCA24C1DF}" id="{57E0618D-2E4A-4BC7-9085-EDE04E83A0B7}">
    <text>7.28.21 - maintain Q1 three year stack</text>
  </threadedComment>
  <threadedComment ref="BJ115" dT="2021-07-28T13:27:58.13" personId="{611737AC-4E77-4165-8EE6-5F4CCA24C1DF}" id="{44E70D50-E1B7-4B55-9B38-1C77836230B3}">
    <text>7.28.21 - maintain Q1 three year stack</text>
  </threadedComment>
  <threadedComment ref="BK115" dT="2021-07-28T13:27:58.13" personId="{611737AC-4E77-4165-8EE6-5F4CCA24C1DF}" id="{404711FE-CCC0-425F-BDB5-D6DEB5057807}">
    <text>7.28.21 - maintain Q1 three year stack</text>
  </threadedComment>
  <threadedComment ref="W116" dT="2020-06-09T15:29:43.88" personId="{4278B1C6-E86A-4359-9082-D890D57A3D72}" id="{F82FCC36-5A32-4A93-A37C-56ACC034A559}">
    <text>11.3-11.7 guide</text>
  </threadedComment>
  <threadedComment ref="X116" dT="2020-07-22T22:06:09.21" personId="{4278B1C6-E86A-4359-9082-D890D57A3D72}" id="{F11619A2-F0CA-4A4A-8A32-DB755F79A655}">
    <text>10.95-11.35 Q4 guide</text>
  </threadedComment>
  <threadedComment ref="Y116" dT="2020-10-27T22:04:28.82" personId="{611737AC-4E77-4165-8EE6-5F4CCA24C1DF}" id="{1951A8DC-F8D8-4106-A3EE-49E37DAEFD9A}">
    <text>$13.2-13.6 Q1 guide</text>
  </threadedComment>
  <threadedComment ref="Z116" dT="2021-01-26T23:06:19.30" personId="{611737AC-4E77-4165-8EE6-5F4CCA24C1DF}" id="{47434661-85AC-4C03-BB83-A99F51E068F4}">
    <text>Q1 guide of 12.3-12.7</text>
  </threadedComment>
  <threadedComment ref="AA116" dT="2021-04-27T22:04:33.29" personId="{611737AC-4E77-4165-8EE6-5F4CCA24C1DF}" id="{EE534BE6-5768-4AFF-BA2D-F00074D9A327}">
    <text>Q3 guide of 13.6-14.0</text>
  </threadedComment>
  <threadedComment ref="AB116" dT="2021-04-27T22:04:33.29" personId="{611737AC-4E77-4165-8EE6-5F4CCA24C1DF}" id="{FC3936FA-CA78-4154-BE21-D44ABD1852C7}">
    <text>Q4 guide of 12.4-12.8</text>
  </threadedComment>
  <threadedComment ref="AC116" dT="2021-10-27T12:21:35.53" personId="{611737AC-4E77-4165-8EE6-5F4CCA24C1DF}" id="{B071974C-15B6-4476-9266-EF51FFA6657D}">
    <text>Q1 guide of 16.35-16.75</text>
  </threadedComment>
  <threadedComment ref="AD116" dT="2022-01-26T12:14:23.10" personId="{611737AC-4E77-4165-8EE6-5F4CCA24C1DF}" id="{D8F30B00-1ACC-4D56-A734-0F4A8B62E026}">
    <text>Q2 Guide of 14.15-14.45</text>
  </threadedComment>
  <threadedComment ref="AE116" dT="2022-01-26T12:14:23.10" personId="{611737AC-4E77-4165-8EE6-5F4CCA24C1DF}" id="{81D68EF1-81A3-4F2E-B666-941A01174A6A}">
    <text>Q3 Guide of 14.65-14.95; 
updated 6.2.22 guide of 14.54-14.84</text>
  </threadedComment>
  <threadedComment ref="AF116" dT="2022-01-26T12:14:23.10" personId="{611737AC-4E77-4165-8EE6-5F4CCA24C1DF}" id="{0A16107F-1817-4E56-9463-64E5164EAD34}">
    <text>Q4 Guide of 13.0-13.4; revised 13.1-13.5 after FY23e investor metrics reallocate HoloLens</text>
  </threadedComment>
  <threadedComment ref="AG116" dT="2022-10-26T12:10:10.57" personId="{611737AC-4E77-4165-8EE6-5F4CCA24C1DF}" id="{965C1C82-392C-4E10-BA02-8BF86CAD6E0D}">
    <text>Q1 guide 14.5-14.9</text>
  </threadedComment>
  <threadedComment ref="BI116" dT="2021-07-28T13:27:58.13" personId="{611737AC-4E77-4165-8EE6-5F4CCA24C1DF}" id="{47116650-66AB-4A09-9E66-CCAB046D733C}">
    <text>7.28.21 - maintain Q1 three year stack</text>
  </threadedComment>
  <threadedComment ref="BJ116" dT="2021-07-28T13:27:58.13" personId="{611737AC-4E77-4165-8EE6-5F4CCA24C1DF}" id="{E27DCDD0-3965-4F3E-A447-9A051A1002C1}">
    <text>7.28.21 - maintain Q1 three year stack</text>
  </threadedComment>
  <threadedComment ref="BK116" dT="2021-07-28T13:27:58.13" personId="{611737AC-4E77-4165-8EE6-5F4CCA24C1DF}" id="{E4C0CB98-7DE9-4E33-AB36-D323BBDFE885}">
    <text>7.28.21 - maintain Q1 three year stack</text>
  </threadedComment>
  <threadedComment ref="BI117" dT="2021-07-28T13:27:58.13" personId="{611737AC-4E77-4165-8EE6-5F4CCA24C1DF}" id="{2C3AFD7E-4719-46FB-95C2-293B6D7A5D55}">
    <text>7.28.21 - maintain Q1 three year stack</text>
  </threadedComment>
  <threadedComment ref="BJ117" dT="2021-07-28T13:27:58.13" personId="{611737AC-4E77-4165-8EE6-5F4CCA24C1DF}" id="{BBB3AC65-C3FF-495F-82E7-9D36F3170DCF}">
    <text>7.28.21 - maintain Q1 three year stack</text>
  </threadedComment>
  <threadedComment ref="BK117" dT="2021-07-28T13:27:58.13" personId="{611737AC-4E77-4165-8EE6-5F4CCA24C1DF}" id="{E1199233-F2FF-4F72-A507-0D18383B6AF0}">
    <text>7.28.21 - maintain Q1 three year stack</text>
  </threadedComment>
  <threadedComment ref="AE121" dT="2021-07-28T13:27:58.13" personId="{611737AC-4E77-4165-8EE6-5F4CCA24C1DF}" id="{7F86B462-B734-4BDD-A4E0-2DC62DD05BFE}">
    <text>10.27.21 - gradually reduce off Q3 three year stack level</text>
  </threadedComment>
  <threadedComment ref="AF121" dT="2021-07-28T13:27:58.13" personId="{611737AC-4E77-4165-8EE6-5F4CCA24C1DF}" id="{9F46957A-1FA5-4D88-AD86-E9186BDFBA9A}">
    <text>4.22.22 - gradually reduce off Q4 three year stack level</text>
  </threadedComment>
  <threadedComment ref="AG121" dT="2021-07-28T13:27:58.13" personId="{611737AC-4E77-4165-8EE6-5F4CCA24C1DF}" id="{907C19CC-94A4-422F-9F06-46E2E4C499B4}">
    <text>4.22.22 - gradually reduce off Q4 three year stack level</text>
  </threadedComment>
  <threadedComment ref="AH121" dT="2021-07-28T13:27:58.13" personId="{611737AC-4E77-4165-8EE6-5F4CCA24C1DF}" id="{9424C4A2-86DD-4E6E-B894-CAEC5AED2194}">
    <text>4.22.22 - gradually reduce off Q4 three year stack level</text>
  </threadedComment>
  <threadedComment ref="AI121" dT="2021-07-28T13:27:58.13" personId="{611737AC-4E77-4165-8EE6-5F4CCA24C1DF}" id="{0200313A-FD1E-43B2-B5B4-69EADE9184E3}">
    <text>4.22.22 - gradually reduce off Q4 three year stack level</text>
  </threadedComment>
  <threadedComment ref="AD122" dT="2022-03-07T15:31:22.23" personId="{611737AC-4E77-4165-8EE6-5F4CCA24C1DF}" id="{27C4EFAE-7097-45BF-859A-A6F75B16D9EF}">
    <text>Adding 350 per quarter for NUAN (only March in FQ3)</text>
  </threadedComment>
  <threadedComment ref="AE122" dT="2021-07-28T13:27:58.13" personId="{611737AC-4E77-4165-8EE6-5F4CCA24C1DF}" id="{A5CD2D45-10CE-4C7D-A264-DADFBE914460}">
    <text>10.27.21 - gradually reduce off Q3 three year stack level</text>
  </threadedComment>
  <threadedComment ref="AF122" dT="2021-07-28T13:27:58.13" personId="{611737AC-4E77-4165-8EE6-5F4CCA24C1DF}" id="{BB394418-A0CA-49B8-B7C1-DF291A8180EC}">
    <text>4.22.22 - gradually reduce off Q4 three year stack level</text>
  </threadedComment>
  <threadedComment ref="AG122" dT="2021-07-28T13:27:58.13" personId="{611737AC-4E77-4165-8EE6-5F4CCA24C1DF}" id="{9B3DD0F8-F562-421E-A309-E2CB5EDE879E}">
    <text>4.22.22 - gradually reduce off Q4 three year stack level</text>
  </threadedComment>
  <threadedComment ref="AH122" dT="2021-07-28T13:27:58.13" personId="{611737AC-4E77-4165-8EE6-5F4CCA24C1DF}" id="{4E839CAB-C105-4244-8A65-A7C0ED7950E8}">
    <text>4.22.22 - gradually reduce off Q4 three year stack level</text>
  </threadedComment>
  <threadedComment ref="AI122" dT="2021-07-28T13:27:58.13" personId="{611737AC-4E77-4165-8EE6-5F4CCA24C1DF}" id="{EEF9F497-1053-4AD3-9E9D-A5E4E10B2D1B}">
    <text>4.22.22 - gradually reduce off Q4 three year stack level</text>
  </threadedComment>
  <threadedComment ref="AE123" dT="2021-07-28T13:27:58.13" personId="{611737AC-4E77-4165-8EE6-5F4CCA24C1DF}" id="{FCECF491-71A0-4A28-AF1F-57565C41E8CC}">
    <text>10.27.21 - gradually reduce off Q3 three year stack level</text>
  </threadedComment>
  <threadedComment ref="AF123" dT="2021-07-28T13:27:58.13" personId="{611737AC-4E77-4165-8EE6-5F4CCA24C1DF}" id="{BA0A2F9F-CA88-4631-A733-B13DA2ECD08E}">
    <text>4.22.22 - gradually reduce off Q4 three year stack level</text>
  </threadedComment>
  <threadedComment ref="AG123" dT="2021-07-28T13:27:58.13" personId="{611737AC-4E77-4165-8EE6-5F4CCA24C1DF}" id="{43633FCA-010D-4657-A13D-6316CB52BD04}">
    <text>4.22.22 - gradually reduce off Q4 three year stack level</text>
  </threadedComment>
  <threadedComment ref="AH123" dT="2021-07-28T13:27:58.13" personId="{611737AC-4E77-4165-8EE6-5F4CCA24C1DF}" id="{1427D541-53FD-4364-B771-E592614EE75E}">
    <text>4.22.22 - gradually reduce off Q4 three year stack level</text>
  </threadedComment>
  <threadedComment ref="AI123" dT="2021-07-28T13:27:58.13" personId="{611737AC-4E77-4165-8EE6-5F4CCA24C1DF}" id="{27A7C0A2-0DF0-4480-8818-002085F60FCC}">
    <text>4.22.22 - gradually reduce off Q4 three year stack level</text>
  </threadedComment>
  <threadedComment ref="X146" dT="2020-07-22T22:14:53.62" personId="{4278B1C6-E86A-4359-9082-D890D57A3D72}" id="{185106EB-5963-4F46-B3DD-4724237B3C8C}">
    <text>13.7 - 14.3 Q4 implied guide</text>
  </threadedComment>
  <threadedComment ref="Z146" dT="2021-01-26T23:08:32.49" personId="{611737AC-4E77-4165-8EE6-5F4CCA24C1DF}" id="{ABDA891E-46BF-448E-9EA7-E3B567DFD1E7}">
    <text>Q1 midpoint guide of 15.65</text>
  </threadedComment>
  <threadedComment ref="R386" dT="2020-06-04T16:37:22.21" personId="{4278B1C6-E86A-4359-9082-D890D57A3D72}" id="{5BD7F01D-F2BF-4C61-8A44-8D04F4E32B04}">
    <text>MAUs surpassed 180M</text>
  </threadedComment>
  <threadedComment ref="H603" dT="2020-10-27T20:43:18.46" personId="{611737AC-4E77-4165-8EE6-5F4CCA24C1DF}" id="{4E621AA6-7E1E-49F9-96E2-31C33A12C9BA}">
    <text>Securities lending payable</text>
  </threadedComment>
  <threadedComment ref="I603" dT="2020-10-27T20:43:18.46" personId="{611737AC-4E77-4165-8EE6-5F4CCA24C1DF}" id="{864C0A20-3FE9-4C12-9896-C047E5F122E4}">
    <text>Securities lending payable</text>
  </threadedComment>
  <threadedComment ref="J603" dT="2020-10-27T20:43:18.46" personId="{611737AC-4E77-4165-8EE6-5F4CCA24C1DF}" id="{6C7A4426-3C56-47B9-B7E3-44A1133AB703}">
    <text>Securities lending payable</text>
  </threadedComment>
  <threadedComment ref="K603" dT="2020-10-27T20:43:18.46" personId="{611737AC-4E77-4165-8EE6-5F4CCA24C1DF}" id="{E7C8205D-08A0-44BA-B48E-DC7AC6BF478E}">
    <text>Securities lending payable</text>
  </threadedComment>
  <threadedComment ref="L603" dT="2020-10-27T20:43:18.46" personId="{611737AC-4E77-4165-8EE6-5F4CCA24C1DF}" id="{0BFBB10D-8866-42C4-9185-5FD039DCBD6C}">
    <text>Securities lending payable</text>
  </threadedComment>
  <threadedComment ref="M603" dT="2020-10-27T20:43:18.46" personId="{611737AC-4E77-4165-8EE6-5F4CCA24C1DF}" id="{654B31CF-C79D-4CDA-9CA2-A0C1A5FD8B35}">
    <text>Securities lending payable</text>
  </threadedComment>
  <threadedComment ref="N603" dT="2020-10-27T20:43:18.46" personId="{611737AC-4E77-4165-8EE6-5F4CCA24C1DF}" id="{1F1E6E3B-7117-4710-A5EB-732D5F6B8D78}">
    <text>Securities lending payable</text>
  </threadedComment>
  <threadedComment ref="O603" dT="2020-10-27T20:43:18.46" personId="{611737AC-4E77-4165-8EE6-5F4CCA24C1DF}" id="{12CE43EC-608C-437C-9C89-8E5405D318BB}">
    <text>Securities lending payable</text>
  </threadedComment>
  <threadedComment ref="P603" dT="2020-10-27T20:43:18.46" personId="{611737AC-4E77-4165-8EE6-5F4CCA24C1DF}" id="{3EA4CBD1-A107-4F72-BC74-25A44EEF8CC7}">
    <text>Securities lending payable</text>
  </threadedComment>
  <threadedComment ref="Q603" dT="2020-10-27T20:43:18.46" personId="{611737AC-4E77-4165-8EE6-5F4CCA24C1DF}" id="{DF1B3E96-BF0D-4E4C-A74A-2D4F71F6A834}">
    <text>Securities lending payable</text>
  </threadedComment>
  <threadedComment ref="R603" dT="2020-10-27T20:43:18.46" personId="{611737AC-4E77-4165-8EE6-5F4CCA24C1DF}" id="{A7ABF591-F9DA-4DDA-8BAF-559AD5F1C52C}">
    <text>Securities lending payable</text>
  </threadedComment>
  <threadedComment ref="S603" dT="2020-10-27T20:43:18.46" personId="{611737AC-4E77-4165-8EE6-5F4CCA24C1DF}" id="{A8037976-1A27-4F9D-B91E-77B810E85FAE}">
    <text>Securities lending payable</text>
  </threadedComment>
  <threadedComment ref="T603" dT="2020-10-27T20:43:18.46" personId="{611737AC-4E77-4165-8EE6-5F4CCA24C1DF}" id="{689A739D-9F65-4CF4-8BC3-06F1203053BF}">
    <text>Securities lending payable</text>
  </threadedComment>
  <threadedComment ref="U603" dT="2020-10-27T20:43:18.46" personId="{611737AC-4E77-4165-8EE6-5F4CCA24C1DF}" id="{5940FD42-415A-40D6-909D-C7B4860983BC}">
    <text>Securities lending payable</text>
  </threadedComment>
  <threadedComment ref="V603" dT="2020-10-27T20:43:18.46" personId="{611737AC-4E77-4165-8EE6-5F4CCA24C1DF}" id="{BAB0F768-8C2E-4E44-97D4-5E3B01AD0AD9}">
    <text>Securities lending payable</text>
  </threadedComment>
  <threadedComment ref="W603" dT="2020-10-27T20:43:18.46" personId="{611737AC-4E77-4165-8EE6-5F4CCA24C1DF}" id="{E57BD4D9-9095-4536-8497-19948AA65431}">
    <text>Securities lending payable</text>
  </threadedComment>
</ThreadedComments>
</file>

<file path=xl/worksheets/_rels/sheet3.xml.rels><?xml version="1.0" encoding="UTF-8" standalone="yes"?>
<Relationships xmlns="http://schemas.openxmlformats.org/package/2006/relationships"><Relationship Id="rId8" Type="http://schemas.openxmlformats.org/officeDocument/2006/relationships/hyperlink" Target="javascript:click();" TargetMode="External"/><Relationship Id="rId13" Type="http://schemas.openxmlformats.org/officeDocument/2006/relationships/vmlDrawing" Target="../drawings/vmlDrawing1.vml"/><Relationship Id="rId3" Type="http://schemas.openxmlformats.org/officeDocument/2006/relationships/hyperlink" Target="javascript:click();" TargetMode="External"/><Relationship Id="rId7" Type="http://schemas.openxmlformats.org/officeDocument/2006/relationships/hyperlink" Target="javascript:click();" TargetMode="External"/><Relationship Id="rId12" Type="http://schemas.openxmlformats.org/officeDocument/2006/relationships/printerSettings" Target="../printerSettings/printerSettings1.bin"/><Relationship Id="rId2" Type="http://schemas.openxmlformats.org/officeDocument/2006/relationships/hyperlink" Target="javascript:click();" TargetMode="External"/><Relationship Id="rId1" Type="http://schemas.openxmlformats.org/officeDocument/2006/relationships/hyperlink" Target="javascript:click();" TargetMode="External"/><Relationship Id="rId6" Type="http://schemas.openxmlformats.org/officeDocument/2006/relationships/hyperlink" Target="javascript:click();" TargetMode="External"/><Relationship Id="rId11" Type="http://schemas.openxmlformats.org/officeDocument/2006/relationships/hyperlink" Target="javascript:click();" TargetMode="External"/><Relationship Id="rId5" Type="http://schemas.openxmlformats.org/officeDocument/2006/relationships/hyperlink" Target="javascript:click();" TargetMode="External"/><Relationship Id="rId15" Type="http://schemas.microsoft.com/office/2017/10/relationships/threadedComment" Target="../threadedComments/threadedComment1.xml"/><Relationship Id="rId10" Type="http://schemas.openxmlformats.org/officeDocument/2006/relationships/hyperlink" Target="javascript:click();" TargetMode="External"/><Relationship Id="rId4" Type="http://schemas.openxmlformats.org/officeDocument/2006/relationships/hyperlink" Target="javascript:click();" TargetMode="External"/><Relationship Id="rId9" Type="http://schemas.openxmlformats.org/officeDocument/2006/relationships/hyperlink" Target="javascript:click();" TargetMode="External"/><Relationship Id="rId1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8" Type="http://schemas.openxmlformats.org/officeDocument/2006/relationships/hyperlink" Target="javascript:click();" TargetMode="External"/><Relationship Id="rId13" Type="http://schemas.openxmlformats.org/officeDocument/2006/relationships/vmlDrawing" Target="../drawings/vmlDrawing2.vml"/><Relationship Id="rId3" Type="http://schemas.openxmlformats.org/officeDocument/2006/relationships/hyperlink" Target="javascript:click();" TargetMode="External"/><Relationship Id="rId7" Type="http://schemas.openxmlformats.org/officeDocument/2006/relationships/hyperlink" Target="javascript:click();" TargetMode="External"/><Relationship Id="rId12" Type="http://schemas.openxmlformats.org/officeDocument/2006/relationships/printerSettings" Target="../printerSettings/printerSettings2.bin"/><Relationship Id="rId2" Type="http://schemas.openxmlformats.org/officeDocument/2006/relationships/hyperlink" Target="javascript:click();" TargetMode="External"/><Relationship Id="rId1" Type="http://schemas.openxmlformats.org/officeDocument/2006/relationships/hyperlink" Target="javascript:click();" TargetMode="External"/><Relationship Id="rId6" Type="http://schemas.openxmlformats.org/officeDocument/2006/relationships/hyperlink" Target="javascript:click();" TargetMode="External"/><Relationship Id="rId11" Type="http://schemas.openxmlformats.org/officeDocument/2006/relationships/hyperlink" Target="javascript:click();" TargetMode="External"/><Relationship Id="rId5" Type="http://schemas.openxmlformats.org/officeDocument/2006/relationships/hyperlink" Target="javascript:click();" TargetMode="External"/><Relationship Id="rId15" Type="http://schemas.microsoft.com/office/2017/10/relationships/threadedComment" Target="../threadedComments/threadedComment2.xml"/><Relationship Id="rId10" Type="http://schemas.openxmlformats.org/officeDocument/2006/relationships/hyperlink" Target="javascript:click();" TargetMode="External"/><Relationship Id="rId4" Type="http://schemas.openxmlformats.org/officeDocument/2006/relationships/hyperlink" Target="javascript:click();" TargetMode="External"/><Relationship Id="rId9" Type="http://schemas.openxmlformats.org/officeDocument/2006/relationships/hyperlink" Target="javascript:click();" TargetMode="External"/><Relationship Id="rId1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8" Type="http://schemas.openxmlformats.org/officeDocument/2006/relationships/hyperlink" Target="javascript:void(0);" TargetMode="External"/><Relationship Id="rId13" Type="http://schemas.microsoft.com/office/2017/10/relationships/threadedComment" Target="../threadedComments/threadedComment5.xml"/><Relationship Id="rId3" Type="http://schemas.openxmlformats.org/officeDocument/2006/relationships/hyperlink" Target="javascript:void(0);" TargetMode="External"/><Relationship Id="rId7" Type="http://schemas.openxmlformats.org/officeDocument/2006/relationships/hyperlink" Target="javascript:void(0);" TargetMode="External"/><Relationship Id="rId12" Type="http://schemas.openxmlformats.org/officeDocument/2006/relationships/comments" Target="../comments5.xml"/><Relationship Id="rId2" Type="http://schemas.openxmlformats.org/officeDocument/2006/relationships/hyperlink" Target="javascript:void(0);" TargetMode="External"/><Relationship Id="rId1" Type="http://schemas.openxmlformats.org/officeDocument/2006/relationships/hyperlink" Target="javascript:void(0);" TargetMode="External"/><Relationship Id="rId6" Type="http://schemas.openxmlformats.org/officeDocument/2006/relationships/hyperlink" Target="javascript:void(0);" TargetMode="External"/><Relationship Id="rId11" Type="http://schemas.openxmlformats.org/officeDocument/2006/relationships/vmlDrawing" Target="../drawings/vmlDrawing5.vml"/><Relationship Id="rId5" Type="http://schemas.openxmlformats.org/officeDocument/2006/relationships/hyperlink" Target="javascript:void(0);" TargetMode="External"/><Relationship Id="rId10" Type="http://schemas.openxmlformats.org/officeDocument/2006/relationships/drawing" Target="../drawings/drawing1.xml"/><Relationship Id="rId4" Type="http://schemas.openxmlformats.org/officeDocument/2006/relationships/hyperlink" Target="javascript:void(0);" TargetMode="External"/><Relationship Id="rId9"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artner.com/en/newsroom/press-releases/2020-04-13-gartner-says-worldwide-pc-shipments-declined-12-point-3-percent-in-the-first-quarter-of-2020-due-to-coronavirus-pandemic" TargetMode="External"/><Relationship Id="rId13" Type="http://schemas.openxmlformats.org/officeDocument/2006/relationships/hyperlink" Target="https://www.gartner.com/en/newsroom/press-releases/2017-01-11-gartner-says-2016-marked-fifth-consecutive-year-of-worldwide-pc-shipment-decline" TargetMode="External"/><Relationship Id="rId18" Type="http://schemas.openxmlformats.org/officeDocument/2006/relationships/drawing" Target="../drawings/drawing3.xml"/><Relationship Id="rId3" Type="http://schemas.openxmlformats.org/officeDocument/2006/relationships/hyperlink" Target="https://www.gartner.com/en/newsroom/press-releases/2022-04-11-gartner-says-worldwide-pc-shipments-declined-7-percent-in-first-quarter-of-2022" TargetMode="External"/><Relationship Id="rId21" Type="http://schemas.microsoft.com/office/2017/10/relationships/threadedComment" Target="../threadedComments/threadedComment7.xml"/><Relationship Id="rId7" Type="http://schemas.openxmlformats.org/officeDocument/2006/relationships/hyperlink" Target="https://www.gartner.com/en/newsroom/press-releases/2020-07-09-gartner-says-worldwide-pc-shipments-grew-2point8-percent-in-second-quarter-of-2020" TargetMode="External"/><Relationship Id="rId12" Type="http://schemas.openxmlformats.org/officeDocument/2006/relationships/hyperlink" Target="https://www.gartner.com/en/newsroom/press-releases/2018-04-11-gartner-says-worldwide-pc-shipments-declined-1-percent-in-first-quarter-of-2018" TargetMode="External"/><Relationship Id="rId17" Type="http://schemas.openxmlformats.org/officeDocument/2006/relationships/printerSettings" Target="../printerSettings/printerSettings7.bin"/><Relationship Id="rId2" Type="http://schemas.openxmlformats.org/officeDocument/2006/relationships/hyperlink" Target="https://www.gartner.com/en/newsroom/press-releases/2022-07-11-gartner-says-worldwide-pc-shipments-experienced-the-sharpest-decline-in-nine-years-in-second-quarter-of-2022" TargetMode="External"/><Relationship Id="rId16" Type="http://schemas.openxmlformats.org/officeDocument/2006/relationships/hyperlink" Target="https://www.gartner.com/en/newsroom/press-releases/2016-04-11-gartner-says-worldwide-pc-shipments-declined-9-percent-in-first-quarter-of-2016" TargetMode="External"/><Relationship Id="rId20" Type="http://schemas.openxmlformats.org/officeDocument/2006/relationships/comments" Target="../comments7.xml"/><Relationship Id="rId1" Type="http://schemas.openxmlformats.org/officeDocument/2006/relationships/hyperlink" Target="https://www.gartner.com/en/newsroom/press-releases/2022-10-10-gartner-says-worldwide-pc-shipments-declined-19-percent-in-third-quarter-of-2022" TargetMode="External"/><Relationship Id="rId6" Type="http://schemas.openxmlformats.org/officeDocument/2006/relationships/hyperlink" Target="https://www.gartner.com/en/newsroom/press-releases/2020-10-12-gartner-says-worldwide-pc-shipments-grew-3-point-six-percent-in-the-third-quarter-of-2020" TargetMode="External"/><Relationship Id="rId11" Type="http://schemas.openxmlformats.org/officeDocument/2006/relationships/hyperlink" Target="https://www.gartner.com/en/newsroom/press-releases/2018-07-12--gartner-says-worldwide-pc-shipments-grew-for-the-first-time-in-six-years-during-the-second-quarter-of-2018" TargetMode="External"/><Relationship Id="rId5" Type="http://schemas.openxmlformats.org/officeDocument/2006/relationships/hyperlink" Target="https://www.gartner.com/en/newsroom/press-releases/2021-01-11-gartner-says-worldwide-pc-shipments-grew-10-point-7-percent-in-the-fourth-quarter-of-2020-and-4-point-8-percent-for-the-year" TargetMode="External"/><Relationship Id="rId15" Type="http://schemas.openxmlformats.org/officeDocument/2006/relationships/hyperlink" Target="https://www.businesswire.com/news/home/20160711006385/en/Gartner-Worldwide-PC-Shipments-Declined-5.2-Percent" TargetMode="External"/><Relationship Id="rId10" Type="http://schemas.openxmlformats.org/officeDocument/2006/relationships/hyperlink" Target="https://www.gartner.com/en/newsroom/press-releases/2018-10-10-gartner-says-worldwide-pc-shipments-experienced-flat-growth-in-the-third-quarter-of-2018" TargetMode="External"/><Relationship Id="rId19" Type="http://schemas.openxmlformats.org/officeDocument/2006/relationships/vmlDrawing" Target="../drawings/vmlDrawing7.vml"/><Relationship Id="rId4" Type="http://schemas.openxmlformats.org/officeDocument/2006/relationships/hyperlink" Target="https://www.gartner.com/en/newsroom/press-releases/2023-01-11-gartner-says-worldwide-pc-shipments-declined-28-percent-in-fourth-quarter-of-2022-and-16-percent-for-the-year" TargetMode="External"/><Relationship Id="rId9" Type="http://schemas.openxmlformats.org/officeDocument/2006/relationships/hyperlink" Target="https://www.gartner.com/en/newsroom/press-releases/2019-01-10-gartner-says-worldwide-pc-shipments-declined-4-3-perc" TargetMode="External"/><Relationship Id="rId14" Type="http://schemas.openxmlformats.org/officeDocument/2006/relationships/hyperlink" Target="https://www.gartner.com/en/newsroom/press-releases/2016-10-11-gartner-says-worldwide-pc-shipments-declined-5-percent-in-third-quarter-of-201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 Id="rId4" Type="http://schemas.microsoft.com/office/2017/10/relationships/threadedComment" Target="../threadedComments/threadedComment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15.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807D2-8375-4B02-B113-41356272AF2D}">
  <dimension ref="A1"/>
  <sheetViews>
    <sheetView workbookViewId="0"/>
  </sheetViews>
  <sheetFormatPr defaultRowHeight="9.9499999999999993"/>
  <sheetData>
    <row r="1" spans="1:1">
      <c r="A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3D6DF-44CD-419B-8D44-2246FB7FE28B}">
  <dimension ref="A1:BH1"/>
  <sheetViews>
    <sheetView workbookViewId="0"/>
  </sheetViews>
  <sheetFormatPr defaultRowHeight="9.9499999999999993"/>
  <sheetData>
    <row r="1" spans="1:60">
      <c r="A1">
        <v>60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3133D-A4CC-4903-A910-A4134F7BDC8E}">
  <sheetPr>
    <pageSetUpPr fitToPage="1"/>
  </sheetPr>
  <dimension ref="A1:AJ163"/>
  <sheetViews>
    <sheetView tabSelected="1" view="pageBreakPreview" zoomScale="55" zoomScaleNormal="75" zoomScaleSheetLayoutView="55" workbookViewId="0">
      <pane xSplit="1" ySplit="5" topLeftCell="B6" activePane="bottomRight" state="frozen"/>
      <selection pane="bottomRight" activeCell="B6" sqref="B6"/>
      <selection pane="bottomLeft" activeCell="E33" sqref="E33"/>
      <selection pane="topRight" activeCell="E33" sqref="E33"/>
    </sheetView>
  </sheetViews>
  <sheetFormatPr defaultColWidth="4.5" defaultRowHeight="15.6" outlineLevelRow="1" outlineLevelCol="1"/>
  <cols>
    <col min="1" max="1" width="39.33203125" style="1267" customWidth="1"/>
    <col min="2" max="2" width="4.1640625" style="1267" customWidth="1"/>
    <col min="3" max="3" width="14.83203125" style="1267" hidden="1" customWidth="1" outlineLevel="1"/>
    <col min="4" max="4" width="20.1640625" style="1267" bestFit="1" customWidth="1" collapsed="1"/>
    <col min="5" max="10" width="14.33203125" style="1267" customWidth="1"/>
    <col min="11" max="11" width="18.5" style="1267" bestFit="1" customWidth="1"/>
    <col min="12" max="22" width="14.33203125" style="1267" customWidth="1"/>
    <col min="23" max="24" width="10.6640625" style="1267" customWidth="1"/>
    <col min="25" max="25" width="30" style="1267" bestFit="1" customWidth="1"/>
    <col min="26" max="31" width="11.1640625" style="1267" customWidth="1"/>
    <col min="32" max="256" width="4.5" style="1267"/>
    <col min="257" max="257" width="11.83203125" style="1267" customWidth="1"/>
    <col min="258" max="258" width="2.1640625" style="1267" customWidth="1"/>
    <col min="259" max="274" width="10.6640625" style="1267" customWidth="1"/>
    <col min="275" max="276" width="14" style="1267" customWidth="1"/>
    <col min="277" max="277" width="54" style="1267" customWidth="1"/>
    <col min="278" max="280" width="10.6640625" style="1267" customWidth="1"/>
    <col min="281" max="287" width="11.1640625" style="1267" customWidth="1"/>
    <col min="288" max="512" width="4.5" style="1267"/>
    <col min="513" max="513" width="11.83203125" style="1267" customWidth="1"/>
    <col min="514" max="514" width="2.1640625" style="1267" customWidth="1"/>
    <col min="515" max="530" width="10.6640625" style="1267" customWidth="1"/>
    <col min="531" max="532" width="14" style="1267" customWidth="1"/>
    <col min="533" max="533" width="54" style="1267" customWidth="1"/>
    <col min="534" max="536" width="10.6640625" style="1267" customWidth="1"/>
    <col min="537" max="543" width="11.1640625" style="1267" customWidth="1"/>
    <col min="544" max="768" width="4.5" style="1267"/>
    <col min="769" max="769" width="11.83203125" style="1267" customWidth="1"/>
    <col min="770" max="770" width="2.1640625" style="1267" customWidth="1"/>
    <col min="771" max="786" width="10.6640625" style="1267" customWidth="1"/>
    <col min="787" max="788" width="14" style="1267" customWidth="1"/>
    <col min="789" max="789" width="54" style="1267" customWidth="1"/>
    <col min="790" max="792" width="10.6640625" style="1267" customWidth="1"/>
    <col min="793" max="799" width="11.1640625" style="1267" customWidth="1"/>
    <col min="800" max="1024" width="4.5" style="1267"/>
    <col min="1025" max="1025" width="11.83203125" style="1267" customWidth="1"/>
    <col min="1026" max="1026" width="2.1640625" style="1267" customWidth="1"/>
    <col min="1027" max="1042" width="10.6640625" style="1267" customWidth="1"/>
    <col min="1043" max="1044" width="14" style="1267" customWidth="1"/>
    <col min="1045" max="1045" width="54" style="1267" customWidth="1"/>
    <col min="1046" max="1048" width="10.6640625" style="1267" customWidth="1"/>
    <col min="1049" max="1055" width="11.1640625" style="1267" customWidth="1"/>
    <col min="1056" max="1280" width="4.5" style="1267"/>
    <col min="1281" max="1281" width="11.83203125" style="1267" customWidth="1"/>
    <col min="1282" max="1282" width="2.1640625" style="1267" customWidth="1"/>
    <col min="1283" max="1298" width="10.6640625" style="1267" customWidth="1"/>
    <col min="1299" max="1300" width="14" style="1267" customWidth="1"/>
    <col min="1301" max="1301" width="54" style="1267" customWidth="1"/>
    <col min="1302" max="1304" width="10.6640625" style="1267" customWidth="1"/>
    <col min="1305" max="1311" width="11.1640625" style="1267" customWidth="1"/>
    <col min="1312" max="1536" width="4.5" style="1267"/>
    <col min="1537" max="1537" width="11.83203125" style="1267" customWidth="1"/>
    <col min="1538" max="1538" width="2.1640625" style="1267" customWidth="1"/>
    <col min="1539" max="1554" width="10.6640625" style="1267" customWidth="1"/>
    <col min="1555" max="1556" width="14" style="1267" customWidth="1"/>
    <col min="1557" max="1557" width="54" style="1267" customWidth="1"/>
    <col min="1558" max="1560" width="10.6640625" style="1267" customWidth="1"/>
    <col min="1561" max="1567" width="11.1640625" style="1267" customWidth="1"/>
    <col min="1568" max="1792" width="4.5" style="1267"/>
    <col min="1793" max="1793" width="11.83203125" style="1267" customWidth="1"/>
    <col min="1794" max="1794" width="2.1640625" style="1267" customWidth="1"/>
    <col min="1795" max="1810" width="10.6640625" style="1267" customWidth="1"/>
    <col min="1811" max="1812" width="14" style="1267" customWidth="1"/>
    <col min="1813" max="1813" width="54" style="1267" customWidth="1"/>
    <col min="1814" max="1816" width="10.6640625" style="1267" customWidth="1"/>
    <col min="1817" max="1823" width="11.1640625" style="1267" customWidth="1"/>
    <col min="1824" max="2048" width="4.5" style="1267"/>
    <col min="2049" max="2049" width="11.83203125" style="1267" customWidth="1"/>
    <col min="2050" max="2050" width="2.1640625" style="1267" customWidth="1"/>
    <col min="2051" max="2066" width="10.6640625" style="1267" customWidth="1"/>
    <col min="2067" max="2068" width="14" style="1267" customWidth="1"/>
    <col min="2069" max="2069" width="54" style="1267" customWidth="1"/>
    <col min="2070" max="2072" width="10.6640625" style="1267" customWidth="1"/>
    <col min="2073" max="2079" width="11.1640625" style="1267" customWidth="1"/>
    <col min="2080" max="2304" width="4.5" style="1267"/>
    <col min="2305" max="2305" width="11.83203125" style="1267" customWidth="1"/>
    <col min="2306" max="2306" width="2.1640625" style="1267" customWidth="1"/>
    <col min="2307" max="2322" width="10.6640625" style="1267" customWidth="1"/>
    <col min="2323" max="2324" width="14" style="1267" customWidth="1"/>
    <col min="2325" max="2325" width="54" style="1267" customWidth="1"/>
    <col min="2326" max="2328" width="10.6640625" style="1267" customWidth="1"/>
    <col min="2329" max="2335" width="11.1640625" style="1267" customWidth="1"/>
    <col min="2336" max="2560" width="4.5" style="1267"/>
    <col min="2561" max="2561" width="11.83203125" style="1267" customWidth="1"/>
    <col min="2562" max="2562" width="2.1640625" style="1267" customWidth="1"/>
    <col min="2563" max="2578" width="10.6640625" style="1267" customWidth="1"/>
    <col min="2579" max="2580" width="14" style="1267" customWidth="1"/>
    <col min="2581" max="2581" width="54" style="1267" customWidth="1"/>
    <col min="2582" max="2584" width="10.6640625" style="1267" customWidth="1"/>
    <col min="2585" max="2591" width="11.1640625" style="1267" customWidth="1"/>
    <col min="2592" max="2816" width="4.5" style="1267"/>
    <col min="2817" max="2817" width="11.83203125" style="1267" customWidth="1"/>
    <col min="2818" max="2818" width="2.1640625" style="1267" customWidth="1"/>
    <col min="2819" max="2834" width="10.6640625" style="1267" customWidth="1"/>
    <col min="2835" max="2836" width="14" style="1267" customWidth="1"/>
    <col min="2837" max="2837" width="54" style="1267" customWidth="1"/>
    <col min="2838" max="2840" width="10.6640625" style="1267" customWidth="1"/>
    <col min="2841" max="2847" width="11.1640625" style="1267" customWidth="1"/>
    <col min="2848" max="3072" width="4.5" style="1267"/>
    <col min="3073" max="3073" width="11.83203125" style="1267" customWidth="1"/>
    <col min="3074" max="3074" width="2.1640625" style="1267" customWidth="1"/>
    <col min="3075" max="3090" width="10.6640625" style="1267" customWidth="1"/>
    <col min="3091" max="3092" width="14" style="1267" customWidth="1"/>
    <col min="3093" max="3093" width="54" style="1267" customWidth="1"/>
    <col min="3094" max="3096" width="10.6640625" style="1267" customWidth="1"/>
    <col min="3097" max="3103" width="11.1640625" style="1267" customWidth="1"/>
    <col min="3104" max="3328" width="4.5" style="1267"/>
    <col min="3329" max="3329" width="11.83203125" style="1267" customWidth="1"/>
    <col min="3330" max="3330" width="2.1640625" style="1267" customWidth="1"/>
    <col min="3331" max="3346" width="10.6640625" style="1267" customWidth="1"/>
    <col min="3347" max="3348" width="14" style="1267" customWidth="1"/>
    <col min="3349" max="3349" width="54" style="1267" customWidth="1"/>
    <col min="3350" max="3352" width="10.6640625" style="1267" customWidth="1"/>
    <col min="3353" max="3359" width="11.1640625" style="1267" customWidth="1"/>
    <col min="3360" max="3584" width="4.5" style="1267"/>
    <col min="3585" max="3585" width="11.83203125" style="1267" customWidth="1"/>
    <col min="3586" max="3586" width="2.1640625" style="1267" customWidth="1"/>
    <col min="3587" max="3602" width="10.6640625" style="1267" customWidth="1"/>
    <col min="3603" max="3604" width="14" style="1267" customWidth="1"/>
    <col min="3605" max="3605" width="54" style="1267" customWidth="1"/>
    <col min="3606" max="3608" width="10.6640625" style="1267" customWidth="1"/>
    <col min="3609" max="3615" width="11.1640625" style="1267" customWidth="1"/>
    <col min="3616" max="3840" width="4.5" style="1267"/>
    <col min="3841" max="3841" width="11.83203125" style="1267" customWidth="1"/>
    <col min="3842" max="3842" width="2.1640625" style="1267" customWidth="1"/>
    <col min="3843" max="3858" width="10.6640625" style="1267" customWidth="1"/>
    <col min="3859" max="3860" width="14" style="1267" customWidth="1"/>
    <col min="3861" max="3861" width="54" style="1267" customWidth="1"/>
    <col min="3862" max="3864" width="10.6640625" style="1267" customWidth="1"/>
    <col min="3865" max="3871" width="11.1640625" style="1267" customWidth="1"/>
    <col min="3872" max="4096" width="4.5" style="1267"/>
    <col min="4097" max="4097" width="11.83203125" style="1267" customWidth="1"/>
    <col min="4098" max="4098" width="2.1640625" style="1267" customWidth="1"/>
    <col min="4099" max="4114" width="10.6640625" style="1267" customWidth="1"/>
    <col min="4115" max="4116" width="14" style="1267" customWidth="1"/>
    <col min="4117" max="4117" width="54" style="1267" customWidth="1"/>
    <col min="4118" max="4120" width="10.6640625" style="1267" customWidth="1"/>
    <col min="4121" max="4127" width="11.1640625" style="1267" customWidth="1"/>
    <col min="4128" max="4352" width="4.5" style="1267"/>
    <col min="4353" max="4353" width="11.83203125" style="1267" customWidth="1"/>
    <col min="4354" max="4354" width="2.1640625" style="1267" customWidth="1"/>
    <col min="4355" max="4370" width="10.6640625" style="1267" customWidth="1"/>
    <col min="4371" max="4372" width="14" style="1267" customWidth="1"/>
    <col min="4373" max="4373" width="54" style="1267" customWidth="1"/>
    <col min="4374" max="4376" width="10.6640625" style="1267" customWidth="1"/>
    <col min="4377" max="4383" width="11.1640625" style="1267" customWidth="1"/>
    <col min="4384" max="4608" width="4.5" style="1267"/>
    <col min="4609" max="4609" width="11.83203125" style="1267" customWidth="1"/>
    <col min="4610" max="4610" width="2.1640625" style="1267" customWidth="1"/>
    <col min="4611" max="4626" width="10.6640625" style="1267" customWidth="1"/>
    <col min="4627" max="4628" width="14" style="1267" customWidth="1"/>
    <col min="4629" max="4629" width="54" style="1267" customWidth="1"/>
    <col min="4630" max="4632" width="10.6640625" style="1267" customWidth="1"/>
    <col min="4633" max="4639" width="11.1640625" style="1267" customWidth="1"/>
    <col min="4640" max="4864" width="4.5" style="1267"/>
    <col min="4865" max="4865" width="11.83203125" style="1267" customWidth="1"/>
    <col min="4866" max="4866" width="2.1640625" style="1267" customWidth="1"/>
    <col min="4867" max="4882" width="10.6640625" style="1267" customWidth="1"/>
    <col min="4883" max="4884" width="14" style="1267" customWidth="1"/>
    <col min="4885" max="4885" width="54" style="1267" customWidth="1"/>
    <col min="4886" max="4888" width="10.6640625" style="1267" customWidth="1"/>
    <col min="4889" max="4895" width="11.1640625" style="1267" customWidth="1"/>
    <col min="4896" max="5120" width="4.5" style="1267"/>
    <col min="5121" max="5121" width="11.83203125" style="1267" customWidth="1"/>
    <col min="5122" max="5122" width="2.1640625" style="1267" customWidth="1"/>
    <col min="5123" max="5138" width="10.6640625" style="1267" customWidth="1"/>
    <col min="5139" max="5140" width="14" style="1267" customWidth="1"/>
    <col min="5141" max="5141" width="54" style="1267" customWidth="1"/>
    <col min="5142" max="5144" width="10.6640625" style="1267" customWidth="1"/>
    <col min="5145" max="5151" width="11.1640625" style="1267" customWidth="1"/>
    <col min="5152" max="5376" width="4.5" style="1267"/>
    <col min="5377" max="5377" width="11.83203125" style="1267" customWidth="1"/>
    <col min="5378" max="5378" width="2.1640625" style="1267" customWidth="1"/>
    <col min="5379" max="5394" width="10.6640625" style="1267" customWidth="1"/>
    <col min="5395" max="5396" width="14" style="1267" customWidth="1"/>
    <col min="5397" max="5397" width="54" style="1267" customWidth="1"/>
    <col min="5398" max="5400" width="10.6640625" style="1267" customWidth="1"/>
    <col min="5401" max="5407" width="11.1640625" style="1267" customWidth="1"/>
    <col min="5408" max="5632" width="4.5" style="1267"/>
    <col min="5633" max="5633" width="11.83203125" style="1267" customWidth="1"/>
    <col min="5634" max="5634" width="2.1640625" style="1267" customWidth="1"/>
    <col min="5635" max="5650" width="10.6640625" style="1267" customWidth="1"/>
    <col min="5651" max="5652" width="14" style="1267" customWidth="1"/>
    <col min="5653" max="5653" width="54" style="1267" customWidth="1"/>
    <col min="5654" max="5656" width="10.6640625" style="1267" customWidth="1"/>
    <col min="5657" max="5663" width="11.1640625" style="1267" customWidth="1"/>
    <col min="5664" max="5888" width="4.5" style="1267"/>
    <col min="5889" max="5889" width="11.83203125" style="1267" customWidth="1"/>
    <col min="5890" max="5890" width="2.1640625" style="1267" customWidth="1"/>
    <col min="5891" max="5906" width="10.6640625" style="1267" customWidth="1"/>
    <col min="5907" max="5908" width="14" style="1267" customWidth="1"/>
    <col min="5909" max="5909" width="54" style="1267" customWidth="1"/>
    <col min="5910" max="5912" width="10.6640625" style="1267" customWidth="1"/>
    <col min="5913" max="5919" width="11.1640625" style="1267" customWidth="1"/>
    <col min="5920" max="6144" width="4.5" style="1267"/>
    <col min="6145" max="6145" width="11.83203125" style="1267" customWidth="1"/>
    <col min="6146" max="6146" width="2.1640625" style="1267" customWidth="1"/>
    <col min="6147" max="6162" width="10.6640625" style="1267" customWidth="1"/>
    <col min="6163" max="6164" width="14" style="1267" customWidth="1"/>
    <col min="6165" max="6165" width="54" style="1267" customWidth="1"/>
    <col min="6166" max="6168" width="10.6640625" style="1267" customWidth="1"/>
    <col min="6169" max="6175" width="11.1640625" style="1267" customWidth="1"/>
    <col min="6176" max="6400" width="4.5" style="1267"/>
    <col min="6401" max="6401" width="11.83203125" style="1267" customWidth="1"/>
    <col min="6402" max="6402" width="2.1640625" style="1267" customWidth="1"/>
    <col min="6403" max="6418" width="10.6640625" style="1267" customWidth="1"/>
    <col min="6419" max="6420" width="14" style="1267" customWidth="1"/>
    <col min="6421" max="6421" width="54" style="1267" customWidth="1"/>
    <col min="6422" max="6424" width="10.6640625" style="1267" customWidth="1"/>
    <col min="6425" max="6431" width="11.1640625" style="1267" customWidth="1"/>
    <col min="6432" max="6656" width="4.5" style="1267"/>
    <col min="6657" max="6657" width="11.83203125" style="1267" customWidth="1"/>
    <col min="6658" max="6658" width="2.1640625" style="1267" customWidth="1"/>
    <col min="6659" max="6674" width="10.6640625" style="1267" customWidth="1"/>
    <col min="6675" max="6676" width="14" style="1267" customWidth="1"/>
    <col min="6677" max="6677" width="54" style="1267" customWidth="1"/>
    <col min="6678" max="6680" width="10.6640625" style="1267" customWidth="1"/>
    <col min="6681" max="6687" width="11.1640625" style="1267" customWidth="1"/>
    <col min="6688" max="6912" width="4.5" style="1267"/>
    <col min="6913" max="6913" width="11.83203125" style="1267" customWidth="1"/>
    <col min="6914" max="6914" width="2.1640625" style="1267" customWidth="1"/>
    <col min="6915" max="6930" width="10.6640625" style="1267" customWidth="1"/>
    <col min="6931" max="6932" width="14" style="1267" customWidth="1"/>
    <col min="6933" max="6933" width="54" style="1267" customWidth="1"/>
    <col min="6934" max="6936" width="10.6640625" style="1267" customWidth="1"/>
    <col min="6937" max="6943" width="11.1640625" style="1267" customWidth="1"/>
    <col min="6944" max="7168" width="4.5" style="1267"/>
    <col min="7169" max="7169" width="11.83203125" style="1267" customWidth="1"/>
    <col min="7170" max="7170" width="2.1640625" style="1267" customWidth="1"/>
    <col min="7171" max="7186" width="10.6640625" style="1267" customWidth="1"/>
    <col min="7187" max="7188" width="14" style="1267" customWidth="1"/>
    <col min="7189" max="7189" width="54" style="1267" customWidth="1"/>
    <col min="7190" max="7192" width="10.6640625" style="1267" customWidth="1"/>
    <col min="7193" max="7199" width="11.1640625" style="1267" customWidth="1"/>
    <col min="7200" max="7424" width="4.5" style="1267"/>
    <col min="7425" max="7425" width="11.83203125" style="1267" customWidth="1"/>
    <col min="7426" max="7426" width="2.1640625" style="1267" customWidth="1"/>
    <col min="7427" max="7442" width="10.6640625" style="1267" customWidth="1"/>
    <col min="7443" max="7444" width="14" style="1267" customWidth="1"/>
    <col min="7445" max="7445" width="54" style="1267" customWidth="1"/>
    <col min="7446" max="7448" width="10.6640625" style="1267" customWidth="1"/>
    <col min="7449" max="7455" width="11.1640625" style="1267" customWidth="1"/>
    <col min="7456" max="7680" width="4.5" style="1267"/>
    <col min="7681" max="7681" width="11.83203125" style="1267" customWidth="1"/>
    <col min="7682" max="7682" width="2.1640625" style="1267" customWidth="1"/>
    <col min="7683" max="7698" width="10.6640625" style="1267" customWidth="1"/>
    <col min="7699" max="7700" width="14" style="1267" customWidth="1"/>
    <col min="7701" max="7701" width="54" style="1267" customWidth="1"/>
    <col min="7702" max="7704" width="10.6640625" style="1267" customWidth="1"/>
    <col min="7705" max="7711" width="11.1640625" style="1267" customWidth="1"/>
    <col min="7712" max="7936" width="4.5" style="1267"/>
    <col min="7937" max="7937" width="11.83203125" style="1267" customWidth="1"/>
    <col min="7938" max="7938" width="2.1640625" style="1267" customWidth="1"/>
    <col min="7939" max="7954" width="10.6640625" style="1267" customWidth="1"/>
    <col min="7955" max="7956" width="14" style="1267" customWidth="1"/>
    <col min="7957" max="7957" width="54" style="1267" customWidth="1"/>
    <col min="7958" max="7960" width="10.6640625" style="1267" customWidth="1"/>
    <col min="7961" max="7967" width="11.1640625" style="1267" customWidth="1"/>
    <col min="7968" max="8192" width="4.5" style="1267"/>
    <col min="8193" max="8193" width="11.83203125" style="1267" customWidth="1"/>
    <col min="8194" max="8194" width="2.1640625" style="1267" customWidth="1"/>
    <col min="8195" max="8210" width="10.6640625" style="1267" customWidth="1"/>
    <col min="8211" max="8212" width="14" style="1267" customWidth="1"/>
    <col min="8213" max="8213" width="54" style="1267" customWidth="1"/>
    <col min="8214" max="8216" width="10.6640625" style="1267" customWidth="1"/>
    <col min="8217" max="8223" width="11.1640625" style="1267" customWidth="1"/>
    <col min="8224" max="8448" width="4.5" style="1267"/>
    <col min="8449" max="8449" width="11.83203125" style="1267" customWidth="1"/>
    <col min="8450" max="8450" width="2.1640625" style="1267" customWidth="1"/>
    <col min="8451" max="8466" width="10.6640625" style="1267" customWidth="1"/>
    <col min="8467" max="8468" width="14" style="1267" customWidth="1"/>
    <col min="8469" max="8469" width="54" style="1267" customWidth="1"/>
    <col min="8470" max="8472" width="10.6640625" style="1267" customWidth="1"/>
    <col min="8473" max="8479" width="11.1640625" style="1267" customWidth="1"/>
    <col min="8480" max="8704" width="4.5" style="1267"/>
    <col min="8705" max="8705" width="11.83203125" style="1267" customWidth="1"/>
    <col min="8706" max="8706" width="2.1640625" style="1267" customWidth="1"/>
    <col min="8707" max="8722" width="10.6640625" style="1267" customWidth="1"/>
    <col min="8723" max="8724" width="14" style="1267" customWidth="1"/>
    <col min="8725" max="8725" width="54" style="1267" customWidth="1"/>
    <col min="8726" max="8728" width="10.6640625" style="1267" customWidth="1"/>
    <col min="8729" max="8735" width="11.1640625" style="1267" customWidth="1"/>
    <col min="8736" max="8960" width="4.5" style="1267"/>
    <col min="8961" max="8961" width="11.83203125" style="1267" customWidth="1"/>
    <col min="8962" max="8962" width="2.1640625" style="1267" customWidth="1"/>
    <col min="8963" max="8978" width="10.6640625" style="1267" customWidth="1"/>
    <col min="8979" max="8980" width="14" style="1267" customWidth="1"/>
    <col min="8981" max="8981" width="54" style="1267" customWidth="1"/>
    <col min="8982" max="8984" width="10.6640625" style="1267" customWidth="1"/>
    <col min="8985" max="8991" width="11.1640625" style="1267" customWidth="1"/>
    <col min="8992" max="9216" width="4.5" style="1267"/>
    <col min="9217" max="9217" width="11.83203125" style="1267" customWidth="1"/>
    <col min="9218" max="9218" width="2.1640625" style="1267" customWidth="1"/>
    <col min="9219" max="9234" width="10.6640625" style="1267" customWidth="1"/>
    <col min="9235" max="9236" width="14" style="1267" customWidth="1"/>
    <col min="9237" max="9237" width="54" style="1267" customWidth="1"/>
    <col min="9238" max="9240" width="10.6640625" style="1267" customWidth="1"/>
    <col min="9241" max="9247" width="11.1640625" style="1267" customWidth="1"/>
    <col min="9248" max="9472" width="4.5" style="1267"/>
    <col min="9473" max="9473" width="11.83203125" style="1267" customWidth="1"/>
    <col min="9474" max="9474" width="2.1640625" style="1267" customWidth="1"/>
    <col min="9475" max="9490" width="10.6640625" style="1267" customWidth="1"/>
    <col min="9491" max="9492" width="14" style="1267" customWidth="1"/>
    <col min="9493" max="9493" width="54" style="1267" customWidth="1"/>
    <col min="9494" max="9496" width="10.6640625" style="1267" customWidth="1"/>
    <col min="9497" max="9503" width="11.1640625" style="1267" customWidth="1"/>
    <col min="9504" max="9728" width="4.5" style="1267"/>
    <col min="9729" max="9729" width="11.83203125" style="1267" customWidth="1"/>
    <col min="9730" max="9730" width="2.1640625" style="1267" customWidth="1"/>
    <col min="9731" max="9746" width="10.6640625" style="1267" customWidth="1"/>
    <col min="9747" max="9748" width="14" style="1267" customWidth="1"/>
    <col min="9749" max="9749" width="54" style="1267" customWidth="1"/>
    <col min="9750" max="9752" width="10.6640625" style="1267" customWidth="1"/>
    <col min="9753" max="9759" width="11.1640625" style="1267" customWidth="1"/>
    <col min="9760" max="9984" width="4.5" style="1267"/>
    <col min="9985" max="9985" width="11.83203125" style="1267" customWidth="1"/>
    <col min="9986" max="9986" width="2.1640625" style="1267" customWidth="1"/>
    <col min="9987" max="10002" width="10.6640625" style="1267" customWidth="1"/>
    <col min="10003" max="10004" width="14" style="1267" customWidth="1"/>
    <col min="10005" max="10005" width="54" style="1267" customWidth="1"/>
    <col min="10006" max="10008" width="10.6640625" style="1267" customWidth="1"/>
    <col min="10009" max="10015" width="11.1640625" style="1267" customWidth="1"/>
    <col min="10016" max="10240" width="4.5" style="1267"/>
    <col min="10241" max="10241" width="11.83203125" style="1267" customWidth="1"/>
    <col min="10242" max="10242" width="2.1640625" style="1267" customWidth="1"/>
    <col min="10243" max="10258" width="10.6640625" style="1267" customWidth="1"/>
    <col min="10259" max="10260" width="14" style="1267" customWidth="1"/>
    <col min="10261" max="10261" width="54" style="1267" customWidth="1"/>
    <col min="10262" max="10264" width="10.6640625" style="1267" customWidth="1"/>
    <col min="10265" max="10271" width="11.1640625" style="1267" customWidth="1"/>
    <col min="10272" max="10496" width="4.5" style="1267"/>
    <col min="10497" max="10497" width="11.83203125" style="1267" customWidth="1"/>
    <col min="10498" max="10498" width="2.1640625" style="1267" customWidth="1"/>
    <col min="10499" max="10514" width="10.6640625" style="1267" customWidth="1"/>
    <col min="10515" max="10516" width="14" style="1267" customWidth="1"/>
    <col min="10517" max="10517" width="54" style="1267" customWidth="1"/>
    <col min="10518" max="10520" width="10.6640625" style="1267" customWidth="1"/>
    <col min="10521" max="10527" width="11.1640625" style="1267" customWidth="1"/>
    <col min="10528" max="10752" width="4.5" style="1267"/>
    <col min="10753" max="10753" width="11.83203125" style="1267" customWidth="1"/>
    <col min="10754" max="10754" width="2.1640625" style="1267" customWidth="1"/>
    <col min="10755" max="10770" width="10.6640625" style="1267" customWidth="1"/>
    <col min="10771" max="10772" width="14" style="1267" customWidth="1"/>
    <col min="10773" max="10773" width="54" style="1267" customWidth="1"/>
    <col min="10774" max="10776" width="10.6640625" style="1267" customWidth="1"/>
    <col min="10777" max="10783" width="11.1640625" style="1267" customWidth="1"/>
    <col min="10784" max="11008" width="4.5" style="1267"/>
    <col min="11009" max="11009" width="11.83203125" style="1267" customWidth="1"/>
    <col min="11010" max="11010" width="2.1640625" style="1267" customWidth="1"/>
    <col min="11011" max="11026" width="10.6640625" style="1267" customWidth="1"/>
    <col min="11027" max="11028" width="14" style="1267" customWidth="1"/>
    <col min="11029" max="11029" width="54" style="1267" customWidth="1"/>
    <col min="11030" max="11032" width="10.6640625" style="1267" customWidth="1"/>
    <col min="11033" max="11039" width="11.1640625" style="1267" customWidth="1"/>
    <col min="11040" max="11264" width="4.5" style="1267"/>
    <col min="11265" max="11265" width="11.83203125" style="1267" customWidth="1"/>
    <col min="11266" max="11266" width="2.1640625" style="1267" customWidth="1"/>
    <col min="11267" max="11282" width="10.6640625" style="1267" customWidth="1"/>
    <col min="11283" max="11284" width="14" style="1267" customWidth="1"/>
    <col min="11285" max="11285" width="54" style="1267" customWidth="1"/>
    <col min="11286" max="11288" width="10.6640625" style="1267" customWidth="1"/>
    <col min="11289" max="11295" width="11.1640625" style="1267" customWidth="1"/>
    <col min="11296" max="11520" width="4.5" style="1267"/>
    <col min="11521" max="11521" width="11.83203125" style="1267" customWidth="1"/>
    <col min="11522" max="11522" width="2.1640625" style="1267" customWidth="1"/>
    <col min="11523" max="11538" width="10.6640625" style="1267" customWidth="1"/>
    <col min="11539" max="11540" width="14" style="1267" customWidth="1"/>
    <col min="11541" max="11541" width="54" style="1267" customWidth="1"/>
    <col min="11542" max="11544" width="10.6640625" style="1267" customWidth="1"/>
    <col min="11545" max="11551" width="11.1640625" style="1267" customWidth="1"/>
    <col min="11552" max="11776" width="4.5" style="1267"/>
    <col min="11777" max="11777" width="11.83203125" style="1267" customWidth="1"/>
    <col min="11778" max="11778" width="2.1640625" style="1267" customWidth="1"/>
    <col min="11779" max="11794" width="10.6640625" style="1267" customWidth="1"/>
    <col min="11795" max="11796" width="14" style="1267" customWidth="1"/>
    <col min="11797" max="11797" width="54" style="1267" customWidth="1"/>
    <col min="11798" max="11800" width="10.6640625" style="1267" customWidth="1"/>
    <col min="11801" max="11807" width="11.1640625" style="1267" customWidth="1"/>
    <col min="11808" max="12032" width="4.5" style="1267"/>
    <col min="12033" max="12033" width="11.83203125" style="1267" customWidth="1"/>
    <col min="12034" max="12034" width="2.1640625" style="1267" customWidth="1"/>
    <col min="12035" max="12050" width="10.6640625" style="1267" customWidth="1"/>
    <col min="12051" max="12052" width="14" style="1267" customWidth="1"/>
    <col min="12053" max="12053" width="54" style="1267" customWidth="1"/>
    <col min="12054" max="12056" width="10.6640625" style="1267" customWidth="1"/>
    <col min="12057" max="12063" width="11.1640625" style="1267" customWidth="1"/>
    <col min="12064" max="12288" width="4.5" style="1267"/>
    <col min="12289" max="12289" width="11.83203125" style="1267" customWidth="1"/>
    <col min="12290" max="12290" width="2.1640625" style="1267" customWidth="1"/>
    <col min="12291" max="12306" width="10.6640625" style="1267" customWidth="1"/>
    <col min="12307" max="12308" width="14" style="1267" customWidth="1"/>
    <col min="12309" max="12309" width="54" style="1267" customWidth="1"/>
    <col min="12310" max="12312" width="10.6640625" style="1267" customWidth="1"/>
    <col min="12313" max="12319" width="11.1640625" style="1267" customWidth="1"/>
    <col min="12320" max="12544" width="4.5" style="1267"/>
    <col min="12545" max="12545" width="11.83203125" style="1267" customWidth="1"/>
    <col min="12546" max="12546" width="2.1640625" style="1267" customWidth="1"/>
    <col min="12547" max="12562" width="10.6640625" style="1267" customWidth="1"/>
    <col min="12563" max="12564" width="14" style="1267" customWidth="1"/>
    <col min="12565" max="12565" width="54" style="1267" customWidth="1"/>
    <col min="12566" max="12568" width="10.6640625" style="1267" customWidth="1"/>
    <col min="12569" max="12575" width="11.1640625" style="1267" customWidth="1"/>
    <col min="12576" max="12800" width="4.5" style="1267"/>
    <col min="12801" max="12801" width="11.83203125" style="1267" customWidth="1"/>
    <col min="12802" max="12802" width="2.1640625" style="1267" customWidth="1"/>
    <col min="12803" max="12818" width="10.6640625" style="1267" customWidth="1"/>
    <col min="12819" max="12820" width="14" style="1267" customWidth="1"/>
    <col min="12821" max="12821" width="54" style="1267" customWidth="1"/>
    <col min="12822" max="12824" width="10.6640625" style="1267" customWidth="1"/>
    <col min="12825" max="12831" width="11.1640625" style="1267" customWidth="1"/>
    <col min="12832" max="13056" width="4.5" style="1267"/>
    <col min="13057" max="13057" width="11.83203125" style="1267" customWidth="1"/>
    <col min="13058" max="13058" width="2.1640625" style="1267" customWidth="1"/>
    <col min="13059" max="13074" width="10.6640625" style="1267" customWidth="1"/>
    <col min="13075" max="13076" width="14" style="1267" customWidth="1"/>
    <col min="13077" max="13077" width="54" style="1267" customWidth="1"/>
    <col min="13078" max="13080" width="10.6640625" style="1267" customWidth="1"/>
    <col min="13081" max="13087" width="11.1640625" style="1267" customWidth="1"/>
    <col min="13088" max="13312" width="4.5" style="1267"/>
    <col min="13313" max="13313" width="11.83203125" style="1267" customWidth="1"/>
    <col min="13314" max="13314" width="2.1640625" style="1267" customWidth="1"/>
    <col min="13315" max="13330" width="10.6640625" style="1267" customWidth="1"/>
    <col min="13331" max="13332" width="14" style="1267" customWidth="1"/>
    <col min="13333" max="13333" width="54" style="1267" customWidth="1"/>
    <col min="13334" max="13336" width="10.6640625" style="1267" customWidth="1"/>
    <col min="13337" max="13343" width="11.1640625" style="1267" customWidth="1"/>
    <col min="13344" max="13568" width="4.5" style="1267"/>
    <col min="13569" max="13569" width="11.83203125" style="1267" customWidth="1"/>
    <col min="13570" max="13570" width="2.1640625" style="1267" customWidth="1"/>
    <col min="13571" max="13586" width="10.6640625" style="1267" customWidth="1"/>
    <col min="13587" max="13588" width="14" style="1267" customWidth="1"/>
    <col min="13589" max="13589" width="54" style="1267" customWidth="1"/>
    <col min="13590" max="13592" width="10.6640625" style="1267" customWidth="1"/>
    <col min="13593" max="13599" width="11.1640625" style="1267" customWidth="1"/>
    <col min="13600" max="13824" width="4.5" style="1267"/>
    <col min="13825" max="13825" width="11.83203125" style="1267" customWidth="1"/>
    <col min="13826" max="13826" width="2.1640625" style="1267" customWidth="1"/>
    <col min="13827" max="13842" width="10.6640625" style="1267" customWidth="1"/>
    <col min="13843" max="13844" width="14" style="1267" customWidth="1"/>
    <col min="13845" max="13845" width="54" style="1267" customWidth="1"/>
    <col min="13846" max="13848" width="10.6640625" style="1267" customWidth="1"/>
    <col min="13849" max="13855" width="11.1640625" style="1267" customWidth="1"/>
    <col min="13856" max="14080" width="4.5" style="1267"/>
    <col min="14081" max="14081" width="11.83203125" style="1267" customWidth="1"/>
    <col min="14082" max="14082" width="2.1640625" style="1267" customWidth="1"/>
    <col min="14083" max="14098" width="10.6640625" style="1267" customWidth="1"/>
    <col min="14099" max="14100" width="14" style="1267" customWidth="1"/>
    <col min="14101" max="14101" width="54" style="1267" customWidth="1"/>
    <col min="14102" max="14104" width="10.6640625" style="1267" customWidth="1"/>
    <col min="14105" max="14111" width="11.1640625" style="1267" customWidth="1"/>
    <col min="14112" max="14336" width="4.5" style="1267"/>
    <col min="14337" max="14337" width="11.83203125" style="1267" customWidth="1"/>
    <col min="14338" max="14338" width="2.1640625" style="1267" customWidth="1"/>
    <col min="14339" max="14354" width="10.6640625" style="1267" customWidth="1"/>
    <col min="14355" max="14356" width="14" style="1267" customWidth="1"/>
    <col min="14357" max="14357" width="54" style="1267" customWidth="1"/>
    <col min="14358" max="14360" width="10.6640625" style="1267" customWidth="1"/>
    <col min="14361" max="14367" width="11.1640625" style="1267" customWidth="1"/>
    <col min="14368" max="14592" width="4.5" style="1267"/>
    <col min="14593" max="14593" width="11.83203125" style="1267" customWidth="1"/>
    <col min="14594" max="14594" width="2.1640625" style="1267" customWidth="1"/>
    <col min="14595" max="14610" width="10.6640625" style="1267" customWidth="1"/>
    <col min="14611" max="14612" width="14" style="1267" customWidth="1"/>
    <col min="14613" max="14613" width="54" style="1267" customWidth="1"/>
    <col min="14614" max="14616" width="10.6640625" style="1267" customWidth="1"/>
    <col min="14617" max="14623" width="11.1640625" style="1267" customWidth="1"/>
    <col min="14624" max="14848" width="4.5" style="1267"/>
    <col min="14849" max="14849" width="11.83203125" style="1267" customWidth="1"/>
    <col min="14850" max="14850" width="2.1640625" style="1267" customWidth="1"/>
    <col min="14851" max="14866" width="10.6640625" style="1267" customWidth="1"/>
    <col min="14867" max="14868" width="14" style="1267" customWidth="1"/>
    <col min="14869" max="14869" width="54" style="1267" customWidth="1"/>
    <col min="14870" max="14872" width="10.6640625" style="1267" customWidth="1"/>
    <col min="14873" max="14879" width="11.1640625" style="1267" customWidth="1"/>
    <col min="14880" max="15104" width="4.5" style="1267"/>
    <col min="15105" max="15105" width="11.83203125" style="1267" customWidth="1"/>
    <col min="15106" max="15106" width="2.1640625" style="1267" customWidth="1"/>
    <col min="15107" max="15122" width="10.6640625" style="1267" customWidth="1"/>
    <col min="15123" max="15124" width="14" style="1267" customWidth="1"/>
    <col min="15125" max="15125" width="54" style="1267" customWidth="1"/>
    <col min="15126" max="15128" width="10.6640625" style="1267" customWidth="1"/>
    <col min="15129" max="15135" width="11.1640625" style="1267" customWidth="1"/>
    <col min="15136" max="15360" width="4.5" style="1267"/>
    <col min="15361" max="15361" width="11.83203125" style="1267" customWidth="1"/>
    <col min="15362" max="15362" width="2.1640625" style="1267" customWidth="1"/>
    <col min="15363" max="15378" width="10.6640625" style="1267" customWidth="1"/>
    <col min="15379" max="15380" width="14" style="1267" customWidth="1"/>
    <col min="15381" max="15381" width="54" style="1267" customWidth="1"/>
    <col min="15382" max="15384" width="10.6640625" style="1267" customWidth="1"/>
    <col min="15385" max="15391" width="11.1640625" style="1267" customWidth="1"/>
    <col min="15392" max="15616" width="4.5" style="1267"/>
    <col min="15617" max="15617" width="11.83203125" style="1267" customWidth="1"/>
    <col min="15618" max="15618" width="2.1640625" style="1267" customWidth="1"/>
    <col min="15619" max="15634" width="10.6640625" style="1267" customWidth="1"/>
    <col min="15635" max="15636" width="14" style="1267" customWidth="1"/>
    <col min="15637" max="15637" width="54" style="1267" customWidth="1"/>
    <col min="15638" max="15640" width="10.6640625" style="1267" customWidth="1"/>
    <col min="15641" max="15647" width="11.1640625" style="1267" customWidth="1"/>
    <col min="15648" max="15872" width="4.5" style="1267"/>
    <col min="15873" max="15873" width="11.83203125" style="1267" customWidth="1"/>
    <col min="15874" max="15874" width="2.1640625" style="1267" customWidth="1"/>
    <col min="15875" max="15890" width="10.6640625" style="1267" customWidth="1"/>
    <col min="15891" max="15892" width="14" style="1267" customWidth="1"/>
    <col min="15893" max="15893" width="54" style="1267" customWidth="1"/>
    <col min="15894" max="15896" width="10.6640625" style="1267" customWidth="1"/>
    <col min="15897" max="15903" width="11.1640625" style="1267" customWidth="1"/>
    <col min="15904" max="16128" width="4.5" style="1267"/>
    <col min="16129" max="16129" width="11.83203125" style="1267" customWidth="1"/>
    <col min="16130" max="16130" width="2.1640625" style="1267" customWidth="1"/>
    <col min="16131" max="16146" width="10.6640625" style="1267" customWidth="1"/>
    <col min="16147" max="16148" width="14" style="1267" customWidth="1"/>
    <col min="16149" max="16149" width="54" style="1267" customWidth="1"/>
    <col min="16150" max="16152" width="10.6640625" style="1267" customWidth="1"/>
    <col min="16153" max="16159" width="11.1640625" style="1267" customWidth="1"/>
    <col min="16160" max="16384" width="4.5" style="1267"/>
  </cols>
  <sheetData>
    <row r="1" spans="1:31">
      <c r="A1" s="1266" t="s">
        <v>60</v>
      </c>
      <c r="G1" s="1268"/>
      <c r="H1" s="1269" t="s">
        <v>61</v>
      </c>
      <c r="I1" s="1268"/>
      <c r="J1" s="1268"/>
      <c r="K1" s="1270"/>
      <c r="L1" s="1270"/>
      <c r="M1" s="1270"/>
      <c r="O1" s="1271"/>
      <c r="P1" s="1272"/>
      <c r="R1" s="1272"/>
      <c r="S1" s="1272"/>
      <c r="T1" s="1272"/>
      <c r="U1" s="1272"/>
      <c r="V1" s="1428">
        <v>45565</v>
      </c>
    </row>
    <row r="2" spans="1:31">
      <c r="A2" s="1273" t="s">
        <v>62</v>
      </c>
      <c r="B2" s="1274"/>
      <c r="C2" s="1274"/>
      <c r="D2" s="1274"/>
      <c r="E2" s="1274"/>
      <c r="F2" s="1274"/>
      <c r="G2" s="1274"/>
      <c r="H2" s="1274"/>
      <c r="I2" s="1274"/>
      <c r="J2" s="1274"/>
      <c r="K2" s="1274"/>
      <c r="L2" s="1274"/>
      <c r="M2" s="1274"/>
      <c r="N2" s="1274"/>
      <c r="O2" s="1274"/>
      <c r="P2" s="1274"/>
      <c r="Q2" s="1274"/>
      <c r="R2" s="1274"/>
      <c r="S2" s="1274"/>
      <c r="T2" s="1274"/>
      <c r="U2" s="1274"/>
      <c r="V2" s="1274"/>
      <c r="W2" s="1274"/>
      <c r="X2" s="1274"/>
      <c r="Y2" s="1274"/>
      <c r="Z2" s="1274"/>
      <c r="AA2" s="1274"/>
      <c r="AB2" s="1274"/>
      <c r="AC2" s="1274"/>
      <c r="AD2" s="1274"/>
      <c r="AE2" s="1274"/>
    </row>
    <row r="3" spans="1:31">
      <c r="A3" s="1275" t="s">
        <v>63</v>
      </c>
      <c r="C3" s="1276"/>
      <c r="D3" s="1276"/>
      <c r="E3" s="1276"/>
      <c r="F3" s="1276"/>
      <c r="G3" s="1276"/>
      <c r="H3" s="1276"/>
      <c r="I3" s="1276"/>
      <c r="J3" s="1276"/>
      <c r="K3" s="1276">
        <f>+V1</f>
        <v>45565</v>
      </c>
      <c r="L3" s="1276">
        <v>46203</v>
      </c>
      <c r="M3" s="1276">
        <v>46568</v>
      </c>
      <c r="N3" s="1276">
        <v>46934</v>
      </c>
      <c r="O3" s="1276">
        <v>47299</v>
      </c>
      <c r="P3" s="1276">
        <v>47664</v>
      </c>
      <c r="Q3" s="1276">
        <v>48029</v>
      </c>
      <c r="R3" s="1276">
        <v>48395</v>
      </c>
      <c r="S3" s="1276">
        <v>48760</v>
      </c>
      <c r="T3" s="1276">
        <v>49125</v>
      </c>
      <c r="U3" s="1276">
        <v>49490</v>
      </c>
      <c r="V3" s="1276">
        <v>49856</v>
      </c>
    </row>
    <row r="4" spans="1:31" ht="20.100000000000001">
      <c r="A4" s="1277"/>
      <c r="C4" s="1278"/>
      <c r="D4" s="1278" t="str">
        <f>+'Historical Financials'!D5</f>
        <v>FYE June 30th</v>
      </c>
      <c r="E4" s="1279"/>
      <c r="F4" s="1279"/>
      <c r="G4" s="1279"/>
      <c r="H4" s="1279"/>
      <c r="I4" s="1279"/>
      <c r="J4" s="1279"/>
      <c r="K4" s="1279"/>
      <c r="L4" s="1279"/>
      <c r="M4" s="1279"/>
      <c r="N4" s="1279"/>
      <c r="O4" s="1279"/>
      <c r="P4" s="1279"/>
      <c r="Q4" s="1279"/>
      <c r="R4" s="1279"/>
      <c r="S4" s="1279"/>
      <c r="T4" s="1279"/>
      <c r="U4" s="1279"/>
      <c r="V4" s="1279"/>
    </row>
    <row r="5" spans="1:31" ht="20.100000000000001">
      <c r="C5" s="1280" t="s">
        <v>64</v>
      </c>
      <c r="D5" s="1280" t="s">
        <v>65</v>
      </c>
      <c r="E5" s="1280" t="s">
        <v>66</v>
      </c>
      <c r="F5" s="1280" t="s">
        <v>67</v>
      </c>
      <c r="G5" s="1280" t="s">
        <v>68</v>
      </c>
      <c r="H5" s="1280" t="s">
        <v>69</v>
      </c>
      <c r="I5" s="1280" t="s">
        <v>70</v>
      </c>
      <c r="J5" s="1280" t="s">
        <v>71</v>
      </c>
      <c r="K5" s="1281" t="s">
        <v>72</v>
      </c>
      <c r="L5" s="1280" t="s">
        <v>73</v>
      </c>
      <c r="M5" s="1280" t="s">
        <v>74</v>
      </c>
      <c r="N5" s="1280" t="s">
        <v>75</v>
      </c>
      <c r="O5" s="1280" t="s">
        <v>76</v>
      </c>
      <c r="P5" s="1280" t="s">
        <v>77</v>
      </c>
      <c r="Q5" s="1280" t="s">
        <v>78</v>
      </c>
      <c r="R5" s="1280" t="s">
        <v>79</v>
      </c>
      <c r="S5" s="1280" t="s">
        <v>80</v>
      </c>
      <c r="T5" s="1280" t="s">
        <v>81</v>
      </c>
      <c r="U5" s="1280" t="s">
        <v>82</v>
      </c>
      <c r="V5" s="1280" t="s">
        <v>83</v>
      </c>
    </row>
    <row r="6" spans="1:31" ht="20.100000000000001">
      <c r="A6" s="1282" t="s">
        <v>84</v>
      </c>
      <c r="B6" s="1283"/>
      <c r="C6" s="1280"/>
      <c r="D6" s="1280"/>
      <c r="E6" s="1280"/>
      <c r="F6" s="1280"/>
      <c r="G6" s="1280"/>
      <c r="H6" s="1280"/>
      <c r="I6" s="1280"/>
      <c r="J6" s="1280"/>
      <c r="K6" s="1281"/>
      <c r="L6" s="1280"/>
      <c r="M6" s="1280"/>
      <c r="N6" s="1280"/>
      <c r="O6" s="1280"/>
      <c r="P6" s="1280"/>
      <c r="Q6" s="1280"/>
      <c r="R6" s="1280"/>
      <c r="S6" s="1280"/>
      <c r="T6" s="1280"/>
      <c r="U6" s="1280"/>
      <c r="V6" s="1280"/>
    </row>
    <row r="7" spans="1:31" ht="20.100000000000001">
      <c r="C7" s="1284"/>
      <c r="D7" s="1285"/>
      <c r="E7" s="1286"/>
      <c r="F7" s="1287"/>
      <c r="G7" s="1287"/>
      <c r="H7" s="1287"/>
      <c r="I7" s="1287"/>
      <c r="J7" s="1285"/>
      <c r="K7" s="1288" t="s">
        <v>85</v>
      </c>
      <c r="L7" s="1289"/>
      <c r="M7" s="1280"/>
      <c r="N7" s="1280"/>
      <c r="O7" s="1280"/>
      <c r="P7" s="1280"/>
      <c r="Q7" s="1280"/>
      <c r="R7" s="1280"/>
      <c r="S7" s="1280"/>
      <c r="T7" s="1280"/>
      <c r="U7" s="1280"/>
      <c r="V7" s="1280"/>
    </row>
    <row r="8" spans="1:31">
      <c r="A8" s="1267" t="s">
        <v>86</v>
      </c>
      <c r="B8" s="1290"/>
      <c r="C8" s="1291">
        <f>+'Historical Financials'!BH12</f>
        <v>96571</v>
      </c>
      <c r="D8" s="1291">
        <f>+'Historical Financials'!BI12</f>
        <v>110360</v>
      </c>
      <c r="E8" s="1291">
        <f>+'Historical Financials'!BJ12</f>
        <v>125843</v>
      </c>
      <c r="F8" s="1292">
        <f>+'Historical Financials'!BK12</f>
        <v>143015</v>
      </c>
      <c r="G8" s="1292">
        <f>+'Historical Financials'!BL12</f>
        <v>168088</v>
      </c>
      <c r="H8" s="1292">
        <f>+'Historical Financials'!BM12</f>
        <v>198270</v>
      </c>
      <c r="I8" s="1292">
        <f>+'Historical Financials'!BN12</f>
        <v>211915</v>
      </c>
      <c r="J8" s="1292">
        <f>+'Historical Financials'!BO12</f>
        <v>245122</v>
      </c>
      <c r="K8" s="1293">
        <f>+'Historical Financials'!BP12</f>
        <v>281211.84671227756</v>
      </c>
      <c r="L8" s="1294">
        <f t="shared" ref="L8:N8" si="0">K8*(1+L9)</f>
        <v>317769.38678487361</v>
      </c>
      <c r="M8" s="1294">
        <f t="shared" si="0"/>
        <v>359079.40706690715</v>
      </c>
      <c r="N8" s="1294">
        <f t="shared" si="0"/>
        <v>405759.72998560505</v>
      </c>
      <c r="O8" s="1294">
        <f>N8*(1+O9)</f>
        <v>458508.49488373369</v>
      </c>
      <c r="P8" s="1294">
        <f>O8*(1+P9)</f>
        <v>518114.599218619</v>
      </c>
      <c r="Q8" s="1294">
        <f>P8*(1+Q9)</f>
        <v>585469.4971170394</v>
      </c>
      <c r="R8" s="1294">
        <f>Q8*(1+R9)</f>
        <v>661580.5317422545</v>
      </c>
      <c r="S8" s="1294">
        <f>R8*(1+S9)</f>
        <v>747586.00086874748</v>
      </c>
      <c r="T8" s="1294">
        <f t="shared" ref="T8" si="1">S8*(1+T9)</f>
        <v>844772.18098168459</v>
      </c>
      <c r="U8" s="1294">
        <f t="shared" ref="U8" si="2">T8*(1+U9)</f>
        <v>954592.56450930354</v>
      </c>
      <c r="V8" s="1294">
        <f t="shared" ref="V8" si="3">U8*(1+V9)</f>
        <v>1078689.5978955128</v>
      </c>
    </row>
    <row r="9" spans="1:31" ht="20.100000000000001">
      <c r="A9" s="1295" t="s">
        <v>87</v>
      </c>
      <c r="C9" s="1296"/>
      <c r="D9" s="1297">
        <f>D8/C8-1</f>
        <v>0.14278613662486661</v>
      </c>
      <c r="E9" s="1297">
        <f>E8/D8-1</f>
        <v>0.14029539688292858</v>
      </c>
      <c r="F9" s="1297">
        <f t="shared" ref="F9:I9" si="4">F8/E8-1</f>
        <v>0.13645574247276371</v>
      </c>
      <c r="G9" s="1297">
        <f t="shared" si="4"/>
        <v>0.17531727441177503</v>
      </c>
      <c r="H9" s="1297">
        <f t="shared" si="4"/>
        <v>0.17956070629670173</v>
      </c>
      <c r="I9" s="1296">
        <f t="shared" si="4"/>
        <v>6.8820295556564215E-2</v>
      </c>
      <c r="J9" s="1296">
        <f t="shared" ref="J9:K9" si="5">J8/I8-1</f>
        <v>0.1566996201307127</v>
      </c>
      <c r="K9" s="1298">
        <f t="shared" si="5"/>
        <v>0.14723218116806147</v>
      </c>
      <c r="L9" s="1299">
        <v>0.13</v>
      </c>
      <c r="M9" s="1299">
        <f t="shared" ref="M9:O9" si="6">+L9</f>
        <v>0.13</v>
      </c>
      <c r="N9" s="1299">
        <f t="shared" si="6"/>
        <v>0.13</v>
      </c>
      <c r="O9" s="1299">
        <f t="shared" si="6"/>
        <v>0.13</v>
      </c>
      <c r="P9" s="1299">
        <f t="shared" ref="P9" si="7">+O9</f>
        <v>0.13</v>
      </c>
      <c r="Q9" s="1299">
        <f t="shared" ref="Q9" si="8">+P9</f>
        <v>0.13</v>
      </c>
      <c r="R9" s="1299">
        <f t="shared" ref="R9" si="9">+Q9</f>
        <v>0.13</v>
      </c>
      <c r="S9" s="1299">
        <f t="shared" ref="S9" si="10">+R9</f>
        <v>0.13</v>
      </c>
      <c r="T9" s="1299">
        <f t="shared" ref="T9" si="11">+S9</f>
        <v>0.13</v>
      </c>
      <c r="U9" s="1299">
        <f t="shared" ref="U9" si="12">+T9</f>
        <v>0.13</v>
      </c>
      <c r="V9" s="1299">
        <f t="shared" ref="V9" si="13">+U9</f>
        <v>0.13</v>
      </c>
      <c r="Y9" s="1300" t="s">
        <v>60</v>
      </c>
      <c r="AA9" s="1280" t="s">
        <v>88</v>
      </c>
    </row>
    <row r="10" spans="1:31">
      <c r="A10" s="1295" t="s">
        <v>89</v>
      </c>
      <c r="C10" s="1296"/>
      <c r="D10" s="1297">
        <f>+'Historical Financials'!BI15</f>
        <v>0.12866916569156372</v>
      </c>
      <c r="E10" s="1297">
        <f>+'Historical Financials'!BJ15</f>
        <v>0.1508835628851033</v>
      </c>
      <c r="F10" s="1297">
        <f>+'Historical Financials'!BK15</f>
        <v>0.15208497890228301</v>
      </c>
      <c r="G10" s="1297">
        <f>+'Historical Financials'!BL15</f>
        <v>0.1534946089571024</v>
      </c>
      <c r="H10" s="1297">
        <f>+'Historical Financials'!BM15</f>
        <v>0.18958755731124965</v>
      </c>
      <c r="I10" s="1297">
        <f>+'Historical Financials'!BN15</f>
        <v>0.10029775894823553</v>
      </c>
      <c r="J10" s="1296">
        <f>+'Historical Financials'!BO15</f>
        <v>0.12609841999640306</v>
      </c>
      <c r="K10" s="1298">
        <f>+'Historical Financials'!BP15</f>
        <v>0.12358334499224677</v>
      </c>
      <c r="L10" s="1297">
        <f t="shared" ref="L10:T10" si="14">+L9</f>
        <v>0.13</v>
      </c>
      <c r="M10" s="1297">
        <f t="shared" si="14"/>
        <v>0.13</v>
      </c>
      <c r="N10" s="1297">
        <f t="shared" si="14"/>
        <v>0.13</v>
      </c>
      <c r="O10" s="1297">
        <f t="shared" si="14"/>
        <v>0.13</v>
      </c>
      <c r="P10" s="1297">
        <f t="shared" si="14"/>
        <v>0.13</v>
      </c>
      <c r="Q10" s="1297">
        <f t="shared" si="14"/>
        <v>0.13</v>
      </c>
      <c r="R10" s="1297">
        <f t="shared" si="14"/>
        <v>0.13</v>
      </c>
      <c r="S10" s="1297">
        <f t="shared" si="14"/>
        <v>0.13</v>
      </c>
      <c r="T10" s="1297">
        <f t="shared" si="14"/>
        <v>0.13</v>
      </c>
      <c r="U10" s="1297">
        <f t="shared" ref="U10:V10" si="15">+U9</f>
        <v>0.13</v>
      </c>
      <c r="V10" s="1297">
        <f t="shared" si="15"/>
        <v>0.13</v>
      </c>
      <c r="Y10" s="1301" t="s">
        <v>90</v>
      </c>
      <c r="AA10" s="1302"/>
    </row>
    <row r="11" spans="1:31">
      <c r="A11" s="1295"/>
      <c r="C11" s="1296"/>
      <c r="D11" s="1297"/>
      <c r="E11" s="1297"/>
      <c r="F11" s="1297"/>
      <c r="G11" s="1303"/>
      <c r="H11" s="1303"/>
      <c r="I11" s="1304"/>
      <c r="J11" s="1296"/>
      <c r="K11" s="1305"/>
      <c r="L11" s="1303"/>
      <c r="M11" s="1303"/>
      <c r="N11" s="1303"/>
      <c r="O11" s="1303"/>
      <c r="P11" s="1303"/>
      <c r="Q11" s="1303"/>
      <c r="R11" s="1303"/>
      <c r="S11" s="1303"/>
      <c r="T11" s="1303"/>
      <c r="U11" s="1303"/>
      <c r="V11" s="1303"/>
      <c r="Y11" s="1267" t="s">
        <v>91</v>
      </c>
      <c r="AA11" s="1302" t="s">
        <v>92</v>
      </c>
    </row>
    <row r="12" spans="1:31">
      <c r="A12" s="1295"/>
      <c r="C12" s="1296"/>
      <c r="D12" s="1297"/>
      <c r="E12" s="1297"/>
      <c r="F12" s="1287"/>
      <c r="G12" s="1287"/>
      <c r="H12" s="1287"/>
      <c r="I12" s="1287"/>
      <c r="J12" s="1285"/>
      <c r="K12" s="1288" t="s">
        <v>93</v>
      </c>
      <c r="L12" s="1303"/>
      <c r="M12" s="1303"/>
      <c r="N12" s="1303"/>
      <c r="O12" s="1303"/>
      <c r="P12" s="1303"/>
      <c r="Q12" s="1303"/>
      <c r="R12" s="1303"/>
      <c r="S12" s="1303"/>
      <c r="T12" s="1303"/>
      <c r="U12" s="1303"/>
      <c r="V12" s="1303"/>
      <c r="Y12" s="1267" t="s">
        <v>94</v>
      </c>
      <c r="AA12" s="1306">
        <v>0.04</v>
      </c>
    </row>
    <row r="13" spans="1:31" ht="15">
      <c r="A13" s="1307" t="s">
        <v>95</v>
      </c>
      <c r="B13" s="1290"/>
      <c r="C13" s="1291">
        <f>+'Historical Financials'!BH48</f>
        <v>29331</v>
      </c>
      <c r="D13" s="1291">
        <f>+'Historical Financials'!BI48</f>
        <v>35058</v>
      </c>
      <c r="E13" s="1292">
        <f>+'Historical Financials'!BJ48</f>
        <v>42959</v>
      </c>
      <c r="F13" s="1292">
        <f>+'Historical Financials'!BK48</f>
        <v>52959</v>
      </c>
      <c r="G13" s="1292">
        <f>+'Historical Financials'!BL48</f>
        <v>69916</v>
      </c>
      <c r="H13" s="1292">
        <f>+'Historical Financials'!BM48</f>
        <v>83383</v>
      </c>
      <c r="I13" s="1292">
        <f>+'Historical Financials'!BN48</f>
        <v>89694</v>
      </c>
      <c r="J13" s="1292">
        <f>+'Historical Financials'!BO48</f>
        <v>112443</v>
      </c>
      <c r="K13" s="1293">
        <f>+'Historical Financials'!BP48</f>
        <v>133290.34849037323</v>
      </c>
      <c r="L13" s="1294">
        <f>K13+(L8-K8)*L18</f>
        <v>154493.72173247894</v>
      </c>
      <c r="M13" s="1294">
        <f t="shared" ref="M13:U13" si="16">L13+(M8-L8)*M18</f>
        <v>178453.5334960584</v>
      </c>
      <c r="N13" s="1294">
        <f t="shared" si="16"/>
        <v>205528.12078890318</v>
      </c>
      <c r="O13" s="1294">
        <f t="shared" si="16"/>
        <v>236122.40442981778</v>
      </c>
      <c r="P13" s="1294">
        <f t="shared" si="16"/>
        <v>270693.94494405127</v>
      </c>
      <c r="Q13" s="1294">
        <f t="shared" si="16"/>
        <v>309759.78572513512</v>
      </c>
      <c r="R13" s="1294">
        <f t="shared" si="16"/>
        <v>353904.18580775987</v>
      </c>
      <c r="S13" s="1294">
        <f t="shared" si="16"/>
        <v>403787.3579011258</v>
      </c>
      <c r="T13" s="1294">
        <f t="shared" si="16"/>
        <v>460155.34236662934</v>
      </c>
      <c r="U13" s="1294">
        <f t="shared" si="16"/>
        <v>523851.16481264832</v>
      </c>
      <c r="V13" s="1294">
        <f t="shared" ref="V13" si="17">U13+(V8-U8)*V18</f>
        <v>595827.44417664967</v>
      </c>
      <c r="Y13" s="1267" t="s">
        <v>96</v>
      </c>
      <c r="AA13" s="1302" t="s">
        <v>97</v>
      </c>
    </row>
    <row r="14" spans="1:31">
      <c r="A14" s="1295" t="s">
        <v>87</v>
      </c>
      <c r="C14" s="1296"/>
      <c r="D14" s="1297">
        <f>D13/C13-1</f>
        <v>0.19525416794517736</v>
      </c>
      <c r="E14" s="1297">
        <f>E13/D13-1</f>
        <v>0.22536938787152727</v>
      </c>
      <c r="F14" s="1297">
        <f>F13/E13-1</f>
        <v>0.23278009264647692</v>
      </c>
      <c r="G14" s="1296">
        <f t="shared" ref="G14:H14" si="18">G13/F13-1</f>
        <v>0.3201910912215109</v>
      </c>
      <c r="H14" s="1296">
        <f t="shared" si="18"/>
        <v>0.19261685451112753</v>
      </c>
      <c r="I14" s="1296">
        <f t="shared" ref="I14" si="19">I13/H13-1</f>
        <v>7.5686890613194446E-2</v>
      </c>
      <c r="J14" s="1296">
        <f t="shared" ref="J14:K14" si="20">J13/I13-1</f>
        <v>0.25362900528463439</v>
      </c>
      <c r="K14" s="1298">
        <f t="shared" si="20"/>
        <v>0.18540370223467217</v>
      </c>
      <c r="L14" s="1297">
        <f t="shared" ref="L14" si="21">L13/K13-1</f>
        <v>0.15907658343047326</v>
      </c>
      <c r="M14" s="1297">
        <f t="shared" ref="M14" si="22">M13/L13-1</f>
        <v>0.15508598986998479</v>
      </c>
      <c r="N14" s="1297">
        <f t="shared" ref="N14" si="23">N13/M13-1</f>
        <v>0.15171785485235456</v>
      </c>
      <c r="O14" s="1297">
        <f t="shared" ref="O14" si="24">O13/N13-1</f>
        <v>0.14885692295283448</v>
      </c>
      <c r="P14" s="1297">
        <f t="shared" ref="P14" si="25">P13/O13-1</f>
        <v>0.14641363913651451</v>
      </c>
      <c r="Q14" s="1297">
        <f t="shared" ref="Q14" si="26">Q13/P13-1</f>
        <v>0.14431737950089074</v>
      </c>
      <c r="R14" s="1297">
        <f t="shared" ref="R14" si="27">R13/Q13-1</f>
        <v>0.14251172074930407</v>
      </c>
      <c r="S14" s="1297">
        <f t="shared" ref="S14" si="28">S13/R13-1</f>
        <v>0.14095106555326931</v>
      </c>
      <c r="T14" s="1297">
        <f t="shared" ref="T14" si="29">T13/S13-1</f>
        <v>0.13959819039036425</v>
      </c>
      <c r="U14" s="1297">
        <f t="shared" ref="U14" si="30">U13/T13-1</f>
        <v>0.13842243386423458</v>
      </c>
      <c r="V14" s="1297">
        <f t="shared" ref="V14" si="31">V13/U13-1</f>
        <v>0.1373983379224577</v>
      </c>
      <c r="AA14" s="1302"/>
    </row>
    <row r="15" spans="1:31">
      <c r="A15" s="1295" t="s">
        <v>89</v>
      </c>
      <c r="C15" s="1296" t="str">
        <f>+'Historical Financials'!BH51</f>
        <v>NA</v>
      </c>
      <c r="D15" s="1297">
        <f>+'Historical Financials'!BI51</f>
        <v>0.17249565306331185</v>
      </c>
      <c r="E15" s="1297">
        <f>+'Historical Financials'!BJ51</f>
        <v>0.24103656797307321</v>
      </c>
      <c r="F15" s="1297">
        <f>+'Historical Financials'!BK51</f>
        <v>0.29050722782187671</v>
      </c>
      <c r="G15" s="1296">
        <f>+'Historical Financials'!BL51</f>
        <v>0.28283879982628074</v>
      </c>
      <c r="H15" s="1296">
        <f>+'Historical Financials'!BM51</f>
        <v>0.21025030036043252</v>
      </c>
      <c r="I15" s="1296">
        <f>+'Historical Financials'!BN51</f>
        <v>0.14076322511782977</v>
      </c>
      <c r="J15" s="1296">
        <f>+'Historical Financials'!BO51</f>
        <v>0.23278034205186526</v>
      </c>
      <c r="K15" s="1298">
        <f>+'Historical Financials'!BP51</f>
        <v>0.15994429893631662</v>
      </c>
      <c r="L15" s="1297">
        <f>+L14</f>
        <v>0.15907658343047326</v>
      </c>
      <c r="M15" s="1297">
        <f t="shared" ref="M15:V15" si="32">+M14</f>
        <v>0.15508598986998479</v>
      </c>
      <c r="N15" s="1297">
        <f t="shared" si="32"/>
        <v>0.15171785485235456</v>
      </c>
      <c r="O15" s="1297">
        <f t="shared" si="32"/>
        <v>0.14885692295283448</v>
      </c>
      <c r="P15" s="1297">
        <f t="shared" si="32"/>
        <v>0.14641363913651451</v>
      </c>
      <c r="Q15" s="1297">
        <f t="shared" si="32"/>
        <v>0.14431737950089074</v>
      </c>
      <c r="R15" s="1297">
        <f t="shared" si="32"/>
        <v>0.14251172074930407</v>
      </c>
      <c r="S15" s="1297">
        <f t="shared" si="32"/>
        <v>0.14095106555326931</v>
      </c>
      <c r="T15" s="1297">
        <f t="shared" si="32"/>
        <v>0.13959819039036425</v>
      </c>
      <c r="U15" s="1297">
        <f t="shared" si="32"/>
        <v>0.13842243386423458</v>
      </c>
      <c r="V15" s="1297">
        <f t="shared" si="32"/>
        <v>0.1373983379224577</v>
      </c>
      <c r="AA15" s="1302"/>
    </row>
    <row r="16" spans="1:31" s="1277" customFormat="1">
      <c r="A16" s="1295" t="s">
        <v>98</v>
      </c>
      <c r="C16" s="1296"/>
      <c r="D16" s="1309">
        <f>+D25</f>
        <v>0.17249565306331185</v>
      </c>
      <c r="E16" s="1309">
        <f>+E25</f>
        <v>0.24103656797307321</v>
      </c>
      <c r="F16" s="1309">
        <f>+F25</f>
        <v>0.29050722782187671</v>
      </c>
      <c r="G16" s="1310">
        <f>+'Historical Financials'!BL61</f>
        <v>0.22807492588606293</v>
      </c>
      <c r="H16" s="1310">
        <f>+'Historical Financials'!BM61</f>
        <v>0.25276367406485195</v>
      </c>
      <c r="I16" s="1310">
        <f>+'Historical Financials'!BN61</f>
        <v>9.6498489478974617E-2</v>
      </c>
      <c r="J16" s="1310">
        <f>+'Historical Financials'!BO61</f>
        <v>0.2726341594082406</v>
      </c>
      <c r="K16" s="1305"/>
      <c r="L16" s="1303"/>
      <c r="M16" s="1303"/>
      <c r="N16" s="1303"/>
      <c r="O16" s="1303"/>
      <c r="P16" s="1303"/>
      <c r="Q16" s="1303"/>
      <c r="R16" s="1303"/>
      <c r="S16" s="1303"/>
      <c r="T16" s="1303"/>
      <c r="U16" s="1303"/>
      <c r="V16" s="1303"/>
      <c r="X16" s="1295"/>
      <c r="Y16" s="1295"/>
    </row>
    <row r="17" spans="1:28">
      <c r="A17" s="1295" t="s">
        <v>99</v>
      </c>
      <c r="C17" s="1296"/>
      <c r="D17" s="1297">
        <f>+D13/D8</f>
        <v>0.31766944545125048</v>
      </c>
      <c r="E17" s="1297">
        <f t="shared" ref="E17:F17" si="33">+E13/E8</f>
        <v>0.3413698020549415</v>
      </c>
      <c r="F17" s="1297">
        <f t="shared" si="33"/>
        <v>0.37030381428521486</v>
      </c>
      <c r="G17" s="1296">
        <f t="shared" ref="G17:H17" si="34">+G13/G8</f>
        <v>0.41594878872971303</v>
      </c>
      <c r="H17" s="1296">
        <f t="shared" si="34"/>
        <v>0.4205527815604983</v>
      </c>
      <c r="I17" s="1296">
        <f t="shared" ref="I17:J17" si="35">+I13/I8</f>
        <v>0.42325460679989618</v>
      </c>
      <c r="J17" s="1296">
        <f t="shared" si="35"/>
        <v>0.45872259527908554</v>
      </c>
      <c r="K17" s="1311">
        <f t="shared" ref="K17:L17" si="36">+K13/K8</f>
        <v>0.47398553812261512</v>
      </c>
      <c r="L17" s="1296">
        <f t="shared" si="36"/>
        <v>0.48618189214390717</v>
      </c>
      <c r="M17" s="1296">
        <f t="shared" ref="M17:U17" si="37">+M13/M8</f>
        <v>0.49697512579106828</v>
      </c>
      <c r="N17" s="1296">
        <f t="shared" si="37"/>
        <v>0.50652665999209578</v>
      </c>
      <c r="O17" s="1296">
        <f t="shared" si="37"/>
        <v>0.5149793451257485</v>
      </c>
      <c r="P17" s="1296">
        <f t="shared" si="37"/>
        <v>0.52245959745641457</v>
      </c>
      <c r="Q17" s="1296">
        <f t="shared" si="37"/>
        <v>0.52907928978443775</v>
      </c>
      <c r="R17" s="1296">
        <f t="shared" si="37"/>
        <v>0.53493742458799798</v>
      </c>
      <c r="S17" s="1296">
        <f t="shared" si="37"/>
        <v>0.54012161467964426</v>
      </c>
      <c r="T17" s="1296">
        <f t="shared" si="37"/>
        <v>0.54470939352180903</v>
      </c>
      <c r="U17" s="1296">
        <f t="shared" si="37"/>
        <v>0.54876937479806109</v>
      </c>
      <c r="V17" s="1296">
        <f t="shared" ref="V17" si="38">+V13/V8</f>
        <v>0.55236227858235498</v>
      </c>
      <c r="Y17" s="1267" t="s">
        <v>100</v>
      </c>
      <c r="AA17" s="1302" t="s">
        <v>92</v>
      </c>
    </row>
    <row r="18" spans="1:28">
      <c r="A18" s="1295" t="s">
        <v>101</v>
      </c>
      <c r="C18" s="1297"/>
      <c r="D18" s="1297">
        <f>(D13-C13)/(D8-C8)</f>
        <v>0.41533106099064471</v>
      </c>
      <c r="E18" s="1297">
        <f>(E13-D13)/(E8-D8)</f>
        <v>0.51030162113285538</v>
      </c>
      <c r="F18" s="1297">
        <f>(F13-E13)/(F8-E8)</f>
        <v>0.58234334963894707</v>
      </c>
      <c r="G18" s="1296">
        <f t="shared" ref="G18:H18" si="39">(G13-F13)/(G8-F8)</f>
        <v>0.67630518884856217</v>
      </c>
      <c r="H18" s="1296">
        <f t="shared" si="39"/>
        <v>0.44619309522231793</v>
      </c>
      <c r="I18" s="1296">
        <f t="shared" ref="I18" si="40">(I13-H13)/(I8-H8)</f>
        <v>0.46251374129717843</v>
      </c>
      <c r="J18" s="1296">
        <f t="shared" ref="J18:K18" si="41">(J13-I13)/(J8-I8)</f>
        <v>0.68506640166230015</v>
      </c>
      <c r="K18" s="1311">
        <f t="shared" si="41"/>
        <v>0.57765134489421599</v>
      </c>
      <c r="L18" s="1299">
        <v>0.57999999999999996</v>
      </c>
      <c r="M18" s="1299">
        <v>0.57999999999999996</v>
      </c>
      <c r="N18" s="1299">
        <v>0.57999999999999996</v>
      </c>
      <c r="O18" s="1299">
        <v>0.57999999999999996</v>
      </c>
      <c r="P18" s="1299">
        <v>0.57999999999999996</v>
      </c>
      <c r="Q18" s="1299">
        <v>0.57999999999999996</v>
      </c>
      <c r="R18" s="1299">
        <v>0.57999999999999996</v>
      </c>
      <c r="S18" s="1299">
        <v>0.57999999999999996</v>
      </c>
      <c r="T18" s="1299">
        <v>0.57999999999999996</v>
      </c>
      <c r="U18" s="1299">
        <v>0.57999999999999996</v>
      </c>
      <c r="V18" s="1299">
        <v>0.57999999999999996</v>
      </c>
      <c r="Y18" s="1267" t="s">
        <v>102</v>
      </c>
      <c r="AA18" s="1302" t="s">
        <v>103</v>
      </c>
    </row>
    <row r="19" spans="1:28">
      <c r="A19" s="1295" t="s">
        <v>104</v>
      </c>
      <c r="C19" s="1297"/>
      <c r="D19" s="1297">
        <f>+'Historical Financials'!BI54</f>
        <v>0.40717753754111435</v>
      </c>
      <c r="E19" s="1297">
        <f>+'Historical Financials'!BJ54</f>
        <v>0.50747709967444388</v>
      </c>
      <c r="F19" s="1297">
        <f>+'Historical Financials'!BK54</f>
        <v>0.65080049690651331</v>
      </c>
      <c r="G19" s="1296">
        <f>+'Historical Financials'!BL54</f>
        <v>0.55022789120906668</v>
      </c>
      <c r="H19" s="1296">
        <f>+'Historical Financials'!BM54</f>
        <v>0.54843620075989441</v>
      </c>
      <c r="I19" s="1296">
        <f>+'Historical Financials'!BN54</f>
        <v>0.38351640596561781</v>
      </c>
      <c r="J19" s="1296">
        <f>+'Historical Financials'!BO54</f>
        <v>0.75352945184063325</v>
      </c>
      <c r="K19" s="1288"/>
      <c r="L19" s="1299"/>
      <c r="M19" s="1299"/>
      <c r="N19" s="1299"/>
      <c r="O19" s="1299"/>
      <c r="P19" s="1299"/>
      <c r="Q19" s="1299"/>
      <c r="R19" s="1299"/>
      <c r="S19" s="1299"/>
      <c r="T19" s="1299"/>
      <c r="U19" s="1299"/>
      <c r="V19" s="1299"/>
      <c r="Y19" s="1267" t="s">
        <v>105</v>
      </c>
      <c r="AA19" s="1302" t="s">
        <v>103</v>
      </c>
    </row>
    <row r="20" spans="1:28" hidden="1" outlineLevel="1">
      <c r="A20" s="1295"/>
      <c r="C20" s="1296"/>
      <c r="D20" s="1297"/>
      <c r="E20" s="1297"/>
      <c r="F20" s="1297"/>
      <c r="G20" s="1303"/>
      <c r="H20" s="1303"/>
      <c r="I20" s="1303"/>
      <c r="J20" s="1303"/>
      <c r="K20" s="1305"/>
      <c r="L20" s="1303"/>
      <c r="M20" s="1303"/>
      <c r="N20" s="1303"/>
      <c r="O20" s="1303"/>
      <c r="P20" s="1303"/>
      <c r="Q20" s="1303"/>
      <c r="R20" s="1303"/>
      <c r="S20" s="1303"/>
      <c r="T20" s="1303"/>
      <c r="U20" s="1303"/>
      <c r="V20" s="1303"/>
    </row>
    <row r="21" spans="1:28" ht="20.100000000000001" hidden="1" outlineLevel="1">
      <c r="A21" s="1312" t="s">
        <v>106</v>
      </c>
      <c r="C21" s="1313"/>
      <c r="D21" s="1314"/>
      <c r="E21" s="1314"/>
      <c r="F21" s="1314"/>
      <c r="G21" s="1315"/>
      <c r="H21" s="1315"/>
      <c r="I21" s="1315"/>
      <c r="J21" s="1315"/>
      <c r="K21" s="1316"/>
      <c r="L21" s="1315"/>
      <c r="M21" s="1315"/>
      <c r="N21" s="1315"/>
      <c r="O21" s="1315"/>
      <c r="P21" s="1315"/>
      <c r="Q21" s="1315"/>
      <c r="R21" s="1315"/>
      <c r="S21" s="1315"/>
      <c r="T21" s="1315"/>
      <c r="U21" s="1315"/>
      <c r="V21" s="1315"/>
      <c r="X21" s="1312"/>
      <c r="Z21" s="1278" t="s">
        <v>107</v>
      </c>
      <c r="AA21" s="1279"/>
      <c r="AB21" s="1277"/>
    </row>
    <row r="22" spans="1:28" s="1277" customFormat="1" ht="20.100000000000001" hidden="1" outlineLevel="1">
      <c r="A22" s="1295" t="s">
        <v>108</v>
      </c>
      <c r="C22" s="1296"/>
      <c r="D22" s="1297">
        <f>+D14</f>
        <v>0.19525416794517736</v>
      </c>
      <c r="E22" s="1297">
        <f t="shared" ref="E22:H22" si="42">+E14</f>
        <v>0.22536938787152727</v>
      </c>
      <c r="F22" s="1297">
        <f t="shared" si="42"/>
        <v>0.23278009264647692</v>
      </c>
      <c r="G22" s="1296">
        <f t="shared" si="42"/>
        <v>0.3201910912215109</v>
      </c>
      <c r="H22" s="1296">
        <f t="shared" si="42"/>
        <v>0.19261685451112753</v>
      </c>
      <c r="I22" s="1296">
        <f t="shared" ref="I22:J22" si="43">+I14</f>
        <v>7.5686890613194446E-2</v>
      </c>
      <c r="J22" s="1303">
        <f t="shared" si="43"/>
        <v>0.25362900528463439</v>
      </c>
      <c r="K22" s="1305"/>
      <c r="L22" s="1303"/>
      <c r="M22" s="1303"/>
      <c r="N22" s="1303"/>
      <c r="O22" s="1303"/>
      <c r="P22" s="1303"/>
      <c r="Q22" s="1303"/>
      <c r="R22" s="1303"/>
      <c r="S22" s="1303"/>
      <c r="T22" s="1303"/>
      <c r="U22" s="1303"/>
      <c r="V22" s="1303"/>
      <c r="X22" s="1295"/>
      <c r="Z22" s="1280" t="s">
        <v>109</v>
      </c>
      <c r="AA22" s="1280" t="s">
        <v>88</v>
      </c>
    </row>
    <row r="23" spans="1:28" s="1277" customFormat="1" hidden="1" outlineLevel="1">
      <c r="A23" s="1295" t="s">
        <v>110</v>
      </c>
      <c r="C23" s="1296"/>
      <c r="D23" s="1309">
        <f>+D22</f>
        <v>0.19525416794517736</v>
      </c>
      <c r="E23" s="1309">
        <f t="shared" ref="E23:F23" si="44">+E22</f>
        <v>0.22536938787152727</v>
      </c>
      <c r="F23" s="1309">
        <f t="shared" si="44"/>
        <v>0.23278009264647692</v>
      </c>
      <c r="G23" s="1310">
        <f>+'Historical Financials'!BL58</f>
        <v>0.26542721728129309</v>
      </c>
      <c r="H23" s="1310">
        <f>+'Historical Financials'!BM58</f>
        <v>0.23513022821554716</v>
      </c>
      <c r="I23" s="1310">
        <f>+'Historical Financials'!BN58</f>
        <v>3.1422154974339353E-2</v>
      </c>
      <c r="J23" s="1303">
        <f>+'Historical Financials'!BO58</f>
        <v>0.27951577913754239</v>
      </c>
      <c r="K23" s="1305"/>
      <c r="L23" s="1303"/>
      <c r="M23" s="1303"/>
      <c r="N23" s="1303"/>
      <c r="O23" s="1303"/>
      <c r="P23" s="1303"/>
      <c r="Q23" s="1303"/>
      <c r="R23" s="1303"/>
      <c r="S23" s="1303"/>
      <c r="T23" s="1303"/>
      <c r="U23" s="1303"/>
      <c r="V23" s="1303"/>
      <c r="X23" s="1295"/>
      <c r="Y23" s="1317" t="s">
        <v>111</v>
      </c>
    </row>
    <row r="24" spans="1:28" s="1277" customFormat="1" hidden="1" outlineLevel="1">
      <c r="A24" s="1295"/>
      <c r="C24" s="1296"/>
      <c r="D24" s="1309"/>
      <c r="E24" s="1309"/>
      <c r="F24" s="1309"/>
      <c r="G24" s="1310"/>
      <c r="H24" s="1310"/>
      <c r="I24" s="1310"/>
      <c r="J24" s="1303"/>
      <c r="K24" s="1305"/>
      <c r="L24" s="1303"/>
      <c r="M24" s="1303"/>
      <c r="N24" s="1303"/>
      <c r="O24" s="1303"/>
      <c r="P24" s="1303"/>
      <c r="Q24" s="1303"/>
      <c r="R24" s="1303"/>
      <c r="S24" s="1303"/>
      <c r="T24" s="1303"/>
      <c r="U24" s="1303"/>
      <c r="V24" s="1303"/>
      <c r="X24" s="1295"/>
      <c r="Y24" s="1267" t="s">
        <v>86</v>
      </c>
      <c r="Z24" s="1318">
        <f>+H8</f>
        <v>198270</v>
      </c>
      <c r="AA24" s="1319">
        <f>+Z24*(1+AA25)</f>
        <v>218097.00000000003</v>
      </c>
    </row>
    <row r="25" spans="1:28" s="1277" customFormat="1" hidden="1" outlineLevel="1">
      <c r="A25" s="1295" t="s">
        <v>112</v>
      </c>
      <c r="C25" s="1296"/>
      <c r="D25" s="1309">
        <f>+'Historical Financials'!BI60</f>
        <v>0.17249565306331185</v>
      </c>
      <c r="E25" s="1309">
        <f>+'Historical Financials'!BJ60</f>
        <v>0.24103656797307321</v>
      </c>
      <c r="F25" s="1309">
        <f>+'Historical Financials'!BK60</f>
        <v>0.29050722782187671</v>
      </c>
      <c r="G25" s="1310">
        <f>+'Historical Financials'!BL60</f>
        <v>0.28283879982628074</v>
      </c>
      <c r="H25" s="1310">
        <f>+'Historical Financials'!BM60</f>
        <v>0.21025030036043252</v>
      </c>
      <c r="I25" s="1310">
        <f>+'Historical Financials'!BN60</f>
        <v>0.14076322511782977</v>
      </c>
      <c r="J25" s="1303">
        <f>+'Historical Financials'!BO60</f>
        <v>0.24674738555533252</v>
      </c>
      <c r="K25" s="1305"/>
      <c r="L25" s="1303"/>
      <c r="M25" s="1303"/>
      <c r="N25" s="1303"/>
      <c r="O25" s="1303"/>
      <c r="P25" s="1303"/>
      <c r="Q25" s="1303"/>
      <c r="R25" s="1303"/>
      <c r="S25" s="1303"/>
      <c r="T25" s="1303"/>
      <c r="U25" s="1303"/>
      <c r="V25" s="1303"/>
      <c r="X25" s="1295"/>
      <c r="Y25" s="1295" t="s">
        <v>113</v>
      </c>
      <c r="AA25" s="1320">
        <v>0.1</v>
      </c>
    </row>
    <row r="26" spans="1:28" collapsed="1">
      <c r="A26" s="1295"/>
      <c r="C26" s="1296"/>
      <c r="D26" s="1297"/>
      <c r="E26" s="1297"/>
      <c r="F26" s="1297"/>
      <c r="G26" s="1303"/>
      <c r="H26" s="1303"/>
      <c r="I26" s="1303"/>
      <c r="J26" s="1303"/>
      <c r="K26" s="1305"/>
      <c r="L26" s="1303"/>
      <c r="M26" s="1303"/>
      <c r="N26" s="1303"/>
      <c r="O26" s="1303"/>
      <c r="P26" s="1303"/>
      <c r="Q26" s="1303"/>
      <c r="R26" s="1303"/>
      <c r="S26" s="1303"/>
      <c r="T26" s="1303"/>
      <c r="U26" s="1303"/>
      <c r="V26" s="1303"/>
      <c r="Y26" s="1267" t="s">
        <v>95</v>
      </c>
      <c r="Z26" s="1318">
        <f>+H13</f>
        <v>83383</v>
      </c>
      <c r="AA26" s="1319">
        <f>+AA24*AA28</f>
        <v>91721.300000000017</v>
      </c>
    </row>
    <row r="27" spans="1:28" hidden="1" outlineLevel="1">
      <c r="A27" s="1295" t="s">
        <v>114</v>
      </c>
      <c r="C27" s="1296"/>
      <c r="D27" s="1321">
        <f t="shared" ref="D27:J27" si="45">+D16*C13</f>
        <v>5059.47</v>
      </c>
      <c r="E27" s="1321">
        <f t="shared" si="45"/>
        <v>8450.26</v>
      </c>
      <c r="F27" s="1322">
        <f t="shared" si="45"/>
        <v>12479.900000000001</v>
      </c>
      <c r="G27" s="1322">
        <f t="shared" si="45"/>
        <v>12078.620000000006</v>
      </c>
      <c r="H27" s="1322">
        <f t="shared" si="45"/>
        <v>17672.225035918189</v>
      </c>
      <c r="I27" s="1322">
        <f t="shared" si="45"/>
        <v>8046.3335482253406</v>
      </c>
      <c r="J27" s="1303">
        <f t="shared" si="45"/>
        <v>24453.648293962731</v>
      </c>
      <c r="K27" s="1305"/>
      <c r="L27" s="1303"/>
      <c r="M27" s="1303"/>
      <c r="N27" s="1303"/>
      <c r="O27" s="1303"/>
      <c r="P27" s="1303"/>
      <c r="Q27" s="1303"/>
      <c r="R27" s="1303"/>
      <c r="S27" s="1303"/>
      <c r="T27" s="1303"/>
      <c r="U27" s="1303"/>
      <c r="V27" s="1303"/>
      <c r="Y27" s="1295" t="s">
        <v>113</v>
      </c>
      <c r="AA27" s="1323">
        <f>+AA26/Z26-1</f>
        <v>0.10000000000000031</v>
      </c>
    </row>
    <row r="28" spans="1:28" hidden="1" outlineLevel="1">
      <c r="A28" s="1295"/>
      <c r="C28" s="1296"/>
      <c r="D28" s="1297"/>
      <c r="E28" s="1297"/>
      <c r="F28" s="1297"/>
      <c r="G28" s="1303"/>
      <c r="H28" s="1303"/>
      <c r="I28" s="1303"/>
      <c r="J28" s="1303"/>
      <c r="K28" s="1305"/>
      <c r="L28" s="1303"/>
      <c r="M28" s="1303"/>
      <c r="N28" s="1303"/>
      <c r="O28" s="1303"/>
      <c r="P28" s="1303"/>
      <c r="Q28" s="1303"/>
      <c r="R28" s="1303"/>
      <c r="S28" s="1303"/>
      <c r="T28" s="1303"/>
      <c r="U28" s="1303"/>
      <c r="V28" s="1303"/>
      <c r="Y28" s="1295" t="s">
        <v>115</v>
      </c>
      <c r="Z28" s="1323">
        <f>+Z26/Z24</f>
        <v>0.4205527815604983</v>
      </c>
      <c r="AA28" s="1320">
        <f>+Z28</f>
        <v>0.4205527815604983</v>
      </c>
    </row>
    <row r="29" spans="1:28" s="1329" customFormat="1" ht="20.100000000000001" collapsed="1">
      <c r="A29" s="1324" t="s">
        <v>116</v>
      </c>
      <c r="B29" s="1325"/>
      <c r="C29" s="1326">
        <f>+'Historical Financials'!BH85</f>
        <v>8778</v>
      </c>
      <c r="D29" s="1326">
        <f>+'Historical Financials'!BI85</f>
        <v>10261</v>
      </c>
      <c r="E29" s="1327">
        <f>+'Historical Financials'!BJ85</f>
        <v>11682</v>
      </c>
      <c r="F29" s="1327">
        <f>+'Historical Financials'!BK85</f>
        <v>12796</v>
      </c>
      <c r="G29" s="1327">
        <f>+'Historical Financials'!BL85</f>
        <v>11686</v>
      </c>
      <c r="H29" s="1327">
        <f>+'Historical Financials'!BM85</f>
        <v>14460</v>
      </c>
      <c r="I29" s="1327">
        <f>+'Historical Financials'!BN85</f>
        <v>13861</v>
      </c>
      <c r="J29" s="1327">
        <f>+'Historical Financials'!BO85</f>
        <v>20427</v>
      </c>
      <c r="K29" s="1328">
        <f>+'D&amp;A forecast - Case 1'!V52</f>
        <v>27803.116747365937</v>
      </c>
      <c r="L29" s="1326">
        <f>+'D&amp;A forecast - Case 1'!W52</f>
        <v>31425.906903616535</v>
      </c>
      <c r="M29" s="1326">
        <f>+'D&amp;A forecast - Case 1'!X52</f>
        <v>34802.142300320178</v>
      </c>
      <c r="N29" s="1326">
        <f>+'D&amp;A forecast - Case 1'!Y52</f>
        <v>39361.987109000482</v>
      </c>
      <c r="O29" s="1326">
        <f>+'D&amp;A forecast - Case 1'!Z52</f>
        <v>44571.912327797545</v>
      </c>
      <c r="P29" s="1326">
        <f>+'D&amp;A forecast - Case 1'!AA52</f>
        <v>49220.960580627565</v>
      </c>
      <c r="Q29" s="1326">
        <f>+'D&amp;A forecast - Case 1'!AB52</f>
        <v>54424.891723191518</v>
      </c>
      <c r="R29" s="1326">
        <f>+'D&amp;A forecast - Case 1'!AC52</f>
        <v>59375.979611682043</v>
      </c>
      <c r="S29" s="1326">
        <f>+'D&amp;A forecast - Case 1'!AD52</f>
        <v>65294.788207345839</v>
      </c>
      <c r="T29" s="1326">
        <f>+'D&amp;A forecast - Case 1'!AE52</f>
        <v>71180.015201115937</v>
      </c>
      <c r="U29" s="1326">
        <f>+'D&amp;A forecast - Case 1'!AF52</f>
        <v>76593.485215063003</v>
      </c>
      <c r="V29" s="1326">
        <f>+'D&amp;A forecast - Case 1'!AG52</f>
        <v>81345.7448413026</v>
      </c>
      <c r="Y29" s="1330" t="s">
        <v>117</v>
      </c>
    </row>
    <row r="30" spans="1:28" s="1277" customFormat="1" hidden="1" outlineLevel="1">
      <c r="A30" s="1331" t="s">
        <v>118</v>
      </c>
      <c r="C30" s="1296">
        <f t="shared" ref="C30:U30" si="46">+C29/C8</f>
        <v>9.0896853092543306E-2</v>
      </c>
      <c r="D30" s="1296">
        <f t="shared" si="46"/>
        <v>9.2977528089887643E-2</v>
      </c>
      <c r="E30" s="1296">
        <f t="shared" si="46"/>
        <v>9.2829954784930432E-2</v>
      </c>
      <c r="F30" s="1296">
        <f t="shared" si="46"/>
        <v>8.9473132188931229E-2</v>
      </c>
      <c r="G30" s="1296">
        <f t="shared" si="46"/>
        <v>6.9523106943981727E-2</v>
      </c>
      <c r="H30" s="1296">
        <f t="shared" si="46"/>
        <v>7.2930851868663937E-2</v>
      </c>
      <c r="I30" s="1296">
        <f t="shared" si="46"/>
        <v>6.5408300497841118E-2</v>
      </c>
      <c r="J30" s="1296">
        <f t="shared" si="46"/>
        <v>8.333401326686303E-2</v>
      </c>
      <c r="K30" s="1311">
        <f t="shared" si="46"/>
        <v>9.8868938390823724E-2</v>
      </c>
      <c r="L30" s="1296">
        <f t="shared" si="46"/>
        <v>9.8895325385423394E-2</v>
      </c>
      <c r="M30" s="1296">
        <f t="shared" si="46"/>
        <v>9.6920462759468431E-2</v>
      </c>
      <c r="N30" s="1296">
        <f t="shared" si="46"/>
        <v>9.7008116380590328E-2</v>
      </c>
      <c r="O30" s="1296">
        <f t="shared" si="46"/>
        <v>9.7210657654445143E-2</v>
      </c>
      <c r="P30" s="1296">
        <f t="shared" si="46"/>
        <v>9.5000142159396533E-2</v>
      </c>
      <c r="Q30" s="1296">
        <f t="shared" si="46"/>
        <v>9.2959397528291049E-2</v>
      </c>
      <c r="R30" s="1296">
        <f t="shared" si="46"/>
        <v>8.9748680263182778E-2</v>
      </c>
      <c r="S30" s="1296">
        <f t="shared" si="46"/>
        <v>8.7340838554318442E-2</v>
      </c>
      <c r="T30" s="1296">
        <f t="shared" si="46"/>
        <v>8.4259421419867031E-2</v>
      </c>
      <c r="U30" s="1296">
        <f t="shared" si="46"/>
        <v>8.0236834082648589E-2</v>
      </c>
      <c r="V30" s="1296">
        <f t="shared" ref="V30" si="47">+V29/V8</f>
        <v>7.5411633708163506E-2</v>
      </c>
      <c r="Y30" s="1267" t="s">
        <v>119</v>
      </c>
      <c r="Z30" s="1318">
        <f>+Z24</f>
        <v>198270</v>
      </c>
      <c r="AA30" s="1319">
        <f>+Z30*(1+AA31)</f>
        <v>226027.80000000002</v>
      </c>
    </row>
    <row r="31" spans="1:28" s="1277" customFormat="1" hidden="1" outlineLevel="1">
      <c r="A31" s="1332"/>
      <c r="C31" s="1275"/>
      <c r="D31" s="1275"/>
      <c r="E31" s="1275"/>
      <c r="F31" s="1275"/>
      <c r="G31" s="1275"/>
      <c r="H31" s="1275"/>
      <c r="I31" s="1275"/>
      <c r="J31" s="1275"/>
      <c r="K31" s="1333"/>
      <c r="L31" s="1275"/>
      <c r="M31" s="1275"/>
      <c r="N31" s="1275"/>
      <c r="O31" s="1275"/>
      <c r="P31" s="1275"/>
      <c r="Q31" s="1275"/>
      <c r="R31" s="1275"/>
      <c r="S31" s="1275"/>
      <c r="T31" s="1275"/>
      <c r="U31" s="1275"/>
      <c r="V31" s="1275"/>
      <c r="Y31" s="1295" t="s">
        <v>120</v>
      </c>
      <c r="AA31" s="1320">
        <f>+AA25+4%</f>
        <v>0.14000000000000001</v>
      </c>
    </row>
    <row r="32" spans="1:28" s="1277" customFormat="1" hidden="1" outlineLevel="1">
      <c r="A32" s="1334"/>
      <c r="C32" s="1310"/>
      <c r="D32" s="1309"/>
      <c r="E32" s="1309"/>
      <c r="F32" s="1287"/>
      <c r="G32" s="1287"/>
      <c r="H32" s="1287"/>
      <c r="I32" s="1287"/>
      <c r="J32" s="1285"/>
      <c r="K32" s="1305"/>
      <c r="L32" s="1303"/>
      <c r="M32" s="1303"/>
      <c r="N32" s="1303"/>
      <c r="O32" s="1303"/>
      <c r="P32" s="1303"/>
      <c r="Q32" s="1303"/>
      <c r="R32" s="1303"/>
      <c r="S32" s="1303"/>
      <c r="T32" s="1303"/>
      <c r="U32" s="1303"/>
      <c r="V32" s="1303"/>
      <c r="Y32" s="1295"/>
      <c r="AA32" s="1323"/>
    </row>
    <row r="33" spans="1:27" collapsed="1">
      <c r="A33" s="1335" t="s">
        <v>121</v>
      </c>
      <c r="B33" s="1294"/>
      <c r="C33" s="1294">
        <f t="shared" ref="C33:U33" si="48">+C13+C29</f>
        <v>38109</v>
      </c>
      <c r="D33" s="1294">
        <f t="shared" si="48"/>
        <v>45319</v>
      </c>
      <c r="E33" s="1336">
        <f t="shared" si="48"/>
        <v>54641</v>
      </c>
      <c r="F33" s="1336">
        <f t="shared" si="48"/>
        <v>65755</v>
      </c>
      <c r="G33" s="1336">
        <f t="shared" si="48"/>
        <v>81602</v>
      </c>
      <c r="H33" s="1336">
        <f t="shared" si="48"/>
        <v>97843</v>
      </c>
      <c r="I33" s="1336">
        <f t="shared" si="48"/>
        <v>103555</v>
      </c>
      <c r="J33" s="1336">
        <f t="shared" si="48"/>
        <v>132870</v>
      </c>
      <c r="K33" s="1337">
        <f t="shared" si="48"/>
        <v>161093.46523773918</v>
      </c>
      <c r="L33" s="1294">
        <f t="shared" si="48"/>
        <v>185919.62863609547</v>
      </c>
      <c r="M33" s="1294">
        <f t="shared" si="48"/>
        <v>213255.67579637858</v>
      </c>
      <c r="N33" s="1294">
        <f t="shared" si="48"/>
        <v>244890.10789790365</v>
      </c>
      <c r="O33" s="1294">
        <f t="shared" si="48"/>
        <v>280694.31675761531</v>
      </c>
      <c r="P33" s="1294">
        <f t="shared" si="48"/>
        <v>319914.90552467882</v>
      </c>
      <c r="Q33" s="1294">
        <f t="shared" si="48"/>
        <v>364184.67744832666</v>
      </c>
      <c r="R33" s="1294">
        <f t="shared" si="48"/>
        <v>413280.16541944194</v>
      </c>
      <c r="S33" s="1294">
        <f t="shared" si="48"/>
        <v>469082.14610847161</v>
      </c>
      <c r="T33" s="1294">
        <f t="shared" si="48"/>
        <v>531335.35756774526</v>
      </c>
      <c r="U33" s="1294">
        <f t="shared" si="48"/>
        <v>600444.65002771129</v>
      </c>
      <c r="V33" s="1294">
        <f t="shared" ref="V33" si="49">+V13+V29</f>
        <v>677173.1890179523</v>
      </c>
      <c r="Y33" s="1267" t="s">
        <v>122</v>
      </c>
      <c r="Z33" s="1318">
        <f>+Z26</f>
        <v>83383</v>
      </c>
      <c r="AA33" s="1319">
        <f>+AA30*AA35</f>
        <v>95056.62000000001</v>
      </c>
    </row>
    <row r="34" spans="1:27" s="1277" customFormat="1">
      <c r="A34" s="1331" t="s">
        <v>87</v>
      </c>
      <c r="C34" s="1296"/>
      <c r="D34" s="1296">
        <f t="shared" ref="D34:F34" si="50">+D33/C33-1</f>
        <v>0.18919415361200764</v>
      </c>
      <c r="E34" s="1296">
        <f t="shared" si="50"/>
        <v>0.2056973896158345</v>
      </c>
      <c r="F34" s="1296">
        <f t="shared" si="50"/>
        <v>0.20340037700627733</v>
      </c>
      <c r="G34" s="1296">
        <f t="shared" ref="G34" si="51">+G33/F33-1</f>
        <v>0.24100068435860389</v>
      </c>
      <c r="H34" s="1296">
        <f t="shared" ref="H34:P34" si="52">+H33/G33-1</f>
        <v>0.1990269846327295</v>
      </c>
      <c r="I34" s="1296">
        <f t="shared" ref="I34" si="53">+I33/H33-1</f>
        <v>5.8379240211358985E-2</v>
      </c>
      <c r="J34" s="1296">
        <f t="shared" si="52"/>
        <v>0.28308628265173086</v>
      </c>
      <c r="K34" s="1311">
        <f t="shared" si="52"/>
        <v>0.2124141283791614</v>
      </c>
      <c r="L34" s="1296">
        <f t="shared" si="52"/>
        <v>0.15411030709233442</v>
      </c>
      <c r="M34" s="1296">
        <f t="shared" si="52"/>
        <v>0.14703152841268063</v>
      </c>
      <c r="N34" s="1296">
        <f t="shared" si="52"/>
        <v>0.14834039930421516</v>
      </c>
      <c r="O34" s="1296">
        <f t="shared" si="52"/>
        <v>0.14620520676416482</v>
      </c>
      <c r="P34" s="1296">
        <f t="shared" si="52"/>
        <v>0.13972704976756334</v>
      </c>
      <c r="Q34" s="1296">
        <f t="shared" ref="Q34" si="54">+Q33/P33-1</f>
        <v>0.13837983525976338</v>
      </c>
      <c r="R34" s="1296">
        <f t="shared" ref="R34" si="55">+R33/Q33-1</f>
        <v>0.13480931794029516</v>
      </c>
      <c r="S34" s="1296">
        <f t="shared" ref="S34" si="56">+S33/R33-1</f>
        <v>0.13502216016681023</v>
      </c>
      <c r="T34" s="1296">
        <f t="shared" ref="T34" si="57">+T33/S33-1</f>
        <v>0.13271281368461652</v>
      </c>
      <c r="U34" s="1296">
        <f t="shared" ref="U34" si="58">+U33/T33-1</f>
        <v>0.13006718163143249</v>
      </c>
      <c r="V34" s="1296">
        <f t="shared" ref="V34" si="59">+V33/U33-1</f>
        <v>0.12778619808953229</v>
      </c>
      <c r="Y34" s="1295" t="s">
        <v>113</v>
      </c>
      <c r="Z34" s="1313"/>
      <c r="AA34" s="1323">
        <f>+AA33/Z33-1</f>
        <v>0.14000000000000012</v>
      </c>
    </row>
    <row r="35" spans="1:27" s="1277" customFormat="1">
      <c r="A35" s="1331" t="s">
        <v>99</v>
      </c>
      <c r="C35" s="1296">
        <f t="shared" ref="C35:U35" si="60">+C33/C8</f>
        <v>0.39462157376438062</v>
      </c>
      <c r="D35" s="1297">
        <f t="shared" si="60"/>
        <v>0.41064697354113811</v>
      </c>
      <c r="E35" s="1297">
        <f t="shared" si="60"/>
        <v>0.43419975683987189</v>
      </c>
      <c r="F35" s="1297">
        <f t="shared" si="60"/>
        <v>0.45977694647414608</v>
      </c>
      <c r="G35" s="1296">
        <f t="shared" si="60"/>
        <v>0.48547189567369475</v>
      </c>
      <c r="H35" s="1296">
        <f t="shared" si="60"/>
        <v>0.49348363342916224</v>
      </c>
      <c r="I35" s="1296">
        <f t="shared" si="60"/>
        <v>0.48866290729773731</v>
      </c>
      <c r="J35" s="1296">
        <f t="shared" si="60"/>
        <v>0.5420566085459485</v>
      </c>
      <c r="K35" s="1311">
        <f t="shared" si="60"/>
        <v>0.5728544765134389</v>
      </c>
      <c r="L35" s="1296">
        <f t="shared" si="60"/>
        <v>0.58507721752933051</v>
      </c>
      <c r="M35" s="1296">
        <f t="shared" si="60"/>
        <v>0.5938955885505367</v>
      </c>
      <c r="N35" s="1296">
        <f t="shared" si="60"/>
        <v>0.60353477637268615</v>
      </c>
      <c r="O35" s="1296">
        <f t="shared" si="60"/>
        <v>0.61219000278019364</v>
      </c>
      <c r="P35" s="1296">
        <f t="shared" si="60"/>
        <v>0.61745973961581113</v>
      </c>
      <c r="Q35" s="1296">
        <f t="shared" si="60"/>
        <v>0.62203868731272882</v>
      </c>
      <c r="R35" s="1296">
        <f t="shared" si="60"/>
        <v>0.62468610485118081</v>
      </c>
      <c r="S35" s="1296">
        <f t="shared" si="60"/>
        <v>0.62746245323396266</v>
      </c>
      <c r="T35" s="1296">
        <f t="shared" si="60"/>
        <v>0.62896881494167611</v>
      </c>
      <c r="U35" s="1296">
        <f t="shared" si="60"/>
        <v>0.62900620888070968</v>
      </c>
      <c r="V35" s="1296">
        <f t="shared" ref="V35" si="61">+V33/V8</f>
        <v>0.62777391229051849</v>
      </c>
      <c r="Y35" s="1295" t="s">
        <v>115</v>
      </c>
      <c r="Z35" s="1323">
        <f>+Z33/Z30</f>
        <v>0.4205527815604983</v>
      </c>
      <c r="AA35" s="1320">
        <f>+Z35</f>
        <v>0.4205527815604983</v>
      </c>
    </row>
    <row r="36" spans="1:27" s="1277" customFormat="1">
      <c r="A36" s="1331" t="s">
        <v>101</v>
      </c>
      <c r="C36" s="1297"/>
      <c r="D36" s="1297">
        <f t="shared" ref="D36:U36" si="62">(D33-C33)/(D8-C8)</f>
        <v>0.52288055696569724</v>
      </c>
      <c r="E36" s="1297">
        <f t="shared" si="62"/>
        <v>0.60207970031647617</v>
      </c>
      <c r="F36" s="1297">
        <f t="shared" si="62"/>
        <v>0.64721639878872583</v>
      </c>
      <c r="G36" s="1297">
        <f t="shared" si="62"/>
        <v>0.63203445937861447</v>
      </c>
      <c r="H36" s="1297">
        <f t="shared" si="62"/>
        <v>0.53810218010734878</v>
      </c>
      <c r="I36" s="1297">
        <f t="shared" si="62"/>
        <v>0.41861487724441188</v>
      </c>
      <c r="J36" s="1297">
        <f t="shared" si="62"/>
        <v>0.88279579606709424</v>
      </c>
      <c r="K36" s="1298">
        <f t="shared" si="62"/>
        <v>0.7820333919051452</v>
      </c>
      <c r="L36" s="1297">
        <f t="shared" si="62"/>
        <v>0.67909830226695889</v>
      </c>
      <c r="M36" s="1297">
        <f t="shared" si="62"/>
        <v>0.66172921179058442</v>
      </c>
      <c r="N36" s="1297">
        <f t="shared" si="62"/>
        <v>0.67768237500460471</v>
      </c>
      <c r="O36" s="1297">
        <f t="shared" si="62"/>
        <v>0.67876866745332798</v>
      </c>
      <c r="P36" s="1297">
        <f t="shared" si="62"/>
        <v>0.65799617681286904</v>
      </c>
      <c r="Q36" s="1297">
        <f t="shared" si="62"/>
        <v>0.65726136190440365</v>
      </c>
      <c r="R36" s="1297">
        <f t="shared" si="62"/>
        <v>0.64505085514696514</v>
      </c>
      <c r="S36" s="1297">
        <f t="shared" si="62"/>
        <v>0.64881897925536147</v>
      </c>
      <c r="T36" s="1297">
        <f t="shared" si="62"/>
        <v>0.64055621269331786</v>
      </c>
      <c r="U36" s="1297">
        <f t="shared" si="62"/>
        <v>0.6292938545655834</v>
      </c>
      <c r="V36" s="1297">
        <f t="shared" ref="V36" si="63">(V33-U33)/(V8-U8)</f>
        <v>0.61829470775058626</v>
      </c>
    </row>
    <row r="37" spans="1:27" hidden="1" outlineLevel="1">
      <c r="C37" s="1266"/>
      <c r="D37" s="1266"/>
      <c r="E37" s="1266"/>
      <c r="F37" s="1266"/>
      <c r="G37" s="1266"/>
      <c r="H37" s="1266"/>
      <c r="I37" s="1266"/>
      <c r="J37" s="1266"/>
      <c r="K37" s="1338"/>
      <c r="L37" s="1266"/>
      <c r="M37" s="1266"/>
      <c r="N37" s="1266"/>
      <c r="O37" s="1266"/>
      <c r="P37" s="1266"/>
      <c r="Q37" s="1266"/>
      <c r="R37" s="1266"/>
      <c r="S37" s="1266"/>
      <c r="T37" s="1266"/>
      <c r="U37" s="1266"/>
      <c r="V37" s="1266"/>
    </row>
    <row r="38" spans="1:27" hidden="1" outlineLevel="1">
      <c r="A38" s="1312" t="s">
        <v>123</v>
      </c>
      <c r="C38" s="1266"/>
      <c r="D38" s="1266"/>
      <c r="E38" s="1266"/>
      <c r="F38" s="1266"/>
      <c r="G38" s="1266"/>
      <c r="H38" s="1266"/>
      <c r="I38" s="1266"/>
      <c r="J38" s="1266"/>
      <c r="K38" s="1338"/>
      <c r="L38" s="1266"/>
      <c r="M38" s="1266"/>
      <c r="N38" s="1266"/>
      <c r="O38" s="1266"/>
      <c r="P38" s="1266"/>
      <c r="Q38" s="1266"/>
      <c r="R38" s="1266"/>
      <c r="S38" s="1266"/>
      <c r="T38" s="1266"/>
      <c r="U38" s="1266"/>
      <c r="V38" s="1266"/>
    </row>
    <row r="39" spans="1:27" hidden="1" outlineLevel="1">
      <c r="A39" s="1339" t="s">
        <v>124</v>
      </c>
      <c r="C39" s="1266"/>
      <c r="D39" s="1266"/>
      <c r="E39" s="1266"/>
      <c r="F39" s="1266"/>
      <c r="G39" s="1266"/>
      <c r="H39" s="1266"/>
      <c r="I39" s="1266"/>
      <c r="J39" s="1340">
        <f>+'D&amp;A forecast - Case 1'!U53</f>
        <v>2287</v>
      </c>
      <c r="K39" s="1341">
        <f>+'D&amp;A forecast - Case 1'!V53</f>
        <v>2287</v>
      </c>
      <c r="L39" s="1342">
        <f>+'D&amp;A forecast - Case 1'!W53</f>
        <v>2287</v>
      </c>
      <c r="M39" s="1342">
        <f>+'D&amp;A forecast - Case 1'!X53</f>
        <v>2287</v>
      </c>
      <c r="N39" s="1342">
        <f>+'D&amp;A forecast - Case 1'!Y53</f>
        <v>2287</v>
      </c>
      <c r="O39" s="1342">
        <f>+'D&amp;A forecast - Case 1'!Z53</f>
        <v>2287</v>
      </c>
      <c r="P39" s="1342">
        <f>+'D&amp;A forecast - Case 1'!AA53</f>
        <v>2287</v>
      </c>
      <c r="Q39" s="1342">
        <f>+'D&amp;A forecast - Case 1'!AB53</f>
        <v>2287</v>
      </c>
      <c r="R39" s="1342">
        <f>+'D&amp;A forecast - Case 1'!AC53</f>
        <v>2287</v>
      </c>
      <c r="S39" s="1342">
        <f>+'D&amp;A forecast - Case 1'!AD53</f>
        <v>2287</v>
      </c>
      <c r="T39" s="1342">
        <f>+'D&amp;A forecast - Case 1'!AE53</f>
        <v>2287</v>
      </c>
      <c r="U39" s="1342">
        <f>+'D&amp;A forecast - Case 1'!AF53</f>
        <v>2287</v>
      </c>
      <c r="V39" s="1342">
        <f>+'D&amp;A forecast - Case 1'!AH53</f>
        <v>0</v>
      </c>
    </row>
    <row r="40" spans="1:27" collapsed="1">
      <c r="C40" s="1266"/>
      <c r="D40" s="1266"/>
      <c r="E40" s="1266"/>
      <c r="F40" s="1266"/>
      <c r="G40" s="1266"/>
      <c r="H40" s="1266"/>
      <c r="I40" s="1266"/>
      <c r="J40" s="1266"/>
      <c r="K40" s="1338"/>
      <c r="L40" s="1266"/>
      <c r="M40" s="1266"/>
      <c r="N40" s="1266"/>
      <c r="O40" s="1266"/>
      <c r="P40" s="1266"/>
      <c r="Q40" s="1266"/>
      <c r="R40" s="1266"/>
      <c r="S40" s="1266"/>
      <c r="T40" s="1266"/>
      <c r="U40" s="1266"/>
      <c r="V40" s="1266"/>
      <c r="X40" s="1301" t="s">
        <v>125</v>
      </c>
    </row>
    <row r="41" spans="1:27">
      <c r="A41" s="1334" t="s">
        <v>126</v>
      </c>
      <c r="C41" s="1266"/>
      <c r="D41" s="1266"/>
      <c r="E41" s="1266"/>
      <c r="F41" s="1266"/>
      <c r="G41" s="1266"/>
      <c r="H41" s="1266"/>
      <c r="I41" s="1266"/>
      <c r="J41" s="1343"/>
      <c r="K41" s="1338"/>
      <c r="L41" s="1266"/>
      <c r="M41" s="1266"/>
      <c r="N41" s="1266"/>
      <c r="O41" s="1266"/>
      <c r="P41" s="1266"/>
      <c r="Q41" s="1266"/>
      <c r="R41" s="1266"/>
      <c r="S41" s="1266"/>
      <c r="T41" s="1266"/>
      <c r="U41" s="1266"/>
      <c r="V41" s="1266"/>
      <c r="X41" s="1267" t="s">
        <v>127</v>
      </c>
    </row>
    <row r="42" spans="1:27">
      <c r="A42" s="1295" t="s">
        <v>128</v>
      </c>
      <c r="C42" s="1296"/>
      <c r="D42" s="1297">
        <f>D29/D8</f>
        <v>9.2977528089887643E-2</v>
      </c>
      <c r="E42" s="1297">
        <f t="shared" ref="E42:U42" si="64">E29/E8</f>
        <v>9.2829954784930432E-2</v>
      </c>
      <c r="F42" s="1297">
        <f t="shared" si="64"/>
        <v>8.9473132188931229E-2</v>
      </c>
      <c r="G42" s="1296">
        <f t="shared" si="64"/>
        <v>6.9523106943981727E-2</v>
      </c>
      <c r="H42" s="1296">
        <f t="shared" si="64"/>
        <v>7.2930851868663937E-2</v>
      </c>
      <c r="I42" s="1296">
        <f t="shared" si="64"/>
        <v>6.5408300497841118E-2</v>
      </c>
      <c r="J42" s="1296">
        <f t="shared" si="64"/>
        <v>8.333401326686303E-2</v>
      </c>
      <c r="K42" s="1298">
        <f t="shared" si="64"/>
        <v>9.8868938390823724E-2</v>
      </c>
      <c r="L42" s="1297">
        <f t="shared" si="64"/>
        <v>9.8895325385423394E-2</v>
      </c>
      <c r="M42" s="1297">
        <f t="shared" si="64"/>
        <v>9.6920462759468431E-2</v>
      </c>
      <c r="N42" s="1297">
        <f t="shared" si="64"/>
        <v>9.7008116380590328E-2</v>
      </c>
      <c r="O42" s="1297">
        <f t="shared" si="64"/>
        <v>9.7210657654445143E-2</v>
      </c>
      <c r="P42" s="1297">
        <f t="shared" si="64"/>
        <v>9.5000142159396533E-2</v>
      </c>
      <c r="Q42" s="1297">
        <f t="shared" si="64"/>
        <v>9.2959397528291049E-2</v>
      </c>
      <c r="R42" s="1297">
        <f t="shared" si="64"/>
        <v>8.9748680263182778E-2</v>
      </c>
      <c r="S42" s="1297">
        <f t="shared" si="64"/>
        <v>8.7340838554318442E-2</v>
      </c>
      <c r="T42" s="1297">
        <f t="shared" si="64"/>
        <v>8.4259421419867031E-2</v>
      </c>
      <c r="U42" s="1297">
        <f t="shared" si="64"/>
        <v>8.0236834082648589E-2</v>
      </c>
      <c r="V42" s="1297">
        <f t="shared" ref="V42" si="65">V29/V8</f>
        <v>7.5411633708163506E-2</v>
      </c>
      <c r="AA42" s="1302"/>
    </row>
    <row r="43" spans="1:27">
      <c r="C43" s="1266"/>
      <c r="D43" s="1266"/>
      <c r="E43" s="1266"/>
      <c r="F43" s="1266"/>
      <c r="G43" s="1266"/>
      <c r="H43" s="1266"/>
      <c r="I43" s="1266"/>
      <c r="J43" s="1266"/>
      <c r="K43" s="1338"/>
      <c r="L43" s="1266"/>
      <c r="M43" s="1266"/>
      <c r="N43" s="1266"/>
      <c r="O43" s="1266"/>
      <c r="P43" s="1266"/>
      <c r="Q43" s="1266"/>
      <c r="R43" s="1266"/>
      <c r="S43" s="1266"/>
      <c r="T43" s="1266"/>
      <c r="U43" s="1266"/>
      <c r="V43" s="1266"/>
    </row>
    <row r="44" spans="1:27">
      <c r="A44" s="1334" t="s">
        <v>126</v>
      </c>
      <c r="C44" s="1266"/>
      <c r="D44" s="1266"/>
      <c r="E44" s="1266"/>
      <c r="F44" s="1266"/>
      <c r="G44" s="1266"/>
      <c r="H44" s="1266"/>
      <c r="I44" s="1266"/>
      <c r="J44" s="1266"/>
      <c r="K44" s="1338"/>
      <c r="L44" s="1266"/>
      <c r="M44" s="1266"/>
      <c r="N44" s="1266"/>
      <c r="O44" s="1266"/>
      <c r="P44" s="1266"/>
      <c r="Q44" s="1266"/>
      <c r="R44" s="1266"/>
      <c r="S44" s="1266"/>
      <c r="T44" s="1266"/>
      <c r="U44" s="1266"/>
      <c r="V44" s="1266"/>
    </row>
    <row r="45" spans="1:27">
      <c r="A45" s="1295" t="s">
        <v>129</v>
      </c>
      <c r="B45" s="1344"/>
      <c r="C45" s="1344">
        <f t="shared" ref="C45" si="66">+C8-C33</f>
        <v>58462</v>
      </c>
      <c r="D45" s="1344">
        <f>+D8-D33</f>
        <v>65041</v>
      </c>
      <c r="E45" s="1344">
        <f t="shared" ref="E45:U45" si="67">+E8-E33</f>
        <v>71202</v>
      </c>
      <c r="F45" s="1344">
        <f t="shared" si="67"/>
        <v>77260</v>
      </c>
      <c r="G45" s="1344">
        <f t="shared" si="67"/>
        <v>86486</v>
      </c>
      <c r="H45" s="1344">
        <f t="shared" si="67"/>
        <v>100427</v>
      </c>
      <c r="I45" s="1336">
        <f t="shared" si="67"/>
        <v>108360</v>
      </c>
      <c r="J45" s="1336">
        <f t="shared" si="67"/>
        <v>112252</v>
      </c>
      <c r="K45" s="1337">
        <f t="shared" si="67"/>
        <v>120118.38147453839</v>
      </c>
      <c r="L45" s="1344">
        <f t="shared" si="67"/>
        <v>131849.75814877814</v>
      </c>
      <c r="M45" s="1344">
        <f t="shared" si="67"/>
        <v>145823.73127052857</v>
      </c>
      <c r="N45" s="1344">
        <f t="shared" si="67"/>
        <v>160869.6220877014</v>
      </c>
      <c r="O45" s="1344">
        <f t="shared" si="67"/>
        <v>177814.17812611838</v>
      </c>
      <c r="P45" s="1344">
        <f t="shared" si="67"/>
        <v>198199.69369394018</v>
      </c>
      <c r="Q45" s="1344">
        <f t="shared" si="67"/>
        <v>221284.81966871273</v>
      </c>
      <c r="R45" s="1344">
        <f t="shared" si="67"/>
        <v>248300.36632281257</v>
      </c>
      <c r="S45" s="1344">
        <f t="shared" si="67"/>
        <v>278503.85476027586</v>
      </c>
      <c r="T45" s="1344">
        <f t="shared" si="67"/>
        <v>313436.82341393933</v>
      </c>
      <c r="U45" s="1344">
        <f t="shared" si="67"/>
        <v>354147.91448159225</v>
      </c>
      <c r="V45" s="1344">
        <f t="shared" ref="V45" si="68">+V8-V33</f>
        <v>401516.40887756052</v>
      </c>
    </row>
    <row r="46" spans="1:27">
      <c r="A46" s="1331" t="s">
        <v>130</v>
      </c>
      <c r="C46" s="1266"/>
      <c r="D46" s="1296">
        <f t="shared" ref="D46" si="69">+D45/C45-1</f>
        <v>0.11253463788443785</v>
      </c>
      <c r="E46" s="1296">
        <f t="shared" ref="E46" si="70">+E45/D45-1</f>
        <v>9.4724865853845985E-2</v>
      </c>
      <c r="F46" s="1296">
        <f t="shared" ref="F46" si="71">+F45/E45-1</f>
        <v>8.5081879722479714E-2</v>
      </c>
      <c r="G46" s="1296">
        <f t="shared" ref="G46" si="72">+G45/F45-1</f>
        <v>0.11941496246440586</v>
      </c>
      <c r="H46" s="1296">
        <f t="shared" ref="H46" si="73">+H45/G45-1</f>
        <v>0.16119371921467063</v>
      </c>
      <c r="I46" s="1296">
        <f t="shared" ref="I46" si="74">+I45/H45-1</f>
        <v>7.8992701166021195E-2</v>
      </c>
      <c r="J46" s="1296">
        <f t="shared" ref="J46" si="75">+J45/I45-1</f>
        <v>3.5917312661498668E-2</v>
      </c>
      <c r="K46" s="1311">
        <f t="shared" ref="K46" si="76">+K45/J45-1</f>
        <v>7.0077873664062817E-2</v>
      </c>
      <c r="L46" s="1296">
        <f t="shared" ref="L46" si="77">+L45/K45-1</f>
        <v>9.7665124439979767E-2</v>
      </c>
      <c r="M46" s="1296">
        <f t="shared" ref="M46" si="78">+M45/L45-1</f>
        <v>0.10598406336083155</v>
      </c>
      <c r="N46" s="1296">
        <f t="shared" ref="N46" si="79">+N45/M45-1</f>
        <v>0.10317861630669745</v>
      </c>
      <c r="O46" s="1296">
        <f t="shared" ref="O46" si="80">+O45/N45-1</f>
        <v>0.10533098678617714</v>
      </c>
      <c r="P46" s="1296">
        <f t="shared" ref="P46" si="81">+P45/O45-1</f>
        <v>0.11464505127011271</v>
      </c>
      <c r="Q46" s="1296">
        <f t="shared" ref="Q46" si="82">+Q45/P45-1</f>
        <v>0.11647407493182405</v>
      </c>
      <c r="R46" s="1296">
        <f t="shared" ref="R46" si="83">+R45/Q45-1</f>
        <v>0.1220849523005918</v>
      </c>
      <c r="S46" s="1296">
        <f t="shared" ref="S46" si="84">+S45/R45-1</f>
        <v>0.12164093386070984</v>
      </c>
      <c r="T46" s="1296">
        <f t="shared" ref="T46" si="85">+T45/S45-1</f>
        <v>0.12543082638382974</v>
      </c>
      <c r="U46" s="1296">
        <f t="shared" ref="U46" si="86">+U45/T45-1</f>
        <v>0.12988611428685881</v>
      </c>
      <c r="V46" s="1296">
        <f t="shared" ref="V46" si="87">+V45/U45-1</f>
        <v>0.13375341900659521</v>
      </c>
    </row>
    <row r="47" spans="1:27">
      <c r="A47" s="1331" t="s">
        <v>118</v>
      </c>
      <c r="C47" s="1266"/>
      <c r="D47" s="1296">
        <f>+D45/D8</f>
        <v>0.58935302645886189</v>
      </c>
      <c r="E47" s="1296">
        <f t="shared" ref="E47:U47" si="88">+E45/E8</f>
        <v>0.56580024316012811</v>
      </c>
      <c r="F47" s="1296">
        <f t="shared" si="88"/>
        <v>0.54022305352585398</v>
      </c>
      <c r="G47" s="1296">
        <f t="shared" si="88"/>
        <v>0.51452810432630525</v>
      </c>
      <c r="H47" s="1296">
        <f t="shared" si="88"/>
        <v>0.50651636657083776</v>
      </c>
      <c r="I47" s="1296">
        <f t="shared" si="88"/>
        <v>0.51133709270226269</v>
      </c>
      <c r="J47" s="1296">
        <f t="shared" si="88"/>
        <v>0.45794339145405144</v>
      </c>
      <c r="K47" s="1311">
        <f t="shared" si="88"/>
        <v>0.42714552348656115</v>
      </c>
      <c r="L47" s="1296">
        <f t="shared" si="88"/>
        <v>0.41492278247066949</v>
      </c>
      <c r="M47" s="1296">
        <f t="shared" si="88"/>
        <v>0.4061044114494633</v>
      </c>
      <c r="N47" s="1296">
        <f t="shared" si="88"/>
        <v>0.39646522362731385</v>
      </c>
      <c r="O47" s="1296">
        <f t="shared" si="88"/>
        <v>0.38780999721980641</v>
      </c>
      <c r="P47" s="1296">
        <f t="shared" si="88"/>
        <v>0.38254026038418887</v>
      </c>
      <c r="Q47" s="1296">
        <f t="shared" si="88"/>
        <v>0.37796131268727118</v>
      </c>
      <c r="R47" s="1296">
        <f t="shared" si="88"/>
        <v>0.37531389514881919</v>
      </c>
      <c r="S47" s="1296">
        <f t="shared" si="88"/>
        <v>0.37253754676603734</v>
      </c>
      <c r="T47" s="1296">
        <f t="shared" si="88"/>
        <v>0.37103118505832394</v>
      </c>
      <c r="U47" s="1296">
        <f t="shared" si="88"/>
        <v>0.37099379111929032</v>
      </c>
      <c r="V47" s="1296">
        <f t="shared" ref="V47" si="89">+V45/V8</f>
        <v>0.37222608770948151</v>
      </c>
    </row>
    <row r="48" spans="1:27">
      <c r="A48" s="1345"/>
      <c r="C48" s="1266"/>
      <c r="D48" s="1266"/>
      <c r="E48" s="1266"/>
      <c r="F48" s="1266"/>
      <c r="G48" s="1266"/>
      <c r="H48" s="1266"/>
      <c r="I48" s="1266"/>
      <c r="J48" s="1266"/>
      <c r="K48" s="1338"/>
      <c r="L48" s="1266"/>
      <c r="M48" s="1266"/>
      <c r="N48" s="1266"/>
      <c r="O48" s="1266"/>
      <c r="P48" s="1266"/>
      <c r="Q48" s="1266"/>
      <c r="R48" s="1266"/>
      <c r="S48" s="1266"/>
      <c r="T48" s="1266"/>
      <c r="U48" s="1266"/>
      <c r="V48" s="1266"/>
    </row>
    <row r="49" spans="1:36">
      <c r="A49" s="1324" t="s">
        <v>131</v>
      </c>
      <c r="B49" s="1290"/>
      <c r="C49" s="1291">
        <f>+'Historical Financials'!BH111*-1</f>
        <v>10200</v>
      </c>
      <c r="D49" s="1291">
        <f>+'Historical Financials'!BI111*-1</f>
        <v>13600</v>
      </c>
      <c r="E49" s="1292">
        <f>+'Historical Financials'!BJ111*-1</f>
        <v>16900</v>
      </c>
      <c r="F49" s="1292">
        <f>+'Historical Financials'!BK111*-1</f>
        <v>19000</v>
      </c>
      <c r="G49" s="1292">
        <f>+'Historical Financials'!BL111*-1</f>
        <v>24200</v>
      </c>
      <c r="H49" s="1292">
        <f>+'Historical Financials'!BM111*-1</f>
        <v>29200</v>
      </c>
      <c r="I49" s="1292">
        <f>+'Historical Financials'!BN111*-1</f>
        <v>31900</v>
      </c>
      <c r="J49" s="1292">
        <f>+'Historical Financials'!BO111*-1</f>
        <v>55700</v>
      </c>
      <c r="K49" s="1293">
        <f>+'Historical Financials'!BP111*-1</f>
        <v>80000</v>
      </c>
      <c r="L49" s="1294">
        <f t="shared" ref="L49:U49" si="90">+L50*L8</f>
        <v>69909.265092672198</v>
      </c>
      <c r="M49" s="1294">
        <f t="shared" si="90"/>
        <v>71815.88141338143</v>
      </c>
      <c r="N49" s="1294">
        <f t="shared" si="90"/>
        <v>73036.751397408909</v>
      </c>
      <c r="O49" s="1294">
        <f t="shared" si="90"/>
        <v>73361.359181397391</v>
      </c>
      <c r="P49" s="1294">
        <f t="shared" si="90"/>
        <v>72536.04389060667</v>
      </c>
      <c r="Q49" s="1294">
        <f t="shared" si="90"/>
        <v>76111.034625215121</v>
      </c>
      <c r="R49" s="1294">
        <f t="shared" si="90"/>
        <v>79389.663809070538</v>
      </c>
      <c r="S49" s="1294">
        <f t="shared" si="90"/>
        <v>89710.320104249695</v>
      </c>
      <c r="T49" s="1294">
        <f t="shared" si="90"/>
        <v>101372.66171780214</v>
      </c>
      <c r="U49" s="1294">
        <f t="shared" si="90"/>
        <v>114551.10774111642</v>
      </c>
      <c r="V49" s="1294">
        <f t="shared" ref="V49" si="91">+V50*V8</f>
        <v>129442.75174746153</v>
      </c>
    </row>
    <row r="50" spans="1:36" s="1277" customFormat="1">
      <c r="A50" s="1295" t="s">
        <v>118</v>
      </c>
      <c r="C50" s="1297">
        <f t="shared" ref="C50:K50" si="92">+C49/C8</f>
        <v>0.10562177051081588</v>
      </c>
      <c r="D50" s="1297">
        <f t="shared" si="92"/>
        <v>0.12323305545487495</v>
      </c>
      <c r="E50" s="1297">
        <f t="shared" si="92"/>
        <v>0.13429431911190928</v>
      </c>
      <c r="F50" s="1296">
        <f t="shared" si="92"/>
        <v>0.13285319721707514</v>
      </c>
      <c r="G50" s="1296">
        <f t="shared" si="92"/>
        <v>0.14397220503545763</v>
      </c>
      <c r="H50" s="1296">
        <f t="shared" si="92"/>
        <v>0.14727391940283452</v>
      </c>
      <c r="I50" s="1296">
        <f t="shared" si="92"/>
        <v>0.15053205294575656</v>
      </c>
      <c r="J50" s="1297">
        <f t="shared" si="92"/>
        <v>0.22723378562511728</v>
      </c>
      <c r="K50" s="1298">
        <f t="shared" si="92"/>
        <v>0.28448303631337463</v>
      </c>
      <c r="L50" s="1299">
        <v>0.22</v>
      </c>
      <c r="M50" s="1299">
        <v>0.2</v>
      </c>
      <c r="N50" s="1299">
        <v>0.18</v>
      </c>
      <c r="O50" s="1299">
        <v>0.16</v>
      </c>
      <c r="P50" s="1299">
        <v>0.14000000000000001</v>
      </c>
      <c r="Q50" s="1299">
        <v>0.13</v>
      </c>
      <c r="R50" s="1299">
        <v>0.12</v>
      </c>
      <c r="S50" s="1299">
        <f>+R50</f>
        <v>0.12</v>
      </c>
      <c r="T50" s="1299">
        <f t="shared" ref="T50:V50" si="93">+S50</f>
        <v>0.12</v>
      </c>
      <c r="U50" s="1299">
        <f t="shared" si="93"/>
        <v>0.12</v>
      </c>
      <c r="V50" s="1299">
        <f t="shared" si="93"/>
        <v>0.12</v>
      </c>
      <c r="Z50" s="1299"/>
      <c r="AA50" s="1299"/>
      <c r="AB50" s="1299"/>
      <c r="AC50" s="1299"/>
      <c r="AD50" s="1299"/>
      <c r="AE50" s="1299"/>
      <c r="AF50" s="1299"/>
      <c r="AG50" s="1299"/>
      <c r="AH50" s="1299"/>
      <c r="AI50" s="1299"/>
      <c r="AJ50" s="1299"/>
    </row>
    <row r="51" spans="1:36" s="1277" customFormat="1">
      <c r="A51" s="1295"/>
      <c r="C51" s="1275"/>
      <c r="D51" s="1275"/>
      <c r="E51" s="1275"/>
      <c r="F51" s="1275"/>
      <c r="G51" s="1275"/>
      <c r="H51" s="1275"/>
      <c r="I51" s="1275"/>
      <c r="J51" s="1275"/>
      <c r="K51" s="1288"/>
      <c r="L51" s="1296"/>
      <c r="M51" s="1296"/>
      <c r="N51" s="1296"/>
      <c r="O51" s="1296"/>
      <c r="P51" s="1296"/>
      <c r="Q51" s="1296"/>
      <c r="R51" s="1296"/>
      <c r="S51" s="1296"/>
      <c r="T51" s="1296"/>
      <c r="U51" s="1296"/>
      <c r="V51" s="1296"/>
      <c r="Z51" s="1277" t="s">
        <v>132</v>
      </c>
      <c r="AA51" s="1277" t="s">
        <v>133</v>
      </c>
      <c r="AB51" s="1277" t="s">
        <v>134</v>
      </c>
      <c r="AC51" s="1277" t="s">
        <v>135</v>
      </c>
    </row>
    <row r="52" spans="1:36">
      <c r="A52" s="1324" t="s">
        <v>136</v>
      </c>
      <c r="B52" s="1290"/>
      <c r="C52" s="1294">
        <f t="shared" ref="C52:Q52" si="94">+C33-C49</f>
        <v>27909</v>
      </c>
      <c r="D52" s="1294">
        <f t="shared" si="94"/>
        <v>31719</v>
      </c>
      <c r="E52" s="1336">
        <f t="shared" si="94"/>
        <v>37741</v>
      </c>
      <c r="F52" s="1336">
        <f t="shared" si="94"/>
        <v>46755</v>
      </c>
      <c r="G52" s="1336">
        <f t="shared" si="94"/>
        <v>57402</v>
      </c>
      <c r="H52" s="1336">
        <f t="shared" si="94"/>
        <v>68643</v>
      </c>
      <c r="I52" s="1336">
        <f t="shared" ref="I52" si="95">+I33-I49</f>
        <v>71655</v>
      </c>
      <c r="J52" s="1336">
        <f t="shared" si="94"/>
        <v>77170</v>
      </c>
      <c r="K52" s="1337">
        <f t="shared" si="94"/>
        <v>81093.465237739176</v>
      </c>
      <c r="L52" s="1294">
        <f t="shared" si="94"/>
        <v>116010.36354342327</v>
      </c>
      <c r="M52" s="1294">
        <f t="shared" si="94"/>
        <v>141439.79438299715</v>
      </c>
      <c r="N52" s="1294">
        <f t="shared" si="94"/>
        <v>171853.35650049476</v>
      </c>
      <c r="O52" s="1294">
        <f t="shared" si="94"/>
        <v>207332.95757621792</v>
      </c>
      <c r="P52" s="1294">
        <f t="shared" si="94"/>
        <v>247378.86163407215</v>
      </c>
      <c r="Q52" s="1294">
        <f t="shared" si="94"/>
        <v>288073.64282311156</v>
      </c>
      <c r="R52" s="1294">
        <f t="shared" ref="R52:S52" si="96">+R33-R49</f>
        <v>333890.5016103714</v>
      </c>
      <c r="S52" s="1294">
        <f t="shared" si="96"/>
        <v>379371.82600422192</v>
      </c>
      <c r="T52" s="1294">
        <f t="shared" ref="T52" si="97">+T33-T49</f>
        <v>429962.69584994309</v>
      </c>
      <c r="U52" s="1294">
        <f>+U33-U49</f>
        <v>485893.54228659486</v>
      </c>
      <c r="V52" s="1294">
        <f t="shared" ref="V52" si="98">+V33-V49</f>
        <v>547730.4372704908</v>
      </c>
      <c r="Z52" s="1346">
        <f>+SUM('Historical Financials'!V12:Y12)</f>
        <v>153284</v>
      </c>
      <c r="AA52" s="1346">
        <f>+SUM('Historical Financials'!Z12:AC12)</f>
        <v>184903</v>
      </c>
      <c r="AB52" s="1346">
        <f>+SUM('Historical Financials'!AD12:AG12)</f>
        <v>204094</v>
      </c>
      <c r="AC52" s="1346">
        <f>+SUM('Historical Financials'!AH12:AK12)</f>
        <v>227583</v>
      </c>
    </row>
    <row r="53" spans="1:36" s="1277" customFormat="1">
      <c r="A53" s="1295" t="s">
        <v>87</v>
      </c>
      <c r="C53" s="1296"/>
      <c r="D53" s="1296">
        <f t="shared" ref="D53:N53" si="99">+D52/C52-1</f>
        <v>0.13651510265505751</v>
      </c>
      <c r="E53" s="1296">
        <f t="shared" si="99"/>
        <v>0.18985466124404926</v>
      </c>
      <c r="F53" s="1296">
        <f t="shared" si="99"/>
        <v>0.23883839855859668</v>
      </c>
      <c r="G53" s="1296">
        <f t="shared" si="99"/>
        <v>0.22771896053897978</v>
      </c>
      <c r="H53" s="1296">
        <f t="shared" si="99"/>
        <v>0.19582941360928197</v>
      </c>
      <c r="I53" s="1296">
        <f t="shared" ref="I53" si="100">+I52/H52-1</f>
        <v>4.3879201083868669E-2</v>
      </c>
      <c r="J53" s="1296">
        <f t="shared" si="99"/>
        <v>7.6966017723815394E-2</v>
      </c>
      <c r="K53" s="1311">
        <f t="shared" si="99"/>
        <v>5.0841845765701388E-2</v>
      </c>
      <c r="L53" s="1296">
        <f t="shared" si="99"/>
        <v>0.43057598048522538</v>
      </c>
      <c r="M53" s="1296">
        <f t="shared" si="99"/>
        <v>0.21919964788366086</v>
      </c>
      <c r="N53" s="1296">
        <f t="shared" si="99"/>
        <v>0.21502832530385607</v>
      </c>
      <c r="O53" s="1296">
        <f>+O52/N52-1</f>
        <v>0.20645276762820175</v>
      </c>
      <c r="P53" s="1296">
        <f>+P52/O52-1</f>
        <v>0.19314779727257259</v>
      </c>
      <c r="Q53" s="1296">
        <f>+Q52/P52-1</f>
        <v>0.16450387442252823</v>
      </c>
      <c r="R53" s="1296">
        <f>+R52/Q52-1</f>
        <v>0.15904564658625575</v>
      </c>
      <c r="S53" s="1296">
        <f>+S52/R52-1</f>
        <v>0.13621628699975497</v>
      </c>
      <c r="T53" s="1296">
        <f t="shared" ref="T53" si="101">+T52/S52-1</f>
        <v>0.13335431462735503</v>
      </c>
      <c r="U53" s="1296">
        <f t="shared" ref="U53" si="102">+U52/T52-1</f>
        <v>0.13008302110044356</v>
      </c>
      <c r="V53" s="1296">
        <f t="shared" ref="V53" si="103">+V52/U52-1</f>
        <v>0.12726428652024069</v>
      </c>
      <c r="AA53" s="1347">
        <f>+AA52/Z52-1</f>
        <v>0.20627723702408596</v>
      </c>
      <c r="AB53" s="1347">
        <f t="shared" ref="AB53:AC53" si="104">+AB52/AA52-1</f>
        <v>0.10378955452318239</v>
      </c>
      <c r="AC53" s="1347">
        <f t="shared" si="104"/>
        <v>0.11508912559898876</v>
      </c>
    </row>
    <row r="54" spans="1:36" s="1277" customFormat="1">
      <c r="A54" s="1295" t="s">
        <v>99</v>
      </c>
      <c r="C54" s="1296">
        <f t="shared" ref="C54:U54" si="105">+C52/C8</f>
        <v>0.28899980325356472</v>
      </c>
      <c r="D54" s="1296">
        <f t="shared" si="105"/>
        <v>0.28741391808626315</v>
      </c>
      <c r="E54" s="1296">
        <f t="shared" si="105"/>
        <v>0.29990543772796263</v>
      </c>
      <c r="F54" s="1296">
        <f t="shared" si="105"/>
        <v>0.32692374925707096</v>
      </c>
      <c r="G54" s="1296">
        <f t="shared" si="105"/>
        <v>0.3414996906382371</v>
      </c>
      <c r="H54" s="1296">
        <f t="shared" si="105"/>
        <v>0.34620971402632772</v>
      </c>
      <c r="I54" s="1296">
        <f t="shared" si="105"/>
        <v>0.33813085435198076</v>
      </c>
      <c r="J54" s="1296">
        <f t="shared" si="105"/>
        <v>0.31482282292083125</v>
      </c>
      <c r="K54" s="1311">
        <f t="shared" si="105"/>
        <v>0.28837144020006422</v>
      </c>
      <c r="L54" s="1296">
        <f t="shared" si="105"/>
        <v>0.36507721752933053</v>
      </c>
      <c r="M54" s="1296">
        <f t="shared" si="105"/>
        <v>0.39389558855053675</v>
      </c>
      <c r="N54" s="1296">
        <f t="shared" si="105"/>
        <v>0.42353477637268616</v>
      </c>
      <c r="O54" s="1296">
        <f t="shared" si="105"/>
        <v>0.45219000278019361</v>
      </c>
      <c r="P54" s="1296">
        <f t="shared" si="105"/>
        <v>0.47745973961581112</v>
      </c>
      <c r="Q54" s="1296">
        <f t="shared" si="105"/>
        <v>0.49203868731272887</v>
      </c>
      <c r="R54" s="1296">
        <f t="shared" si="105"/>
        <v>0.50468610485118082</v>
      </c>
      <c r="S54" s="1296">
        <f t="shared" si="105"/>
        <v>0.50746245323396266</v>
      </c>
      <c r="T54" s="1296">
        <f t="shared" si="105"/>
        <v>0.50896881494167601</v>
      </c>
      <c r="U54" s="1296">
        <f t="shared" si="105"/>
        <v>0.50900620888070969</v>
      </c>
      <c r="V54" s="1348">
        <f t="shared" ref="V54" si="106">+V52/V8</f>
        <v>0.50777391229051849</v>
      </c>
    </row>
    <row r="55" spans="1:36">
      <c r="A55" s="1295"/>
      <c r="C55" s="1297"/>
      <c r="D55" s="1297"/>
      <c r="E55" s="1297"/>
      <c r="F55" s="1297"/>
      <c r="G55" s="1297"/>
      <c r="H55" s="1297"/>
      <c r="I55" s="1297"/>
      <c r="J55" s="1297"/>
      <c r="K55" s="1298"/>
      <c r="L55" s="1297"/>
      <c r="M55" s="1297"/>
      <c r="N55" s="1297"/>
      <c r="O55" s="1297"/>
      <c r="P55" s="1297"/>
      <c r="Q55" s="1297"/>
      <c r="R55" s="1297"/>
      <c r="S55" s="1297"/>
      <c r="T55" s="1297"/>
      <c r="U55" s="1297"/>
      <c r="V55" s="1297"/>
    </row>
    <row r="56" spans="1:36">
      <c r="A56" s="1267" t="s">
        <v>137</v>
      </c>
      <c r="B56" s="1290"/>
      <c r="C56" s="1291">
        <f>+'Historical Financials'!BH68*-1</f>
        <v>-876</v>
      </c>
      <c r="D56" s="1291">
        <f>+'Historical Financials'!BI68*-1</f>
        <v>-1416</v>
      </c>
      <c r="E56" s="1292">
        <f>+'Historical Financials'!BJ68*-1</f>
        <v>-729</v>
      </c>
      <c r="F56" s="1292">
        <f>+'Historical Financials'!BK68*-1</f>
        <v>-77</v>
      </c>
      <c r="G56" s="1292">
        <f>+'Historical Financials'!BL68*-1</f>
        <v>-1186</v>
      </c>
      <c r="H56" s="1292">
        <f>+'Historical Financials'!BM68*-1</f>
        <v>-333</v>
      </c>
      <c r="I56" s="1292">
        <f>+'Historical Financials'!BN68*-1</f>
        <v>-788</v>
      </c>
      <c r="J56" s="1292">
        <f>+'Historical Financials'!BO68*-1</f>
        <v>1646</v>
      </c>
      <c r="K56" s="1293">
        <f>+'Historical Financials'!BP68*-1</f>
        <v>650</v>
      </c>
      <c r="L56" s="1294">
        <v>0</v>
      </c>
      <c r="M56" s="1294">
        <v>0</v>
      </c>
      <c r="N56" s="1294">
        <v>0</v>
      </c>
      <c r="O56" s="1294">
        <v>0</v>
      </c>
      <c r="P56" s="1294">
        <v>0</v>
      </c>
      <c r="Q56" s="1294">
        <v>0</v>
      </c>
      <c r="R56" s="1294">
        <v>0</v>
      </c>
      <c r="S56" s="1294">
        <v>0</v>
      </c>
      <c r="T56" s="1294">
        <v>0</v>
      </c>
      <c r="U56" s="1294">
        <v>0</v>
      </c>
      <c r="V56" s="1294">
        <v>0</v>
      </c>
      <c r="Y56" s="1267" t="s">
        <v>121</v>
      </c>
      <c r="Z56" s="1346">
        <f>+SUM('Historical Financials'!V86:Y86)</f>
        <v>72183</v>
      </c>
      <c r="AA56" s="1346">
        <f>+SUM('Historical Financials'!Z86:AC86)</f>
        <v>91616</v>
      </c>
      <c r="AB56" s="1346">
        <f>+SUM('Historical Financials'!AD86:AG86)</f>
        <v>98176</v>
      </c>
      <c r="AC56" s="1346">
        <f>+SUM('Historical Financials'!AH86:AK86)</f>
        <v>118466</v>
      </c>
    </row>
    <row r="57" spans="1:36">
      <c r="A57" s="1295" t="s">
        <v>138</v>
      </c>
      <c r="C57" s="1349">
        <v>0.05</v>
      </c>
      <c r="D57" s="1299">
        <f>C57+0.25%</f>
        <v>5.2500000000000005E-2</v>
      </c>
      <c r="E57" s="1299">
        <f>D57+0.25%</f>
        <v>5.5000000000000007E-2</v>
      </c>
      <c r="F57" s="1299">
        <f>E57+0.25%</f>
        <v>5.7500000000000009E-2</v>
      </c>
      <c r="G57" s="1299">
        <f>F57+0.25%</f>
        <v>6.0000000000000012E-2</v>
      </c>
      <c r="H57" s="1299">
        <f>G57</f>
        <v>6.0000000000000012E-2</v>
      </c>
      <c r="I57" s="1299">
        <f t="shared" ref="I57" si="107">H57</f>
        <v>6.0000000000000012E-2</v>
      </c>
      <c r="J57" s="1299">
        <f t="shared" ref="J57:N57" si="108">I57</f>
        <v>6.0000000000000012E-2</v>
      </c>
      <c r="K57" s="1288">
        <f t="shared" si="108"/>
        <v>6.0000000000000012E-2</v>
      </c>
      <c r="L57" s="1299">
        <f t="shared" si="108"/>
        <v>6.0000000000000012E-2</v>
      </c>
      <c r="M57" s="1299">
        <f t="shared" si="108"/>
        <v>6.0000000000000012E-2</v>
      </c>
      <c r="N57" s="1299">
        <f t="shared" si="108"/>
        <v>6.0000000000000012E-2</v>
      </c>
      <c r="O57" s="1299">
        <f>N57</f>
        <v>6.0000000000000012E-2</v>
      </c>
      <c r="P57" s="1299">
        <f>O57</f>
        <v>6.0000000000000012E-2</v>
      </c>
      <c r="Q57" s="1299">
        <f>P57</f>
        <v>6.0000000000000012E-2</v>
      </c>
      <c r="R57" s="1299">
        <f>Q57</f>
        <v>6.0000000000000012E-2</v>
      </c>
      <c r="S57" s="1299">
        <f>R57</f>
        <v>6.0000000000000012E-2</v>
      </c>
      <c r="T57" s="1299">
        <f t="shared" ref="T57" si="109">S57</f>
        <v>6.0000000000000012E-2</v>
      </c>
      <c r="U57" s="1299">
        <f t="shared" ref="U57" si="110">T57</f>
        <v>6.0000000000000012E-2</v>
      </c>
      <c r="V57" s="1299">
        <f t="shared" ref="V57" si="111">U57</f>
        <v>6.0000000000000012E-2</v>
      </c>
      <c r="Y57" s="1267" t="s">
        <v>131</v>
      </c>
      <c r="Z57" s="1346">
        <f>+SUM('Historical Financials'!V111:Y111)</f>
        <v>-20600</v>
      </c>
      <c r="AA57" s="1346">
        <f>+SUM('Historical Financials'!Z111:AC111)</f>
        <v>-27500</v>
      </c>
      <c r="AB57" s="1346">
        <f>+SUM('Historical Financials'!AD111:AG111)</f>
        <v>-28400</v>
      </c>
      <c r="AC57" s="1346">
        <f>+SUM('Historical Financials'!AH111:AK111)</f>
        <v>-41200</v>
      </c>
    </row>
    <row r="58" spans="1:36">
      <c r="C58" s="1266"/>
      <c r="D58" s="1266"/>
      <c r="E58" s="1266"/>
      <c r="F58" s="1266"/>
      <c r="G58" s="1266"/>
      <c r="H58" s="1266"/>
      <c r="I58" s="1266"/>
      <c r="J58" s="1266"/>
      <c r="K58" s="1338"/>
      <c r="L58" s="1266"/>
      <c r="M58" s="1266"/>
      <c r="N58" s="1266"/>
      <c r="O58" s="1266"/>
      <c r="P58" s="1266"/>
      <c r="Q58" s="1266"/>
      <c r="R58" s="1266"/>
      <c r="S58" s="1266"/>
      <c r="T58" s="1266"/>
      <c r="U58" s="1266"/>
      <c r="V58" s="1266"/>
      <c r="Z58" s="1346">
        <f>+Z57+Z56</f>
        <v>51583</v>
      </c>
      <c r="AA58" s="1346">
        <f t="shared" ref="AA58:AC58" si="112">+AA57+AA56</f>
        <v>64116</v>
      </c>
      <c r="AB58" s="1346">
        <f t="shared" si="112"/>
        <v>69776</v>
      </c>
      <c r="AC58" s="1346">
        <f t="shared" si="112"/>
        <v>77266</v>
      </c>
    </row>
    <row r="59" spans="1:36">
      <c r="A59" s="1266" t="s">
        <v>139</v>
      </c>
      <c r="B59" s="1294"/>
      <c r="C59" s="1294">
        <f>+MAX((C33-C29-C56)*C60,0)</f>
        <v>10572.449999999999</v>
      </c>
      <c r="D59" s="1294">
        <f>+MAX((D33-D29-D56)*D60,0)</f>
        <v>10212.719999999999</v>
      </c>
      <c r="E59" s="1336">
        <f>+MAX((E33-E29-E56)*E60,0)</f>
        <v>9174.48</v>
      </c>
      <c r="F59" s="1292">
        <f>+'Historical Financials'!BK113*-1</f>
        <v>11137.559999999998</v>
      </c>
      <c r="G59" s="1292">
        <f>+'Historical Financials'!BL113*-1</f>
        <v>14931.419999999998</v>
      </c>
      <c r="H59" s="1292">
        <f>+'Historical Financials'!BM113*-1</f>
        <v>17580.359999999997</v>
      </c>
      <c r="I59" s="1292">
        <f>+'Historical Financials'!BN113*-1</f>
        <v>19001.22</v>
      </c>
      <c r="J59" s="1336">
        <f t="shared" ref="J59:U59" si="113">+MAX((J33-J29-J56-J39)*J60,0)</f>
        <v>22787.1</v>
      </c>
      <c r="K59" s="1337">
        <f t="shared" si="113"/>
        <v>27374.203182978377</v>
      </c>
      <c r="L59" s="1294">
        <f t="shared" si="113"/>
        <v>31963.411563820577</v>
      </c>
      <c r="M59" s="1294">
        <f t="shared" si="113"/>
        <v>36994.972034172264</v>
      </c>
      <c r="N59" s="1294">
        <f t="shared" si="113"/>
        <v>42680.635365669666</v>
      </c>
      <c r="O59" s="1294">
        <f t="shared" si="113"/>
        <v>49105.434930261727</v>
      </c>
      <c r="P59" s="1294">
        <f t="shared" si="113"/>
        <v>56365.458438250767</v>
      </c>
      <c r="Q59" s="1294">
        <f t="shared" si="113"/>
        <v>64569.285002278375</v>
      </c>
      <c r="R59" s="1294">
        <f t="shared" si="113"/>
        <v>73839.60901962957</v>
      </c>
      <c r="S59" s="1294">
        <f t="shared" si="113"/>
        <v>84315.07515923641</v>
      </c>
      <c r="T59" s="1294">
        <f t="shared" si="113"/>
        <v>96152.351896992157</v>
      </c>
      <c r="U59" s="1294">
        <f t="shared" si="113"/>
        <v>109528.47461065614</v>
      </c>
      <c r="V59" s="1294">
        <f t="shared" ref="V59" si="114">+MAX((V33-V29-V56-V39)*V60,0)</f>
        <v>125123.76327709643</v>
      </c>
      <c r="W59" s="1266"/>
      <c r="X59" s="1266"/>
      <c r="Y59" s="1266"/>
      <c r="Z59" s="1343">
        <f>+Z58/Z52</f>
        <v>0.33651914094099838</v>
      </c>
      <c r="AA59" s="1343">
        <f t="shared" ref="AA59:AC59" si="115">+AA58/AA52</f>
        <v>0.34675478494129353</v>
      </c>
      <c r="AB59" s="1343">
        <f t="shared" si="115"/>
        <v>0.34188168197007263</v>
      </c>
      <c r="AC59" s="1343">
        <f t="shared" si="115"/>
        <v>0.33950690517305776</v>
      </c>
      <c r="AD59" s="1266"/>
      <c r="AE59" s="1266"/>
    </row>
    <row r="60" spans="1:36">
      <c r="A60" s="1295" t="s">
        <v>138</v>
      </c>
      <c r="C60" s="1349">
        <v>0.35</v>
      </c>
      <c r="D60" s="1299">
        <f>+(0.35+0.21)/2</f>
        <v>0.27999999999999997</v>
      </c>
      <c r="E60" s="1299">
        <v>0.21</v>
      </c>
      <c r="F60" s="1297">
        <f>+F59/(F33-F29-F56)</f>
        <v>0.20999999999999996</v>
      </c>
      <c r="G60" s="1297">
        <f>+G59/(G33-G29-G56)</f>
        <v>0.20999999999999996</v>
      </c>
      <c r="H60" s="1297">
        <f>+H59/(H33-H29-H56)</f>
        <v>0.20999999999999996</v>
      </c>
      <c r="I60" s="1297">
        <f>+I59/(I33-I29-I56)</f>
        <v>0.21000000000000002</v>
      </c>
      <c r="J60" s="1299">
        <v>0.21</v>
      </c>
      <c r="K60" s="1288">
        <f t="shared" ref="K60:U60" si="116">J60</f>
        <v>0.21</v>
      </c>
      <c r="L60" s="1299">
        <f t="shared" si="116"/>
        <v>0.21</v>
      </c>
      <c r="M60" s="1299">
        <f t="shared" si="116"/>
        <v>0.21</v>
      </c>
      <c r="N60" s="1299">
        <f t="shared" si="116"/>
        <v>0.21</v>
      </c>
      <c r="O60" s="1299">
        <f t="shared" si="116"/>
        <v>0.21</v>
      </c>
      <c r="P60" s="1299">
        <f t="shared" si="116"/>
        <v>0.21</v>
      </c>
      <c r="Q60" s="1299">
        <f t="shared" si="116"/>
        <v>0.21</v>
      </c>
      <c r="R60" s="1299">
        <f t="shared" si="116"/>
        <v>0.21</v>
      </c>
      <c r="S60" s="1299">
        <f t="shared" si="116"/>
        <v>0.21</v>
      </c>
      <c r="T60" s="1299">
        <f t="shared" si="116"/>
        <v>0.21</v>
      </c>
      <c r="U60" s="1299">
        <f t="shared" si="116"/>
        <v>0.21</v>
      </c>
      <c r="V60" s="1299">
        <f t="shared" ref="V60" si="117">U60</f>
        <v>0.21</v>
      </c>
      <c r="Z60" s="1350"/>
      <c r="AA60" s="1290"/>
    </row>
    <row r="61" spans="1:36">
      <c r="C61" s="1266"/>
      <c r="D61" s="1266"/>
      <c r="E61" s="1351"/>
      <c r="F61" s="1266"/>
      <c r="G61" s="1266"/>
      <c r="H61" s="1266"/>
      <c r="I61" s="1266"/>
      <c r="J61" s="1266"/>
      <c r="K61" s="1338"/>
      <c r="L61" s="1266"/>
      <c r="M61" s="1266"/>
      <c r="N61" s="1266"/>
      <c r="O61" s="1266"/>
      <c r="P61" s="1266"/>
      <c r="Q61" s="1266"/>
      <c r="R61" s="1266"/>
      <c r="S61" s="1266"/>
      <c r="T61" s="1266"/>
      <c r="U61" s="1266"/>
      <c r="V61" s="1266"/>
      <c r="Y61" s="1267" t="s">
        <v>95</v>
      </c>
      <c r="Z61" s="1346">
        <f>+SUM('Historical Financials'!V48:Y48)</f>
        <v>60155</v>
      </c>
      <c r="AA61" s="1346">
        <f>+SUM('Historical Financials'!Z48:AC48)</f>
        <v>78628</v>
      </c>
      <c r="AB61" s="1346">
        <f>+SUM('Historical Financials'!AD48:AG48)</f>
        <v>83986</v>
      </c>
      <c r="AC61" s="1346">
        <f>+SUM('Historical Financials'!AH48:AK48)</f>
        <v>101663</v>
      </c>
    </row>
    <row r="62" spans="1:36" s="1266" customFormat="1">
      <c r="A62" s="1266" t="s">
        <v>140</v>
      </c>
      <c r="B62" s="1294"/>
      <c r="C62" s="1294">
        <f t="shared" ref="C62:U62" si="118">+C13-C56-C59</f>
        <v>19634.550000000003</v>
      </c>
      <c r="D62" s="1294">
        <f t="shared" si="118"/>
        <v>26261.279999999999</v>
      </c>
      <c r="E62" s="1336">
        <f t="shared" si="118"/>
        <v>34513.520000000004</v>
      </c>
      <c r="F62" s="1336">
        <f t="shared" si="118"/>
        <v>41898.44</v>
      </c>
      <c r="G62" s="1336">
        <f t="shared" si="118"/>
        <v>56170.58</v>
      </c>
      <c r="H62" s="1336">
        <f t="shared" si="118"/>
        <v>66135.64</v>
      </c>
      <c r="I62" s="1336">
        <f t="shared" si="118"/>
        <v>71480.78</v>
      </c>
      <c r="J62" s="1336">
        <f t="shared" si="118"/>
        <v>88009.9</v>
      </c>
      <c r="K62" s="1337">
        <f t="shared" si="118"/>
        <v>105266.14530739485</v>
      </c>
      <c r="L62" s="1294">
        <f t="shared" si="118"/>
        <v>122530.31016865835</v>
      </c>
      <c r="M62" s="1294">
        <f t="shared" si="118"/>
        <v>141458.56146188613</v>
      </c>
      <c r="N62" s="1294">
        <f t="shared" si="118"/>
        <v>162847.48542323351</v>
      </c>
      <c r="O62" s="1294">
        <f t="shared" si="118"/>
        <v>187016.96949955606</v>
      </c>
      <c r="P62" s="1294">
        <f t="shared" si="118"/>
        <v>214328.48650580051</v>
      </c>
      <c r="Q62" s="1294">
        <f t="shared" si="118"/>
        <v>245190.50072285676</v>
      </c>
      <c r="R62" s="1294">
        <f t="shared" si="118"/>
        <v>280064.57678813033</v>
      </c>
      <c r="S62" s="1294">
        <f t="shared" si="118"/>
        <v>319472.28274188936</v>
      </c>
      <c r="T62" s="1294">
        <f t="shared" si="118"/>
        <v>364002.99046963721</v>
      </c>
      <c r="U62" s="1294">
        <f t="shared" si="118"/>
        <v>414322.69020199217</v>
      </c>
      <c r="V62" s="1294">
        <f t="shared" ref="V62" si="119">+V13-V56-V59</f>
        <v>470703.68089955323</v>
      </c>
      <c r="Z62" s="1343">
        <f>+Z61/Z52</f>
        <v>0.39244148117220323</v>
      </c>
      <c r="AA62" s="1343">
        <f t="shared" ref="AA62:AC62" si="120">+AA61/AA52</f>
        <v>0.42523917946166367</v>
      </c>
      <c r="AB62" s="1343">
        <f t="shared" si="120"/>
        <v>0.41150646270835989</v>
      </c>
      <c r="AC62" s="1343">
        <f t="shared" si="120"/>
        <v>0.44670735511879184</v>
      </c>
    </row>
    <row r="63" spans="1:36">
      <c r="A63" s="1295" t="s">
        <v>87</v>
      </c>
      <c r="C63" s="1296"/>
      <c r="D63" s="1297">
        <f>D62/C62-1</f>
        <v>0.33750353331245142</v>
      </c>
      <c r="E63" s="1297">
        <f t="shared" ref="E63:P63" si="121">E62/D62-1</f>
        <v>0.31423601591392369</v>
      </c>
      <c r="F63" s="1296">
        <f t="shared" si="121"/>
        <v>0.21397180003662331</v>
      </c>
      <c r="G63" s="1296">
        <f t="shared" si="121"/>
        <v>0.34063654875933325</v>
      </c>
      <c r="H63" s="1296">
        <f t="shared" si="121"/>
        <v>0.17740710528536474</v>
      </c>
      <c r="I63" s="1296">
        <f t="shared" si="121"/>
        <v>8.0820870562377634E-2</v>
      </c>
      <c r="J63" s="1296">
        <f t="shared" si="121"/>
        <v>0.23123866303641338</v>
      </c>
      <c r="K63" s="1311">
        <f t="shared" si="121"/>
        <v>0.1960716386155974</v>
      </c>
      <c r="L63" s="1296">
        <f t="shared" si="121"/>
        <v>0.16400491165368725</v>
      </c>
      <c r="M63" s="1296">
        <f t="shared" si="121"/>
        <v>0.15447811457568128</v>
      </c>
      <c r="N63" s="1296">
        <f t="shared" si="121"/>
        <v>0.15120275323250976</v>
      </c>
      <c r="O63" s="1296">
        <f t="shared" si="121"/>
        <v>0.14841791393651005</v>
      </c>
      <c r="P63" s="1296">
        <f t="shared" si="121"/>
        <v>0.14603764075168213</v>
      </c>
      <c r="Q63" s="1296">
        <f t="shared" ref="Q63" si="122">Q62/P62-1</f>
        <v>0.14399399128039381</v>
      </c>
      <c r="R63" s="1296">
        <f t="shared" ref="R63" si="123">R62/Q62-1</f>
        <v>0.14223257411057855</v>
      </c>
      <c r="S63" s="1296">
        <f t="shared" ref="S63" si="124">S62/R62-1</f>
        <v>0.14070935498412229</v>
      </c>
      <c r="T63" s="1296">
        <f t="shared" ref="T63" si="125">T62/S62-1</f>
        <v>0.13938832923332334</v>
      </c>
      <c r="U63" s="1296">
        <f t="shared" ref="U63" si="126">U62/T62-1</f>
        <v>0.13823979761109206</v>
      </c>
      <c r="V63" s="1296">
        <f t="shared" ref="V63" si="127">V62/U62-1</f>
        <v>0.13607990107921442</v>
      </c>
    </row>
    <row r="64" spans="1:36">
      <c r="C64" s="1266"/>
      <c r="D64" s="1266"/>
      <c r="E64" s="1351"/>
      <c r="F64" s="1266"/>
      <c r="G64" s="1266"/>
      <c r="H64" s="1266"/>
      <c r="I64" s="1266"/>
      <c r="J64" s="1266"/>
      <c r="K64" s="1338"/>
      <c r="L64" s="1266"/>
      <c r="M64" s="1266"/>
      <c r="N64" s="1266"/>
      <c r="O64" s="1266"/>
      <c r="P64" s="1266"/>
      <c r="Q64" s="1266"/>
      <c r="R64" s="1266"/>
      <c r="S64" s="1266"/>
      <c r="T64" s="1266"/>
      <c r="U64" s="1266"/>
      <c r="V64" s="1266"/>
    </row>
    <row r="65" spans="1:31" s="1266" customFormat="1">
      <c r="A65" s="1266" t="str">
        <f>+A29</f>
        <v>Adj. D&amp;A</v>
      </c>
      <c r="B65" s="1294"/>
      <c r="C65" s="1294">
        <f t="shared" ref="C65:U65" si="128">+C29</f>
        <v>8778</v>
      </c>
      <c r="D65" s="1294">
        <f t="shared" si="128"/>
        <v>10261</v>
      </c>
      <c r="E65" s="1336">
        <f t="shared" si="128"/>
        <v>11682</v>
      </c>
      <c r="F65" s="1336">
        <f t="shared" si="128"/>
        <v>12796</v>
      </c>
      <c r="G65" s="1336">
        <f t="shared" si="128"/>
        <v>11686</v>
      </c>
      <c r="H65" s="1336">
        <f t="shared" si="128"/>
        <v>14460</v>
      </c>
      <c r="I65" s="1336">
        <f t="shared" si="128"/>
        <v>13861</v>
      </c>
      <c r="J65" s="1336">
        <f t="shared" si="128"/>
        <v>20427</v>
      </c>
      <c r="K65" s="1337">
        <f t="shared" si="128"/>
        <v>27803.116747365937</v>
      </c>
      <c r="L65" s="1294">
        <f t="shared" si="128"/>
        <v>31425.906903616535</v>
      </c>
      <c r="M65" s="1294">
        <f t="shared" si="128"/>
        <v>34802.142300320178</v>
      </c>
      <c r="N65" s="1294">
        <f t="shared" si="128"/>
        <v>39361.987109000482</v>
      </c>
      <c r="O65" s="1294">
        <f t="shared" si="128"/>
        <v>44571.912327797545</v>
      </c>
      <c r="P65" s="1294">
        <f t="shared" si="128"/>
        <v>49220.960580627565</v>
      </c>
      <c r="Q65" s="1294">
        <f t="shared" si="128"/>
        <v>54424.891723191518</v>
      </c>
      <c r="R65" s="1294">
        <f t="shared" si="128"/>
        <v>59375.979611682043</v>
      </c>
      <c r="S65" s="1294">
        <f t="shared" si="128"/>
        <v>65294.788207345839</v>
      </c>
      <c r="T65" s="1294">
        <f t="shared" si="128"/>
        <v>71180.015201115937</v>
      </c>
      <c r="U65" s="1294">
        <f t="shared" si="128"/>
        <v>76593.485215063003</v>
      </c>
      <c r="V65" s="1294">
        <f t="shared" ref="V65" si="129">+V29</f>
        <v>81345.7448413026</v>
      </c>
    </row>
    <row r="66" spans="1:31" s="1355" customFormat="1" ht="18.600000000000001">
      <c r="A66" s="1266" t="str">
        <f>+A49</f>
        <v>Capex</v>
      </c>
      <c r="B66" s="1352"/>
      <c r="C66" s="1352">
        <f t="shared" ref="C66:P66" si="130">+C49*-1</f>
        <v>-10200</v>
      </c>
      <c r="D66" s="1352">
        <f t="shared" si="130"/>
        <v>-13600</v>
      </c>
      <c r="E66" s="1353">
        <f t="shared" si="130"/>
        <v>-16900</v>
      </c>
      <c r="F66" s="1353">
        <f t="shared" si="130"/>
        <v>-19000</v>
      </c>
      <c r="G66" s="1353">
        <f t="shared" si="130"/>
        <v>-24200</v>
      </c>
      <c r="H66" s="1353">
        <f t="shared" si="130"/>
        <v>-29200</v>
      </c>
      <c r="I66" s="1353">
        <f t="shared" si="130"/>
        <v>-31900</v>
      </c>
      <c r="J66" s="1353">
        <f t="shared" si="130"/>
        <v>-55700</v>
      </c>
      <c r="K66" s="1354">
        <f t="shared" si="130"/>
        <v>-80000</v>
      </c>
      <c r="L66" s="1352">
        <f t="shared" si="130"/>
        <v>-69909.265092672198</v>
      </c>
      <c r="M66" s="1352">
        <f t="shared" si="130"/>
        <v>-71815.88141338143</v>
      </c>
      <c r="N66" s="1352">
        <f t="shared" si="130"/>
        <v>-73036.751397408909</v>
      </c>
      <c r="O66" s="1352">
        <f t="shared" si="130"/>
        <v>-73361.359181397391</v>
      </c>
      <c r="P66" s="1352">
        <f t="shared" si="130"/>
        <v>-72536.04389060667</v>
      </c>
      <c r="Q66" s="1352">
        <f t="shared" ref="Q66" si="131">+Q49*-1</f>
        <v>-76111.034625215121</v>
      </c>
      <c r="R66" s="1352">
        <f t="shared" ref="R66:S66" si="132">+R49*-1</f>
        <v>-79389.663809070538</v>
      </c>
      <c r="S66" s="1352">
        <f t="shared" si="132"/>
        <v>-89710.320104249695</v>
      </c>
      <c r="T66" s="1352">
        <f t="shared" ref="T66:U66" si="133">+T49*-1</f>
        <v>-101372.66171780214</v>
      </c>
      <c r="U66" s="1352">
        <f t="shared" si="133"/>
        <v>-114551.10774111642</v>
      </c>
      <c r="V66" s="1352">
        <f t="shared" ref="V66" si="134">+V49*-1</f>
        <v>-129442.75174746153</v>
      </c>
      <c r="Z66" s="1346">
        <f>+SUM('Historical Financials'!V55:Y55)</f>
        <v>0</v>
      </c>
      <c r="AA66" s="1346">
        <f>+SUM('Historical Financials'!Z55:AC55)</f>
        <v>0</v>
      </c>
      <c r="AB66" s="1346">
        <f>+SUM('Historical Financials'!AD55:AG55)</f>
        <v>0</v>
      </c>
      <c r="AC66" s="1346">
        <f>+SUM('Historical Financials'!AH55:AK55)</f>
        <v>0</v>
      </c>
    </row>
    <row r="67" spans="1:31">
      <c r="A67" s="1339" t="s">
        <v>141</v>
      </c>
      <c r="B67" s="1290"/>
      <c r="C67" s="1294">
        <f t="shared" ref="C67" si="135">+C66+C65+C62</f>
        <v>18212.550000000003</v>
      </c>
      <c r="D67" s="1294">
        <f>+D66+D65+D62</f>
        <v>22922.28</v>
      </c>
      <c r="E67" s="1336">
        <f t="shared" ref="E67" si="136">+E66+E65+E62</f>
        <v>29295.520000000004</v>
      </c>
      <c r="F67" s="1336">
        <f t="shared" ref="F67" si="137">+F66+F65+F62</f>
        <v>35694.44</v>
      </c>
      <c r="G67" s="1336">
        <f t="shared" ref="G67" si="138">+G66+G65+G62</f>
        <v>43656.58</v>
      </c>
      <c r="H67" s="1336">
        <f t="shared" ref="H67" si="139">+H66+H65+H62</f>
        <v>51395.64</v>
      </c>
      <c r="I67" s="1336">
        <f t="shared" ref="I67" si="140">+I66+I65+I62</f>
        <v>53441.78</v>
      </c>
      <c r="J67" s="1336">
        <f t="shared" ref="J67" si="141">+J66+J65+J62</f>
        <v>52736.899999999994</v>
      </c>
      <c r="K67" s="1337">
        <f t="shared" ref="K67" si="142">+K66+K65+K62</f>
        <v>53069.262054760788</v>
      </c>
      <c r="L67" s="1294">
        <f t="shared" ref="L67" si="143">+L66+L65+L62</f>
        <v>84046.951979602687</v>
      </c>
      <c r="M67" s="1294">
        <f t="shared" ref="M67" si="144">+M66+M65+M62</f>
        <v>104444.82234882488</v>
      </c>
      <c r="N67" s="1294">
        <f t="shared" ref="N67" si="145">+N66+N65+N62</f>
        <v>129172.72113482509</v>
      </c>
      <c r="O67" s="1294">
        <f t="shared" ref="O67" si="146">+O66+O65+O62</f>
        <v>158227.5226459562</v>
      </c>
      <c r="P67" s="1294">
        <f t="shared" ref="P67:Q67" si="147">+P66+P65+P62</f>
        <v>191013.40319582139</v>
      </c>
      <c r="Q67" s="1294">
        <f t="shared" si="147"/>
        <v>223504.35782083316</v>
      </c>
      <c r="R67" s="1294">
        <f t="shared" ref="R67:S67" si="148">+R66+R65+R62</f>
        <v>260050.89259074183</v>
      </c>
      <c r="S67" s="1294">
        <f t="shared" si="148"/>
        <v>295056.75084498548</v>
      </c>
      <c r="T67" s="1294">
        <f t="shared" ref="T67:U67" si="149">+T66+T65+T62</f>
        <v>333810.34395295102</v>
      </c>
      <c r="U67" s="1294">
        <f t="shared" si="149"/>
        <v>376365.06767593877</v>
      </c>
      <c r="V67" s="1294">
        <f t="shared" ref="V67" si="150">+V66+V65+V62</f>
        <v>422606.6739933943</v>
      </c>
    </row>
    <row r="68" spans="1:31">
      <c r="A68" s="1331" t="s">
        <v>87</v>
      </c>
      <c r="C68" s="1296"/>
      <c r="D68" s="1296">
        <f t="shared" ref="D68:E68" si="151">+D67/C67-1</f>
        <v>0.25859805463814767</v>
      </c>
      <c r="E68" s="1296">
        <f t="shared" si="151"/>
        <v>0.278036914303464</v>
      </c>
      <c r="F68" s="1296">
        <f t="shared" ref="F68" si="152">+F67/E67-1</f>
        <v>0.21842657170789237</v>
      </c>
      <c r="G68" s="1296">
        <f t="shared" ref="G68" si="153">+G67/F67-1</f>
        <v>0.22306387213246648</v>
      </c>
      <c r="H68" s="1296">
        <f t="shared" ref="H68" si="154">+H67/G67-1</f>
        <v>0.17727133000340367</v>
      </c>
      <c r="I68" s="1296">
        <f t="shared" ref="I68" si="155">+I67/H67-1</f>
        <v>3.9811548216930559E-2</v>
      </c>
      <c r="J68" s="1296">
        <f t="shared" ref="J68" si="156">+J67/I67-1</f>
        <v>-1.3189680433548512E-2</v>
      </c>
      <c r="K68" s="1311">
        <f t="shared" ref="K68" si="157">+K67/J67-1</f>
        <v>6.3022675728150457E-3</v>
      </c>
      <c r="L68" s="1296">
        <f t="shared" ref="L68" si="158">+L67/K67-1</f>
        <v>0.58372188957285354</v>
      </c>
      <c r="M68" s="1296">
        <f t="shared" ref="M68" si="159">+M67/L67-1</f>
        <v>0.24269613458644557</v>
      </c>
      <c r="N68" s="1296">
        <f t="shared" ref="N68" si="160">+N67/M67-1</f>
        <v>0.23675562110119697</v>
      </c>
      <c r="O68" s="1296">
        <f t="shared" ref="O68" si="161">+O67/N67-1</f>
        <v>0.22492985559083278</v>
      </c>
      <c r="P68" s="1296">
        <f t="shared" ref="P68" si="162">+P67/O67-1</f>
        <v>0.20720719127496934</v>
      </c>
      <c r="Q68" s="1296">
        <f t="shared" ref="Q68" si="163">+Q67/P67-1</f>
        <v>0.17009777367142664</v>
      </c>
      <c r="R68" s="1296">
        <f t="shared" ref="R68" si="164">+R67/Q67-1</f>
        <v>0.16351598298233316</v>
      </c>
      <c r="S68" s="1296">
        <f t="shared" ref="S68" si="165">+S67/R67-1</f>
        <v>0.13461156739551949</v>
      </c>
      <c r="T68" s="1296">
        <f t="shared" ref="T68" si="166">+T67/S67-1</f>
        <v>0.13134284505263061</v>
      </c>
      <c r="U68" s="1296">
        <f t="shared" ref="U68" si="167">+U67/T67-1</f>
        <v>0.12748174073654717</v>
      </c>
      <c r="V68" s="1296">
        <f t="shared" ref="V68" si="168">+V67/U67-1</f>
        <v>0.12286370412376013</v>
      </c>
    </row>
    <row r="69" spans="1:31">
      <c r="A69" s="1266"/>
      <c r="B69" s="1290"/>
      <c r="C69" s="1356"/>
      <c r="D69" s="1294"/>
      <c r="E69" s="1336"/>
      <c r="F69" s="1336"/>
      <c r="G69" s="1336"/>
      <c r="H69" s="1336"/>
      <c r="I69" s="1336"/>
      <c r="J69" s="1336"/>
      <c r="K69" s="1337"/>
      <c r="L69" s="1294"/>
      <c r="M69" s="1294"/>
      <c r="N69" s="1294"/>
      <c r="O69" s="1294"/>
      <c r="P69" s="1294"/>
      <c r="Q69" s="1294"/>
      <c r="R69" s="1294"/>
      <c r="S69" s="1294"/>
      <c r="T69" s="1294"/>
      <c r="U69" s="1294"/>
      <c r="V69" s="1294"/>
      <c r="W69" s="1290"/>
      <c r="X69" s="1290"/>
      <c r="Y69" s="1290"/>
      <c r="Z69" s="1290"/>
      <c r="AA69" s="1290"/>
      <c r="AB69" s="1290"/>
      <c r="AC69" s="1290"/>
      <c r="AD69" s="1290"/>
      <c r="AE69" s="1290"/>
    </row>
    <row r="70" spans="1:31">
      <c r="A70" s="1266" t="s">
        <v>142</v>
      </c>
      <c r="C70" s="1291">
        <f>+'Historical Financials'!BH118</f>
        <v>3266</v>
      </c>
      <c r="D70" s="1291">
        <f>+'Historical Financials'!BI118</f>
        <v>3940</v>
      </c>
      <c r="E70" s="1292">
        <f>+'Historical Financials'!BJ118</f>
        <v>4652</v>
      </c>
      <c r="F70" s="1292">
        <f>+'Historical Financials'!BK118</f>
        <v>5289</v>
      </c>
      <c r="G70" s="1292">
        <f>+'Historical Financials'!BL118</f>
        <v>6118</v>
      </c>
      <c r="H70" s="1292">
        <f>+'Historical Financials'!BM118</f>
        <v>7502</v>
      </c>
      <c r="I70" s="1292">
        <f>+'Historical Financials'!BN118</f>
        <v>9611</v>
      </c>
      <c r="J70" s="1292">
        <f>+'Historical Financials'!BO118</f>
        <v>10734</v>
      </c>
      <c r="K70" s="1357">
        <v>0</v>
      </c>
      <c r="L70" s="1358">
        <v>0</v>
      </c>
      <c r="M70" s="1358">
        <v>0</v>
      </c>
      <c r="N70" s="1358">
        <v>0</v>
      </c>
      <c r="O70" s="1358">
        <v>0</v>
      </c>
      <c r="P70" s="1358">
        <v>0</v>
      </c>
      <c r="Q70" s="1358">
        <v>0</v>
      </c>
      <c r="R70" s="1358">
        <v>0</v>
      </c>
      <c r="S70" s="1358">
        <v>0</v>
      </c>
      <c r="T70" s="1358">
        <v>0</v>
      </c>
      <c r="U70" s="1358">
        <v>0</v>
      </c>
      <c r="V70" s="1358">
        <v>0</v>
      </c>
      <c r="W70" s="1290"/>
      <c r="Y70" s="1359"/>
    </row>
    <row r="71" spans="1:31">
      <c r="A71" s="1266" t="s">
        <v>143</v>
      </c>
      <c r="C71" s="1291"/>
      <c r="D71" s="1291">
        <v>0</v>
      </c>
      <c r="E71" s="1292">
        <v>0</v>
      </c>
      <c r="F71" s="1292">
        <v>0</v>
      </c>
      <c r="G71" s="1292">
        <v>0</v>
      </c>
      <c r="H71" s="1292">
        <v>0</v>
      </c>
      <c r="I71" s="1292">
        <v>0</v>
      </c>
      <c r="J71" s="1358">
        <f>+'D&amp;A forecast - Case 1'!U53*0.21</f>
        <v>480.27</v>
      </c>
      <c r="K71" s="1357">
        <f>+'D&amp;A forecast - Case 1'!V53*0.21</f>
        <v>480.27</v>
      </c>
      <c r="L71" s="1358">
        <f>+'D&amp;A forecast - Case 1'!W53*0.21</f>
        <v>480.27</v>
      </c>
      <c r="M71" s="1358">
        <f>+'D&amp;A forecast - Case 1'!X53*0.21</f>
        <v>480.27</v>
      </c>
      <c r="N71" s="1358">
        <f>+'D&amp;A forecast - Case 1'!Y53*0.21</f>
        <v>480.27</v>
      </c>
      <c r="O71" s="1358">
        <f>+'D&amp;A forecast - Case 1'!Z53*0.21</f>
        <v>480.27</v>
      </c>
      <c r="P71" s="1358">
        <f>+'D&amp;A forecast - Case 1'!AA53*0.21</f>
        <v>480.27</v>
      </c>
      <c r="Q71" s="1358">
        <f>+'D&amp;A forecast - Case 1'!AB53*0.21</f>
        <v>480.27</v>
      </c>
      <c r="R71" s="1358">
        <f>+'D&amp;A forecast - Case 1'!AC53*0.21</f>
        <v>480.27</v>
      </c>
      <c r="S71" s="1358">
        <f>+'D&amp;A forecast - Case 1'!AD53*0.21</f>
        <v>480.27</v>
      </c>
      <c r="T71" s="1358">
        <f>+'D&amp;A forecast - Case 1'!AE53*0.21</f>
        <v>480.27</v>
      </c>
      <c r="U71" s="1358">
        <f>+'D&amp;A forecast - Case 1'!AF53*0.21</f>
        <v>480.27</v>
      </c>
      <c r="V71" s="1358">
        <f>+'D&amp;A forecast - Case 1'!AG53*0.21</f>
        <v>480.27</v>
      </c>
      <c r="W71" s="1290"/>
      <c r="Y71" s="1359"/>
      <c r="Z71" s="1267">
        <f>1500/1600</f>
        <v>0.9375</v>
      </c>
    </row>
    <row r="72" spans="1:31" ht="18.600000000000001">
      <c r="A72" s="1266" t="s">
        <v>144</v>
      </c>
      <c r="C72" s="1360">
        <f t="shared" ref="C72:I72" si="169">C73-C67-SUM(C70:C70)</f>
        <v>7828.4499999999971</v>
      </c>
      <c r="D72" s="1360">
        <f t="shared" si="169"/>
        <v>3421.7200000000012</v>
      </c>
      <c r="E72" s="1360">
        <f t="shared" si="169"/>
        <v>1337.4799999999959</v>
      </c>
      <c r="F72" s="1360">
        <f t="shared" si="169"/>
        <v>691.55999999999767</v>
      </c>
      <c r="G72" s="1360">
        <f t="shared" si="169"/>
        <v>2765.4199999999983</v>
      </c>
      <c r="H72" s="1360">
        <f t="shared" si="169"/>
        <v>937.36000000000058</v>
      </c>
      <c r="I72" s="1360">
        <f t="shared" si="169"/>
        <v>-7370.7799999999988</v>
      </c>
      <c r="J72" s="1360">
        <f>+SUM('Historical Financials'!BO120:BO121)</f>
        <v>-518.71374999999898</v>
      </c>
      <c r="K72" s="1361">
        <v>0</v>
      </c>
      <c r="L72" s="1362">
        <v>0</v>
      </c>
      <c r="M72" s="1362">
        <v>0</v>
      </c>
      <c r="N72" s="1362">
        <v>0</v>
      </c>
      <c r="O72" s="1362">
        <v>0</v>
      </c>
      <c r="P72" s="1362">
        <v>0</v>
      </c>
      <c r="Q72" s="1362">
        <v>0</v>
      </c>
      <c r="R72" s="1362">
        <v>0</v>
      </c>
      <c r="S72" s="1362">
        <v>0</v>
      </c>
      <c r="T72" s="1362">
        <v>0</v>
      </c>
      <c r="U72" s="1362">
        <v>0</v>
      </c>
      <c r="V72" s="1362">
        <v>0</v>
      </c>
    </row>
    <row r="73" spans="1:31">
      <c r="A73" s="1363" t="s">
        <v>145</v>
      </c>
      <c r="B73" s="1291"/>
      <c r="C73" s="1291">
        <f>+'Historical Financials'!BH122</f>
        <v>29307</v>
      </c>
      <c r="D73" s="1291">
        <f>+'Historical Financials'!BI122</f>
        <v>30284</v>
      </c>
      <c r="E73" s="1292">
        <f>+'Historical Financials'!BJ122</f>
        <v>35285</v>
      </c>
      <c r="F73" s="1292">
        <f>+'Historical Financials'!BK122</f>
        <v>41675</v>
      </c>
      <c r="G73" s="1292">
        <f>+'Historical Financials'!BL122</f>
        <v>52540</v>
      </c>
      <c r="H73" s="1292">
        <f>+'Historical Financials'!BM122</f>
        <v>59835</v>
      </c>
      <c r="I73" s="1292">
        <f>+'Historical Financials'!BN122</f>
        <v>55682</v>
      </c>
      <c r="J73" s="1336">
        <f>+J67+J72+J70+J69+J71</f>
        <v>63432.456249999996</v>
      </c>
      <c r="K73" s="1337">
        <f t="shared" ref="K73:U73" si="170">+K67+K72+K70+K69+K71</f>
        <v>53549.532054760784</v>
      </c>
      <c r="L73" s="1294">
        <f t="shared" si="170"/>
        <v>84527.221979602691</v>
      </c>
      <c r="M73" s="1294">
        <f t="shared" si="170"/>
        <v>104925.09234882488</v>
      </c>
      <c r="N73" s="1294">
        <f t="shared" si="170"/>
        <v>129652.99113482509</v>
      </c>
      <c r="O73" s="1294">
        <f t="shared" si="170"/>
        <v>158707.79264595619</v>
      </c>
      <c r="P73" s="1294">
        <f t="shared" si="170"/>
        <v>191493.67319582138</v>
      </c>
      <c r="Q73" s="1294">
        <f t="shared" si="170"/>
        <v>223984.62782083315</v>
      </c>
      <c r="R73" s="1294">
        <f t="shared" si="170"/>
        <v>260531.16259074182</v>
      </c>
      <c r="S73" s="1294">
        <f t="shared" si="170"/>
        <v>295537.0208449855</v>
      </c>
      <c r="T73" s="1294">
        <f t="shared" si="170"/>
        <v>334290.61395295104</v>
      </c>
      <c r="U73" s="1294">
        <f t="shared" si="170"/>
        <v>376845.33767593879</v>
      </c>
      <c r="V73" s="1294">
        <f t="shared" ref="V73" si="171">+V67+V72+V70+V69+V71</f>
        <v>423086.94399339432</v>
      </c>
      <c r="W73" s="1364"/>
      <c r="X73" s="1364"/>
      <c r="Y73" s="1364"/>
      <c r="Z73" s="1364"/>
      <c r="AA73" s="1364"/>
      <c r="AB73" s="1364"/>
      <c r="AC73" s="1364"/>
      <c r="AD73" s="1364"/>
      <c r="AE73" s="1364"/>
    </row>
    <row r="74" spans="1:31">
      <c r="C74" s="1266"/>
      <c r="D74" s="1266"/>
      <c r="E74" s="1266"/>
      <c r="F74" s="1266"/>
      <c r="G74" s="1266"/>
      <c r="H74" s="1266"/>
      <c r="I74" s="1266"/>
      <c r="J74" s="1266"/>
      <c r="K74" s="1338"/>
      <c r="L74" s="1266"/>
      <c r="M74" s="1266"/>
      <c r="N74" s="1266"/>
      <c r="O74" s="1266"/>
      <c r="P74" s="1266"/>
      <c r="Q74" s="1266"/>
      <c r="R74" s="1266"/>
      <c r="S74" s="1266"/>
      <c r="T74" s="1266"/>
      <c r="U74" s="1266"/>
      <c r="V74" s="1266"/>
    </row>
    <row r="75" spans="1:31">
      <c r="A75" s="1267" t="s">
        <v>146</v>
      </c>
      <c r="B75" s="1290"/>
      <c r="C75" s="1291">
        <f>+'Historical Financials'!BH136</f>
        <v>-38877</v>
      </c>
      <c r="D75" s="1291">
        <f>+'Historical Financials'!BI136</f>
        <v>-47659</v>
      </c>
      <c r="E75" s="1292">
        <f>+'Historical Financials'!BJ136</f>
        <v>-48879</v>
      </c>
      <c r="F75" s="1292">
        <f>+'Historical Financials'!BK136</f>
        <v>-56033</v>
      </c>
      <c r="G75" s="1292">
        <f>+'Historical Financials'!BL136</f>
        <v>-50018</v>
      </c>
      <c r="H75" s="1292">
        <f>+'Historical Financials'!BM136</f>
        <v>-28585</v>
      </c>
      <c r="I75" s="1292">
        <f>+'Historical Financials'!BN136</f>
        <v>-34230</v>
      </c>
      <c r="J75" s="1292">
        <f>+'Historical Financials'!BO136</f>
        <v>18729</v>
      </c>
      <c r="K75" s="1293">
        <f>+'Historical Financials'!BP136</f>
        <v>-34820.532054760792</v>
      </c>
      <c r="L75" s="1294">
        <f t="shared" ref="L75:U75" si="172">L76*L33</f>
        <v>0</v>
      </c>
      <c r="M75" s="1294">
        <f t="shared" si="172"/>
        <v>0</v>
      </c>
      <c r="N75" s="1294">
        <f t="shared" si="172"/>
        <v>0</v>
      </c>
      <c r="O75" s="1294">
        <f t="shared" si="172"/>
        <v>0</v>
      </c>
      <c r="P75" s="1294">
        <f t="shared" si="172"/>
        <v>0</v>
      </c>
      <c r="Q75" s="1294">
        <f t="shared" si="172"/>
        <v>0</v>
      </c>
      <c r="R75" s="1294">
        <f t="shared" si="172"/>
        <v>0</v>
      </c>
      <c r="S75" s="1294">
        <f t="shared" si="172"/>
        <v>0</v>
      </c>
      <c r="T75" s="1294">
        <f t="shared" si="172"/>
        <v>0</v>
      </c>
      <c r="U75" s="1294">
        <f t="shared" si="172"/>
        <v>0</v>
      </c>
      <c r="V75" s="1294">
        <f t="shared" ref="V75" si="173">V76*V33</f>
        <v>0</v>
      </c>
    </row>
    <row r="76" spans="1:31">
      <c r="A76" s="1295" t="s">
        <v>147</v>
      </c>
      <c r="B76" s="1277"/>
      <c r="C76" s="1365">
        <f t="shared" ref="C76:J76" si="174">+C75/C33</f>
        <v>-1.0201527198299614</v>
      </c>
      <c r="D76" s="1365">
        <f t="shared" si="174"/>
        <v>-1.0516339725060129</v>
      </c>
      <c r="E76" s="1365">
        <f t="shared" si="174"/>
        <v>-0.89454804999908488</v>
      </c>
      <c r="F76" s="1365">
        <f t="shared" si="174"/>
        <v>-0.85214812561782372</v>
      </c>
      <c r="G76" s="1365">
        <f t="shared" si="174"/>
        <v>-0.61295066297394674</v>
      </c>
      <c r="H76" s="1365">
        <f t="shared" si="174"/>
        <v>-0.29215171243727195</v>
      </c>
      <c r="I76" s="1366">
        <f t="shared" si="174"/>
        <v>-0.33054898363188645</v>
      </c>
      <c r="J76" s="1366">
        <f t="shared" si="174"/>
        <v>0.14095732671031835</v>
      </c>
      <c r="K76" s="1367">
        <f t="shared" ref="K76" si="175">+K75/K33</f>
        <v>-0.2161511145307676</v>
      </c>
      <c r="L76" s="1368">
        <v>0</v>
      </c>
      <c r="M76" s="1368">
        <f t="shared" ref="M76:Q76" si="176">L76</f>
        <v>0</v>
      </c>
      <c r="N76" s="1368">
        <f t="shared" si="176"/>
        <v>0</v>
      </c>
      <c r="O76" s="1368">
        <f t="shared" si="176"/>
        <v>0</v>
      </c>
      <c r="P76" s="1368">
        <f t="shared" si="176"/>
        <v>0</v>
      </c>
      <c r="Q76" s="1368">
        <f t="shared" si="176"/>
        <v>0</v>
      </c>
      <c r="R76" s="1368">
        <f t="shared" ref="R76" si="177">Q76</f>
        <v>0</v>
      </c>
      <c r="S76" s="1368">
        <f t="shared" ref="S76" si="178">R76</f>
        <v>0</v>
      </c>
      <c r="T76" s="1368">
        <f t="shared" ref="T76" si="179">S76</f>
        <v>0</v>
      </c>
      <c r="U76" s="1368">
        <f t="shared" ref="U76" si="180">T76</f>
        <v>0</v>
      </c>
      <c r="V76" s="1368">
        <f t="shared" ref="V76" si="181">U76</f>
        <v>0</v>
      </c>
    </row>
    <row r="77" spans="1:31">
      <c r="C77" s="1266"/>
      <c r="D77" s="1266"/>
      <c r="E77" s="1266"/>
      <c r="F77" s="1266"/>
      <c r="G77" s="1266"/>
      <c r="H77" s="1266"/>
      <c r="I77" s="1266"/>
      <c r="J77" s="1266"/>
      <c r="K77" s="1338"/>
      <c r="L77" s="1266"/>
      <c r="M77" s="1266"/>
      <c r="N77" s="1266"/>
      <c r="O77" s="1266"/>
      <c r="P77" s="1266"/>
      <c r="Q77" s="1266"/>
      <c r="R77" s="1266"/>
      <c r="S77" s="1266"/>
      <c r="T77" s="1266"/>
      <c r="U77" s="1266"/>
      <c r="V77" s="1266"/>
    </row>
    <row r="78" spans="1:31">
      <c r="A78" s="1339" t="s">
        <v>148</v>
      </c>
      <c r="B78" s="1290"/>
      <c r="C78" s="1294"/>
      <c r="D78" s="1294"/>
      <c r="E78" s="1336"/>
      <c r="F78" s="1336"/>
      <c r="G78" s="1336"/>
      <c r="H78" s="1336"/>
      <c r="I78" s="1336"/>
      <c r="J78" s="1336"/>
      <c r="K78" s="1337"/>
      <c r="L78" s="1294">
        <f t="shared" ref="L78:N78" si="182">+L73+(L75-K75)</f>
        <v>119347.75403436349</v>
      </c>
      <c r="M78" s="1294">
        <f t="shared" si="182"/>
        <v>104925.09234882488</v>
      </c>
      <c r="N78" s="1294">
        <f t="shared" si="182"/>
        <v>129652.99113482509</v>
      </c>
      <c r="O78" s="1294">
        <f>+O73+(O75-N75)</f>
        <v>158707.79264595619</v>
      </c>
      <c r="P78" s="1294">
        <f>+P73+(P75-O75)</f>
        <v>191493.67319582138</v>
      </c>
      <c r="Q78" s="1294">
        <f>+Q73+(Q75-P75)</f>
        <v>223984.62782083315</v>
      </c>
      <c r="R78" s="1294">
        <f>+R73+(R75-Q75)</f>
        <v>260531.16259074182</v>
      </c>
      <c r="S78" s="1294">
        <f>+S73+(S75-R75)</f>
        <v>295537.0208449855</v>
      </c>
      <c r="T78" s="1294">
        <f t="shared" ref="T78" si="183">+T73+(T75-S75)</f>
        <v>334290.61395295104</v>
      </c>
      <c r="U78" s="1294">
        <f t="shared" ref="U78" si="184">+U73+(U75-T75)</f>
        <v>376845.33767593879</v>
      </c>
      <c r="V78" s="1294">
        <f t="shared" ref="V78" si="185">+V73+(V75-U75)</f>
        <v>423086.94399339432</v>
      </c>
    </row>
    <row r="79" spans="1:31">
      <c r="A79" s="1331" t="s">
        <v>149</v>
      </c>
      <c r="C79" s="1296"/>
      <c r="D79" s="1296"/>
      <c r="E79" s="1296"/>
      <c r="F79" s="1296"/>
      <c r="G79" s="1296"/>
      <c r="H79" s="1296"/>
      <c r="I79" s="1296"/>
      <c r="J79" s="1296"/>
      <c r="K79" s="1311"/>
      <c r="L79" s="1296">
        <f t="shared" ref="L79:U79" si="186">+L78/$D$100</f>
        <v>3.7119835357871021E-2</v>
      </c>
      <c r="M79" s="1296">
        <f t="shared" si="186"/>
        <v>3.2634063241578658E-2</v>
      </c>
      <c r="N79" s="1296">
        <f t="shared" si="186"/>
        <v>4.03249958369096E-2</v>
      </c>
      <c r="O79" s="1296">
        <f t="shared" si="186"/>
        <v>4.9361692481726865E-2</v>
      </c>
      <c r="P79" s="1296">
        <f t="shared" si="186"/>
        <v>5.9558838610873223E-2</v>
      </c>
      <c r="Q79" s="1296">
        <f t="shared" si="186"/>
        <v>6.9664256145192616E-2</v>
      </c>
      <c r="R79" s="1296">
        <f t="shared" si="186"/>
        <v>8.1031050305132288E-2</v>
      </c>
      <c r="S79" s="1296">
        <f t="shared" si="186"/>
        <v>9.1918659422471516E-2</v>
      </c>
      <c r="T79" s="1296">
        <f t="shared" si="186"/>
        <v>0.10397189835715155</v>
      </c>
      <c r="U79" s="1296">
        <f t="shared" si="186"/>
        <v>0.11720737439168318</v>
      </c>
      <c r="V79" s="1296">
        <f t="shared" ref="V79" si="187">+V78/$D$100</f>
        <v>0.13158955382250193</v>
      </c>
    </row>
    <row r="80" spans="1:31">
      <c r="C80" s="1266"/>
      <c r="D80" s="1266"/>
      <c r="E80" s="1266"/>
      <c r="F80" s="1266"/>
      <c r="G80" s="1266"/>
      <c r="H80" s="1266"/>
      <c r="I80" s="1266"/>
      <c r="J80" s="1266"/>
      <c r="K80" s="1338"/>
      <c r="L80" s="1266"/>
      <c r="M80" s="1266"/>
      <c r="N80" s="1266"/>
      <c r="O80" s="1266"/>
      <c r="P80" s="1266"/>
      <c r="Q80" s="1266"/>
      <c r="R80" s="1266"/>
      <c r="S80" s="1266"/>
      <c r="T80" s="1266"/>
      <c r="U80" s="1266"/>
      <c r="V80" s="1266"/>
    </row>
    <row r="81" spans="1:26">
      <c r="A81" s="1339" t="s">
        <v>150</v>
      </c>
      <c r="B81" s="1290"/>
      <c r="C81" s="1294"/>
      <c r="D81" s="1294"/>
      <c r="E81" s="1336"/>
      <c r="F81" s="1336"/>
      <c r="G81" s="1336"/>
      <c r="H81" s="1336"/>
      <c r="I81" s="1336"/>
      <c r="J81" s="1336"/>
      <c r="K81" s="1337"/>
      <c r="L81" s="1294">
        <f t="shared" ref="L81:N81" si="188">L78+K81</f>
        <v>119347.75403436349</v>
      </c>
      <c r="M81" s="1294">
        <f t="shared" si="188"/>
        <v>224272.84638318839</v>
      </c>
      <c r="N81" s="1294">
        <f t="shared" si="188"/>
        <v>353925.83751801349</v>
      </c>
      <c r="O81" s="1294">
        <f>O78+N81</f>
        <v>512633.6301639697</v>
      </c>
      <c r="P81" s="1294">
        <f>P78+O81</f>
        <v>704127.30335979105</v>
      </c>
      <c r="Q81" s="1294">
        <f>Q78+P81</f>
        <v>928111.93118062417</v>
      </c>
      <c r="R81" s="1294">
        <f>R78+Q81</f>
        <v>1188643.0937713659</v>
      </c>
      <c r="S81" s="1294">
        <f>S78+R81</f>
        <v>1484180.1146163514</v>
      </c>
      <c r="T81" s="1294">
        <f t="shared" ref="T81" si="189">T78+S81</f>
        <v>1818470.7285693025</v>
      </c>
      <c r="U81" s="1294">
        <f t="shared" ref="U81" si="190">U78+T81</f>
        <v>2195316.0662452411</v>
      </c>
      <c r="V81" s="1294">
        <f t="shared" ref="V81" si="191">V78+U81</f>
        <v>2618403.0102386354</v>
      </c>
    </row>
    <row r="82" spans="1:26">
      <c r="A82" s="1331" t="s">
        <v>149</v>
      </c>
      <c r="C82" s="1296"/>
      <c r="D82" s="1296"/>
      <c r="E82" s="1296"/>
      <c r="F82" s="1296"/>
      <c r="G82" s="1296"/>
      <c r="H82" s="1296"/>
      <c r="I82" s="1296"/>
      <c r="J82" s="1296"/>
      <c r="K82" s="1311"/>
      <c r="L82" s="1296">
        <f t="shared" ref="L82:U82" si="192">L81/$D$100</f>
        <v>3.7119835357871021E-2</v>
      </c>
      <c r="M82" s="1296">
        <f t="shared" si="192"/>
        <v>6.9753898599449679E-2</v>
      </c>
      <c r="N82" s="1296">
        <f t="shared" si="192"/>
        <v>0.11007889443635929</v>
      </c>
      <c r="O82" s="1369">
        <f t="shared" si="192"/>
        <v>0.15944058691808616</v>
      </c>
      <c r="P82" s="1296">
        <f t="shared" si="192"/>
        <v>0.21899942552895937</v>
      </c>
      <c r="Q82" s="1296">
        <f t="shared" si="192"/>
        <v>0.28866368167415196</v>
      </c>
      <c r="R82" s="1296">
        <f t="shared" si="192"/>
        <v>0.36969473197928426</v>
      </c>
      <c r="S82" s="1296">
        <f t="shared" si="192"/>
        <v>0.46161339140175578</v>
      </c>
      <c r="T82" s="1296">
        <f t="shared" si="192"/>
        <v>0.56558528975890732</v>
      </c>
      <c r="U82" s="1296">
        <f t="shared" si="192"/>
        <v>0.68279266415059048</v>
      </c>
      <c r="V82" s="1296">
        <f t="shared" ref="V82" si="193">V81/$D$100</f>
        <v>0.8143822179730924</v>
      </c>
    </row>
    <row r="83" spans="1:26">
      <c r="C83" s="1266"/>
      <c r="D83" s="1266"/>
      <c r="E83" s="1266"/>
      <c r="F83" s="1266"/>
      <c r="G83" s="1266"/>
      <c r="H83" s="1266"/>
      <c r="I83" s="1266"/>
      <c r="J83" s="1266"/>
      <c r="K83" s="1338"/>
      <c r="L83" s="1266"/>
      <c r="M83" s="1266"/>
      <c r="N83" s="1266"/>
      <c r="O83" s="1266"/>
      <c r="P83" s="1266"/>
      <c r="Q83" s="1266"/>
      <c r="R83" s="1266"/>
      <c r="S83" s="1266"/>
      <c r="T83" s="1266"/>
      <c r="U83" s="1266"/>
      <c r="V83" s="1266"/>
    </row>
    <row r="84" spans="1:26" collapsed="1">
      <c r="A84" s="1267" t="s">
        <v>151</v>
      </c>
      <c r="C84" s="1266"/>
      <c r="D84" s="1266"/>
      <c r="E84" s="1266"/>
      <c r="F84" s="1266"/>
      <c r="G84" s="1370"/>
      <c r="H84" s="1371"/>
      <c r="I84" s="1370"/>
      <c r="J84" s="1370">
        <f>+D100/SUM('Historical Financials'!AJ122:AM122)</f>
        <v>51.158375763747458</v>
      </c>
      <c r="K84" s="1372"/>
      <c r="L84" s="1266"/>
      <c r="M84" s="1266"/>
      <c r="N84" s="1266"/>
      <c r="O84" s="1266"/>
      <c r="P84" s="1266"/>
      <c r="Q84" s="1266"/>
      <c r="R84" s="1266"/>
      <c r="S84" s="1266"/>
      <c r="T84" s="1266"/>
      <c r="U84" s="1266"/>
      <c r="V84" s="1266"/>
      <c r="Z84" s="1346"/>
    </row>
    <row r="85" spans="1:26">
      <c r="A85" s="1266" t="s">
        <v>152</v>
      </c>
      <c r="B85" s="1266"/>
      <c r="C85" s="1370"/>
      <c r="D85" s="1370"/>
      <c r="E85" s="1370"/>
      <c r="F85" s="1370"/>
      <c r="G85" s="1370"/>
      <c r="H85" s="1370"/>
      <c r="I85" s="1370"/>
      <c r="J85" s="1370"/>
      <c r="K85" s="1372">
        <f t="shared" ref="K85:U85" si="194">+($D$100-K81)/(K8)</f>
        <v>11.433378919095253</v>
      </c>
      <c r="L85" s="1370">
        <f t="shared" si="194"/>
        <v>9.7424546690568885</v>
      </c>
      <c r="M85" s="1370">
        <f t="shared" si="194"/>
        <v>8.3294354807139168</v>
      </c>
      <c r="N85" s="1370">
        <f t="shared" si="194"/>
        <v>7.0516504005547684</v>
      </c>
      <c r="O85" s="1370">
        <f t="shared" si="194"/>
        <v>5.8942593212396943</v>
      </c>
      <c r="P85" s="1370">
        <f t="shared" si="194"/>
        <v>4.8465615530371471</v>
      </c>
      <c r="Q85" s="1370">
        <f t="shared" si="194"/>
        <v>3.9064198563399635</v>
      </c>
      <c r="R85" s="1370">
        <f t="shared" si="194"/>
        <v>3.0632075899992808</v>
      </c>
      <c r="S85" s="1370">
        <f t="shared" si="194"/>
        <v>2.3154814073191314</v>
      </c>
      <c r="T85" s="1370">
        <f t="shared" si="194"/>
        <v>1.6533817079624926</v>
      </c>
      <c r="U85" s="1370">
        <f t="shared" si="194"/>
        <v>1.0683987825518193</v>
      </c>
      <c r="V85" s="1370">
        <f t="shared" ref="V85" si="195">+($D$100-V81)/(V8)</f>
        <v>0.55326257982435234</v>
      </c>
    </row>
    <row r="86" spans="1:26">
      <c r="A86" s="1266" t="s">
        <v>153</v>
      </c>
      <c r="B86" s="1266"/>
      <c r="C86" s="1371">
        <f t="shared" ref="C86:U86" si="196">($D$100-C81)/C67</f>
        <v>176.53769516075451</v>
      </c>
      <c r="D86" s="1371">
        <f t="shared" si="196"/>
        <v>140.26534882219397</v>
      </c>
      <c r="E86" s="1371">
        <f t="shared" si="196"/>
        <v>109.7506239861931</v>
      </c>
      <c r="F86" s="1371">
        <f t="shared" si="196"/>
        <v>90.075698063900148</v>
      </c>
      <c r="G86" s="1371">
        <f t="shared" si="196"/>
        <v>73.647583021849172</v>
      </c>
      <c r="H86" s="1371">
        <f t="shared" si="196"/>
        <v>62.557866776247948</v>
      </c>
      <c r="I86" s="1371">
        <f t="shared" si="196"/>
        <v>60.162696676645133</v>
      </c>
      <c r="J86" s="1371">
        <f t="shared" si="196"/>
        <v>60.966829677133099</v>
      </c>
      <c r="K86" s="1372">
        <f t="shared" si="196"/>
        <v>60.585006753670655</v>
      </c>
      <c r="L86" s="1370">
        <f t="shared" si="196"/>
        <v>36.834814030102692</v>
      </c>
      <c r="M86" s="1370">
        <f t="shared" si="196"/>
        <v>28.636448282976691</v>
      </c>
      <c r="N86" s="1370">
        <f t="shared" si="196"/>
        <v>22.150774074779353</v>
      </c>
      <c r="O86" s="1370">
        <f t="shared" si="196"/>
        <v>17.080264701376841</v>
      </c>
      <c r="P86" s="1370">
        <f t="shared" si="196"/>
        <v>13.146063337062941</v>
      </c>
      <c r="Q86" s="1370">
        <f t="shared" si="196"/>
        <v>10.232863873968693</v>
      </c>
      <c r="R86" s="1370">
        <f t="shared" si="196"/>
        <v>7.7929303992736321</v>
      </c>
      <c r="S86" s="1370">
        <f t="shared" si="196"/>
        <v>5.8667408233376728</v>
      </c>
      <c r="T86" s="1370">
        <f t="shared" si="196"/>
        <v>4.1842048837994072</v>
      </c>
      <c r="U86" s="1370">
        <f t="shared" si="196"/>
        <v>2.7098304846742844</v>
      </c>
      <c r="V86" s="1370">
        <f t="shared" ref="V86" si="197">($D$100-V81)/V67</f>
        <v>1.4121844885267789</v>
      </c>
    </row>
    <row r="87" spans="1:26">
      <c r="A87" s="1266" t="s">
        <v>154</v>
      </c>
      <c r="B87" s="1266"/>
      <c r="C87" s="1371"/>
      <c r="D87" s="1371">
        <f t="shared" ref="D87:U87" si="198">($D$100-D81)/D62</f>
        <v>122.43126001474415</v>
      </c>
      <c r="E87" s="1371">
        <f t="shared" si="198"/>
        <v>93.157742241301378</v>
      </c>
      <c r="F87" s="1371">
        <f t="shared" si="198"/>
        <v>76.737978788709071</v>
      </c>
      <c r="G87" s="1371">
        <f t="shared" si="198"/>
        <v>57.239957287248949</v>
      </c>
      <c r="H87" s="1371">
        <f t="shared" si="198"/>
        <v>48.615264024057225</v>
      </c>
      <c r="I87" s="1371">
        <f t="shared" si="198"/>
        <v>44.979945658119568</v>
      </c>
      <c r="J87" s="1371">
        <f t="shared" si="198"/>
        <v>36.532271937588845</v>
      </c>
      <c r="K87" s="1372">
        <f t="shared" si="198"/>
        <v>30.54354836126155</v>
      </c>
      <c r="L87" s="1370">
        <f t="shared" si="198"/>
        <v>25.266024722407952</v>
      </c>
      <c r="M87" s="1370">
        <f t="shared" si="198"/>
        <v>21.143497591856057</v>
      </c>
      <c r="N87" s="1370">
        <f t="shared" si="198"/>
        <v>17.570279056171213</v>
      </c>
      <c r="O87" s="1370">
        <f t="shared" si="198"/>
        <v>14.450923769473473</v>
      </c>
      <c r="P87" s="1370">
        <f t="shared" si="198"/>
        <v>11.716008159149904</v>
      </c>
      <c r="Q87" s="1370">
        <f t="shared" si="198"/>
        <v>9.3278069993605275</v>
      </c>
      <c r="R87" s="1370">
        <f t="shared" si="198"/>
        <v>7.2360400928594819</v>
      </c>
      <c r="S87" s="1370">
        <f t="shared" si="198"/>
        <v>5.4183776774844334</v>
      </c>
      <c r="T87" s="1370">
        <f t="shared" si="198"/>
        <v>3.8371411993858437</v>
      </c>
      <c r="U87" s="1370">
        <f t="shared" si="198"/>
        <v>2.4615729668523358</v>
      </c>
      <c r="V87" s="1370">
        <f t="shared" ref="V87" si="199">($D$100-V81)/V62</f>
        <v>1.2678859630348203</v>
      </c>
    </row>
    <row r="88" spans="1:26" hidden="1" outlineLevel="1">
      <c r="A88" s="1266" t="s">
        <v>155</v>
      </c>
      <c r="C88" s="1266"/>
      <c r="D88" s="1370"/>
      <c r="E88" s="1370"/>
      <c r="F88" s="1370"/>
      <c r="G88" s="1370"/>
      <c r="H88" s="1371">
        <f>+$E$100/8.81</f>
        <v>48.842224744608401</v>
      </c>
      <c r="I88" s="1373">
        <f>+$E$100/10.11</f>
        <v>42.561819980217606</v>
      </c>
      <c r="J88" s="1374">
        <f>+$E$100/11.45</f>
        <v>37.580786026200876</v>
      </c>
      <c r="K88" s="1370"/>
    </row>
    <row r="89" spans="1:26" collapsed="1">
      <c r="C89" s="1266"/>
      <c r="D89" s="1266"/>
      <c r="E89" s="1266"/>
      <c r="F89" s="1266"/>
      <c r="G89" s="1266"/>
      <c r="H89" s="1266"/>
      <c r="I89" s="1266"/>
      <c r="J89" s="1375"/>
      <c r="K89" s="1266"/>
    </row>
    <row r="90" spans="1:26">
      <c r="A90" s="1282" t="s">
        <v>156</v>
      </c>
      <c r="B90" s="1283"/>
      <c r="C90" s="1376"/>
      <c r="D90" s="1266"/>
      <c r="E90" s="1266"/>
      <c r="F90" s="1266"/>
      <c r="G90" s="1266"/>
      <c r="H90" s="1266"/>
      <c r="I90" s="1266"/>
      <c r="J90" s="1266"/>
      <c r="K90" s="1266"/>
    </row>
    <row r="91" spans="1:26" ht="8.1" customHeight="1">
      <c r="C91" s="1266"/>
      <c r="D91" s="1266"/>
      <c r="E91" s="1266"/>
      <c r="F91" s="1266"/>
      <c r="G91" s="1266"/>
      <c r="H91" s="1266"/>
      <c r="I91" s="1266"/>
      <c r="J91" s="1266"/>
      <c r="K91" s="1343"/>
      <c r="L91" s="1266"/>
    </row>
    <row r="92" spans="1:26">
      <c r="A92" s="1317" t="s">
        <v>157</v>
      </c>
      <c r="C92" s="1266"/>
      <c r="D92" s="1266"/>
      <c r="E92" s="1266"/>
      <c r="F92" s="1266"/>
      <c r="G92" s="1266"/>
      <c r="H92" s="1266"/>
      <c r="I92" s="1266"/>
      <c r="J92" s="1266"/>
      <c r="K92" s="1266"/>
      <c r="L92" s="1266"/>
      <c r="M92" s="1266"/>
      <c r="N92" s="1266"/>
      <c r="O92" s="1266"/>
    </row>
    <row r="93" spans="1:26" ht="18.600000000000001">
      <c r="A93" s="1267" t="s">
        <v>158</v>
      </c>
      <c r="C93" s="1266"/>
      <c r="D93" s="1266"/>
      <c r="E93" s="1266"/>
      <c r="F93" s="1266"/>
      <c r="G93" s="1266"/>
      <c r="H93" s="1266"/>
      <c r="I93" s="1266"/>
      <c r="J93" s="1266"/>
      <c r="K93" s="1266"/>
      <c r="L93" s="1266"/>
      <c r="M93" s="1266"/>
      <c r="N93" s="1266"/>
      <c r="O93" s="1266"/>
      <c r="P93" s="1266"/>
      <c r="Q93" s="1266"/>
      <c r="R93" s="1266"/>
      <c r="S93" s="1266"/>
      <c r="T93" s="1266"/>
      <c r="U93" s="1377">
        <v>15</v>
      </c>
      <c r="V93" s="1378"/>
    </row>
    <row r="94" spans="1:26">
      <c r="A94" s="1339" t="s">
        <v>159</v>
      </c>
      <c r="C94" s="1294"/>
      <c r="D94" s="1294"/>
      <c r="E94" s="1294"/>
      <c r="F94" s="1294"/>
      <c r="G94" s="1294"/>
      <c r="H94" s="1294"/>
      <c r="I94" s="1294"/>
      <c r="J94" s="1294"/>
      <c r="K94" s="1294"/>
      <c r="L94" s="1294"/>
      <c r="M94" s="1294"/>
      <c r="N94" s="1294"/>
      <c r="O94" s="1294"/>
      <c r="P94" s="1294"/>
      <c r="Q94" s="1294"/>
      <c r="R94" s="1294"/>
      <c r="S94" s="1294"/>
      <c r="T94" s="1294"/>
      <c r="U94" s="1294">
        <f>+U93*V67</f>
        <v>6339100.1099009141</v>
      </c>
      <c r="V94" s="1294"/>
    </row>
    <row r="95" spans="1:26">
      <c r="A95" s="1339" t="s">
        <v>160</v>
      </c>
      <c r="C95" s="1294"/>
      <c r="D95" s="1294"/>
      <c r="E95" s="1294"/>
      <c r="F95" s="1294"/>
      <c r="G95" s="1294"/>
      <c r="H95" s="1294"/>
      <c r="I95" s="1294"/>
      <c r="J95" s="1294"/>
      <c r="K95" s="1294">
        <f>-$D$100+K81</f>
        <v>-3215201.6</v>
      </c>
      <c r="L95" s="1294">
        <f t="shared" ref="L95:U95" si="200">+L78+L94</f>
        <v>119347.75403436349</v>
      </c>
      <c r="M95" s="1294">
        <f t="shared" si="200"/>
        <v>104925.09234882488</v>
      </c>
      <c r="N95" s="1294">
        <f t="shared" si="200"/>
        <v>129652.99113482509</v>
      </c>
      <c r="O95" s="1294">
        <f t="shared" si="200"/>
        <v>158707.79264595619</v>
      </c>
      <c r="P95" s="1294">
        <f t="shared" si="200"/>
        <v>191493.67319582138</v>
      </c>
      <c r="Q95" s="1294">
        <f t="shared" si="200"/>
        <v>223984.62782083315</v>
      </c>
      <c r="R95" s="1294">
        <f t="shared" si="200"/>
        <v>260531.16259074182</v>
      </c>
      <c r="S95" s="1294">
        <f t="shared" si="200"/>
        <v>295537.0208449855</v>
      </c>
      <c r="T95" s="1294">
        <f t="shared" si="200"/>
        <v>334290.61395295104</v>
      </c>
      <c r="U95" s="1294">
        <f t="shared" si="200"/>
        <v>6715945.4475768525</v>
      </c>
      <c r="V95" s="1294"/>
    </row>
    <row r="96" spans="1:26">
      <c r="A96" s="1379" t="s">
        <v>161</v>
      </c>
      <c r="B96" s="1380"/>
      <c r="C96" s="1381"/>
      <c r="D96" s="1381"/>
      <c r="E96" s="1381"/>
      <c r="F96" s="1381"/>
      <c r="G96" s="1381"/>
      <c r="H96" s="1381"/>
      <c r="I96" s="1381"/>
      <c r="J96" s="1381"/>
      <c r="K96" s="1382">
        <f>XIRR(K95:U95,K3:U3)</f>
        <v>0.1064429342746735</v>
      </c>
      <c r="L96" s="1383"/>
      <c r="M96" s="1384"/>
      <c r="N96" s="1384"/>
      <c r="O96" s="1384"/>
      <c r="P96" s="1384"/>
      <c r="Q96" s="1384"/>
      <c r="R96" s="1384"/>
      <c r="S96" s="1384"/>
      <c r="T96" s="1384"/>
      <c r="U96" s="1384"/>
      <c r="V96" s="1384"/>
    </row>
    <row r="98" spans="1:25">
      <c r="A98" s="1385" t="s">
        <v>162</v>
      </c>
      <c r="B98" s="1386"/>
      <c r="C98" s="1387"/>
      <c r="D98" s="1387"/>
      <c r="E98" s="1388"/>
      <c r="F98" s="1266"/>
      <c r="I98" s="1266"/>
      <c r="J98" s="1266"/>
      <c r="K98" s="1266"/>
    </row>
    <row r="99" spans="1:25">
      <c r="D99" s="1389" t="s">
        <v>163</v>
      </c>
      <c r="E99" s="1389" t="s">
        <v>164</v>
      </c>
      <c r="F99" s="1266"/>
      <c r="I99" s="1266"/>
      <c r="J99" s="1266"/>
      <c r="K99" s="1266"/>
    </row>
    <row r="100" spans="1:25">
      <c r="A100" s="1267" t="s">
        <v>165</v>
      </c>
      <c r="D100" s="1390">
        <f>+E100*E103</f>
        <v>3215201.6</v>
      </c>
      <c r="E100" s="1430">
        <f>_xll.SNL.Clients.Office.Excel.Functions.SPG($A$1, "SP_PRICE_CLOSE",$V$1)</f>
        <v>430.3</v>
      </c>
      <c r="F100" s="1266"/>
      <c r="I100" s="1266"/>
      <c r="J100" s="1266"/>
      <c r="K100" s="1266"/>
    </row>
    <row r="101" spans="1:25" ht="18.600000000000001">
      <c r="A101" s="1267" t="s">
        <v>146</v>
      </c>
      <c r="D101" s="1391">
        <f>+'Historical Financials'!AM136</f>
        <v>18729</v>
      </c>
      <c r="E101" s="1392">
        <f>+D101/E103</f>
        <v>2.5065578158458246</v>
      </c>
      <c r="F101" s="1275"/>
      <c r="I101" s="1266"/>
      <c r="J101" s="1266"/>
      <c r="K101" s="1266"/>
    </row>
    <row r="102" spans="1:25">
      <c r="A102" s="1393" t="s">
        <v>166</v>
      </c>
      <c r="B102" s="1300"/>
      <c r="D102" s="1390">
        <f>+D101+D100</f>
        <v>3233930.6</v>
      </c>
      <c r="E102" s="1394">
        <f>+D102/E103</f>
        <v>432.80655781584585</v>
      </c>
      <c r="F102" s="1266"/>
      <c r="I102" s="1266"/>
      <c r="J102" s="1266"/>
      <c r="K102" s="1266"/>
    </row>
    <row r="103" spans="1:25">
      <c r="A103" s="1295" t="s">
        <v>167</v>
      </c>
      <c r="D103" s="1266"/>
      <c r="E103" s="1395">
        <f>+'Historical Financials'!AM72</f>
        <v>7472</v>
      </c>
      <c r="F103" s="1266"/>
      <c r="I103" s="1266"/>
      <c r="J103" s="1266"/>
      <c r="K103" s="1266"/>
    </row>
    <row r="105" spans="1:25">
      <c r="A105" s="1282" t="s">
        <v>168</v>
      </c>
      <c r="B105" s="1283"/>
    </row>
    <row r="107" spans="1:25">
      <c r="A107" s="1396" t="s">
        <v>169</v>
      </c>
      <c r="Y107" s="1267" t="s">
        <v>170</v>
      </c>
    </row>
    <row r="108" spans="1:25">
      <c r="A108" s="1267" t="s">
        <v>171</v>
      </c>
      <c r="B108" s="1344"/>
      <c r="C108" s="1344">
        <f>+'Historical Financials'!BH937</f>
        <v>-26030</v>
      </c>
      <c r="D108" s="1344">
        <f>+'Historical Financials'!BI937</f>
        <v>-16475</v>
      </c>
      <c r="E108" s="1344">
        <f>+'Historical Financials'!BJ937</f>
        <v>-16506</v>
      </c>
      <c r="F108" s="1344">
        <f>+'Historical Financials'!BK937</f>
        <v>-21043</v>
      </c>
      <c r="G108" s="1344">
        <f>+'Historical Financials'!BL937</f>
        <v>-24339</v>
      </c>
      <c r="H108" s="1344">
        <f>+'Historical Financials'!BM937</f>
        <v>-23339</v>
      </c>
      <c r="I108" s="1344">
        <f>+'Historical Financials'!BN937</f>
        <v>-21755</v>
      </c>
      <c r="J108" s="1344">
        <f>+'Historical Financials'!BO937</f>
        <v>-27136</v>
      </c>
      <c r="K108" s="1344">
        <f>+K109*K8</f>
        <v>-36294.868986490568</v>
      </c>
      <c r="L108" s="1344">
        <f t="shared" ref="L108:V108" si="201">+L109*L8</f>
        <v>-41013.201954734344</v>
      </c>
      <c r="M108" s="1344">
        <f t="shared" si="201"/>
        <v>-46344.918208849806</v>
      </c>
      <c r="N108" s="1344">
        <f t="shared" si="201"/>
        <v>-52369.757576000273</v>
      </c>
      <c r="O108" s="1344">
        <f t="shared" si="201"/>
        <v>-59177.826060880303</v>
      </c>
      <c r="P108" s="1344">
        <f t="shared" si="201"/>
        <v>-66870.943448794729</v>
      </c>
      <c r="Q108" s="1344">
        <f t="shared" si="201"/>
        <v>-75564.166097138048</v>
      </c>
      <c r="R108" s="1344">
        <f t="shared" si="201"/>
        <v>-85387.507689765989</v>
      </c>
      <c r="S108" s="1344">
        <f t="shared" si="201"/>
        <v>-96487.883689435548</v>
      </c>
      <c r="T108" s="1344">
        <f t="shared" si="201"/>
        <v>-109031.30856906217</v>
      </c>
      <c r="U108" s="1344">
        <f t="shared" si="201"/>
        <v>-123205.37868304024</v>
      </c>
      <c r="V108" s="1344">
        <f t="shared" si="201"/>
        <v>-139222.07791183545</v>
      </c>
    </row>
    <row r="109" spans="1:25" s="1277" customFormat="1">
      <c r="A109" s="1295" t="s">
        <v>172</v>
      </c>
      <c r="B109" s="1296"/>
      <c r="C109" s="1296">
        <f t="shared" ref="C109:I109" si="202">+C108/C8</f>
        <v>-0.269542616313386</v>
      </c>
      <c r="D109" s="1296">
        <f t="shared" si="202"/>
        <v>-0.14928416092787242</v>
      </c>
      <c r="E109" s="1296">
        <f t="shared" si="202"/>
        <v>-0.13116343380243636</v>
      </c>
      <c r="F109" s="1296">
        <f t="shared" si="202"/>
        <v>-0.14713841205467959</v>
      </c>
      <c r="G109" s="1296">
        <f t="shared" si="202"/>
        <v>-0.14479915282471087</v>
      </c>
      <c r="H109" s="1296">
        <f t="shared" si="202"/>
        <v>-0.11771321934735461</v>
      </c>
      <c r="I109" s="1296">
        <f t="shared" si="202"/>
        <v>-0.10265908501049949</v>
      </c>
      <c r="J109" s="1296">
        <f>+J108/J8</f>
        <v>-0.11070405757133182</v>
      </c>
      <c r="K109" s="1299">
        <f>+AVERAGE(D109:J109)</f>
        <v>-0.12906593164841215</v>
      </c>
      <c r="L109" s="1299">
        <f>+K109</f>
        <v>-0.12906593164841215</v>
      </c>
      <c r="M109" s="1299">
        <f t="shared" ref="M109:V109" si="203">+L109</f>
        <v>-0.12906593164841215</v>
      </c>
      <c r="N109" s="1299">
        <f t="shared" si="203"/>
        <v>-0.12906593164841215</v>
      </c>
      <c r="O109" s="1299">
        <f t="shared" si="203"/>
        <v>-0.12906593164841215</v>
      </c>
      <c r="P109" s="1299">
        <f t="shared" si="203"/>
        <v>-0.12906593164841215</v>
      </c>
      <c r="Q109" s="1299">
        <f t="shared" si="203"/>
        <v>-0.12906593164841215</v>
      </c>
      <c r="R109" s="1299">
        <f t="shared" si="203"/>
        <v>-0.12906593164841215</v>
      </c>
      <c r="S109" s="1299">
        <f t="shared" si="203"/>
        <v>-0.12906593164841215</v>
      </c>
      <c r="T109" s="1299">
        <f t="shared" si="203"/>
        <v>-0.12906593164841215</v>
      </c>
      <c r="U109" s="1299">
        <f t="shared" si="203"/>
        <v>-0.12906593164841215</v>
      </c>
      <c r="V109" s="1299">
        <f t="shared" si="203"/>
        <v>-0.12906593164841215</v>
      </c>
      <c r="Y109" s="1277" t="s">
        <v>173</v>
      </c>
    </row>
    <row r="110" spans="1:25">
      <c r="Y110" s="1267" t="str">
        <f>+'D&amp;A forecast - Case 1'!AI8</f>
        <v>50%, then more, then ramp down in long lived and more short lived to drive more D&amp;A</v>
      </c>
    </row>
    <row r="111" spans="1:25">
      <c r="A111" s="1301" t="s">
        <v>174</v>
      </c>
      <c r="J111" s="1344"/>
    </row>
    <row r="112" spans="1:25">
      <c r="A112" s="1397" t="s">
        <v>175</v>
      </c>
      <c r="B112" s="1344"/>
      <c r="C112" s="1344">
        <f>+'Historical Financials'!BH895</f>
        <v>10106</v>
      </c>
      <c r="D112" s="1344">
        <f>+'Historical Financials'!BI895</f>
        <v>8053</v>
      </c>
      <c r="E112" s="1344">
        <f>+'Historical Financials'!BJ895</f>
        <v>7750</v>
      </c>
      <c r="F112" s="1344">
        <f>+'Historical Financials'!BK895</f>
        <v>7038</v>
      </c>
      <c r="G112" s="1344">
        <f>+'Historical Financials'!BL895</f>
        <v>7800</v>
      </c>
      <c r="H112" s="1344">
        <f>+'Historical Financials'!BM895</f>
        <v>11298</v>
      </c>
      <c r="I112" s="1344">
        <f>+'Historical Financials'!BN895</f>
        <v>9366</v>
      </c>
      <c r="J112" s="1344">
        <f>+'Historical Financials'!BO895-J117</f>
        <v>5628</v>
      </c>
      <c r="K112" s="1346"/>
    </row>
    <row r="113" spans="1:22">
      <c r="A113" s="1397" t="s">
        <v>176</v>
      </c>
      <c r="B113" s="1344"/>
      <c r="C113" s="1344">
        <f>+'Historical Financials'!BH890</f>
        <v>6555</v>
      </c>
      <c r="D113" s="1344">
        <f>+'Historical Financials'!BI890</f>
        <v>6686</v>
      </c>
      <c r="E113" s="1344">
        <f>+'Historical Financials'!BJ890</f>
        <v>7379</v>
      </c>
      <c r="F113" s="1344">
        <f>+'Historical Financials'!BK890</f>
        <v>8753</v>
      </c>
      <c r="G113" s="1344">
        <f>+'Historical Financials'!BL890</f>
        <v>11088</v>
      </c>
      <c r="H113" s="1344">
        <f>+'Historical Financials'!BM890</f>
        <v>13148</v>
      </c>
      <c r="I113" s="1344">
        <f>+'Historical Financials'!BN890</f>
        <v>14346</v>
      </c>
      <c r="J113" s="1344">
        <f>+'Historical Financials'!BO890</f>
        <v>18961</v>
      </c>
    </row>
    <row r="114" spans="1:22" s="1301" customFormat="1">
      <c r="A114" s="1397" t="s">
        <v>177</v>
      </c>
      <c r="B114" s="1398"/>
      <c r="C114" s="1398">
        <f>+'Historical Financials'!BH896</f>
        <v>6250</v>
      </c>
      <c r="D114" s="1398">
        <f>+'Historical Financials'!BI896</f>
        <v>7442</v>
      </c>
      <c r="E114" s="1398">
        <f>+'Historical Financials'!BJ896</f>
        <v>14723</v>
      </c>
      <c r="F114" s="1398">
        <f>+'Historical Financials'!BK896</f>
        <v>13138</v>
      </c>
      <c r="G114" s="1398">
        <f>+'Historical Financials'!BL896</f>
        <v>15075</v>
      </c>
      <c r="H114" s="1398">
        <f>+'Historical Financials'!BM896</f>
        <v>21897</v>
      </c>
      <c r="I114" s="1398">
        <f>+'Historical Financials'!BN896</f>
        <v>30601</v>
      </c>
      <c r="J114" s="1398">
        <f>+'Historical Financials'!BO896</f>
        <v>36460</v>
      </c>
    </row>
    <row r="115" spans="1:22">
      <c r="A115" s="1397" t="s">
        <v>178</v>
      </c>
      <c r="B115" s="1344"/>
      <c r="C115" s="1344">
        <f t="shared" ref="C115:J115" si="204">+SUM(C112:C114)</f>
        <v>22911</v>
      </c>
      <c r="D115" s="1344">
        <f t="shared" si="204"/>
        <v>22181</v>
      </c>
      <c r="E115" s="1344">
        <f t="shared" si="204"/>
        <v>29852</v>
      </c>
      <c r="F115" s="1344">
        <f t="shared" si="204"/>
        <v>28929</v>
      </c>
      <c r="G115" s="1344">
        <f t="shared" si="204"/>
        <v>33963</v>
      </c>
      <c r="H115" s="1344">
        <f t="shared" si="204"/>
        <v>46343</v>
      </c>
      <c r="I115" s="1344">
        <f t="shared" si="204"/>
        <v>54313</v>
      </c>
      <c r="J115" s="1344">
        <f t="shared" si="204"/>
        <v>61049</v>
      </c>
      <c r="K115" s="1344">
        <f>+K120*K8</f>
        <v>70037.377428128981</v>
      </c>
      <c r="L115" s="1344">
        <f t="shared" ref="L115:V115" si="205">+L120*L8</f>
        <v>79142.236493785749</v>
      </c>
      <c r="M115" s="1344">
        <f t="shared" si="205"/>
        <v>89430.727237977888</v>
      </c>
      <c r="N115" s="1344">
        <f t="shared" si="205"/>
        <v>101056.721778915</v>
      </c>
      <c r="O115" s="1344">
        <f t="shared" si="205"/>
        <v>114194.09561017394</v>
      </c>
      <c r="P115" s="1344">
        <f t="shared" si="205"/>
        <v>129039.32803949654</v>
      </c>
      <c r="Q115" s="1344">
        <f t="shared" si="205"/>
        <v>145814.44068463106</v>
      </c>
      <c r="R115" s="1344">
        <f t="shared" si="205"/>
        <v>164770.31797363312</v>
      </c>
      <c r="S115" s="1344">
        <f t="shared" si="205"/>
        <v>186190.45931020539</v>
      </c>
      <c r="T115" s="1344">
        <f t="shared" si="205"/>
        <v>210395.21902053207</v>
      </c>
      <c r="U115" s="1344">
        <f t="shared" si="205"/>
        <v>237746.59749320123</v>
      </c>
      <c r="V115" s="1344">
        <f t="shared" si="205"/>
        <v>268653.65516731737</v>
      </c>
    </row>
    <row r="116" spans="1:22">
      <c r="A116" s="1397" t="s">
        <v>179</v>
      </c>
      <c r="B116" s="1344"/>
      <c r="C116" s="1344">
        <f>+'Historical Financials'!BH894</f>
        <v>35122</v>
      </c>
      <c r="D116" s="1344">
        <f>+'Historical Financials'!BI894</f>
        <v>35683</v>
      </c>
      <c r="E116" s="1344">
        <f>+'Historical Financials'!BJ894</f>
        <v>42026</v>
      </c>
      <c r="F116" s="1344">
        <f>+'Historical Financials'!BK894</f>
        <v>43351</v>
      </c>
      <c r="G116" s="1344">
        <f>+'Historical Financials'!BL894</f>
        <v>49711</v>
      </c>
      <c r="H116" s="1344">
        <f>+'Historical Financials'!BM894</f>
        <v>67524</v>
      </c>
      <c r="I116" s="1344">
        <f>+'Historical Financials'!BN894</f>
        <v>67886</v>
      </c>
      <c r="J116" s="1344">
        <f>+'Historical Financials'!BO894</f>
        <v>119220</v>
      </c>
      <c r="K116" s="1399">
        <f>MAX(J116-$J$116/15,0)</f>
        <v>111272</v>
      </c>
      <c r="L116" s="1399">
        <f t="shared" ref="L116:V116" si="206">MAX(K116-$J$116/15,0)</f>
        <v>103324</v>
      </c>
      <c r="M116" s="1399">
        <f t="shared" si="206"/>
        <v>95376</v>
      </c>
      <c r="N116" s="1399">
        <f t="shared" si="206"/>
        <v>87428</v>
      </c>
      <c r="O116" s="1399">
        <f t="shared" si="206"/>
        <v>79480</v>
      </c>
      <c r="P116" s="1399">
        <f t="shared" si="206"/>
        <v>71532</v>
      </c>
      <c r="Q116" s="1399">
        <f t="shared" si="206"/>
        <v>63584</v>
      </c>
      <c r="R116" s="1399">
        <f t="shared" si="206"/>
        <v>55636</v>
      </c>
      <c r="S116" s="1399">
        <f t="shared" si="206"/>
        <v>47688</v>
      </c>
      <c r="T116" s="1399">
        <f t="shared" si="206"/>
        <v>39740</v>
      </c>
      <c r="U116" s="1399">
        <f t="shared" si="206"/>
        <v>31792</v>
      </c>
      <c r="V116" s="1399">
        <f t="shared" si="206"/>
        <v>23844</v>
      </c>
    </row>
    <row r="117" spans="1:22">
      <c r="A117" s="1397" t="s">
        <v>180</v>
      </c>
      <c r="B117" s="1344"/>
      <c r="C117" s="1344">
        <v>0</v>
      </c>
      <c r="D117" s="1344">
        <v>0</v>
      </c>
      <c r="E117" s="1344">
        <v>0</v>
      </c>
      <c r="F117" s="1344">
        <v>0</v>
      </c>
      <c r="G117" s="1344">
        <v>0</v>
      </c>
      <c r="H117" s="1344">
        <v>0</v>
      </c>
      <c r="I117" s="1344">
        <v>0</v>
      </c>
      <c r="J117" s="1318">
        <v>21969</v>
      </c>
      <c r="K117" s="1399">
        <f>MAX(J117-$J$117/15,0)</f>
        <v>20504.400000000001</v>
      </c>
      <c r="L117" s="1399">
        <f t="shared" ref="L117:V117" si="207">MAX(K117-$J$117/15,0)</f>
        <v>19039.800000000003</v>
      </c>
      <c r="M117" s="1399">
        <f t="shared" si="207"/>
        <v>17575.200000000004</v>
      </c>
      <c r="N117" s="1399">
        <f t="shared" si="207"/>
        <v>16110.600000000004</v>
      </c>
      <c r="O117" s="1399">
        <f t="shared" si="207"/>
        <v>14646.000000000004</v>
      </c>
      <c r="P117" s="1399">
        <f t="shared" si="207"/>
        <v>13181.400000000003</v>
      </c>
      <c r="Q117" s="1399">
        <f t="shared" si="207"/>
        <v>11716.800000000003</v>
      </c>
      <c r="R117" s="1399">
        <f t="shared" si="207"/>
        <v>10252.200000000003</v>
      </c>
      <c r="S117" s="1399">
        <f t="shared" si="207"/>
        <v>8787.6000000000022</v>
      </c>
      <c r="T117" s="1399">
        <f t="shared" si="207"/>
        <v>7323.0000000000018</v>
      </c>
      <c r="U117" s="1399">
        <f t="shared" si="207"/>
        <v>5858.4000000000015</v>
      </c>
      <c r="V117" s="1399">
        <f t="shared" si="207"/>
        <v>4393.8000000000011</v>
      </c>
    </row>
    <row r="118" spans="1:22" s="1301" customFormat="1">
      <c r="A118" s="1397" t="s">
        <v>181</v>
      </c>
      <c r="B118" s="1398"/>
      <c r="C118" s="1398">
        <f>+'Historical Financials'!BH891</f>
        <v>23734</v>
      </c>
      <c r="D118" s="1398">
        <f>+'Historical Financials'!BI891</f>
        <v>29460</v>
      </c>
      <c r="E118" s="1398">
        <f>+'Historical Financials'!BJ891</f>
        <v>36477</v>
      </c>
      <c r="F118" s="1398">
        <f>+'Historical Financials'!BK891</f>
        <v>44151</v>
      </c>
      <c r="G118" s="1398">
        <f>+'Historical Financials'!BL891</f>
        <v>59715</v>
      </c>
      <c r="H118" s="1398">
        <f>+'Historical Financials'!BM891</f>
        <v>74398</v>
      </c>
      <c r="I118" s="1398">
        <f>+'Historical Financials'!BN891</f>
        <v>95641</v>
      </c>
      <c r="J118" s="1398">
        <f>+'Historical Financials'!BO891</f>
        <v>135591</v>
      </c>
      <c r="K118" s="1400">
        <f>+'D&amp;A forecast - Case 1'!V199</f>
        <v>202051.41084929931</v>
      </c>
      <c r="L118" s="1400">
        <f>+'D&amp;A forecast - Case 1'!W199</f>
        <v>254823.40455621443</v>
      </c>
      <c r="M118" s="1400">
        <f>+'D&amp;A forecast - Case 1'!X199</f>
        <v>306264.45612728066</v>
      </c>
      <c r="N118" s="1400">
        <f>+'D&amp;A forecast - Case 1'!Y199</f>
        <v>355632.68530796573</v>
      </c>
      <c r="O118" s="1400">
        <f>+'D&amp;A forecast - Case 1'!Z199</f>
        <v>402424.00689668069</v>
      </c>
      <c r="P118" s="1400">
        <f>+'D&amp;A forecast - Case 1'!AA199</f>
        <v>446348.23711766332</v>
      </c>
      <c r="Q118" s="1400">
        <f>+'D&amp;A forecast - Case 1'!AB199</f>
        <v>491461.10644011083</v>
      </c>
      <c r="R118" s="1400">
        <f>+'D&amp;A forecast - Case 1'!AC199</f>
        <v>537964.89592531649</v>
      </c>
      <c r="S118" s="1400">
        <f>+'D&amp;A forecast - Case 1'!AD199</f>
        <v>592128.35007237922</v>
      </c>
      <c r="T118" s="1400">
        <f>+'D&amp;A forecast - Case 1'!AE199</f>
        <v>655600.82367108052</v>
      </c>
      <c r="U118" s="1400">
        <f>+'D&amp;A forecast - Case 1'!AF199</f>
        <v>730612.57536230213</v>
      </c>
      <c r="V118" s="1400">
        <f>+'D&amp;A forecast - Case 1'!AG199</f>
        <v>819706.85134411778</v>
      </c>
    </row>
    <row r="119" spans="1:22">
      <c r="A119" s="1339" t="s">
        <v>182</v>
      </c>
      <c r="B119" s="1344"/>
      <c r="C119" s="1344">
        <f>+SUM(C115:C118)</f>
        <v>81767</v>
      </c>
      <c r="D119" s="1344">
        <f t="shared" ref="D119:K119" si="208">+SUM(D115:D118)</f>
        <v>87324</v>
      </c>
      <c r="E119" s="1344">
        <f t="shared" si="208"/>
        <v>108355</v>
      </c>
      <c r="F119" s="1344">
        <f t="shared" si="208"/>
        <v>116431</v>
      </c>
      <c r="G119" s="1344">
        <f t="shared" si="208"/>
        <v>143389</v>
      </c>
      <c r="H119" s="1344">
        <f t="shared" si="208"/>
        <v>188265</v>
      </c>
      <c r="I119" s="1344">
        <f t="shared" si="208"/>
        <v>217840</v>
      </c>
      <c r="J119" s="1344">
        <f t="shared" si="208"/>
        <v>337829</v>
      </c>
      <c r="K119" s="1344">
        <f t="shared" si="208"/>
        <v>403865.18827742827</v>
      </c>
      <c r="L119" s="1344">
        <f t="shared" ref="L119" si="209">+SUM(L115:L118)</f>
        <v>456329.44105000014</v>
      </c>
      <c r="M119" s="1344">
        <f t="shared" ref="M119" si="210">+SUM(M115:M118)</f>
        <v>508646.38336525857</v>
      </c>
      <c r="N119" s="1344">
        <f t="shared" ref="N119" si="211">+SUM(N115:N118)</f>
        <v>560228.00708688074</v>
      </c>
      <c r="O119" s="1344">
        <f t="shared" ref="O119" si="212">+SUM(O115:O118)</f>
        <v>610744.10250685457</v>
      </c>
      <c r="P119" s="1344">
        <f t="shared" ref="P119" si="213">+SUM(P115:P118)</f>
        <v>660100.96515715984</v>
      </c>
      <c r="Q119" s="1344">
        <f t="shared" ref="Q119" si="214">+SUM(Q115:Q118)</f>
        <v>712576.34712474188</v>
      </c>
      <c r="R119" s="1344">
        <f t="shared" ref="R119" si="215">+SUM(R115:R118)</f>
        <v>768623.41389894963</v>
      </c>
      <c r="S119" s="1344">
        <f t="shared" ref="S119" si="216">+SUM(S115:S118)</f>
        <v>834794.40938258462</v>
      </c>
      <c r="T119" s="1344">
        <f t="shared" ref="T119" si="217">+SUM(T115:T118)</f>
        <v>913059.04269161262</v>
      </c>
      <c r="U119" s="1344">
        <f t="shared" ref="U119" si="218">+SUM(U115:U118)</f>
        <v>1006009.5728555034</v>
      </c>
      <c r="V119" s="1344">
        <f t="shared" ref="V119" si="219">+SUM(V115:V118)</f>
        <v>1116598.3065114352</v>
      </c>
    </row>
    <row r="120" spans="1:22" s="1277" customFormat="1">
      <c r="A120" s="1331" t="s">
        <v>183</v>
      </c>
      <c r="B120" s="1296"/>
      <c r="C120" s="1296">
        <f t="shared" ref="C120:J120" si="220">+C115/C8</f>
        <v>0.23724513570326494</v>
      </c>
      <c r="D120" s="1296">
        <f t="shared" si="220"/>
        <v>0.20098767669445453</v>
      </c>
      <c r="E120" s="1296">
        <f t="shared" si="220"/>
        <v>0.23721621385377017</v>
      </c>
      <c r="F120" s="1296">
        <f t="shared" si="220"/>
        <v>0.20227948117330349</v>
      </c>
      <c r="G120" s="1296">
        <f t="shared" si="220"/>
        <v>0.20205487601732425</v>
      </c>
      <c r="H120" s="1296">
        <f t="shared" si="220"/>
        <v>0.23373682352347808</v>
      </c>
      <c r="I120" s="1296">
        <f t="shared" si="220"/>
        <v>0.2562961564778331</v>
      </c>
      <c r="J120" s="1296">
        <f t="shared" si="220"/>
        <v>0.24905557232724929</v>
      </c>
      <c r="K120" s="1299">
        <f>+J120</f>
        <v>0.24905557232724929</v>
      </c>
      <c r="L120" s="1299">
        <f t="shared" ref="L120:V120" si="221">+K120</f>
        <v>0.24905557232724929</v>
      </c>
      <c r="M120" s="1299">
        <f t="shared" si="221"/>
        <v>0.24905557232724929</v>
      </c>
      <c r="N120" s="1299">
        <f t="shared" si="221"/>
        <v>0.24905557232724929</v>
      </c>
      <c r="O120" s="1299">
        <f t="shared" si="221"/>
        <v>0.24905557232724929</v>
      </c>
      <c r="P120" s="1299">
        <f t="shared" si="221"/>
        <v>0.24905557232724929</v>
      </c>
      <c r="Q120" s="1299">
        <f t="shared" si="221"/>
        <v>0.24905557232724929</v>
      </c>
      <c r="R120" s="1299">
        <f t="shared" si="221"/>
        <v>0.24905557232724929</v>
      </c>
      <c r="S120" s="1299">
        <f t="shared" si="221"/>
        <v>0.24905557232724929</v>
      </c>
      <c r="T120" s="1299">
        <f t="shared" si="221"/>
        <v>0.24905557232724929</v>
      </c>
      <c r="U120" s="1299">
        <f t="shared" si="221"/>
        <v>0.24905557232724929</v>
      </c>
      <c r="V120" s="1299">
        <f t="shared" si="221"/>
        <v>0.24905557232724929</v>
      </c>
    </row>
    <row r="121" spans="1:22">
      <c r="A121" s="1324"/>
    </row>
    <row r="122" spans="1:22">
      <c r="A122" s="1324" t="s">
        <v>169</v>
      </c>
      <c r="B122" s="1346"/>
      <c r="C122" s="1346">
        <f t="shared" ref="C122:J122" si="222">+C119+C108</f>
        <v>55737</v>
      </c>
      <c r="D122" s="1346">
        <f t="shared" si="222"/>
        <v>70849</v>
      </c>
      <c r="E122" s="1346">
        <f t="shared" si="222"/>
        <v>91849</v>
      </c>
      <c r="F122" s="1346">
        <f t="shared" si="222"/>
        <v>95388</v>
      </c>
      <c r="G122" s="1346">
        <f t="shared" si="222"/>
        <v>119050</v>
      </c>
      <c r="H122" s="1346">
        <f t="shared" si="222"/>
        <v>164926</v>
      </c>
      <c r="I122" s="1346">
        <f t="shared" si="222"/>
        <v>196085</v>
      </c>
      <c r="J122" s="1346">
        <f t="shared" si="222"/>
        <v>310693</v>
      </c>
      <c r="K122" s="1346">
        <f t="shared" ref="K122:V122" si="223">+K119+K108</f>
        <v>367570.31929093768</v>
      </c>
      <c r="L122" s="1346">
        <f t="shared" si="223"/>
        <v>415316.2390952658</v>
      </c>
      <c r="M122" s="1346">
        <f t="shared" si="223"/>
        <v>462301.46515640878</v>
      </c>
      <c r="N122" s="1346">
        <f t="shared" si="223"/>
        <v>507858.24951088044</v>
      </c>
      <c r="O122" s="1346">
        <f t="shared" si="223"/>
        <v>551566.27644597425</v>
      </c>
      <c r="P122" s="1346">
        <f t="shared" si="223"/>
        <v>593230.02170836506</v>
      </c>
      <c r="Q122" s="1346">
        <f t="shared" si="223"/>
        <v>637012.1810276038</v>
      </c>
      <c r="R122" s="1346">
        <f t="shared" si="223"/>
        <v>683235.90620918362</v>
      </c>
      <c r="S122" s="1346">
        <f t="shared" si="223"/>
        <v>738306.52569314907</v>
      </c>
      <c r="T122" s="1346">
        <f t="shared" si="223"/>
        <v>804027.73412255046</v>
      </c>
      <c r="U122" s="1346">
        <f t="shared" si="223"/>
        <v>882804.19417246315</v>
      </c>
      <c r="V122" s="1346">
        <f t="shared" si="223"/>
        <v>977376.2285995998</v>
      </c>
    </row>
    <row r="123" spans="1:22" s="1300" customFormat="1">
      <c r="A123" s="1393" t="s">
        <v>184</v>
      </c>
      <c r="C123" s="1401">
        <f>+'Historical Financials'!BH940</f>
        <v>33088.5</v>
      </c>
      <c r="D123" s="1401">
        <f>+'Historical Financials'!BI940</f>
        <v>63293</v>
      </c>
      <c r="E123" s="1401">
        <f t="shared" ref="E123:I123" si="224">AVERAGE(D122:E122)</f>
        <v>81349</v>
      </c>
      <c r="F123" s="1401">
        <f t="shared" si="224"/>
        <v>93618.5</v>
      </c>
      <c r="G123" s="1401">
        <f t="shared" si="224"/>
        <v>107219</v>
      </c>
      <c r="H123" s="1401">
        <f t="shared" si="224"/>
        <v>141988</v>
      </c>
      <c r="I123" s="1401">
        <f t="shared" si="224"/>
        <v>180505.5</v>
      </c>
      <c r="J123" s="1401">
        <f>AVERAGE(I122:J122)</f>
        <v>253389</v>
      </c>
      <c r="K123" s="1401">
        <f t="shared" ref="K123:V123" si="225">AVERAGE(J122:K122)</f>
        <v>339131.65964546881</v>
      </c>
      <c r="L123" s="1401">
        <f t="shared" si="225"/>
        <v>391443.27919310174</v>
      </c>
      <c r="M123" s="1401">
        <f t="shared" si="225"/>
        <v>438808.85212583729</v>
      </c>
      <c r="N123" s="1401">
        <f t="shared" si="225"/>
        <v>485079.85733364464</v>
      </c>
      <c r="O123" s="1401">
        <f t="shared" si="225"/>
        <v>529712.26297842734</v>
      </c>
      <c r="P123" s="1401">
        <f t="shared" si="225"/>
        <v>572398.1490771696</v>
      </c>
      <c r="Q123" s="1401">
        <f t="shared" si="225"/>
        <v>615121.10136798443</v>
      </c>
      <c r="R123" s="1401">
        <f t="shared" si="225"/>
        <v>660124.04361839371</v>
      </c>
      <c r="S123" s="1401">
        <f t="shared" si="225"/>
        <v>710771.21595116635</v>
      </c>
      <c r="T123" s="1401">
        <f t="shared" si="225"/>
        <v>771167.12990784971</v>
      </c>
      <c r="U123" s="1401">
        <f t="shared" si="225"/>
        <v>843415.96414750675</v>
      </c>
      <c r="V123" s="1401">
        <f t="shared" si="225"/>
        <v>930090.21138603147</v>
      </c>
    </row>
    <row r="124" spans="1:22">
      <c r="A124" s="1339"/>
      <c r="C124" s="1346"/>
      <c r="D124" s="1346"/>
      <c r="E124" s="1346"/>
      <c r="F124" s="1346"/>
      <c r="G124" s="1346"/>
      <c r="H124" s="1346"/>
      <c r="I124" s="1346"/>
      <c r="J124" s="1346"/>
      <c r="K124" s="1346"/>
      <c r="L124" s="1346"/>
      <c r="M124" s="1346"/>
      <c r="N124" s="1346"/>
      <c r="O124" s="1346"/>
      <c r="P124" s="1346"/>
      <c r="Q124" s="1346"/>
      <c r="R124" s="1346"/>
      <c r="S124" s="1346"/>
      <c r="T124" s="1346"/>
      <c r="U124" s="1346"/>
      <c r="V124" s="1346"/>
    </row>
    <row r="125" spans="1:22">
      <c r="A125" s="1324" t="s">
        <v>185</v>
      </c>
      <c r="C125" s="1346">
        <f t="shared" ref="C125:J125" si="226">+C13</f>
        <v>29331</v>
      </c>
      <c r="D125" s="1346">
        <f t="shared" si="226"/>
        <v>35058</v>
      </c>
      <c r="E125" s="1346">
        <f t="shared" si="226"/>
        <v>42959</v>
      </c>
      <c r="F125" s="1346">
        <f t="shared" si="226"/>
        <v>52959</v>
      </c>
      <c r="G125" s="1346">
        <f t="shared" si="226"/>
        <v>69916</v>
      </c>
      <c r="H125" s="1346">
        <f t="shared" si="226"/>
        <v>83383</v>
      </c>
      <c r="I125" s="1346">
        <f t="shared" si="226"/>
        <v>89694</v>
      </c>
      <c r="J125" s="1346">
        <f t="shared" si="226"/>
        <v>112443</v>
      </c>
      <c r="K125" s="1346">
        <f t="shared" ref="K125:V125" si="227">+K13</f>
        <v>133290.34849037323</v>
      </c>
      <c r="L125" s="1346">
        <f t="shared" si="227"/>
        <v>154493.72173247894</v>
      </c>
      <c r="M125" s="1346">
        <f t="shared" si="227"/>
        <v>178453.5334960584</v>
      </c>
      <c r="N125" s="1346">
        <f t="shared" si="227"/>
        <v>205528.12078890318</v>
      </c>
      <c r="O125" s="1346">
        <f t="shared" si="227"/>
        <v>236122.40442981778</v>
      </c>
      <c r="P125" s="1346">
        <f t="shared" si="227"/>
        <v>270693.94494405127</v>
      </c>
      <c r="Q125" s="1346">
        <f t="shared" si="227"/>
        <v>309759.78572513512</v>
      </c>
      <c r="R125" s="1346">
        <f t="shared" si="227"/>
        <v>353904.18580775987</v>
      </c>
      <c r="S125" s="1346">
        <f t="shared" si="227"/>
        <v>403787.3579011258</v>
      </c>
      <c r="T125" s="1346">
        <f t="shared" si="227"/>
        <v>460155.34236662934</v>
      </c>
      <c r="U125" s="1346">
        <f t="shared" si="227"/>
        <v>523851.16481264832</v>
      </c>
      <c r="V125" s="1346">
        <f t="shared" si="227"/>
        <v>595827.44417664967</v>
      </c>
    </row>
    <row r="126" spans="1:22" s="1404" customFormat="1">
      <c r="A126" s="1402" t="s">
        <v>186</v>
      </c>
      <c r="B126" s="1403"/>
      <c r="C126" s="1403">
        <f>+C125/C123</f>
        <v>0.88644090847273227</v>
      </c>
      <c r="D126" s="1403">
        <f t="shared" ref="D126:J126" si="228">+D125/D123</f>
        <v>0.5539001153366091</v>
      </c>
      <c r="E126" s="1403">
        <f t="shared" si="228"/>
        <v>0.52808270538052093</v>
      </c>
      <c r="F126" s="1403">
        <f t="shared" si="228"/>
        <v>0.56568947376853929</v>
      </c>
      <c r="G126" s="1403">
        <f t="shared" si="228"/>
        <v>0.6520859176078867</v>
      </c>
      <c r="H126" s="1403">
        <f t="shared" si="228"/>
        <v>0.58725385243823425</v>
      </c>
      <c r="I126" s="1403">
        <f t="shared" si="228"/>
        <v>0.49690452645487254</v>
      </c>
      <c r="J126" s="1403">
        <f t="shared" si="228"/>
        <v>0.44375643773013035</v>
      </c>
      <c r="K126" s="1403">
        <f t="shared" ref="K126" si="229">+K125/K123</f>
        <v>0.39303422343321209</v>
      </c>
      <c r="L126" s="1403">
        <f t="shared" ref="L126" si="230">+L125/L123</f>
        <v>0.39467715999861652</v>
      </c>
      <c r="M126" s="1403">
        <f t="shared" ref="M126" si="231">+M125/M123</f>
        <v>0.40667715027062229</v>
      </c>
      <c r="N126" s="1403">
        <f t="shared" ref="N126" si="232">+N125/N123</f>
        <v>0.42369955726184294</v>
      </c>
      <c r="O126" s="1403">
        <f t="shared" ref="O126" si="233">+O125/O123</f>
        <v>0.44575597155739988</v>
      </c>
      <c r="P126" s="1403">
        <f t="shared" ref="P126" si="234">+P125/P123</f>
        <v>0.47291198509371285</v>
      </c>
      <c r="Q126" s="1403">
        <f t="shared" ref="Q126" si="235">+Q125/Q123</f>
        <v>0.50357528791688655</v>
      </c>
      <c r="R126" s="1403">
        <f t="shared" ref="R126" si="236">+R125/R123</f>
        <v>0.53611770276973236</v>
      </c>
      <c r="S126" s="1403">
        <f t="shared" ref="S126" si="237">+S125/S123</f>
        <v>0.56809750991501617</v>
      </c>
      <c r="T126" s="1403">
        <f t="shared" ref="T126" si="238">+T125/T123</f>
        <v>0.59669989101015675</v>
      </c>
      <c r="U126" s="1403">
        <f t="shared" ref="U126" si="239">+U125/U123</f>
        <v>0.62110653234093982</v>
      </c>
      <c r="V126" s="1403">
        <f t="shared" ref="V126" si="240">+V125/V123</f>
        <v>0.64061253078746039</v>
      </c>
    </row>
    <row r="127" spans="1:22">
      <c r="A127" s="1397"/>
    </row>
    <row r="128" spans="1:22">
      <c r="C128" s="1405"/>
      <c r="D128" s="1405"/>
      <c r="E128" s="1405"/>
      <c r="H128" s="1405"/>
      <c r="I128" s="1405"/>
      <c r="J128" s="1405"/>
      <c r="K128" s="1405">
        <f>K96</f>
        <v>0.1064429342746735</v>
      </c>
    </row>
    <row r="131" spans="1:29">
      <c r="A131" s="1267" t="s">
        <v>187</v>
      </c>
      <c r="C131" s="1406">
        <f>+$E$100/C86</f>
        <v>2.4374397751606001</v>
      </c>
      <c r="D131" s="1406">
        <f t="shared" ref="D131:N131" si="241">+$E$100/D87</f>
        <v>3.5146252676659526</v>
      </c>
      <c r="E131" s="1406">
        <f t="shared" si="241"/>
        <v>4.6190471092077088</v>
      </c>
      <c r="F131" s="1406">
        <f t="shared" si="241"/>
        <v>5.6073929336188444</v>
      </c>
      <c r="G131" s="1406">
        <f t="shared" si="241"/>
        <v>7.5174759100642401</v>
      </c>
      <c r="H131" s="1406">
        <f t="shared" si="241"/>
        <v>8.8511295503211986</v>
      </c>
      <c r="I131" s="1406">
        <f t="shared" si="241"/>
        <v>9.5664855460385443</v>
      </c>
      <c r="J131" s="1406">
        <f t="shared" si="241"/>
        <v>11.778626873661668</v>
      </c>
      <c r="K131" s="1406">
        <f t="shared" si="241"/>
        <v>14.088081545422222</v>
      </c>
      <c r="L131" s="1406">
        <f t="shared" si="241"/>
        <v>17.030775704829228</v>
      </c>
      <c r="M131" s="1406">
        <f t="shared" si="241"/>
        <v>20.351410552137821</v>
      </c>
      <c r="N131" s="1406">
        <f t="shared" si="241"/>
        <v>24.490220025780733</v>
      </c>
    </row>
    <row r="132" spans="1:29">
      <c r="A132" s="1267" t="s">
        <v>188</v>
      </c>
      <c r="C132" s="1406"/>
      <c r="D132" s="1406">
        <f t="shared" ref="D132:F132" si="242">AVERAGE(D131:E131)</f>
        <v>4.0668361884368309</v>
      </c>
      <c r="E132" s="1406">
        <f t="shared" si="242"/>
        <v>5.1132200214132766</v>
      </c>
      <c r="F132" s="1406">
        <f t="shared" si="242"/>
        <v>6.5624344218415427</v>
      </c>
      <c r="G132" s="1406">
        <f>AVERAGE(G131:H131)</f>
        <v>8.1843027301927194</v>
      </c>
      <c r="H132" s="1406">
        <f>AVERAGE(H131:I131)</f>
        <v>9.2088075481798715</v>
      </c>
      <c r="I132" s="1406">
        <f>AVERAGE(I131:J131)</f>
        <v>10.672556209850107</v>
      </c>
      <c r="J132" s="1406">
        <f t="shared" ref="J132:M132" si="243">AVERAGE(J131:K131)</f>
        <v>12.933354209541946</v>
      </c>
      <c r="K132" s="1406">
        <f t="shared" si="243"/>
        <v>15.559428625125726</v>
      </c>
      <c r="L132" s="1406">
        <f t="shared" si="243"/>
        <v>18.691093128483523</v>
      </c>
      <c r="M132" s="1406">
        <f t="shared" si="243"/>
        <v>22.420815288959275</v>
      </c>
    </row>
    <row r="133" spans="1:29">
      <c r="C133" s="1407"/>
    </row>
    <row r="134" spans="1:29">
      <c r="F134" s="1346"/>
      <c r="I134" s="1408">
        <f>+AVERAGE(I87:J87)</f>
        <v>40.75610879785421</v>
      </c>
      <c r="J134" s="1408">
        <f>+AVERAGE(J87:K87)</f>
        <v>33.537910149425201</v>
      </c>
      <c r="K134" s="1408">
        <f>+AVERAGE(K87:L87)</f>
        <v>27.904786541834753</v>
      </c>
      <c r="L134" s="1408">
        <f>+AVERAGE(L87:M87)</f>
        <v>23.204761157132005</v>
      </c>
    </row>
    <row r="135" spans="1:29">
      <c r="Z135" s="1346"/>
      <c r="AA135" s="1346"/>
      <c r="AB135" s="1346"/>
      <c r="AC135" s="1346"/>
    </row>
    <row r="136" spans="1:29">
      <c r="H136" s="1346"/>
      <c r="I136" s="1346"/>
      <c r="K136" s="1346"/>
      <c r="L136" s="1346">
        <f>SUM('Historical Financials'!AI122:AL122)</f>
        <v>62723</v>
      </c>
    </row>
    <row r="137" spans="1:29">
      <c r="G137" s="1346"/>
      <c r="Z137" s="1346"/>
      <c r="AA137" s="1346"/>
      <c r="AB137" s="1346"/>
      <c r="AC137" s="1346"/>
    </row>
    <row r="139" spans="1:29" ht="20.100000000000001">
      <c r="K139" s="1278" t="str">
        <f>+D4</f>
        <v>FYE June 30th</v>
      </c>
      <c r="L139" s="1278"/>
      <c r="M139" s="1279"/>
      <c r="N139" s="1279"/>
      <c r="O139" s="1279"/>
      <c r="P139" s="1279"/>
    </row>
    <row r="140" spans="1:29" ht="20.100000000000001">
      <c r="J140" s="1277" t="s">
        <v>189</v>
      </c>
      <c r="K140" s="1280" t="s">
        <v>190</v>
      </c>
      <c r="L140" s="1280" t="s">
        <v>191</v>
      </c>
      <c r="M140" s="1280" t="s">
        <v>72</v>
      </c>
      <c r="N140" s="1280" t="s">
        <v>73</v>
      </c>
      <c r="O140" s="1280" t="s">
        <v>74</v>
      </c>
      <c r="P140" s="1280" t="s">
        <v>75</v>
      </c>
    </row>
    <row r="141" spans="1:29">
      <c r="J141" s="1301" t="s">
        <v>192</v>
      </c>
    </row>
    <row r="142" spans="1:29">
      <c r="J142" s="1267" t="s">
        <v>193</v>
      </c>
      <c r="K142" s="1319">
        <f t="shared" ref="K142:P142" si="244">+I8</f>
        <v>211915</v>
      </c>
      <c r="L142" s="1319">
        <f t="shared" si="244"/>
        <v>245122</v>
      </c>
      <c r="M142" s="1319">
        <f t="shared" si="244"/>
        <v>281211.84671227756</v>
      </c>
      <c r="N142" s="1319">
        <f t="shared" si="244"/>
        <v>317769.38678487361</v>
      </c>
      <c r="O142" s="1319">
        <f t="shared" si="244"/>
        <v>359079.40706690715</v>
      </c>
      <c r="P142" s="1319">
        <f t="shared" si="244"/>
        <v>405759.72998560505</v>
      </c>
    </row>
    <row r="143" spans="1:29">
      <c r="J143" s="1267" t="s">
        <v>194</v>
      </c>
      <c r="K143" s="1319">
        <f>+K142</f>
        <v>211915</v>
      </c>
      <c r="L143" s="1319">
        <v>244798.6</v>
      </c>
      <c r="M143" s="1319">
        <v>279863</v>
      </c>
      <c r="N143" s="1319">
        <f>+M143*(1+N147)</f>
        <v>319323.68300000002</v>
      </c>
      <c r="O143" s="1319">
        <f t="shared" ref="O143:P143" si="245">+N143*(1+O147)</f>
        <v>362049.19178539998</v>
      </c>
      <c r="P143" s="1319">
        <f t="shared" si="245"/>
        <v>406581.24237500416</v>
      </c>
    </row>
    <row r="144" spans="1:29">
      <c r="P144" s="1406"/>
    </row>
    <row r="145" spans="10:16">
      <c r="J145" s="1334" t="s">
        <v>130</v>
      </c>
    </row>
    <row r="146" spans="10:16">
      <c r="J146" s="1295" t="str">
        <f>+J142</f>
        <v>CRC</v>
      </c>
      <c r="K146" s="1296"/>
      <c r="L146" s="1296">
        <f>+L142/K142-1</f>
        <v>0.1566996201307127</v>
      </c>
      <c r="M146" s="1296">
        <f t="shared" ref="M146:P146" si="246">+M142/L142-1</f>
        <v>0.14723218116806147</v>
      </c>
      <c r="N146" s="1296">
        <f t="shared" si="246"/>
        <v>0.12999999999999989</v>
      </c>
      <c r="O146" s="1296">
        <f t="shared" si="246"/>
        <v>0.12999999999999989</v>
      </c>
      <c r="P146" s="1296">
        <f t="shared" si="246"/>
        <v>0.12999999999999989</v>
      </c>
    </row>
    <row r="147" spans="10:16">
      <c r="J147" s="1295" t="str">
        <f>+J143</f>
        <v>VA Cons.</v>
      </c>
      <c r="K147" s="1296"/>
      <c r="L147" s="1296">
        <f t="shared" ref="L147:M147" si="247">+L143/K143-1</f>
        <v>0.15517353655946953</v>
      </c>
      <c r="M147" s="1296">
        <f t="shared" si="247"/>
        <v>0.1432377472746984</v>
      </c>
      <c r="N147" s="1296">
        <v>0.14099999999999999</v>
      </c>
      <c r="O147" s="1296">
        <v>0.1338</v>
      </c>
      <c r="P147" s="1296">
        <v>0.123</v>
      </c>
    </row>
    <row r="148" spans="10:16">
      <c r="P148" s="1406"/>
    </row>
    <row r="149" spans="10:16">
      <c r="J149" s="1301" t="s">
        <v>131</v>
      </c>
    </row>
    <row r="150" spans="10:16">
      <c r="J150" s="1267" t="s">
        <v>193</v>
      </c>
      <c r="K150" s="1319">
        <f t="shared" ref="K150:P150" si="248">+I49</f>
        <v>31900</v>
      </c>
      <c r="L150" s="1319">
        <f t="shared" si="248"/>
        <v>55700</v>
      </c>
      <c r="M150" s="1319">
        <f t="shared" si="248"/>
        <v>80000</v>
      </c>
      <c r="N150" s="1319">
        <f t="shared" si="248"/>
        <v>69909.265092672198</v>
      </c>
      <c r="O150" s="1319">
        <f t="shared" si="248"/>
        <v>71815.88141338143</v>
      </c>
      <c r="P150" s="1319">
        <f t="shared" si="248"/>
        <v>73036.751397408909</v>
      </c>
    </row>
    <row r="151" spans="10:16">
      <c r="J151" s="1267" t="s">
        <v>194</v>
      </c>
      <c r="K151" s="1319">
        <f>+K150</f>
        <v>31900</v>
      </c>
      <c r="L151" s="1319">
        <f>44553.4+9176</f>
        <v>53729.4</v>
      </c>
      <c r="M151" s="1319">
        <f>54362+10723</f>
        <v>65085</v>
      </c>
      <c r="N151" s="1319">
        <f>59652+11355</f>
        <v>71007</v>
      </c>
      <c r="O151" s="1319">
        <f>58250+12791</f>
        <v>71041</v>
      </c>
      <c r="P151" s="1319">
        <f>62875+14304</f>
        <v>77179</v>
      </c>
    </row>
    <row r="153" spans="10:16">
      <c r="J153" s="1334" t="s">
        <v>118</v>
      </c>
    </row>
    <row r="154" spans="10:16">
      <c r="J154" s="1295" t="str">
        <f>+J150</f>
        <v>CRC</v>
      </c>
      <c r="K154" s="1296">
        <f t="shared" ref="K154" si="249">+K150/K$142</f>
        <v>0.15053205294575656</v>
      </c>
      <c r="L154" s="1296">
        <f>+L150/L$142</f>
        <v>0.22723378562511728</v>
      </c>
      <c r="M154" s="1296">
        <f>+M150/M$142</f>
        <v>0.28448303631337463</v>
      </c>
      <c r="N154" s="1296">
        <f>+N150/N$142</f>
        <v>0.22</v>
      </c>
      <c r="O154" s="1296">
        <f>+O150/O$142</f>
        <v>0.2</v>
      </c>
      <c r="P154" s="1296">
        <f>+P150/P$142</f>
        <v>0.18</v>
      </c>
    </row>
    <row r="155" spans="10:16">
      <c r="J155" s="1295" t="str">
        <f>+J151</f>
        <v>VA Cons.</v>
      </c>
      <c r="K155" s="1296">
        <f t="shared" ref="K155" si="250">+K151/K$143</f>
        <v>0.15053205294575656</v>
      </c>
      <c r="L155" s="1296">
        <f>+L151/L$143</f>
        <v>0.21948409835677166</v>
      </c>
      <c r="M155" s="1296">
        <f>+M151/M$143</f>
        <v>0.2325602169632999</v>
      </c>
      <c r="N155" s="1296">
        <f>+N151/N$143</f>
        <v>0.22236684524273131</v>
      </c>
      <c r="O155" s="1296">
        <f>+O151/O$143</f>
        <v>0.19621919234143365</v>
      </c>
      <c r="P155" s="1296">
        <f>+P151/P$143</f>
        <v>0.18982430067153735</v>
      </c>
    </row>
    <row r="157" spans="10:16">
      <c r="J157" s="1301" t="s">
        <v>187</v>
      </c>
    </row>
    <row r="158" spans="10:16">
      <c r="J158" s="1267" t="s">
        <v>193</v>
      </c>
      <c r="K158" s="1319">
        <f t="shared" ref="K158:P158" si="251">+I29</f>
        <v>13861</v>
      </c>
      <c r="L158" s="1319">
        <f t="shared" si="251"/>
        <v>20427</v>
      </c>
      <c r="M158" s="1319">
        <f t="shared" si="251"/>
        <v>27803.116747365937</v>
      </c>
      <c r="N158" s="1319">
        <f t="shared" si="251"/>
        <v>31425.906903616535</v>
      </c>
      <c r="O158" s="1319">
        <f t="shared" si="251"/>
        <v>34802.142300320178</v>
      </c>
      <c r="P158" s="1319">
        <f t="shared" si="251"/>
        <v>39361.987109000482</v>
      </c>
    </row>
    <row r="159" spans="10:16">
      <c r="J159" s="1267" t="s">
        <v>194</v>
      </c>
      <c r="K159" s="1319">
        <f>+K158</f>
        <v>13861</v>
      </c>
      <c r="L159" s="1319">
        <v>21245</v>
      </c>
      <c r="M159" s="1319">
        <v>25745</v>
      </c>
      <c r="N159" s="1319">
        <v>29434</v>
      </c>
      <c r="O159" s="1319">
        <v>34816</v>
      </c>
      <c r="P159" s="1319">
        <v>38882</v>
      </c>
    </row>
    <row r="161" spans="10:16">
      <c r="J161" s="1334" t="s">
        <v>118</v>
      </c>
    </row>
    <row r="162" spans="10:16">
      <c r="J162" s="1295" t="str">
        <f>+J158</f>
        <v>CRC</v>
      </c>
      <c r="K162" s="1296">
        <f t="shared" ref="K162" si="252">+K158/K$142</f>
        <v>6.5408300497841118E-2</v>
      </c>
      <c r="L162" s="1296">
        <f>+L158/L$142</f>
        <v>8.333401326686303E-2</v>
      </c>
      <c r="M162" s="1296">
        <f>+M158/M$142</f>
        <v>9.8868938390823724E-2</v>
      </c>
      <c r="N162" s="1296">
        <f>+N158/N$142</f>
        <v>9.8895325385423394E-2</v>
      </c>
      <c r="O162" s="1296">
        <f>+O158/O$142</f>
        <v>9.6920462759468431E-2</v>
      </c>
      <c r="P162" s="1296">
        <f>+P158/P$142</f>
        <v>9.7008116380590328E-2</v>
      </c>
    </row>
    <row r="163" spans="10:16">
      <c r="J163" s="1295" t="str">
        <f>+J159</f>
        <v>VA Cons.</v>
      </c>
      <c r="K163" s="1296">
        <f t="shared" ref="K163" si="253">+K159/K$143</f>
        <v>6.5408300497841118E-2</v>
      </c>
      <c r="L163" s="1296">
        <f>+L159/L$143</f>
        <v>8.6785627041984711E-2</v>
      </c>
      <c r="M163" s="1296">
        <f>+M159/M$143</f>
        <v>9.1991438668205514E-2</v>
      </c>
      <c r="N163" s="1296">
        <f>+N159/N$143</f>
        <v>9.2176063245518802E-2</v>
      </c>
      <c r="O163" s="1296">
        <f>+O159/O$143</f>
        <v>9.6163727995936907E-2</v>
      </c>
      <c r="P163" s="1296">
        <f>+P159/P$143</f>
        <v>9.5631563750640927E-2</v>
      </c>
    </row>
  </sheetData>
  <hyperlinks>
    <hyperlink ref="M143" r:id="rId1" tooltip="Revenue Final Est. - _x000a_Fiscal Year: 2025" display="javascript:click();" xr:uid="{10274E2D-4E89-4376-B1D6-1670873ACD32}"/>
    <hyperlink ref="M151" r:id="rId2" tooltip="Capital Expenditure Final Est. - _x000a_Fiscal Year: 2025" display="javascript:click();" xr:uid="{19260B5D-F711-456D-90BA-C1A92BE8424B}"/>
    <hyperlink ref="N151" r:id="rId3" tooltip="Capital Expenditure Final Est. - _x000a_Fiscal Year: 2026" display="javascript:click();" xr:uid="{84BA2DDB-ED7F-4901-BCB7-95D2F867EED1}"/>
    <hyperlink ref="O151" r:id="rId4" tooltip="Capital Expenditure Final Est. - _x000a_Fiscal Year: 2027" display="javascript:click();" xr:uid="{B827705D-5697-4F42-BBF7-4E3397CD1DAF}"/>
    <hyperlink ref="P151" r:id="rId5" tooltip="Capital Expenditure Final Est. - _x000a_Fiscal Year: 2028" display="javascript:click();" xr:uid="{D45C0AB4-0391-41C8-9DDF-AB7218790079}"/>
    <hyperlink ref="M159" r:id="rId6" tooltip="Depreciation &amp; Amortization Final Est. - _x000a_Fiscal Year: 2025" display="javascript:click();" xr:uid="{52F1F09D-7711-4CB2-8CF8-F0CD2A7AEF11}"/>
    <hyperlink ref="N159" r:id="rId7" tooltip="Depreciation &amp; Amortization Final Est. - _x000a_Fiscal Year: 2026" display="javascript:click();" xr:uid="{C2002AB6-2DD5-4C8B-AEFF-79EC80F7A2DF}"/>
    <hyperlink ref="O159" r:id="rId8" tooltip="Depreciation &amp; Amortization Final Est. - _x000a_Fiscal Year: 2027" display="javascript:click();" xr:uid="{37A12C65-31D1-48AB-86B9-232205CE3F49}"/>
    <hyperlink ref="P159" r:id="rId9" tooltip="Depreciation &amp; Amortization Final Est. - _x000a_Fiscal Year: 2028" display="javascript:click();" xr:uid="{02502027-3B5B-47B3-8076-76B1B62F8D5F}"/>
    <hyperlink ref="L151" r:id="rId10" tooltip="Capital Expenditure Final Est. - _x000a_Fiscal Year: 2024" display="javascript:click();" xr:uid="{0AF48ED6-FE11-48FC-99CE-70CD07472684}"/>
    <hyperlink ref="N143:P143" r:id="rId11" tooltip="Capital Expenditure Final Est. - _x000a_Fiscal Year: 2025" display="javascript:click();" xr:uid="{3B345132-7D0B-4444-A7B0-CF25D4172C8D}"/>
  </hyperlinks>
  <pageMargins left="0.3" right="0.3" top="0.3" bottom="0.3" header="0.3" footer="0.3"/>
  <pageSetup scale="39" fitToHeight="0" orientation="portrait" r:id="rId12"/>
  <headerFooter>
    <oddFooter>Page &amp;P</oddFooter>
  </headerFooter>
  <legacyDrawing r:id="rId1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B2178-9FF0-47C8-8DDF-B3E3E813E8B1}">
  <sheetPr>
    <pageSetUpPr fitToPage="1"/>
  </sheetPr>
  <dimension ref="A1:AJ162"/>
  <sheetViews>
    <sheetView view="pageBreakPreview" zoomScale="70" zoomScaleNormal="40" zoomScaleSheetLayoutView="70" workbookViewId="0">
      <pane xSplit="1" ySplit="5" topLeftCell="B6" activePane="bottomRight" state="frozen"/>
      <selection pane="bottomRight" activeCell="B6" sqref="B6"/>
      <selection pane="bottomLeft" activeCell="J83" sqref="J83"/>
      <selection pane="topRight" activeCell="J83" sqref="J83"/>
    </sheetView>
  </sheetViews>
  <sheetFormatPr defaultColWidth="4.5" defaultRowHeight="15.6" outlineLevelRow="1" outlineLevelCol="1"/>
  <cols>
    <col min="1" max="1" width="39.33203125" style="1267" customWidth="1"/>
    <col min="2" max="2" width="4.1640625" style="1267" customWidth="1"/>
    <col min="3" max="3" width="14.83203125" style="1267" hidden="1" customWidth="1" outlineLevel="1"/>
    <col min="4" max="4" width="13.83203125" style="1267" customWidth="1" collapsed="1"/>
    <col min="5" max="10" width="13.83203125" style="1267" customWidth="1"/>
    <col min="11" max="11" width="18" style="1267" bestFit="1" customWidth="1"/>
    <col min="12" max="22" width="13.83203125" style="1267" customWidth="1"/>
    <col min="23" max="24" width="10.6640625" style="1267" customWidth="1"/>
    <col min="25" max="25" width="30" style="1267" bestFit="1" customWidth="1"/>
    <col min="26" max="31" width="11.1640625" style="1267" customWidth="1"/>
    <col min="32" max="256" width="4.5" style="1267"/>
    <col min="257" max="257" width="11.83203125" style="1267" customWidth="1"/>
    <col min="258" max="258" width="2.1640625" style="1267" customWidth="1"/>
    <col min="259" max="274" width="10.6640625" style="1267" customWidth="1"/>
    <col min="275" max="276" width="14" style="1267" customWidth="1"/>
    <col min="277" max="277" width="54" style="1267" customWidth="1"/>
    <col min="278" max="280" width="10.6640625" style="1267" customWidth="1"/>
    <col min="281" max="287" width="11.1640625" style="1267" customWidth="1"/>
    <col min="288" max="512" width="4.5" style="1267"/>
    <col min="513" max="513" width="11.83203125" style="1267" customWidth="1"/>
    <col min="514" max="514" width="2.1640625" style="1267" customWidth="1"/>
    <col min="515" max="530" width="10.6640625" style="1267" customWidth="1"/>
    <col min="531" max="532" width="14" style="1267" customWidth="1"/>
    <col min="533" max="533" width="54" style="1267" customWidth="1"/>
    <col min="534" max="536" width="10.6640625" style="1267" customWidth="1"/>
    <col min="537" max="543" width="11.1640625" style="1267" customWidth="1"/>
    <col min="544" max="768" width="4.5" style="1267"/>
    <col min="769" max="769" width="11.83203125" style="1267" customWidth="1"/>
    <col min="770" max="770" width="2.1640625" style="1267" customWidth="1"/>
    <col min="771" max="786" width="10.6640625" style="1267" customWidth="1"/>
    <col min="787" max="788" width="14" style="1267" customWidth="1"/>
    <col min="789" max="789" width="54" style="1267" customWidth="1"/>
    <col min="790" max="792" width="10.6640625" style="1267" customWidth="1"/>
    <col min="793" max="799" width="11.1640625" style="1267" customWidth="1"/>
    <col min="800" max="1024" width="4.5" style="1267"/>
    <col min="1025" max="1025" width="11.83203125" style="1267" customWidth="1"/>
    <col min="1026" max="1026" width="2.1640625" style="1267" customWidth="1"/>
    <col min="1027" max="1042" width="10.6640625" style="1267" customWidth="1"/>
    <col min="1043" max="1044" width="14" style="1267" customWidth="1"/>
    <col min="1045" max="1045" width="54" style="1267" customWidth="1"/>
    <col min="1046" max="1048" width="10.6640625" style="1267" customWidth="1"/>
    <col min="1049" max="1055" width="11.1640625" style="1267" customWidth="1"/>
    <col min="1056" max="1280" width="4.5" style="1267"/>
    <col min="1281" max="1281" width="11.83203125" style="1267" customWidth="1"/>
    <col min="1282" max="1282" width="2.1640625" style="1267" customWidth="1"/>
    <col min="1283" max="1298" width="10.6640625" style="1267" customWidth="1"/>
    <col min="1299" max="1300" width="14" style="1267" customWidth="1"/>
    <col min="1301" max="1301" width="54" style="1267" customWidth="1"/>
    <col min="1302" max="1304" width="10.6640625" style="1267" customWidth="1"/>
    <col min="1305" max="1311" width="11.1640625" style="1267" customWidth="1"/>
    <col min="1312" max="1536" width="4.5" style="1267"/>
    <col min="1537" max="1537" width="11.83203125" style="1267" customWidth="1"/>
    <col min="1538" max="1538" width="2.1640625" style="1267" customWidth="1"/>
    <col min="1539" max="1554" width="10.6640625" style="1267" customWidth="1"/>
    <col min="1555" max="1556" width="14" style="1267" customWidth="1"/>
    <col min="1557" max="1557" width="54" style="1267" customWidth="1"/>
    <col min="1558" max="1560" width="10.6640625" style="1267" customWidth="1"/>
    <col min="1561" max="1567" width="11.1640625" style="1267" customWidth="1"/>
    <col min="1568" max="1792" width="4.5" style="1267"/>
    <col min="1793" max="1793" width="11.83203125" style="1267" customWidth="1"/>
    <col min="1794" max="1794" width="2.1640625" style="1267" customWidth="1"/>
    <col min="1795" max="1810" width="10.6640625" style="1267" customWidth="1"/>
    <col min="1811" max="1812" width="14" style="1267" customWidth="1"/>
    <col min="1813" max="1813" width="54" style="1267" customWidth="1"/>
    <col min="1814" max="1816" width="10.6640625" style="1267" customWidth="1"/>
    <col min="1817" max="1823" width="11.1640625" style="1267" customWidth="1"/>
    <col min="1824" max="2048" width="4.5" style="1267"/>
    <col min="2049" max="2049" width="11.83203125" style="1267" customWidth="1"/>
    <col min="2050" max="2050" width="2.1640625" style="1267" customWidth="1"/>
    <col min="2051" max="2066" width="10.6640625" style="1267" customWidth="1"/>
    <col min="2067" max="2068" width="14" style="1267" customWidth="1"/>
    <col min="2069" max="2069" width="54" style="1267" customWidth="1"/>
    <col min="2070" max="2072" width="10.6640625" style="1267" customWidth="1"/>
    <col min="2073" max="2079" width="11.1640625" style="1267" customWidth="1"/>
    <col min="2080" max="2304" width="4.5" style="1267"/>
    <col min="2305" max="2305" width="11.83203125" style="1267" customWidth="1"/>
    <col min="2306" max="2306" width="2.1640625" style="1267" customWidth="1"/>
    <col min="2307" max="2322" width="10.6640625" style="1267" customWidth="1"/>
    <col min="2323" max="2324" width="14" style="1267" customWidth="1"/>
    <col min="2325" max="2325" width="54" style="1267" customWidth="1"/>
    <col min="2326" max="2328" width="10.6640625" style="1267" customWidth="1"/>
    <col min="2329" max="2335" width="11.1640625" style="1267" customWidth="1"/>
    <col min="2336" max="2560" width="4.5" style="1267"/>
    <col min="2561" max="2561" width="11.83203125" style="1267" customWidth="1"/>
    <col min="2562" max="2562" width="2.1640625" style="1267" customWidth="1"/>
    <col min="2563" max="2578" width="10.6640625" style="1267" customWidth="1"/>
    <col min="2579" max="2580" width="14" style="1267" customWidth="1"/>
    <col min="2581" max="2581" width="54" style="1267" customWidth="1"/>
    <col min="2582" max="2584" width="10.6640625" style="1267" customWidth="1"/>
    <col min="2585" max="2591" width="11.1640625" style="1267" customWidth="1"/>
    <col min="2592" max="2816" width="4.5" style="1267"/>
    <col min="2817" max="2817" width="11.83203125" style="1267" customWidth="1"/>
    <col min="2818" max="2818" width="2.1640625" style="1267" customWidth="1"/>
    <col min="2819" max="2834" width="10.6640625" style="1267" customWidth="1"/>
    <col min="2835" max="2836" width="14" style="1267" customWidth="1"/>
    <col min="2837" max="2837" width="54" style="1267" customWidth="1"/>
    <col min="2838" max="2840" width="10.6640625" style="1267" customWidth="1"/>
    <col min="2841" max="2847" width="11.1640625" style="1267" customWidth="1"/>
    <col min="2848" max="3072" width="4.5" style="1267"/>
    <col min="3073" max="3073" width="11.83203125" style="1267" customWidth="1"/>
    <col min="3074" max="3074" width="2.1640625" style="1267" customWidth="1"/>
    <col min="3075" max="3090" width="10.6640625" style="1267" customWidth="1"/>
    <col min="3091" max="3092" width="14" style="1267" customWidth="1"/>
    <col min="3093" max="3093" width="54" style="1267" customWidth="1"/>
    <col min="3094" max="3096" width="10.6640625" style="1267" customWidth="1"/>
    <col min="3097" max="3103" width="11.1640625" style="1267" customWidth="1"/>
    <col min="3104" max="3328" width="4.5" style="1267"/>
    <col min="3329" max="3329" width="11.83203125" style="1267" customWidth="1"/>
    <col min="3330" max="3330" width="2.1640625" style="1267" customWidth="1"/>
    <col min="3331" max="3346" width="10.6640625" style="1267" customWidth="1"/>
    <col min="3347" max="3348" width="14" style="1267" customWidth="1"/>
    <col min="3349" max="3349" width="54" style="1267" customWidth="1"/>
    <col min="3350" max="3352" width="10.6640625" style="1267" customWidth="1"/>
    <col min="3353" max="3359" width="11.1640625" style="1267" customWidth="1"/>
    <col min="3360" max="3584" width="4.5" style="1267"/>
    <col min="3585" max="3585" width="11.83203125" style="1267" customWidth="1"/>
    <col min="3586" max="3586" width="2.1640625" style="1267" customWidth="1"/>
    <col min="3587" max="3602" width="10.6640625" style="1267" customWidth="1"/>
    <col min="3603" max="3604" width="14" style="1267" customWidth="1"/>
    <col min="3605" max="3605" width="54" style="1267" customWidth="1"/>
    <col min="3606" max="3608" width="10.6640625" style="1267" customWidth="1"/>
    <col min="3609" max="3615" width="11.1640625" style="1267" customWidth="1"/>
    <col min="3616" max="3840" width="4.5" style="1267"/>
    <col min="3841" max="3841" width="11.83203125" style="1267" customWidth="1"/>
    <col min="3842" max="3842" width="2.1640625" style="1267" customWidth="1"/>
    <col min="3843" max="3858" width="10.6640625" style="1267" customWidth="1"/>
    <col min="3859" max="3860" width="14" style="1267" customWidth="1"/>
    <col min="3861" max="3861" width="54" style="1267" customWidth="1"/>
    <col min="3862" max="3864" width="10.6640625" style="1267" customWidth="1"/>
    <col min="3865" max="3871" width="11.1640625" style="1267" customWidth="1"/>
    <col min="3872" max="4096" width="4.5" style="1267"/>
    <col min="4097" max="4097" width="11.83203125" style="1267" customWidth="1"/>
    <col min="4098" max="4098" width="2.1640625" style="1267" customWidth="1"/>
    <col min="4099" max="4114" width="10.6640625" style="1267" customWidth="1"/>
    <col min="4115" max="4116" width="14" style="1267" customWidth="1"/>
    <col min="4117" max="4117" width="54" style="1267" customWidth="1"/>
    <col min="4118" max="4120" width="10.6640625" style="1267" customWidth="1"/>
    <col min="4121" max="4127" width="11.1640625" style="1267" customWidth="1"/>
    <col min="4128" max="4352" width="4.5" style="1267"/>
    <col min="4353" max="4353" width="11.83203125" style="1267" customWidth="1"/>
    <col min="4354" max="4354" width="2.1640625" style="1267" customWidth="1"/>
    <col min="4355" max="4370" width="10.6640625" style="1267" customWidth="1"/>
    <col min="4371" max="4372" width="14" style="1267" customWidth="1"/>
    <col min="4373" max="4373" width="54" style="1267" customWidth="1"/>
    <col min="4374" max="4376" width="10.6640625" style="1267" customWidth="1"/>
    <col min="4377" max="4383" width="11.1640625" style="1267" customWidth="1"/>
    <col min="4384" max="4608" width="4.5" style="1267"/>
    <col min="4609" max="4609" width="11.83203125" style="1267" customWidth="1"/>
    <col min="4610" max="4610" width="2.1640625" style="1267" customWidth="1"/>
    <col min="4611" max="4626" width="10.6640625" style="1267" customWidth="1"/>
    <col min="4627" max="4628" width="14" style="1267" customWidth="1"/>
    <col min="4629" max="4629" width="54" style="1267" customWidth="1"/>
    <col min="4630" max="4632" width="10.6640625" style="1267" customWidth="1"/>
    <col min="4633" max="4639" width="11.1640625" style="1267" customWidth="1"/>
    <col min="4640" max="4864" width="4.5" style="1267"/>
    <col min="4865" max="4865" width="11.83203125" style="1267" customWidth="1"/>
    <col min="4866" max="4866" width="2.1640625" style="1267" customWidth="1"/>
    <col min="4867" max="4882" width="10.6640625" style="1267" customWidth="1"/>
    <col min="4883" max="4884" width="14" style="1267" customWidth="1"/>
    <col min="4885" max="4885" width="54" style="1267" customWidth="1"/>
    <col min="4886" max="4888" width="10.6640625" style="1267" customWidth="1"/>
    <col min="4889" max="4895" width="11.1640625" style="1267" customWidth="1"/>
    <col min="4896" max="5120" width="4.5" style="1267"/>
    <col min="5121" max="5121" width="11.83203125" style="1267" customWidth="1"/>
    <col min="5122" max="5122" width="2.1640625" style="1267" customWidth="1"/>
    <col min="5123" max="5138" width="10.6640625" style="1267" customWidth="1"/>
    <col min="5139" max="5140" width="14" style="1267" customWidth="1"/>
    <col min="5141" max="5141" width="54" style="1267" customWidth="1"/>
    <col min="5142" max="5144" width="10.6640625" style="1267" customWidth="1"/>
    <col min="5145" max="5151" width="11.1640625" style="1267" customWidth="1"/>
    <col min="5152" max="5376" width="4.5" style="1267"/>
    <col min="5377" max="5377" width="11.83203125" style="1267" customWidth="1"/>
    <col min="5378" max="5378" width="2.1640625" style="1267" customWidth="1"/>
    <col min="5379" max="5394" width="10.6640625" style="1267" customWidth="1"/>
    <col min="5395" max="5396" width="14" style="1267" customWidth="1"/>
    <col min="5397" max="5397" width="54" style="1267" customWidth="1"/>
    <col min="5398" max="5400" width="10.6640625" style="1267" customWidth="1"/>
    <col min="5401" max="5407" width="11.1640625" style="1267" customWidth="1"/>
    <col min="5408" max="5632" width="4.5" style="1267"/>
    <col min="5633" max="5633" width="11.83203125" style="1267" customWidth="1"/>
    <col min="5634" max="5634" width="2.1640625" style="1267" customWidth="1"/>
    <col min="5635" max="5650" width="10.6640625" style="1267" customWidth="1"/>
    <col min="5651" max="5652" width="14" style="1267" customWidth="1"/>
    <col min="5653" max="5653" width="54" style="1267" customWidth="1"/>
    <col min="5654" max="5656" width="10.6640625" style="1267" customWidth="1"/>
    <col min="5657" max="5663" width="11.1640625" style="1267" customWidth="1"/>
    <col min="5664" max="5888" width="4.5" style="1267"/>
    <col min="5889" max="5889" width="11.83203125" style="1267" customWidth="1"/>
    <col min="5890" max="5890" width="2.1640625" style="1267" customWidth="1"/>
    <col min="5891" max="5906" width="10.6640625" style="1267" customWidth="1"/>
    <col min="5907" max="5908" width="14" style="1267" customWidth="1"/>
    <col min="5909" max="5909" width="54" style="1267" customWidth="1"/>
    <col min="5910" max="5912" width="10.6640625" style="1267" customWidth="1"/>
    <col min="5913" max="5919" width="11.1640625" style="1267" customWidth="1"/>
    <col min="5920" max="6144" width="4.5" style="1267"/>
    <col min="6145" max="6145" width="11.83203125" style="1267" customWidth="1"/>
    <col min="6146" max="6146" width="2.1640625" style="1267" customWidth="1"/>
    <col min="6147" max="6162" width="10.6640625" style="1267" customWidth="1"/>
    <col min="6163" max="6164" width="14" style="1267" customWidth="1"/>
    <col min="6165" max="6165" width="54" style="1267" customWidth="1"/>
    <col min="6166" max="6168" width="10.6640625" style="1267" customWidth="1"/>
    <col min="6169" max="6175" width="11.1640625" style="1267" customWidth="1"/>
    <col min="6176" max="6400" width="4.5" style="1267"/>
    <col min="6401" max="6401" width="11.83203125" style="1267" customWidth="1"/>
    <col min="6402" max="6402" width="2.1640625" style="1267" customWidth="1"/>
    <col min="6403" max="6418" width="10.6640625" style="1267" customWidth="1"/>
    <col min="6419" max="6420" width="14" style="1267" customWidth="1"/>
    <col min="6421" max="6421" width="54" style="1267" customWidth="1"/>
    <col min="6422" max="6424" width="10.6640625" style="1267" customWidth="1"/>
    <col min="6425" max="6431" width="11.1640625" style="1267" customWidth="1"/>
    <col min="6432" max="6656" width="4.5" style="1267"/>
    <col min="6657" max="6657" width="11.83203125" style="1267" customWidth="1"/>
    <col min="6658" max="6658" width="2.1640625" style="1267" customWidth="1"/>
    <col min="6659" max="6674" width="10.6640625" style="1267" customWidth="1"/>
    <col min="6675" max="6676" width="14" style="1267" customWidth="1"/>
    <col min="6677" max="6677" width="54" style="1267" customWidth="1"/>
    <col min="6678" max="6680" width="10.6640625" style="1267" customWidth="1"/>
    <col min="6681" max="6687" width="11.1640625" style="1267" customWidth="1"/>
    <col min="6688" max="6912" width="4.5" style="1267"/>
    <col min="6913" max="6913" width="11.83203125" style="1267" customWidth="1"/>
    <col min="6914" max="6914" width="2.1640625" style="1267" customWidth="1"/>
    <col min="6915" max="6930" width="10.6640625" style="1267" customWidth="1"/>
    <col min="6931" max="6932" width="14" style="1267" customWidth="1"/>
    <col min="6933" max="6933" width="54" style="1267" customWidth="1"/>
    <col min="6934" max="6936" width="10.6640625" style="1267" customWidth="1"/>
    <col min="6937" max="6943" width="11.1640625" style="1267" customWidth="1"/>
    <col min="6944" max="7168" width="4.5" style="1267"/>
    <col min="7169" max="7169" width="11.83203125" style="1267" customWidth="1"/>
    <col min="7170" max="7170" width="2.1640625" style="1267" customWidth="1"/>
    <col min="7171" max="7186" width="10.6640625" style="1267" customWidth="1"/>
    <col min="7187" max="7188" width="14" style="1267" customWidth="1"/>
    <col min="7189" max="7189" width="54" style="1267" customWidth="1"/>
    <col min="7190" max="7192" width="10.6640625" style="1267" customWidth="1"/>
    <col min="7193" max="7199" width="11.1640625" style="1267" customWidth="1"/>
    <col min="7200" max="7424" width="4.5" style="1267"/>
    <col min="7425" max="7425" width="11.83203125" style="1267" customWidth="1"/>
    <col min="7426" max="7426" width="2.1640625" style="1267" customWidth="1"/>
    <col min="7427" max="7442" width="10.6640625" style="1267" customWidth="1"/>
    <col min="7443" max="7444" width="14" style="1267" customWidth="1"/>
    <col min="7445" max="7445" width="54" style="1267" customWidth="1"/>
    <col min="7446" max="7448" width="10.6640625" style="1267" customWidth="1"/>
    <col min="7449" max="7455" width="11.1640625" style="1267" customWidth="1"/>
    <col min="7456" max="7680" width="4.5" style="1267"/>
    <col min="7681" max="7681" width="11.83203125" style="1267" customWidth="1"/>
    <col min="7682" max="7682" width="2.1640625" style="1267" customWidth="1"/>
    <col min="7683" max="7698" width="10.6640625" style="1267" customWidth="1"/>
    <col min="7699" max="7700" width="14" style="1267" customWidth="1"/>
    <col min="7701" max="7701" width="54" style="1267" customWidth="1"/>
    <col min="7702" max="7704" width="10.6640625" style="1267" customWidth="1"/>
    <col min="7705" max="7711" width="11.1640625" style="1267" customWidth="1"/>
    <col min="7712" max="7936" width="4.5" style="1267"/>
    <col min="7937" max="7937" width="11.83203125" style="1267" customWidth="1"/>
    <col min="7938" max="7938" width="2.1640625" style="1267" customWidth="1"/>
    <col min="7939" max="7954" width="10.6640625" style="1267" customWidth="1"/>
    <col min="7955" max="7956" width="14" style="1267" customWidth="1"/>
    <col min="7957" max="7957" width="54" style="1267" customWidth="1"/>
    <col min="7958" max="7960" width="10.6640625" style="1267" customWidth="1"/>
    <col min="7961" max="7967" width="11.1640625" style="1267" customWidth="1"/>
    <col min="7968" max="8192" width="4.5" style="1267"/>
    <col min="8193" max="8193" width="11.83203125" style="1267" customWidth="1"/>
    <col min="8194" max="8194" width="2.1640625" style="1267" customWidth="1"/>
    <col min="8195" max="8210" width="10.6640625" style="1267" customWidth="1"/>
    <col min="8211" max="8212" width="14" style="1267" customWidth="1"/>
    <col min="8213" max="8213" width="54" style="1267" customWidth="1"/>
    <col min="8214" max="8216" width="10.6640625" style="1267" customWidth="1"/>
    <col min="8217" max="8223" width="11.1640625" style="1267" customWidth="1"/>
    <col min="8224" max="8448" width="4.5" style="1267"/>
    <col min="8449" max="8449" width="11.83203125" style="1267" customWidth="1"/>
    <col min="8450" max="8450" width="2.1640625" style="1267" customWidth="1"/>
    <col min="8451" max="8466" width="10.6640625" style="1267" customWidth="1"/>
    <col min="8467" max="8468" width="14" style="1267" customWidth="1"/>
    <col min="8469" max="8469" width="54" style="1267" customWidth="1"/>
    <col min="8470" max="8472" width="10.6640625" style="1267" customWidth="1"/>
    <col min="8473" max="8479" width="11.1640625" style="1267" customWidth="1"/>
    <col min="8480" max="8704" width="4.5" style="1267"/>
    <col min="8705" max="8705" width="11.83203125" style="1267" customWidth="1"/>
    <col min="8706" max="8706" width="2.1640625" style="1267" customWidth="1"/>
    <col min="8707" max="8722" width="10.6640625" style="1267" customWidth="1"/>
    <col min="8723" max="8724" width="14" style="1267" customWidth="1"/>
    <col min="8725" max="8725" width="54" style="1267" customWidth="1"/>
    <col min="8726" max="8728" width="10.6640625" style="1267" customWidth="1"/>
    <col min="8729" max="8735" width="11.1640625" style="1267" customWidth="1"/>
    <col min="8736" max="8960" width="4.5" style="1267"/>
    <col min="8961" max="8961" width="11.83203125" style="1267" customWidth="1"/>
    <col min="8962" max="8962" width="2.1640625" style="1267" customWidth="1"/>
    <col min="8963" max="8978" width="10.6640625" style="1267" customWidth="1"/>
    <col min="8979" max="8980" width="14" style="1267" customWidth="1"/>
    <col min="8981" max="8981" width="54" style="1267" customWidth="1"/>
    <col min="8982" max="8984" width="10.6640625" style="1267" customWidth="1"/>
    <col min="8985" max="8991" width="11.1640625" style="1267" customWidth="1"/>
    <col min="8992" max="9216" width="4.5" style="1267"/>
    <col min="9217" max="9217" width="11.83203125" style="1267" customWidth="1"/>
    <col min="9218" max="9218" width="2.1640625" style="1267" customWidth="1"/>
    <col min="9219" max="9234" width="10.6640625" style="1267" customWidth="1"/>
    <col min="9235" max="9236" width="14" style="1267" customWidth="1"/>
    <col min="9237" max="9237" width="54" style="1267" customWidth="1"/>
    <col min="9238" max="9240" width="10.6640625" style="1267" customWidth="1"/>
    <col min="9241" max="9247" width="11.1640625" style="1267" customWidth="1"/>
    <col min="9248" max="9472" width="4.5" style="1267"/>
    <col min="9473" max="9473" width="11.83203125" style="1267" customWidth="1"/>
    <col min="9474" max="9474" width="2.1640625" style="1267" customWidth="1"/>
    <col min="9475" max="9490" width="10.6640625" style="1267" customWidth="1"/>
    <col min="9491" max="9492" width="14" style="1267" customWidth="1"/>
    <col min="9493" max="9493" width="54" style="1267" customWidth="1"/>
    <col min="9494" max="9496" width="10.6640625" style="1267" customWidth="1"/>
    <col min="9497" max="9503" width="11.1640625" style="1267" customWidth="1"/>
    <col min="9504" max="9728" width="4.5" style="1267"/>
    <col min="9729" max="9729" width="11.83203125" style="1267" customWidth="1"/>
    <col min="9730" max="9730" width="2.1640625" style="1267" customWidth="1"/>
    <col min="9731" max="9746" width="10.6640625" style="1267" customWidth="1"/>
    <col min="9747" max="9748" width="14" style="1267" customWidth="1"/>
    <col min="9749" max="9749" width="54" style="1267" customWidth="1"/>
    <col min="9750" max="9752" width="10.6640625" style="1267" customWidth="1"/>
    <col min="9753" max="9759" width="11.1640625" style="1267" customWidth="1"/>
    <col min="9760" max="9984" width="4.5" style="1267"/>
    <col min="9985" max="9985" width="11.83203125" style="1267" customWidth="1"/>
    <col min="9986" max="9986" width="2.1640625" style="1267" customWidth="1"/>
    <col min="9987" max="10002" width="10.6640625" style="1267" customWidth="1"/>
    <col min="10003" max="10004" width="14" style="1267" customWidth="1"/>
    <col min="10005" max="10005" width="54" style="1267" customWidth="1"/>
    <col min="10006" max="10008" width="10.6640625" style="1267" customWidth="1"/>
    <col min="10009" max="10015" width="11.1640625" style="1267" customWidth="1"/>
    <col min="10016" max="10240" width="4.5" style="1267"/>
    <col min="10241" max="10241" width="11.83203125" style="1267" customWidth="1"/>
    <col min="10242" max="10242" width="2.1640625" style="1267" customWidth="1"/>
    <col min="10243" max="10258" width="10.6640625" style="1267" customWidth="1"/>
    <col min="10259" max="10260" width="14" style="1267" customWidth="1"/>
    <col min="10261" max="10261" width="54" style="1267" customWidth="1"/>
    <col min="10262" max="10264" width="10.6640625" style="1267" customWidth="1"/>
    <col min="10265" max="10271" width="11.1640625" style="1267" customWidth="1"/>
    <col min="10272" max="10496" width="4.5" style="1267"/>
    <col min="10497" max="10497" width="11.83203125" style="1267" customWidth="1"/>
    <col min="10498" max="10498" width="2.1640625" style="1267" customWidth="1"/>
    <col min="10499" max="10514" width="10.6640625" style="1267" customWidth="1"/>
    <col min="10515" max="10516" width="14" style="1267" customWidth="1"/>
    <col min="10517" max="10517" width="54" style="1267" customWidth="1"/>
    <col min="10518" max="10520" width="10.6640625" style="1267" customWidth="1"/>
    <col min="10521" max="10527" width="11.1640625" style="1267" customWidth="1"/>
    <col min="10528" max="10752" width="4.5" style="1267"/>
    <col min="10753" max="10753" width="11.83203125" style="1267" customWidth="1"/>
    <col min="10754" max="10754" width="2.1640625" style="1267" customWidth="1"/>
    <col min="10755" max="10770" width="10.6640625" style="1267" customWidth="1"/>
    <col min="10771" max="10772" width="14" style="1267" customWidth="1"/>
    <col min="10773" max="10773" width="54" style="1267" customWidth="1"/>
    <col min="10774" max="10776" width="10.6640625" style="1267" customWidth="1"/>
    <col min="10777" max="10783" width="11.1640625" style="1267" customWidth="1"/>
    <col min="10784" max="11008" width="4.5" style="1267"/>
    <col min="11009" max="11009" width="11.83203125" style="1267" customWidth="1"/>
    <col min="11010" max="11010" width="2.1640625" style="1267" customWidth="1"/>
    <col min="11011" max="11026" width="10.6640625" style="1267" customWidth="1"/>
    <col min="11027" max="11028" width="14" style="1267" customWidth="1"/>
    <col min="11029" max="11029" width="54" style="1267" customWidth="1"/>
    <col min="11030" max="11032" width="10.6640625" style="1267" customWidth="1"/>
    <col min="11033" max="11039" width="11.1640625" style="1267" customWidth="1"/>
    <col min="11040" max="11264" width="4.5" style="1267"/>
    <col min="11265" max="11265" width="11.83203125" style="1267" customWidth="1"/>
    <col min="11266" max="11266" width="2.1640625" style="1267" customWidth="1"/>
    <col min="11267" max="11282" width="10.6640625" style="1267" customWidth="1"/>
    <col min="11283" max="11284" width="14" style="1267" customWidth="1"/>
    <col min="11285" max="11285" width="54" style="1267" customWidth="1"/>
    <col min="11286" max="11288" width="10.6640625" style="1267" customWidth="1"/>
    <col min="11289" max="11295" width="11.1640625" style="1267" customWidth="1"/>
    <col min="11296" max="11520" width="4.5" style="1267"/>
    <col min="11521" max="11521" width="11.83203125" style="1267" customWidth="1"/>
    <col min="11522" max="11522" width="2.1640625" style="1267" customWidth="1"/>
    <col min="11523" max="11538" width="10.6640625" style="1267" customWidth="1"/>
    <col min="11539" max="11540" width="14" style="1267" customWidth="1"/>
    <col min="11541" max="11541" width="54" style="1267" customWidth="1"/>
    <col min="11542" max="11544" width="10.6640625" style="1267" customWidth="1"/>
    <col min="11545" max="11551" width="11.1640625" style="1267" customWidth="1"/>
    <col min="11552" max="11776" width="4.5" style="1267"/>
    <col min="11777" max="11777" width="11.83203125" style="1267" customWidth="1"/>
    <col min="11778" max="11778" width="2.1640625" style="1267" customWidth="1"/>
    <col min="11779" max="11794" width="10.6640625" style="1267" customWidth="1"/>
    <col min="11795" max="11796" width="14" style="1267" customWidth="1"/>
    <col min="11797" max="11797" width="54" style="1267" customWidth="1"/>
    <col min="11798" max="11800" width="10.6640625" style="1267" customWidth="1"/>
    <col min="11801" max="11807" width="11.1640625" style="1267" customWidth="1"/>
    <col min="11808" max="12032" width="4.5" style="1267"/>
    <col min="12033" max="12033" width="11.83203125" style="1267" customWidth="1"/>
    <col min="12034" max="12034" width="2.1640625" style="1267" customWidth="1"/>
    <col min="12035" max="12050" width="10.6640625" style="1267" customWidth="1"/>
    <col min="12051" max="12052" width="14" style="1267" customWidth="1"/>
    <col min="12053" max="12053" width="54" style="1267" customWidth="1"/>
    <col min="12054" max="12056" width="10.6640625" style="1267" customWidth="1"/>
    <col min="12057" max="12063" width="11.1640625" style="1267" customWidth="1"/>
    <col min="12064" max="12288" width="4.5" style="1267"/>
    <col min="12289" max="12289" width="11.83203125" style="1267" customWidth="1"/>
    <col min="12290" max="12290" width="2.1640625" style="1267" customWidth="1"/>
    <col min="12291" max="12306" width="10.6640625" style="1267" customWidth="1"/>
    <col min="12307" max="12308" width="14" style="1267" customWidth="1"/>
    <col min="12309" max="12309" width="54" style="1267" customWidth="1"/>
    <col min="12310" max="12312" width="10.6640625" style="1267" customWidth="1"/>
    <col min="12313" max="12319" width="11.1640625" style="1267" customWidth="1"/>
    <col min="12320" max="12544" width="4.5" style="1267"/>
    <col min="12545" max="12545" width="11.83203125" style="1267" customWidth="1"/>
    <col min="12546" max="12546" width="2.1640625" style="1267" customWidth="1"/>
    <col min="12547" max="12562" width="10.6640625" style="1267" customWidth="1"/>
    <col min="12563" max="12564" width="14" style="1267" customWidth="1"/>
    <col min="12565" max="12565" width="54" style="1267" customWidth="1"/>
    <col min="12566" max="12568" width="10.6640625" style="1267" customWidth="1"/>
    <col min="12569" max="12575" width="11.1640625" style="1267" customWidth="1"/>
    <col min="12576" max="12800" width="4.5" style="1267"/>
    <col min="12801" max="12801" width="11.83203125" style="1267" customWidth="1"/>
    <col min="12802" max="12802" width="2.1640625" style="1267" customWidth="1"/>
    <col min="12803" max="12818" width="10.6640625" style="1267" customWidth="1"/>
    <col min="12819" max="12820" width="14" style="1267" customWidth="1"/>
    <col min="12821" max="12821" width="54" style="1267" customWidth="1"/>
    <col min="12822" max="12824" width="10.6640625" style="1267" customWidth="1"/>
    <col min="12825" max="12831" width="11.1640625" style="1267" customWidth="1"/>
    <col min="12832" max="13056" width="4.5" style="1267"/>
    <col min="13057" max="13057" width="11.83203125" style="1267" customWidth="1"/>
    <col min="13058" max="13058" width="2.1640625" style="1267" customWidth="1"/>
    <col min="13059" max="13074" width="10.6640625" style="1267" customWidth="1"/>
    <col min="13075" max="13076" width="14" style="1267" customWidth="1"/>
    <col min="13077" max="13077" width="54" style="1267" customWidth="1"/>
    <col min="13078" max="13080" width="10.6640625" style="1267" customWidth="1"/>
    <col min="13081" max="13087" width="11.1640625" style="1267" customWidth="1"/>
    <col min="13088" max="13312" width="4.5" style="1267"/>
    <col min="13313" max="13313" width="11.83203125" style="1267" customWidth="1"/>
    <col min="13314" max="13314" width="2.1640625" style="1267" customWidth="1"/>
    <col min="13315" max="13330" width="10.6640625" style="1267" customWidth="1"/>
    <col min="13331" max="13332" width="14" style="1267" customWidth="1"/>
    <col min="13333" max="13333" width="54" style="1267" customWidth="1"/>
    <col min="13334" max="13336" width="10.6640625" style="1267" customWidth="1"/>
    <col min="13337" max="13343" width="11.1640625" style="1267" customWidth="1"/>
    <col min="13344" max="13568" width="4.5" style="1267"/>
    <col min="13569" max="13569" width="11.83203125" style="1267" customWidth="1"/>
    <col min="13570" max="13570" width="2.1640625" style="1267" customWidth="1"/>
    <col min="13571" max="13586" width="10.6640625" style="1267" customWidth="1"/>
    <col min="13587" max="13588" width="14" style="1267" customWidth="1"/>
    <col min="13589" max="13589" width="54" style="1267" customWidth="1"/>
    <col min="13590" max="13592" width="10.6640625" style="1267" customWidth="1"/>
    <col min="13593" max="13599" width="11.1640625" style="1267" customWidth="1"/>
    <col min="13600" max="13824" width="4.5" style="1267"/>
    <col min="13825" max="13825" width="11.83203125" style="1267" customWidth="1"/>
    <col min="13826" max="13826" width="2.1640625" style="1267" customWidth="1"/>
    <col min="13827" max="13842" width="10.6640625" style="1267" customWidth="1"/>
    <col min="13843" max="13844" width="14" style="1267" customWidth="1"/>
    <col min="13845" max="13845" width="54" style="1267" customWidth="1"/>
    <col min="13846" max="13848" width="10.6640625" style="1267" customWidth="1"/>
    <col min="13849" max="13855" width="11.1640625" style="1267" customWidth="1"/>
    <col min="13856" max="14080" width="4.5" style="1267"/>
    <col min="14081" max="14081" width="11.83203125" style="1267" customWidth="1"/>
    <col min="14082" max="14082" width="2.1640625" style="1267" customWidth="1"/>
    <col min="14083" max="14098" width="10.6640625" style="1267" customWidth="1"/>
    <col min="14099" max="14100" width="14" style="1267" customWidth="1"/>
    <col min="14101" max="14101" width="54" style="1267" customWidth="1"/>
    <col min="14102" max="14104" width="10.6640625" style="1267" customWidth="1"/>
    <col min="14105" max="14111" width="11.1640625" style="1267" customWidth="1"/>
    <col min="14112" max="14336" width="4.5" style="1267"/>
    <col min="14337" max="14337" width="11.83203125" style="1267" customWidth="1"/>
    <col min="14338" max="14338" width="2.1640625" style="1267" customWidth="1"/>
    <col min="14339" max="14354" width="10.6640625" style="1267" customWidth="1"/>
    <col min="14355" max="14356" width="14" style="1267" customWidth="1"/>
    <col min="14357" max="14357" width="54" style="1267" customWidth="1"/>
    <col min="14358" max="14360" width="10.6640625" style="1267" customWidth="1"/>
    <col min="14361" max="14367" width="11.1640625" style="1267" customWidth="1"/>
    <col min="14368" max="14592" width="4.5" style="1267"/>
    <col min="14593" max="14593" width="11.83203125" style="1267" customWidth="1"/>
    <col min="14594" max="14594" width="2.1640625" style="1267" customWidth="1"/>
    <col min="14595" max="14610" width="10.6640625" style="1267" customWidth="1"/>
    <col min="14611" max="14612" width="14" style="1267" customWidth="1"/>
    <col min="14613" max="14613" width="54" style="1267" customWidth="1"/>
    <col min="14614" max="14616" width="10.6640625" style="1267" customWidth="1"/>
    <col min="14617" max="14623" width="11.1640625" style="1267" customWidth="1"/>
    <col min="14624" max="14848" width="4.5" style="1267"/>
    <col min="14849" max="14849" width="11.83203125" style="1267" customWidth="1"/>
    <col min="14850" max="14850" width="2.1640625" style="1267" customWidth="1"/>
    <col min="14851" max="14866" width="10.6640625" style="1267" customWidth="1"/>
    <col min="14867" max="14868" width="14" style="1267" customWidth="1"/>
    <col min="14869" max="14869" width="54" style="1267" customWidth="1"/>
    <col min="14870" max="14872" width="10.6640625" style="1267" customWidth="1"/>
    <col min="14873" max="14879" width="11.1640625" style="1267" customWidth="1"/>
    <col min="14880" max="15104" width="4.5" style="1267"/>
    <col min="15105" max="15105" width="11.83203125" style="1267" customWidth="1"/>
    <col min="15106" max="15106" width="2.1640625" style="1267" customWidth="1"/>
    <col min="15107" max="15122" width="10.6640625" style="1267" customWidth="1"/>
    <col min="15123" max="15124" width="14" style="1267" customWidth="1"/>
    <col min="15125" max="15125" width="54" style="1267" customWidth="1"/>
    <col min="15126" max="15128" width="10.6640625" style="1267" customWidth="1"/>
    <col min="15129" max="15135" width="11.1640625" style="1267" customWidth="1"/>
    <col min="15136" max="15360" width="4.5" style="1267"/>
    <col min="15361" max="15361" width="11.83203125" style="1267" customWidth="1"/>
    <col min="15362" max="15362" width="2.1640625" style="1267" customWidth="1"/>
    <col min="15363" max="15378" width="10.6640625" style="1267" customWidth="1"/>
    <col min="15379" max="15380" width="14" style="1267" customWidth="1"/>
    <col min="15381" max="15381" width="54" style="1267" customWidth="1"/>
    <col min="15382" max="15384" width="10.6640625" style="1267" customWidth="1"/>
    <col min="15385" max="15391" width="11.1640625" style="1267" customWidth="1"/>
    <col min="15392" max="15616" width="4.5" style="1267"/>
    <col min="15617" max="15617" width="11.83203125" style="1267" customWidth="1"/>
    <col min="15618" max="15618" width="2.1640625" style="1267" customWidth="1"/>
    <col min="15619" max="15634" width="10.6640625" style="1267" customWidth="1"/>
    <col min="15635" max="15636" width="14" style="1267" customWidth="1"/>
    <col min="15637" max="15637" width="54" style="1267" customWidth="1"/>
    <col min="15638" max="15640" width="10.6640625" style="1267" customWidth="1"/>
    <col min="15641" max="15647" width="11.1640625" style="1267" customWidth="1"/>
    <col min="15648" max="15872" width="4.5" style="1267"/>
    <col min="15873" max="15873" width="11.83203125" style="1267" customWidth="1"/>
    <col min="15874" max="15874" width="2.1640625" style="1267" customWidth="1"/>
    <col min="15875" max="15890" width="10.6640625" style="1267" customWidth="1"/>
    <col min="15891" max="15892" width="14" style="1267" customWidth="1"/>
    <col min="15893" max="15893" width="54" style="1267" customWidth="1"/>
    <col min="15894" max="15896" width="10.6640625" style="1267" customWidth="1"/>
    <col min="15897" max="15903" width="11.1640625" style="1267" customWidth="1"/>
    <col min="15904" max="16128" width="4.5" style="1267"/>
    <col min="16129" max="16129" width="11.83203125" style="1267" customWidth="1"/>
    <col min="16130" max="16130" width="2.1640625" style="1267" customWidth="1"/>
    <col min="16131" max="16146" width="10.6640625" style="1267" customWidth="1"/>
    <col min="16147" max="16148" width="14" style="1267" customWidth="1"/>
    <col min="16149" max="16149" width="54" style="1267" customWidth="1"/>
    <col min="16150" max="16152" width="10.6640625" style="1267" customWidth="1"/>
    <col min="16153" max="16159" width="11.1640625" style="1267" customWidth="1"/>
    <col min="16160" max="16384" width="4.5" style="1267"/>
  </cols>
  <sheetData>
    <row r="1" spans="1:31">
      <c r="A1" s="1266" t="s">
        <v>60</v>
      </c>
      <c r="G1" s="1409"/>
      <c r="H1" s="1410" t="s">
        <v>195</v>
      </c>
      <c r="I1" s="1409"/>
      <c r="J1" s="1409"/>
      <c r="K1" s="1409"/>
      <c r="L1" s="1409"/>
      <c r="M1" s="1409"/>
      <c r="O1" s="1271"/>
      <c r="P1" s="1272"/>
      <c r="R1" s="1272"/>
      <c r="S1" s="1272"/>
      <c r="T1" s="1272"/>
      <c r="U1" s="1272"/>
      <c r="V1" s="1272">
        <f>+Base!V1</f>
        <v>45565</v>
      </c>
    </row>
    <row r="2" spans="1:31">
      <c r="A2" s="1273" t="s">
        <v>62</v>
      </c>
      <c r="B2" s="1274"/>
      <c r="C2" s="1274"/>
      <c r="D2" s="1274"/>
      <c r="E2" s="1274"/>
      <c r="F2" s="1274"/>
      <c r="G2" s="1274"/>
      <c r="H2" s="1274"/>
      <c r="I2" s="1274"/>
      <c r="J2" s="1274"/>
      <c r="K2" s="1274"/>
      <c r="L2" s="1274"/>
      <c r="M2" s="1274"/>
      <c r="N2" s="1274"/>
      <c r="O2" s="1274"/>
      <c r="P2" s="1274"/>
      <c r="Q2" s="1274"/>
      <c r="R2" s="1274"/>
      <c r="S2" s="1274"/>
      <c r="T2" s="1274"/>
      <c r="U2" s="1274"/>
      <c r="V2" s="1274"/>
      <c r="W2" s="1274"/>
      <c r="X2" s="1274"/>
      <c r="Y2" s="1274"/>
      <c r="Z2" s="1274"/>
      <c r="AA2" s="1274"/>
      <c r="AB2" s="1274"/>
      <c r="AC2" s="1274"/>
      <c r="AD2" s="1274"/>
      <c r="AE2" s="1274"/>
    </row>
    <row r="3" spans="1:31">
      <c r="A3" s="1275" t="s">
        <v>63</v>
      </c>
      <c r="C3" s="1276"/>
      <c r="D3" s="1276"/>
      <c r="E3" s="1276"/>
      <c r="F3" s="1276"/>
      <c r="G3" s="1276"/>
      <c r="H3" s="1276"/>
      <c r="I3" s="1276"/>
      <c r="J3" s="1276"/>
      <c r="K3" s="1276">
        <f>+Base!K3</f>
        <v>45565</v>
      </c>
      <c r="L3" s="1276">
        <v>46203</v>
      </c>
      <c r="M3" s="1276">
        <v>46568</v>
      </c>
      <c r="N3" s="1276">
        <v>46934</v>
      </c>
      <c r="O3" s="1276">
        <v>47299</v>
      </c>
      <c r="P3" s="1276">
        <v>47664</v>
      </c>
      <c r="Q3" s="1276">
        <v>48029</v>
      </c>
      <c r="R3" s="1276">
        <v>48395</v>
      </c>
      <c r="S3" s="1276">
        <v>48760</v>
      </c>
      <c r="T3" s="1276">
        <v>49125</v>
      </c>
      <c r="U3" s="1276">
        <v>49490</v>
      </c>
      <c r="V3" s="1276">
        <v>49856</v>
      </c>
    </row>
    <row r="4" spans="1:31" ht="20.100000000000001">
      <c r="A4" s="1277"/>
      <c r="C4" s="1278"/>
      <c r="D4" s="1278" t="str">
        <f>+'Historical Financials'!D5</f>
        <v>FYE June 30th</v>
      </c>
      <c r="E4" s="1279"/>
      <c r="F4" s="1279"/>
      <c r="G4" s="1279"/>
      <c r="H4" s="1279"/>
      <c r="I4" s="1279"/>
      <c r="J4" s="1279"/>
      <c r="K4" s="1279"/>
      <c r="L4" s="1279"/>
      <c r="M4" s="1279"/>
      <c r="N4" s="1279"/>
      <c r="O4" s="1279"/>
      <c r="P4" s="1279"/>
      <c r="Q4" s="1279"/>
      <c r="R4" s="1279"/>
      <c r="S4" s="1279"/>
      <c r="T4" s="1279"/>
      <c r="U4" s="1279"/>
      <c r="V4" s="1279"/>
    </row>
    <row r="5" spans="1:31" ht="20.100000000000001">
      <c r="C5" s="1280" t="s">
        <v>64</v>
      </c>
      <c r="D5" s="1280" t="s">
        <v>65</v>
      </c>
      <c r="E5" s="1280" t="s">
        <v>66</v>
      </c>
      <c r="F5" s="1280" t="s">
        <v>67</v>
      </c>
      <c r="G5" s="1280" t="s">
        <v>68</v>
      </c>
      <c r="H5" s="1280" t="s">
        <v>69</v>
      </c>
      <c r="I5" s="1280" t="s">
        <v>70</v>
      </c>
      <c r="J5" s="1280" t="s">
        <v>71</v>
      </c>
      <c r="K5" s="1281" t="s">
        <v>72</v>
      </c>
      <c r="L5" s="1280" t="s">
        <v>73</v>
      </c>
      <c r="M5" s="1280" t="s">
        <v>74</v>
      </c>
      <c r="N5" s="1280" t="s">
        <v>75</v>
      </c>
      <c r="O5" s="1280" t="s">
        <v>76</v>
      </c>
      <c r="P5" s="1280" t="s">
        <v>77</v>
      </c>
      <c r="Q5" s="1280" t="s">
        <v>78</v>
      </c>
      <c r="R5" s="1280" t="s">
        <v>79</v>
      </c>
      <c r="S5" s="1280" t="s">
        <v>80</v>
      </c>
      <c r="T5" s="1280" t="s">
        <v>81</v>
      </c>
      <c r="U5" s="1280" t="s">
        <v>82</v>
      </c>
      <c r="V5" s="1280" t="s">
        <v>83</v>
      </c>
    </row>
    <row r="6" spans="1:31" ht="20.100000000000001">
      <c r="A6" s="1282" t="s">
        <v>84</v>
      </c>
      <c r="B6" s="1283"/>
      <c r="C6" s="1280"/>
      <c r="D6" s="1280"/>
      <c r="E6" s="1280"/>
      <c r="F6" s="1280"/>
      <c r="G6" s="1280"/>
      <c r="H6" s="1280"/>
      <c r="I6" s="1280"/>
      <c r="J6" s="1280"/>
      <c r="K6" s="1281"/>
      <c r="L6" s="1280"/>
      <c r="M6" s="1280"/>
      <c r="N6" s="1280"/>
      <c r="O6" s="1280"/>
      <c r="P6" s="1280"/>
      <c r="Q6" s="1280"/>
      <c r="R6" s="1280"/>
      <c r="S6" s="1280"/>
      <c r="T6" s="1280"/>
      <c r="U6" s="1280"/>
      <c r="V6" s="1280"/>
    </row>
    <row r="7" spans="1:31" ht="20.100000000000001">
      <c r="C7" s="1284"/>
      <c r="D7" s="1285"/>
      <c r="E7" s="1286"/>
      <c r="F7" s="1287"/>
      <c r="G7" s="1287"/>
      <c r="H7" s="1287"/>
      <c r="I7" s="1287"/>
      <c r="J7" s="1285"/>
      <c r="K7" s="1288" t="str">
        <f>+Base!K7</f>
        <v>c = 279,049</v>
      </c>
      <c r="L7" s="1289"/>
      <c r="M7" s="1280"/>
      <c r="N7" s="1280"/>
      <c r="O7" s="1280"/>
      <c r="P7" s="1280"/>
      <c r="Q7" s="1280"/>
      <c r="R7" s="1280"/>
      <c r="S7" s="1280"/>
      <c r="T7" s="1280"/>
      <c r="U7" s="1280"/>
      <c r="V7" s="1280"/>
    </row>
    <row r="8" spans="1:31">
      <c r="A8" s="1267" t="s">
        <v>86</v>
      </c>
      <c r="B8" s="1290"/>
      <c r="C8" s="1291">
        <f>+'Historical Financials'!BH12</f>
        <v>96571</v>
      </c>
      <c r="D8" s="1291">
        <f>+'Historical Financials'!BI12</f>
        <v>110360</v>
      </c>
      <c r="E8" s="1291">
        <f>+'Historical Financials'!BJ12</f>
        <v>125843</v>
      </c>
      <c r="F8" s="1292">
        <f>+'Historical Financials'!BK12</f>
        <v>143015</v>
      </c>
      <c r="G8" s="1292">
        <f>+'Historical Financials'!BL12</f>
        <v>168088</v>
      </c>
      <c r="H8" s="1292">
        <f>+'Historical Financials'!BM12</f>
        <v>198270</v>
      </c>
      <c r="I8" s="1292">
        <f>+'Historical Financials'!BN12</f>
        <v>211915</v>
      </c>
      <c r="J8" s="1292">
        <f>+'Historical Financials'!BO12</f>
        <v>245122</v>
      </c>
      <c r="K8" s="1293">
        <f>+'Historical Financials'!BP12</f>
        <v>281211.84671227756</v>
      </c>
      <c r="L8" s="1292">
        <f>+Base!L8</f>
        <v>317769.38678487361</v>
      </c>
      <c r="M8" s="1292">
        <f>+Base!M8</f>
        <v>359079.40706690715</v>
      </c>
      <c r="N8" s="1292">
        <f>+Base!N8</f>
        <v>405759.72998560505</v>
      </c>
      <c r="O8" s="1292">
        <f>+Base!O8</f>
        <v>458508.49488373369</v>
      </c>
      <c r="P8" s="1292">
        <f>+Base!P8</f>
        <v>518114.599218619</v>
      </c>
      <c r="Q8" s="1292">
        <f>+Base!Q8</f>
        <v>585469.4971170394</v>
      </c>
      <c r="R8" s="1292">
        <f>+Base!R8</f>
        <v>661580.5317422545</v>
      </c>
      <c r="S8" s="1292">
        <f>+Base!S8</f>
        <v>747586.00086874748</v>
      </c>
      <c r="T8" s="1292">
        <f>+Base!T8</f>
        <v>844772.18098168459</v>
      </c>
      <c r="U8" s="1292">
        <f>+Base!U8</f>
        <v>954592.56450930354</v>
      </c>
      <c r="V8" s="1292">
        <f>+Base!V8</f>
        <v>1078689.5978955128</v>
      </c>
    </row>
    <row r="9" spans="1:31" ht="20.100000000000001">
      <c r="A9" s="1295" t="s">
        <v>87</v>
      </c>
      <c r="C9" s="1296"/>
      <c r="D9" s="1297">
        <f>D8/C8-1</f>
        <v>0.14278613662486661</v>
      </c>
      <c r="E9" s="1297">
        <f>E8/D8-1</f>
        <v>0.14029539688292858</v>
      </c>
      <c r="F9" s="1297">
        <f t="shared" ref="F9:K9" si="0">F8/E8-1</f>
        <v>0.13645574247276371</v>
      </c>
      <c r="G9" s="1297">
        <f t="shared" si="0"/>
        <v>0.17531727441177503</v>
      </c>
      <c r="H9" s="1297">
        <f t="shared" si="0"/>
        <v>0.17956070629670173</v>
      </c>
      <c r="I9" s="1296">
        <f t="shared" si="0"/>
        <v>6.8820295556564215E-2</v>
      </c>
      <c r="J9" s="1296">
        <f t="shared" si="0"/>
        <v>0.1566996201307127</v>
      </c>
      <c r="K9" s="1298">
        <f t="shared" si="0"/>
        <v>0.14723218116806147</v>
      </c>
      <c r="L9" s="1297">
        <f t="shared" ref="L9" si="1">L8/K8-1</f>
        <v>0.12999999999999989</v>
      </c>
      <c r="M9" s="1297">
        <f t="shared" ref="M9" si="2">M8/L8-1</f>
        <v>0.12999999999999989</v>
      </c>
      <c r="N9" s="1297">
        <f t="shared" ref="N9" si="3">N8/M8-1</f>
        <v>0.12999999999999989</v>
      </c>
      <c r="O9" s="1297">
        <f t="shared" ref="O9" si="4">O8/N8-1</f>
        <v>0.12999999999999989</v>
      </c>
      <c r="P9" s="1297">
        <f t="shared" ref="P9" si="5">P8/O8-1</f>
        <v>0.12999999999999989</v>
      </c>
      <c r="Q9" s="1297">
        <f t="shared" ref="Q9" si="6">Q8/P8-1</f>
        <v>0.12999999999999989</v>
      </c>
      <c r="R9" s="1297">
        <f t="shared" ref="R9" si="7">R8/Q8-1</f>
        <v>0.12999999999999989</v>
      </c>
      <c r="S9" s="1297">
        <f t="shared" ref="S9" si="8">S8/R8-1</f>
        <v>0.12999999999999989</v>
      </c>
      <c r="T9" s="1297">
        <f t="shared" ref="T9" si="9">T8/S8-1</f>
        <v>0.12999999999999989</v>
      </c>
      <c r="U9" s="1297">
        <f t="shared" ref="U9" si="10">U8/T8-1</f>
        <v>0.12999999999999989</v>
      </c>
      <c r="V9" s="1297">
        <f t="shared" ref="V9" si="11">V8/U8-1</f>
        <v>0.12999999999999989</v>
      </c>
      <c r="Y9" s="1300" t="s">
        <v>60</v>
      </c>
      <c r="AA9" s="1280" t="s">
        <v>88</v>
      </c>
    </row>
    <row r="10" spans="1:31">
      <c r="A10" s="1295" t="s">
        <v>89</v>
      </c>
      <c r="C10" s="1296"/>
      <c r="D10" s="1297">
        <f>+'Historical Financials'!BI15</f>
        <v>0.12866916569156372</v>
      </c>
      <c r="E10" s="1297">
        <f>+'Historical Financials'!BJ15</f>
        <v>0.1508835628851033</v>
      </c>
      <c r="F10" s="1297">
        <f>+'Historical Financials'!BK15</f>
        <v>0.15208497890228301</v>
      </c>
      <c r="G10" s="1297">
        <f>+'Historical Financials'!BL15</f>
        <v>0.1534946089571024</v>
      </c>
      <c r="H10" s="1297">
        <f>+'Historical Financials'!BM15</f>
        <v>0.18958755731124965</v>
      </c>
      <c r="I10" s="1297">
        <f>+'Historical Financials'!BN15</f>
        <v>0.10029775894823553</v>
      </c>
      <c r="J10" s="1296">
        <f>+'Historical Financials'!BO15</f>
        <v>0.12609841999640306</v>
      </c>
      <c r="K10" s="1298">
        <f>+'Historical Financials'!BP15</f>
        <v>0.12358334499224677</v>
      </c>
      <c r="L10" s="1297">
        <f t="shared" ref="L10:V10" si="12">+L9</f>
        <v>0.12999999999999989</v>
      </c>
      <c r="M10" s="1297">
        <f t="shared" si="12"/>
        <v>0.12999999999999989</v>
      </c>
      <c r="N10" s="1297">
        <f t="shared" si="12"/>
        <v>0.12999999999999989</v>
      </c>
      <c r="O10" s="1297">
        <f t="shared" si="12"/>
        <v>0.12999999999999989</v>
      </c>
      <c r="P10" s="1297">
        <f t="shared" si="12"/>
        <v>0.12999999999999989</v>
      </c>
      <c r="Q10" s="1297">
        <f t="shared" si="12"/>
        <v>0.12999999999999989</v>
      </c>
      <c r="R10" s="1297">
        <f t="shared" si="12"/>
        <v>0.12999999999999989</v>
      </c>
      <c r="S10" s="1297">
        <f t="shared" si="12"/>
        <v>0.12999999999999989</v>
      </c>
      <c r="T10" s="1297">
        <f t="shared" si="12"/>
        <v>0.12999999999999989</v>
      </c>
      <c r="U10" s="1297">
        <f t="shared" si="12"/>
        <v>0.12999999999999989</v>
      </c>
      <c r="V10" s="1297">
        <f t="shared" si="12"/>
        <v>0.12999999999999989</v>
      </c>
      <c r="Y10" s="1301" t="s">
        <v>90</v>
      </c>
      <c r="AA10" s="1302"/>
    </row>
    <row r="11" spans="1:31">
      <c r="A11" s="1295"/>
      <c r="C11" s="1296"/>
      <c r="D11" s="1297"/>
      <c r="E11" s="1297"/>
      <c r="F11" s="1297"/>
      <c r="G11" s="1303"/>
      <c r="H11" s="1303"/>
      <c r="I11" s="1304"/>
      <c r="J11" s="1296"/>
      <c r="K11" s="1305"/>
      <c r="L11" s="1303"/>
      <c r="M11" s="1303"/>
      <c r="N11" s="1303"/>
      <c r="O11" s="1303"/>
      <c r="P11" s="1303"/>
      <c r="Q11" s="1303"/>
      <c r="R11" s="1303"/>
      <c r="S11" s="1303"/>
      <c r="T11" s="1303"/>
      <c r="U11" s="1303"/>
      <c r="V11" s="1303"/>
      <c r="Y11" s="1267" t="s">
        <v>91</v>
      </c>
      <c r="AA11" s="1302" t="s">
        <v>92</v>
      </c>
    </row>
    <row r="12" spans="1:31">
      <c r="A12" s="1295"/>
      <c r="C12" s="1296"/>
      <c r="D12" s="1297"/>
      <c r="E12" s="1297"/>
      <c r="F12" s="1287"/>
      <c r="G12" s="1287"/>
      <c r="H12" s="1287"/>
      <c r="I12" s="1287"/>
      <c r="J12" s="1285"/>
      <c r="K12" s="1288" t="str">
        <f>+Base!K12</f>
        <v>c = 122,460</v>
      </c>
      <c r="L12" s="1303"/>
      <c r="M12" s="1303"/>
      <c r="N12" s="1303"/>
      <c r="O12" s="1303"/>
      <c r="P12" s="1303"/>
      <c r="Q12" s="1303"/>
      <c r="R12" s="1303"/>
      <c r="S12" s="1303"/>
      <c r="T12" s="1303"/>
      <c r="U12" s="1303"/>
      <c r="V12" s="1303"/>
      <c r="Y12" s="1267" t="s">
        <v>94</v>
      </c>
      <c r="AA12" s="1306">
        <v>0.04</v>
      </c>
    </row>
    <row r="13" spans="1:31">
      <c r="A13" s="1307" t="s">
        <v>95</v>
      </c>
      <c r="B13" s="1290"/>
      <c r="C13" s="1291">
        <f>+'Historical Financials'!BH48</f>
        <v>29331</v>
      </c>
      <c r="D13" s="1291">
        <f>+'Historical Financials'!BI48</f>
        <v>35058</v>
      </c>
      <c r="E13" s="1292">
        <f>+'Historical Financials'!BJ48</f>
        <v>42959</v>
      </c>
      <c r="F13" s="1292">
        <f>+'Historical Financials'!BK48</f>
        <v>52959</v>
      </c>
      <c r="G13" s="1308">
        <f>+'Historical Financials'!BL48</f>
        <v>69916</v>
      </c>
      <c r="H13" s="1308">
        <f>+'Historical Financials'!BM48</f>
        <v>83383</v>
      </c>
      <c r="I13" s="1308">
        <f>+'Historical Financials'!BN48</f>
        <v>89694</v>
      </c>
      <c r="J13" s="1292">
        <f>+'Historical Financials'!BO48</f>
        <v>112443</v>
      </c>
      <c r="K13" s="1293">
        <f>+'Historical Financials'!BP48</f>
        <v>133290.34849037323</v>
      </c>
      <c r="L13" s="1294">
        <f>+L124</f>
        <v>160491.74446917171</v>
      </c>
      <c r="M13" s="1294">
        <f>+M122*M125</f>
        <v>190881.85067473922</v>
      </c>
      <c r="N13" s="1294">
        <f t="shared" ref="N13:V13" si="13">+N122*N125</f>
        <v>223136.73437347653</v>
      </c>
      <c r="O13" s="1294">
        <f t="shared" si="13"/>
        <v>256910.44754453728</v>
      </c>
      <c r="P13" s="1294">
        <f t="shared" si="13"/>
        <v>291923.05602935649</v>
      </c>
      <c r="Q13" s="1294">
        <f t="shared" si="13"/>
        <v>329089.78923187166</v>
      </c>
      <c r="R13" s="1294">
        <f t="shared" si="13"/>
        <v>369669.46442630049</v>
      </c>
      <c r="S13" s="1294">
        <f t="shared" si="13"/>
        <v>415801.16133143235</v>
      </c>
      <c r="T13" s="1294">
        <f t="shared" si="13"/>
        <v>451132.77099609212</v>
      </c>
      <c r="U13" s="1294">
        <f t="shared" si="13"/>
        <v>493398.33902629151</v>
      </c>
      <c r="V13" s="1294">
        <f t="shared" si="13"/>
        <v>544102.77366082848</v>
      </c>
      <c r="Y13" s="1267" t="s">
        <v>96</v>
      </c>
      <c r="AA13" s="1302" t="s">
        <v>97</v>
      </c>
    </row>
    <row r="14" spans="1:31">
      <c r="A14" s="1295" t="s">
        <v>87</v>
      </c>
      <c r="C14" s="1296"/>
      <c r="D14" s="1297">
        <f>D13/C13-1</f>
        <v>0.19525416794517736</v>
      </c>
      <c r="E14" s="1297">
        <f>E13/D13-1</f>
        <v>0.22536938787152727</v>
      </c>
      <c r="F14" s="1297">
        <f>F13/E13-1</f>
        <v>0.23278009264647692</v>
      </c>
      <c r="G14" s="1296">
        <f t="shared" ref="G14:M14" si="14">G13/F13-1</f>
        <v>0.3201910912215109</v>
      </c>
      <c r="H14" s="1296">
        <f t="shared" si="14"/>
        <v>0.19261685451112753</v>
      </c>
      <c r="I14" s="1296">
        <f t="shared" si="14"/>
        <v>7.5686890613194446E-2</v>
      </c>
      <c r="J14" s="1296">
        <f t="shared" si="14"/>
        <v>0.25362900528463439</v>
      </c>
      <c r="K14" s="1298">
        <f t="shared" si="14"/>
        <v>0.18540370223467217</v>
      </c>
      <c r="L14" s="1297">
        <f t="shared" si="14"/>
        <v>0.20407626123629696</v>
      </c>
      <c r="M14" s="1297">
        <f t="shared" si="14"/>
        <v>0.18935619589707331</v>
      </c>
      <c r="N14" s="1297">
        <f t="shared" ref="N14" si="15">N13/M13-1</f>
        <v>0.16897826369935665</v>
      </c>
      <c r="O14" s="1297">
        <f t="shared" ref="O14" si="16">O13/N13-1</f>
        <v>0.15135882160277458</v>
      </c>
      <c r="P14" s="1297">
        <f t="shared" ref="P14" si="17">P13/O13-1</f>
        <v>0.13628331902987134</v>
      </c>
      <c r="Q14" s="1297">
        <f t="shared" ref="Q14" si="18">Q13/P13-1</f>
        <v>0.12731688174289868</v>
      </c>
      <c r="R14" s="1297">
        <f t="shared" ref="R14" si="19">R13/Q13-1</f>
        <v>0.12330882489288353</v>
      </c>
      <c r="S14" s="1297">
        <f t="shared" ref="S14" si="20">S13/R13-1</f>
        <v>0.12479174328538289</v>
      </c>
      <c r="T14" s="1297">
        <f t="shared" ref="T14" si="21">T13/S13-1</f>
        <v>8.4972368887871408E-2</v>
      </c>
      <c r="U14" s="1297">
        <f t="shared" ref="U14" si="22">U13/T13-1</f>
        <v>9.3687647512012528E-2</v>
      </c>
      <c r="V14" s="1297">
        <f t="shared" ref="V14" si="23">V13/U13-1</f>
        <v>0.10276571813071134</v>
      </c>
      <c r="AA14" s="1302"/>
    </row>
    <row r="15" spans="1:31" s="1277" customFormat="1">
      <c r="A15" s="1295" t="s">
        <v>98</v>
      </c>
      <c r="C15" s="1296"/>
      <c r="D15" s="1309">
        <f>+D24</f>
        <v>0.17249565306331185</v>
      </c>
      <c r="E15" s="1309">
        <f>+E24</f>
        <v>0.24103656797307321</v>
      </c>
      <c r="F15" s="1309">
        <f>+F24</f>
        <v>0.29050722782187671</v>
      </c>
      <c r="G15" s="1310">
        <f>+'Historical Financials'!BL61</f>
        <v>0.22807492588606293</v>
      </c>
      <c r="H15" s="1310">
        <f>+'Historical Financials'!BM61</f>
        <v>0.25276367406485195</v>
      </c>
      <c r="I15" s="1310">
        <f>+'Historical Financials'!BN61</f>
        <v>9.6498489478974617E-2</v>
      </c>
      <c r="J15" s="1310">
        <f>+'Historical Financials'!BO61</f>
        <v>0.2726341594082406</v>
      </c>
      <c r="K15" s="1305"/>
      <c r="L15" s="1303"/>
      <c r="M15" s="1303"/>
      <c r="N15" s="1303"/>
      <c r="O15" s="1303"/>
      <c r="P15" s="1303"/>
      <c r="Q15" s="1303"/>
      <c r="R15" s="1303"/>
      <c r="S15" s="1303"/>
      <c r="T15" s="1303"/>
      <c r="U15" s="1303"/>
      <c r="V15" s="1303"/>
      <c r="X15" s="1295"/>
      <c r="Y15" s="1295"/>
    </row>
    <row r="16" spans="1:31">
      <c r="A16" s="1295" t="s">
        <v>99</v>
      </c>
      <c r="C16" s="1296"/>
      <c r="D16" s="1297">
        <f>+D13/D8</f>
        <v>0.31766944545125048</v>
      </c>
      <c r="E16" s="1297">
        <f t="shared" ref="E16:V16" si="24">+E13/E8</f>
        <v>0.3413698020549415</v>
      </c>
      <c r="F16" s="1297">
        <f t="shared" si="24"/>
        <v>0.37030381428521486</v>
      </c>
      <c r="G16" s="1296">
        <f t="shared" si="24"/>
        <v>0.41594878872971303</v>
      </c>
      <c r="H16" s="1296">
        <f t="shared" si="24"/>
        <v>0.4205527815604983</v>
      </c>
      <c r="I16" s="1296">
        <f t="shared" si="24"/>
        <v>0.42325460679989618</v>
      </c>
      <c r="J16" s="1296">
        <f t="shared" si="24"/>
        <v>0.45872259527908554</v>
      </c>
      <c r="K16" s="1311">
        <f t="shared" si="24"/>
        <v>0.47398553812261512</v>
      </c>
      <c r="L16" s="1297">
        <f t="shared" si="24"/>
        <v>0.50505728727677235</v>
      </c>
      <c r="M16" s="1297">
        <f t="shared" si="24"/>
        <v>0.53158673796955525</v>
      </c>
      <c r="N16" s="1297">
        <f t="shared" si="24"/>
        <v>0.5499233114665979</v>
      </c>
      <c r="O16" s="1297">
        <f t="shared" si="24"/>
        <v>0.56031774855051131</v>
      </c>
      <c r="P16" s="1297">
        <f t="shared" si="24"/>
        <v>0.56343337259674331</v>
      </c>
      <c r="Q16" s="1297">
        <f t="shared" si="24"/>
        <v>0.56209553333242968</v>
      </c>
      <c r="R16" s="1297">
        <f t="shared" si="24"/>
        <v>0.5587671442700799</v>
      </c>
      <c r="S16" s="1297">
        <f t="shared" si="24"/>
        <v>0.55619174362313117</v>
      </c>
      <c r="T16" s="1297">
        <f t="shared" si="24"/>
        <v>0.53402891472094183</v>
      </c>
      <c r="U16" s="1297">
        <f t="shared" si="24"/>
        <v>0.51686798888897356</v>
      </c>
      <c r="V16" s="1297">
        <f t="shared" si="24"/>
        <v>0.50441088402294298</v>
      </c>
      <c r="Y16" s="1267" t="s">
        <v>100</v>
      </c>
      <c r="AA16" s="1302" t="s">
        <v>92</v>
      </c>
    </row>
    <row r="17" spans="1:28">
      <c r="A17" s="1295" t="s">
        <v>101</v>
      </c>
      <c r="C17" s="1297"/>
      <c r="D17" s="1297">
        <f>(D13-C13)/(D8-C8)</f>
        <v>0.41533106099064471</v>
      </c>
      <c r="E17" s="1297">
        <f>(E13-D13)/(E8-D8)</f>
        <v>0.51030162113285538</v>
      </c>
      <c r="F17" s="1297">
        <f>(F13-E13)/(F8-E8)</f>
        <v>0.58234334963894707</v>
      </c>
      <c r="G17" s="1296">
        <f t="shared" ref="G17:K17" si="25">(G13-F13)/(G8-F8)</f>
        <v>0.67630518884856217</v>
      </c>
      <c r="H17" s="1296">
        <f t="shared" si="25"/>
        <v>0.44619309522231793</v>
      </c>
      <c r="I17" s="1296">
        <f t="shared" si="25"/>
        <v>0.46251374129717843</v>
      </c>
      <c r="J17" s="1296">
        <f t="shared" si="25"/>
        <v>0.68506640166230015</v>
      </c>
      <c r="K17" s="1311">
        <f t="shared" si="25"/>
        <v>0.57765134489421599</v>
      </c>
      <c r="L17" s="1297">
        <f t="shared" ref="L17" si="26">(L13-K13)/(L8-K8)</f>
        <v>0.7440707423087517</v>
      </c>
      <c r="M17" s="1297">
        <f t="shared" ref="M17" si="27">(M13-L13)/(M8-L8)</f>
        <v>0.73565943560634628</v>
      </c>
      <c r="N17" s="1297">
        <f t="shared" ref="N17" si="28">(N13-M13)/(N8-M8)</f>
        <v>0.69097387682846445</v>
      </c>
      <c r="O17" s="1297">
        <f t="shared" ref="O17" si="29">(O13-N13)/(O8-N8)</f>
        <v>0.64027495688830693</v>
      </c>
      <c r="P17" s="1297">
        <f t="shared" ref="P17" si="30">(P13-O13)/(P8-O8)</f>
        <v>0.58739971141391278</v>
      </c>
      <c r="Q17" s="1297">
        <f t="shared" ref="Q17" si="31">(Q13-P13)/(Q8-P8)</f>
        <v>0.55180446206847866</v>
      </c>
      <c r="R17" s="1297">
        <f t="shared" ref="R17" si="32">(R13-Q13)/(R8-Q8)</f>
        <v>0.53316415148277374</v>
      </c>
      <c r="S17" s="1297">
        <f t="shared" ref="S17" si="33">(S13-R13)/(S8-R8)</f>
        <v>0.53638096941583369</v>
      </c>
      <c r="T17" s="1297">
        <f t="shared" ref="T17" si="34">(T13-S13)/(T8-S8)</f>
        <v>0.36354561547333147</v>
      </c>
      <c r="U17" s="1297">
        <f t="shared" ref="U17" si="35">(U13-T13)/(U8-T8)</f>
        <v>0.38486086710460204</v>
      </c>
      <c r="V17" s="1297">
        <f t="shared" ref="V17" si="36">(V13-U13)/(V8-U8)</f>
        <v>0.40858700043809171</v>
      </c>
      <c r="Y17" s="1267" t="s">
        <v>102</v>
      </c>
      <c r="AA17" s="1302" t="s">
        <v>103</v>
      </c>
    </row>
    <row r="18" spans="1:28">
      <c r="A18" s="1295" t="s">
        <v>104</v>
      </c>
      <c r="C18" s="1297"/>
      <c r="D18" s="1297">
        <f>+'Historical Financials'!BI54</f>
        <v>0.40717753754111435</v>
      </c>
      <c r="E18" s="1297">
        <f>+'Historical Financials'!BJ54</f>
        <v>0.50747709967444388</v>
      </c>
      <c r="F18" s="1297">
        <f>+'Historical Financials'!BK54</f>
        <v>0.65080049690651331</v>
      </c>
      <c r="G18" s="1296">
        <f>+'Historical Financials'!BL54</f>
        <v>0.55022789120906668</v>
      </c>
      <c r="H18" s="1296">
        <f>+'Historical Financials'!BM54</f>
        <v>0.54843620075989441</v>
      </c>
      <c r="I18" s="1296">
        <f>+'Historical Financials'!BN54</f>
        <v>0.38351640596561781</v>
      </c>
      <c r="J18" s="1296">
        <f>+'Historical Financials'!BO54</f>
        <v>0.75352945184063325</v>
      </c>
      <c r="K18" s="1288"/>
      <c r="L18" s="1299"/>
      <c r="M18" s="1299"/>
      <c r="N18" s="1299"/>
      <c r="O18" s="1299"/>
      <c r="P18" s="1299"/>
      <c r="Q18" s="1299"/>
      <c r="R18" s="1299"/>
      <c r="S18" s="1299"/>
      <c r="T18" s="1299"/>
      <c r="U18" s="1299"/>
      <c r="V18" s="1299"/>
      <c r="Y18" s="1267" t="s">
        <v>105</v>
      </c>
      <c r="AA18" s="1302" t="s">
        <v>103</v>
      </c>
    </row>
    <row r="19" spans="1:28" hidden="1" outlineLevel="1">
      <c r="A19" s="1295"/>
      <c r="C19" s="1296"/>
      <c r="D19" s="1297"/>
      <c r="E19" s="1297"/>
      <c r="F19" s="1297"/>
      <c r="G19" s="1303"/>
      <c r="H19" s="1303"/>
      <c r="I19" s="1303"/>
      <c r="J19" s="1303"/>
      <c r="K19" s="1305"/>
      <c r="L19" s="1303"/>
      <c r="M19" s="1303"/>
      <c r="N19" s="1303"/>
      <c r="O19" s="1303"/>
      <c r="P19" s="1303"/>
      <c r="Q19" s="1303"/>
      <c r="R19" s="1303"/>
      <c r="S19" s="1303"/>
      <c r="T19" s="1303"/>
      <c r="U19" s="1303"/>
      <c r="V19" s="1303"/>
    </row>
    <row r="20" spans="1:28" ht="20.100000000000001" hidden="1" outlineLevel="1">
      <c r="A20" s="1312" t="s">
        <v>106</v>
      </c>
      <c r="C20" s="1313"/>
      <c r="D20" s="1314"/>
      <c r="E20" s="1314"/>
      <c r="F20" s="1314"/>
      <c r="G20" s="1315"/>
      <c r="H20" s="1315"/>
      <c r="I20" s="1315"/>
      <c r="J20" s="1315"/>
      <c r="K20" s="1316"/>
      <c r="L20" s="1315"/>
      <c r="M20" s="1315"/>
      <c r="N20" s="1315"/>
      <c r="O20" s="1315"/>
      <c r="P20" s="1315"/>
      <c r="Q20" s="1315"/>
      <c r="R20" s="1315"/>
      <c r="S20" s="1315"/>
      <c r="T20" s="1315"/>
      <c r="U20" s="1315"/>
      <c r="V20" s="1315"/>
      <c r="X20" s="1312"/>
      <c r="Z20" s="1278" t="s">
        <v>107</v>
      </c>
      <c r="AA20" s="1279"/>
      <c r="AB20" s="1277"/>
    </row>
    <row r="21" spans="1:28" s="1277" customFormat="1" ht="20.100000000000001" hidden="1" outlineLevel="1">
      <c r="A21" s="1295" t="s">
        <v>108</v>
      </c>
      <c r="C21" s="1296"/>
      <c r="D21" s="1297">
        <f>+D14</f>
        <v>0.19525416794517736</v>
      </c>
      <c r="E21" s="1297">
        <f t="shared" ref="E21:J21" si="37">+E14</f>
        <v>0.22536938787152727</v>
      </c>
      <c r="F21" s="1297">
        <f t="shared" si="37"/>
        <v>0.23278009264647692</v>
      </c>
      <c r="G21" s="1296">
        <f t="shared" si="37"/>
        <v>0.3201910912215109</v>
      </c>
      <c r="H21" s="1296">
        <f t="shared" si="37"/>
        <v>0.19261685451112753</v>
      </c>
      <c r="I21" s="1296">
        <f t="shared" si="37"/>
        <v>7.5686890613194446E-2</v>
      </c>
      <c r="J21" s="1303">
        <f t="shared" si="37"/>
        <v>0.25362900528463439</v>
      </c>
      <c r="K21" s="1305"/>
      <c r="L21" s="1303"/>
      <c r="M21" s="1303"/>
      <c r="N21" s="1303"/>
      <c r="O21" s="1303"/>
      <c r="P21" s="1303"/>
      <c r="Q21" s="1303"/>
      <c r="R21" s="1303"/>
      <c r="S21" s="1303"/>
      <c r="T21" s="1303"/>
      <c r="U21" s="1303"/>
      <c r="V21" s="1303"/>
      <c r="X21" s="1295"/>
      <c r="Z21" s="1280" t="s">
        <v>109</v>
      </c>
      <c r="AA21" s="1280" t="s">
        <v>88</v>
      </c>
    </row>
    <row r="22" spans="1:28" s="1277" customFormat="1" hidden="1" outlineLevel="1">
      <c r="A22" s="1295" t="s">
        <v>110</v>
      </c>
      <c r="C22" s="1296"/>
      <c r="D22" s="1309">
        <f>+D21</f>
        <v>0.19525416794517736</v>
      </c>
      <c r="E22" s="1309">
        <f t="shared" ref="E22:F22" si="38">+E21</f>
        <v>0.22536938787152727</v>
      </c>
      <c r="F22" s="1309">
        <f t="shared" si="38"/>
        <v>0.23278009264647692</v>
      </c>
      <c r="G22" s="1310">
        <f>+'Historical Financials'!BL58</f>
        <v>0.26542721728129309</v>
      </c>
      <c r="H22" s="1310">
        <f>+'Historical Financials'!BM58</f>
        <v>0.23513022821554716</v>
      </c>
      <c r="I22" s="1310">
        <f>+'Historical Financials'!BN58</f>
        <v>3.1422154974339353E-2</v>
      </c>
      <c r="J22" s="1303">
        <f>+'Historical Financials'!BO58</f>
        <v>0.27951577913754239</v>
      </c>
      <c r="K22" s="1305"/>
      <c r="L22" s="1303"/>
      <c r="M22" s="1303"/>
      <c r="N22" s="1303"/>
      <c r="O22" s="1303"/>
      <c r="P22" s="1303"/>
      <c r="Q22" s="1303"/>
      <c r="R22" s="1303"/>
      <c r="S22" s="1303"/>
      <c r="T22" s="1303"/>
      <c r="U22" s="1303"/>
      <c r="V22" s="1303"/>
      <c r="X22" s="1295"/>
      <c r="Y22" s="1317" t="s">
        <v>111</v>
      </c>
    </row>
    <row r="23" spans="1:28" s="1277" customFormat="1" hidden="1" outlineLevel="1">
      <c r="A23" s="1295"/>
      <c r="C23" s="1296"/>
      <c r="D23" s="1309"/>
      <c r="E23" s="1309"/>
      <c r="F23" s="1309"/>
      <c r="G23" s="1310"/>
      <c r="H23" s="1310"/>
      <c r="I23" s="1310"/>
      <c r="J23" s="1303"/>
      <c r="K23" s="1305"/>
      <c r="L23" s="1303"/>
      <c r="M23" s="1303"/>
      <c r="N23" s="1303"/>
      <c r="O23" s="1303"/>
      <c r="P23" s="1303"/>
      <c r="Q23" s="1303"/>
      <c r="R23" s="1303"/>
      <c r="S23" s="1303"/>
      <c r="T23" s="1303"/>
      <c r="U23" s="1303"/>
      <c r="V23" s="1303"/>
      <c r="X23" s="1295"/>
      <c r="Y23" s="1267" t="s">
        <v>86</v>
      </c>
      <c r="Z23" s="1318">
        <f>+H8</f>
        <v>198270</v>
      </c>
      <c r="AA23" s="1319">
        <f>+Z23*(1+AA24)</f>
        <v>218097.00000000003</v>
      </c>
    </row>
    <row r="24" spans="1:28" s="1277" customFormat="1" hidden="1" outlineLevel="1">
      <c r="A24" s="1295" t="s">
        <v>112</v>
      </c>
      <c r="C24" s="1296"/>
      <c r="D24" s="1309">
        <f>+'Historical Financials'!BI60</f>
        <v>0.17249565306331185</v>
      </c>
      <c r="E24" s="1309">
        <f>+'Historical Financials'!BJ60</f>
        <v>0.24103656797307321</v>
      </c>
      <c r="F24" s="1309">
        <f>+'Historical Financials'!BK60</f>
        <v>0.29050722782187671</v>
      </c>
      <c r="G24" s="1310">
        <f>+'Historical Financials'!BL60</f>
        <v>0.28283879982628074</v>
      </c>
      <c r="H24" s="1310">
        <f>+'Historical Financials'!BM60</f>
        <v>0.21025030036043252</v>
      </c>
      <c r="I24" s="1310">
        <f>+'Historical Financials'!BN60</f>
        <v>0.14076322511782977</v>
      </c>
      <c r="J24" s="1303">
        <f>+'Historical Financials'!BO60</f>
        <v>0.24674738555533252</v>
      </c>
      <c r="K24" s="1305"/>
      <c r="L24" s="1303"/>
      <c r="M24" s="1303"/>
      <c r="N24" s="1303"/>
      <c r="O24" s="1303"/>
      <c r="P24" s="1303"/>
      <c r="Q24" s="1303"/>
      <c r="R24" s="1303"/>
      <c r="S24" s="1303"/>
      <c r="T24" s="1303"/>
      <c r="U24" s="1303"/>
      <c r="V24" s="1303"/>
      <c r="X24" s="1295"/>
      <c r="Y24" s="1295" t="s">
        <v>113</v>
      </c>
      <c r="AA24" s="1320">
        <v>0.1</v>
      </c>
    </row>
    <row r="25" spans="1:28" collapsed="1">
      <c r="A25" s="1295"/>
      <c r="C25" s="1296"/>
      <c r="D25" s="1297"/>
      <c r="E25" s="1297"/>
      <c r="F25" s="1297"/>
      <c r="G25" s="1303"/>
      <c r="H25" s="1303"/>
      <c r="I25" s="1303"/>
      <c r="J25" s="1303"/>
      <c r="K25" s="1305"/>
      <c r="L25" s="1303"/>
      <c r="M25" s="1303"/>
      <c r="N25" s="1303"/>
      <c r="O25" s="1303"/>
      <c r="P25" s="1303"/>
      <c r="Q25" s="1303"/>
      <c r="R25" s="1303"/>
      <c r="S25" s="1303"/>
      <c r="T25" s="1303"/>
      <c r="U25" s="1303"/>
      <c r="V25" s="1303"/>
      <c r="Y25" s="1267" t="s">
        <v>95</v>
      </c>
      <c r="Z25" s="1318">
        <f>+H13</f>
        <v>83383</v>
      </c>
      <c r="AA25" s="1319">
        <f>+AA23*AA27</f>
        <v>91721.300000000017</v>
      </c>
    </row>
    <row r="26" spans="1:28" hidden="1" outlineLevel="1">
      <c r="A26" s="1295" t="s">
        <v>114</v>
      </c>
      <c r="C26" s="1296"/>
      <c r="D26" s="1321">
        <f t="shared" ref="D26:J26" si="39">+D15*C13</f>
        <v>5059.47</v>
      </c>
      <c r="E26" s="1321">
        <f t="shared" si="39"/>
        <v>8450.26</v>
      </c>
      <c r="F26" s="1322">
        <f t="shared" si="39"/>
        <v>12479.900000000001</v>
      </c>
      <c r="G26" s="1322">
        <f t="shared" si="39"/>
        <v>12078.620000000006</v>
      </c>
      <c r="H26" s="1322">
        <f t="shared" si="39"/>
        <v>17672.225035918189</v>
      </c>
      <c r="I26" s="1322">
        <f t="shared" si="39"/>
        <v>8046.3335482253406</v>
      </c>
      <c r="J26" s="1303">
        <f t="shared" si="39"/>
        <v>24453.648293962731</v>
      </c>
      <c r="K26" s="1305"/>
      <c r="L26" s="1303"/>
      <c r="M26" s="1303"/>
      <c r="N26" s="1303"/>
      <c r="O26" s="1303"/>
      <c r="P26" s="1303"/>
      <c r="Q26" s="1303"/>
      <c r="R26" s="1303"/>
      <c r="S26" s="1303"/>
      <c r="T26" s="1303"/>
      <c r="U26" s="1303"/>
      <c r="V26" s="1303"/>
      <c r="Y26" s="1295" t="s">
        <v>113</v>
      </c>
      <c r="AA26" s="1323">
        <f>+AA25/Z25-1</f>
        <v>0.10000000000000031</v>
      </c>
    </row>
    <row r="27" spans="1:28" hidden="1" outlineLevel="1">
      <c r="A27" s="1295"/>
      <c r="C27" s="1296"/>
      <c r="D27" s="1297"/>
      <c r="E27" s="1297"/>
      <c r="F27" s="1297"/>
      <c r="G27" s="1303"/>
      <c r="H27" s="1303"/>
      <c r="I27" s="1303"/>
      <c r="J27" s="1303"/>
      <c r="K27" s="1305"/>
      <c r="L27" s="1303"/>
      <c r="M27" s="1303"/>
      <c r="N27" s="1303"/>
      <c r="O27" s="1303"/>
      <c r="P27" s="1303"/>
      <c r="Q27" s="1303"/>
      <c r="R27" s="1303"/>
      <c r="S27" s="1303"/>
      <c r="T27" s="1303"/>
      <c r="U27" s="1303"/>
      <c r="V27" s="1303"/>
      <c r="Y27" s="1295" t="s">
        <v>115</v>
      </c>
      <c r="Z27" s="1323">
        <f>+Z25/Z23</f>
        <v>0.4205527815604983</v>
      </c>
      <c r="AA27" s="1320">
        <f>+Z27</f>
        <v>0.4205527815604983</v>
      </c>
    </row>
    <row r="28" spans="1:28" s="1329" customFormat="1" ht="20.100000000000001" collapsed="1">
      <c r="A28" s="1324" t="s">
        <v>116</v>
      </c>
      <c r="B28" s="1325"/>
      <c r="C28" s="1326">
        <f>+'Historical Financials'!BH85</f>
        <v>8778</v>
      </c>
      <c r="D28" s="1326">
        <f>+'Historical Financials'!BI85</f>
        <v>10261</v>
      </c>
      <c r="E28" s="1327">
        <f>+'Historical Financials'!BJ85</f>
        <v>11682</v>
      </c>
      <c r="F28" s="1327">
        <f>+'Historical Financials'!BK85</f>
        <v>12796</v>
      </c>
      <c r="G28" s="1327">
        <f>+'Historical Financials'!BL85</f>
        <v>11686</v>
      </c>
      <c r="H28" s="1327">
        <f>+'Historical Financials'!BM85</f>
        <v>14460</v>
      </c>
      <c r="I28" s="1327">
        <f>+'Historical Financials'!BN85</f>
        <v>13861</v>
      </c>
      <c r="J28" s="1327">
        <f>+'Historical Financials'!BO85</f>
        <v>20427</v>
      </c>
      <c r="K28" s="1328">
        <f>+'D&amp;A forecast - Case 1'!V52</f>
        <v>27803.116747365937</v>
      </c>
      <c r="L28" s="1326">
        <f>+'D&amp;A forecast - Case 1'!W52</f>
        <v>31425.906903616535</v>
      </c>
      <c r="M28" s="1326">
        <f>+'D&amp;A forecast - Case 1'!X52</f>
        <v>34802.142300320178</v>
      </c>
      <c r="N28" s="1326">
        <f>+'D&amp;A forecast - Case 1'!Y52</f>
        <v>39361.987109000482</v>
      </c>
      <c r="O28" s="1326">
        <f>+'D&amp;A forecast - Case 1'!Z52</f>
        <v>44571.912327797545</v>
      </c>
      <c r="P28" s="1326">
        <f>+'D&amp;A forecast - Case 1'!AA52</f>
        <v>49220.960580627565</v>
      </c>
      <c r="Q28" s="1326">
        <f>+'D&amp;A forecast - Case 1'!AB52</f>
        <v>54424.891723191518</v>
      </c>
      <c r="R28" s="1326">
        <f>+'D&amp;A forecast - Case 1'!AC52</f>
        <v>59375.979611682043</v>
      </c>
      <c r="S28" s="1326">
        <f>+'D&amp;A forecast - Case 1'!AD52</f>
        <v>65294.788207345839</v>
      </c>
      <c r="T28" s="1326">
        <f>+'D&amp;A forecast - Case 1'!AE52</f>
        <v>71180.015201115937</v>
      </c>
      <c r="U28" s="1326">
        <f>+'D&amp;A forecast - Case 1'!AF52</f>
        <v>76593.485215063003</v>
      </c>
      <c r="V28" s="1326">
        <f>+'D&amp;A forecast - Case 1'!AG52</f>
        <v>81345.7448413026</v>
      </c>
      <c r="Y28" s="1330" t="s">
        <v>117</v>
      </c>
    </row>
    <row r="29" spans="1:28" s="1277" customFormat="1" hidden="1" outlineLevel="1">
      <c r="A29" s="1331" t="s">
        <v>118</v>
      </c>
      <c r="C29" s="1296">
        <f t="shared" ref="C29:V29" si="40">+C28/C8</f>
        <v>9.0896853092543306E-2</v>
      </c>
      <c r="D29" s="1296">
        <f t="shared" si="40"/>
        <v>9.2977528089887643E-2</v>
      </c>
      <c r="E29" s="1296">
        <f t="shared" si="40"/>
        <v>9.2829954784930432E-2</v>
      </c>
      <c r="F29" s="1296">
        <f t="shared" si="40"/>
        <v>8.9473132188931229E-2</v>
      </c>
      <c r="G29" s="1296">
        <f t="shared" si="40"/>
        <v>6.9523106943981727E-2</v>
      </c>
      <c r="H29" s="1296">
        <f t="shared" si="40"/>
        <v>7.2930851868663937E-2</v>
      </c>
      <c r="I29" s="1296">
        <f t="shared" si="40"/>
        <v>6.5408300497841118E-2</v>
      </c>
      <c r="J29" s="1296">
        <f t="shared" si="40"/>
        <v>8.333401326686303E-2</v>
      </c>
      <c r="K29" s="1311">
        <f t="shared" si="40"/>
        <v>9.8868938390823724E-2</v>
      </c>
      <c r="L29" s="1296">
        <f t="shared" si="40"/>
        <v>9.8895325385423394E-2</v>
      </c>
      <c r="M29" s="1296">
        <f t="shared" si="40"/>
        <v>9.6920462759468431E-2</v>
      </c>
      <c r="N29" s="1296">
        <f t="shared" si="40"/>
        <v>9.7008116380590328E-2</v>
      </c>
      <c r="O29" s="1296">
        <f t="shared" si="40"/>
        <v>9.7210657654445143E-2</v>
      </c>
      <c r="P29" s="1296">
        <f t="shared" si="40"/>
        <v>9.5000142159396533E-2</v>
      </c>
      <c r="Q29" s="1296">
        <f t="shared" si="40"/>
        <v>9.2959397528291049E-2</v>
      </c>
      <c r="R29" s="1296">
        <f t="shared" si="40"/>
        <v>8.9748680263182778E-2</v>
      </c>
      <c r="S29" s="1296">
        <f t="shared" si="40"/>
        <v>8.7340838554318442E-2</v>
      </c>
      <c r="T29" s="1296">
        <f t="shared" si="40"/>
        <v>8.4259421419867031E-2</v>
      </c>
      <c r="U29" s="1296">
        <f t="shared" si="40"/>
        <v>8.0236834082648589E-2</v>
      </c>
      <c r="V29" s="1296">
        <f t="shared" si="40"/>
        <v>7.5411633708163506E-2</v>
      </c>
      <c r="Y29" s="1267" t="s">
        <v>119</v>
      </c>
      <c r="Z29" s="1318">
        <f>+Z23</f>
        <v>198270</v>
      </c>
      <c r="AA29" s="1319">
        <f>+Z29*(1+AA30)</f>
        <v>226027.80000000002</v>
      </c>
    </row>
    <row r="30" spans="1:28" s="1277" customFormat="1" hidden="1" outlineLevel="1">
      <c r="A30" s="1332"/>
      <c r="C30" s="1275"/>
      <c r="D30" s="1275"/>
      <c r="E30" s="1275"/>
      <c r="F30" s="1275"/>
      <c r="G30" s="1275"/>
      <c r="H30" s="1275"/>
      <c r="I30" s="1275"/>
      <c r="J30" s="1275"/>
      <c r="K30" s="1333"/>
      <c r="L30" s="1275"/>
      <c r="M30" s="1275"/>
      <c r="N30" s="1275"/>
      <c r="O30" s="1275"/>
      <c r="P30" s="1275"/>
      <c r="Q30" s="1275"/>
      <c r="R30" s="1275"/>
      <c r="S30" s="1275"/>
      <c r="T30" s="1275"/>
      <c r="U30" s="1275"/>
      <c r="V30" s="1275"/>
      <c r="Y30" s="1295" t="s">
        <v>120</v>
      </c>
      <c r="AA30" s="1320">
        <f>+AA24+4%</f>
        <v>0.14000000000000001</v>
      </c>
    </row>
    <row r="31" spans="1:28" s="1277" customFormat="1" hidden="1" outlineLevel="1">
      <c r="A31" s="1334"/>
      <c r="C31" s="1310"/>
      <c r="D31" s="1309"/>
      <c r="E31" s="1309"/>
      <c r="F31" s="1287"/>
      <c r="G31" s="1287"/>
      <c r="H31" s="1287"/>
      <c r="I31" s="1287"/>
      <c r="J31" s="1285"/>
      <c r="K31" s="1305"/>
      <c r="L31" s="1303"/>
      <c r="M31" s="1303"/>
      <c r="N31" s="1303"/>
      <c r="O31" s="1303"/>
      <c r="P31" s="1303"/>
      <c r="Q31" s="1303"/>
      <c r="R31" s="1303"/>
      <c r="S31" s="1303"/>
      <c r="T31" s="1303"/>
      <c r="U31" s="1303"/>
      <c r="V31" s="1303"/>
      <c r="Y31" s="1295"/>
      <c r="AA31" s="1323"/>
    </row>
    <row r="32" spans="1:28" collapsed="1">
      <c r="A32" s="1335" t="s">
        <v>121</v>
      </c>
      <c r="B32" s="1294"/>
      <c r="C32" s="1294">
        <f t="shared" ref="C32:V32" si="41">+C13+C28</f>
        <v>38109</v>
      </c>
      <c r="D32" s="1294">
        <f t="shared" si="41"/>
        <v>45319</v>
      </c>
      <c r="E32" s="1336">
        <f t="shared" si="41"/>
        <v>54641</v>
      </c>
      <c r="F32" s="1336">
        <f t="shared" si="41"/>
        <v>65755</v>
      </c>
      <c r="G32" s="1336">
        <f t="shared" si="41"/>
        <v>81602</v>
      </c>
      <c r="H32" s="1336">
        <f t="shared" si="41"/>
        <v>97843</v>
      </c>
      <c r="I32" s="1336">
        <f t="shared" si="41"/>
        <v>103555</v>
      </c>
      <c r="J32" s="1336">
        <f t="shared" si="41"/>
        <v>132870</v>
      </c>
      <c r="K32" s="1337">
        <f t="shared" si="41"/>
        <v>161093.46523773918</v>
      </c>
      <c r="L32" s="1294">
        <f t="shared" si="41"/>
        <v>191917.65137278824</v>
      </c>
      <c r="M32" s="1294">
        <f t="shared" si="41"/>
        <v>225683.9929750594</v>
      </c>
      <c r="N32" s="1294">
        <f t="shared" si="41"/>
        <v>262498.72148247703</v>
      </c>
      <c r="O32" s="1294">
        <f t="shared" si="41"/>
        <v>301482.35987233481</v>
      </c>
      <c r="P32" s="1294">
        <f t="shared" si="41"/>
        <v>341144.01660998404</v>
      </c>
      <c r="Q32" s="1294">
        <f t="shared" si="41"/>
        <v>383514.6809550632</v>
      </c>
      <c r="R32" s="1294">
        <f t="shared" si="41"/>
        <v>429045.44403798255</v>
      </c>
      <c r="S32" s="1294">
        <f t="shared" si="41"/>
        <v>481095.94953877816</v>
      </c>
      <c r="T32" s="1294">
        <f t="shared" si="41"/>
        <v>522312.78619720804</v>
      </c>
      <c r="U32" s="1294">
        <f t="shared" si="41"/>
        <v>569991.82424135448</v>
      </c>
      <c r="V32" s="1294">
        <f t="shared" si="41"/>
        <v>625448.5185021311</v>
      </c>
      <c r="Y32" s="1267" t="s">
        <v>122</v>
      </c>
      <c r="Z32" s="1318">
        <f>+Z25</f>
        <v>83383</v>
      </c>
      <c r="AA32" s="1319">
        <f>+AA29*AA34</f>
        <v>95056.62000000001</v>
      </c>
    </row>
    <row r="33" spans="1:27" s="1277" customFormat="1">
      <c r="A33" s="1331" t="s">
        <v>87</v>
      </c>
      <c r="C33" s="1296"/>
      <c r="D33" s="1296">
        <f t="shared" ref="D33:V33" si="42">+D32/C32-1</f>
        <v>0.18919415361200764</v>
      </c>
      <c r="E33" s="1296">
        <f t="shared" si="42"/>
        <v>0.2056973896158345</v>
      </c>
      <c r="F33" s="1296">
        <f t="shared" si="42"/>
        <v>0.20340037700627733</v>
      </c>
      <c r="G33" s="1296">
        <f t="shared" si="42"/>
        <v>0.24100068435860389</v>
      </c>
      <c r="H33" s="1296">
        <f t="shared" si="42"/>
        <v>0.1990269846327295</v>
      </c>
      <c r="I33" s="1296">
        <f t="shared" si="42"/>
        <v>5.8379240211358985E-2</v>
      </c>
      <c r="J33" s="1296">
        <f t="shared" si="42"/>
        <v>0.28308628265173086</v>
      </c>
      <c r="K33" s="1311">
        <f t="shared" si="42"/>
        <v>0.2124141283791614</v>
      </c>
      <c r="L33" s="1296">
        <f t="shared" si="42"/>
        <v>0.19134349173977494</v>
      </c>
      <c r="M33" s="1296">
        <f t="shared" si="42"/>
        <v>0.17594182380172074</v>
      </c>
      <c r="N33" s="1296">
        <f t="shared" si="42"/>
        <v>0.16312512031584836</v>
      </c>
      <c r="O33" s="1296">
        <f t="shared" si="42"/>
        <v>0.14850982195149509</v>
      </c>
      <c r="P33" s="1296">
        <f t="shared" si="42"/>
        <v>0.13155548057420097</v>
      </c>
      <c r="Q33" s="1296">
        <f t="shared" si="42"/>
        <v>0.12420169278102811</v>
      </c>
      <c r="R33" s="1296">
        <f t="shared" si="42"/>
        <v>0.11871973967081129</v>
      </c>
      <c r="S33" s="1296">
        <f t="shared" si="42"/>
        <v>0.12131699852332578</v>
      </c>
      <c r="T33" s="1296">
        <f t="shared" si="42"/>
        <v>8.5672799153565959E-2</v>
      </c>
      <c r="U33" s="1296">
        <f t="shared" si="42"/>
        <v>9.128445503178706E-2</v>
      </c>
      <c r="V33" s="1296">
        <f t="shared" si="42"/>
        <v>9.7293841599549458E-2</v>
      </c>
      <c r="Y33" s="1295" t="s">
        <v>113</v>
      </c>
      <c r="Z33" s="1313"/>
      <c r="AA33" s="1323">
        <f>+AA32/Z32-1</f>
        <v>0.14000000000000012</v>
      </c>
    </row>
    <row r="34" spans="1:27" s="1277" customFormat="1">
      <c r="A34" s="1331" t="s">
        <v>99</v>
      </c>
      <c r="C34" s="1296">
        <f t="shared" ref="C34:V34" si="43">+C32/C8</f>
        <v>0.39462157376438062</v>
      </c>
      <c r="D34" s="1297">
        <f t="shared" si="43"/>
        <v>0.41064697354113811</v>
      </c>
      <c r="E34" s="1297">
        <f t="shared" si="43"/>
        <v>0.43419975683987189</v>
      </c>
      <c r="F34" s="1297">
        <f t="shared" si="43"/>
        <v>0.45977694647414608</v>
      </c>
      <c r="G34" s="1296">
        <f t="shared" si="43"/>
        <v>0.48547189567369475</v>
      </c>
      <c r="H34" s="1296">
        <f t="shared" si="43"/>
        <v>0.49348363342916224</v>
      </c>
      <c r="I34" s="1296">
        <f t="shared" si="43"/>
        <v>0.48866290729773731</v>
      </c>
      <c r="J34" s="1296">
        <f t="shared" si="43"/>
        <v>0.5420566085459485</v>
      </c>
      <c r="K34" s="1311">
        <f t="shared" si="43"/>
        <v>0.5728544765134389</v>
      </c>
      <c r="L34" s="1296">
        <f t="shared" si="43"/>
        <v>0.6039526126621958</v>
      </c>
      <c r="M34" s="1296">
        <f t="shared" si="43"/>
        <v>0.62850720072902366</v>
      </c>
      <c r="N34" s="1296">
        <f t="shared" si="43"/>
        <v>0.64693142784718827</v>
      </c>
      <c r="O34" s="1296">
        <f t="shared" si="43"/>
        <v>0.65752840620495634</v>
      </c>
      <c r="P34" s="1296">
        <f t="shared" si="43"/>
        <v>0.65843351475613987</v>
      </c>
      <c r="Q34" s="1296">
        <f t="shared" si="43"/>
        <v>0.65505493086072075</v>
      </c>
      <c r="R34" s="1296">
        <f t="shared" si="43"/>
        <v>0.64851582453326273</v>
      </c>
      <c r="S34" s="1296">
        <f t="shared" si="43"/>
        <v>0.64353258217744957</v>
      </c>
      <c r="T34" s="1296">
        <f t="shared" si="43"/>
        <v>0.61828833614080891</v>
      </c>
      <c r="U34" s="1296">
        <f t="shared" si="43"/>
        <v>0.59710482297162215</v>
      </c>
      <c r="V34" s="1296">
        <f t="shared" si="43"/>
        <v>0.57982251773110649</v>
      </c>
      <c r="Y34" s="1295" t="s">
        <v>115</v>
      </c>
      <c r="Z34" s="1323">
        <f>+Z32/Z29</f>
        <v>0.4205527815604983</v>
      </c>
      <c r="AA34" s="1320">
        <f>+Z34</f>
        <v>0.4205527815604983</v>
      </c>
    </row>
    <row r="35" spans="1:27" s="1277" customFormat="1">
      <c r="A35" s="1331" t="s">
        <v>101</v>
      </c>
      <c r="C35" s="1297"/>
      <c r="D35" s="1297">
        <f t="shared" ref="D35:V35" si="44">(D32-C32)/(D8-C8)</f>
        <v>0.52288055696569724</v>
      </c>
      <c r="E35" s="1297">
        <f t="shared" si="44"/>
        <v>0.60207970031647617</v>
      </c>
      <c r="F35" s="1297">
        <f t="shared" si="44"/>
        <v>0.64721639878872583</v>
      </c>
      <c r="G35" s="1297">
        <f t="shared" si="44"/>
        <v>0.63203445937861447</v>
      </c>
      <c r="H35" s="1297">
        <f t="shared" si="44"/>
        <v>0.53810218010734878</v>
      </c>
      <c r="I35" s="1297">
        <f t="shared" si="44"/>
        <v>0.41861487724441188</v>
      </c>
      <c r="J35" s="1297">
        <f t="shared" si="44"/>
        <v>0.88279579606709424</v>
      </c>
      <c r="K35" s="1298">
        <f t="shared" si="44"/>
        <v>0.7820333919051452</v>
      </c>
      <c r="L35" s="1297">
        <f t="shared" si="44"/>
        <v>0.84316904457571062</v>
      </c>
      <c r="M35" s="1297">
        <f t="shared" si="44"/>
        <v>0.81738864739693051</v>
      </c>
      <c r="N35" s="1297">
        <f t="shared" si="44"/>
        <v>0.78865625183306987</v>
      </c>
      <c r="O35" s="1297">
        <f t="shared" si="44"/>
        <v>0.73904362434163451</v>
      </c>
      <c r="P35" s="1297">
        <f t="shared" si="44"/>
        <v>0.66539588822678164</v>
      </c>
      <c r="Q35" s="1297">
        <f t="shared" si="44"/>
        <v>0.62906582397288191</v>
      </c>
      <c r="R35" s="1297">
        <f t="shared" si="44"/>
        <v>0.59821500662973903</v>
      </c>
      <c r="S35" s="1297">
        <f t="shared" si="44"/>
        <v>0.6051999486711952</v>
      </c>
      <c r="T35" s="1297">
        <f t="shared" si="44"/>
        <v>0.42410182816664921</v>
      </c>
      <c r="U35" s="1297">
        <f t="shared" si="44"/>
        <v>0.43415472167018554</v>
      </c>
      <c r="V35" s="1297">
        <f t="shared" si="44"/>
        <v>0.44688170818867812</v>
      </c>
    </row>
    <row r="36" spans="1:27" hidden="1" outlineLevel="1">
      <c r="C36" s="1266"/>
      <c r="D36" s="1266"/>
      <c r="E36" s="1266"/>
      <c r="F36" s="1266"/>
      <c r="G36" s="1266"/>
      <c r="H36" s="1266"/>
      <c r="I36" s="1266"/>
      <c r="J36" s="1266"/>
      <c r="K36" s="1338"/>
      <c r="L36" s="1266"/>
      <c r="M36" s="1266"/>
      <c r="N36" s="1266"/>
      <c r="O36" s="1266"/>
      <c r="P36" s="1266"/>
      <c r="Q36" s="1266"/>
      <c r="R36" s="1266"/>
      <c r="S36" s="1266"/>
      <c r="T36" s="1266"/>
      <c r="U36" s="1266"/>
      <c r="V36" s="1266"/>
    </row>
    <row r="37" spans="1:27" hidden="1" outlineLevel="1">
      <c r="A37" s="1312" t="s">
        <v>123</v>
      </c>
      <c r="C37" s="1266"/>
      <c r="D37" s="1266"/>
      <c r="E37" s="1266"/>
      <c r="F37" s="1266"/>
      <c r="G37" s="1266"/>
      <c r="H37" s="1266"/>
      <c r="I37" s="1266"/>
      <c r="J37" s="1266"/>
      <c r="K37" s="1338"/>
      <c r="L37" s="1266"/>
      <c r="M37" s="1266"/>
      <c r="N37" s="1266"/>
      <c r="O37" s="1266"/>
      <c r="P37" s="1266"/>
      <c r="Q37" s="1266"/>
      <c r="R37" s="1266"/>
      <c r="S37" s="1266"/>
      <c r="T37" s="1266"/>
      <c r="U37" s="1266"/>
      <c r="V37" s="1266"/>
    </row>
    <row r="38" spans="1:27" hidden="1" outlineLevel="1">
      <c r="A38" s="1339" t="s">
        <v>124</v>
      </c>
      <c r="C38" s="1266"/>
      <c r="D38" s="1266"/>
      <c r="E38" s="1266"/>
      <c r="F38" s="1266"/>
      <c r="G38" s="1266"/>
      <c r="H38" s="1266"/>
      <c r="I38" s="1266"/>
      <c r="J38" s="1340">
        <f>+'D&amp;A forecast - Case 1'!U53</f>
        <v>2287</v>
      </c>
      <c r="K38" s="1341">
        <f>+'D&amp;A forecast - Case 1'!V53</f>
        <v>2287</v>
      </c>
      <c r="L38" s="1342">
        <f>+'D&amp;A forecast - Case 1'!W53</f>
        <v>2287</v>
      </c>
      <c r="M38" s="1342">
        <f>+'D&amp;A forecast - Case 1'!X53</f>
        <v>2287</v>
      </c>
      <c r="N38" s="1342">
        <f>+'D&amp;A forecast - Case 1'!Y53</f>
        <v>2287</v>
      </c>
      <c r="O38" s="1342">
        <f>+'D&amp;A forecast - Case 1'!Z53</f>
        <v>2287</v>
      </c>
      <c r="P38" s="1342">
        <f>+'D&amp;A forecast - Case 1'!AA53</f>
        <v>2287</v>
      </c>
      <c r="Q38" s="1342">
        <f>+'D&amp;A forecast - Case 1'!AB53</f>
        <v>2287</v>
      </c>
      <c r="R38" s="1342">
        <f>+'D&amp;A forecast - Case 1'!AC53</f>
        <v>2287</v>
      </c>
      <c r="S38" s="1342">
        <f>+'D&amp;A forecast - Case 1'!AD53</f>
        <v>2287</v>
      </c>
      <c r="T38" s="1342">
        <f>+'D&amp;A forecast - Case 1'!AE53</f>
        <v>2287</v>
      </c>
      <c r="U38" s="1342">
        <f>+'D&amp;A forecast - Case 1'!AF53</f>
        <v>2287</v>
      </c>
      <c r="V38" s="1342">
        <f>+'D&amp;A forecast - Case 1'!AH53</f>
        <v>0</v>
      </c>
    </row>
    <row r="39" spans="1:27" collapsed="1">
      <c r="C39" s="1266"/>
      <c r="D39" s="1266"/>
      <c r="E39" s="1266"/>
      <c r="F39" s="1266"/>
      <c r="G39" s="1266"/>
      <c r="H39" s="1266"/>
      <c r="I39" s="1266"/>
      <c r="J39" s="1266"/>
      <c r="K39" s="1338"/>
      <c r="L39" s="1266"/>
      <c r="M39" s="1266"/>
      <c r="N39" s="1266"/>
      <c r="O39" s="1266"/>
      <c r="P39" s="1266"/>
      <c r="Q39" s="1266"/>
      <c r="R39" s="1266"/>
      <c r="S39" s="1266"/>
      <c r="T39" s="1266"/>
      <c r="U39" s="1266"/>
      <c r="V39" s="1266"/>
      <c r="X39" s="1301" t="s">
        <v>125</v>
      </c>
    </row>
    <row r="40" spans="1:27">
      <c r="A40" s="1334" t="s">
        <v>126</v>
      </c>
      <c r="C40" s="1266"/>
      <c r="D40" s="1266"/>
      <c r="E40" s="1266"/>
      <c r="F40" s="1266"/>
      <c r="G40" s="1266"/>
      <c r="H40" s="1266"/>
      <c r="I40" s="1266"/>
      <c r="J40" s="1343"/>
      <c r="K40" s="1338"/>
      <c r="L40" s="1266"/>
      <c r="M40" s="1266"/>
      <c r="N40" s="1266"/>
      <c r="O40" s="1266"/>
      <c r="P40" s="1266"/>
      <c r="Q40" s="1266"/>
      <c r="R40" s="1266"/>
      <c r="S40" s="1266"/>
      <c r="T40" s="1266"/>
      <c r="U40" s="1266"/>
      <c r="V40" s="1266"/>
      <c r="X40" s="1267" t="s">
        <v>127</v>
      </c>
    </row>
    <row r="41" spans="1:27">
      <c r="A41" s="1295" t="s">
        <v>128</v>
      </c>
      <c r="C41" s="1296"/>
      <c r="D41" s="1297">
        <f>D28/D8</f>
        <v>9.2977528089887643E-2</v>
      </c>
      <c r="E41" s="1297">
        <f t="shared" ref="E41:V41" si="45">E28/E8</f>
        <v>9.2829954784930432E-2</v>
      </c>
      <c r="F41" s="1297">
        <f t="shared" si="45"/>
        <v>8.9473132188931229E-2</v>
      </c>
      <c r="G41" s="1296">
        <f t="shared" si="45"/>
        <v>6.9523106943981727E-2</v>
      </c>
      <c r="H41" s="1296">
        <f t="shared" si="45"/>
        <v>7.2930851868663937E-2</v>
      </c>
      <c r="I41" s="1296">
        <f t="shared" si="45"/>
        <v>6.5408300497841118E-2</v>
      </c>
      <c r="J41" s="1296">
        <f t="shared" si="45"/>
        <v>8.333401326686303E-2</v>
      </c>
      <c r="K41" s="1298">
        <f t="shared" si="45"/>
        <v>9.8868938390823724E-2</v>
      </c>
      <c r="L41" s="1297">
        <f t="shared" si="45"/>
        <v>9.8895325385423394E-2</v>
      </c>
      <c r="M41" s="1297">
        <f t="shared" si="45"/>
        <v>9.6920462759468431E-2</v>
      </c>
      <c r="N41" s="1297">
        <f t="shared" si="45"/>
        <v>9.7008116380590328E-2</v>
      </c>
      <c r="O41" s="1297">
        <f t="shared" si="45"/>
        <v>9.7210657654445143E-2</v>
      </c>
      <c r="P41" s="1297">
        <f t="shared" si="45"/>
        <v>9.5000142159396533E-2</v>
      </c>
      <c r="Q41" s="1297">
        <f t="shared" si="45"/>
        <v>9.2959397528291049E-2</v>
      </c>
      <c r="R41" s="1297">
        <f t="shared" si="45"/>
        <v>8.9748680263182778E-2</v>
      </c>
      <c r="S41" s="1297">
        <f t="shared" si="45"/>
        <v>8.7340838554318442E-2</v>
      </c>
      <c r="T41" s="1297">
        <f t="shared" si="45"/>
        <v>8.4259421419867031E-2</v>
      </c>
      <c r="U41" s="1297">
        <f t="shared" si="45"/>
        <v>8.0236834082648589E-2</v>
      </c>
      <c r="V41" s="1297">
        <f t="shared" si="45"/>
        <v>7.5411633708163506E-2</v>
      </c>
      <c r="AA41" s="1302"/>
    </row>
    <row r="42" spans="1:27">
      <c r="C42" s="1266"/>
      <c r="D42" s="1266"/>
      <c r="E42" s="1266"/>
      <c r="F42" s="1266"/>
      <c r="G42" s="1266"/>
      <c r="H42" s="1266"/>
      <c r="I42" s="1266"/>
      <c r="J42" s="1266"/>
      <c r="K42" s="1338"/>
      <c r="L42" s="1266"/>
      <c r="M42" s="1266"/>
      <c r="N42" s="1266"/>
      <c r="O42" s="1266"/>
      <c r="P42" s="1266"/>
      <c r="Q42" s="1266"/>
      <c r="R42" s="1266"/>
      <c r="S42" s="1266"/>
      <c r="T42" s="1266"/>
      <c r="U42" s="1266"/>
      <c r="V42" s="1266"/>
    </row>
    <row r="43" spans="1:27">
      <c r="A43" s="1334" t="s">
        <v>126</v>
      </c>
      <c r="C43" s="1266"/>
      <c r="D43" s="1266"/>
      <c r="E43" s="1266"/>
      <c r="F43" s="1266"/>
      <c r="G43" s="1266"/>
      <c r="H43" s="1266"/>
      <c r="I43" s="1266"/>
      <c r="J43" s="1266"/>
      <c r="K43" s="1338"/>
      <c r="L43" s="1266"/>
      <c r="M43" s="1266"/>
      <c r="N43" s="1266"/>
      <c r="O43" s="1266"/>
      <c r="P43" s="1266"/>
      <c r="Q43" s="1266"/>
      <c r="R43" s="1266"/>
      <c r="S43" s="1266"/>
      <c r="T43" s="1266"/>
      <c r="U43" s="1266"/>
      <c r="V43" s="1266"/>
    </row>
    <row r="44" spans="1:27">
      <c r="A44" s="1295" t="s">
        <v>129</v>
      </c>
      <c r="B44" s="1344"/>
      <c r="C44" s="1344">
        <f t="shared" ref="C44" si="46">+C8-C32</f>
        <v>58462</v>
      </c>
      <c r="D44" s="1344">
        <f>+D8-D32</f>
        <v>65041</v>
      </c>
      <c r="E44" s="1344">
        <f t="shared" ref="E44:V44" si="47">+E8-E32</f>
        <v>71202</v>
      </c>
      <c r="F44" s="1344">
        <f t="shared" si="47"/>
        <v>77260</v>
      </c>
      <c r="G44" s="1344">
        <f t="shared" si="47"/>
        <v>86486</v>
      </c>
      <c r="H44" s="1344">
        <f t="shared" si="47"/>
        <v>100427</v>
      </c>
      <c r="I44" s="1336">
        <f t="shared" si="47"/>
        <v>108360</v>
      </c>
      <c r="J44" s="1336">
        <f t="shared" si="47"/>
        <v>112252</v>
      </c>
      <c r="K44" s="1337">
        <f t="shared" si="47"/>
        <v>120118.38147453839</v>
      </c>
      <c r="L44" s="1344">
        <f t="shared" si="47"/>
        <v>125851.73541208537</v>
      </c>
      <c r="M44" s="1344">
        <f t="shared" si="47"/>
        <v>133395.41409184775</v>
      </c>
      <c r="N44" s="1344">
        <f t="shared" si="47"/>
        <v>143261.00850312802</v>
      </c>
      <c r="O44" s="1344">
        <f t="shared" si="47"/>
        <v>157026.13501139887</v>
      </c>
      <c r="P44" s="1344">
        <f t="shared" si="47"/>
        <v>176970.58260863496</v>
      </c>
      <c r="Q44" s="1344">
        <f t="shared" si="47"/>
        <v>201954.8161619762</v>
      </c>
      <c r="R44" s="1344">
        <f t="shared" si="47"/>
        <v>232535.08770427195</v>
      </c>
      <c r="S44" s="1344">
        <f t="shared" si="47"/>
        <v>266490.05132996931</v>
      </c>
      <c r="T44" s="1344">
        <f t="shared" si="47"/>
        <v>322459.39478447655</v>
      </c>
      <c r="U44" s="1344">
        <f t="shared" si="47"/>
        <v>384600.74026794906</v>
      </c>
      <c r="V44" s="1344">
        <f t="shared" si="47"/>
        <v>453241.07939338172</v>
      </c>
    </row>
    <row r="45" spans="1:27">
      <c r="A45" s="1331" t="s">
        <v>130</v>
      </c>
      <c r="C45" s="1266"/>
      <c r="D45" s="1296">
        <f t="shared" ref="D45:V45" si="48">+D44/C44-1</f>
        <v>0.11253463788443785</v>
      </c>
      <c r="E45" s="1296">
        <f t="shared" si="48"/>
        <v>9.4724865853845985E-2</v>
      </c>
      <c r="F45" s="1296">
        <f t="shared" si="48"/>
        <v>8.5081879722479714E-2</v>
      </c>
      <c r="G45" s="1296">
        <f t="shared" si="48"/>
        <v>0.11941496246440586</v>
      </c>
      <c r="H45" s="1296">
        <f t="shared" si="48"/>
        <v>0.16119371921467063</v>
      </c>
      <c r="I45" s="1296">
        <f t="shared" si="48"/>
        <v>7.8992701166021195E-2</v>
      </c>
      <c r="J45" s="1296">
        <f t="shared" si="48"/>
        <v>3.5917312661498668E-2</v>
      </c>
      <c r="K45" s="1311">
        <f t="shared" si="48"/>
        <v>7.0077873664062817E-2</v>
      </c>
      <c r="L45" s="1296">
        <f t="shared" si="48"/>
        <v>4.773086239729496E-2</v>
      </c>
      <c r="M45" s="1296">
        <f t="shared" si="48"/>
        <v>5.9940998469838913E-2</v>
      </c>
      <c r="N45" s="1296">
        <f t="shared" si="48"/>
        <v>7.3957523041140227E-2</v>
      </c>
      <c r="O45" s="1296">
        <f t="shared" si="48"/>
        <v>9.6084249664976307E-2</v>
      </c>
      <c r="P45" s="1296">
        <f t="shared" si="48"/>
        <v>0.12701355475499843</v>
      </c>
      <c r="Q45" s="1296">
        <f t="shared" si="48"/>
        <v>0.14117732554790252</v>
      </c>
      <c r="R45" s="1296">
        <f t="shared" si="48"/>
        <v>0.15142135316926097</v>
      </c>
      <c r="S45" s="1296">
        <f t="shared" si="48"/>
        <v>0.14602081759325625</v>
      </c>
      <c r="T45" s="1296">
        <f t="shared" si="48"/>
        <v>0.2100241385191739</v>
      </c>
      <c r="U45" s="1296">
        <f t="shared" si="48"/>
        <v>0.19271060632302617</v>
      </c>
      <c r="V45" s="1296">
        <f t="shared" si="48"/>
        <v>0.1784716770893664</v>
      </c>
    </row>
    <row r="46" spans="1:27">
      <c r="A46" s="1331" t="s">
        <v>118</v>
      </c>
      <c r="C46" s="1266"/>
      <c r="D46" s="1296">
        <f>+D44/D8</f>
        <v>0.58935302645886189</v>
      </c>
      <c r="E46" s="1296">
        <f t="shared" ref="E46:V46" si="49">+E44/E8</f>
        <v>0.56580024316012811</v>
      </c>
      <c r="F46" s="1296">
        <f t="shared" si="49"/>
        <v>0.54022305352585398</v>
      </c>
      <c r="G46" s="1296">
        <f t="shared" si="49"/>
        <v>0.51452810432630525</v>
      </c>
      <c r="H46" s="1296">
        <f t="shared" si="49"/>
        <v>0.50651636657083776</v>
      </c>
      <c r="I46" s="1296">
        <f t="shared" si="49"/>
        <v>0.51133709270226269</v>
      </c>
      <c r="J46" s="1296">
        <f t="shared" si="49"/>
        <v>0.45794339145405144</v>
      </c>
      <c r="K46" s="1311">
        <f t="shared" si="49"/>
        <v>0.42714552348656115</v>
      </c>
      <c r="L46" s="1296">
        <f t="shared" si="49"/>
        <v>0.39604738733780426</v>
      </c>
      <c r="M46" s="1296">
        <f t="shared" si="49"/>
        <v>0.37149279927097634</v>
      </c>
      <c r="N46" s="1296">
        <f t="shared" si="49"/>
        <v>0.35306857215281179</v>
      </c>
      <c r="O46" s="1296">
        <f t="shared" si="49"/>
        <v>0.34247159379504361</v>
      </c>
      <c r="P46" s="1296">
        <f t="shared" si="49"/>
        <v>0.34156648524386019</v>
      </c>
      <c r="Q46" s="1296">
        <f t="shared" si="49"/>
        <v>0.34494506913927925</v>
      </c>
      <c r="R46" s="1296">
        <f t="shared" si="49"/>
        <v>0.35148417546673733</v>
      </c>
      <c r="S46" s="1296">
        <f t="shared" si="49"/>
        <v>0.35646741782255037</v>
      </c>
      <c r="T46" s="1296">
        <f t="shared" si="49"/>
        <v>0.38171166385919114</v>
      </c>
      <c r="U46" s="1296">
        <f t="shared" si="49"/>
        <v>0.40289517702837785</v>
      </c>
      <c r="V46" s="1296">
        <f t="shared" si="49"/>
        <v>0.42017748226889351</v>
      </c>
    </row>
    <row r="47" spans="1:27">
      <c r="A47" s="1345"/>
      <c r="C47" s="1266"/>
      <c r="D47" s="1266"/>
      <c r="E47" s="1266"/>
      <c r="F47" s="1266"/>
      <c r="G47" s="1266"/>
      <c r="H47" s="1266"/>
      <c r="I47" s="1266"/>
      <c r="J47" s="1266"/>
      <c r="K47" s="1338"/>
      <c r="L47" s="1266"/>
      <c r="M47" s="1266"/>
      <c r="N47" s="1266"/>
      <c r="O47" s="1266"/>
      <c r="P47" s="1266"/>
      <c r="Q47" s="1266"/>
      <c r="R47" s="1266"/>
      <c r="S47" s="1266"/>
      <c r="T47" s="1266"/>
      <c r="U47" s="1266"/>
      <c r="V47" s="1266"/>
    </row>
    <row r="48" spans="1:27">
      <c r="A48" s="1324" t="s">
        <v>131</v>
      </c>
      <c r="B48" s="1290"/>
      <c r="C48" s="1291">
        <f>+'Historical Financials'!BH111*-1</f>
        <v>10200</v>
      </c>
      <c r="D48" s="1291">
        <f>+'Historical Financials'!BI111*-1</f>
        <v>13600</v>
      </c>
      <c r="E48" s="1292">
        <f>+'Historical Financials'!BJ111*-1</f>
        <v>16900</v>
      </c>
      <c r="F48" s="1292">
        <f>+'Historical Financials'!BK111*-1</f>
        <v>19000</v>
      </c>
      <c r="G48" s="1292">
        <f>+'Historical Financials'!BL111*-1</f>
        <v>24200</v>
      </c>
      <c r="H48" s="1292">
        <f>+'Historical Financials'!BM111*-1</f>
        <v>29200</v>
      </c>
      <c r="I48" s="1292">
        <f>+'Historical Financials'!BN111*-1</f>
        <v>31900</v>
      </c>
      <c r="J48" s="1292">
        <f>+'Historical Financials'!BO111*-1</f>
        <v>55700</v>
      </c>
      <c r="K48" s="1293">
        <f>+'Historical Financials'!BP111*-1</f>
        <v>80000</v>
      </c>
      <c r="L48" s="1294">
        <f t="shared" ref="L48:V48" si="50">+L49*L8</f>
        <v>69909.265092672198</v>
      </c>
      <c r="M48" s="1294">
        <f t="shared" si="50"/>
        <v>71815.88141338143</v>
      </c>
      <c r="N48" s="1294">
        <f t="shared" si="50"/>
        <v>73036.751397408909</v>
      </c>
      <c r="O48" s="1294">
        <f t="shared" si="50"/>
        <v>73361.359181397391</v>
      </c>
      <c r="P48" s="1294">
        <f t="shared" si="50"/>
        <v>72536.04389060667</v>
      </c>
      <c r="Q48" s="1294">
        <f t="shared" si="50"/>
        <v>76111.034625215121</v>
      </c>
      <c r="R48" s="1294">
        <f t="shared" si="50"/>
        <v>79389.663809070538</v>
      </c>
      <c r="S48" s="1294">
        <f t="shared" si="50"/>
        <v>89710.320104249695</v>
      </c>
      <c r="T48" s="1294">
        <f t="shared" si="50"/>
        <v>101372.66171780214</v>
      </c>
      <c r="U48" s="1294">
        <f t="shared" si="50"/>
        <v>114551.10774111642</v>
      </c>
      <c r="V48" s="1294">
        <f t="shared" si="50"/>
        <v>129442.75174746153</v>
      </c>
    </row>
    <row r="49" spans="1:36" s="1277" customFormat="1">
      <c r="A49" s="1295" t="s">
        <v>118</v>
      </c>
      <c r="C49" s="1297">
        <f t="shared" ref="C49:K49" si="51">+C48/C8</f>
        <v>0.10562177051081588</v>
      </c>
      <c r="D49" s="1297">
        <f t="shared" si="51"/>
        <v>0.12323305545487495</v>
      </c>
      <c r="E49" s="1297">
        <f t="shared" si="51"/>
        <v>0.13429431911190928</v>
      </c>
      <c r="F49" s="1296">
        <f t="shared" si="51"/>
        <v>0.13285319721707514</v>
      </c>
      <c r="G49" s="1296">
        <f t="shared" si="51"/>
        <v>0.14397220503545763</v>
      </c>
      <c r="H49" s="1296">
        <f t="shared" si="51"/>
        <v>0.14727391940283452</v>
      </c>
      <c r="I49" s="1296">
        <f t="shared" si="51"/>
        <v>0.15053205294575656</v>
      </c>
      <c r="J49" s="1297">
        <f t="shared" si="51"/>
        <v>0.22723378562511728</v>
      </c>
      <c r="K49" s="1298">
        <f t="shared" si="51"/>
        <v>0.28448303631337463</v>
      </c>
      <c r="L49" s="1299">
        <v>0.22</v>
      </c>
      <c r="M49" s="1299">
        <v>0.2</v>
      </c>
      <c r="N49" s="1299">
        <v>0.18</v>
      </c>
      <c r="O49" s="1299">
        <v>0.16</v>
      </c>
      <c r="P49" s="1299">
        <v>0.14000000000000001</v>
      </c>
      <c r="Q49" s="1299">
        <v>0.13</v>
      </c>
      <c r="R49" s="1299">
        <v>0.12</v>
      </c>
      <c r="S49" s="1299">
        <f>+R49</f>
        <v>0.12</v>
      </c>
      <c r="T49" s="1299">
        <f t="shared" ref="T49:V49" si="52">+S49</f>
        <v>0.12</v>
      </c>
      <c r="U49" s="1299">
        <f t="shared" si="52"/>
        <v>0.12</v>
      </c>
      <c r="V49" s="1299">
        <f t="shared" si="52"/>
        <v>0.12</v>
      </c>
      <c r="Z49" s="1299"/>
      <c r="AA49" s="1299"/>
      <c r="AB49" s="1299"/>
      <c r="AC49" s="1299"/>
      <c r="AD49" s="1299"/>
      <c r="AE49" s="1299"/>
      <c r="AF49" s="1299"/>
      <c r="AG49" s="1299"/>
      <c r="AH49" s="1299"/>
      <c r="AI49" s="1299"/>
      <c r="AJ49" s="1299"/>
    </row>
    <row r="50" spans="1:36" s="1277" customFormat="1">
      <c r="A50" s="1295"/>
      <c r="C50" s="1275"/>
      <c r="D50" s="1275"/>
      <c r="E50" s="1275"/>
      <c r="F50" s="1275"/>
      <c r="G50" s="1275"/>
      <c r="H50" s="1275"/>
      <c r="I50" s="1275"/>
      <c r="J50" s="1275"/>
      <c r="K50" s="1288"/>
      <c r="L50" s="1296"/>
      <c r="M50" s="1296"/>
      <c r="N50" s="1296"/>
      <c r="O50" s="1296"/>
      <c r="P50" s="1296"/>
      <c r="Q50" s="1296"/>
      <c r="R50" s="1296"/>
      <c r="S50" s="1296"/>
      <c r="T50" s="1296"/>
      <c r="U50" s="1296"/>
      <c r="V50" s="1296"/>
      <c r="Z50" s="1277" t="s">
        <v>132</v>
      </c>
      <c r="AA50" s="1277" t="s">
        <v>133</v>
      </c>
      <c r="AB50" s="1277" t="s">
        <v>134</v>
      </c>
      <c r="AC50" s="1277" t="s">
        <v>135</v>
      </c>
    </row>
    <row r="51" spans="1:36">
      <c r="A51" s="1324" t="s">
        <v>136</v>
      </c>
      <c r="B51" s="1290"/>
      <c r="C51" s="1294">
        <f t="shared" ref="C51:T51" si="53">+C32-C48</f>
        <v>27909</v>
      </c>
      <c r="D51" s="1294">
        <f t="shared" si="53"/>
        <v>31719</v>
      </c>
      <c r="E51" s="1336">
        <f t="shared" si="53"/>
        <v>37741</v>
      </c>
      <c r="F51" s="1336">
        <f t="shared" si="53"/>
        <v>46755</v>
      </c>
      <c r="G51" s="1336">
        <f t="shared" si="53"/>
        <v>57402</v>
      </c>
      <c r="H51" s="1336">
        <f t="shared" si="53"/>
        <v>68643</v>
      </c>
      <c r="I51" s="1336">
        <f t="shared" si="53"/>
        <v>71655</v>
      </c>
      <c r="J51" s="1336">
        <f t="shared" si="53"/>
        <v>77170</v>
      </c>
      <c r="K51" s="1337">
        <f t="shared" si="53"/>
        <v>81093.465237739176</v>
      </c>
      <c r="L51" s="1294">
        <f t="shared" si="53"/>
        <v>122008.38628011604</v>
      </c>
      <c r="M51" s="1294">
        <f t="shared" si="53"/>
        <v>153868.11156167797</v>
      </c>
      <c r="N51" s="1294">
        <f t="shared" si="53"/>
        <v>189461.97008506814</v>
      </c>
      <c r="O51" s="1294">
        <f t="shared" si="53"/>
        <v>228121.00069093742</v>
      </c>
      <c r="P51" s="1294">
        <f t="shared" si="53"/>
        <v>268607.97271937737</v>
      </c>
      <c r="Q51" s="1294">
        <f t="shared" si="53"/>
        <v>307403.6463298481</v>
      </c>
      <c r="R51" s="1294">
        <f t="shared" si="53"/>
        <v>349655.78022891202</v>
      </c>
      <c r="S51" s="1294">
        <f t="shared" si="53"/>
        <v>391385.62943452847</v>
      </c>
      <c r="T51" s="1294">
        <f t="shared" si="53"/>
        <v>420940.12447940593</v>
      </c>
      <c r="U51" s="1294">
        <f>+U32-U48</f>
        <v>455440.71650023805</v>
      </c>
      <c r="V51" s="1294">
        <f t="shared" ref="V51" si="54">+V32-V48</f>
        <v>496005.7667546696</v>
      </c>
      <c r="Z51" s="1346">
        <f>+SUM('Historical Financials'!V12:Y12)</f>
        <v>153284</v>
      </c>
      <c r="AA51" s="1346">
        <f>+SUM('Historical Financials'!Z12:AC12)</f>
        <v>184903</v>
      </c>
      <c r="AB51" s="1346">
        <f>+SUM('Historical Financials'!AD12:AG12)</f>
        <v>204094</v>
      </c>
      <c r="AC51" s="1346">
        <f>+SUM('Historical Financials'!AH12:AK12)</f>
        <v>227583</v>
      </c>
    </row>
    <row r="52" spans="1:36" s="1277" customFormat="1">
      <c r="A52" s="1295" t="s">
        <v>87</v>
      </c>
      <c r="C52" s="1296"/>
      <c r="D52" s="1296">
        <f t="shared" ref="D52:N52" si="55">+D51/C51-1</f>
        <v>0.13651510265505751</v>
      </c>
      <c r="E52" s="1296">
        <f t="shared" si="55"/>
        <v>0.18985466124404926</v>
      </c>
      <c r="F52" s="1296">
        <f t="shared" si="55"/>
        <v>0.23883839855859668</v>
      </c>
      <c r="G52" s="1296">
        <f t="shared" si="55"/>
        <v>0.22771896053897978</v>
      </c>
      <c r="H52" s="1296">
        <f t="shared" si="55"/>
        <v>0.19582941360928197</v>
      </c>
      <c r="I52" s="1296">
        <f t="shared" si="55"/>
        <v>4.3879201083868669E-2</v>
      </c>
      <c r="J52" s="1296">
        <f t="shared" si="55"/>
        <v>7.6966017723815394E-2</v>
      </c>
      <c r="K52" s="1311">
        <f t="shared" si="55"/>
        <v>5.0841845765701388E-2</v>
      </c>
      <c r="L52" s="1296">
        <f t="shared" si="55"/>
        <v>0.50454029708100245</v>
      </c>
      <c r="M52" s="1296">
        <f t="shared" si="55"/>
        <v>0.26112733929957876</v>
      </c>
      <c r="N52" s="1296">
        <f t="shared" si="55"/>
        <v>0.23132706421188765</v>
      </c>
      <c r="O52" s="1296">
        <f>+O51/N51-1</f>
        <v>0.20404638771839778</v>
      </c>
      <c r="P52" s="1296">
        <f>+P51/O51-1</f>
        <v>0.17748024910381854</v>
      </c>
      <c r="Q52" s="1296">
        <f>+Q51/P51-1</f>
        <v>0.14443232349994961</v>
      </c>
      <c r="R52" s="1296">
        <f>+R51/Q51-1</f>
        <v>0.13744838229318468</v>
      </c>
      <c r="S52" s="1296">
        <f>+S51/R51-1</f>
        <v>0.1193455151186027</v>
      </c>
      <c r="T52" s="1296">
        <f t="shared" ref="T52:V52" si="56">+T51/S51-1</f>
        <v>7.5512468578822434E-2</v>
      </c>
      <c r="U52" s="1296">
        <f t="shared" si="56"/>
        <v>8.196080633439351E-2</v>
      </c>
      <c r="V52" s="1296">
        <f t="shared" si="56"/>
        <v>8.9067684958312965E-2</v>
      </c>
      <c r="AA52" s="1347">
        <f>+AA51/Z51-1</f>
        <v>0.20627723702408596</v>
      </c>
      <c r="AB52" s="1347">
        <f t="shared" ref="AB52:AC52" si="57">+AB51/AA51-1</f>
        <v>0.10378955452318239</v>
      </c>
      <c r="AC52" s="1347">
        <f t="shared" si="57"/>
        <v>0.11508912559898876</v>
      </c>
    </row>
    <row r="53" spans="1:36" s="1277" customFormat="1">
      <c r="A53" s="1295" t="s">
        <v>99</v>
      </c>
      <c r="C53" s="1296">
        <f t="shared" ref="C53:V53" si="58">+C51/C8</f>
        <v>0.28899980325356472</v>
      </c>
      <c r="D53" s="1296">
        <f t="shared" si="58"/>
        <v>0.28741391808626315</v>
      </c>
      <c r="E53" s="1296">
        <f t="shared" si="58"/>
        <v>0.29990543772796263</v>
      </c>
      <c r="F53" s="1296">
        <f t="shared" si="58"/>
        <v>0.32692374925707096</v>
      </c>
      <c r="G53" s="1296">
        <f t="shared" si="58"/>
        <v>0.3414996906382371</v>
      </c>
      <c r="H53" s="1296">
        <f t="shared" si="58"/>
        <v>0.34620971402632772</v>
      </c>
      <c r="I53" s="1296">
        <f t="shared" si="58"/>
        <v>0.33813085435198076</v>
      </c>
      <c r="J53" s="1296">
        <f t="shared" si="58"/>
        <v>0.31482282292083125</v>
      </c>
      <c r="K53" s="1311">
        <f t="shared" si="58"/>
        <v>0.28837144020006422</v>
      </c>
      <c r="L53" s="1296">
        <f t="shared" si="58"/>
        <v>0.38395261266219577</v>
      </c>
      <c r="M53" s="1296">
        <f t="shared" si="58"/>
        <v>0.42850720072902365</v>
      </c>
      <c r="N53" s="1296">
        <f t="shared" si="58"/>
        <v>0.46693142784718827</v>
      </c>
      <c r="O53" s="1296">
        <f t="shared" si="58"/>
        <v>0.49752840620495636</v>
      </c>
      <c r="P53" s="1296">
        <f t="shared" si="58"/>
        <v>0.51843351475613986</v>
      </c>
      <c r="Q53" s="1296">
        <f t="shared" si="58"/>
        <v>0.52505493086072075</v>
      </c>
      <c r="R53" s="1296">
        <f t="shared" si="58"/>
        <v>0.52851582453326273</v>
      </c>
      <c r="S53" s="1296">
        <f t="shared" si="58"/>
        <v>0.52353258217744958</v>
      </c>
      <c r="T53" s="1296">
        <f t="shared" si="58"/>
        <v>0.49828833614080892</v>
      </c>
      <c r="U53" s="1296">
        <f t="shared" si="58"/>
        <v>0.47710482297162216</v>
      </c>
      <c r="V53" s="1348">
        <f t="shared" si="58"/>
        <v>0.45982251773110649</v>
      </c>
    </row>
    <row r="54" spans="1:36">
      <c r="A54" s="1295"/>
      <c r="C54" s="1297"/>
      <c r="D54" s="1297"/>
      <c r="E54" s="1297"/>
      <c r="F54" s="1297"/>
      <c r="G54" s="1297"/>
      <c r="H54" s="1297"/>
      <c r="I54" s="1297"/>
      <c r="J54" s="1297"/>
      <c r="K54" s="1298"/>
      <c r="L54" s="1297"/>
      <c r="M54" s="1297"/>
      <c r="N54" s="1297"/>
      <c r="O54" s="1297"/>
      <c r="P54" s="1297"/>
      <c r="Q54" s="1297"/>
      <c r="R54" s="1297"/>
      <c r="S54" s="1297"/>
      <c r="T54" s="1297"/>
      <c r="U54" s="1297"/>
      <c r="V54" s="1297"/>
    </row>
    <row r="55" spans="1:36">
      <c r="A55" s="1267" t="s">
        <v>137</v>
      </c>
      <c r="B55" s="1290"/>
      <c r="C55" s="1291">
        <f>+'Historical Financials'!BH68*-1</f>
        <v>-876</v>
      </c>
      <c r="D55" s="1291">
        <f>+'Historical Financials'!BI68*-1</f>
        <v>-1416</v>
      </c>
      <c r="E55" s="1292">
        <f>+'Historical Financials'!BJ68*-1</f>
        <v>-729</v>
      </c>
      <c r="F55" s="1292">
        <f>+'Historical Financials'!BK68*-1</f>
        <v>-77</v>
      </c>
      <c r="G55" s="1292">
        <f>+'Historical Financials'!BL68*-1</f>
        <v>-1186</v>
      </c>
      <c r="H55" s="1292">
        <f>+'Historical Financials'!BM68*-1</f>
        <v>-333</v>
      </c>
      <c r="I55" s="1292">
        <f>+'Historical Financials'!BN68*-1</f>
        <v>-788</v>
      </c>
      <c r="J55" s="1292">
        <f>+'Historical Financials'!BO68*-1</f>
        <v>1646</v>
      </c>
      <c r="K55" s="1293">
        <f>+'Historical Financials'!BP68*-1</f>
        <v>650</v>
      </c>
      <c r="L55" s="1294">
        <v>0</v>
      </c>
      <c r="M55" s="1294">
        <v>0</v>
      </c>
      <c r="N55" s="1294">
        <v>0</v>
      </c>
      <c r="O55" s="1294">
        <v>0</v>
      </c>
      <c r="P55" s="1294">
        <v>0</v>
      </c>
      <c r="Q55" s="1294">
        <v>0</v>
      </c>
      <c r="R55" s="1294">
        <v>0</v>
      </c>
      <c r="S55" s="1294">
        <v>0</v>
      </c>
      <c r="T55" s="1294">
        <v>0</v>
      </c>
      <c r="U55" s="1294">
        <v>0</v>
      </c>
      <c r="V55" s="1294">
        <v>0</v>
      </c>
      <c r="Y55" s="1267" t="s">
        <v>121</v>
      </c>
      <c r="Z55" s="1346">
        <f>+SUM('Historical Financials'!V86:Y86)</f>
        <v>72183</v>
      </c>
      <c r="AA55" s="1346">
        <f>+SUM('Historical Financials'!Z86:AC86)</f>
        <v>91616</v>
      </c>
      <c r="AB55" s="1346">
        <f>+SUM('Historical Financials'!AD86:AG86)</f>
        <v>98176</v>
      </c>
      <c r="AC55" s="1346">
        <f>+SUM('Historical Financials'!AH86:AK86)</f>
        <v>118466</v>
      </c>
    </row>
    <row r="56" spans="1:36">
      <c r="A56" s="1295" t="s">
        <v>138</v>
      </c>
      <c r="C56" s="1349">
        <v>0.05</v>
      </c>
      <c r="D56" s="1299">
        <f>C56+0.25%</f>
        <v>5.2500000000000005E-2</v>
      </c>
      <c r="E56" s="1299">
        <f>D56+0.25%</f>
        <v>5.5000000000000007E-2</v>
      </c>
      <c r="F56" s="1299">
        <f>E56+0.25%</f>
        <v>5.7500000000000009E-2</v>
      </c>
      <c r="G56" s="1299">
        <f>F56+0.25%</f>
        <v>6.0000000000000012E-2</v>
      </c>
      <c r="H56" s="1299">
        <f>G56</f>
        <v>6.0000000000000012E-2</v>
      </c>
      <c r="I56" s="1299">
        <f t="shared" ref="I56:N56" si="59">H56</f>
        <v>6.0000000000000012E-2</v>
      </c>
      <c r="J56" s="1299">
        <f t="shared" si="59"/>
        <v>6.0000000000000012E-2</v>
      </c>
      <c r="K56" s="1288">
        <f t="shared" si="59"/>
        <v>6.0000000000000012E-2</v>
      </c>
      <c r="L56" s="1299">
        <f t="shared" si="59"/>
        <v>6.0000000000000012E-2</v>
      </c>
      <c r="M56" s="1299">
        <f t="shared" si="59"/>
        <v>6.0000000000000012E-2</v>
      </c>
      <c r="N56" s="1299">
        <f t="shared" si="59"/>
        <v>6.0000000000000012E-2</v>
      </c>
      <c r="O56" s="1299">
        <f>N56</f>
        <v>6.0000000000000012E-2</v>
      </c>
      <c r="P56" s="1299">
        <f>O56</f>
        <v>6.0000000000000012E-2</v>
      </c>
      <c r="Q56" s="1299">
        <f>P56</f>
        <v>6.0000000000000012E-2</v>
      </c>
      <c r="R56" s="1299">
        <f>Q56</f>
        <v>6.0000000000000012E-2</v>
      </c>
      <c r="S56" s="1299">
        <f>R56</f>
        <v>6.0000000000000012E-2</v>
      </c>
      <c r="T56" s="1299">
        <f t="shared" ref="T56:V56" si="60">S56</f>
        <v>6.0000000000000012E-2</v>
      </c>
      <c r="U56" s="1299">
        <f t="shared" si="60"/>
        <v>6.0000000000000012E-2</v>
      </c>
      <c r="V56" s="1299">
        <f t="shared" si="60"/>
        <v>6.0000000000000012E-2</v>
      </c>
      <c r="Y56" s="1267" t="s">
        <v>131</v>
      </c>
      <c r="Z56" s="1346">
        <f>+SUM('Historical Financials'!V111:Y111)</f>
        <v>-20600</v>
      </c>
      <c r="AA56" s="1346">
        <f>+SUM('Historical Financials'!Z111:AC111)</f>
        <v>-27500</v>
      </c>
      <c r="AB56" s="1346">
        <f>+SUM('Historical Financials'!AD111:AG111)</f>
        <v>-28400</v>
      </c>
      <c r="AC56" s="1346">
        <f>+SUM('Historical Financials'!AH111:AK111)</f>
        <v>-41200</v>
      </c>
    </row>
    <row r="57" spans="1:36">
      <c r="C57" s="1266"/>
      <c r="D57" s="1266"/>
      <c r="E57" s="1266"/>
      <c r="F57" s="1266"/>
      <c r="G57" s="1266"/>
      <c r="H57" s="1266"/>
      <c r="I57" s="1266"/>
      <c r="J57" s="1266"/>
      <c r="K57" s="1338"/>
      <c r="L57" s="1266"/>
      <c r="M57" s="1266"/>
      <c r="N57" s="1266"/>
      <c r="O57" s="1266"/>
      <c r="P57" s="1266"/>
      <c r="Q57" s="1266"/>
      <c r="R57" s="1266"/>
      <c r="S57" s="1266"/>
      <c r="T57" s="1266"/>
      <c r="U57" s="1266"/>
      <c r="V57" s="1266"/>
      <c r="Z57" s="1346">
        <f>+Z56+Z55</f>
        <v>51583</v>
      </c>
      <c r="AA57" s="1346">
        <f t="shared" ref="AA57:AC57" si="61">+AA56+AA55</f>
        <v>64116</v>
      </c>
      <c r="AB57" s="1346">
        <f t="shared" si="61"/>
        <v>69776</v>
      </c>
      <c r="AC57" s="1346">
        <f t="shared" si="61"/>
        <v>77266</v>
      </c>
    </row>
    <row r="58" spans="1:36">
      <c r="A58" s="1266" t="s">
        <v>139</v>
      </c>
      <c r="B58" s="1294"/>
      <c r="C58" s="1294">
        <f>+MAX((C32-C28-C55)*C59,0)</f>
        <v>10572.449999999999</v>
      </c>
      <c r="D58" s="1294">
        <f>+MAX((D32-D28-D55)*D59,0)</f>
        <v>10212.719999999999</v>
      </c>
      <c r="E58" s="1336">
        <f>+MAX((E32-E28-E55)*E59,0)</f>
        <v>9174.48</v>
      </c>
      <c r="F58" s="1292">
        <f>+'Historical Financials'!BK113*-1</f>
        <v>11137.559999999998</v>
      </c>
      <c r="G58" s="1292">
        <f>+'Historical Financials'!BL113*-1</f>
        <v>14931.419999999998</v>
      </c>
      <c r="H58" s="1292">
        <f>+'Historical Financials'!BM113*-1</f>
        <v>17580.359999999997</v>
      </c>
      <c r="I58" s="1292">
        <f>+'Historical Financials'!BN113*-1</f>
        <v>19001.22</v>
      </c>
      <c r="J58" s="1336">
        <f t="shared" ref="J58:V58" si="62">+MAX((J32-J28-J55-J38)*J59,0)</f>
        <v>22787.1</v>
      </c>
      <c r="K58" s="1337">
        <f t="shared" si="62"/>
        <v>27374.203182978377</v>
      </c>
      <c r="L58" s="1294">
        <f t="shared" si="62"/>
        <v>33222.996338526056</v>
      </c>
      <c r="M58" s="1294">
        <f t="shared" si="62"/>
        <v>39604.918641695236</v>
      </c>
      <c r="N58" s="1294">
        <f t="shared" si="62"/>
        <v>46378.444218430079</v>
      </c>
      <c r="O58" s="1294">
        <f t="shared" si="62"/>
        <v>53470.923984352819</v>
      </c>
      <c r="P58" s="1294">
        <f t="shared" si="62"/>
        <v>60823.57176616486</v>
      </c>
      <c r="Q58" s="1294">
        <f t="shared" si="62"/>
        <v>68628.585738693044</v>
      </c>
      <c r="R58" s="1294">
        <f t="shared" si="62"/>
        <v>77150.317529523105</v>
      </c>
      <c r="S58" s="1294">
        <f t="shared" si="62"/>
        <v>86837.973879600788</v>
      </c>
      <c r="T58" s="1294">
        <f t="shared" si="62"/>
        <v>94257.611909179337</v>
      </c>
      <c r="U58" s="1294">
        <f t="shared" si="62"/>
        <v>103133.38119552121</v>
      </c>
      <c r="V58" s="1294">
        <f t="shared" si="62"/>
        <v>114261.58246877398</v>
      </c>
      <c r="W58" s="1266"/>
      <c r="X58" s="1266"/>
      <c r="Y58" s="1266"/>
      <c r="Z58" s="1343">
        <f>+Z57/Z51</f>
        <v>0.33651914094099838</v>
      </c>
      <c r="AA58" s="1343">
        <f t="shared" ref="AA58:AC58" si="63">+AA57/AA51</f>
        <v>0.34675478494129353</v>
      </c>
      <c r="AB58" s="1343">
        <f t="shared" si="63"/>
        <v>0.34188168197007263</v>
      </c>
      <c r="AC58" s="1343">
        <f t="shared" si="63"/>
        <v>0.33950690517305776</v>
      </c>
      <c r="AD58" s="1266"/>
      <c r="AE58" s="1266"/>
    </row>
    <row r="59" spans="1:36">
      <c r="A59" s="1295" t="s">
        <v>138</v>
      </c>
      <c r="C59" s="1349">
        <v>0.35</v>
      </c>
      <c r="D59" s="1299">
        <f>+(0.35+0.21)/2</f>
        <v>0.27999999999999997</v>
      </c>
      <c r="E59" s="1299">
        <v>0.21</v>
      </c>
      <c r="F59" s="1297">
        <f>+F58/(F32-F28-F55)</f>
        <v>0.20999999999999996</v>
      </c>
      <c r="G59" s="1297">
        <f>+G58/(G32-G28-G55)</f>
        <v>0.20999999999999996</v>
      </c>
      <c r="H59" s="1297">
        <f>+H58/(H32-H28-H55)</f>
        <v>0.20999999999999996</v>
      </c>
      <c r="I59" s="1297">
        <f>+I58/(I32-I28-I55)</f>
        <v>0.21000000000000002</v>
      </c>
      <c r="J59" s="1299">
        <v>0.21</v>
      </c>
      <c r="K59" s="1288">
        <f t="shared" ref="K59:V59" si="64">J59</f>
        <v>0.21</v>
      </c>
      <c r="L59" s="1299">
        <f t="shared" si="64"/>
        <v>0.21</v>
      </c>
      <c r="M59" s="1299">
        <f t="shared" si="64"/>
        <v>0.21</v>
      </c>
      <c r="N59" s="1299">
        <f t="shared" si="64"/>
        <v>0.21</v>
      </c>
      <c r="O59" s="1299">
        <f t="shared" si="64"/>
        <v>0.21</v>
      </c>
      <c r="P59" s="1299">
        <f t="shared" si="64"/>
        <v>0.21</v>
      </c>
      <c r="Q59" s="1299">
        <f t="shared" si="64"/>
        <v>0.21</v>
      </c>
      <c r="R59" s="1299">
        <f t="shared" si="64"/>
        <v>0.21</v>
      </c>
      <c r="S59" s="1299">
        <f t="shared" si="64"/>
        <v>0.21</v>
      </c>
      <c r="T59" s="1299">
        <f t="shared" si="64"/>
        <v>0.21</v>
      </c>
      <c r="U59" s="1299">
        <f t="shared" si="64"/>
        <v>0.21</v>
      </c>
      <c r="V59" s="1299">
        <f t="shared" si="64"/>
        <v>0.21</v>
      </c>
      <c r="Z59" s="1350"/>
      <c r="AA59" s="1290"/>
    </row>
    <row r="60" spans="1:36">
      <c r="C60" s="1266"/>
      <c r="D60" s="1266"/>
      <c r="E60" s="1351"/>
      <c r="F60" s="1266"/>
      <c r="G60" s="1266"/>
      <c r="H60" s="1266"/>
      <c r="I60" s="1266"/>
      <c r="J60" s="1266"/>
      <c r="K60" s="1338"/>
      <c r="L60" s="1266"/>
      <c r="M60" s="1266"/>
      <c r="N60" s="1266"/>
      <c r="O60" s="1266"/>
      <c r="P60" s="1266"/>
      <c r="Q60" s="1266"/>
      <c r="R60" s="1266"/>
      <c r="S60" s="1266"/>
      <c r="T60" s="1266"/>
      <c r="U60" s="1266"/>
      <c r="V60" s="1266"/>
      <c r="Y60" s="1267" t="s">
        <v>95</v>
      </c>
      <c r="Z60" s="1346">
        <f>+SUM('Historical Financials'!V48:Y48)</f>
        <v>60155</v>
      </c>
      <c r="AA60" s="1346">
        <f>+SUM('Historical Financials'!Z48:AC48)</f>
        <v>78628</v>
      </c>
      <c r="AB60" s="1346">
        <f>+SUM('Historical Financials'!AD48:AG48)</f>
        <v>83986</v>
      </c>
      <c r="AC60" s="1346">
        <f>+SUM('Historical Financials'!AH48:AK48)</f>
        <v>101663</v>
      </c>
    </row>
    <row r="61" spans="1:36" s="1266" customFormat="1">
      <c r="A61" s="1266" t="s">
        <v>140</v>
      </c>
      <c r="B61" s="1294"/>
      <c r="C61" s="1294">
        <f t="shared" ref="C61:V61" si="65">+C13-C55-C58</f>
        <v>19634.550000000003</v>
      </c>
      <c r="D61" s="1294">
        <f t="shared" si="65"/>
        <v>26261.279999999999</v>
      </c>
      <c r="E61" s="1336">
        <f t="shared" si="65"/>
        <v>34513.520000000004</v>
      </c>
      <c r="F61" s="1336">
        <f t="shared" si="65"/>
        <v>41898.44</v>
      </c>
      <c r="G61" s="1336">
        <f t="shared" si="65"/>
        <v>56170.58</v>
      </c>
      <c r="H61" s="1336">
        <f t="shared" si="65"/>
        <v>66135.64</v>
      </c>
      <c r="I61" s="1336">
        <f t="shared" si="65"/>
        <v>71480.78</v>
      </c>
      <c r="J61" s="1336">
        <f t="shared" si="65"/>
        <v>88009.9</v>
      </c>
      <c r="K61" s="1337">
        <f t="shared" si="65"/>
        <v>105266.14530739485</v>
      </c>
      <c r="L61" s="1294">
        <f t="shared" si="65"/>
        <v>127268.74813064566</v>
      </c>
      <c r="M61" s="1294">
        <f t="shared" si="65"/>
        <v>151276.932033044</v>
      </c>
      <c r="N61" s="1294">
        <f t="shared" si="65"/>
        <v>176758.29015504644</v>
      </c>
      <c r="O61" s="1294">
        <f t="shared" si="65"/>
        <v>203439.52356018446</v>
      </c>
      <c r="P61" s="1294">
        <f t="shared" si="65"/>
        <v>231099.48426319164</v>
      </c>
      <c r="Q61" s="1294">
        <f t="shared" si="65"/>
        <v>260461.20349317862</v>
      </c>
      <c r="R61" s="1294">
        <f t="shared" si="65"/>
        <v>292519.14689677738</v>
      </c>
      <c r="S61" s="1294">
        <f t="shared" si="65"/>
        <v>328963.18745183153</v>
      </c>
      <c r="T61" s="1294">
        <f t="shared" si="65"/>
        <v>356875.15908691275</v>
      </c>
      <c r="U61" s="1294">
        <f t="shared" si="65"/>
        <v>390264.95783077029</v>
      </c>
      <c r="V61" s="1294">
        <f t="shared" si="65"/>
        <v>429841.19119205448</v>
      </c>
      <c r="Z61" s="1343">
        <f>+Z60/Z51</f>
        <v>0.39244148117220323</v>
      </c>
      <c r="AA61" s="1343">
        <f t="shared" ref="AA61:AC61" si="66">+AA60/AA51</f>
        <v>0.42523917946166367</v>
      </c>
      <c r="AB61" s="1343">
        <f t="shared" si="66"/>
        <v>0.41150646270835989</v>
      </c>
      <c r="AC61" s="1343">
        <f t="shared" si="66"/>
        <v>0.44670735511879184</v>
      </c>
    </row>
    <row r="62" spans="1:36">
      <c r="A62" s="1295" t="s">
        <v>87</v>
      </c>
      <c r="C62" s="1296"/>
      <c r="D62" s="1297">
        <f>D61/C61-1</f>
        <v>0.33750353331245142</v>
      </c>
      <c r="E62" s="1297">
        <f t="shared" ref="E62:V62" si="67">E61/D61-1</f>
        <v>0.31423601591392369</v>
      </c>
      <c r="F62" s="1296">
        <f t="shared" si="67"/>
        <v>0.21397180003662331</v>
      </c>
      <c r="G62" s="1296">
        <f t="shared" si="67"/>
        <v>0.34063654875933325</v>
      </c>
      <c r="H62" s="1296">
        <f t="shared" si="67"/>
        <v>0.17740710528536474</v>
      </c>
      <c r="I62" s="1296">
        <f t="shared" si="67"/>
        <v>8.0820870562377634E-2</v>
      </c>
      <c r="J62" s="1296">
        <f t="shared" si="67"/>
        <v>0.23123866303641338</v>
      </c>
      <c r="K62" s="1311">
        <f t="shared" si="67"/>
        <v>0.1960716386155974</v>
      </c>
      <c r="L62" s="1296">
        <f t="shared" si="67"/>
        <v>0.20901879477964647</v>
      </c>
      <c r="M62" s="1296">
        <f t="shared" si="67"/>
        <v>0.18864162848331878</v>
      </c>
      <c r="N62" s="1296">
        <f t="shared" si="67"/>
        <v>0.16844179598008013</v>
      </c>
      <c r="O62" s="1296">
        <f t="shared" si="67"/>
        <v>0.15094756450593705</v>
      </c>
      <c r="P62" s="1296">
        <f t="shared" si="67"/>
        <v>0.1359615880875007</v>
      </c>
      <c r="Q62" s="1296">
        <f t="shared" si="67"/>
        <v>0.12705229232163884</v>
      </c>
      <c r="R62" s="1296">
        <f t="shared" si="67"/>
        <v>0.12308145310569585</v>
      </c>
      <c r="S62" s="1296">
        <f t="shared" si="67"/>
        <v>0.12458685505436096</v>
      </c>
      <c r="T62" s="1296">
        <f t="shared" si="67"/>
        <v>8.4848313427678734E-2</v>
      </c>
      <c r="U62" s="1296">
        <f t="shared" si="67"/>
        <v>9.3561565980908812E-2</v>
      </c>
      <c r="V62" s="1296">
        <f t="shared" si="67"/>
        <v>0.1014086265424976</v>
      </c>
    </row>
    <row r="63" spans="1:36">
      <c r="C63" s="1266"/>
      <c r="D63" s="1266"/>
      <c r="E63" s="1351"/>
      <c r="F63" s="1266"/>
      <c r="G63" s="1266"/>
      <c r="H63" s="1266"/>
      <c r="I63" s="1266"/>
      <c r="J63" s="1266"/>
      <c r="K63" s="1338"/>
      <c r="L63" s="1266"/>
      <c r="M63" s="1266"/>
      <c r="N63" s="1266"/>
      <c r="O63" s="1266"/>
      <c r="P63" s="1266"/>
      <c r="Q63" s="1266"/>
      <c r="R63" s="1266"/>
      <c r="S63" s="1266"/>
      <c r="T63" s="1266"/>
      <c r="U63" s="1266"/>
      <c r="V63" s="1266"/>
    </row>
    <row r="64" spans="1:36" s="1266" customFormat="1">
      <c r="A64" s="1266" t="str">
        <f>+A28</f>
        <v>Adj. D&amp;A</v>
      </c>
      <c r="B64" s="1294"/>
      <c r="C64" s="1294">
        <f t="shared" ref="C64:V64" si="68">+C28</f>
        <v>8778</v>
      </c>
      <c r="D64" s="1294">
        <f t="shared" si="68"/>
        <v>10261</v>
      </c>
      <c r="E64" s="1336">
        <f t="shared" si="68"/>
        <v>11682</v>
      </c>
      <c r="F64" s="1336">
        <f t="shared" si="68"/>
        <v>12796</v>
      </c>
      <c r="G64" s="1336">
        <f t="shared" si="68"/>
        <v>11686</v>
      </c>
      <c r="H64" s="1336">
        <f t="shared" si="68"/>
        <v>14460</v>
      </c>
      <c r="I64" s="1336">
        <f t="shared" si="68"/>
        <v>13861</v>
      </c>
      <c r="J64" s="1336">
        <f t="shared" si="68"/>
        <v>20427</v>
      </c>
      <c r="K64" s="1337">
        <f t="shared" si="68"/>
        <v>27803.116747365937</v>
      </c>
      <c r="L64" s="1294">
        <f t="shared" si="68"/>
        <v>31425.906903616535</v>
      </c>
      <c r="M64" s="1294">
        <f t="shared" si="68"/>
        <v>34802.142300320178</v>
      </c>
      <c r="N64" s="1294">
        <f t="shared" si="68"/>
        <v>39361.987109000482</v>
      </c>
      <c r="O64" s="1294">
        <f t="shared" si="68"/>
        <v>44571.912327797545</v>
      </c>
      <c r="P64" s="1294">
        <f t="shared" si="68"/>
        <v>49220.960580627565</v>
      </c>
      <c r="Q64" s="1294">
        <f t="shared" si="68"/>
        <v>54424.891723191518</v>
      </c>
      <c r="R64" s="1294">
        <f t="shared" si="68"/>
        <v>59375.979611682043</v>
      </c>
      <c r="S64" s="1294">
        <f t="shared" si="68"/>
        <v>65294.788207345839</v>
      </c>
      <c r="T64" s="1294">
        <f t="shared" si="68"/>
        <v>71180.015201115937</v>
      </c>
      <c r="U64" s="1294">
        <f t="shared" si="68"/>
        <v>76593.485215063003</v>
      </c>
      <c r="V64" s="1294">
        <f t="shared" si="68"/>
        <v>81345.7448413026</v>
      </c>
    </row>
    <row r="65" spans="1:31" s="1355" customFormat="1" ht="18.600000000000001">
      <c r="A65" s="1266" t="str">
        <f>+A48</f>
        <v>Capex</v>
      </c>
      <c r="B65" s="1352"/>
      <c r="C65" s="1352">
        <f t="shared" ref="C65:V65" si="69">+C48*-1</f>
        <v>-10200</v>
      </c>
      <c r="D65" s="1352">
        <f t="shared" si="69"/>
        <v>-13600</v>
      </c>
      <c r="E65" s="1353">
        <f t="shared" si="69"/>
        <v>-16900</v>
      </c>
      <c r="F65" s="1353">
        <f t="shared" si="69"/>
        <v>-19000</v>
      </c>
      <c r="G65" s="1353">
        <f t="shared" si="69"/>
        <v>-24200</v>
      </c>
      <c r="H65" s="1353">
        <f t="shared" si="69"/>
        <v>-29200</v>
      </c>
      <c r="I65" s="1353">
        <f t="shared" si="69"/>
        <v>-31900</v>
      </c>
      <c r="J65" s="1353">
        <f t="shared" si="69"/>
        <v>-55700</v>
      </c>
      <c r="K65" s="1354">
        <f t="shared" si="69"/>
        <v>-80000</v>
      </c>
      <c r="L65" s="1352">
        <f t="shared" si="69"/>
        <v>-69909.265092672198</v>
      </c>
      <c r="M65" s="1352">
        <f t="shared" si="69"/>
        <v>-71815.88141338143</v>
      </c>
      <c r="N65" s="1352">
        <f t="shared" si="69"/>
        <v>-73036.751397408909</v>
      </c>
      <c r="O65" s="1352">
        <f t="shared" si="69"/>
        <v>-73361.359181397391</v>
      </c>
      <c r="P65" s="1352">
        <f t="shared" si="69"/>
        <v>-72536.04389060667</v>
      </c>
      <c r="Q65" s="1352">
        <f t="shared" si="69"/>
        <v>-76111.034625215121</v>
      </c>
      <c r="R65" s="1352">
        <f t="shared" si="69"/>
        <v>-79389.663809070538</v>
      </c>
      <c r="S65" s="1352">
        <f t="shared" si="69"/>
        <v>-89710.320104249695</v>
      </c>
      <c r="T65" s="1352">
        <f t="shared" si="69"/>
        <v>-101372.66171780214</v>
      </c>
      <c r="U65" s="1352">
        <f t="shared" si="69"/>
        <v>-114551.10774111642</v>
      </c>
      <c r="V65" s="1352">
        <f t="shared" si="69"/>
        <v>-129442.75174746153</v>
      </c>
      <c r="Z65" s="1346">
        <f>+SUM('Historical Financials'!V55:Y55)</f>
        <v>0</v>
      </c>
      <c r="AA65" s="1346">
        <f>+SUM('Historical Financials'!Z55:AC55)</f>
        <v>0</v>
      </c>
      <c r="AB65" s="1346">
        <f>+SUM('Historical Financials'!AD55:AG55)</f>
        <v>0</v>
      </c>
      <c r="AC65" s="1346">
        <f>+SUM('Historical Financials'!AH55:AK55)</f>
        <v>0</v>
      </c>
    </row>
    <row r="66" spans="1:31">
      <c r="A66" s="1339" t="s">
        <v>141</v>
      </c>
      <c r="B66" s="1290"/>
      <c r="C66" s="1294">
        <f t="shared" ref="C66" si="70">+C65+C64+C61</f>
        <v>18212.550000000003</v>
      </c>
      <c r="D66" s="1294">
        <f>+D65+D64+D61</f>
        <v>22922.28</v>
      </c>
      <c r="E66" s="1336">
        <f t="shared" ref="E66:V66" si="71">+E65+E64+E61</f>
        <v>29295.520000000004</v>
      </c>
      <c r="F66" s="1336">
        <f t="shared" si="71"/>
        <v>35694.44</v>
      </c>
      <c r="G66" s="1336">
        <f t="shared" si="71"/>
        <v>43656.58</v>
      </c>
      <c r="H66" s="1336">
        <f t="shared" si="71"/>
        <v>51395.64</v>
      </c>
      <c r="I66" s="1336">
        <f t="shared" si="71"/>
        <v>53441.78</v>
      </c>
      <c r="J66" s="1336">
        <f t="shared" si="71"/>
        <v>52736.899999999994</v>
      </c>
      <c r="K66" s="1337">
        <f t="shared" si="71"/>
        <v>53069.262054760788</v>
      </c>
      <c r="L66" s="1294">
        <f t="shared" si="71"/>
        <v>88785.389941589994</v>
      </c>
      <c r="M66" s="1294">
        <f t="shared" si="71"/>
        <v>114263.19291998274</v>
      </c>
      <c r="N66" s="1294">
        <f t="shared" si="71"/>
        <v>143083.52586663803</v>
      </c>
      <c r="O66" s="1294">
        <f t="shared" si="71"/>
        <v>174650.0767065846</v>
      </c>
      <c r="P66" s="1294">
        <f t="shared" si="71"/>
        <v>207784.40095321252</v>
      </c>
      <c r="Q66" s="1294">
        <f t="shared" si="71"/>
        <v>238775.06059115502</v>
      </c>
      <c r="R66" s="1294">
        <f t="shared" si="71"/>
        <v>272505.46269938891</v>
      </c>
      <c r="S66" s="1294">
        <f t="shared" si="71"/>
        <v>304547.65555492765</v>
      </c>
      <c r="T66" s="1294">
        <f t="shared" si="71"/>
        <v>326682.51257022657</v>
      </c>
      <c r="U66" s="1294">
        <f t="shared" si="71"/>
        <v>352307.33530471689</v>
      </c>
      <c r="V66" s="1294">
        <f t="shared" si="71"/>
        <v>381744.18428589555</v>
      </c>
    </row>
    <row r="67" spans="1:31">
      <c r="A67" s="1331" t="s">
        <v>87</v>
      </c>
      <c r="C67" s="1296"/>
      <c r="D67" s="1296">
        <f t="shared" ref="D67:V67" si="72">+D66/C66-1</f>
        <v>0.25859805463814767</v>
      </c>
      <c r="E67" s="1296">
        <f t="shared" si="72"/>
        <v>0.278036914303464</v>
      </c>
      <c r="F67" s="1296">
        <f t="shared" si="72"/>
        <v>0.21842657170789237</v>
      </c>
      <c r="G67" s="1296">
        <f t="shared" si="72"/>
        <v>0.22306387213246648</v>
      </c>
      <c r="H67" s="1296">
        <f t="shared" si="72"/>
        <v>0.17727133000340367</v>
      </c>
      <c r="I67" s="1296">
        <f t="shared" si="72"/>
        <v>3.9811548216930559E-2</v>
      </c>
      <c r="J67" s="1296">
        <f t="shared" si="72"/>
        <v>-1.3189680433548512E-2</v>
      </c>
      <c r="K67" s="1311">
        <f t="shared" si="72"/>
        <v>6.3022675728150457E-3</v>
      </c>
      <c r="L67" s="1296">
        <f t="shared" si="72"/>
        <v>0.67300969532937294</v>
      </c>
      <c r="M67" s="1296">
        <f t="shared" si="72"/>
        <v>0.28695940846972734</v>
      </c>
      <c r="N67" s="1296">
        <f t="shared" si="72"/>
        <v>0.25222761774946933</v>
      </c>
      <c r="O67" s="1296">
        <f t="shared" si="72"/>
        <v>0.22061624948611058</v>
      </c>
      <c r="P67" s="1296">
        <f t="shared" si="72"/>
        <v>0.18971834923550701</v>
      </c>
      <c r="Q67" s="1296">
        <f t="shared" si="72"/>
        <v>0.14914815306525719</v>
      </c>
      <c r="R67" s="1296">
        <f t="shared" si="72"/>
        <v>0.14126434320537817</v>
      </c>
      <c r="S67" s="1296">
        <f t="shared" si="72"/>
        <v>0.11758367167444894</v>
      </c>
      <c r="T67" s="1296">
        <f t="shared" si="72"/>
        <v>7.2681094769769805E-2</v>
      </c>
      <c r="U67" s="1296">
        <f t="shared" si="72"/>
        <v>7.8439529967132104E-2</v>
      </c>
      <c r="V67" s="1296">
        <f t="shared" si="72"/>
        <v>8.355445950541518E-2</v>
      </c>
    </row>
    <row r="68" spans="1:31">
      <c r="A68" s="1266"/>
      <c r="B68" s="1290"/>
      <c r="C68" s="1356"/>
      <c r="D68" s="1294"/>
      <c r="E68" s="1336"/>
      <c r="F68" s="1336"/>
      <c r="G68" s="1336"/>
      <c r="H68" s="1336"/>
      <c r="I68" s="1336"/>
      <c r="J68" s="1336"/>
      <c r="K68" s="1337"/>
      <c r="L68" s="1294"/>
      <c r="M68" s="1294"/>
      <c r="N68" s="1294"/>
      <c r="O68" s="1294"/>
      <c r="P68" s="1294"/>
      <c r="Q68" s="1294"/>
      <c r="R68" s="1294"/>
      <c r="S68" s="1294"/>
      <c r="T68" s="1294"/>
      <c r="U68" s="1294"/>
      <c r="V68" s="1294"/>
      <c r="W68" s="1290"/>
      <c r="X68" s="1290"/>
      <c r="Y68" s="1290"/>
      <c r="Z68" s="1290"/>
      <c r="AA68" s="1290"/>
      <c r="AB68" s="1290"/>
      <c r="AC68" s="1290"/>
      <c r="AD68" s="1290"/>
      <c r="AE68" s="1290"/>
    </row>
    <row r="69" spans="1:31">
      <c r="A69" s="1266" t="s">
        <v>142</v>
      </c>
      <c r="C69" s="1291">
        <f>+'Historical Financials'!BH118</f>
        <v>3266</v>
      </c>
      <c r="D69" s="1291">
        <f>+'Historical Financials'!BI118</f>
        <v>3940</v>
      </c>
      <c r="E69" s="1292">
        <f>+'Historical Financials'!BJ118</f>
        <v>4652</v>
      </c>
      <c r="F69" s="1292">
        <f>+'Historical Financials'!BK118</f>
        <v>5289</v>
      </c>
      <c r="G69" s="1292">
        <f>+'Historical Financials'!BL118</f>
        <v>6118</v>
      </c>
      <c r="H69" s="1292">
        <f>+'Historical Financials'!BM118</f>
        <v>7502</v>
      </c>
      <c r="I69" s="1292">
        <f>+'Historical Financials'!BN118</f>
        <v>9611</v>
      </c>
      <c r="J69" s="1292">
        <f>+'Historical Financials'!BO118</f>
        <v>10734</v>
      </c>
      <c r="K69" s="1357">
        <v>0</v>
      </c>
      <c r="L69" s="1358">
        <v>0</v>
      </c>
      <c r="M69" s="1358">
        <v>0</v>
      </c>
      <c r="N69" s="1358">
        <v>0</v>
      </c>
      <c r="O69" s="1358">
        <v>0</v>
      </c>
      <c r="P69" s="1358">
        <v>0</v>
      </c>
      <c r="Q69" s="1358">
        <v>0</v>
      </c>
      <c r="R69" s="1358">
        <v>0</v>
      </c>
      <c r="S69" s="1358">
        <v>0</v>
      </c>
      <c r="T69" s="1358">
        <v>0</v>
      </c>
      <c r="U69" s="1358">
        <v>0</v>
      </c>
      <c r="V69" s="1358">
        <v>0</v>
      </c>
      <c r="W69" s="1290"/>
      <c r="Y69" s="1359"/>
    </row>
    <row r="70" spans="1:31">
      <c r="A70" s="1266" t="s">
        <v>143</v>
      </c>
      <c r="C70" s="1291"/>
      <c r="D70" s="1291">
        <v>0</v>
      </c>
      <c r="E70" s="1292">
        <v>0</v>
      </c>
      <c r="F70" s="1292">
        <v>0</v>
      </c>
      <c r="G70" s="1292">
        <v>0</v>
      </c>
      <c r="H70" s="1292">
        <v>0</v>
      </c>
      <c r="I70" s="1292">
        <v>0</v>
      </c>
      <c r="J70" s="1358">
        <f>+'D&amp;A forecast - Case 1'!U53*0.21</f>
        <v>480.27</v>
      </c>
      <c r="K70" s="1357">
        <f>+'D&amp;A forecast - Case 1'!V53*0.21</f>
        <v>480.27</v>
      </c>
      <c r="L70" s="1358">
        <f>+'D&amp;A forecast - Case 1'!W53*0.21</f>
        <v>480.27</v>
      </c>
      <c r="M70" s="1358">
        <f>+'D&amp;A forecast - Case 1'!X53*0.21</f>
        <v>480.27</v>
      </c>
      <c r="N70" s="1358">
        <f>+'D&amp;A forecast - Case 1'!Y53*0.21</f>
        <v>480.27</v>
      </c>
      <c r="O70" s="1358">
        <f>+'D&amp;A forecast - Case 1'!Z53*0.21</f>
        <v>480.27</v>
      </c>
      <c r="P70" s="1358">
        <f>+'D&amp;A forecast - Case 1'!AA53*0.21</f>
        <v>480.27</v>
      </c>
      <c r="Q70" s="1358">
        <f>+'D&amp;A forecast - Case 1'!AB53*0.21</f>
        <v>480.27</v>
      </c>
      <c r="R70" s="1358">
        <f>+'D&amp;A forecast - Case 1'!AC53*0.21</f>
        <v>480.27</v>
      </c>
      <c r="S70" s="1358">
        <f>+'D&amp;A forecast - Case 1'!AD53*0.21</f>
        <v>480.27</v>
      </c>
      <c r="T70" s="1358">
        <f>+'D&amp;A forecast - Case 1'!AE53*0.21</f>
        <v>480.27</v>
      </c>
      <c r="U70" s="1358">
        <f>+'D&amp;A forecast - Case 1'!AF53*0.21</f>
        <v>480.27</v>
      </c>
      <c r="V70" s="1358">
        <f>+'D&amp;A forecast - Case 1'!AG53*0.21</f>
        <v>480.27</v>
      </c>
      <c r="W70" s="1290"/>
      <c r="Y70" s="1359"/>
      <c r="Z70" s="1267">
        <f>1500/1600</f>
        <v>0.9375</v>
      </c>
    </row>
    <row r="71" spans="1:31" ht="18.600000000000001">
      <c r="A71" s="1266" t="s">
        <v>144</v>
      </c>
      <c r="C71" s="1360">
        <f t="shared" ref="C71:I71" si="73">C72-C66-SUM(C69:C69)</f>
        <v>7828.4499999999971</v>
      </c>
      <c r="D71" s="1360">
        <f t="shared" si="73"/>
        <v>3421.7200000000012</v>
      </c>
      <c r="E71" s="1360">
        <f t="shared" si="73"/>
        <v>1337.4799999999959</v>
      </c>
      <c r="F71" s="1360">
        <f t="shared" si="73"/>
        <v>691.55999999999767</v>
      </c>
      <c r="G71" s="1360">
        <f t="shared" si="73"/>
        <v>2765.4199999999983</v>
      </c>
      <c r="H71" s="1360">
        <f t="shared" si="73"/>
        <v>937.36000000000058</v>
      </c>
      <c r="I71" s="1360">
        <f t="shared" si="73"/>
        <v>-7370.7799999999988</v>
      </c>
      <c r="J71" s="1360">
        <f>+SUM('Historical Financials'!BO120:BO121)</f>
        <v>-518.71374999999898</v>
      </c>
      <c r="K71" s="1361">
        <v>0</v>
      </c>
      <c r="L71" s="1362">
        <v>0</v>
      </c>
      <c r="M71" s="1362">
        <v>0</v>
      </c>
      <c r="N71" s="1362">
        <v>0</v>
      </c>
      <c r="O71" s="1362">
        <v>0</v>
      </c>
      <c r="P71" s="1362">
        <v>0</v>
      </c>
      <c r="Q71" s="1362">
        <v>0</v>
      </c>
      <c r="R71" s="1362">
        <v>0</v>
      </c>
      <c r="S71" s="1362">
        <v>0</v>
      </c>
      <c r="T71" s="1362">
        <v>0</v>
      </c>
      <c r="U71" s="1362">
        <v>0</v>
      </c>
      <c r="V71" s="1362">
        <v>0</v>
      </c>
    </row>
    <row r="72" spans="1:31">
      <c r="A72" s="1363" t="s">
        <v>145</v>
      </c>
      <c r="B72" s="1291"/>
      <c r="C72" s="1291">
        <f>+'Historical Financials'!BH122</f>
        <v>29307</v>
      </c>
      <c r="D72" s="1291">
        <f>+'Historical Financials'!BI122</f>
        <v>30284</v>
      </c>
      <c r="E72" s="1292">
        <f>+'Historical Financials'!BJ122</f>
        <v>35285</v>
      </c>
      <c r="F72" s="1292">
        <f>+'Historical Financials'!BK122</f>
        <v>41675</v>
      </c>
      <c r="G72" s="1292">
        <f>+'Historical Financials'!BL122</f>
        <v>52540</v>
      </c>
      <c r="H72" s="1292">
        <f>+'Historical Financials'!BM122</f>
        <v>59835</v>
      </c>
      <c r="I72" s="1292">
        <f>+'Historical Financials'!BN122</f>
        <v>55682</v>
      </c>
      <c r="J72" s="1336">
        <f>+J66+J71+J69+J68+J70</f>
        <v>63432.456249999996</v>
      </c>
      <c r="K72" s="1337">
        <f t="shared" ref="K72:V72" si="74">+K66+K71+K69+K68+K70</f>
        <v>53549.532054760784</v>
      </c>
      <c r="L72" s="1294">
        <f t="shared" si="74"/>
        <v>89265.659941589998</v>
      </c>
      <c r="M72" s="1294">
        <f t="shared" si="74"/>
        <v>114743.46291998275</v>
      </c>
      <c r="N72" s="1294">
        <f t="shared" si="74"/>
        <v>143563.79586663801</v>
      </c>
      <c r="O72" s="1294">
        <f t="shared" si="74"/>
        <v>175130.34670658459</v>
      </c>
      <c r="P72" s="1294">
        <f t="shared" si="74"/>
        <v>208264.67095321251</v>
      </c>
      <c r="Q72" s="1294">
        <f t="shared" si="74"/>
        <v>239255.33059115501</v>
      </c>
      <c r="R72" s="1294">
        <f t="shared" si="74"/>
        <v>272985.73269938893</v>
      </c>
      <c r="S72" s="1294">
        <f t="shared" si="74"/>
        <v>305027.92555492767</v>
      </c>
      <c r="T72" s="1294">
        <f t="shared" si="74"/>
        <v>327162.78257022658</v>
      </c>
      <c r="U72" s="1294">
        <f t="shared" si="74"/>
        <v>352787.60530471691</v>
      </c>
      <c r="V72" s="1294">
        <f t="shared" si="74"/>
        <v>382224.45428589557</v>
      </c>
      <c r="W72" s="1364"/>
      <c r="X72" s="1364"/>
      <c r="Y72" s="1364"/>
      <c r="Z72" s="1364"/>
      <c r="AA72" s="1364"/>
      <c r="AB72" s="1364"/>
      <c r="AC72" s="1364"/>
      <c r="AD72" s="1364"/>
      <c r="AE72" s="1364"/>
    </row>
    <row r="73" spans="1:31">
      <c r="C73" s="1266"/>
      <c r="D73" s="1266"/>
      <c r="E73" s="1266"/>
      <c r="F73" s="1266"/>
      <c r="G73" s="1266"/>
      <c r="H73" s="1266"/>
      <c r="I73" s="1266"/>
      <c r="J73" s="1266"/>
      <c r="K73" s="1338"/>
      <c r="L73" s="1266"/>
      <c r="M73" s="1266"/>
      <c r="N73" s="1266"/>
      <c r="O73" s="1266"/>
      <c r="P73" s="1266"/>
      <c r="Q73" s="1266"/>
      <c r="R73" s="1266"/>
      <c r="S73" s="1266"/>
      <c r="T73" s="1266"/>
      <c r="U73" s="1266"/>
      <c r="V73" s="1266"/>
    </row>
    <row r="74" spans="1:31">
      <c r="A74" s="1267" t="s">
        <v>146</v>
      </c>
      <c r="B74" s="1290"/>
      <c r="C74" s="1291">
        <f>+'Historical Financials'!BH136</f>
        <v>-38877</v>
      </c>
      <c r="D74" s="1291">
        <f>+'Historical Financials'!BI136</f>
        <v>-47659</v>
      </c>
      <c r="E74" s="1292">
        <f>+'Historical Financials'!BJ136</f>
        <v>-48879</v>
      </c>
      <c r="F74" s="1292">
        <f>+'Historical Financials'!BK136</f>
        <v>-56033</v>
      </c>
      <c r="G74" s="1292">
        <f>+'Historical Financials'!BL136</f>
        <v>-50018</v>
      </c>
      <c r="H74" s="1292">
        <f>+'Historical Financials'!BM136</f>
        <v>-28585</v>
      </c>
      <c r="I74" s="1292">
        <f>+'Historical Financials'!BN136</f>
        <v>-34230</v>
      </c>
      <c r="J74" s="1292">
        <f>+'Historical Financials'!BO136</f>
        <v>18729</v>
      </c>
      <c r="K74" s="1293">
        <f>+'Historical Financials'!BP136</f>
        <v>-34820.532054760792</v>
      </c>
      <c r="L74" s="1294">
        <f t="shared" ref="L74:V74" si="75">L75*L32</f>
        <v>0</v>
      </c>
      <c r="M74" s="1294">
        <f t="shared" si="75"/>
        <v>0</v>
      </c>
      <c r="N74" s="1294">
        <f t="shared" si="75"/>
        <v>0</v>
      </c>
      <c r="O74" s="1294">
        <f t="shared" si="75"/>
        <v>0</v>
      </c>
      <c r="P74" s="1294">
        <f t="shared" si="75"/>
        <v>0</v>
      </c>
      <c r="Q74" s="1294">
        <f t="shared" si="75"/>
        <v>0</v>
      </c>
      <c r="R74" s="1294">
        <f t="shared" si="75"/>
        <v>0</v>
      </c>
      <c r="S74" s="1294">
        <f t="shared" si="75"/>
        <v>0</v>
      </c>
      <c r="T74" s="1294">
        <f t="shared" si="75"/>
        <v>0</v>
      </c>
      <c r="U74" s="1294">
        <f t="shared" si="75"/>
        <v>0</v>
      </c>
      <c r="V74" s="1294">
        <f t="shared" si="75"/>
        <v>0</v>
      </c>
    </row>
    <row r="75" spans="1:31">
      <c r="A75" s="1295" t="s">
        <v>147</v>
      </c>
      <c r="B75" s="1277"/>
      <c r="C75" s="1365">
        <f t="shared" ref="C75:K75" si="76">+C74/C32</f>
        <v>-1.0201527198299614</v>
      </c>
      <c r="D75" s="1365">
        <f t="shared" si="76"/>
        <v>-1.0516339725060129</v>
      </c>
      <c r="E75" s="1365">
        <f t="shared" si="76"/>
        <v>-0.89454804999908488</v>
      </c>
      <c r="F75" s="1365">
        <f t="shared" si="76"/>
        <v>-0.85214812561782372</v>
      </c>
      <c r="G75" s="1365">
        <f t="shared" si="76"/>
        <v>-0.61295066297394674</v>
      </c>
      <c r="H75" s="1365">
        <f t="shared" si="76"/>
        <v>-0.29215171243727195</v>
      </c>
      <c r="I75" s="1366">
        <f t="shared" si="76"/>
        <v>-0.33054898363188645</v>
      </c>
      <c r="J75" s="1366">
        <f t="shared" si="76"/>
        <v>0.14095732671031835</v>
      </c>
      <c r="K75" s="1367">
        <f t="shared" si="76"/>
        <v>-0.2161511145307676</v>
      </c>
      <c r="L75" s="1368">
        <v>0</v>
      </c>
      <c r="M75" s="1368">
        <f t="shared" ref="M75:V75" si="77">L75</f>
        <v>0</v>
      </c>
      <c r="N75" s="1368">
        <f t="shared" si="77"/>
        <v>0</v>
      </c>
      <c r="O75" s="1368">
        <f t="shared" si="77"/>
        <v>0</v>
      </c>
      <c r="P75" s="1368">
        <f t="shared" si="77"/>
        <v>0</v>
      </c>
      <c r="Q75" s="1368">
        <f t="shared" si="77"/>
        <v>0</v>
      </c>
      <c r="R75" s="1368">
        <f t="shared" si="77"/>
        <v>0</v>
      </c>
      <c r="S75" s="1368">
        <f t="shared" si="77"/>
        <v>0</v>
      </c>
      <c r="T75" s="1368">
        <f t="shared" si="77"/>
        <v>0</v>
      </c>
      <c r="U75" s="1368">
        <f t="shared" si="77"/>
        <v>0</v>
      </c>
      <c r="V75" s="1368">
        <f t="shared" si="77"/>
        <v>0</v>
      </c>
    </row>
    <row r="76" spans="1:31">
      <c r="C76" s="1266"/>
      <c r="D76" s="1266"/>
      <c r="E76" s="1266"/>
      <c r="F76" s="1266"/>
      <c r="G76" s="1266"/>
      <c r="H76" s="1266"/>
      <c r="I76" s="1266"/>
      <c r="J76" s="1266"/>
      <c r="K76" s="1338"/>
      <c r="L76" s="1266"/>
      <c r="M76" s="1266"/>
      <c r="N76" s="1266"/>
      <c r="O76" s="1266"/>
      <c r="P76" s="1266"/>
      <c r="Q76" s="1266"/>
      <c r="R76" s="1266"/>
      <c r="S76" s="1266"/>
      <c r="T76" s="1266"/>
      <c r="U76" s="1266"/>
      <c r="V76" s="1266"/>
    </row>
    <row r="77" spans="1:31">
      <c r="A77" s="1339" t="s">
        <v>148</v>
      </c>
      <c r="B77" s="1290"/>
      <c r="C77" s="1294"/>
      <c r="D77" s="1294"/>
      <c r="E77" s="1336"/>
      <c r="F77" s="1336"/>
      <c r="G77" s="1336"/>
      <c r="H77" s="1336"/>
      <c r="I77" s="1336"/>
      <c r="J77" s="1336"/>
      <c r="K77" s="1337"/>
      <c r="L77" s="1294">
        <f t="shared" ref="L77:N77" si="78">+L72+(L74-K74)</f>
        <v>124086.1919963508</v>
      </c>
      <c r="M77" s="1294">
        <f t="shared" si="78"/>
        <v>114743.46291998275</v>
      </c>
      <c r="N77" s="1294">
        <f t="shared" si="78"/>
        <v>143563.79586663801</v>
      </c>
      <c r="O77" s="1294">
        <f>+O72+(O74-N74)</f>
        <v>175130.34670658459</v>
      </c>
      <c r="P77" s="1294">
        <f>+P72+(P74-O74)</f>
        <v>208264.67095321251</v>
      </c>
      <c r="Q77" s="1294">
        <f>+Q72+(Q74-P74)</f>
        <v>239255.33059115501</v>
      </c>
      <c r="R77" s="1294">
        <f>+R72+(R74-Q74)</f>
        <v>272985.73269938893</v>
      </c>
      <c r="S77" s="1294">
        <f>+S72+(S74-R74)</f>
        <v>305027.92555492767</v>
      </c>
      <c r="T77" s="1294">
        <f t="shared" ref="T77:V77" si="79">+T72+(T74-S74)</f>
        <v>327162.78257022658</v>
      </c>
      <c r="U77" s="1294">
        <f t="shared" si="79"/>
        <v>352787.60530471691</v>
      </c>
      <c r="V77" s="1294">
        <f t="shared" si="79"/>
        <v>382224.45428589557</v>
      </c>
    </row>
    <row r="78" spans="1:31">
      <c r="A78" s="1331" t="s">
        <v>149</v>
      </c>
      <c r="C78" s="1296"/>
      <c r="D78" s="1296"/>
      <c r="E78" s="1296"/>
      <c r="F78" s="1296"/>
      <c r="G78" s="1296"/>
      <c r="H78" s="1296"/>
      <c r="I78" s="1296"/>
      <c r="J78" s="1296"/>
      <c r="K78" s="1311"/>
      <c r="L78" s="1296">
        <f t="shared" ref="L78:V78" si="80">+L77/$D$99</f>
        <v>3.8593596120489237E-2</v>
      </c>
      <c r="M78" s="1296">
        <f t="shared" si="80"/>
        <v>3.5687797281508803E-2</v>
      </c>
      <c r="N78" s="1296">
        <f t="shared" si="80"/>
        <v>4.4651568930121836E-2</v>
      </c>
      <c r="O78" s="1296">
        <f t="shared" si="80"/>
        <v>5.4469476099596549E-2</v>
      </c>
      <c r="P78" s="1296">
        <f t="shared" si="80"/>
        <v>6.477499605412379E-2</v>
      </c>
      <c r="Q78" s="1296">
        <f t="shared" si="80"/>
        <v>7.4413788109322601E-2</v>
      </c>
      <c r="R78" s="1296">
        <f t="shared" si="80"/>
        <v>8.490470168321293E-2</v>
      </c>
      <c r="S78" s="1296">
        <f t="shared" si="80"/>
        <v>9.4870544215618594E-2</v>
      </c>
      <c r="T78" s="1296">
        <f t="shared" si="80"/>
        <v>0.10175498250878781</v>
      </c>
      <c r="U78" s="1296">
        <f t="shared" si="80"/>
        <v>0.10972487862183103</v>
      </c>
      <c r="V78" s="1296">
        <f t="shared" si="80"/>
        <v>0.11888040062119139</v>
      </c>
    </row>
    <row r="79" spans="1:31">
      <c r="C79" s="1266"/>
      <c r="D79" s="1266"/>
      <c r="E79" s="1266"/>
      <c r="F79" s="1266"/>
      <c r="G79" s="1266"/>
      <c r="H79" s="1266"/>
      <c r="I79" s="1266"/>
      <c r="J79" s="1266"/>
      <c r="K79" s="1338"/>
      <c r="L79" s="1266"/>
      <c r="M79" s="1266"/>
      <c r="N79" s="1266"/>
      <c r="O79" s="1266"/>
      <c r="P79" s="1266"/>
      <c r="Q79" s="1266"/>
      <c r="R79" s="1266"/>
      <c r="S79" s="1266"/>
      <c r="T79" s="1266"/>
      <c r="U79" s="1266"/>
      <c r="V79" s="1266"/>
    </row>
    <row r="80" spans="1:31">
      <c r="A80" s="1339" t="s">
        <v>150</v>
      </c>
      <c r="B80" s="1290"/>
      <c r="C80" s="1294"/>
      <c r="D80" s="1294"/>
      <c r="E80" s="1336"/>
      <c r="F80" s="1336"/>
      <c r="G80" s="1336"/>
      <c r="H80" s="1336"/>
      <c r="I80" s="1336"/>
      <c r="J80" s="1336"/>
      <c r="K80" s="1337"/>
      <c r="L80" s="1294">
        <f t="shared" ref="L80:N80" si="81">L77+K80</f>
        <v>124086.1919963508</v>
      </c>
      <c r="M80" s="1294">
        <f t="shared" si="81"/>
        <v>238829.65491633356</v>
      </c>
      <c r="N80" s="1294">
        <f t="shared" si="81"/>
        <v>382393.45078297157</v>
      </c>
      <c r="O80" s="1294">
        <f>O77+N80</f>
        <v>557523.79748955613</v>
      </c>
      <c r="P80" s="1294">
        <f>P77+O80</f>
        <v>765788.46844276867</v>
      </c>
      <c r="Q80" s="1294">
        <f>Q77+P80</f>
        <v>1005043.7990339237</v>
      </c>
      <c r="R80" s="1294">
        <f>R77+Q80</f>
        <v>1278029.5317333126</v>
      </c>
      <c r="S80" s="1294">
        <f>S77+R80</f>
        <v>1583057.4572882403</v>
      </c>
      <c r="T80" s="1294">
        <f t="shared" ref="T80:V80" si="82">T77+S80</f>
        <v>1910220.2398584669</v>
      </c>
      <c r="U80" s="1294">
        <f t="shared" si="82"/>
        <v>2263007.8451631838</v>
      </c>
      <c r="V80" s="1294">
        <f t="shared" si="82"/>
        <v>2645232.2994490792</v>
      </c>
    </row>
    <row r="81" spans="1:26">
      <c r="A81" s="1331" t="s">
        <v>149</v>
      </c>
      <c r="C81" s="1296"/>
      <c r="D81" s="1296"/>
      <c r="E81" s="1296"/>
      <c r="F81" s="1296"/>
      <c r="G81" s="1296"/>
      <c r="H81" s="1296"/>
      <c r="I81" s="1296"/>
      <c r="J81" s="1296"/>
      <c r="K81" s="1311"/>
      <c r="L81" s="1296">
        <f t="shared" ref="L81:V81" si="83">L80/$D$99</f>
        <v>3.8593596120489237E-2</v>
      </c>
      <c r="M81" s="1296">
        <f t="shared" si="83"/>
        <v>7.4281393401998047E-2</v>
      </c>
      <c r="N81" s="1296">
        <f t="shared" si="83"/>
        <v>0.11893296233211988</v>
      </c>
      <c r="O81" s="1369">
        <f t="shared" si="83"/>
        <v>0.1734024384317164</v>
      </c>
      <c r="P81" s="1296">
        <f t="shared" si="83"/>
        <v>0.23817743448584022</v>
      </c>
      <c r="Q81" s="1296">
        <f t="shared" si="83"/>
        <v>0.31259122259516281</v>
      </c>
      <c r="R81" s="1296">
        <f t="shared" si="83"/>
        <v>0.39749592427837577</v>
      </c>
      <c r="S81" s="1296">
        <f t="shared" si="83"/>
        <v>0.49236646849399435</v>
      </c>
      <c r="T81" s="1296">
        <f t="shared" si="83"/>
        <v>0.59412145100278213</v>
      </c>
      <c r="U81" s="1296">
        <f t="shared" si="83"/>
        <v>0.70384632962461313</v>
      </c>
      <c r="V81" s="1296">
        <f t="shared" si="83"/>
        <v>0.82272673024580456</v>
      </c>
    </row>
    <row r="82" spans="1:26">
      <c r="C82" s="1266"/>
      <c r="D82" s="1266"/>
      <c r="E82" s="1266"/>
      <c r="F82" s="1266"/>
      <c r="G82" s="1266"/>
      <c r="H82" s="1266"/>
      <c r="I82" s="1266"/>
      <c r="J82" s="1266"/>
      <c r="K82" s="1338"/>
      <c r="L82" s="1266"/>
      <c r="M82" s="1266"/>
      <c r="N82" s="1266"/>
      <c r="O82" s="1266"/>
      <c r="P82" s="1266"/>
      <c r="Q82" s="1266"/>
      <c r="R82" s="1266"/>
      <c r="S82" s="1266"/>
      <c r="T82" s="1266"/>
      <c r="U82" s="1266"/>
      <c r="V82" s="1266"/>
    </row>
    <row r="83" spans="1:26" collapsed="1">
      <c r="A83" s="1267" t="s">
        <v>151</v>
      </c>
      <c r="C83" s="1266"/>
      <c r="D83" s="1266"/>
      <c r="E83" s="1266"/>
      <c r="F83" s="1266"/>
      <c r="G83" s="1370"/>
      <c r="H83" s="1371"/>
      <c r="I83" s="1370"/>
      <c r="J83" s="1370">
        <f>+D99/SUM('Historical Financials'!AJ122:AM122)</f>
        <v>51.158375763747458</v>
      </c>
      <c r="K83" s="1372"/>
      <c r="L83" s="1266"/>
      <c r="M83" s="1266"/>
      <c r="N83" s="1266"/>
      <c r="O83" s="1266"/>
      <c r="P83" s="1266"/>
      <c r="Q83" s="1266"/>
      <c r="R83" s="1266"/>
      <c r="S83" s="1266"/>
      <c r="T83" s="1266"/>
      <c r="U83" s="1266"/>
      <c r="V83" s="1266"/>
      <c r="Z83" s="1346"/>
    </row>
    <row r="84" spans="1:26">
      <c r="A84" s="1266" t="s">
        <v>152</v>
      </c>
      <c r="B84" s="1266"/>
      <c r="C84" s="1370"/>
      <c r="D84" s="1370"/>
      <c r="E84" s="1370"/>
      <c r="F84" s="1370"/>
      <c r="G84" s="1370"/>
      <c r="H84" s="1370"/>
      <c r="I84" s="1370"/>
      <c r="J84" s="1370"/>
      <c r="K84" s="1372">
        <f t="shared" ref="K84:V84" si="84">+($D$99-K80)/(K8)</f>
        <v>11.433378919095253</v>
      </c>
      <c r="L84" s="1370">
        <f t="shared" si="84"/>
        <v>9.7275431069019263</v>
      </c>
      <c r="M84" s="1370">
        <f t="shared" si="84"/>
        <v>8.2888962343894033</v>
      </c>
      <c r="N84" s="1370">
        <f t="shared" si="84"/>
        <v>6.9814916066646804</v>
      </c>
      <c r="O84" s="1370">
        <f t="shared" si="84"/>
        <v>5.7963545543128152</v>
      </c>
      <c r="P84" s="1370">
        <f t="shared" si="84"/>
        <v>4.7275508840153311</v>
      </c>
      <c r="Q84" s="1370">
        <f t="shared" si="84"/>
        <v>3.7750178478115499</v>
      </c>
      <c r="R84" s="1370">
        <f t="shared" si="84"/>
        <v>2.9280971481509543</v>
      </c>
      <c r="S84" s="1370">
        <f t="shared" si="84"/>
        <v>2.1832192427561425</v>
      </c>
      <c r="T84" s="1370">
        <f t="shared" si="84"/>
        <v>1.5447731228850994</v>
      </c>
      <c r="U84" s="1370">
        <f t="shared" si="84"/>
        <v>0.99748708531611041</v>
      </c>
      <c r="V84" s="1370">
        <f t="shared" si="84"/>
        <v>0.52839046715840388</v>
      </c>
    </row>
    <row r="85" spans="1:26">
      <c r="A85" s="1266" t="s">
        <v>153</v>
      </c>
      <c r="B85" s="1266"/>
      <c r="C85" s="1371">
        <f t="shared" ref="C85:V85" si="85">($D$99-C80)/C66</f>
        <v>176.53769516075451</v>
      </c>
      <c r="D85" s="1371">
        <f t="shared" si="85"/>
        <v>140.26534882219397</v>
      </c>
      <c r="E85" s="1371">
        <f t="shared" si="85"/>
        <v>109.7506239861931</v>
      </c>
      <c r="F85" s="1371">
        <f t="shared" si="85"/>
        <v>90.075698063900148</v>
      </c>
      <c r="G85" s="1371">
        <f t="shared" si="85"/>
        <v>73.647583021849172</v>
      </c>
      <c r="H85" s="1371">
        <f t="shared" si="85"/>
        <v>62.557866776247948</v>
      </c>
      <c r="I85" s="1371">
        <f t="shared" si="85"/>
        <v>60.162696676645133</v>
      </c>
      <c r="J85" s="1371">
        <f t="shared" si="85"/>
        <v>60.966829677133099</v>
      </c>
      <c r="K85" s="1372">
        <f t="shared" si="85"/>
        <v>60.585006753670655</v>
      </c>
      <c r="L85" s="1370">
        <f t="shared" si="85"/>
        <v>34.815586326052383</v>
      </c>
      <c r="M85" s="1370">
        <f t="shared" si="85"/>
        <v>26.048387665553747</v>
      </c>
      <c r="N85" s="1370">
        <f t="shared" si="85"/>
        <v>19.798283080173512</v>
      </c>
      <c r="O85" s="1370">
        <f t="shared" si="85"/>
        <v>15.217157945916007</v>
      </c>
      <c r="P85" s="1370">
        <f t="shared" si="85"/>
        <v>11.788243584795248</v>
      </c>
      <c r="Q85" s="1370">
        <f t="shared" si="85"/>
        <v>9.2562338608320633</v>
      </c>
      <c r="R85" s="1370">
        <f t="shared" si="85"/>
        <v>7.1087458177073506</v>
      </c>
      <c r="S85" s="1370">
        <f t="shared" si="85"/>
        <v>5.3592405422979503</v>
      </c>
      <c r="T85" s="1370">
        <f t="shared" si="85"/>
        <v>3.9946471265767642</v>
      </c>
      <c r="U85" s="1370">
        <f t="shared" si="85"/>
        <v>2.7027361040134092</v>
      </c>
      <c r="V85" s="1370">
        <f t="shared" si="85"/>
        <v>1.4930661003182695</v>
      </c>
    </row>
    <row r="86" spans="1:26">
      <c r="A86" s="1266" t="s">
        <v>154</v>
      </c>
      <c r="B86" s="1266"/>
      <c r="C86" s="1371"/>
      <c r="D86" s="1371">
        <f t="shared" ref="D86:V86" si="86">($D$99-D80)/D61</f>
        <v>122.43126001474415</v>
      </c>
      <c r="E86" s="1371">
        <f t="shared" si="86"/>
        <v>93.157742241301378</v>
      </c>
      <c r="F86" s="1371">
        <f t="shared" si="86"/>
        <v>76.737978788709071</v>
      </c>
      <c r="G86" s="1371">
        <f t="shared" si="86"/>
        <v>57.239957287248949</v>
      </c>
      <c r="H86" s="1371">
        <f t="shared" si="86"/>
        <v>48.615264024057225</v>
      </c>
      <c r="I86" s="1371">
        <f t="shared" si="86"/>
        <v>44.979945658119568</v>
      </c>
      <c r="J86" s="1371">
        <f t="shared" si="86"/>
        <v>36.532271937588845</v>
      </c>
      <c r="K86" s="1372">
        <f t="shared" si="86"/>
        <v>30.54354836126155</v>
      </c>
      <c r="L86" s="1370">
        <f t="shared" si="86"/>
        <v>24.288094708298026</v>
      </c>
      <c r="M86" s="1370">
        <f t="shared" si="86"/>
        <v>19.674988810809083</v>
      </c>
      <c r="N86" s="1370">
        <f t="shared" si="86"/>
        <v>16.026451414144052</v>
      </c>
      <c r="O86" s="1370">
        <f t="shared" si="86"/>
        <v>13.06372407878851</v>
      </c>
      <c r="P86" s="1370">
        <f t="shared" si="86"/>
        <v>10.598955421153926</v>
      </c>
      <c r="Q86" s="1370">
        <f t="shared" si="86"/>
        <v>8.4855547441404635</v>
      </c>
      <c r="R86" s="1370">
        <f t="shared" si="86"/>
        <v>6.6223769924717661</v>
      </c>
      <c r="S86" s="1370">
        <f t="shared" si="86"/>
        <v>4.9614795970164494</v>
      </c>
      <c r="T86" s="1370">
        <f t="shared" si="86"/>
        <v>3.6566886960706624</v>
      </c>
      <c r="U86" s="1370">
        <f t="shared" si="86"/>
        <v>2.4398648552241116</v>
      </c>
      <c r="V86" s="1370">
        <f t="shared" si="86"/>
        <v>1.3259997232239586</v>
      </c>
    </row>
    <row r="87" spans="1:26" hidden="1" outlineLevel="1">
      <c r="A87" s="1266" t="s">
        <v>155</v>
      </c>
      <c r="C87" s="1266"/>
      <c r="D87" s="1370"/>
      <c r="E87" s="1370"/>
      <c r="F87" s="1370"/>
      <c r="G87" s="1370"/>
      <c r="H87" s="1371">
        <f>+$E$99/8.81</f>
        <v>48.842224744608401</v>
      </c>
      <c r="I87" s="1373">
        <f>+$E$99/10.11</f>
        <v>42.561819980217606</v>
      </c>
      <c r="J87" s="1374">
        <f>+$E$99/11.45</f>
        <v>37.580786026200876</v>
      </c>
      <c r="K87" s="1370"/>
    </row>
    <row r="88" spans="1:26" collapsed="1">
      <c r="C88" s="1266"/>
      <c r="D88" s="1266"/>
      <c r="E88" s="1266"/>
      <c r="F88" s="1266"/>
      <c r="G88" s="1266"/>
      <c r="H88" s="1266"/>
      <c r="I88" s="1266"/>
      <c r="J88" s="1375"/>
      <c r="K88" s="1266"/>
    </row>
    <row r="89" spans="1:26">
      <c r="A89" s="1282" t="s">
        <v>156</v>
      </c>
      <c r="B89" s="1283"/>
      <c r="C89" s="1376"/>
      <c r="D89" s="1266"/>
      <c r="E89" s="1266"/>
      <c r="F89" s="1266"/>
      <c r="G89" s="1266"/>
      <c r="H89" s="1266"/>
      <c r="I89" s="1266"/>
      <c r="J89" s="1266"/>
      <c r="K89" s="1266"/>
    </row>
    <row r="90" spans="1:26" ht="8.1" customHeight="1">
      <c r="C90" s="1266"/>
      <c r="D90" s="1266"/>
      <c r="E90" s="1266"/>
      <c r="F90" s="1266"/>
      <c r="G90" s="1266"/>
      <c r="H90" s="1266"/>
      <c r="I90" s="1266"/>
      <c r="J90" s="1266"/>
      <c r="K90" s="1343"/>
      <c r="L90" s="1266"/>
    </row>
    <row r="91" spans="1:26">
      <c r="A91" s="1317" t="s">
        <v>157</v>
      </c>
      <c r="C91" s="1266"/>
      <c r="D91" s="1266"/>
      <c r="E91" s="1266"/>
      <c r="F91" s="1266"/>
      <c r="G91" s="1266"/>
      <c r="H91" s="1266"/>
      <c r="I91" s="1266"/>
      <c r="J91" s="1266"/>
      <c r="K91" s="1266"/>
      <c r="L91" s="1266"/>
      <c r="M91" s="1266"/>
      <c r="N91" s="1266"/>
      <c r="O91" s="1266"/>
    </row>
    <row r="92" spans="1:26" ht="18.600000000000001">
      <c r="A92" s="1267" t="s">
        <v>158</v>
      </c>
      <c r="C92" s="1266"/>
      <c r="D92" s="1266"/>
      <c r="E92" s="1266"/>
      <c r="F92" s="1266"/>
      <c r="G92" s="1266"/>
      <c r="H92" s="1266"/>
      <c r="I92" s="1266"/>
      <c r="J92" s="1266"/>
      <c r="K92" s="1266"/>
      <c r="L92" s="1266"/>
      <c r="M92" s="1266"/>
      <c r="N92" s="1266"/>
      <c r="O92" s="1266"/>
      <c r="P92" s="1266"/>
      <c r="Q92" s="1266"/>
      <c r="R92" s="1266"/>
      <c r="S92" s="1266"/>
      <c r="T92" s="1266"/>
      <c r="U92" s="1377">
        <v>15</v>
      </c>
      <c r="V92" s="1378"/>
    </row>
    <row r="93" spans="1:26">
      <c r="A93" s="1339" t="s">
        <v>159</v>
      </c>
      <c r="C93" s="1294"/>
      <c r="D93" s="1294"/>
      <c r="E93" s="1294"/>
      <c r="F93" s="1294"/>
      <c r="G93" s="1294"/>
      <c r="H93" s="1294"/>
      <c r="I93" s="1294"/>
      <c r="J93" s="1294"/>
      <c r="K93" s="1294"/>
      <c r="L93" s="1294"/>
      <c r="M93" s="1294"/>
      <c r="N93" s="1294"/>
      <c r="O93" s="1294"/>
      <c r="P93" s="1294"/>
      <c r="Q93" s="1294"/>
      <c r="R93" s="1294"/>
      <c r="S93" s="1294"/>
      <c r="T93" s="1294"/>
      <c r="U93" s="1294">
        <f>+U92*V66</f>
        <v>5726162.7642884329</v>
      </c>
      <c r="V93" s="1294"/>
    </row>
    <row r="94" spans="1:26">
      <c r="A94" s="1339" t="s">
        <v>160</v>
      </c>
      <c r="C94" s="1294"/>
      <c r="D94" s="1294"/>
      <c r="E94" s="1294"/>
      <c r="F94" s="1294"/>
      <c r="G94" s="1294"/>
      <c r="H94" s="1294"/>
      <c r="I94" s="1294"/>
      <c r="J94" s="1294"/>
      <c r="K94" s="1294">
        <f>-$D$99+K80</f>
        <v>-3215201.6</v>
      </c>
      <c r="L94" s="1294">
        <f t="shared" ref="L94:U94" si="87">+L77+L93</f>
        <v>124086.1919963508</v>
      </c>
      <c r="M94" s="1294">
        <f t="shared" si="87"/>
        <v>114743.46291998275</v>
      </c>
      <c r="N94" s="1294">
        <f t="shared" si="87"/>
        <v>143563.79586663801</v>
      </c>
      <c r="O94" s="1294">
        <f t="shared" si="87"/>
        <v>175130.34670658459</v>
      </c>
      <c r="P94" s="1294">
        <f t="shared" si="87"/>
        <v>208264.67095321251</v>
      </c>
      <c r="Q94" s="1294">
        <f t="shared" si="87"/>
        <v>239255.33059115501</v>
      </c>
      <c r="R94" s="1294">
        <f t="shared" si="87"/>
        <v>272985.73269938893</v>
      </c>
      <c r="S94" s="1294">
        <f t="shared" si="87"/>
        <v>305027.92555492767</v>
      </c>
      <c r="T94" s="1294">
        <f t="shared" si="87"/>
        <v>327162.78257022658</v>
      </c>
      <c r="U94" s="1294">
        <f t="shared" si="87"/>
        <v>6078950.36959315</v>
      </c>
      <c r="V94" s="1294"/>
    </row>
    <row r="95" spans="1:26">
      <c r="A95" s="1379" t="s">
        <v>161</v>
      </c>
      <c r="B95" s="1380"/>
      <c r="C95" s="1381"/>
      <c r="D95" s="1381"/>
      <c r="E95" s="1381"/>
      <c r="F95" s="1381"/>
      <c r="G95" s="1381"/>
      <c r="H95" s="1381"/>
      <c r="I95" s="1381"/>
      <c r="J95" s="1381"/>
      <c r="K95" s="1382">
        <f>XIRR(K94:U94,K3:U3)</f>
        <v>0.10034376978874207</v>
      </c>
      <c r="L95" s="1383"/>
      <c r="M95" s="1384"/>
      <c r="N95" s="1384"/>
      <c r="O95" s="1384"/>
      <c r="P95" s="1384"/>
      <c r="Q95" s="1384"/>
      <c r="R95" s="1384"/>
      <c r="S95" s="1384"/>
      <c r="T95" s="1384"/>
      <c r="U95" s="1384"/>
      <c r="V95" s="1384"/>
    </row>
    <row r="97" spans="1:22">
      <c r="A97" s="1385" t="s">
        <v>162</v>
      </c>
      <c r="B97" s="1386"/>
      <c r="C97" s="1387"/>
      <c r="D97" s="1387"/>
      <c r="E97" s="1388"/>
      <c r="F97" s="1266"/>
      <c r="I97" s="1266"/>
      <c r="J97" s="1266"/>
      <c r="K97" s="1266"/>
    </row>
    <row r="98" spans="1:22">
      <c r="D98" s="1389" t="s">
        <v>163</v>
      </c>
      <c r="E98" s="1389" t="s">
        <v>164</v>
      </c>
      <c r="F98" s="1266"/>
      <c r="I98" s="1266"/>
      <c r="J98" s="1266"/>
      <c r="K98" s="1266"/>
    </row>
    <row r="99" spans="1:22">
      <c r="A99" s="1267" t="s">
        <v>165</v>
      </c>
      <c r="D99" s="1390">
        <f>+E99*E102</f>
        <v>3215201.6</v>
      </c>
      <c r="E99" s="1394">
        <f>+Base!E100</f>
        <v>430.3</v>
      </c>
      <c r="F99" s="1266"/>
      <c r="I99" s="1266"/>
      <c r="J99" s="1266"/>
      <c r="K99" s="1266"/>
    </row>
    <row r="100" spans="1:22" ht="18.600000000000001">
      <c r="A100" s="1267" t="s">
        <v>146</v>
      </c>
      <c r="D100" s="1411">
        <f>+Base!D101</f>
        <v>18729</v>
      </c>
      <c r="E100" s="1392">
        <f>+D100/E102</f>
        <v>2.5065578158458246</v>
      </c>
      <c r="F100" s="1275"/>
      <c r="I100" s="1266"/>
      <c r="J100" s="1266"/>
      <c r="K100" s="1266"/>
    </row>
    <row r="101" spans="1:22">
      <c r="A101" s="1393" t="s">
        <v>166</v>
      </c>
      <c r="B101" s="1300"/>
      <c r="D101" s="1364">
        <f>+D100+D99</f>
        <v>3233930.6</v>
      </c>
      <c r="E101" s="1412">
        <f>+D101/E102</f>
        <v>432.80655781584585</v>
      </c>
      <c r="F101" s="1266"/>
      <c r="I101" s="1266"/>
      <c r="J101" s="1266"/>
      <c r="K101" s="1266"/>
    </row>
    <row r="102" spans="1:22">
      <c r="A102" s="1295" t="s">
        <v>167</v>
      </c>
      <c r="E102" s="1413">
        <f>+Base!E103</f>
        <v>7472</v>
      </c>
      <c r="F102" s="1266"/>
      <c r="I102" s="1266"/>
      <c r="J102" s="1266"/>
      <c r="K102" s="1266"/>
    </row>
    <row r="104" spans="1:22">
      <c r="A104" s="1282" t="s">
        <v>168</v>
      </c>
      <c r="B104" s="1283"/>
    </row>
    <row r="106" spans="1:22">
      <c r="A106" s="1396" t="s">
        <v>169</v>
      </c>
    </row>
    <row r="107" spans="1:22">
      <c r="A107" s="1267" t="s">
        <v>196</v>
      </c>
      <c r="B107" s="1344"/>
      <c r="C107" s="1344">
        <f>+'Historical Financials'!BH937</f>
        <v>-26030</v>
      </c>
      <c r="D107" s="1344">
        <f>+'Historical Financials'!BI937</f>
        <v>-16475</v>
      </c>
      <c r="E107" s="1344">
        <f>+'Historical Financials'!BJ937</f>
        <v>-16506</v>
      </c>
      <c r="F107" s="1344">
        <f>+'Historical Financials'!BK937</f>
        <v>-21043</v>
      </c>
      <c r="G107" s="1344">
        <f>+'Historical Financials'!BL937</f>
        <v>-24339</v>
      </c>
      <c r="H107" s="1344">
        <f>+'Historical Financials'!BM937</f>
        <v>-23339</v>
      </c>
      <c r="I107" s="1344">
        <f>+'Historical Financials'!BN937</f>
        <v>-21755</v>
      </c>
      <c r="J107" s="1344">
        <f>+'Historical Financials'!BO937</f>
        <v>-27136</v>
      </c>
      <c r="K107" s="1344">
        <f>+K108*K8</f>
        <v>-36294.868986490568</v>
      </c>
      <c r="L107" s="1344">
        <f>+L108*L8</f>
        <v>-41013.201954734344</v>
      </c>
      <c r="M107" s="1344">
        <f t="shared" ref="M107:V107" si="88">+M108*M8</f>
        <v>-46344.918208849806</v>
      </c>
      <c r="N107" s="1344">
        <f t="shared" si="88"/>
        <v>-52369.757576000273</v>
      </c>
      <c r="O107" s="1344">
        <f t="shared" si="88"/>
        <v>-59177.826060880303</v>
      </c>
      <c r="P107" s="1344">
        <f t="shared" si="88"/>
        <v>-66870.943448794729</v>
      </c>
      <c r="Q107" s="1344">
        <f t="shared" si="88"/>
        <v>-75564.166097138048</v>
      </c>
      <c r="R107" s="1344">
        <f t="shared" si="88"/>
        <v>-85387.507689765989</v>
      </c>
      <c r="S107" s="1344">
        <f t="shared" si="88"/>
        <v>-96487.883689435548</v>
      </c>
      <c r="T107" s="1344">
        <f t="shared" si="88"/>
        <v>-109031.30856906217</v>
      </c>
      <c r="U107" s="1344">
        <f t="shared" si="88"/>
        <v>-123205.37868304024</v>
      </c>
      <c r="V107" s="1344">
        <f t="shared" si="88"/>
        <v>-139222.07791183545</v>
      </c>
    </row>
    <row r="108" spans="1:22" s="1277" customFormat="1">
      <c r="A108" s="1295" t="s">
        <v>172</v>
      </c>
      <c r="B108" s="1296"/>
      <c r="C108" s="1296">
        <f t="shared" ref="C108:I108" si="89">+C107/C8</f>
        <v>-0.269542616313386</v>
      </c>
      <c r="D108" s="1296">
        <f t="shared" si="89"/>
        <v>-0.14928416092787242</v>
      </c>
      <c r="E108" s="1296">
        <f t="shared" si="89"/>
        <v>-0.13116343380243636</v>
      </c>
      <c r="F108" s="1296">
        <f t="shared" si="89"/>
        <v>-0.14713841205467959</v>
      </c>
      <c r="G108" s="1296">
        <f t="shared" si="89"/>
        <v>-0.14479915282471087</v>
      </c>
      <c r="H108" s="1296">
        <f t="shared" si="89"/>
        <v>-0.11771321934735461</v>
      </c>
      <c r="I108" s="1296">
        <f t="shared" si="89"/>
        <v>-0.10265908501049949</v>
      </c>
      <c r="J108" s="1296">
        <f>+J107/J8</f>
        <v>-0.11070405757133182</v>
      </c>
      <c r="K108" s="1299">
        <f>+AVERAGE(D108:J108)</f>
        <v>-0.12906593164841215</v>
      </c>
      <c r="L108" s="1299">
        <f>+K108</f>
        <v>-0.12906593164841215</v>
      </c>
      <c r="M108" s="1299">
        <f t="shared" ref="M108:V108" si="90">+L108</f>
        <v>-0.12906593164841215</v>
      </c>
      <c r="N108" s="1299">
        <f t="shared" si="90"/>
        <v>-0.12906593164841215</v>
      </c>
      <c r="O108" s="1299">
        <f t="shared" si="90"/>
        <v>-0.12906593164841215</v>
      </c>
      <c r="P108" s="1299">
        <f t="shared" si="90"/>
        <v>-0.12906593164841215</v>
      </c>
      <c r="Q108" s="1299">
        <f t="shared" si="90"/>
        <v>-0.12906593164841215</v>
      </c>
      <c r="R108" s="1299">
        <f t="shared" si="90"/>
        <v>-0.12906593164841215</v>
      </c>
      <c r="S108" s="1299">
        <f t="shared" si="90"/>
        <v>-0.12906593164841215</v>
      </c>
      <c r="T108" s="1299">
        <f t="shared" si="90"/>
        <v>-0.12906593164841215</v>
      </c>
      <c r="U108" s="1299">
        <f t="shared" si="90"/>
        <v>-0.12906593164841215</v>
      </c>
      <c r="V108" s="1299">
        <f t="shared" si="90"/>
        <v>-0.12906593164841215</v>
      </c>
    </row>
    <row r="110" spans="1:22">
      <c r="A110" s="1301" t="s">
        <v>174</v>
      </c>
      <c r="J110" s="1344"/>
    </row>
    <row r="111" spans="1:22">
      <c r="A111" s="1397" t="s">
        <v>175</v>
      </c>
      <c r="B111" s="1344"/>
      <c r="C111" s="1344">
        <f>+'Historical Financials'!BH895</f>
        <v>10106</v>
      </c>
      <c r="D111" s="1344">
        <f>+'Historical Financials'!BI895</f>
        <v>8053</v>
      </c>
      <c r="E111" s="1344">
        <f>+'Historical Financials'!BJ895</f>
        <v>7750</v>
      </c>
      <c r="F111" s="1344">
        <f>+'Historical Financials'!BK895</f>
        <v>7038</v>
      </c>
      <c r="G111" s="1344">
        <f>+'Historical Financials'!BL895</f>
        <v>7800</v>
      </c>
      <c r="H111" s="1344">
        <f>+'Historical Financials'!BM895</f>
        <v>11298</v>
      </c>
      <c r="I111" s="1344">
        <f>+'Historical Financials'!BN895</f>
        <v>9366</v>
      </c>
      <c r="J111" s="1344">
        <f>+'Historical Financials'!BO895-J116</f>
        <v>5628</v>
      </c>
      <c r="K111" s="1346"/>
    </row>
    <row r="112" spans="1:22">
      <c r="A112" s="1397" t="s">
        <v>176</v>
      </c>
      <c r="B112" s="1344"/>
      <c r="C112" s="1344">
        <f>+'Historical Financials'!BH890</f>
        <v>6555</v>
      </c>
      <c r="D112" s="1344">
        <f>+'Historical Financials'!BI890</f>
        <v>6686</v>
      </c>
      <c r="E112" s="1344">
        <f>+'Historical Financials'!BJ890</f>
        <v>7379</v>
      </c>
      <c r="F112" s="1344">
        <f>+'Historical Financials'!BK890</f>
        <v>8753</v>
      </c>
      <c r="G112" s="1344">
        <f>+'Historical Financials'!BL890</f>
        <v>11088</v>
      </c>
      <c r="H112" s="1344">
        <f>+'Historical Financials'!BM890</f>
        <v>13148</v>
      </c>
      <c r="I112" s="1344">
        <f>+'Historical Financials'!BN890</f>
        <v>14346</v>
      </c>
      <c r="J112" s="1344">
        <f>+'Historical Financials'!BO890</f>
        <v>18961</v>
      </c>
    </row>
    <row r="113" spans="1:22" s="1301" customFormat="1">
      <c r="A113" s="1397" t="s">
        <v>177</v>
      </c>
      <c r="B113" s="1398"/>
      <c r="C113" s="1398">
        <f>+'Historical Financials'!BH896</f>
        <v>6250</v>
      </c>
      <c r="D113" s="1398">
        <f>+'Historical Financials'!BI896</f>
        <v>7442</v>
      </c>
      <c r="E113" s="1398">
        <f>+'Historical Financials'!BJ896</f>
        <v>14723</v>
      </c>
      <c r="F113" s="1398">
        <f>+'Historical Financials'!BK896</f>
        <v>13138</v>
      </c>
      <c r="G113" s="1398">
        <f>+'Historical Financials'!BL896</f>
        <v>15075</v>
      </c>
      <c r="H113" s="1398">
        <f>+'Historical Financials'!BM896</f>
        <v>21897</v>
      </c>
      <c r="I113" s="1398">
        <f>+'Historical Financials'!BN896</f>
        <v>30601</v>
      </c>
      <c r="J113" s="1398">
        <f>+'Historical Financials'!BO896</f>
        <v>36460</v>
      </c>
    </row>
    <row r="114" spans="1:22">
      <c r="A114" s="1397" t="s">
        <v>178</v>
      </c>
      <c r="B114" s="1344"/>
      <c r="C114" s="1344">
        <f t="shared" ref="C114:J114" si="91">+SUM(C111:C113)</f>
        <v>22911</v>
      </c>
      <c r="D114" s="1344">
        <f t="shared" si="91"/>
        <v>22181</v>
      </c>
      <c r="E114" s="1344">
        <f t="shared" si="91"/>
        <v>29852</v>
      </c>
      <c r="F114" s="1344">
        <f t="shared" si="91"/>
        <v>28929</v>
      </c>
      <c r="G114" s="1344">
        <f t="shared" si="91"/>
        <v>33963</v>
      </c>
      <c r="H114" s="1344">
        <f t="shared" si="91"/>
        <v>46343</v>
      </c>
      <c r="I114" s="1344">
        <f t="shared" si="91"/>
        <v>54313</v>
      </c>
      <c r="J114" s="1344">
        <f t="shared" si="91"/>
        <v>61049</v>
      </c>
      <c r="K114" s="1344">
        <f>+K119*K8</f>
        <v>70037.377428128981</v>
      </c>
      <c r="L114" s="1344">
        <f t="shared" ref="L114:V114" si="92">+L119*L8</f>
        <v>79142.236493785749</v>
      </c>
      <c r="M114" s="1344">
        <f t="shared" si="92"/>
        <v>89430.727237977888</v>
      </c>
      <c r="N114" s="1344">
        <f t="shared" si="92"/>
        <v>101056.721778915</v>
      </c>
      <c r="O114" s="1344">
        <f t="shared" si="92"/>
        <v>114194.09561017394</v>
      </c>
      <c r="P114" s="1344">
        <f t="shared" si="92"/>
        <v>129039.32803949654</v>
      </c>
      <c r="Q114" s="1344">
        <f t="shared" si="92"/>
        <v>145814.44068463106</v>
      </c>
      <c r="R114" s="1344">
        <f t="shared" si="92"/>
        <v>164770.31797363312</v>
      </c>
      <c r="S114" s="1344">
        <f t="shared" si="92"/>
        <v>186190.45931020539</v>
      </c>
      <c r="T114" s="1344">
        <f t="shared" si="92"/>
        <v>210395.21902053207</v>
      </c>
      <c r="U114" s="1344">
        <f t="shared" si="92"/>
        <v>237746.59749320123</v>
      </c>
      <c r="V114" s="1344">
        <f t="shared" si="92"/>
        <v>268653.65516731737</v>
      </c>
    </row>
    <row r="115" spans="1:22">
      <c r="A115" s="1397" t="s">
        <v>179</v>
      </c>
      <c r="B115" s="1344"/>
      <c r="C115" s="1344">
        <f>+'Historical Financials'!BH894</f>
        <v>35122</v>
      </c>
      <c r="D115" s="1344">
        <f>+'Historical Financials'!BI894</f>
        <v>35683</v>
      </c>
      <c r="E115" s="1344">
        <f>+'Historical Financials'!BJ894</f>
        <v>42026</v>
      </c>
      <c r="F115" s="1344">
        <f>+'Historical Financials'!BK894</f>
        <v>43351</v>
      </c>
      <c r="G115" s="1344">
        <f>+'Historical Financials'!BL894</f>
        <v>49711</v>
      </c>
      <c r="H115" s="1344">
        <f>+'Historical Financials'!BM894</f>
        <v>67524</v>
      </c>
      <c r="I115" s="1344">
        <f>+'Historical Financials'!BN894</f>
        <v>67886</v>
      </c>
      <c r="J115" s="1344">
        <f>+'Historical Financials'!BO894</f>
        <v>119220</v>
      </c>
      <c r="K115" s="1399">
        <f>MAX(J115-$J$115/15,0)</f>
        <v>111272</v>
      </c>
      <c r="L115" s="1399">
        <f t="shared" ref="L115:V115" si="93">MAX(K115-$J$115/15,0)</f>
        <v>103324</v>
      </c>
      <c r="M115" s="1399">
        <f t="shared" si="93"/>
        <v>95376</v>
      </c>
      <c r="N115" s="1399">
        <f t="shared" si="93"/>
        <v>87428</v>
      </c>
      <c r="O115" s="1399">
        <f t="shared" si="93"/>
        <v>79480</v>
      </c>
      <c r="P115" s="1399">
        <f t="shared" si="93"/>
        <v>71532</v>
      </c>
      <c r="Q115" s="1399">
        <f t="shared" si="93"/>
        <v>63584</v>
      </c>
      <c r="R115" s="1399">
        <f t="shared" si="93"/>
        <v>55636</v>
      </c>
      <c r="S115" s="1399">
        <f t="shared" si="93"/>
        <v>47688</v>
      </c>
      <c r="T115" s="1399">
        <f t="shared" si="93"/>
        <v>39740</v>
      </c>
      <c r="U115" s="1399">
        <f t="shared" si="93"/>
        <v>31792</v>
      </c>
      <c r="V115" s="1399">
        <f t="shared" si="93"/>
        <v>23844</v>
      </c>
    </row>
    <row r="116" spans="1:22">
      <c r="A116" s="1397" t="s">
        <v>180</v>
      </c>
      <c r="B116" s="1344"/>
      <c r="C116" s="1344">
        <v>0</v>
      </c>
      <c r="D116" s="1344">
        <v>0</v>
      </c>
      <c r="E116" s="1344">
        <v>0</v>
      </c>
      <c r="F116" s="1344">
        <v>0</v>
      </c>
      <c r="G116" s="1344">
        <v>0</v>
      </c>
      <c r="H116" s="1344">
        <v>0</v>
      </c>
      <c r="I116" s="1344">
        <v>0</v>
      </c>
      <c r="J116" s="1318">
        <v>21969</v>
      </c>
      <c r="K116" s="1399">
        <f>MAX(J116-$J$116/15,0)</f>
        <v>20504.400000000001</v>
      </c>
      <c r="L116" s="1399">
        <f t="shared" ref="L116:V116" si="94">MAX(K116-$J$116/15,0)</f>
        <v>19039.800000000003</v>
      </c>
      <c r="M116" s="1399">
        <f t="shared" si="94"/>
        <v>17575.200000000004</v>
      </c>
      <c r="N116" s="1399">
        <f t="shared" si="94"/>
        <v>16110.600000000004</v>
      </c>
      <c r="O116" s="1399">
        <f t="shared" si="94"/>
        <v>14646.000000000004</v>
      </c>
      <c r="P116" s="1399">
        <f t="shared" si="94"/>
        <v>13181.400000000003</v>
      </c>
      <c r="Q116" s="1399">
        <f t="shared" si="94"/>
        <v>11716.800000000003</v>
      </c>
      <c r="R116" s="1399">
        <f t="shared" si="94"/>
        <v>10252.200000000003</v>
      </c>
      <c r="S116" s="1399">
        <f t="shared" si="94"/>
        <v>8787.6000000000022</v>
      </c>
      <c r="T116" s="1399">
        <f t="shared" si="94"/>
        <v>7323.0000000000018</v>
      </c>
      <c r="U116" s="1399">
        <f t="shared" si="94"/>
        <v>5858.4000000000015</v>
      </c>
      <c r="V116" s="1399">
        <f t="shared" si="94"/>
        <v>4393.8000000000011</v>
      </c>
    </row>
    <row r="117" spans="1:22" s="1301" customFormat="1">
      <c r="A117" s="1397" t="s">
        <v>181</v>
      </c>
      <c r="B117" s="1398"/>
      <c r="C117" s="1398">
        <f>+'Historical Financials'!BH891</f>
        <v>23734</v>
      </c>
      <c r="D117" s="1398">
        <f>+'Historical Financials'!BI891</f>
        <v>29460</v>
      </c>
      <c r="E117" s="1398">
        <f>+'Historical Financials'!BJ891</f>
        <v>36477</v>
      </c>
      <c r="F117" s="1398">
        <f>+'Historical Financials'!BK891</f>
        <v>44151</v>
      </c>
      <c r="G117" s="1398">
        <f>+'Historical Financials'!BL891</f>
        <v>59715</v>
      </c>
      <c r="H117" s="1398">
        <f>+'Historical Financials'!BM891</f>
        <v>74398</v>
      </c>
      <c r="I117" s="1398">
        <f>+'Historical Financials'!BN891</f>
        <v>95641</v>
      </c>
      <c r="J117" s="1398">
        <f>+'Historical Financials'!BO891</f>
        <v>135591</v>
      </c>
      <c r="K117" s="1400">
        <f>+'D&amp;A forecast - Case 1'!V199</f>
        <v>202051.41084929931</v>
      </c>
      <c r="L117" s="1400">
        <f>+'D&amp;A forecast - Case 1'!W199</f>
        <v>254823.40455621443</v>
      </c>
      <c r="M117" s="1400">
        <f>+'D&amp;A forecast - Case 1'!X199</f>
        <v>306264.45612728066</v>
      </c>
      <c r="N117" s="1400">
        <f>+'D&amp;A forecast - Case 1'!Y199</f>
        <v>355632.68530796573</v>
      </c>
      <c r="O117" s="1400">
        <f>+'D&amp;A forecast - Case 1'!Z199</f>
        <v>402424.00689668069</v>
      </c>
      <c r="P117" s="1400">
        <f>+'D&amp;A forecast - Case 1'!AA199</f>
        <v>446348.23711766332</v>
      </c>
      <c r="Q117" s="1400">
        <f>+'D&amp;A forecast - Case 1'!AB199</f>
        <v>491461.10644011083</v>
      </c>
      <c r="R117" s="1400">
        <f>+'D&amp;A forecast - Case 1'!AC199</f>
        <v>537964.89592531649</v>
      </c>
      <c r="S117" s="1400">
        <f>+'D&amp;A forecast - Case 1'!AD199</f>
        <v>592128.35007237922</v>
      </c>
      <c r="T117" s="1400">
        <f>+'D&amp;A forecast - Case 1'!AE199</f>
        <v>655600.82367108052</v>
      </c>
      <c r="U117" s="1400">
        <f>+'D&amp;A forecast - Case 1'!AF199</f>
        <v>730612.57536230213</v>
      </c>
      <c r="V117" s="1400">
        <f>+'D&amp;A forecast - Case 1'!AG199</f>
        <v>819706.85134411778</v>
      </c>
    </row>
    <row r="118" spans="1:22">
      <c r="A118" s="1339" t="s">
        <v>182</v>
      </c>
      <c r="B118" s="1344"/>
      <c r="C118" s="1344">
        <f>+SUM(C114:C117)</f>
        <v>81767</v>
      </c>
      <c r="D118" s="1344">
        <f t="shared" ref="D118:V118" si="95">+SUM(D114:D117)</f>
        <v>87324</v>
      </c>
      <c r="E118" s="1344">
        <f t="shared" si="95"/>
        <v>108355</v>
      </c>
      <c r="F118" s="1344">
        <f t="shared" si="95"/>
        <v>116431</v>
      </c>
      <c r="G118" s="1344">
        <f t="shared" si="95"/>
        <v>143389</v>
      </c>
      <c r="H118" s="1344">
        <f t="shared" si="95"/>
        <v>188265</v>
      </c>
      <c r="I118" s="1344">
        <f t="shared" si="95"/>
        <v>217840</v>
      </c>
      <c r="J118" s="1344">
        <f t="shared" si="95"/>
        <v>337829</v>
      </c>
      <c r="K118" s="1344">
        <f t="shared" si="95"/>
        <v>403865.18827742827</v>
      </c>
      <c r="L118" s="1344">
        <f t="shared" si="95"/>
        <v>456329.44105000014</v>
      </c>
      <c r="M118" s="1344">
        <f t="shared" si="95"/>
        <v>508646.38336525857</v>
      </c>
      <c r="N118" s="1344">
        <f t="shared" si="95"/>
        <v>560228.00708688074</v>
      </c>
      <c r="O118" s="1344">
        <f t="shared" si="95"/>
        <v>610744.10250685457</v>
      </c>
      <c r="P118" s="1344">
        <f t="shared" si="95"/>
        <v>660100.96515715984</v>
      </c>
      <c r="Q118" s="1344">
        <f t="shared" si="95"/>
        <v>712576.34712474188</v>
      </c>
      <c r="R118" s="1344">
        <f t="shared" si="95"/>
        <v>768623.41389894963</v>
      </c>
      <c r="S118" s="1344">
        <f t="shared" si="95"/>
        <v>834794.40938258462</v>
      </c>
      <c r="T118" s="1344">
        <f t="shared" si="95"/>
        <v>913059.04269161262</v>
      </c>
      <c r="U118" s="1344">
        <f t="shared" si="95"/>
        <v>1006009.5728555034</v>
      </c>
      <c r="V118" s="1344">
        <f t="shared" si="95"/>
        <v>1116598.3065114352</v>
      </c>
    </row>
    <row r="119" spans="1:22" s="1277" customFormat="1">
      <c r="A119" s="1331" t="s">
        <v>183</v>
      </c>
      <c r="B119" s="1296"/>
      <c r="C119" s="1296">
        <f t="shared" ref="C119:J119" si="96">+C114/C8</f>
        <v>0.23724513570326494</v>
      </c>
      <c r="D119" s="1296">
        <f t="shared" si="96"/>
        <v>0.20098767669445453</v>
      </c>
      <c r="E119" s="1296">
        <f t="shared" si="96"/>
        <v>0.23721621385377017</v>
      </c>
      <c r="F119" s="1296">
        <f t="shared" si="96"/>
        <v>0.20227948117330349</v>
      </c>
      <c r="G119" s="1296">
        <f t="shared" si="96"/>
        <v>0.20205487601732425</v>
      </c>
      <c r="H119" s="1296">
        <f t="shared" si="96"/>
        <v>0.23373682352347808</v>
      </c>
      <c r="I119" s="1296">
        <f t="shared" si="96"/>
        <v>0.2562961564778331</v>
      </c>
      <c r="J119" s="1296">
        <f t="shared" si="96"/>
        <v>0.24905557232724929</v>
      </c>
      <c r="K119" s="1299">
        <f>+J119</f>
        <v>0.24905557232724929</v>
      </c>
      <c r="L119" s="1299">
        <f t="shared" ref="L119:V119" si="97">+K119</f>
        <v>0.24905557232724929</v>
      </c>
      <c r="M119" s="1299">
        <f t="shared" si="97"/>
        <v>0.24905557232724929</v>
      </c>
      <c r="N119" s="1299">
        <f t="shared" si="97"/>
        <v>0.24905557232724929</v>
      </c>
      <c r="O119" s="1299">
        <f t="shared" si="97"/>
        <v>0.24905557232724929</v>
      </c>
      <c r="P119" s="1299">
        <f t="shared" si="97"/>
        <v>0.24905557232724929</v>
      </c>
      <c r="Q119" s="1299">
        <f t="shared" si="97"/>
        <v>0.24905557232724929</v>
      </c>
      <c r="R119" s="1299">
        <f t="shared" si="97"/>
        <v>0.24905557232724929</v>
      </c>
      <c r="S119" s="1299">
        <f t="shared" si="97"/>
        <v>0.24905557232724929</v>
      </c>
      <c r="T119" s="1299">
        <f t="shared" si="97"/>
        <v>0.24905557232724929</v>
      </c>
      <c r="U119" s="1299">
        <f t="shared" si="97"/>
        <v>0.24905557232724929</v>
      </c>
      <c r="V119" s="1299">
        <f t="shared" si="97"/>
        <v>0.24905557232724929</v>
      </c>
    </row>
    <row r="120" spans="1:22">
      <c r="A120" s="1324"/>
    </row>
    <row r="121" spans="1:22">
      <c r="A121" s="1324" t="s">
        <v>169</v>
      </c>
      <c r="B121" s="1346"/>
      <c r="C121" s="1346">
        <f t="shared" ref="C121:J121" si="98">+C118+C107</f>
        <v>55737</v>
      </c>
      <c r="D121" s="1346">
        <f t="shared" si="98"/>
        <v>70849</v>
      </c>
      <c r="E121" s="1346">
        <f t="shared" si="98"/>
        <v>91849</v>
      </c>
      <c r="F121" s="1346">
        <f t="shared" si="98"/>
        <v>95388</v>
      </c>
      <c r="G121" s="1346">
        <f t="shared" si="98"/>
        <v>119050</v>
      </c>
      <c r="H121" s="1346">
        <f t="shared" si="98"/>
        <v>164926</v>
      </c>
      <c r="I121" s="1346">
        <f t="shared" si="98"/>
        <v>196085</v>
      </c>
      <c r="J121" s="1346">
        <f t="shared" si="98"/>
        <v>310693</v>
      </c>
      <c r="K121" s="1346">
        <f t="shared" ref="K121:V121" si="99">+K118+K107</f>
        <v>367570.31929093768</v>
      </c>
      <c r="L121" s="1346">
        <f t="shared" si="99"/>
        <v>415316.2390952658</v>
      </c>
      <c r="M121" s="1346">
        <f t="shared" si="99"/>
        <v>462301.46515640878</v>
      </c>
      <c r="N121" s="1346">
        <f t="shared" si="99"/>
        <v>507858.24951088044</v>
      </c>
      <c r="O121" s="1346">
        <f t="shared" si="99"/>
        <v>551566.27644597425</v>
      </c>
      <c r="P121" s="1346">
        <f t="shared" si="99"/>
        <v>593230.02170836506</v>
      </c>
      <c r="Q121" s="1346">
        <f t="shared" si="99"/>
        <v>637012.1810276038</v>
      </c>
      <c r="R121" s="1346">
        <f t="shared" si="99"/>
        <v>683235.90620918362</v>
      </c>
      <c r="S121" s="1346">
        <f t="shared" si="99"/>
        <v>738306.52569314907</v>
      </c>
      <c r="T121" s="1346">
        <f t="shared" si="99"/>
        <v>804027.73412255046</v>
      </c>
      <c r="U121" s="1346">
        <f t="shared" si="99"/>
        <v>882804.19417246315</v>
      </c>
      <c r="V121" s="1346">
        <f t="shared" si="99"/>
        <v>977376.2285995998</v>
      </c>
    </row>
    <row r="122" spans="1:22" s="1300" customFormat="1">
      <c r="A122" s="1393" t="s">
        <v>184</v>
      </c>
      <c r="C122" s="1401">
        <f>+'Historical Financials'!BH940</f>
        <v>33088.5</v>
      </c>
      <c r="D122" s="1401">
        <f>+'Historical Financials'!BI940</f>
        <v>63293</v>
      </c>
      <c r="E122" s="1401">
        <f t="shared" ref="E122:I122" si="100">AVERAGE(D121:E121)</f>
        <v>81349</v>
      </c>
      <c r="F122" s="1401">
        <f t="shared" si="100"/>
        <v>93618.5</v>
      </c>
      <c r="G122" s="1401">
        <f t="shared" si="100"/>
        <v>107219</v>
      </c>
      <c r="H122" s="1401">
        <f t="shared" si="100"/>
        <v>141988</v>
      </c>
      <c r="I122" s="1401">
        <f t="shared" si="100"/>
        <v>180505.5</v>
      </c>
      <c r="J122" s="1401">
        <f>AVERAGE(I121:J121)</f>
        <v>253389</v>
      </c>
      <c r="K122" s="1401">
        <f t="shared" ref="K122" si="101">AVERAGE(J121:K121)</f>
        <v>339131.65964546881</v>
      </c>
      <c r="L122" s="1401">
        <f t="shared" ref="L122" si="102">AVERAGE(K121:L121)</f>
        <v>391443.27919310174</v>
      </c>
      <c r="M122" s="1401">
        <f t="shared" ref="M122" si="103">AVERAGE(L121:M121)</f>
        <v>438808.85212583729</v>
      </c>
      <c r="N122" s="1401">
        <f t="shared" ref="N122" si="104">AVERAGE(M121:N121)</f>
        <v>485079.85733364464</v>
      </c>
      <c r="O122" s="1401">
        <f t="shared" ref="O122" si="105">AVERAGE(N121:O121)</f>
        <v>529712.26297842734</v>
      </c>
      <c r="P122" s="1401">
        <f t="shared" ref="P122" si="106">AVERAGE(O121:P121)</f>
        <v>572398.1490771696</v>
      </c>
      <c r="Q122" s="1401">
        <f t="shared" ref="Q122" si="107">AVERAGE(P121:Q121)</f>
        <v>615121.10136798443</v>
      </c>
      <c r="R122" s="1401">
        <f t="shared" ref="R122" si="108">AVERAGE(Q121:R121)</f>
        <v>660124.04361839371</v>
      </c>
      <c r="S122" s="1401">
        <f t="shared" ref="S122" si="109">AVERAGE(R121:S121)</f>
        <v>710771.21595116635</v>
      </c>
      <c r="T122" s="1401">
        <f t="shared" ref="T122" si="110">AVERAGE(S121:T121)</f>
        <v>771167.12990784971</v>
      </c>
      <c r="U122" s="1401">
        <f t="shared" ref="U122" si="111">AVERAGE(T121:U121)</f>
        <v>843415.96414750675</v>
      </c>
      <c r="V122" s="1401">
        <f t="shared" ref="V122" si="112">AVERAGE(U121:V121)</f>
        <v>930090.21138603147</v>
      </c>
    </row>
    <row r="123" spans="1:22">
      <c r="A123" s="1339"/>
      <c r="C123" s="1346"/>
      <c r="D123" s="1346"/>
      <c r="E123" s="1346"/>
      <c r="F123" s="1346"/>
      <c r="G123" s="1346"/>
      <c r="H123" s="1346"/>
      <c r="I123" s="1346"/>
      <c r="J123" s="1346"/>
      <c r="K123" s="1346"/>
      <c r="L123" s="1346"/>
      <c r="M123" s="1346"/>
      <c r="N123" s="1346"/>
      <c r="O123" s="1346"/>
      <c r="P123" s="1346"/>
      <c r="Q123" s="1346"/>
      <c r="R123" s="1346"/>
      <c r="S123" s="1346"/>
      <c r="T123" s="1346"/>
      <c r="U123" s="1346"/>
      <c r="V123" s="1346"/>
    </row>
    <row r="124" spans="1:22">
      <c r="A124" s="1324" t="s">
        <v>185</v>
      </c>
      <c r="C124" s="1346">
        <f t="shared" ref="C124:J124" si="113">+C13</f>
        <v>29331</v>
      </c>
      <c r="D124" s="1346">
        <f t="shared" si="113"/>
        <v>35058</v>
      </c>
      <c r="E124" s="1346">
        <f t="shared" si="113"/>
        <v>42959</v>
      </c>
      <c r="F124" s="1346">
        <f t="shared" si="113"/>
        <v>52959</v>
      </c>
      <c r="G124" s="1346">
        <f t="shared" si="113"/>
        <v>69916</v>
      </c>
      <c r="H124" s="1346">
        <f t="shared" si="113"/>
        <v>83383</v>
      </c>
      <c r="I124" s="1346">
        <f t="shared" si="113"/>
        <v>89694</v>
      </c>
      <c r="J124" s="1346">
        <f t="shared" si="113"/>
        <v>112443</v>
      </c>
      <c r="K124" s="1346">
        <f t="shared" ref="K124" si="114">+K13</f>
        <v>133290.34849037323</v>
      </c>
      <c r="L124" s="1346">
        <f>+L125*L122</f>
        <v>160491.74446917171</v>
      </c>
      <c r="M124" s="1346">
        <f t="shared" ref="M124:V124" si="115">+M125*M122</f>
        <v>190881.85067473922</v>
      </c>
      <c r="N124" s="1346">
        <f t="shared" si="115"/>
        <v>223136.73437347653</v>
      </c>
      <c r="O124" s="1346">
        <f t="shared" si="115"/>
        <v>256910.44754453728</v>
      </c>
      <c r="P124" s="1346">
        <f t="shared" si="115"/>
        <v>291923.05602935649</v>
      </c>
      <c r="Q124" s="1346">
        <f t="shared" si="115"/>
        <v>329089.78923187166</v>
      </c>
      <c r="R124" s="1346">
        <f t="shared" si="115"/>
        <v>369669.46442630049</v>
      </c>
      <c r="S124" s="1346">
        <f t="shared" si="115"/>
        <v>415801.16133143235</v>
      </c>
      <c r="T124" s="1346">
        <f t="shared" si="115"/>
        <v>451132.77099609212</v>
      </c>
      <c r="U124" s="1346">
        <f t="shared" si="115"/>
        <v>493398.33902629151</v>
      </c>
      <c r="V124" s="1346">
        <f t="shared" si="115"/>
        <v>544102.77366082848</v>
      </c>
    </row>
    <row r="125" spans="1:22" s="1404" customFormat="1">
      <c r="A125" s="1402" t="s">
        <v>186</v>
      </c>
      <c r="B125" s="1403"/>
      <c r="C125" s="1403">
        <f>+C124/C122</f>
        <v>0.88644090847273227</v>
      </c>
      <c r="D125" s="1403">
        <f t="shared" ref="D125:K125" si="116">+D124/D122</f>
        <v>0.5539001153366091</v>
      </c>
      <c r="E125" s="1403">
        <f t="shared" si="116"/>
        <v>0.52808270538052093</v>
      </c>
      <c r="F125" s="1403">
        <f t="shared" si="116"/>
        <v>0.56568947376853929</v>
      </c>
      <c r="G125" s="1403">
        <f t="shared" si="116"/>
        <v>0.6520859176078867</v>
      </c>
      <c r="H125" s="1403">
        <f t="shared" si="116"/>
        <v>0.58725385243823425</v>
      </c>
      <c r="I125" s="1403">
        <f t="shared" si="116"/>
        <v>0.49690452645487254</v>
      </c>
      <c r="J125" s="1403">
        <f t="shared" si="116"/>
        <v>0.44375643773013035</v>
      </c>
      <c r="K125" s="1403">
        <f t="shared" si="116"/>
        <v>0.39303422343321209</v>
      </c>
      <c r="L125" s="1414">
        <v>0.41</v>
      </c>
      <c r="M125" s="1414">
        <f t="shared" ref="M125:S125" si="117">+L125+2.5%</f>
        <v>0.435</v>
      </c>
      <c r="N125" s="1414">
        <f t="shared" si="117"/>
        <v>0.46</v>
      </c>
      <c r="O125" s="1414">
        <f t="shared" si="117"/>
        <v>0.48500000000000004</v>
      </c>
      <c r="P125" s="1414">
        <f t="shared" si="117"/>
        <v>0.51</v>
      </c>
      <c r="Q125" s="1414">
        <f t="shared" si="117"/>
        <v>0.53500000000000003</v>
      </c>
      <c r="R125" s="1414">
        <f t="shared" si="117"/>
        <v>0.56000000000000005</v>
      </c>
      <c r="S125" s="1414">
        <f t="shared" si="117"/>
        <v>0.58500000000000008</v>
      </c>
      <c r="T125" s="1403">
        <f t="shared" ref="T125:V125" si="118">+S125</f>
        <v>0.58500000000000008</v>
      </c>
      <c r="U125" s="1403">
        <f t="shared" si="118"/>
        <v>0.58500000000000008</v>
      </c>
      <c r="V125" s="1403">
        <f t="shared" si="118"/>
        <v>0.58500000000000008</v>
      </c>
    </row>
    <row r="126" spans="1:22">
      <c r="A126" s="1397"/>
    </row>
    <row r="127" spans="1:22">
      <c r="C127" s="1405"/>
      <c r="D127" s="1405"/>
      <c r="E127" s="1405"/>
      <c r="H127" s="1405"/>
      <c r="I127" s="1405"/>
      <c r="J127" s="1405"/>
      <c r="K127" s="1405">
        <f>K95</f>
        <v>0.10034376978874207</v>
      </c>
    </row>
    <row r="130" spans="1:29">
      <c r="A130" s="1267" t="s">
        <v>187</v>
      </c>
      <c r="C130" s="1406">
        <f>+$E$99/C85</f>
        <v>2.4374397751606001</v>
      </c>
      <c r="D130" s="1406">
        <f t="shared" ref="D130:N130" si="119">+$E$99/D86</f>
        <v>3.5146252676659526</v>
      </c>
      <c r="E130" s="1406">
        <f t="shared" si="119"/>
        <v>4.6190471092077088</v>
      </c>
      <c r="F130" s="1406">
        <f t="shared" si="119"/>
        <v>5.6073929336188444</v>
      </c>
      <c r="G130" s="1406">
        <f t="shared" si="119"/>
        <v>7.5174759100642401</v>
      </c>
      <c r="H130" s="1406">
        <f t="shared" si="119"/>
        <v>8.8511295503211986</v>
      </c>
      <c r="I130" s="1406">
        <f t="shared" si="119"/>
        <v>9.5664855460385443</v>
      </c>
      <c r="J130" s="1406">
        <f t="shared" si="119"/>
        <v>11.778626873661668</v>
      </c>
      <c r="K130" s="1406">
        <f t="shared" si="119"/>
        <v>14.088081545422222</v>
      </c>
      <c r="L130" s="1406">
        <f t="shared" si="119"/>
        <v>17.716498768962229</v>
      </c>
      <c r="M130" s="1406">
        <f t="shared" si="119"/>
        <v>21.87040633861001</v>
      </c>
      <c r="N130" s="1406">
        <f t="shared" si="119"/>
        <v>26.849362274935125</v>
      </c>
    </row>
    <row r="131" spans="1:29">
      <c r="A131" s="1267" t="s">
        <v>188</v>
      </c>
      <c r="C131" s="1406"/>
      <c r="D131" s="1406">
        <f t="shared" ref="D131:F131" si="120">AVERAGE(D130:E130)</f>
        <v>4.0668361884368309</v>
      </c>
      <c r="E131" s="1406">
        <f t="shared" si="120"/>
        <v>5.1132200214132766</v>
      </c>
      <c r="F131" s="1406">
        <f t="shared" si="120"/>
        <v>6.5624344218415427</v>
      </c>
      <c r="G131" s="1406">
        <f>AVERAGE(G130:H130)</f>
        <v>8.1843027301927194</v>
      </c>
      <c r="H131" s="1406">
        <f>AVERAGE(H130:I130)</f>
        <v>9.2088075481798715</v>
      </c>
      <c r="I131" s="1406">
        <f>AVERAGE(I130:J130)</f>
        <v>10.672556209850107</v>
      </c>
      <c r="J131" s="1406">
        <f t="shared" ref="J131:M131" si="121">AVERAGE(J130:K130)</f>
        <v>12.933354209541946</v>
      </c>
      <c r="K131" s="1406">
        <f t="shared" si="121"/>
        <v>15.902290157192226</v>
      </c>
      <c r="L131" s="1406">
        <f t="shared" si="121"/>
        <v>19.793452553786118</v>
      </c>
      <c r="M131" s="1406">
        <f t="shared" si="121"/>
        <v>24.359884306772567</v>
      </c>
    </row>
    <row r="132" spans="1:29">
      <c r="C132" s="1407"/>
    </row>
    <row r="133" spans="1:29">
      <c r="F133" s="1346"/>
      <c r="I133" s="1408">
        <f>+AVERAGE(I86:J86)</f>
        <v>40.75610879785421</v>
      </c>
      <c r="J133" s="1408">
        <f>+AVERAGE(J86:K86)</f>
        <v>33.537910149425201</v>
      </c>
      <c r="K133" s="1408">
        <f>+AVERAGE(K86:L86)</f>
        <v>27.415821534779788</v>
      </c>
      <c r="L133" s="1408">
        <f>+AVERAGE(L86:M86)</f>
        <v>21.981541759553554</v>
      </c>
    </row>
    <row r="134" spans="1:29">
      <c r="Z134" s="1346"/>
      <c r="AA134" s="1346"/>
      <c r="AB134" s="1346"/>
      <c r="AC134" s="1346"/>
    </row>
    <row r="135" spans="1:29">
      <c r="H135" s="1346"/>
      <c r="I135" s="1346"/>
      <c r="K135" s="1346"/>
      <c r="L135" s="1346">
        <f>SUM('Historical Financials'!AI122:AL122)</f>
        <v>62723</v>
      </c>
    </row>
    <row r="136" spans="1:29">
      <c r="G136" s="1346"/>
      <c r="Z136" s="1346"/>
      <c r="AA136" s="1346"/>
      <c r="AB136" s="1346"/>
      <c r="AC136" s="1346"/>
    </row>
    <row r="138" spans="1:29" ht="20.100000000000001">
      <c r="K138" s="1278" t="str">
        <f>+D4</f>
        <v>FYE June 30th</v>
      </c>
      <c r="L138" s="1278"/>
      <c r="M138" s="1279"/>
      <c r="N138" s="1279"/>
      <c r="O138" s="1279"/>
      <c r="P138" s="1279"/>
    </row>
    <row r="139" spans="1:29" ht="20.100000000000001">
      <c r="J139" s="1277" t="s">
        <v>189</v>
      </c>
      <c r="K139" s="1280" t="s">
        <v>190</v>
      </c>
      <c r="L139" s="1280" t="s">
        <v>191</v>
      </c>
      <c r="M139" s="1280" t="s">
        <v>72</v>
      </c>
      <c r="N139" s="1280" t="s">
        <v>73</v>
      </c>
      <c r="O139" s="1280" t="s">
        <v>74</v>
      </c>
      <c r="P139" s="1280" t="s">
        <v>75</v>
      </c>
    </row>
    <row r="140" spans="1:29">
      <c r="J140" s="1301" t="s">
        <v>192</v>
      </c>
    </row>
    <row r="141" spans="1:29">
      <c r="J141" s="1267" t="s">
        <v>193</v>
      </c>
      <c r="K141" s="1319">
        <f t="shared" ref="K141:P141" si="122">+I8</f>
        <v>211915</v>
      </c>
      <c r="L141" s="1319">
        <f t="shared" si="122"/>
        <v>245122</v>
      </c>
      <c r="M141" s="1319">
        <f t="shared" si="122"/>
        <v>281211.84671227756</v>
      </c>
      <c r="N141" s="1319">
        <f t="shared" si="122"/>
        <v>317769.38678487361</v>
      </c>
      <c r="O141" s="1319">
        <f t="shared" si="122"/>
        <v>359079.40706690715</v>
      </c>
      <c r="P141" s="1319">
        <f t="shared" si="122"/>
        <v>405759.72998560505</v>
      </c>
    </row>
    <row r="142" spans="1:29">
      <c r="J142" s="1267" t="s">
        <v>194</v>
      </c>
      <c r="K142" s="1319">
        <f>+K141</f>
        <v>211915</v>
      </c>
      <c r="L142" s="1319">
        <v>244798.6</v>
      </c>
      <c r="M142" s="1319">
        <v>279863</v>
      </c>
      <c r="N142" s="1319">
        <f>+M142*(1+N146)</f>
        <v>319323.68300000002</v>
      </c>
      <c r="O142" s="1319">
        <f t="shared" ref="O142:P142" si="123">+N142*(1+O146)</f>
        <v>362049.19178539998</v>
      </c>
      <c r="P142" s="1319">
        <f t="shared" si="123"/>
        <v>406581.24237500416</v>
      </c>
    </row>
    <row r="143" spans="1:29">
      <c r="P143" s="1406"/>
    </row>
    <row r="144" spans="1:29">
      <c r="J144" s="1334" t="s">
        <v>130</v>
      </c>
    </row>
    <row r="145" spans="10:16">
      <c r="J145" s="1295" t="str">
        <f>+J141</f>
        <v>CRC</v>
      </c>
      <c r="K145" s="1296"/>
      <c r="L145" s="1296">
        <f>+L141/K141-1</f>
        <v>0.1566996201307127</v>
      </c>
      <c r="M145" s="1296">
        <f t="shared" ref="M145:P145" si="124">+M141/L141-1</f>
        <v>0.14723218116806147</v>
      </c>
      <c r="N145" s="1296">
        <f t="shared" si="124"/>
        <v>0.12999999999999989</v>
      </c>
      <c r="O145" s="1296">
        <f t="shared" si="124"/>
        <v>0.12999999999999989</v>
      </c>
      <c r="P145" s="1296">
        <f t="shared" si="124"/>
        <v>0.12999999999999989</v>
      </c>
    </row>
    <row r="146" spans="10:16">
      <c r="J146" s="1295" t="str">
        <f>+J142</f>
        <v>VA Cons.</v>
      </c>
      <c r="K146" s="1296"/>
      <c r="L146" s="1296">
        <f t="shared" ref="L146:M146" si="125">+L142/K142-1</f>
        <v>0.15517353655946953</v>
      </c>
      <c r="M146" s="1296">
        <f t="shared" si="125"/>
        <v>0.1432377472746984</v>
      </c>
      <c r="N146" s="1296">
        <v>0.14099999999999999</v>
      </c>
      <c r="O146" s="1296">
        <v>0.1338</v>
      </c>
      <c r="P146" s="1296">
        <v>0.123</v>
      </c>
    </row>
    <row r="147" spans="10:16">
      <c r="P147" s="1406"/>
    </row>
    <row r="148" spans="10:16">
      <c r="J148" s="1301" t="s">
        <v>131</v>
      </c>
    </row>
    <row r="149" spans="10:16">
      <c r="J149" s="1267" t="s">
        <v>193</v>
      </c>
      <c r="K149" s="1319">
        <f t="shared" ref="K149:P149" si="126">+I48</f>
        <v>31900</v>
      </c>
      <c r="L149" s="1319">
        <f t="shared" si="126"/>
        <v>55700</v>
      </c>
      <c r="M149" s="1319">
        <f t="shared" si="126"/>
        <v>80000</v>
      </c>
      <c r="N149" s="1319">
        <f t="shared" si="126"/>
        <v>69909.265092672198</v>
      </c>
      <c r="O149" s="1319">
        <f t="shared" si="126"/>
        <v>71815.88141338143</v>
      </c>
      <c r="P149" s="1319">
        <f t="shared" si="126"/>
        <v>73036.751397408909</v>
      </c>
    </row>
    <row r="150" spans="10:16">
      <c r="J150" s="1267" t="s">
        <v>194</v>
      </c>
      <c r="K150" s="1319">
        <f>+K149</f>
        <v>31900</v>
      </c>
      <c r="L150" s="1319">
        <f>44553.4+9176</f>
        <v>53729.4</v>
      </c>
      <c r="M150" s="1319">
        <f>54362+10723</f>
        <v>65085</v>
      </c>
      <c r="N150" s="1319">
        <f>59652+11355</f>
        <v>71007</v>
      </c>
      <c r="O150" s="1319">
        <f>58250+12791</f>
        <v>71041</v>
      </c>
      <c r="P150" s="1319">
        <f>62875+14304</f>
        <v>77179</v>
      </c>
    </row>
    <row r="152" spans="10:16">
      <c r="J152" s="1334" t="s">
        <v>118</v>
      </c>
    </row>
    <row r="153" spans="10:16">
      <c r="J153" s="1295" t="str">
        <f>+J149</f>
        <v>CRC</v>
      </c>
      <c r="K153" s="1296">
        <f t="shared" ref="K153" si="127">+K149/K$141</f>
        <v>0.15053205294575656</v>
      </c>
      <c r="L153" s="1296">
        <f>+L149/L$141</f>
        <v>0.22723378562511728</v>
      </c>
      <c r="M153" s="1296">
        <f>+M149/M$141</f>
        <v>0.28448303631337463</v>
      </c>
      <c r="N153" s="1296">
        <f>+N149/N$141</f>
        <v>0.22</v>
      </c>
      <c r="O153" s="1296">
        <f>+O149/O$141</f>
        <v>0.2</v>
      </c>
      <c r="P153" s="1296">
        <f>+P149/P$141</f>
        <v>0.18</v>
      </c>
    </row>
    <row r="154" spans="10:16">
      <c r="J154" s="1295" t="str">
        <f>+J150</f>
        <v>VA Cons.</v>
      </c>
      <c r="K154" s="1296">
        <f t="shared" ref="K154" si="128">+K150/K$142</f>
        <v>0.15053205294575656</v>
      </c>
      <c r="L154" s="1296">
        <f>+L150/L$142</f>
        <v>0.21948409835677166</v>
      </c>
      <c r="M154" s="1296">
        <f>+M150/M$142</f>
        <v>0.2325602169632999</v>
      </c>
      <c r="N154" s="1296">
        <f>+N150/N$142</f>
        <v>0.22236684524273131</v>
      </c>
      <c r="O154" s="1296">
        <f>+O150/O$142</f>
        <v>0.19621919234143365</v>
      </c>
      <c r="P154" s="1296">
        <f>+P150/P$142</f>
        <v>0.18982430067153735</v>
      </c>
    </row>
    <row r="156" spans="10:16">
      <c r="J156" s="1301" t="s">
        <v>187</v>
      </c>
    </row>
    <row r="157" spans="10:16">
      <c r="J157" s="1267" t="s">
        <v>193</v>
      </c>
      <c r="K157" s="1319">
        <f t="shared" ref="K157:P157" si="129">+I28</f>
        <v>13861</v>
      </c>
      <c r="L157" s="1319">
        <f t="shared" si="129"/>
        <v>20427</v>
      </c>
      <c r="M157" s="1319">
        <f t="shared" si="129"/>
        <v>27803.116747365937</v>
      </c>
      <c r="N157" s="1319">
        <f t="shared" si="129"/>
        <v>31425.906903616535</v>
      </c>
      <c r="O157" s="1319">
        <f t="shared" si="129"/>
        <v>34802.142300320178</v>
      </c>
      <c r="P157" s="1319">
        <f t="shared" si="129"/>
        <v>39361.987109000482</v>
      </c>
    </row>
    <row r="158" spans="10:16">
      <c r="J158" s="1267" t="s">
        <v>194</v>
      </c>
      <c r="K158" s="1319">
        <f>+K157</f>
        <v>13861</v>
      </c>
      <c r="L158" s="1319">
        <v>21245</v>
      </c>
      <c r="M158" s="1319">
        <v>25745</v>
      </c>
      <c r="N158" s="1319">
        <v>29434</v>
      </c>
      <c r="O158" s="1319">
        <v>34816</v>
      </c>
      <c r="P158" s="1319">
        <v>38882</v>
      </c>
    </row>
    <row r="160" spans="10:16">
      <c r="J160" s="1334" t="s">
        <v>118</v>
      </c>
    </row>
    <row r="161" spans="10:16">
      <c r="J161" s="1295" t="str">
        <f>+J157</f>
        <v>CRC</v>
      </c>
      <c r="K161" s="1296">
        <f t="shared" ref="K161" si="130">+K157/K$141</f>
        <v>6.5408300497841118E-2</v>
      </c>
      <c r="L161" s="1296">
        <f>+L157/L$141</f>
        <v>8.333401326686303E-2</v>
      </c>
      <c r="M161" s="1296">
        <f>+M157/M$141</f>
        <v>9.8868938390823724E-2</v>
      </c>
      <c r="N161" s="1296">
        <f>+N157/N$141</f>
        <v>9.8895325385423394E-2</v>
      </c>
      <c r="O161" s="1296">
        <f>+O157/O$141</f>
        <v>9.6920462759468431E-2</v>
      </c>
      <c r="P161" s="1296">
        <f>+P157/P$141</f>
        <v>9.7008116380590328E-2</v>
      </c>
    </row>
    <row r="162" spans="10:16">
      <c r="J162" s="1295" t="str">
        <f>+J158</f>
        <v>VA Cons.</v>
      </c>
      <c r="K162" s="1296">
        <f t="shared" ref="K162" si="131">+K158/K$142</f>
        <v>6.5408300497841118E-2</v>
      </c>
      <c r="L162" s="1296">
        <f>+L158/L$142</f>
        <v>8.6785627041984711E-2</v>
      </c>
      <c r="M162" s="1296">
        <f>+M158/M$142</f>
        <v>9.1991438668205514E-2</v>
      </c>
      <c r="N162" s="1296">
        <f>+N158/N$142</f>
        <v>9.2176063245518802E-2</v>
      </c>
      <c r="O162" s="1296">
        <f>+O158/O$142</f>
        <v>9.6163727995936907E-2</v>
      </c>
      <c r="P162" s="1296">
        <f>+P158/P$142</f>
        <v>9.5631563750640927E-2</v>
      </c>
    </row>
  </sheetData>
  <hyperlinks>
    <hyperlink ref="M142" r:id="rId1" tooltip="Revenue Final Est. - _x000a_Fiscal Year: 2025" display="javascript:click();" xr:uid="{1395C259-8900-4B00-8F28-E4EDF20A9AC7}"/>
    <hyperlink ref="M150" r:id="rId2" tooltip="Capital Expenditure Final Est. - _x000a_Fiscal Year: 2025" display="javascript:click();" xr:uid="{03856C5A-0D84-41A5-A727-3ACDFDF23686}"/>
    <hyperlink ref="N150" r:id="rId3" tooltip="Capital Expenditure Final Est. - _x000a_Fiscal Year: 2026" display="javascript:click();" xr:uid="{D115A329-5B30-4B90-9FD8-7C434F33665B}"/>
    <hyperlink ref="O150" r:id="rId4" tooltip="Capital Expenditure Final Est. - _x000a_Fiscal Year: 2027" display="javascript:click();" xr:uid="{9A43B5C8-E5FF-45E2-9BD3-A881F3F5945A}"/>
    <hyperlink ref="P150" r:id="rId5" tooltip="Capital Expenditure Final Est. - _x000a_Fiscal Year: 2028" display="javascript:click();" xr:uid="{F1CE60C6-54F9-4834-8EE8-53C938DAB1A9}"/>
    <hyperlink ref="M158" r:id="rId6" tooltip="Depreciation &amp; Amortization Final Est. - _x000a_Fiscal Year: 2025" display="javascript:click();" xr:uid="{4BB4637F-F3FE-4452-A834-DF1B8FC848A0}"/>
    <hyperlink ref="N158" r:id="rId7" tooltip="Depreciation &amp; Amortization Final Est. - _x000a_Fiscal Year: 2026" display="javascript:click();" xr:uid="{14A3C554-2032-4046-8B4C-188121FEBAEF}"/>
    <hyperlink ref="O158" r:id="rId8" tooltip="Depreciation &amp; Amortization Final Est. - _x000a_Fiscal Year: 2027" display="javascript:click();" xr:uid="{798D44CE-E7ED-4ED1-A2A7-15E273A28CD9}"/>
    <hyperlink ref="P158" r:id="rId9" tooltip="Depreciation &amp; Amortization Final Est. - _x000a_Fiscal Year: 2028" display="javascript:click();" xr:uid="{2DC735A8-8112-4446-A984-DB8E5D8E2B1A}"/>
    <hyperlink ref="L150" r:id="rId10" tooltip="Capital Expenditure Final Est. - _x000a_Fiscal Year: 2024" display="javascript:click();" xr:uid="{3A57B4FD-1B04-4DE3-8796-8B7B3D08D1C3}"/>
    <hyperlink ref="N142:P142" r:id="rId11" tooltip="Capital Expenditure Final Est. - _x000a_Fiscal Year: 2025" display="javascript:click();" xr:uid="{51416BD0-20C5-402A-9E04-A0E418C6947E}"/>
  </hyperlinks>
  <pageMargins left="0.3" right="0.3" top="0.3" bottom="0.3" header="0.3" footer="0.3"/>
  <pageSetup scale="41" fitToHeight="0" orientation="portrait" r:id="rId12"/>
  <headerFooter>
    <oddFooter>Page &amp;P</oddFooter>
  </headerFooter>
  <legacyDrawing r:id="rId1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2025D-8946-4111-AD86-5574D114474A}">
  <sheetPr>
    <pageSetUpPr fitToPage="1"/>
  </sheetPr>
  <dimension ref="A1:AE136"/>
  <sheetViews>
    <sheetView view="pageBreakPreview" zoomScale="55" zoomScaleNormal="85" zoomScaleSheetLayoutView="55" workbookViewId="0">
      <pane xSplit="1" ySplit="5" topLeftCell="B6" activePane="bottomRight" state="frozen"/>
      <selection pane="bottomRight" activeCell="B6" sqref="B6"/>
      <selection pane="bottomLeft" activeCell="J83" sqref="J83"/>
      <selection pane="topRight" activeCell="J83" sqref="J83"/>
    </sheetView>
  </sheetViews>
  <sheetFormatPr defaultColWidth="4.5" defaultRowHeight="15.6" outlineLevelRow="1" outlineLevelCol="1"/>
  <cols>
    <col min="1" max="1" width="41.6640625" style="1267" customWidth="1"/>
    <col min="2" max="2" width="5" style="1267" customWidth="1"/>
    <col min="3" max="3" width="1.83203125" style="1267" hidden="1" customWidth="1" outlineLevel="1"/>
    <col min="4" max="4" width="13.33203125" style="1267" customWidth="1" collapsed="1"/>
    <col min="5" max="10" width="13.33203125" style="1267" customWidth="1"/>
    <col min="11" max="11" width="18" style="1267" bestFit="1" customWidth="1"/>
    <col min="12" max="22" width="13.33203125" style="1267" customWidth="1"/>
    <col min="23" max="24" width="10.6640625" style="1267" customWidth="1"/>
    <col min="25" max="25" width="30" style="1267" bestFit="1" customWidth="1"/>
    <col min="26" max="31" width="11.1640625" style="1267" customWidth="1"/>
    <col min="32" max="256" width="4.5" style="1267"/>
    <col min="257" max="257" width="11.83203125" style="1267" customWidth="1"/>
    <col min="258" max="258" width="2.1640625" style="1267" customWidth="1"/>
    <col min="259" max="274" width="10.6640625" style="1267" customWidth="1"/>
    <col min="275" max="276" width="14" style="1267" customWidth="1"/>
    <col min="277" max="277" width="54" style="1267" customWidth="1"/>
    <col min="278" max="280" width="10.6640625" style="1267" customWidth="1"/>
    <col min="281" max="287" width="11.1640625" style="1267" customWidth="1"/>
    <col min="288" max="512" width="4.5" style="1267"/>
    <col min="513" max="513" width="11.83203125" style="1267" customWidth="1"/>
    <col min="514" max="514" width="2.1640625" style="1267" customWidth="1"/>
    <col min="515" max="530" width="10.6640625" style="1267" customWidth="1"/>
    <col min="531" max="532" width="14" style="1267" customWidth="1"/>
    <col min="533" max="533" width="54" style="1267" customWidth="1"/>
    <col min="534" max="536" width="10.6640625" style="1267" customWidth="1"/>
    <col min="537" max="543" width="11.1640625" style="1267" customWidth="1"/>
    <col min="544" max="768" width="4.5" style="1267"/>
    <col min="769" max="769" width="11.83203125" style="1267" customWidth="1"/>
    <col min="770" max="770" width="2.1640625" style="1267" customWidth="1"/>
    <col min="771" max="786" width="10.6640625" style="1267" customWidth="1"/>
    <col min="787" max="788" width="14" style="1267" customWidth="1"/>
    <col min="789" max="789" width="54" style="1267" customWidth="1"/>
    <col min="790" max="792" width="10.6640625" style="1267" customWidth="1"/>
    <col min="793" max="799" width="11.1640625" style="1267" customWidth="1"/>
    <col min="800" max="1024" width="4.5" style="1267"/>
    <col min="1025" max="1025" width="11.83203125" style="1267" customWidth="1"/>
    <col min="1026" max="1026" width="2.1640625" style="1267" customWidth="1"/>
    <col min="1027" max="1042" width="10.6640625" style="1267" customWidth="1"/>
    <col min="1043" max="1044" width="14" style="1267" customWidth="1"/>
    <col min="1045" max="1045" width="54" style="1267" customWidth="1"/>
    <col min="1046" max="1048" width="10.6640625" style="1267" customWidth="1"/>
    <col min="1049" max="1055" width="11.1640625" style="1267" customWidth="1"/>
    <col min="1056" max="1280" width="4.5" style="1267"/>
    <col min="1281" max="1281" width="11.83203125" style="1267" customWidth="1"/>
    <col min="1282" max="1282" width="2.1640625" style="1267" customWidth="1"/>
    <col min="1283" max="1298" width="10.6640625" style="1267" customWidth="1"/>
    <col min="1299" max="1300" width="14" style="1267" customWidth="1"/>
    <col min="1301" max="1301" width="54" style="1267" customWidth="1"/>
    <col min="1302" max="1304" width="10.6640625" style="1267" customWidth="1"/>
    <col min="1305" max="1311" width="11.1640625" style="1267" customWidth="1"/>
    <col min="1312" max="1536" width="4.5" style="1267"/>
    <col min="1537" max="1537" width="11.83203125" style="1267" customWidth="1"/>
    <col min="1538" max="1538" width="2.1640625" style="1267" customWidth="1"/>
    <col min="1539" max="1554" width="10.6640625" style="1267" customWidth="1"/>
    <col min="1555" max="1556" width="14" style="1267" customWidth="1"/>
    <col min="1557" max="1557" width="54" style="1267" customWidth="1"/>
    <col min="1558" max="1560" width="10.6640625" style="1267" customWidth="1"/>
    <col min="1561" max="1567" width="11.1640625" style="1267" customWidth="1"/>
    <col min="1568" max="1792" width="4.5" style="1267"/>
    <col min="1793" max="1793" width="11.83203125" style="1267" customWidth="1"/>
    <col min="1794" max="1794" width="2.1640625" style="1267" customWidth="1"/>
    <col min="1795" max="1810" width="10.6640625" style="1267" customWidth="1"/>
    <col min="1811" max="1812" width="14" style="1267" customWidth="1"/>
    <col min="1813" max="1813" width="54" style="1267" customWidth="1"/>
    <col min="1814" max="1816" width="10.6640625" style="1267" customWidth="1"/>
    <col min="1817" max="1823" width="11.1640625" style="1267" customWidth="1"/>
    <col min="1824" max="2048" width="4.5" style="1267"/>
    <col min="2049" max="2049" width="11.83203125" style="1267" customWidth="1"/>
    <col min="2050" max="2050" width="2.1640625" style="1267" customWidth="1"/>
    <col min="2051" max="2066" width="10.6640625" style="1267" customWidth="1"/>
    <col min="2067" max="2068" width="14" style="1267" customWidth="1"/>
    <col min="2069" max="2069" width="54" style="1267" customWidth="1"/>
    <col min="2070" max="2072" width="10.6640625" style="1267" customWidth="1"/>
    <col min="2073" max="2079" width="11.1640625" style="1267" customWidth="1"/>
    <col min="2080" max="2304" width="4.5" style="1267"/>
    <col min="2305" max="2305" width="11.83203125" style="1267" customWidth="1"/>
    <col min="2306" max="2306" width="2.1640625" style="1267" customWidth="1"/>
    <col min="2307" max="2322" width="10.6640625" style="1267" customWidth="1"/>
    <col min="2323" max="2324" width="14" style="1267" customWidth="1"/>
    <col min="2325" max="2325" width="54" style="1267" customWidth="1"/>
    <col min="2326" max="2328" width="10.6640625" style="1267" customWidth="1"/>
    <col min="2329" max="2335" width="11.1640625" style="1267" customWidth="1"/>
    <col min="2336" max="2560" width="4.5" style="1267"/>
    <col min="2561" max="2561" width="11.83203125" style="1267" customWidth="1"/>
    <col min="2562" max="2562" width="2.1640625" style="1267" customWidth="1"/>
    <col min="2563" max="2578" width="10.6640625" style="1267" customWidth="1"/>
    <col min="2579" max="2580" width="14" style="1267" customWidth="1"/>
    <col min="2581" max="2581" width="54" style="1267" customWidth="1"/>
    <col min="2582" max="2584" width="10.6640625" style="1267" customWidth="1"/>
    <col min="2585" max="2591" width="11.1640625" style="1267" customWidth="1"/>
    <col min="2592" max="2816" width="4.5" style="1267"/>
    <col min="2817" max="2817" width="11.83203125" style="1267" customWidth="1"/>
    <col min="2818" max="2818" width="2.1640625" style="1267" customWidth="1"/>
    <col min="2819" max="2834" width="10.6640625" style="1267" customWidth="1"/>
    <col min="2835" max="2836" width="14" style="1267" customWidth="1"/>
    <col min="2837" max="2837" width="54" style="1267" customWidth="1"/>
    <col min="2838" max="2840" width="10.6640625" style="1267" customWidth="1"/>
    <col min="2841" max="2847" width="11.1640625" style="1267" customWidth="1"/>
    <col min="2848" max="3072" width="4.5" style="1267"/>
    <col min="3073" max="3073" width="11.83203125" style="1267" customWidth="1"/>
    <col min="3074" max="3074" width="2.1640625" style="1267" customWidth="1"/>
    <col min="3075" max="3090" width="10.6640625" style="1267" customWidth="1"/>
    <col min="3091" max="3092" width="14" style="1267" customWidth="1"/>
    <col min="3093" max="3093" width="54" style="1267" customWidth="1"/>
    <col min="3094" max="3096" width="10.6640625" style="1267" customWidth="1"/>
    <col min="3097" max="3103" width="11.1640625" style="1267" customWidth="1"/>
    <col min="3104" max="3328" width="4.5" style="1267"/>
    <col min="3329" max="3329" width="11.83203125" style="1267" customWidth="1"/>
    <col min="3330" max="3330" width="2.1640625" style="1267" customWidth="1"/>
    <col min="3331" max="3346" width="10.6640625" style="1267" customWidth="1"/>
    <col min="3347" max="3348" width="14" style="1267" customWidth="1"/>
    <col min="3349" max="3349" width="54" style="1267" customWidth="1"/>
    <col min="3350" max="3352" width="10.6640625" style="1267" customWidth="1"/>
    <col min="3353" max="3359" width="11.1640625" style="1267" customWidth="1"/>
    <col min="3360" max="3584" width="4.5" style="1267"/>
    <col min="3585" max="3585" width="11.83203125" style="1267" customWidth="1"/>
    <col min="3586" max="3586" width="2.1640625" style="1267" customWidth="1"/>
    <col min="3587" max="3602" width="10.6640625" style="1267" customWidth="1"/>
    <col min="3603" max="3604" width="14" style="1267" customWidth="1"/>
    <col min="3605" max="3605" width="54" style="1267" customWidth="1"/>
    <col min="3606" max="3608" width="10.6640625" style="1267" customWidth="1"/>
    <col min="3609" max="3615" width="11.1640625" style="1267" customWidth="1"/>
    <col min="3616" max="3840" width="4.5" style="1267"/>
    <col min="3841" max="3841" width="11.83203125" style="1267" customWidth="1"/>
    <col min="3842" max="3842" width="2.1640625" style="1267" customWidth="1"/>
    <col min="3843" max="3858" width="10.6640625" style="1267" customWidth="1"/>
    <col min="3859" max="3860" width="14" style="1267" customWidth="1"/>
    <col min="3861" max="3861" width="54" style="1267" customWidth="1"/>
    <col min="3862" max="3864" width="10.6640625" style="1267" customWidth="1"/>
    <col min="3865" max="3871" width="11.1640625" style="1267" customWidth="1"/>
    <col min="3872" max="4096" width="4.5" style="1267"/>
    <col min="4097" max="4097" width="11.83203125" style="1267" customWidth="1"/>
    <col min="4098" max="4098" width="2.1640625" style="1267" customWidth="1"/>
    <col min="4099" max="4114" width="10.6640625" style="1267" customWidth="1"/>
    <col min="4115" max="4116" width="14" style="1267" customWidth="1"/>
    <col min="4117" max="4117" width="54" style="1267" customWidth="1"/>
    <col min="4118" max="4120" width="10.6640625" style="1267" customWidth="1"/>
    <col min="4121" max="4127" width="11.1640625" style="1267" customWidth="1"/>
    <col min="4128" max="4352" width="4.5" style="1267"/>
    <col min="4353" max="4353" width="11.83203125" style="1267" customWidth="1"/>
    <col min="4354" max="4354" width="2.1640625" style="1267" customWidth="1"/>
    <col min="4355" max="4370" width="10.6640625" style="1267" customWidth="1"/>
    <col min="4371" max="4372" width="14" style="1267" customWidth="1"/>
    <col min="4373" max="4373" width="54" style="1267" customWidth="1"/>
    <col min="4374" max="4376" width="10.6640625" style="1267" customWidth="1"/>
    <col min="4377" max="4383" width="11.1640625" style="1267" customWidth="1"/>
    <col min="4384" max="4608" width="4.5" style="1267"/>
    <col min="4609" max="4609" width="11.83203125" style="1267" customWidth="1"/>
    <col min="4610" max="4610" width="2.1640625" style="1267" customWidth="1"/>
    <col min="4611" max="4626" width="10.6640625" style="1267" customWidth="1"/>
    <col min="4627" max="4628" width="14" style="1267" customWidth="1"/>
    <col min="4629" max="4629" width="54" style="1267" customWidth="1"/>
    <col min="4630" max="4632" width="10.6640625" style="1267" customWidth="1"/>
    <col min="4633" max="4639" width="11.1640625" style="1267" customWidth="1"/>
    <col min="4640" max="4864" width="4.5" style="1267"/>
    <col min="4865" max="4865" width="11.83203125" style="1267" customWidth="1"/>
    <col min="4866" max="4866" width="2.1640625" style="1267" customWidth="1"/>
    <col min="4867" max="4882" width="10.6640625" style="1267" customWidth="1"/>
    <col min="4883" max="4884" width="14" style="1267" customWidth="1"/>
    <col min="4885" max="4885" width="54" style="1267" customWidth="1"/>
    <col min="4886" max="4888" width="10.6640625" style="1267" customWidth="1"/>
    <col min="4889" max="4895" width="11.1640625" style="1267" customWidth="1"/>
    <col min="4896" max="5120" width="4.5" style="1267"/>
    <col min="5121" max="5121" width="11.83203125" style="1267" customWidth="1"/>
    <col min="5122" max="5122" width="2.1640625" style="1267" customWidth="1"/>
    <col min="5123" max="5138" width="10.6640625" style="1267" customWidth="1"/>
    <col min="5139" max="5140" width="14" style="1267" customWidth="1"/>
    <col min="5141" max="5141" width="54" style="1267" customWidth="1"/>
    <col min="5142" max="5144" width="10.6640625" style="1267" customWidth="1"/>
    <col min="5145" max="5151" width="11.1640625" style="1267" customWidth="1"/>
    <col min="5152" max="5376" width="4.5" style="1267"/>
    <col min="5377" max="5377" width="11.83203125" style="1267" customWidth="1"/>
    <col min="5378" max="5378" width="2.1640625" style="1267" customWidth="1"/>
    <col min="5379" max="5394" width="10.6640625" style="1267" customWidth="1"/>
    <col min="5395" max="5396" width="14" style="1267" customWidth="1"/>
    <col min="5397" max="5397" width="54" style="1267" customWidth="1"/>
    <col min="5398" max="5400" width="10.6640625" style="1267" customWidth="1"/>
    <col min="5401" max="5407" width="11.1640625" style="1267" customWidth="1"/>
    <col min="5408" max="5632" width="4.5" style="1267"/>
    <col min="5633" max="5633" width="11.83203125" style="1267" customWidth="1"/>
    <col min="5634" max="5634" width="2.1640625" style="1267" customWidth="1"/>
    <col min="5635" max="5650" width="10.6640625" style="1267" customWidth="1"/>
    <col min="5651" max="5652" width="14" style="1267" customWidth="1"/>
    <col min="5653" max="5653" width="54" style="1267" customWidth="1"/>
    <col min="5654" max="5656" width="10.6640625" style="1267" customWidth="1"/>
    <col min="5657" max="5663" width="11.1640625" style="1267" customWidth="1"/>
    <col min="5664" max="5888" width="4.5" style="1267"/>
    <col min="5889" max="5889" width="11.83203125" style="1267" customWidth="1"/>
    <col min="5890" max="5890" width="2.1640625" style="1267" customWidth="1"/>
    <col min="5891" max="5906" width="10.6640625" style="1267" customWidth="1"/>
    <col min="5907" max="5908" width="14" style="1267" customWidth="1"/>
    <col min="5909" max="5909" width="54" style="1267" customWidth="1"/>
    <col min="5910" max="5912" width="10.6640625" style="1267" customWidth="1"/>
    <col min="5913" max="5919" width="11.1640625" style="1267" customWidth="1"/>
    <col min="5920" max="6144" width="4.5" style="1267"/>
    <col min="6145" max="6145" width="11.83203125" style="1267" customWidth="1"/>
    <col min="6146" max="6146" width="2.1640625" style="1267" customWidth="1"/>
    <col min="6147" max="6162" width="10.6640625" style="1267" customWidth="1"/>
    <col min="6163" max="6164" width="14" style="1267" customWidth="1"/>
    <col min="6165" max="6165" width="54" style="1267" customWidth="1"/>
    <col min="6166" max="6168" width="10.6640625" style="1267" customWidth="1"/>
    <col min="6169" max="6175" width="11.1640625" style="1267" customWidth="1"/>
    <col min="6176" max="6400" width="4.5" style="1267"/>
    <col min="6401" max="6401" width="11.83203125" style="1267" customWidth="1"/>
    <col min="6402" max="6402" width="2.1640625" style="1267" customWidth="1"/>
    <col min="6403" max="6418" width="10.6640625" style="1267" customWidth="1"/>
    <col min="6419" max="6420" width="14" style="1267" customWidth="1"/>
    <col min="6421" max="6421" width="54" style="1267" customWidth="1"/>
    <col min="6422" max="6424" width="10.6640625" style="1267" customWidth="1"/>
    <col min="6425" max="6431" width="11.1640625" style="1267" customWidth="1"/>
    <col min="6432" max="6656" width="4.5" style="1267"/>
    <col min="6657" max="6657" width="11.83203125" style="1267" customWidth="1"/>
    <col min="6658" max="6658" width="2.1640625" style="1267" customWidth="1"/>
    <col min="6659" max="6674" width="10.6640625" style="1267" customWidth="1"/>
    <col min="6675" max="6676" width="14" style="1267" customWidth="1"/>
    <col min="6677" max="6677" width="54" style="1267" customWidth="1"/>
    <col min="6678" max="6680" width="10.6640625" style="1267" customWidth="1"/>
    <col min="6681" max="6687" width="11.1640625" style="1267" customWidth="1"/>
    <col min="6688" max="6912" width="4.5" style="1267"/>
    <col min="6913" max="6913" width="11.83203125" style="1267" customWidth="1"/>
    <col min="6914" max="6914" width="2.1640625" style="1267" customWidth="1"/>
    <col min="6915" max="6930" width="10.6640625" style="1267" customWidth="1"/>
    <col min="6931" max="6932" width="14" style="1267" customWidth="1"/>
    <col min="6933" max="6933" width="54" style="1267" customWidth="1"/>
    <col min="6934" max="6936" width="10.6640625" style="1267" customWidth="1"/>
    <col min="6937" max="6943" width="11.1640625" style="1267" customWidth="1"/>
    <col min="6944" max="7168" width="4.5" style="1267"/>
    <col min="7169" max="7169" width="11.83203125" style="1267" customWidth="1"/>
    <col min="7170" max="7170" width="2.1640625" style="1267" customWidth="1"/>
    <col min="7171" max="7186" width="10.6640625" style="1267" customWidth="1"/>
    <col min="7187" max="7188" width="14" style="1267" customWidth="1"/>
    <col min="7189" max="7189" width="54" style="1267" customWidth="1"/>
    <col min="7190" max="7192" width="10.6640625" style="1267" customWidth="1"/>
    <col min="7193" max="7199" width="11.1640625" style="1267" customWidth="1"/>
    <col min="7200" max="7424" width="4.5" style="1267"/>
    <col min="7425" max="7425" width="11.83203125" style="1267" customWidth="1"/>
    <col min="7426" max="7426" width="2.1640625" style="1267" customWidth="1"/>
    <col min="7427" max="7442" width="10.6640625" style="1267" customWidth="1"/>
    <col min="7443" max="7444" width="14" style="1267" customWidth="1"/>
    <col min="7445" max="7445" width="54" style="1267" customWidth="1"/>
    <col min="7446" max="7448" width="10.6640625" style="1267" customWidth="1"/>
    <col min="7449" max="7455" width="11.1640625" style="1267" customWidth="1"/>
    <col min="7456" max="7680" width="4.5" style="1267"/>
    <col min="7681" max="7681" width="11.83203125" style="1267" customWidth="1"/>
    <col min="7682" max="7682" width="2.1640625" style="1267" customWidth="1"/>
    <col min="7683" max="7698" width="10.6640625" style="1267" customWidth="1"/>
    <col min="7699" max="7700" width="14" style="1267" customWidth="1"/>
    <col min="7701" max="7701" width="54" style="1267" customWidth="1"/>
    <col min="7702" max="7704" width="10.6640625" style="1267" customWidth="1"/>
    <col min="7705" max="7711" width="11.1640625" style="1267" customWidth="1"/>
    <col min="7712" max="7936" width="4.5" style="1267"/>
    <col min="7937" max="7937" width="11.83203125" style="1267" customWidth="1"/>
    <col min="7938" max="7938" width="2.1640625" style="1267" customWidth="1"/>
    <col min="7939" max="7954" width="10.6640625" style="1267" customWidth="1"/>
    <col min="7955" max="7956" width="14" style="1267" customWidth="1"/>
    <col min="7957" max="7957" width="54" style="1267" customWidth="1"/>
    <col min="7958" max="7960" width="10.6640625" style="1267" customWidth="1"/>
    <col min="7961" max="7967" width="11.1640625" style="1267" customWidth="1"/>
    <col min="7968" max="8192" width="4.5" style="1267"/>
    <col min="8193" max="8193" width="11.83203125" style="1267" customWidth="1"/>
    <col min="8194" max="8194" width="2.1640625" style="1267" customWidth="1"/>
    <col min="8195" max="8210" width="10.6640625" style="1267" customWidth="1"/>
    <col min="8211" max="8212" width="14" style="1267" customWidth="1"/>
    <col min="8213" max="8213" width="54" style="1267" customWidth="1"/>
    <col min="8214" max="8216" width="10.6640625" style="1267" customWidth="1"/>
    <col min="8217" max="8223" width="11.1640625" style="1267" customWidth="1"/>
    <col min="8224" max="8448" width="4.5" style="1267"/>
    <col min="8449" max="8449" width="11.83203125" style="1267" customWidth="1"/>
    <col min="8450" max="8450" width="2.1640625" style="1267" customWidth="1"/>
    <col min="8451" max="8466" width="10.6640625" style="1267" customWidth="1"/>
    <col min="8467" max="8468" width="14" style="1267" customWidth="1"/>
    <col min="8469" max="8469" width="54" style="1267" customWidth="1"/>
    <col min="8470" max="8472" width="10.6640625" style="1267" customWidth="1"/>
    <col min="8473" max="8479" width="11.1640625" style="1267" customWidth="1"/>
    <col min="8480" max="8704" width="4.5" style="1267"/>
    <col min="8705" max="8705" width="11.83203125" style="1267" customWidth="1"/>
    <col min="8706" max="8706" width="2.1640625" style="1267" customWidth="1"/>
    <col min="8707" max="8722" width="10.6640625" style="1267" customWidth="1"/>
    <col min="8723" max="8724" width="14" style="1267" customWidth="1"/>
    <col min="8725" max="8725" width="54" style="1267" customWidth="1"/>
    <col min="8726" max="8728" width="10.6640625" style="1267" customWidth="1"/>
    <col min="8729" max="8735" width="11.1640625" style="1267" customWidth="1"/>
    <col min="8736" max="8960" width="4.5" style="1267"/>
    <col min="8961" max="8961" width="11.83203125" style="1267" customWidth="1"/>
    <col min="8962" max="8962" width="2.1640625" style="1267" customWidth="1"/>
    <col min="8963" max="8978" width="10.6640625" style="1267" customWidth="1"/>
    <col min="8979" max="8980" width="14" style="1267" customWidth="1"/>
    <col min="8981" max="8981" width="54" style="1267" customWidth="1"/>
    <col min="8982" max="8984" width="10.6640625" style="1267" customWidth="1"/>
    <col min="8985" max="8991" width="11.1640625" style="1267" customWidth="1"/>
    <col min="8992" max="9216" width="4.5" style="1267"/>
    <col min="9217" max="9217" width="11.83203125" style="1267" customWidth="1"/>
    <col min="9218" max="9218" width="2.1640625" style="1267" customWidth="1"/>
    <col min="9219" max="9234" width="10.6640625" style="1267" customWidth="1"/>
    <col min="9235" max="9236" width="14" style="1267" customWidth="1"/>
    <col min="9237" max="9237" width="54" style="1267" customWidth="1"/>
    <col min="9238" max="9240" width="10.6640625" style="1267" customWidth="1"/>
    <col min="9241" max="9247" width="11.1640625" style="1267" customWidth="1"/>
    <col min="9248" max="9472" width="4.5" style="1267"/>
    <col min="9473" max="9473" width="11.83203125" style="1267" customWidth="1"/>
    <col min="9474" max="9474" width="2.1640625" style="1267" customWidth="1"/>
    <col min="9475" max="9490" width="10.6640625" style="1267" customWidth="1"/>
    <col min="9491" max="9492" width="14" style="1267" customWidth="1"/>
    <col min="9493" max="9493" width="54" style="1267" customWidth="1"/>
    <col min="9494" max="9496" width="10.6640625" style="1267" customWidth="1"/>
    <col min="9497" max="9503" width="11.1640625" style="1267" customWidth="1"/>
    <col min="9504" max="9728" width="4.5" style="1267"/>
    <col min="9729" max="9729" width="11.83203125" style="1267" customWidth="1"/>
    <col min="9730" max="9730" width="2.1640625" style="1267" customWidth="1"/>
    <col min="9731" max="9746" width="10.6640625" style="1267" customWidth="1"/>
    <col min="9747" max="9748" width="14" style="1267" customWidth="1"/>
    <col min="9749" max="9749" width="54" style="1267" customWidth="1"/>
    <col min="9750" max="9752" width="10.6640625" style="1267" customWidth="1"/>
    <col min="9753" max="9759" width="11.1640625" style="1267" customWidth="1"/>
    <col min="9760" max="9984" width="4.5" style="1267"/>
    <col min="9985" max="9985" width="11.83203125" style="1267" customWidth="1"/>
    <col min="9986" max="9986" width="2.1640625" style="1267" customWidth="1"/>
    <col min="9987" max="10002" width="10.6640625" style="1267" customWidth="1"/>
    <col min="10003" max="10004" width="14" style="1267" customWidth="1"/>
    <col min="10005" max="10005" width="54" style="1267" customWidth="1"/>
    <col min="10006" max="10008" width="10.6640625" style="1267" customWidth="1"/>
    <col min="10009" max="10015" width="11.1640625" style="1267" customWidth="1"/>
    <col min="10016" max="10240" width="4.5" style="1267"/>
    <col min="10241" max="10241" width="11.83203125" style="1267" customWidth="1"/>
    <col min="10242" max="10242" width="2.1640625" style="1267" customWidth="1"/>
    <col min="10243" max="10258" width="10.6640625" style="1267" customWidth="1"/>
    <col min="10259" max="10260" width="14" style="1267" customWidth="1"/>
    <col min="10261" max="10261" width="54" style="1267" customWidth="1"/>
    <col min="10262" max="10264" width="10.6640625" style="1267" customWidth="1"/>
    <col min="10265" max="10271" width="11.1640625" style="1267" customWidth="1"/>
    <col min="10272" max="10496" width="4.5" style="1267"/>
    <col min="10497" max="10497" width="11.83203125" style="1267" customWidth="1"/>
    <col min="10498" max="10498" width="2.1640625" style="1267" customWidth="1"/>
    <col min="10499" max="10514" width="10.6640625" style="1267" customWidth="1"/>
    <col min="10515" max="10516" width="14" style="1267" customWidth="1"/>
    <col min="10517" max="10517" width="54" style="1267" customWidth="1"/>
    <col min="10518" max="10520" width="10.6640625" style="1267" customWidth="1"/>
    <col min="10521" max="10527" width="11.1640625" style="1267" customWidth="1"/>
    <col min="10528" max="10752" width="4.5" style="1267"/>
    <col min="10753" max="10753" width="11.83203125" style="1267" customWidth="1"/>
    <col min="10754" max="10754" width="2.1640625" style="1267" customWidth="1"/>
    <col min="10755" max="10770" width="10.6640625" style="1267" customWidth="1"/>
    <col min="10771" max="10772" width="14" style="1267" customWidth="1"/>
    <col min="10773" max="10773" width="54" style="1267" customWidth="1"/>
    <col min="10774" max="10776" width="10.6640625" style="1267" customWidth="1"/>
    <col min="10777" max="10783" width="11.1640625" style="1267" customWidth="1"/>
    <col min="10784" max="11008" width="4.5" style="1267"/>
    <col min="11009" max="11009" width="11.83203125" style="1267" customWidth="1"/>
    <col min="11010" max="11010" width="2.1640625" style="1267" customWidth="1"/>
    <col min="11011" max="11026" width="10.6640625" style="1267" customWidth="1"/>
    <col min="11027" max="11028" width="14" style="1267" customWidth="1"/>
    <col min="11029" max="11029" width="54" style="1267" customWidth="1"/>
    <col min="11030" max="11032" width="10.6640625" style="1267" customWidth="1"/>
    <col min="11033" max="11039" width="11.1640625" style="1267" customWidth="1"/>
    <col min="11040" max="11264" width="4.5" style="1267"/>
    <col min="11265" max="11265" width="11.83203125" style="1267" customWidth="1"/>
    <col min="11266" max="11266" width="2.1640625" style="1267" customWidth="1"/>
    <col min="11267" max="11282" width="10.6640625" style="1267" customWidth="1"/>
    <col min="11283" max="11284" width="14" style="1267" customWidth="1"/>
    <col min="11285" max="11285" width="54" style="1267" customWidth="1"/>
    <col min="11286" max="11288" width="10.6640625" style="1267" customWidth="1"/>
    <col min="11289" max="11295" width="11.1640625" style="1267" customWidth="1"/>
    <col min="11296" max="11520" width="4.5" style="1267"/>
    <col min="11521" max="11521" width="11.83203125" style="1267" customWidth="1"/>
    <col min="11522" max="11522" width="2.1640625" style="1267" customWidth="1"/>
    <col min="11523" max="11538" width="10.6640625" style="1267" customWidth="1"/>
    <col min="11539" max="11540" width="14" style="1267" customWidth="1"/>
    <col min="11541" max="11541" width="54" style="1267" customWidth="1"/>
    <col min="11542" max="11544" width="10.6640625" style="1267" customWidth="1"/>
    <col min="11545" max="11551" width="11.1640625" style="1267" customWidth="1"/>
    <col min="11552" max="11776" width="4.5" style="1267"/>
    <col min="11777" max="11777" width="11.83203125" style="1267" customWidth="1"/>
    <col min="11778" max="11778" width="2.1640625" style="1267" customWidth="1"/>
    <col min="11779" max="11794" width="10.6640625" style="1267" customWidth="1"/>
    <col min="11795" max="11796" width="14" style="1267" customWidth="1"/>
    <col min="11797" max="11797" width="54" style="1267" customWidth="1"/>
    <col min="11798" max="11800" width="10.6640625" style="1267" customWidth="1"/>
    <col min="11801" max="11807" width="11.1640625" style="1267" customWidth="1"/>
    <col min="11808" max="12032" width="4.5" style="1267"/>
    <col min="12033" max="12033" width="11.83203125" style="1267" customWidth="1"/>
    <col min="12034" max="12034" width="2.1640625" style="1267" customWidth="1"/>
    <col min="12035" max="12050" width="10.6640625" style="1267" customWidth="1"/>
    <col min="12051" max="12052" width="14" style="1267" customWidth="1"/>
    <col min="12053" max="12053" width="54" style="1267" customWidth="1"/>
    <col min="12054" max="12056" width="10.6640625" style="1267" customWidth="1"/>
    <col min="12057" max="12063" width="11.1640625" style="1267" customWidth="1"/>
    <col min="12064" max="12288" width="4.5" style="1267"/>
    <col min="12289" max="12289" width="11.83203125" style="1267" customWidth="1"/>
    <col min="12290" max="12290" width="2.1640625" style="1267" customWidth="1"/>
    <col min="12291" max="12306" width="10.6640625" style="1267" customWidth="1"/>
    <col min="12307" max="12308" width="14" style="1267" customWidth="1"/>
    <col min="12309" max="12309" width="54" style="1267" customWidth="1"/>
    <col min="12310" max="12312" width="10.6640625" style="1267" customWidth="1"/>
    <col min="12313" max="12319" width="11.1640625" style="1267" customWidth="1"/>
    <col min="12320" max="12544" width="4.5" style="1267"/>
    <col min="12545" max="12545" width="11.83203125" style="1267" customWidth="1"/>
    <col min="12546" max="12546" width="2.1640625" style="1267" customWidth="1"/>
    <col min="12547" max="12562" width="10.6640625" style="1267" customWidth="1"/>
    <col min="12563" max="12564" width="14" style="1267" customWidth="1"/>
    <col min="12565" max="12565" width="54" style="1267" customWidth="1"/>
    <col min="12566" max="12568" width="10.6640625" style="1267" customWidth="1"/>
    <col min="12569" max="12575" width="11.1640625" style="1267" customWidth="1"/>
    <col min="12576" max="12800" width="4.5" style="1267"/>
    <col min="12801" max="12801" width="11.83203125" style="1267" customWidth="1"/>
    <col min="12802" max="12802" width="2.1640625" style="1267" customWidth="1"/>
    <col min="12803" max="12818" width="10.6640625" style="1267" customWidth="1"/>
    <col min="12819" max="12820" width="14" style="1267" customWidth="1"/>
    <col min="12821" max="12821" width="54" style="1267" customWidth="1"/>
    <col min="12822" max="12824" width="10.6640625" style="1267" customWidth="1"/>
    <col min="12825" max="12831" width="11.1640625" style="1267" customWidth="1"/>
    <col min="12832" max="13056" width="4.5" style="1267"/>
    <col min="13057" max="13057" width="11.83203125" style="1267" customWidth="1"/>
    <col min="13058" max="13058" width="2.1640625" style="1267" customWidth="1"/>
    <col min="13059" max="13074" width="10.6640625" style="1267" customWidth="1"/>
    <col min="13075" max="13076" width="14" style="1267" customWidth="1"/>
    <col min="13077" max="13077" width="54" style="1267" customWidth="1"/>
    <col min="13078" max="13080" width="10.6640625" style="1267" customWidth="1"/>
    <col min="13081" max="13087" width="11.1640625" style="1267" customWidth="1"/>
    <col min="13088" max="13312" width="4.5" style="1267"/>
    <col min="13313" max="13313" width="11.83203125" style="1267" customWidth="1"/>
    <col min="13314" max="13314" width="2.1640625" style="1267" customWidth="1"/>
    <col min="13315" max="13330" width="10.6640625" style="1267" customWidth="1"/>
    <col min="13331" max="13332" width="14" style="1267" customWidth="1"/>
    <col min="13333" max="13333" width="54" style="1267" customWidth="1"/>
    <col min="13334" max="13336" width="10.6640625" style="1267" customWidth="1"/>
    <col min="13337" max="13343" width="11.1640625" style="1267" customWidth="1"/>
    <col min="13344" max="13568" width="4.5" style="1267"/>
    <col min="13569" max="13569" width="11.83203125" style="1267" customWidth="1"/>
    <col min="13570" max="13570" width="2.1640625" style="1267" customWidth="1"/>
    <col min="13571" max="13586" width="10.6640625" style="1267" customWidth="1"/>
    <col min="13587" max="13588" width="14" style="1267" customWidth="1"/>
    <col min="13589" max="13589" width="54" style="1267" customWidth="1"/>
    <col min="13590" max="13592" width="10.6640625" style="1267" customWidth="1"/>
    <col min="13593" max="13599" width="11.1640625" style="1267" customWidth="1"/>
    <col min="13600" max="13824" width="4.5" style="1267"/>
    <col min="13825" max="13825" width="11.83203125" style="1267" customWidth="1"/>
    <col min="13826" max="13826" width="2.1640625" style="1267" customWidth="1"/>
    <col min="13827" max="13842" width="10.6640625" style="1267" customWidth="1"/>
    <col min="13843" max="13844" width="14" style="1267" customWidth="1"/>
    <col min="13845" max="13845" width="54" style="1267" customWidth="1"/>
    <col min="13846" max="13848" width="10.6640625" style="1267" customWidth="1"/>
    <col min="13849" max="13855" width="11.1640625" style="1267" customWidth="1"/>
    <col min="13856" max="14080" width="4.5" style="1267"/>
    <col min="14081" max="14081" width="11.83203125" style="1267" customWidth="1"/>
    <col min="14082" max="14082" width="2.1640625" style="1267" customWidth="1"/>
    <col min="14083" max="14098" width="10.6640625" style="1267" customWidth="1"/>
    <col min="14099" max="14100" width="14" style="1267" customWidth="1"/>
    <col min="14101" max="14101" width="54" style="1267" customWidth="1"/>
    <col min="14102" max="14104" width="10.6640625" style="1267" customWidth="1"/>
    <col min="14105" max="14111" width="11.1640625" style="1267" customWidth="1"/>
    <col min="14112" max="14336" width="4.5" style="1267"/>
    <col min="14337" max="14337" width="11.83203125" style="1267" customWidth="1"/>
    <col min="14338" max="14338" width="2.1640625" style="1267" customWidth="1"/>
    <col min="14339" max="14354" width="10.6640625" style="1267" customWidth="1"/>
    <col min="14355" max="14356" width="14" style="1267" customWidth="1"/>
    <col min="14357" max="14357" width="54" style="1267" customWidth="1"/>
    <col min="14358" max="14360" width="10.6640625" style="1267" customWidth="1"/>
    <col min="14361" max="14367" width="11.1640625" style="1267" customWidth="1"/>
    <col min="14368" max="14592" width="4.5" style="1267"/>
    <col min="14593" max="14593" width="11.83203125" style="1267" customWidth="1"/>
    <col min="14594" max="14594" width="2.1640625" style="1267" customWidth="1"/>
    <col min="14595" max="14610" width="10.6640625" style="1267" customWidth="1"/>
    <col min="14611" max="14612" width="14" style="1267" customWidth="1"/>
    <col min="14613" max="14613" width="54" style="1267" customWidth="1"/>
    <col min="14614" max="14616" width="10.6640625" style="1267" customWidth="1"/>
    <col min="14617" max="14623" width="11.1640625" style="1267" customWidth="1"/>
    <col min="14624" max="14848" width="4.5" style="1267"/>
    <col min="14849" max="14849" width="11.83203125" style="1267" customWidth="1"/>
    <col min="14850" max="14850" width="2.1640625" style="1267" customWidth="1"/>
    <col min="14851" max="14866" width="10.6640625" style="1267" customWidth="1"/>
    <col min="14867" max="14868" width="14" style="1267" customWidth="1"/>
    <col min="14869" max="14869" width="54" style="1267" customWidth="1"/>
    <col min="14870" max="14872" width="10.6640625" style="1267" customWidth="1"/>
    <col min="14873" max="14879" width="11.1640625" style="1267" customWidth="1"/>
    <col min="14880" max="15104" width="4.5" style="1267"/>
    <col min="15105" max="15105" width="11.83203125" style="1267" customWidth="1"/>
    <col min="15106" max="15106" width="2.1640625" style="1267" customWidth="1"/>
    <col min="15107" max="15122" width="10.6640625" style="1267" customWidth="1"/>
    <col min="15123" max="15124" width="14" style="1267" customWidth="1"/>
    <col min="15125" max="15125" width="54" style="1267" customWidth="1"/>
    <col min="15126" max="15128" width="10.6640625" style="1267" customWidth="1"/>
    <col min="15129" max="15135" width="11.1640625" style="1267" customWidth="1"/>
    <col min="15136" max="15360" width="4.5" style="1267"/>
    <col min="15361" max="15361" width="11.83203125" style="1267" customWidth="1"/>
    <col min="15362" max="15362" width="2.1640625" style="1267" customWidth="1"/>
    <col min="15363" max="15378" width="10.6640625" style="1267" customWidth="1"/>
    <col min="15379" max="15380" width="14" style="1267" customWidth="1"/>
    <col min="15381" max="15381" width="54" style="1267" customWidth="1"/>
    <col min="15382" max="15384" width="10.6640625" style="1267" customWidth="1"/>
    <col min="15385" max="15391" width="11.1640625" style="1267" customWidth="1"/>
    <col min="15392" max="15616" width="4.5" style="1267"/>
    <col min="15617" max="15617" width="11.83203125" style="1267" customWidth="1"/>
    <col min="15618" max="15618" width="2.1640625" style="1267" customWidth="1"/>
    <col min="15619" max="15634" width="10.6640625" style="1267" customWidth="1"/>
    <col min="15635" max="15636" width="14" style="1267" customWidth="1"/>
    <col min="15637" max="15637" width="54" style="1267" customWidth="1"/>
    <col min="15638" max="15640" width="10.6640625" style="1267" customWidth="1"/>
    <col min="15641" max="15647" width="11.1640625" style="1267" customWidth="1"/>
    <col min="15648" max="15872" width="4.5" style="1267"/>
    <col min="15873" max="15873" width="11.83203125" style="1267" customWidth="1"/>
    <col min="15874" max="15874" width="2.1640625" style="1267" customWidth="1"/>
    <col min="15875" max="15890" width="10.6640625" style="1267" customWidth="1"/>
    <col min="15891" max="15892" width="14" style="1267" customWidth="1"/>
    <col min="15893" max="15893" width="54" style="1267" customWidth="1"/>
    <col min="15894" max="15896" width="10.6640625" style="1267" customWidth="1"/>
    <col min="15897" max="15903" width="11.1640625" style="1267" customWidth="1"/>
    <col min="15904" max="16128" width="4.5" style="1267"/>
    <col min="16129" max="16129" width="11.83203125" style="1267" customWidth="1"/>
    <col min="16130" max="16130" width="2.1640625" style="1267" customWidth="1"/>
    <col min="16131" max="16146" width="10.6640625" style="1267" customWidth="1"/>
    <col min="16147" max="16148" width="14" style="1267" customWidth="1"/>
    <col min="16149" max="16149" width="54" style="1267" customWidth="1"/>
    <col min="16150" max="16152" width="10.6640625" style="1267" customWidth="1"/>
    <col min="16153" max="16159" width="11.1640625" style="1267" customWidth="1"/>
    <col min="16160" max="16384" width="4.5" style="1267"/>
  </cols>
  <sheetData>
    <row r="1" spans="1:31">
      <c r="A1" s="1266" t="s">
        <v>60</v>
      </c>
      <c r="G1" s="1415"/>
      <c r="H1" s="1416" t="s">
        <v>197</v>
      </c>
      <c r="I1" s="1415"/>
      <c r="J1" s="1415"/>
      <c r="K1" s="1415"/>
      <c r="L1" s="1415"/>
      <c r="M1" s="1415"/>
      <c r="O1" s="1271"/>
      <c r="P1" s="1272"/>
      <c r="R1" s="1272"/>
      <c r="S1" s="1272"/>
      <c r="T1" s="1272"/>
      <c r="U1" s="1272"/>
      <c r="V1" s="1272">
        <f>+Base!V1</f>
        <v>45565</v>
      </c>
    </row>
    <row r="2" spans="1:31">
      <c r="A2" s="1273" t="s">
        <v>62</v>
      </c>
      <c r="B2" s="1274"/>
      <c r="C2" s="1274"/>
      <c r="D2" s="1274"/>
      <c r="E2" s="1274"/>
      <c r="F2" s="1274"/>
      <c r="G2" s="1274"/>
      <c r="H2" s="1274"/>
      <c r="I2" s="1274"/>
      <c r="J2" s="1274"/>
      <c r="K2" s="1274"/>
      <c r="L2" s="1274"/>
      <c r="M2" s="1274"/>
      <c r="N2" s="1274"/>
      <c r="O2" s="1274"/>
      <c r="P2" s="1274"/>
      <c r="Q2" s="1274"/>
      <c r="R2" s="1274"/>
      <c r="S2" s="1274"/>
      <c r="T2" s="1274"/>
      <c r="U2" s="1274"/>
      <c r="V2" s="1274"/>
      <c r="W2" s="1274"/>
      <c r="X2" s="1274"/>
      <c r="Y2" s="1274"/>
      <c r="Z2" s="1274"/>
      <c r="AA2" s="1274"/>
      <c r="AB2" s="1274"/>
      <c r="AC2" s="1274"/>
      <c r="AD2" s="1274"/>
      <c r="AE2" s="1274"/>
    </row>
    <row r="3" spans="1:31">
      <c r="A3" s="1275" t="s">
        <v>63</v>
      </c>
      <c r="C3" s="1276"/>
      <c r="D3" s="1276"/>
      <c r="E3" s="1276"/>
      <c r="F3" s="1276"/>
      <c r="G3" s="1276"/>
      <c r="H3" s="1276"/>
      <c r="I3" s="1276"/>
      <c r="J3" s="1276"/>
      <c r="K3" s="1276">
        <f>+Base!K3</f>
        <v>45565</v>
      </c>
      <c r="L3" s="1276">
        <v>46203</v>
      </c>
      <c r="M3" s="1276">
        <v>46568</v>
      </c>
      <c r="N3" s="1276">
        <v>46934</v>
      </c>
      <c r="O3" s="1276">
        <v>47299</v>
      </c>
      <c r="P3" s="1276">
        <v>47664</v>
      </c>
      <c r="Q3" s="1276">
        <v>48029</v>
      </c>
      <c r="R3" s="1276">
        <v>48395</v>
      </c>
      <c r="S3" s="1276">
        <v>48760</v>
      </c>
      <c r="T3" s="1276">
        <v>49125</v>
      </c>
      <c r="U3" s="1276">
        <v>49490</v>
      </c>
      <c r="V3" s="1276">
        <v>49856</v>
      </c>
    </row>
    <row r="4" spans="1:31" ht="20.100000000000001">
      <c r="A4" s="1277"/>
      <c r="C4" s="1278"/>
      <c r="D4" s="1278" t="str">
        <f>+'Historical Financials'!D5</f>
        <v>FYE June 30th</v>
      </c>
      <c r="E4" s="1279"/>
      <c r="F4" s="1279"/>
      <c r="G4" s="1279"/>
      <c r="H4" s="1279"/>
      <c r="I4" s="1279"/>
      <c r="J4" s="1279"/>
      <c r="K4" s="1279"/>
      <c r="L4" s="1279"/>
      <c r="M4" s="1279"/>
      <c r="N4" s="1279"/>
      <c r="O4" s="1279"/>
      <c r="P4" s="1279"/>
      <c r="Q4" s="1279"/>
      <c r="R4" s="1279"/>
      <c r="S4" s="1279"/>
      <c r="T4" s="1279"/>
      <c r="U4" s="1279"/>
      <c r="V4" s="1279"/>
    </row>
    <row r="5" spans="1:31" ht="20.100000000000001">
      <c r="C5" s="1280" t="s">
        <v>64</v>
      </c>
      <c r="D5" s="1280" t="s">
        <v>65</v>
      </c>
      <c r="E5" s="1280" t="s">
        <v>66</v>
      </c>
      <c r="F5" s="1280" t="s">
        <v>67</v>
      </c>
      <c r="G5" s="1280" t="s">
        <v>68</v>
      </c>
      <c r="H5" s="1280" t="s">
        <v>69</v>
      </c>
      <c r="I5" s="1280" t="s">
        <v>70</v>
      </c>
      <c r="J5" s="1280" t="s">
        <v>71</v>
      </c>
      <c r="K5" s="1281" t="s">
        <v>72</v>
      </c>
      <c r="L5" s="1280" t="s">
        <v>73</v>
      </c>
      <c r="M5" s="1280" t="s">
        <v>74</v>
      </c>
      <c r="N5" s="1280" t="s">
        <v>75</v>
      </c>
      <c r="O5" s="1280" t="s">
        <v>76</v>
      </c>
      <c r="P5" s="1280" t="s">
        <v>77</v>
      </c>
      <c r="Q5" s="1280" t="s">
        <v>78</v>
      </c>
      <c r="R5" s="1280" t="s">
        <v>79</v>
      </c>
      <c r="S5" s="1280" t="s">
        <v>80</v>
      </c>
      <c r="T5" s="1280" t="s">
        <v>81</v>
      </c>
      <c r="U5" s="1280" t="s">
        <v>82</v>
      </c>
      <c r="V5" s="1280" t="s">
        <v>83</v>
      </c>
    </row>
    <row r="6" spans="1:31" ht="20.100000000000001">
      <c r="A6" s="1282" t="s">
        <v>84</v>
      </c>
      <c r="B6" s="1283"/>
      <c r="C6" s="1280"/>
      <c r="D6" s="1280"/>
      <c r="E6" s="1280"/>
      <c r="F6" s="1280"/>
      <c r="G6" s="1280"/>
      <c r="H6" s="1280"/>
      <c r="I6" s="1280"/>
      <c r="J6" s="1280"/>
      <c r="K6" s="1281"/>
      <c r="L6" s="1280"/>
      <c r="M6" s="1280"/>
      <c r="N6" s="1280"/>
      <c r="O6" s="1280"/>
      <c r="P6" s="1280"/>
      <c r="Q6" s="1280"/>
      <c r="R6" s="1280"/>
      <c r="S6" s="1280"/>
      <c r="T6" s="1280"/>
      <c r="U6" s="1280"/>
      <c r="V6" s="1280"/>
    </row>
    <row r="7" spans="1:31" ht="20.100000000000001">
      <c r="C7" s="1284"/>
      <c r="D7" s="1285"/>
      <c r="E7" s="1286"/>
      <c r="F7" s="1287"/>
      <c r="G7" s="1287"/>
      <c r="H7" s="1287"/>
      <c r="I7" s="1287"/>
      <c r="J7" s="1285"/>
      <c r="K7" s="1288" t="str">
        <f>+Base!K7</f>
        <v>c = 279,049</v>
      </c>
      <c r="L7" s="1289"/>
      <c r="M7" s="1280"/>
      <c r="N7" s="1280"/>
      <c r="O7" s="1280"/>
      <c r="P7" s="1280"/>
      <c r="Q7" s="1280"/>
      <c r="R7" s="1280"/>
      <c r="S7" s="1280"/>
      <c r="T7" s="1280"/>
      <c r="U7" s="1280"/>
      <c r="V7" s="1280"/>
    </row>
    <row r="8" spans="1:31">
      <c r="A8" s="1267" t="s">
        <v>86</v>
      </c>
      <c r="B8" s="1290"/>
      <c r="C8" s="1291">
        <f>+'Historical Financials'!BH12</f>
        <v>96571</v>
      </c>
      <c r="D8" s="1291">
        <f>+'Historical Financials'!BI12</f>
        <v>110360</v>
      </c>
      <c r="E8" s="1291">
        <f>+'Historical Financials'!BJ12</f>
        <v>125843</v>
      </c>
      <c r="F8" s="1292">
        <f>+'Historical Financials'!BK12</f>
        <v>143015</v>
      </c>
      <c r="G8" s="1292">
        <f>+'Historical Financials'!BL12</f>
        <v>168088</v>
      </c>
      <c r="H8" s="1292">
        <f>+'Historical Financials'!BM12</f>
        <v>198270</v>
      </c>
      <c r="I8" s="1292">
        <f>+'Historical Financials'!BN12</f>
        <v>211915</v>
      </c>
      <c r="J8" s="1292">
        <f>+'Historical Financials'!BO12</f>
        <v>245122</v>
      </c>
      <c r="K8" s="1293">
        <f>+'Historical Financials'!BP12</f>
        <v>281211.84671227756</v>
      </c>
      <c r="L8" s="1294">
        <f t="shared" ref="L8:V8" si="0">K8*(1+L9)</f>
        <v>323393.62371911918</v>
      </c>
      <c r="M8" s="1294">
        <f t="shared" si="0"/>
        <v>371902.66727698705</v>
      </c>
      <c r="N8" s="1294">
        <f t="shared" si="0"/>
        <v>427688.06736853509</v>
      </c>
      <c r="O8" s="1294">
        <f t="shared" si="0"/>
        <v>491841.27747381531</v>
      </c>
      <c r="P8" s="1294">
        <f t="shared" si="0"/>
        <v>565617.46909488761</v>
      </c>
      <c r="Q8" s="1294">
        <f t="shared" si="0"/>
        <v>650460.08945912065</v>
      </c>
      <c r="R8" s="1294">
        <f t="shared" si="0"/>
        <v>748029.10287798871</v>
      </c>
      <c r="S8" s="1294">
        <f t="shared" si="0"/>
        <v>860233.46830968698</v>
      </c>
      <c r="T8" s="1294">
        <f t="shared" si="0"/>
        <v>989268.48855613999</v>
      </c>
      <c r="U8" s="1294">
        <f t="shared" si="0"/>
        <v>1137658.7618395609</v>
      </c>
      <c r="V8" s="1294">
        <f t="shared" si="0"/>
        <v>1308307.5761154951</v>
      </c>
    </row>
    <row r="9" spans="1:31" ht="20.100000000000001">
      <c r="A9" s="1295" t="s">
        <v>87</v>
      </c>
      <c r="C9" s="1296"/>
      <c r="D9" s="1297">
        <f t="shared" ref="D9:K9" si="1">D8/C8-1</f>
        <v>0.14278613662486661</v>
      </c>
      <c r="E9" s="1297">
        <f t="shared" si="1"/>
        <v>0.14029539688292858</v>
      </c>
      <c r="F9" s="1297">
        <f t="shared" si="1"/>
        <v>0.13645574247276371</v>
      </c>
      <c r="G9" s="1297">
        <f t="shared" si="1"/>
        <v>0.17531727441177503</v>
      </c>
      <c r="H9" s="1297">
        <f t="shared" si="1"/>
        <v>0.17956070629670173</v>
      </c>
      <c r="I9" s="1296">
        <f t="shared" si="1"/>
        <v>6.8820295556564215E-2</v>
      </c>
      <c r="J9" s="1296">
        <f t="shared" si="1"/>
        <v>0.1566996201307127</v>
      </c>
      <c r="K9" s="1298">
        <f t="shared" si="1"/>
        <v>0.14723218116806147</v>
      </c>
      <c r="L9" s="1299">
        <v>0.15</v>
      </c>
      <c r="M9" s="1299">
        <f t="shared" ref="M9:V9" si="2">+L9</f>
        <v>0.15</v>
      </c>
      <c r="N9" s="1299">
        <f t="shared" si="2"/>
        <v>0.15</v>
      </c>
      <c r="O9" s="1299">
        <f t="shared" si="2"/>
        <v>0.15</v>
      </c>
      <c r="P9" s="1299">
        <f t="shared" si="2"/>
        <v>0.15</v>
      </c>
      <c r="Q9" s="1299">
        <f t="shared" si="2"/>
        <v>0.15</v>
      </c>
      <c r="R9" s="1299">
        <f t="shared" si="2"/>
        <v>0.15</v>
      </c>
      <c r="S9" s="1299">
        <f t="shared" si="2"/>
        <v>0.15</v>
      </c>
      <c r="T9" s="1299">
        <f t="shared" si="2"/>
        <v>0.15</v>
      </c>
      <c r="U9" s="1299">
        <f t="shared" si="2"/>
        <v>0.15</v>
      </c>
      <c r="V9" s="1299">
        <f t="shared" si="2"/>
        <v>0.15</v>
      </c>
      <c r="Y9" s="1300" t="s">
        <v>60</v>
      </c>
      <c r="AA9" s="1280" t="s">
        <v>88</v>
      </c>
    </row>
    <row r="10" spans="1:31">
      <c r="A10" s="1295" t="s">
        <v>89</v>
      </c>
      <c r="C10" s="1296"/>
      <c r="D10" s="1297">
        <f>+'Historical Financials'!BI15</f>
        <v>0.12866916569156372</v>
      </c>
      <c r="E10" s="1297">
        <f>+'Historical Financials'!BJ15</f>
        <v>0.1508835628851033</v>
      </c>
      <c r="F10" s="1297">
        <f>+'Historical Financials'!BK15</f>
        <v>0.15208497890228301</v>
      </c>
      <c r="G10" s="1297">
        <f>+'Historical Financials'!BL15</f>
        <v>0.1534946089571024</v>
      </c>
      <c r="H10" s="1297">
        <f>+'Historical Financials'!BM15</f>
        <v>0.18958755731124965</v>
      </c>
      <c r="I10" s="1297">
        <f>+'Historical Financials'!BN15</f>
        <v>0.10029775894823553</v>
      </c>
      <c r="J10" s="1296">
        <f>+'Historical Financials'!BO15</f>
        <v>0.12609841999640306</v>
      </c>
      <c r="K10" s="1298">
        <f>+'Historical Financials'!BP15</f>
        <v>0.12358334499224677</v>
      </c>
      <c r="L10" s="1297">
        <f t="shared" ref="L10:V10" si="3">+L9</f>
        <v>0.15</v>
      </c>
      <c r="M10" s="1297">
        <f t="shared" si="3"/>
        <v>0.15</v>
      </c>
      <c r="N10" s="1297">
        <f t="shared" si="3"/>
        <v>0.15</v>
      </c>
      <c r="O10" s="1297">
        <f t="shared" si="3"/>
        <v>0.15</v>
      </c>
      <c r="P10" s="1297">
        <f t="shared" si="3"/>
        <v>0.15</v>
      </c>
      <c r="Q10" s="1297">
        <f t="shared" si="3"/>
        <v>0.15</v>
      </c>
      <c r="R10" s="1297">
        <f t="shared" si="3"/>
        <v>0.15</v>
      </c>
      <c r="S10" s="1297">
        <f t="shared" si="3"/>
        <v>0.15</v>
      </c>
      <c r="T10" s="1297">
        <f t="shared" si="3"/>
        <v>0.15</v>
      </c>
      <c r="U10" s="1297">
        <f t="shared" si="3"/>
        <v>0.15</v>
      </c>
      <c r="V10" s="1297">
        <f t="shared" si="3"/>
        <v>0.15</v>
      </c>
      <c r="Y10" s="1301" t="s">
        <v>90</v>
      </c>
      <c r="AA10" s="1302"/>
    </row>
    <row r="11" spans="1:31">
      <c r="A11" s="1295"/>
      <c r="C11" s="1296"/>
      <c r="D11" s="1297"/>
      <c r="E11" s="1297"/>
      <c r="F11" s="1297"/>
      <c r="G11" s="1303"/>
      <c r="H11" s="1303"/>
      <c r="I11" s="1304"/>
      <c r="J11" s="1304"/>
      <c r="K11" s="1305"/>
      <c r="L11" s="1303"/>
      <c r="M11" s="1303"/>
      <c r="N11" s="1303"/>
      <c r="O11" s="1303"/>
      <c r="P11" s="1303"/>
      <c r="Q11" s="1303"/>
      <c r="R11" s="1303"/>
      <c r="S11" s="1303"/>
      <c r="T11" s="1303"/>
      <c r="U11" s="1303"/>
      <c r="V11" s="1303"/>
      <c r="Y11" s="1267" t="s">
        <v>91</v>
      </c>
      <c r="AA11" s="1302" t="s">
        <v>92</v>
      </c>
    </row>
    <row r="12" spans="1:31">
      <c r="A12" s="1295"/>
      <c r="C12" s="1296"/>
      <c r="D12" s="1297"/>
      <c r="E12" s="1297"/>
      <c r="F12" s="1287"/>
      <c r="G12" s="1287"/>
      <c r="H12" s="1287"/>
      <c r="I12" s="1287"/>
      <c r="J12" s="1285"/>
      <c r="K12" s="1288" t="str">
        <f>+Base!K12</f>
        <v>c = 122,460</v>
      </c>
      <c r="L12" s="1303"/>
      <c r="M12" s="1303"/>
      <c r="N12" s="1303"/>
      <c r="O12" s="1303"/>
      <c r="P12" s="1303"/>
      <c r="Q12" s="1303"/>
      <c r="R12" s="1303"/>
      <c r="S12" s="1303"/>
      <c r="T12" s="1303"/>
      <c r="U12" s="1303"/>
      <c r="V12" s="1303"/>
      <c r="Y12" s="1267" t="s">
        <v>94</v>
      </c>
      <c r="AA12" s="1306">
        <v>0.04</v>
      </c>
    </row>
    <row r="13" spans="1:31">
      <c r="A13" s="1307" t="s">
        <v>95</v>
      </c>
      <c r="B13" s="1290"/>
      <c r="C13" s="1291">
        <f>+'Historical Financials'!BH48</f>
        <v>29331</v>
      </c>
      <c r="D13" s="1291">
        <f>+'Historical Financials'!BI48</f>
        <v>35058</v>
      </c>
      <c r="E13" s="1292">
        <f>+'Historical Financials'!BJ48</f>
        <v>42959</v>
      </c>
      <c r="F13" s="1292">
        <f>+'Historical Financials'!BK48</f>
        <v>52959</v>
      </c>
      <c r="G13" s="1308">
        <f>+'Historical Financials'!BL48</f>
        <v>69916</v>
      </c>
      <c r="H13" s="1308">
        <f>+'Historical Financials'!BM48</f>
        <v>83383</v>
      </c>
      <c r="I13" s="1308">
        <f>+'Historical Financials'!BN48</f>
        <v>89694</v>
      </c>
      <c r="J13" s="1292">
        <f>+'Historical Financials'!BO48</f>
        <v>112443</v>
      </c>
      <c r="K13" s="1293">
        <f>+'Historical Financials'!BP48</f>
        <v>133290.34849037323</v>
      </c>
      <c r="L13" s="1294">
        <f t="shared" ref="L13:V13" si="4">K13+(L8-K8)*L17</f>
        <v>160708.50354482027</v>
      </c>
      <c r="M13" s="1294">
        <f t="shared" si="4"/>
        <v>192239.38185743437</v>
      </c>
      <c r="N13" s="1294">
        <f t="shared" si="4"/>
        <v>228499.8919169406</v>
      </c>
      <c r="O13" s="1294">
        <f t="shared" si="4"/>
        <v>270199.47848537273</v>
      </c>
      <c r="P13" s="1294">
        <f t="shared" si="4"/>
        <v>318154.00303906971</v>
      </c>
      <c r="Q13" s="1294">
        <f t="shared" si="4"/>
        <v>373301.7062758212</v>
      </c>
      <c r="R13" s="1294">
        <f t="shared" si="4"/>
        <v>436721.56499808544</v>
      </c>
      <c r="S13" s="1294">
        <f t="shared" si="4"/>
        <v>509654.4025286893</v>
      </c>
      <c r="T13" s="1294">
        <f t="shared" si="4"/>
        <v>593527.16568888375</v>
      </c>
      <c r="U13" s="1294">
        <f t="shared" si="4"/>
        <v>689980.84332310734</v>
      </c>
      <c r="V13" s="1294">
        <f t="shared" si="4"/>
        <v>800902.57260246458</v>
      </c>
      <c r="Y13" s="1267" t="s">
        <v>96</v>
      </c>
      <c r="AA13" s="1302" t="s">
        <v>97</v>
      </c>
    </row>
    <row r="14" spans="1:31">
      <c r="A14" s="1295" t="s">
        <v>87</v>
      </c>
      <c r="C14" s="1296"/>
      <c r="D14" s="1297">
        <f t="shared" ref="D14:V14" si="5">D13/C13-1</f>
        <v>0.19525416794517736</v>
      </c>
      <c r="E14" s="1297">
        <f t="shared" si="5"/>
        <v>0.22536938787152727</v>
      </c>
      <c r="F14" s="1297">
        <f t="shared" si="5"/>
        <v>0.23278009264647692</v>
      </c>
      <c r="G14" s="1296">
        <f t="shared" si="5"/>
        <v>0.3201910912215109</v>
      </c>
      <c r="H14" s="1296">
        <f t="shared" si="5"/>
        <v>0.19261685451112753</v>
      </c>
      <c r="I14" s="1296">
        <f t="shared" si="5"/>
        <v>7.5686890613194446E-2</v>
      </c>
      <c r="J14" s="1296">
        <f t="shared" si="5"/>
        <v>0.25362900528463439</v>
      </c>
      <c r="K14" s="1298">
        <f t="shared" si="5"/>
        <v>0.18540370223467217</v>
      </c>
      <c r="L14" s="1297">
        <f t="shared" si="5"/>
        <v>0.2057024785738879</v>
      </c>
      <c r="M14" s="1297">
        <f t="shared" si="5"/>
        <v>0.19619919056629387</v>
      </c>
      <c r="N14" s="1297">
        <f t="shared" si="5"/>
        <v>0.18862165342581672</v>
      </c>
      <c r="O14" s="1297">
        <f t="shared" si="5"/>
        <v>0.18249280653309841</v>
      </c>
      <c r="P14" s="1297">
        <f t="shared" si="5"/>
        <v>0.17747822765058729</v>
      </c>
      <c r="Q14" s="1297">
        <f t="shared" si="5"/>
        <v>0.17333650593728112</v>
      </c>
      <c r="R14" s="1297">
        <f t="shared" si="5"/>
        <v>0.16988901378180477</v>
      </c>
      <c r="S14" s="1297">
        <f t="shared" si="5"/>
        <v>0.1670007697717506</v>
      </c>
      <c r="T14" s="1297">
        <f t="shared" si="5"/>
        <v>0.16456791650195379</v>
      </c>
      <c r="U14" s="1297">
        <f t="shared" si="5"/>
        <v>0.1625092888920654</v>
      </c>
      <c r="V14" s="1297">
        <f t="shared" si="5"/>
        <v>0.16076059263490938</v>
      </c>
      <c r="AA14" s="1302"/>
    </row>
    <row r="15" spans="1:31" s="1277" customFormat="1">
      <c r="A15" s="1295" t="s">
        <v>98</v>
      </c>
      <c r="C15" s="1296"/>
      <c r="D15" s="1309">
        <f>+D24</f>
        <v>0.17249565306331185</v>
      </c>
      <c r="E15" s="1309">
        <f>+E24</f>
        <v>0.24103656797307321</v>
      </c>
      <c r="F15" s="1309">
        <f>+F24</f>
        <v>0.29050722782187671</v>
      </c>
      <c r="G15" s="1310">
        <f>+'Historical Financials'!BL61</f>
        <v>0.22807492588606293</v>
      </c>
      <c r="H15" s="1310">
        <f>+'Historical Financials'!BM61</f>
        <v>0.25276367406485195</v>
      </c>
      <c r="I15" s="1310">
        <f>+'Historical Financials'!BN61</f>
        <v>9.6498489478974617E-2</v>
      </c>
      <c r="J15" s="1310">
        <f>+'Historical Financials'!BO61</f>
        <v>0.2726341594082406</v>
      </c>
      <c r="K15" s="1305"/>
      <c r="L15" s="1303"/>
      <c r="M15" s="1303"/>
      <c r="N15" s="1303"/>
      <c r="O15" s="1303"/>
      <c r="P15" s="1303"/>
      <c r="Q15" s="1303"/>
      <c r="R15" s="1303"/>
      <c r="S15" s="1303"/>
      <c r="T15" s="1303"/>
      <c r="U15" s="1303"/>
      <c r="V15" s="1303"/>
      <c r="X15" s="1295"/>
      <c r="Y15" s="1295"/>
      <c r="AA15" s="1323"/>
    </row>
    <row r="16" spans="1:31">
      <c r="A16" s="1295" t="s">
        <v>99</v>
      </c>
      <c r="C16" s="1296"/>
      <c r="D16" s="1297">
        <f t="shared" ref="D16:V16" si="6">+D13/D8</f>
        <v>0.31766944545125048</v>
      </c>
      <c r="E16" s="1297">
        <f t="shared" si="6"/>
        <v>0.3413698020549415</v>
      </c>
      <c r="F16" s="1297">
        <f t="shared" si="6"/>
        <v>0.37030381428521486</v>
      </c>
      <c r="G16" s="1296">
        <f t="shared" si="6"/>
        <v>0.41594878872971303</v>
      </c>
      <c r="H16" s="1296">
        <f t="shared" si="6"/>
        <v>0.4205527815604983</v>
      </c>
      <c r="I16" s="1296">
        <f t="shared" si="6"/>
        <v>0.42325460679989618</v>
      </c>
      <c r="J16" s="1296">
        <f t="shared" si="6"/>
        <v>0.45872259527908554</v>
      </c>
      <c r="K16" s="1311">
        <f t="shared" si="6"/>
        <v>0.47398553812261512</v>
      </c>
      <c r="L16" s="1296">
        <f t="shared" si="6"/>
        <v>0.49694394619357829</v>
      </c>
      <c r="M16" s="1296">
        <f t="shared" si="6"/>
        <v>0.51690777929876375</v>
      </c>
      <c r="N16" s="1296">
        <f t="shared" si="6"/>
        <v>0.53426763417283796</v>
      </c>
      <c r="O16" s="1296">
        <f t="shared" si="6"/>
        <v>0.54936316015029385</v>
      </c>
      <c r="P16" s="1296">
        <f t="shared" si="6"/>
        <v>0.56248970447851643</v>
      </c>
      <c r="Q16" s="1296">
        <f t="shared" si="6"/>
        <v>0.57390409085088379</v>
      </c>
      <c r="R16" s="1296">
        <f t="shared" si="6"/>
        <v>0.58382964421815986</v>
      </c>
      <c r="S16" s="1296">
        <f t="shared" si="6"/>
        <v>0.59246056018970417</v>
      </c>
      <c r="T16" s="1296">
        <f t="shared" si="6"/>
        <v>0.5999657045127863</v>
      </c>
      <c r="U16" s="1296">
        <f t="shared" si="6"/>
        <v>0.60649191696764015</v>
      </c>
      <c r="V16" s="1296">
        <f t="shared" si="6"/>
        <v>0.61216688431968713</v>
      </c>
      <c r="Y16" s="1267" t="s">
        <v>100</v>
      </c>
      <c r="AA16" s="1302" t="s">
        <v>92</v>
      </c>
    </row>
    <row r="17" spans="1:28">
      <c r="A17" s="1295" t="s">
        <v>101</v>
      </c>
      <c r="C17" s="1297"/>
      <c r="D17" s="1297">
        <f t="shared" ref="D17:K17" si="7">(D13-C13)/(D8-C8)</f>
        <v>0.41533106099064471</v>
      </c>
      <c r="E17" s="1297">
        <f t="shared" si="7"/>
        <v>0.51030162113285538</v>
      </c>
      <c r="F17" s="1297">
        <f t="shared" si="7"/>
        <v>0.58234334963894707</v>
      </c>
      <c r="G17" s="1296">
        <f t="shared" si="7"/>
        <v>0.67630518884856217</v>
      </c>
      <c r="H17" s="1296">
        <f t="shared" si="7"/>
        <v>0.44619309522231793</v>
      </c>
      <c r="I17" s="1296">
        <f t="shared" si="7"/>
        <v>0.46251374129717843</v>
      </c>
      <c r="J17" s="1296">
        <f t="shared" si="7"/>
        <v>0.68506640166230015</v>
      </c>
      <c r="K17" s="1311">
        <f t="shared" si="7"/>
        <v>0.57765134489421599</v>
      </c>
      <c r="L17" s="1299">
        <v>0.65</v>
      </c>
      <c r="M17" s="1299">
        <v>0.65</v>
      </c>
      <c r="N17" s="1299">
        <v>0.65</v>
      </c>
      <c r="O17" s="1299">
        <v>0.65</v>
      </c>
      <c r="P17" s="1299">
        <v>0.65</v>
      </c>
      <c r="Q17" s="1299">
        <v>0.65</v>
      </c>
      <c r="R17" s="1299">
        <v>0.65</v>
      </c>
      <c r="S17" s="1299">
        <v>0.65</v>
      </c>
      <c r="T17" s="1299">
        <v>0.65</v>
      </c>
      <c r="U17" s="1299">
        <v>0.65</v>
      </c>
      <c r="V17" s="1299">
        <v>0.65</v>
      </c>
      <c r="Y17" s="1267" t="s">
        <v>102</v>
      </c>
      <c r="AA17" s="1302" t="s">
        <v>103</v>
      </c>
    </row>
    <row r="18" spans="1:28">
      <c r="A18" s="1295" t="s">
        <v>104</v>
      </c>
      <c r="C18" s="1297"/>
      <c r="D18" s="1297">
        <f>+'Historical Financials'!BI54</f>
        <v>0.40717753754111435</v>
      </c>
      <c r="E18" s="1297">
        <f>+'Historical Financials'!BJ54</f>
        <v>0.50747709967444388</v>
      </c>
      <c r="F18" s="1297">
        <f>+'Historical Financials'!BK54</f>
        <v>0.65080049690651331</v>
      </c>
      <c r="G18" s="1296">
        <f>+'Historical Financials'!BL54</f>
        <v>0.55022789120906668</v>
      </c>
      <c r="H18" s="1296">
        <f>+'Historical Financials'!BM54</f>
        <v>0.54843620075989441</v>
      </c>
      <c r="I18" s="1296">
        <f>+'Historical Financials'!BN54</f>
        <v>0.38351640596561781</v>
      </c>
      <c r="J18" s="1296">
        <f>+'Historical Financials'!BO54</f>
        <v>0.75352945184063325</v>
      </c>
      <c r="K18" s="1288"/>
      <c r="L18" s="1299"/>
      <c r="M18" s="1299"/>
      <c r="N18" s="1299"/>
      <c r="O18" s="1299"/>
      <c r="P18" s="1299"/>
      <c r="Q18" s="1299"/>
      <c r="R18" s="1299"/>
      <c r="S18" s="1299"/>
      <c r="T18" s="1299"/>
      <c r="U18" s="1299"/>
      <c r="V18" s="1299"/>
      <c r="Y18" s="1267" t="s">
        <v>105</v>
      </c>
      <c r="AA18" s="1302" t="s">
        <v>103</v>
      </c>
    </row>
    <row r="19" spans="1:28">
      <c r="A19" s="1295"/>
      <c r="C19" s="1296"/>
      <c r="D19" s="1297"/>
      <c r="E19" s="1297"/>
      <c r="F19" s="1297"/>
      <c r="G19" s="1303"/>
      <c r="H19" s="1303"/>
      <c r="I19" s="1303"/>
      <c r="J19" s="1303"/>
      <c r="K19" s="1305"/>
      <c r="L19" s="1303"/>
      <c r="M19" s="1303"/>
      <c r="N19" s="1303"/>
      <c r="O19" s="1303"/>
      <c r="P19" s="1303"/>
      <c r="Q19" s="1303"/>
      <c r="R19" s="1303"/>
      <c r="S19" s="1303"/>
      <c r="T19" s="1303"/>
      <c r="U19" s="1303"/>
      <c r="V19" s="1303"/>
    </row>
    <row r="20" spans="1:28" ht="20.100000000000001" hidden="1" outlineLevel="1">
      <c r="A20" s="1312" t="s">
        <v>106</v>
      </c>
      <c r="C20" s="1313"/>
      <c r="D20" s="1314"/>
      <c r="E20" s="1314"/>
      <c r="F20" s="1314"/>
      <c r="G20" s="1315"/>
      <c r="H20" s="1315"/>
      <c r="I20" s="1315"/>
      <c r="J20" s="1315"/>
      <c r="K20" s="1316"/>
      <c r="L20" s="1315"/>
      <c r="M20" s="1315"/>
      <c r="N20" s="1315"/>
      <c r="O20" s="1315"/>
      <c r="P20" s="1315"/>
      <c r="Q20" s="1315"/>
      <c r="R20" s="1315"/>
      <c r="S20" s="1315"/>
      <c r="T20" s="1315"/>
      <c r="U20" s="1315"/>
      <c r="V20" s="1315"/>
      <c r="X20" s="1312"/>
      <c r="Z20" s="1278" t="s">
        <v>107</v>
      </c>
      <c r="AA20" s="1279"/>
      <c r="AB20" s="1277"/>
    </row>
    <row r="21" spans="1:28" s="1277" customFormat="1" ht="20.100000000000001" hidden="1" outlineLevel="1">
      <c r="A21" s="1295" t="s">
        <v>108</v>
      </c>
      <c r="C21" s="1296"/>
      <c r="D21" s="1297">
        <f t="shared" ref="D21:I21" si="8">+D14</f>
        <v>0.19525416794517736</v>
      </c>
      <c r="E21" s="1297">
        <f t="shared" si="8"/>
        <v>0.22536938787152727</v>
      </c>
      <c r="F21" s="1297">
        <f t="shared" si="8"/>
        <v>0.23278009264647692</v>
      </c>
      <c r="G21" s="1296">
        <f t="shared" si="8"/>
        <v>0.3201910912215109</v>
      </c>
      <c r="H21" s="1296">
        <f t="shared" si="8"/>
        <v>0.19261685451112753</v>
      </c>
      <c r="I21" s="1296">
        <f t="shared" si="8"/>
        <v>7.5686890613194446E-2</v>
      </c>
      <c r="J21" s="1303"/>
      <c r="K21" s="1305"/>
      <c r="L21" s="1303"/>
      <c r="M21" s="1303"/>
      <c r="N21" s="1303"/>
      <c r="O21" s="1303"/>
      <c r="P21" s="1303"/>
      <c r="Q21" s="1303"/>
      <c r="R21" s="1303"/>
      <c r="S21" s="1303"/>
      <c r="T21" s="1303"/>
      <c r="U21" s="1303"/>
      <c r="V21" s="1303"/>
      <c r="X21" s="1295"/>
      <c r="Z21" s="1280" t="s">
        <v>109</v>
      </c>
      <c r="AA21" s="1280" t="s">
        <v>88</v>
      </c>
    </row>
    <row r="22" spans="1:28" s="1277" customFormat="1" hidden="1" outlineLevel="1">
      <c r="A22" s="1295" t="s">
        <v>110</v>
      </c>
      <c r="C22" s="1296"/>
      <c r="D22" s="1309">
        <f>+D21</f>
        <v>0.19525416794517736</v>
      </c>
      <c r="E22" s="1309">
        <f>+E21</f>
        <v>0.22536938787152727</v>
      </c>
      <c r="F22" s="1309">
        <f>+F21</f>
        <v>0.23278009264647692</v>
      </c>
      <c r="G22" s="1310">
        <f>+'Historical Financials'!BL58</f>
        <v>0.26542721728129309</v>
      </c>
      <c r="H22" s="1310">
        <f>+'Historical Financials'!BM58</f>
        <v>0.23513022821554716</v>
      </c>
      <c r="I22" s="1310">
        <f>+'Historical Financials'!BN58</f>
        <v>3.1422154974339353E-2</v>
      </c>
      <c r="J22" s="1303"/>
      <c r="K22" s="1305"/>
      <c r="L22" s="1303"/>
      <c r="M22" s="1303"/>
      <c r="N22" s="1303"/>
      <c r="O22" s="1303"/>
      <c r="P22" s="1303"/>
      <c r="Q22" s="1303"/>
      <c r="R22" s="1303"/>
      <c r="S22" s="1303"/>
      <c r="T22" s="1303"/>
      <c r="U22" s="1303"/>
      <c r="V22" s="1303"/>
      <c r="X22" s="1295"/>
      <c r="Y22" s="1317" t="s">
        <v>111</v>
      </c>
    </row>
    <row r="23" spans="1:28" s="1277" customFormat="1" hidden="1" outlineLevel="1">
      <c r="A23" s="1295"/>
      <c r="C23" s="1296"/>
      <c r="D23" s="1309"/>
      <c r="E23" s="1309"/>
      <c r="F23" s="1309"/>
      <c r="G23" s="1310"/>
      <c r="H23" s="1310"/>
      <c r="I23" s="1310"/>
      <c r="J23" s="1303"/>
      <c r="K23" s="1305"/>
      <c r="L23" s="1303"/>
      <c r="M23" s="1303"/>
      <c r="N23" s="1303"/>
      <c r="O23" s="1303"/>
      <c r="P23" s="1303"/>
      <c r="Q23" s="1303"/>
      <c r="R23" s="1303"/>
      <c r="S23" s="1303"/>
      <c r="T23" s="1303"/>
      <c r="U23" s="1303"/>
      <c r="V23" s="1303"/>
      <c r="X23" s="1295"/>
      <c r="Y23" s="1267" t="s">
        <v>86</v>
      </c>
      <c r="Z23" s="1318">
        <f>+H8</f>
        <v>198270</v>
      </c>
      <c r="AA23" s="1319">
        <f>+Z23*(1+AA24)</f>
        <v>218097.00000000003</v>
      </c>
    </row>
    <row r="24" spans="1:28" s="1277" customFormat="1" hidden="1" outlineLevel="1">
      <c r="A24" s="1295" t="s">
        <v>112</v>
      </c>
      <c r="C24" s="1296"/>
      <c r="D24" s="1309">
        <f>+'Historical Financials'!BI60</f>
        <v>0.17249565306331185</v>
      </c>
      <c r="E24" s="1309">
        <f>+'Historical Financials'!BJ60</f>
        <v>0.24103656797307321</v>
      </c>
      <c r="F24" s="1309">
        <f>+'Historical Financials'!BK60</f>
        <v>0.29050722782187671</v>
      </c>
      <c r="G24" s="1310">
        <f>+'Historical Financials'!BL60</f>
        <v>0.28283879982628074</v>
      </c>
      <c r="H24" s="1310">
        <f>+'Historical Financials'!BM60</f>
        <v>0.21025030036043252</v>
      </c>
      <c r="I24" s="1310">
        <f>+'Historical Financials'!BN60</f>
        <v>0.14076322511782977</v>
      </c>
      <c r="J24" s="1303"/>
      <c r="K24" s="1305"/>
      <c r="L24" s="1303"/>
      <c r="M24" s="1303"/>
      <c r="N24" s="1303"/>
      <c r="O24" s="1303"/>
      <c r="P24" s="1303"/>
      <c r="Q24" s="1303"/>
      <c r="R24" s="1303"/>
      <c r="S24" s="1303"/>
      <c r="T24" s="1303"/>
      <c r="U24" s="1303"/>
      <c r="V24" s="1303"/>
      <c r="X24" s="1295"/>
      <c r="Y24" s="1295" t="s">
        <v>113</v>
      </c>
      <c r="AA24" s="1320">
        <v>0.1</v>
      </c>
    </row>
    <row r="25" spans="1:28" hidden="1" outlineLevel="1">
      <c r="A25" s="1295"/>
      <c r="C25" s="1296"/>
      <c r="D25" s="1297"/>
      <c r="E25" s="1297"/>
      <c r="F25" s="1297"/>
      <c r="G25" s="1303"/>
      <c r="H25" s="1303"/>
      <c r="I25" s="1303"/>
      <c r="J25" s="1303"/>
      <c r="K25" s="1305"/>
      <c r="L25" s="1303"/>
      <c r="M25" s="1303"/>
      <c r="N25" s="1303"/>
      <c r="O25" s="1303"/>
      <c r="P25" s="1303"/>
      <c r="Q25" s="1303"/>
      <c r="R25" s="1303"/>
      <c r="S25" s="1303"/>
      <c r="T25" s="1303"/>
      <c r="U25" s="1303"/>
      <c r="V25" s="1303"/>
      <c r="Y25" s="1267" t="s">
        <v>95</v>
      </c>
      <c r="Z25" s="1318">
        <f>+H13</f>
        <v>83383</v>
      </c>
      <c r="AA25" s="1319">
        <f>+AA23*AA27</f>
        <v>91721.300000000017</v>
      </c>
    </row>
    <row r="26" spans="1:28" hidden="1" outlineLevel="1">
      <c r="A26" s="1295" t="s">
        <v>114</v>
      </c>
      <c r="C26" s="1296"/>
      <c r="D26" s="1321">
        <f t="shared" ref="D26:I26" si="9">+D15*C13</f>
        <v>5059.47</v>
      </c>
      <c r="E26" s="1321">
        <f t="shared" si="9"/>
        <v>8450.26</v>
      </c>
      <c r="F26" s="1322">
        <f t="shared" si="9"/>
        <v>12479.900000000001</v>
      </c>
      <c r="G26" s="1322">
        <f t="shared" si="9"/>
        <v>12078.620000000006</v>
      </c>
      <c r="H26" s="1322">
        <f t="shared" si="9"/>
        <v>17672.225035918189</v>
      </c>
      <c r="I26" s="1322">
        <f t="shared" si="9"/>
        <v>8046.3335482253406</v>
      </c>
      <c r="J26" s="1303"/>
      <c r="K26" s="1305"/>
      <c r="L26" s="1303"/>
      <c r="M26" s="1303"/>
      <c r="N26" s="1303"/>
      <c r="O26" s="1303"/>
      <c r="P26" s="1303"/>
      <c r="Q26" s="1303"/>
      <c r="R26" s="1303"/>
      <c r="S26" s="1303"/>
      <c r="T26" s="1303"/>
      <c r="U26" s="1303"/>
      <c r="V26" s="1303"/>
      <c r="Y26" s="1295" t="s">
        <v>113</v>
      </c>
      <c r="AA26" s="1417">
        <f>+AA25/Z25-1</f>
        <v>0.10000000000000031</v>
      </c>
    </row>
    <row r="27" spans="1:28" hidden="1" outlineLevel="1">
      <c r="A27" s="1295"/>
      <c r="C27" s="1296"/>
      <c r="D27" s="1297"/>
      <c r="E27" s="1297"/>
      <c r="F27" s="1297"/>
      <c r="G27" s="1303"/>
      <c r="H27" s="1303"/>
      <c r="I27" s="1303"/>
      <c r="J27" s="1303"/>
      <c r="K27" s="1305"/>
      <c r="L27" s="1303"/>
      <c r="M27" s="1303"/>
      <c r="N27" s="1303"/>
      <c r="O27" s="1303"/>
      <c r="P27" s="1303"/>
      <c r="Q27" s="1303"/>
      <c r="R27" s="1303"/>
      <c r="S27" s="1303"/>
      <c r="T27" s="1303"/>
      <c r="U27" s="1303"/>
      <c r="V27" s="1303"/>
      <c r="Y27" s="1295" t="s">
        <v>115</v>
      </c>
      <c r="Z27" s="1417">
        <f>+Z25/Z23</f>
        <v>0.4205527815604983</v>
      </c>
      <c r="AA27" s="1418">
        <f>+Z27</f>
        <v>0.4205527815604983</v>
      </c>
    </row>
    <row r="28" spans="1:28" s="1301" customFormat="1" ht="18.600000000000001" collapsed="1">
      <c r="A28" s="1324" t="s">
        <v>116</v>
      </c>
      <c r="B28" s="1419"/>
      <c r="C28" s="1420">
        <f>+'Historical Financials'!BH85</f>
        <v>8778</v>
      </c>
      <c r="D28" s="1420">
        <f>+'Historical Financials'!BI85</f>
        <v>10261</v>
      </c>
      <c r="E28" s="1421">
        <f>+'Historical Financials'!BJ85</f>
        <v>11682</v>
      </c>
      <c r="F28" s="1421">
        <f>+'Historical Financials'!BK85</f>
        <v>12796</v>
      </c>
      <c r="G28" s="1421">
        <f>+'Historical Financials'!BL85</f>
        <v>11686</v>
      </c>
      <c r="H28" s="1421">
        <f>+'Historical Financials'!BM85</f>
        <v>14460</v>
      </c>
      <c r="I28" s="1421">
        <f>+'Historical Financials'!BN85</f>
        <v>13861</v>
      </c>
      <c r="J28" s="1421">
        <f>+'Historical Financials'!BO85</f>
        <v>20427</v>
      </c>
      <c r="K28" s="1328">
        <f>+'D&amp;A forecast - Case 2'!V52</f>
        <v>27803.116747365937</v>
      </c>
      <c r="L28" s="1326">
        <f>+'D&amp;A forecast - Case 2'!W52</f>
        <v>31525.992471770431</v>
      </c>
      <c r="M28" s="1326">
        <f>+'D&amp;A forecast - Case 2'!X52</f>
        <v>35112.247965084942</v>
      </c>
      <c r="N28" s="1326">
        <f>+'D&amp;A forecast - Case 2'!Y52</f>
        <v>39998.881804720564</v>
      </c>
      <c r="O28" s="1326">
        <f>+'D&amp;A forecast - Case 2'!Z52</f>
        <v>45654.686916541184</v>
      </c>
      <c r="P28" s="1326">
        <f>+'D&amp;A forecast - Case 2'!AA52</f>
        <v>50864.592708620163</v>
      </c>
      <c r="Q28" s="1326">
        <f>+'D&amp;A forecast - Case 2'!AB52</f>
        <v>56786.601080441142</v>
      </c>
      <c r="R28" s="1326">
        <f>+'D&amp;A forecast - Case 2'!AC52</f>
        <v>62625.51833783379</v>
      </c>
      <c r="S28" s="1326">
        <f>+'D&amp;A forecast - Case 2'!AD52</f>
        <v>69708.418604057864</v>
      </c>
      <c r="T28" s="1326">
        <f>+'D&amp;A forecast - Case 2'!AE52</f>
        <v>77095.171912570106</v>
      </c>
      <c r="U28" s="1326">
        <f>+'D&amp;A forecast - Case 2'!AF52</f>
        <v>84420.441599796148</v>
      </c>
      <c r="V28" s="1326">
        <f>+'D&amp;A forecast - Case 2'!AG52</f>
        <v>91581.348506188748</v>
      </c>
      <c r="Y28" s="1317" t="s">
        <v>117</v>
      </c>
    </row>
    <row r="29" spans="1:28" s="1277" customFormat="1" hidden="1" outlineLevel="1">
      <c r="A29" s="1331" t="s">
        <v>118</v>
      </c>
      <c r="C29" s="1296">
        <f t="shared" ref="C29:V29" si="10">+C28/C8</f>
        <v>9.0896853092543306E-2</v>
      </c>
      <c r="D29" s="1296">
        <f t="shared" si="10"/>
        <v>9.2977528089887643E-2</v>
      </c>
      <c r="E29" s="1296">
        <f t="shared" si="10"/>
        <v>9.2829954784930432E-2</v>
      </c>
      <c r="F29" s="1296">
        <f t="shared" si="10"/>
        <v>8.9473132188931229E-2</v>
      </c>
      <c r="G29" s="1296">
        <f t="shared" si="10"/>
        <v>6.9523106943981727E-2</v>
      </c>
      <c r="H29" s="1296">
        <f t="shared" si="10"/>
        <v>7.2930851868663937E-2</v>
      </c>
      <c r="I29" s="1296">
        <f t="shared" si="10"/>
        <v>6.5408300497841118E-2</v>
      </c>
      <c r="J29" s="1296">
        <f t="shared" si="10"/>
        <v>8.333401326686303E-2</v>
      </c>
      <c r="K29" s="1311">
        <f t="shared" si="10"/>
        <v>9.8868938390823724E-2</v>
      </c>
      <c r="L29" s="1296">
        <f t="shared" si="10"/>
        <v>9.7484891969150472E-2</v>
      </c>
      <c r="M29" s="1296">
        <f t="shared" si="10"/>
        <v>9.4412466095420366E-2</v>
      </c>
      <c r="N29" s="1296">
        <f t="shared" si="10"/>
        <v>9.3523492602504324E-2</v>
      </c>
      <c r="O29" s="1296">
        <f t="shared" si="10"/>
        <v>9.282402475658777E-2</v>
      </c>
      <c r="P29" s="1296">
        <f t="shared" si="10"/>
        <v>8.9927549073077082E-2</v>
      </c>
      <c r="Q29" s="1296">
        <f t="shared" si="10"/>
        <v>8.730220654684763E-2</v>
      </c>
      <c r="R29" s="1296">
        <f t="shared" si="10"/>
        <v>8.3720697626451387E-2</v>
      </c>
      <c r="S29" s="1296">
        <f t="shared" si="10"/>
        <v>8.1034301933207972E-2</v>
      </c>
      <c r="T29" s="1296">
        <f t="shared" si="10"/>
        <v>7.7931494639127019E-2</v>
      </c>
      <c r="U29" s="1296">
        <f t="shared" si="10"/>
        <v>7.4205415922161719E-2</v>
      </c>
      <c r="V29" s="1296">
        <f t="shared" si="10"/>
        <v>6.9999861025114254E-2</v>
      </c>
      <c r="Y29" s="1267" t="s">
        <v>119</v>
      </c>
      <c r="Z29" s="1318">
        <f>+Z23</f>
        <v>198270</v>
      </c>
      <c r="AA29" s="1319">
        <f>+Z29*(1+AA30)</f>
        <v>226027.80000000002</v>
      </c>
    </row>
    <row r="30" spans="1:28" s="1277" customFormat="1" hidden="1" outlineLevel="1">
      <c r="A30" s="1332"/>
      <c r="C30" s="1275"/>
      <c r="D30" s="1275"/>
      <c r="E30" s="1275"/>
      <c r="F30" s="1275"/>
      <c r="G30" s="1275"/>
      <c r="H30" s="1275"/>
      <c r="I30" s="1275"/>
      <c r="J30" s="1275"/>
      <c r="K30" s="1333"/>
      <c r="L30" s="1275"/>
      <c r="M30" s="1275"/>
      <c r="N30" s="1275"/>
      <c r="O30" s="1275"/>
      <c r="P30" s="1275"/>
      <c r="Q30" s="1275"/>
      <c r="R30" s="1275"/>
      <c r="S30" s="1275"/>
      <c r="T30" s="1275"/>
      <c r="U30" s="1275"/>
      <c r="V30" s="1275"/>
      <c r="Y30" s="1295" t="s">
        <v>120</v>
      </c>
      <c r="AA30" s="1320">
        <f>+AA24+4%</f>
        <v>0.14000000000000001</v>
      </c>
    </row>
    <row r="31" spans="1:28" s="1277" customFormat="1" hidden="1" outlineLevel="1">
      <c r="A31" s="1334"/>
      <c r="C31" s="1310"/>
      <c r="D31" s="1309"/>
      <c r="E31" s="1309"/>
      <c r="F31" s="1287"/>
      <c r="G31" s="1287"/>
      <c r="H31" s="1287"/>
      <c r="I31" s="1287"/>
      <c r="J31" s="1285"/>
      <c r="K31" s="1305"/>
      <c r="L31" s="1303"/>
      <c r="M31" s="1303"/>
      <c r="N31" s="1303"/>
      <c r="O31" s="1303"/>
      <c r="P31" s="1303"/>
      <c r="Q31" s="1303"/>
      <c r="R31" s="1303"/>
      <c r="S31" s="1303"/>
      <c r="T31" s="1303"/>
      <c r="U31" s="1303"/>
      <c r="V31" s="1303"/>
      <c r="Y31" s="1295"/>
      <c r="AA31" s="1323"/>
    </row>
    <row r="32" spans="1:28" collapsed="1">
      <c r="A32" s="1335" t="s">
        <v>121</v>
      </c>
      <c r="B32" s="1290"/>
      <c r="C32" s="1291">
        <f>+'Historical Financials'!BH86</f>
        <v>38109</v>
      </c>
      <c r="D32" s="1291">
        <f>+'Historical Financials'!BI86</f>
        <v>45319</v>
      </c>
      <c r="E32" s="1292">
        <f>+'Historical Financials'!BJ86</f>
        <v>54641</v>
      </c>
      <c r="F32" s="1292">
        <f>+'Historical Financials'!BK86</f>
        <v>65755</v>
      </c>
      <c r="G32" s="1292">
        <f>+'Historical Financials'!BL86</f>
        <v>81602</v>
      </c>
      <c r="H32" s="1292">
        <f>+'Historical Financials'!BM86</f>
        <v>97843</v>
      </c>
      <c r="I32" s="1292">
        <f>+'Historical Financials'!BN86</f>
        <v>103555</v>
      </c>
      <c r="J32" s="1292">
        <f>+'Historical Financials'!BO86</f>
        <v>132870</v>
      </c>
      <c r="K32" s="1337">
        <f>+'Historical Financials'!BP86</f>
        <v>161093.46523773918</v>
      </c>
      <c r="L32" s="1294">
        <f t="shared" ref="L32:V32" si="11">+L13+L28</f>
        <v>192234.49601659071</v>
      </c>
      <c r="M32" s="1294">
        <f t="shared" si="11"/>
        <v>227351.62982251932</v>
      </c>
      <c r="N32" s="1294">
        <f t="shared" si="11"/>
        <v>268498.77372166119</v>
      </c>
      <c r="O32" s="1294">
        <f t="shared" si="11"/>
        <v>315854.16540191392</v>
      </c>
      <c r="P32" s="1294">
        <f t="shared" si="11"/>
        <v>369018.59574768989</v>
      </c>
      <c r="Q32" s="1294">
        <f t="shared" si="11"/>
        <v>430088.30735626235</v>
      </c>
      <c r="R32" s="1294">
        <f t="shared" si="11"/>
        <v>499347.08333591925</v>
      </c>
      <c r="S32" s="1294">
        <f t="shared" si="11"/>
        <v>579362.82113274722</v>
      </c>
      <c r="T32" s="1294">
        <f t="shared" si="11"/>
        <v>670622.33760145388</v>
      </c>
      <c r="U32" s="1294">
        <f t="shared" si="11"/>
        <v>774401.28492290352</v>
      </c>
      <c r="V32" s="1294">
        <f t="shared" si="11"/>
        <v>892483.9211086533</v>
      </c>
      <c r="Y32" s="1267" t="s">
        <v>122</v>
      </c>
      <c r="Z32" s="1318">
        <f>+Z25</f>
        <v>83383</v>
      </c>
      <c r="AA32" s="1319">
        <f>+AA29*AA34</f>
        <v>95056.62000000001</v>
      </c>
    </row>
    <row r="33" spans="1:27" s="1277" customFormat="1">
      <c r="A33" s="1331" t="s">
        <v>87</v>
      </c>
      <c r="C33" s="1296"/>
      <c r="D33" s="1296">
        <f t="shared" ref="D33:V33" si="12">+D32/C32-1</f>
        <v>0.18919415361200764</v>
      </c>
      <c r="E33" s="1296">
        <f t="shared" si="12"/>
        <v>0.2056973896158345</v>
      </c>
      <c r="F33" s="1296">
        <f t="shared" si="12"/>
        <v>0.20340037700627733</v>
      </c>
      <c r="G33" s="1296">
        <f t="shared" si="12"/>
        <v>0.24100068435860389</v>
      </c>
      <c r="H33" s="1296">
        <f t="shared" si="12"/>
        <v>0.1990269846327295</v>
      </c>
      <c r="I33" s="1296">
        <f t="shared" si="12"/>
        <v>5.8379240211358985E-2</v>
      </c>
      <c r="J33" s="1296">
        <f t="shared" si="12"/>
        <v>0.28308628265173086</v>
      </c>
      <c r="K33" s="1311">
        <f t="shared" si="12"/>
        <v>0.2124141283791614</v>
      </c>
      <c r="L33" s="1296">
        <f t="shared" si="12"/>
        <v>0.19331032908686963</v>
      </c>
      <c r="M33" s="1296">
        <f t="shared" si="12"/>
        <v>0.1826786270602434</v>
      </c>
      <c r="N33" s="1296">
        <f t="shared" si="12"/>
        <v>0.18098460051182896</v>
      </c>
      <c r="O33" s="1296">
        <f t="shared" si="12"/>
        <v>0.17637097936746482</v>
      </c>
      <c r="P33" s="1296">
        <f t="shared" si="12"/>
        <v>0.16831954797279947</v>
      </c>
      <c r="Q33" s="1296">
        <f t="shared" si="12"/>
        <v>0.16549223348713782</v>
      </c>
      <c r="R33" s="1296">
        <f t="shared" si="12"/>
        <v>0.16103385001417081</v>
      </c>
      <c r="S33" s="1296">
        <f t="shared" si="12"/>
        <v>0.16024072327063155</v>
      </c>
      <c r="T33" s="1296">
        <f t="shared" si="12"/>
        <v>0.15751703965104236</v>
      </c>
      <c r="U33" s="1296">
        <f t="shared" si="12"/>
        <v>0.15475020962263963</v>
      </c>
      <c r="V33" s="1296">
        <f t="shared" si="12"/>
        <v>0.1524824900019448</v>
      </c>
      <c r="Y33" s="1295" t="s">
        <v>113</v>
      </c>
      <c r="Z33" s="1313"/>
      <c r="AA33" s="1417">
        <f>+AA32/Z32-1</f>
        <v>0.14000000000000012</v>
      </c>
    </row>
    <row r="34" spans="1:27" s="1277" customFormat="1">
      <c r="A34" s="1331" t="s">
        <v>99</v>
      </c>
      <c r="C34" s="1296">
        <f t="shared" ref="C34:V34" si="13">+C32/C8</f>
        <v>0.39462157376438062</v>
      </c>
      <c r="D34" s="1297">
        <f t="shared" si="13"/>
        <v>0.41064697354113811</v>
      </c>
      <c r="E34" s="1297">
        <f t="shared" si="13"/>
        <v>0.43419975683987189</v>
      </c>
      <c r="F34" s="1297">
        <f t="shared" si="13"/>
        <v>0.45977694647414608</v>
      </c>
      <c r="G34" s="1296">
        <f t="shared" si="13"/>
        <v>0.48547189567369475</v>
      </c>
      <c r="H34" s="1296">
        <f t="shared" si="13"/>
        <v>0.49348363342916224</v>
      </c>
      <c r="I34" s="1296">
        <f t="shared" si="13"/>
        <v>0.48866290729773731</v>
      </c>
      <c r="J34" s="1296">
        <f t="shared" si="13"/>
        <v>0.5420566085459485</v>
      </c>
      <c r="K34" s="1311">
        <f t="shared" si="13"/>
        <v>0.5728544765134389</v>
      </c>
      <c r="L34" s="1296">
        <f t="shared" si="13"/>
        <v>0.59442883816272885</v>
      </c>
      <c r="M34" s="1296">
        <f t="shared" si="13"/>
        <v>0.61132024539418406</v>
      </c>
      <c r="N34" s="1296">
        <f t="shared" si="13"/>
        <v>0.62779112677534232</v>
      </c>
      <c r="O34" s="1296">
        <f t="shared" si="13"/>
        <v>0.64218718490688165</v>
      </c>
      <c r="P34" s="1296">
        <f t="shared" si="13"/>
        <v>0.65241725355159352</v>
      </c>
      <c r="Q34" s="1296">
        <f t="shared" si="13"/>
        <v>0.66120629739773151</v>
      </c>
      <c r="R34" s="1296">
        <f t="shared" si="13"/>
        <v>0.66755034184461126</v>
      </c>
      <c r="S34" s="1296">
        <f t="shared" si="13"/>
        <v>0.67349486212291221</v>
      </c>
      <c r="T34" s="1296">
        <f t="shared" si="13"/>
        <v>0.67789719915191327</v>
      </c>
      <c r="U34" s="1296">
        <f t="shared" si="13"/>
        <v>0.68069733288980194</v>
      </c>
      <c r="V34" s="1296">
        <f t="shared" si="13"/>
        <v>0.68216674534480137</v>
      </c>
      <c r="Y34" s="1295" t="s">
        <v>115</v>
      </c>
      <c r="Z34" s="1417">
        <f>+Z32/Z29</f>
        <v>0.4205527815604983</v>
      </c>
      <c r="AA34" s="1418">
        <f>+Z34</f>
        <v>0.4205527815604983</v>
      </c>
    </row>
    <row r="35" spans="1:27" s="1277" customFormat="1">
      <c r="A35" s="1331" t="s">
        <v>101</v>
      </c>
      <c r="C35" s="1297"/>
      <c r="D35" s="1297">
        <f t="shared" ref="D35:V35" si="14">(D32-C32)/(D8-C8)</f>
        <v>0.52288055696569724</v>
      </c>
      <c r="E35" s="1297">
        <f t="shared" si="14"/>
        <v>0.60207970031647617</v>
      </c>
      <c r="F35" s="1297">
        <f t="shared" si="14"/>
        <v>0.64721639878872583</v>
      </c>
      <c r="G35" s="1297">
        <f t="shared" si="14"/>
        <v>0.63203445937861447</v>
      </c>
      <c r="H35" s="1297">
        <f t="shared" si="14"/>
        <v>0.53810218010734878</v>
      </c>
      <c r="I35" s="1297">
        <f t="shared" si="14"/>
        <v>0.41861487724441188</v>
      </c>
      <c r="J35" s="1297">
        <f t="shared" si="14"/>
        <v>0.88279579606709424</v>
      </c>
      <c r="K35" s="1298">
        <f t="shared" si="14"/>
        <v>0.7820333919051452</v>
      </c>
      <c r="L35" s="1297">
        <f t="shared" si="14"/>
        <v>0.73825791582466194</v>
      </c>
      <c r="M35" s="1297">
        <f t="shared" si="14"/>
        <v>0.72392962693721918</v>
      </c>
      <c r="N35" s="1297">
        <f t="shared" si="14"/>
        <v>0.73759700264973105</v>
      </c>
      <c r="O35" s="1297">
        <f t="shared" si="14"/>
        <v>0.73816090578381033</v>
      </c>
      <c r="P35" s="1297">
        <f t="shared" si="14"/>
        <v>0.72061771118300577</v>
      </c>
      <c r="Q35" s="1297">
        <f t="shared" si="14"/>
        <v>0.71979992303865137</v>
      </c>
      <c r="R35" s="1297">
        <f t="shared" si="14"/>
        <v>0.70984397149047651</v>
      </c>
      <c r="S35" s="1297">
        <f t="shared" si="14"/>
        <v>0.71312499731158541</v>
      </c>
      <c r="T35" s="1297">
        <f t="shared" si="14"/>
        <v>0.70724611267858706</v>
      </c>
      <c r="U35" s="1297">
        <f t="shared" si="14"/>
        <v>0.69936489114239297</v>
      </c>
      <c r="V35" s="1297">
        <f t="shared" si="14"/>
        <v>0.69196282837813117</v>
      </c>
    </row>
    <row r="36" spans="1:27" hidden="1" outlineLevel="1">
      <c r="C36" s="1266"/>
      <c r="D36" s="1266"/>
      <c r="E36" s="1266"/>
      <c r="F36" s="1266"/>
      <c r="G36" s="1266"/>
      <c r="H36" s="1266"/>
      <c r="I36" s="1266"/>
      <c r="J36" s="1266"/>
      <c r="K36" s="1338"/>
      <c r="L36" s="1266"/>
      <c r="M36" s="1266"/>
      <c r="N36" s="1266"/>
      <c r="O36" s="1266"/>
      <c r="P36" s="1266"/>
      <c r="Q36" s="1266"/>
      <c r="R36" s="1266"/>
      <c r="S36" s="1266"/>
      <c r="T36" s="1266"/>
      <c r="U36" s="1266"/>
      <c r="V36" s="1266"/>
    </row>
    <row r="37" spans="1:27" hidden="1" outlineLevel="1">
      <c r="A37" s="1312" t="s">
        <v>123</v>
      </c>
      <c r="C37" s="1266"/>
      <c r="D37" s="1266"/>
      <c r="E37" s="1266"/>
      <c r="F37" s="1266"/>
      <c r="G37" s="1266"/>
      <c r="H37" s="1266"/>
      <c r="I37" s="1266"/>
      <c r="J37" s="1266"/>
      <c r="K37" s="1338"/>
      <c r="L37" s="1266"/>
      <c r="M37" s="1266"/>
      <c r="N37" s="1266"/>
      <c r="O37" s="1266"/>
      <c r="P37" s="1266"/>
      <c r="Q37" s="1266"/>
      <c r="R37" s="1266"/>
      <c r="S37" s="1266"/>
      <c r="T37" s="1266"/>
      <c r="U37" s="1266"/>
      <c r="V37" s="1266"/>
    </row>
    <row r="38" spans="1:27" hidden="1" outlineLevel="1">
      <c r="A38" s="1339" t="s">
        <v>124</v>
      </c>
      <c r="C38" s="1266"/>
      <c r="D38" s="1266"/>
      <c r="E38" s="1266"/>
      <c r="F38" s="1266"/>
      <c r="G38" s="1266"/>
      <c r="H38" s="1266"/>
      <c r="I38" s="1266"/>
      <c r="J38" s="1340">
        <f>+'D&amp;A forecast - Case 2'!U51</f>
        <v>4800</v>
      </c>
      <c r="K38" s="1341">
        <f>+'D&amp;A forecast - Case 2'!V51</f>
        <v>5892</v>
      </c>
      <c r="L38" s="1342">
        <f>+'D&amp;A forecast - Case 2'!W51</f>
        <v>4471</v>
      </c>
      <c r="M38" s="1342">
        <f>+'D&amp;A forecast - Case 2'!X51</f>
        <v>2793</v>
      </c>
      <c r="N38" s="1342">
        <f>+'D&amp;A forecast - Case 2'!Y51</f>
        <v>1909</v>
      </c>
      <c r="O38" s="1342">
        <f>+'D&amp;A forecast - Case 2'!Z51</f>
        <v>1728</v>
      </c>
      <c r="P38" s="1342">
        <f>+'D&amp;A forecast - Case 2'!AA51</f>
        <v>1547</v>
      </c>
      <c r="Q38" s="1342">
        <f>+'D&amp;A forecast - Case 2'!AB51</f>
        <v>1366</v>
      </c>
      <c r="R38" s="1342">
        <f>+'D&amp;A forecast - Case 2'!AC51</f>
        <v>1185</v>
      </c>
      <c r="S38" s="1342">
        <f>+'D&amp;A forecast - Case 2'!AD51</f>
        <v>1004</v>
      </c>
      <c r="T38" s="1342">
        <f>+'D&amp;A forecast - Case 2'!AE51</f>
        <v>823</v>
      </c>
      <c r="U38" s="1342">
        <f>+'D&amp;A forecast - Case 2'!AF51</f>
        <v>642</v>
      </c>
      <c r="V38" s="1342">
        <f>+'D&amp;A forecast - Case 2'!AH51</f>
        <v>0</v>
      </c>
    </row>
    <row r="39" spans="1:27" collapsed="1">
      <c r="A39" s="1339"/>
      <c r="C39" s="1266"/>
      <c r="D39" s="1266"/>
      <c r="E39" s="1266"/>
      <c r="F39" s="1266"/>
      <c r="G39" s="1266"/>
      <c r="H39" s="1266"/>
      <c r="I39" s="1266"/>
      <c r="J39" s="1343"/>
      <c r="K39" s="1338"/>
      <c r="L39" s="1266"/>
      <c r="M39" s="1266"/>
      <c r="N39" s="1266"/>
      <c r="O39" s="1266"/>
      <c r="P39" s="1266"/>
      <c r="Q39" s="1266"/>
      <c r="R39" s="1266"/>
      <c r="S39" s="1266"/>
      <c r="T39" s="1266"/>
      <c r="U39" s="1266"/>
      <c r="V39" s="1266"/>
    </row>
    <row r="40" spans="1:27">
      <c r="A40" s="1334" t="s">
        <v>126</v>
      </c>
      <c r="C40" s="1266"/>
      <c r="D40" s="1266"/>
      <c r="E40" s="1266"/>
      <c r="F40" s="1266"/>
      <c r="G40" s="1266"/>
      <c r="H40" s="1266"/>
      <c r="I40" s="1266"/>
      <c r="J40" s="1343"/>
      <c r="K40" s="1338"/>
      <c r="L40" s="1266"/>
      <c r="M40" s="1266"/>
      <c r="N40" s="1266"/>
      <c r="O40" s="1266"/>
      <c r="P40" s="1266"/>
      <c r="Q40" s="1266"/>
      <c r="R40" s="1266"/>
      <c r="S40" s="1266"/>
      <c r="T40" s="1266"/>
      <c r="U40" s="1266"/>
      <c r="V40" s="1266"/>
    </row>
    <row r="41" spans="1:27">
      <c r="A41" s="1295" t="s">
        <v>128</v>
      </c>
      <c r="C41" s="1296"/>
      <c r="D41" s="1297">
        <f t="shared" ref="D41:V41" si="15">D28/D8</f>
        <v>9.2977528089887643E-2</v>
      </c>
      <c r="E41" s="1297">
        <f t="shared" si="15"/>
        <v>9.2829954784930432E-2</v>
      </c>
      <c r="F41" s="1297">
        <f t="shared" si="15"/>
        <v>8.9473132188931229E-2</v>
      </c>
      <c r="G41" s="1296">
        <f t="shared" si="15"/>
        <v>6.9523106943981727E-2</v>
      </c>
      <c r="H41" s="1296">
        <f t="shared" si="15"/>
        <v>7.2930851868663937E-2</v>
      </c>
      <c r="I41" s="1296">
        <f t="shared" si="15"/>
        <v>6.5408300497841118E-2</v>
      </c>
      <c r="J41" s="1296">
        <f t="shared" si="15"/>
        <v>8.333401326686303E-2</v>
      </c>
      <c r="K41" s="1298">
        <f t="shared" si="15"/>
        <v>9.8868938390823724E-2</v>
      </c>
      <c r="L41" s="1297">
        <f t="shared" si="15"/>
        <v>9.7484891969150472E-2</v>
      </c>
      <c r="M41" s="1297">
        <f t="shared" si="15"/>
        <v>9.4412466095420366E-2</v>
      </c>
      <c r="N41" s="1297">
        <f t="shared" si="15"/>
        <v>9.3523492602504324E-2</v>
      </c>
      <c r="O41" s="1297">
        <f t="shared" si="15"/>
        <v>9.282402475658777E-2</v>
      </c>
      <c r="P41" s="1297">
        <f t="shared" si="15"/>
        <v>8.9927549073077082E-2</v>
      </c>
      <c r="Q41" s="1297">
        <f t="shared" si="15"/>
        <v>8.730220654684763E-2</v>
      </c>
      <c r="R41" s="1297">
        <f t="shared" si="15"/>
        <v>8.3720697626451387E-2</v>
      </c>
      <c r="S41" s="1297">
        <f t="shared" si="15"/>
        <v>8.1034301933207972E-2</v>
      </c>
      <c r="T41" s="1297">
        <f t="shared" si="15"/>
        <v>7.7931494639127019E-2</v>
      </c>
      <c r="U41" s="1297">
        <f t="shared" si="15"/>
        <v>7.4205415922161719E-2</v>
      </c>
      <c r="V41" s="1297">
        <f t="shared" si="15"/>
        <v>6.9999861025114254E-2</v>
      </c>
      <c r="AA41" s="1302"/>
    </row>
    <row r="42" spans="1:27">
      <c r="A42" s="1339"/>
      <c r="C42" s="1266"/>
      <c r="D42" s="1266"/>
      <c r="E42" s="1266"/>
      <c r="F42" s="1266"/>
      <c r="G42" s="1266"/>
      <c r="H42" s="1266"/>
      <c r="I42" s="1266"/>
      <c r="J42" s="1343"/>
      <c r="K42" s="1338"/>
      <c r="L42" s="1266"/>
      <c r="M42" s="1266"/>
      <c r="N42" s="1266"/>
      <c r="O42" s="1266"/>
      <c r="P42" s="1266"/>
      <c r="Q42" s="1266"/>
      <c r="R42" s="1266"/>
      <c r="S42" s="1266"/>
      <c r="T42" s="1266"/>
      <c r="U42" s="1266"/>
      <c r="V42" s="1266"/>
    </row>
    <row r="43" spans="1:27">
      <c r="A43" s="1334" t="s">
        <v>126</v>
      </c>
      <c r="C43" s="1266"/>
      <c r="D43" s="1266"/>
      <c r="E43" s="1266"/>
      <c r="F43" s="1266"/>
      <c r="G43" s="1266"/>
      <c r="H43" s="1266"/>
      <c r="I43" s="1266"/>
      <c r="J43" s="1266"/>
      <c r="K43" s="1338"/>
      <c r="L43" s="1266"/>
      <c r="M43" s="1266"/>
      <c r="N43" s="1266"/>
      <c r="O43" s="1266"/>
      <c r="P43" s="1266"/>
      <c r="Q43" s="1266"/>
      <c r="R43" s="1266"/>
      <c r="S43" s="1266"/>
      <c r="T43" s="1266"/>
      <c r="U43" s="1266"/>
      <c r="V43" s="1266"/>
    </row>
    <row r="44" spans="1:27">
      <c r="A44" s="1295" t="s">
        <v>129</v>
      </c>
      <c r="B44" s="1344"/>
      <c r="C44" s="1344">
        <f t="shared" ref="C44:V44" si="16">+C8-C32</f>
        <v>58462</v>
      </c>
      <c r="D44" s="1344">
        <f t="shared" si="16"/>
        <v>65041</v>
      </c>
      <c r="E44" s="1344">
        <f t="shared" si="16"/>
        <v>71202</v>
      </c>
      <c r="F44" s="1344">
        <f t="shared" si="16"/>
        <v>77260</v>
      </c>
      <c r="G44" s="1344">
        <f t="shared" si="16"/>
        <v>86486</v>
      </c>
      <c r="H44" s="1344">
        <f t="shared" si="16"/>
        <v>100427</v>
      </c>
      <c r="I44" s="1336">
        <f t="shared" si="16"/>
        <v>108360</v>
      </c>
      <c r="J44" s="1336">
        <f t="shared" si="16"/>
        <v>112252</v>
      </c>
      <c r="K44" s="1337">
        <f t="shared" si="16"/>
        <v>120118.38147453839</v>
      </c>
      <c r="L44" s="1344">
        <f t="shared" si="16"/>
        <v>131159.12770252847</v>
      </c>
      <c r="M44" s="1344">
        <f t="shared" si="16"/>
        <v>144551.03745446773</v>
      </c>
      <c r="N44" s="1344">
        <f t="shared" si="16"/>
        <v>159189.29364687391</v>
      </c>
      <c r="O44" s="1344">
        <f t="shared" si="16"/>
        <v>175987.11207190139</v>
      </c>
      <c r="P44" s="1344">
        <f t="shared" si="16"/>
        <v>196598.87334719772</v>
      </c>
      <c r="Q44" s="1344">
        <f t="shared" si="16"/>
        <v>220371.7821028583</v>
      </c>
      <c r="R44" s="1344">
        <f t="shared" si="16"/>
        <v>248682.01954206947</v>
      </c>
      <c r="S44" s="1344">
        <f t="shared" si="16"/>
        <v>280870.64717693976</v>
      </c>
      <c r="T44" s="1344">
        <f t="shared" si="16"/>
        <v>318646.15095468611</v>
      </c>
      <c r="U44" s="1344">
        <f t="shared" si="16"/>
        <v>363257.47691665741</v>
      </c>
      <c r="V44" s="1344">
        <f t="shared" si="16"/>
        <v>415823.65500684176</v>
      </c>
    </row>
    <row r="45" spans="1:27">
      <c r="A45" s="1331" t="s">
        <v>130</v>
      </c>
      <c r="C45" s="1266"/>
      <c r="D45" s="1296">
        <f t="shared" ref="D45:V45" si="17">+D44/C44-1</f>
        <v>0.11253463788443785</v>
      </c>
      <c r="E45" s="1296">
        <f t="shared" si="17"/>
        <v>9.4724865853845985E-2</v>
      </c>
      <c r="F45" s="1296">
        <f t="shared" si="17"/>
        <v>8.5081879722479714E-2</v>
      </c>
      <c r="G45" s="1296">
        <f t="shared" si="17"/>
        <v>0.11941496246440586</v>
      </c>
      <c r="H45" s="1296">
        <f t="shared" si="17"/>
        <v>0.16119371921467063</v>
      </c>
      <c r="I45" s="1296">
        <f t="shared" si="17"/>
        <v>7.8992701166021195E-2</v>
      </c>
      <c r="J45" s="1296">
        <f t="shared" si="17"/>
        <v>3.5917312661498668E-2</v>
      </c>
      <c r="K45" s="1311">
        <f t="shared" si="17"/>
        <v>7.0077873664062817E-2</v>
      </c>
      <c r="L45" s="1296">
        <f t="shared" si="17"/>
        <v>9.1915542754215318E-2</v>
      </c>
      <c r="M45" s="1296">
        <f t="shared" si="17"/>
        <v>0.10210429107391139</v>
      </c>
      <c r="N45" s="1296">
        <f t="shared" si="17"/>
        <v>0.10126704346218962</v>
      </c>
      <c r="O45" s="1296">
        <f t="shared" si="17"/>
        <v>0.10552103122141943</v>
      </c>
      <c r="P45" s="1296">
        <f t="shared" si="17"/>
        <v>0.11712085636631842</v>
      </c>
      <c r="Q45" s="1296">
        <f t="shared" si="17"/>
        <v>0.12092087991611788</v>
      </c>
      <c r="R45" s="1296">
        <f t="shared" si="17"/>
        <v>0.12846580069855484</v>
      </c>
      <c r="S45" s="1296">
        <f t="shared" si="17"/>
        <v>0.12943689171474237</v>
      </c>
      <c r="T45" s="1296">
        <f t="shared" si="17"/>
        <v>0.13449430959565145</v>
      </c>
      <c r="U45" s="1296">
        <f t="shared" si="17"/>
        <v>0.14000271407111819</v>
      </c>
      <c r="V45" s="1296">
        <f t="shared" si="17"/>
        <v>0.14470776633799254</v>
      </c>
    </row>
    <row r="46" spans="1:27">
      <c r="A46" s="1331" t="s">
        <v>118</v>
      </c>
      <c r="C46" s="1266"/>
      <c r="D46" s="1296">
        <f t="shared" ref="D46:V46" si="18">+D44/D8</f>
        <v>0.58935302645886189</v>
      </c>
      <c r="E46" s="1296">
        <f t="shared" si="18"/>
        <v>0.56580024316012811</v>
      </c>
      <c r="F46" s="1296">
        <f t="shared" si="18"/>
        <v>0.54022305352585398</v>
      </c>
      <c r="G46" s="1296">
        <f t="shared" si="18"/>
        <v>0.51452810432630525</v>
      </c>
      <c r="H46" s="1296">
        <f t="shared" si="18"/>
        <v>0.50651636657083776</v>
      </c>
      <c r="I46" s="1296">
        <f t="shared" si="18"/>
        <v>0.51133709270226269</v>
      </c>
      <c r="J46" s="1296">
        <f t="shared" si="18"/>
        <v>0.45794339145405144</v>
      </c>
      <c r="K46" s="1311">
        <f t="shared" si="18"/>
        <v>0.42714552348656115</v>
      </c>
      <c r="L46" s="1296">
        <f t="shared" si="18"/>
        <v>0.40557116183727121</v>
      </c>
      <c r="M46" s="1296">
        <f t="shared" si="18"/>
        <v>0.38867975460581594</v>
      </c>
      <c r="N46" s="1296">
        <f t="shared" si="18"/>
        <v>0.37220887322465762</v>
      </c>
      <c r="O46" s="1296">
        <f t="shared" si="18"/>
        <v>0.35781281509311835</v>
      </c>
      <c r="P46" s="1296">
        <f t="shared" si="18"/>
        <v>0.34758274644840648</v>
      </c>
      <c r="Q46" s="1296">
        <f t="shared" si="18"/>
        <v>0.33879370260226854</v>
      </c>
      <c r="R46" s="1296">
        <f t="shared" si="18"/>
        <v>0.33244965815538874</v>
      </c>
      <c r="S46" s="1296">
        <f t="shared" si="18"/>
        <v>0.32650513787708779</v>
      </c>
      <c r="T46" s="1296">
        <f t="shared" si="18"/>
        <v>0.32210280084808673</v>
      </c>
      <c r="U46" s="1296">
        <f t="shared" si="18"/>
        <v>0.31930266711019806</v>
      </c>
      <c r="V46" s="1296">
        <f t="shared" si="18"/>
        <v>0.31783325465519857</v>
      </c>
    </row>
    <row r="47" spans="1:27">
      <c r="A47" s="1339"/>
      <c r="C47" s="1266"/>
      <c r="D47" s="1266"/>
      <c r="E47" s="1266"/>
      <c r="F47" s="1266"/>
      <c r="G47" s="1266"/>
      <c r="H47" s="1266"/>
      <c r="I47" s="1266"/>
      <c r="J47" s="1343"/>
      <c r="K47" s="1338"/>
      <c r="L47" s="1266"/>
      <c r="M47" s="1266"/>
      <c r="N47" s="1266"/>
      <c r="O47" s="1266"/>
      <c r="P47" s="1266"/>
      <c r="Q47" s="1266"/>
      <c r="R47" s="1266"/>
      <c r="S47" s="1266"/>
      <c r="T47" s="1266"/>
      <c r="U47" s="1266"/>
      <c r="V47" s="1266"/>
    </row>
    <row r="48" spans="1:27">
      <c r="A48" s="1324" t="s">
        <v>131</v>
      </c>
      <c r="B48" s="1290"/>
      <c r="C48" s="1291">
        <f>+'Historical Financials'!BH111*-1</f>
        <v>10200</v>
      </c>
      <c r="D48" s="1291">
        <f>+'Historical Financials'!BI111*-1</f>
        <v>13600</v>
      </c>
      <c r="E48" s="1292">
        <f>+'Historical Financials'!BJ111*-1</f>
        <v>16900</v>
      </c>
      <c r="F48" s="1292">
        <f>+'Historical Financials'!BK111*-1</f>
        <v>19000</v>
      </c>
      <c r="G48" s="1292">
        <f>+'Historical Financials'!BL111*-1</f>
        <v>24200</v>
      </c>
      <c r="H48" s="1292">
        <f>+'Historical Financials'!BM111*-1</f>
        <v>29200</v>
      </c>
      <c r="I48" s="1292">
        <f>+'Historical Financials'!BN111*-1</f>
        <v>31900</v>
      </c>
      <c r="J48" s="1292">
        <f>+'Historical Financials'!BO111*-1</f>
        <v>55700</v>
      </c>
      <c r="K48" s="1293">
        <f>+'Historical Financials'!BP111*-1</f>
        <v>80000</v>
      </c>
      <c r="L48" s="1294">
        <f t="shared" ref="L48:V48" si="19">+L49*L8</f>
        <v>71146.597218206225</v>
      </c>
      <c r="M48" s="1294">
        <f t="shared" si="19"/>
        <v>74380.53345539741</v>
      </c>
      <c r="N48" s="1294">
        <f t="shared" si="19"/>
        <v>76983.852126336307</v>
      </c>
      <c r="O48" s="1294">
        <f t="shared" si="19"/>
        <v>78694.604395810456</v>
      </c>
      <c r="P48" s="1294">
        <f t="shared" si="19"/>
        <v>79186.445673284266</v>
      </c>
      <c r="Q48" s="1294">
        <f t="shared" si="19"/>
        <v>84559.81162968569</v>
      </c>
      <c r="R48" s="1294">
        <f t="shared" si="19"/>
        <v>89763.492345358638</v>
      </c>
      <c r="S48" s="1294">
        <f t="shared" si="19"/>
        <v>103228.01619716243</v>
      </c>
      <c r="T48" s="1294">
        <f t="shared" si="19"/>
        <v>118712.21862673679</v>
      </c>
      <c r="U48" s="1294">
        <f t="shared" si="19"/>
        <v>136519.0514207473</v>
      </c>
      <c r="V48" s="1294">
        <f t="shared" si="19"/>
        <v>156996.90913385942</v>
      </c>
    </row>
    <row r="49" spans="1:31" s="1277" customFormat="1">
      <c r="A49" s="1295" t="s">
        <v>118</v>
      </c>
      <c r="C49" s="1297">
        <f t="shared" ref="C49:K49" si="20">+C48/C8</f>
        <v>0.10562177051081588</v>
      </c>
      <c r="D49" s="1297">
        <f t="shared" si="20"/>
        <v>0.12323305545487495</v>
      </c>
      <c r="E49" s="1297">
        <f t="shared" si="20"/>
        <v>0.13429431911190928</v>
      </c>
      <c r="F49" s="1296">
        <f t="shared" si="20"/>
        <v>0.13285319721707514</v>
      </c>
      <c r="G49" s="1296">
        <f t="shared" si="20"/>
        <v>0.14397220503545763</v>
      </c>
      <c r="H49" s="1296">
        <f t="shared" si="20"/>
        <v>0.14727391940283452</v>
      </c>
      <c r="I49" s="1296">
        <f t="shared" si="20"/>
        <v>0.15053205294575656</v>
      </c>
      <c r="J49" s="1297">
        <f t="shared" si="20"/>
        <v>0.22723378562511728</v>
      </c>
      <c r="K49" s="1298">
        <f t="shared" si="20"/>
        <v>0.28448303631337463</v>
      </c>
      <c r="L49" s="1299">
        <f>+Base!L50</f>
        <v>0.22</v>
      </c>
      <c r="M49" s="1299">
        <f>+Base!M50</f>
        <v>0.2</v>
      </c>
      <c r="N49" s="1299">
        <f>+Base!N50</f>
        <v>0.18</v>
      </c>
      <c r="O49" s="1299">
        <f>+Base!O50</f>
        <v>0.16</v>
      </c>
      <c r="P49" s="1299">
        <f>+Base!P50</f>
        <v>0.14000000000000001</v>
      </c>
      <c r="Q49" s="1299">
        <f>+Base!Q50</f>
        <v>0.13</v>
      </c>
      <c r="R49" s="1299">
        <f>+Base!R50</f>
        <v>0.12</v>
      </c>
      <c r="S49" s="1299">
        <f>+Base!S50</f>
        <v>0.12</v>
      </c>
      <c r="T49" s="1299">
        <f>+Base!T50</f>
        <v>0.12</v>
      </c>
      <c r="U49" s="1299">
        <f>+Base!U50</f>
        <v>0.12</v>
      </c>
      <c r="V49" s="1299">
        <f>+Base!V50</f>
        <v>0.12</v>
      </c>
    </row>
    <row r="50" spans="1:31" s="1277" customFormat="1">
      <c r="A50" s="1332"/>
      <c r="C50" s="1275"/>
      <c r="D50" s="1275"/>
      <c r="E50" s="1275"/>
      <c r="F50" s="1275"/>
      <c r="G50" s="1275"/>
      <c r="H50" s="1275"/>
      <c r="I50" s="1275"/>
      <c r="J50" s="1275"/>
      <c r="K50" s="1288"/>
      <c r="L50" s="1275"/>
      <c r="M50" s="1275"/>
      <c r="N50" s="1275"/>
      <c r="O50" s="1275"/>
      <c r="P50" s="1275"/>
      <c r="Q50" s="1275"/>
      <c r="R50" s="1275"/>
      <c r="S50" s="1275"/>
      <c r="T50" s="1275"/>
      <c r="U50" s="1275"/>
      <c r="V50" s="1275"/>
    </row>
    <row r="51" spans="1:31">
      <c r="A51" s="1324" t="s">
        <v>136</v>
      </c>
      <c r="B51" s="1290"/>
      <c r="C51" s="1294">
        <f t="shared" ref="C51:V51" si="21">+C32-C48</f>
        <v>27909</v>
      </c>
      <c r="D51" s="1294">
        <f t="shared" si="21"/>
        <v>31719</v>
      </c>
      <c r="E51" s="1336">
        <f t="shared" si="21"/>
        <v>37741</v>
      </c>
      <c r="F51" s="1336">
        <f t="shared" si="21"/>
        <v>46755</v>
      </c>
      <c r="G51" s="1336">
        <f t="shared" si="21"/>
        <v>57402</v>
      </c>
      <c r="H51" s="1336">
        <f t="shared" si="21"/>
        <v>68643</v>
      </c>
      <c r="I51" s="1336">
        <f t="shared" si="21"/>
        <v>71655</v>
      </c>
      <c r="J51" s="1336">
        <f t="shared" si="21"/>
        <v>77170</v>
      </c>
      <c r="K51" s="1337">
        <f t="shared" si="21"/>
        <v>81093.465237739176</v>
      </c>
      <c r="L51" s="1294">
        <f t="shared" si="21"/>
        <v>121087.89879838449</v>
      </c>
      <c r="M51" s="1294">
        <f t="shared" si="21"/>
        <v>152971.09636712191</v>
      </c>
      <c r="N51" s="1294">
        <f t="shared" si="21"/>
        <v>191514.92159532488</v>
      </c>
      <c r="O51" s="1294">
        <f t="shared" si="21"/>
        <v>237159.56100610347</v>
      </c>
      <c r="P51" s="1294">
        <f t="shared" si="21"/>
        <v>289832.1500744056</v>
      </c>
      <c r="Q51" s="1294">
        <f t="shared" si="21"/>
        <v>345528.49572657666</v>
      </c>
      <c r="R51" s="1294">
        <f t="shared" si="21"/>
        <v>409583.59099056059</v>
      </c>
      <c r="S51" s="1294">
        <f t="shared" si="21"/>
        <v>476134.80493558478</v>
      </c>
      <c r="T51" s="1294">
        <f t="shared" si="21"/>
        <v>551910.1189747171</v>
      </c>
      <c r="U51" s="1294">
        <f t="shared" si="21"/>
        <v>637882.23350215622</v>
      </c>
      <c r="V51" s="1294">
        <f t="shared" si="21"/>
        <v>735487.01197479386</v>
      </c>
    </row>
    <row r="52" spans="1:31" s="1277" customFormat="1">
      <c r="A52" s="1295" t="s">
        <v>87</v>
      </c>
      <c r="C52" s="1296"/>
      <c r="D52" s="1296">
        <f t="shared" ref="D52:V52" si="22">+D51/C51-1</f>
        <v>0.13651510265505751</v>
      </c>
      <c r="E52" s="1296">
        <f t="shared" si="22"/>
        <v>0.18985466124404926</v>
      </c>
      <c r="F52" s="1296">
        <f t="shared" si="22"/>
        <v>0.23883839855859668</v>
      </c>
      <c r="G52" s="1296">
        <f t="shared" si="22"/>
        <v>0.22771896053897978</v>
      </c>
      <c r="H52" s="1296">
        <f t="shared" si="22"/>
        <v>0.19582941360928197</v>
      </c>
      <c r="I52" s="1296">
        <f t="shared" si="22"/>
        <v>4.3879201083868669E-2</v>
      </c>
      <c r="J52" s="1296">
        <f t="shared" si="22"/>
        <v>7.6966017723815394E-2</v>
      </c>
      <c r="K52" s="1311">
        <f t="shared" si="22"/>
        <v>5.0841845765701388E-2</v>
      </c>
      <c r="L52" s="1296">
        <f t="shared" si="22"/>
        <v>0.49318935185954715</v>
      </c>
      <c r="M52" s="1296">
        <f t="shared" si="22"/>
        <v>0.26330622535472381</v>
      </c>
      <c r="N52" s="1296">
        <f t="shared" si="22"/>
        <v>0.25196802627144677</v>
      </c>
      <c r="O52" s="1296">
        <f t="shared" si="22"/>
        <v>0.23833463748180783</v>
      </c>
      <c r="P52" s="1296">
        <f t="shared" si="22"/>
        <v>0.22209768328482671</v>
      </c>
      <c r="Q52" s="1296">
        <f t="shared" si="22"/>
        <v>0.1921675895440611</v>
      </c>
      <c r="R52" s="1296">
        <f t="shared" si="22"/>
        <v>0.18538295988957154</v>
      </c>
      <c r="S52" s="1296">
        <f t="shared" si="22"/>
        <v>0.16248505899387444</v>
      </c>
      <c r="T52" s="1296">
        <f t="shared" si="22"/>
        <v>0.15914676527246052</v>
      </c>
      <c r="U52" s="1296">
        <f t="shared" si="22"/>
        <v>0.15577194831497088</v>
      </c>
      <c r="V52" s="1296">
        <f t="shared" si="22"/>
        <v>0.1530137905499569</v>
      </c>
      <c r="AC52" s="1413"/>
    </row>
    <row r="53" spans="1:31" s="1277" customFormat="1">
      <c r="A53" s="1295" t="s">
        <v>99</v>
      </c>
      <c r="C53" s="1296">
        <f t="shared" ref="C53:V53" si="23">+C51/C8</f>
        <v>0.28899980325356472</v>
      </c>
      <c r="D53" s="1296">
        <f t="shared" si="23"/>
        <v>0.28741391808626315</v>
      </c>
      <c r="E53" s="1296">
        <f t="shared" si="23"/>
        <v>0.29990543772796263</v>
      </c>
      <c r="F53" s="1296">
        <f t="shared" si="23"/>
        <v>0.32692374925707096</v>
      </c>
      <c r="G53" s="1296">
        <f t="shared" si="23"/>
        <v>0.3414996906382371</v>
      </c>
      <c r="H53" s="1296">
        <f t="shared" si="23"/>
        <v>0.34620971402632772</v>
      </c>
      <c r="I53" s="1296">
        <f t="shared" si="23"/>
        <v>0.33813085435198076</v>
      </c>
      <c r="J53" s="1296">
        <f t="shared" si="23"/>
        <v>0.31482282292083125</v>
      </c>
      <c r="K53" s="1311">
        <f t="shared" si="23"/>
        <v>0.28837144020006422</v>
      </c>
      <c r="L53" s="1296">
        <f t="shared" si="23"/>
        <v>0.37442883816272882</v>
      </c>
      <c r="M53" s="1296">
        <f t="shared" si="23"/>
        <v>0.4113202453941841</v>
      </c>
      <c r="N53" s="1296">
        <f t="shared" si="23"/>
        <v>0.44779112677534239</v>
      </c>
      <c r="O53" s="1296">
        <f t="shared" si="23"/>
        <v>0.48218718490688167</v>
      </c>
      <c r="P53" s="1296">
        <f t="shared" si="23"/>
        <v>0.5124172535515934</v>
      </c>
      <c r="Q53" s="1296">
        <f t="shared" si="23"/>
        <v>0.53120629739773151</v>
      </c>
      <c r="R53" s="1296">
        <f t="shared" si="23"/>
        <v>0.54755034184461127</v>
      </c>
      <c r="S53" s="1296">
        <f t="shared" si="23"/>
        <v>0.55349486212291221</v>
      </c>
      <c r="T53" s="1296">
        <f t="shared" si="23"/>
        <v>0.55789719915191327</v>
      </c>
      <c r="U53" s="1296">
        <f t="shared" si="23"/>
        <v>0.56069733288980195</v>
      </c>
      <c r="V53" s="1348">
        <f t="shared" si="23"/>
        <v>0.56216674534480138</v>
      </c>
    </row>
    <row r="54" spans="1:31">
      <c r="A54" s="1295"/>
      <c r="C54" s="1297"/>
      <c r="D54" s="1297"/>
      <c r="E54" s="1297"/>
      <c r="F54" s="1297"/>
      <c r="G54" s="1297"/>
      <c r="H54" s="1297"/>
      <c r="I54" s="1297"/>
      <c r="J54" s="1297"/>
      <c r="K54" s="1298"/>
      <c r="L54" s="1297"/>
      <c r="M54" s="1297"/>
      <c r="N54" s="1297"/>
      <c r="O54" s="1297"/>
      <c r="P54" s="1297"/>
      <c r="Q54" s="1297"/>
      <c r="R54" s="1297"/>
      <c r="S54" s="1297"/>
      <c r="T54" s="1297"/>
      <c r="U54" s="1297"/>
      <c r="V54" s="1297"/>
    </row>
    <row r="55" spans="1:31">
      <c r="A55" s="1267" t="s">
        <v>137</v>
      </c>
      <c r="B55" s="1290"/>
      <c r="C55" s="1291">
        <f>+'Historical Financials'!BH68*-1</f>
        <v>-876</v>
      </c>
      <c r="D55" s="1291">
        <f>+'Historical Financials'!BI68*-1</f>
        <v>-1416</v>
      </c>
      <c r="E55" s="1292">
        <f>+'Historical Financials'!BJ68*-1</f>
        <v>-729</v>
      </c>
      <c r="F55" s="1292">
        <f>+'Historical Financials'!BK68*-1</f>
        <v>-77</v>
      </c>
      <c r="G55" s="1292">
        <f>+'Historical Financials'!BL68*-1</f>
        <v>-1186</v>
      </c>
      <c r="H55" s="1292">
        <f>+'Historical Financials'!BM68*-1</f>
        <v>-333</v>
      </c>
      <c r="I55" s="1292">
        <f>+'Historical Financials'!BN68*-1</f>
        <v>-788</v>
      </c>
      <c r="J55" s="1292">
        <f>+'Historical Financials'!BO68*-1</f>
        <v>1646</v>
      </c>
      <c r="K55" s="1293">
        <f>+'Historical Financials'!BP68*-1</f>
        <v>650</v>
      </c>
      <c r="L55" s="1294">
        <v>0</v>
      </c>
      <c r="M55" s="1294">
        <v>0</v>
      </c>
      <c r="N55" s="1294">
        <v>0</v>
      </c>
      <c r="O55" s="1294">
        <v>0</v>
      </c>
      <c r="P55" s="1294">
        <v>0</v>
      </c>
      <c r="Q55" s="1294">
        <v>0</v>
      </c>
      <c r="R55" s="1294">
        <v>0</v>
      </c>
      <c r="S55" s="1294">
        <v>0</v>
      </c>
      <c r="T55" s="1294">
        <v>0</v>
      </c>
      <c r="U55" s="1294">
        <v>0</v>
      </c>
      <c r="V55" s="1294">
        <v>0</v>
      </c>
    </row>
    <row r="56" spans="1:31">
      <c r="A56" s="1295" t="s">
        <v>138</v>
      </c>
      <c r="C56" s="1349">
        <v>0.05</v>
      </c>
      <c r="D56" s="1299">
        <f>C56+0.25%</f>
        <v>5.2500000000000005E-2</v>
      </c>
      <c r="E56" s="1299">
        <f>D56+0.25%</f>
        <v>5.5000000000000007E-2</v>
      </c>
      <c r="F56" s="1299">
        <f>E56+0.25%</f>
        <v>5.7500000000000009E-2</v>
      </c>
      <c r="G56" s="1299">
        <f>F56+0.25%</f>
        <v>6.0000000000000012E-2</v>
      </c>
      <c r="H56" s="1299">
        <f t="shared" ref="H56:V56" si="24">G56</f>
        <v>6.0000000000000012E-2</v>
      </c>
      <c r="I56" s="1299">
        <f t="shared" si="24"/>
        <v>6.0000000000000012E-2</v>
      </c>
      <c r="J56" s="1299">
        <f t="shared" si="24"/>
        <v>6.0000000000000012E-2</v>
      </c>
      <c r="K56" s="1288">
        <f t="shared" si="24"/>
        <v>6.0000000000000012E-2</v>
      </c>
      <c r="L56" s="1299">
        <f t="shared" si="24"/>
        <v>6.0000000000000012E-2</v>
      </c>
      <c r="M56" s="1299">
        <f t="shared" si="24"/>
        <v>6.0000000000000012E-2</v>
      </c>
      <c r="N56" s="1299">
        <f t="shared" si="24"/>
        <v>6.0000000000000012E-2</v>
      </c>
      <c r="O56" s="1299">
        <f t="shared" si="24"/>
        <v>6.0000000000000012E-2</v>
      </c>
      <c r="P56" s="1299">
        <f t="shared" si="24"/>
        <v>6.0000000000000012E-2</v>
      </c>
      <c r="Q56" s="1299">
        <f t="shared" si="24"/>
        <v>6.0000000000000012E-2</v>
      </c>
      <c r="R56" s="1299">
        <f t="shared" si="24"/>
        <v>6.0000000000000012E-2</v>
      </c>
      <c r="S56" s="1299">
        <f t="shared" si="24"/>
        <v>6.0000000000000012E-2</v>
      </c>
      <c r="T56" s="1299">
        <f t="shared" si="24"/>
        <v>6.0000000000000012E-2</v>
      </c>
      <c r="U56" s="1299">
        <f t="shared" si="24"/>
        <v>6.0000000000000012E-2</v>
      </c>
      <c r="V56" s="1299">
        <f t="shared" si="24"/>
        <v>6.0000000000000012E-2</v>
      </c>
    </row>
    <row r="57" spans="1:31">
      <c r="C57" s="1266"/>
      <c r="D57" s="1266"/>
      <c r="E57" s="1266"/>
      <c r="F57" s="1266"/>
      <c r="G57" s="1266"/>
      <c r="H57" s="1266"/>
      <c r="I57" s="1266"/>
      <c r="J57" s="1266"/>
      <c r="K57" s="1338"/>
      <c r="L57" s="1266"/>
      <c r="M57" s="1266"/>
      <c r="N57" s="1266"/>
      <c r="O57" s="1266"/>
      <c r="P57" s="1266"/>
      <c r="Q57" s="1266"/>
      <c r="R57" s="1266"/>
      <c r="S57" s="1266"/>
      <c r="T57" s="1266"/>
      <c r="U57" s="1266"/>
      <c r="V57" s="1266"/>
    </row>
    <row r="58" spans="1:31">
      <c r="A58" s="1266" t="s">
        <v>139</v>
      </c>
      <c r="B58" s="1294"/>
      <c r="C58" s="1294">
        <f>+MAX((C32-C28-C55)*C59,0)</f>
        <v>10572.449999999999</v>
      </c>
      <c r="D58" s="1294">
        <f>+MAX((D32-D28-D55)*D59,0)</f>
        <v>10212.719999999999</v>
      </c>
      <c r="E58" s="1336">
        <f>+MAX((E32-E28-E55)*E59,0)</f>
        <v>9174.48</v>
      </c>
      <c r="F58" s="1292">
        <f>+'Historical Financials'!BK113*-1</f>
        <v>11137.559999999998</v>
      </c>
      <c r="G58" s="1292">
        <f>+'Historical Financials'!BL113*-1</f>
        <v>14931.419999999998</v>
      </c>
      <c r="H58" s="1292">
        <f>+'Historical Financials'!BM113*-1</f>
        <v>17580.359999999997</v>
      </c>
      <c r="I58" s="1292">
        <f>+'Historical Financials'!BN113*-1</f>
        <v>19001.22</v>
      </c>
      <c r="J58" s="1336">
        <f t="shared" ref="J58:V58" si="25">+MAX((J32-J28-J55-J38)*J59,0)</f>
        <v>22259.37</v>
      </c>
      <c r="K58" s="1337">
        <f t="shared" si="25"/>
        <v>26617.153182978378</v>
      </c>
      <c r="L58" s="1294">
        <f t="shared" si="25"/>
        <v>32809.875744412253</v>
      </c>
      <c r="M58" s="1294">
        <f t="shared" si="25"/>
        <v>39783.740190061217</v>
      </c>
      <c r="N58" s="1294">
        <f t="shared" si="25"/>
        <v>47584.087302557527</v>
      </c>
      <c r="O58" s="1294">
        <f t="shared" si="25"/>
        <v>56379.010481928271</v>
      </c>
      <c r="P58" s="1294">
        <f t="shared" si="25"/>
        <v>66487.470638204642</v>
      </c>
      <c r="Q58" s="1294">
        <f t="shared" si="25"/>
        <v>78106.498317922451</v>
      </c>
      <c r="R58" s="1294">
        <f t="shared" si="25"/>
        <v>91462.678649597932</v>
      </c>
      <c r="S58" s="1294">
        <f t="shared" si="25"/>
        <v>106816.58453102477</v>
      </c>
      <c r="T58" s="1294">
        <f t="shared" si="25"/>
        <v>124467.87479466558</v>
      </c>
      <c r="U58" s="1294">
        <f t="shared" si="25"/>
        <v>144761.15709785253</v>
      </c>
      <c r="V58" s="1294">
        <f t="shared" si="25"/>
        <v>168189.54024651754</v>
      </c>
      <c r="W58" s="1266"/>
      <c r="X58" s="1266"/>
      <c r="Y58" s="1266"/>
      <c r="Z58" s="1266"/>
      <c r="AA58" s="1266"/>
      <c r="AB58" s="1266"/>
      <c r="AC58" s="1266"/>
      <c r="AD58" s="1266"/>
      <c r="AE58" s="1266"/>
    </row>
    <row r="59" spans="1:31">
      <c r="A59" s="1295" t="s">
        <v>138</v>
      </c>
      <c r="C59" s="1349">
        <v>0.35</v>
      </c>
      <c r="D59" s="1299">
        <f>+(0.35+0.21)/2</f>
        <v>0.27999999999999997</v>
      </c>
      <c r="E59" s="1299">
        <v>0.21</v>
      </c>
      <c r="F59" s="1297">
        <f>+F58/(F32-F28-F55)</f>
        <v>0.20999999999999996</v>
      </c>
      <c r="G59" s="1297">
        <f>+G58/(G32-G28-G55)</f>
        <v>0.20999999999999996</v>
      </c>
      <c r="H59" s="1297">
        <f>+H58/(H32-H28-H55)</f>
        <v>0.20999999999999996</v>
      </c>
      <c r="I59" s="1297">
        <f>+I58/(I32-I28-I55)</f>
        <v>0.21000000000000002</v>
      </c>
      <c r="J59" s="1299">
        <v>0.21</v>
      </c>
      <c r="K59" s="1288">
        <v>0.21</v>
      </c>
      <c r="L59" s="1299">
        <f t="shared" ref="L59:V59" si="26">K59</f>
        <v>0.21</v>
      </c>
      <c r="M59" s="1299">
        <f t="shared" si="26"/>
        <v>0.21</v>
      </c>
      <c r="N59" s="1299">
        <f t="shared" si="26"/>
        <v>0.21</v>
      </c>
      <c r="O59" s="1299">
        <f t="shared" si="26"/>
        <v>0.21</v>
      </c>
      <c r="P59" s="1299">
        <f t="shared" si="26"/>
        <v>0.21</v>
      </c>
      <c r="Q59" s="1299">
        <f t="shared" si="26"/>
        <v>0.21</v>
      </c>
      <c r="R59" s="1299">
        <f t="shared" si="26"/>
        <v>0.21</v>
      </c>
      <c r="S59" s="1299">
        <f t="shared" si="26"/>
        <v>0.21</v>
      </c>
      <c r="T59" s="1299">
        <f t="shared" si="26"/>
        <v>0.21</v>
      </c>
      <c r="U59" s="1299">
        <f t="shared" si="26"/>
        <v>0.21</v>
      </c>
      <c r="V59" s="1299">
        <f t="shared" si="26"/>
        <v>0.21</v>
      </c>
      <c r="Z59" s="1350"/>
      <c r="AA59" s="1290"/>
    </row>
    <row r="60" spans="1:31">
      <c r="C60" s="1266"/>
      <c r="D60" s="1266"/>
      <c r="E60" s="1351"/>
      <c r="F60" s="1266"/>
      <c r="G60" s="1266"/>
      <c r="H60" s="1266"/>
      <c r="I60" s="1266"/>
      <c r="J60" s="1266"/>
      <c r="K60" s="1338"/>
      <c r="L60" s="1266"/>
      <c r="M60" s="1266"/>
      <c r="N60" s="1266"/>
      <c r="O60" s="1266"/>
      <c r="P60" s="1266"/>
      <c r="Q60" s="1266"/>
      <c r="R60" s="1266"/>
      <c r="S60" s="1266"/>
      <c r="T60" s="1266"/>
      <c r="U60" s="1266"/>
      <c r="V60" s="1266"/>
    </row>
    <row r="61" spans="1:31" s="1266" customFormat="1">
      <c r="A61" s="1266" t="s">
        <v>140</v>
      </c>
      <c r="B61" s="1294"/>
      <c r="C61" s="1294">
        <f t="shared" ref="C61:V61" si="27">+C13-C55-C58</f>
        <v>19634.550000000003</v>
      </c>
      <c r="D61" s="1294">
        <f t="shared" si="27"/>
        <v>26261.279999999999</v>
      </c>
      <c r="E61" s="1336">
        <f t="shared" si="27"/>
        <v>34513.520000000004</v>
      </c>
      <c r="F61" s="1336">
        <f t="shared" si="27"/>
        <v>41898.44</v>
      </c>
      <c r="G61" s="1336">
        <f t="shared" si="27"/>
        <v>56170.58</v>
      </c>
      <c r="H61" s="1336">
        <f t="shared" si="27"/>
        <v>66135.64</v>
      </c>
      <c r="I61" s="1336">
        <f t="shared" si="27"/>
        <v>71480.78</v>
      </c>
      <c r="J61" s="1336">
        <f t="shared" si="27"/>
        <v>88537.63</v>
      </c>
      <c r="K61" s="1337">
        <f t="shared" si="27"/>
        <v>106023.19530739485</v>
      </c>
      <c r="L61" s="1294">
        <f t="shared" si="27"/>
        <v>127898.62780040802</v>
      </c>
      <c r="M61" s="1294">
        <f t="shared" si="27"/>
        <v>152455.64166737316</v>
      </c>
      <c r="N61" s="1294">
        <f t="shared" si="27"/>
        <v>180915.80461438309</v>
      </c>
      <c r="O61" s="1294">
        <f t="shared" si="27"/>
        <v>213820.46800344446</v>
      </c>
      <c r="P61" s="1294">
        <f t="shared" si="27"/>
        <v>251666.53240086505</v>
      </c>
      <c r="Q61" s="1294">
        <f t="shared" si="27"/>
        <v>295195.20795789873</v>
      </c>
      <c r="R61" s="1294">
        <f t="shared" si="27"/>
        <v>345258.88634848752</v>
      </c>
      <c r="S61" s="1294">
        <f t="shared" si="27"/>
        <v>402837.81799766456</v>
      </c>
      <c r="T61" s="1294">
        <f t="shared" si="27"/>
        <v>469059.29089421814</v>
      </c>
      <c r="U61" s="1294">
        <f t="shared" si="27"/>
        <v>545219.68622525479</v>
      </c>
      <c r="V61" s="1294">
        <f t="shared" si="27"/>
        <v>632713.03235594707</v>
      </c>
    </row>
    <row r="62" spans="1:31">
      <c r="A62" s="1295" t="s">
        <v>87</v>
      </c>
      <c r="C62" s="1296"/>
      <c r="D62" s="1297">
        <f t="shared" ref="D62:V62" si="28">D61/C61-1</f>
        <v>0.33750353331245142</v>
      </c>
      <c r="E62" s="1297">
        <f t="shared" si="28"/>
        <v>0.31423601591392369</v>
      </c>
      <c r="F62" s="1296">
        <f t="shared" si="28"/>
        <v>0.21397180003662331</v>
      </c>
      <c r="G62" s="1296">
        <f t="shared" si="28"/>
        <v>0.34063654875933325</v>
      </c>
      <c r="H62" s="1296">
        <f t="shared" si="28"/>
        <v>0.17740710528536474</v>
      </c>
      <c r="I62" s="1296">
        <f t="shared" si="28"/>
        <v>8.0820870562377634E-2</v>
      </c>
      <c r="J62" s="1296">
        <f t="shared" si="28"/>
        <v>0.23862148678288064</v>
      </c>
      <c r="K62" s="1311">
        <f t="shared" si="28"/>
        <v>0.19749303553070985</v>
      </c>
      <c r="L62" s="1296">
        <f t="shared" si="28"/>
        <v>0.2063268554545008</v>
      </c>
      <c r="M62" s="1296">
        <f t="shared" si="28"/>
        <v>0.19200373209075816</v>
      </c>
      <c r="N62" s="1296">
        <f t="shared" si="28"/>
        <v>0.18667831925239042</v>
      </c>
      <c r="O62" s="1296">
        <f t="shared" si="28"/>
        <v>0.18187832433543738</v>
      </c>
      <c r="P62" s="1296">
        <f t="shared" si="28"/>
        <v>0.17699925900831404</v>
      </c>
      <c r="Q62" s="1296">
        <f t="shared" si="28"/>
        <v>0.17296171700613483</v>
      </c>
      <c r="R62" s="1296">
        <f t="shared" si="28"/>
        <v>0.16959515954516768</v>
      </c>
      <c r="S62" s="1296">
        <f t="shared" si="28"/>
        <v>0.16677031041298007</v>
      </c>
      <c r="T62" s="1296">
        <f t="shared" si="28"/>
        <v>0.16438742823529418</v>
      </c>
      <c r="U62" s="1296">
        <f t="shared" si="28"/>
        <v>0.1623683760444099</v>
      </c>
      <c r="V62" s="1296">
        <f t="shared" si="28"/>
        <v>0.16047356385173672</v>
      </c>
    </row>
    <row r="63" spans="1:31">
      <c r="C63" s="1266"/>
      <c r="D63" s="1266"/>
      <c r="E63" s="1351"/>
      <c r="F63" s="1266"/>
      <c r="G63" s="1266"/>
      <c r="H63" s="1266"/>
      <c r="I63" s="1266"/>
      <c r="J63" s="1266"/>
      <c r="K63" s="1338"/>
      <c r="L63" s="1266"/>
      <c r="M63" s="1266"/>
      <c r="N63" s="1266"/>
      <c r="O63" s="1266"/>
      <c r="P63" s="1266"/>
      <c r="Q63" s="1266"/>
      <c r="R63" s="1266"/>
      <c r="S63" s="1266"/>
      <c r="T63" s="1266"/>
      <c r="U63" s="1266"/>
      <c r="V63" s="1266"/>
    </row>
    <row r="64" spans="1:31" s="1266" customFormat="1">
      <c r="A64" s="1266" t="str">
        <f>+A28</f>
        <v>Adj. D&amp;A</v>
      </c>
      <c r="B64" s="1294"/>
      <c r="C64" s="1294">
        <f t="shared" ref="C64:V64" si="29">+C28</f>
        <v>8778</v>
      </c>
      <c r="D64" s="1294">
        <f t="shared" si="29"/>
        <v>10261</v>
      </c>
      <c r="E64" s="1336">
        <f t="shared" si="29"/>
        <v>11682</v>
      </c>
      <c r="F64" s="1336">
        <f t="shared" si="29"/>
        <v>12796</v>
      </c>
      <c r="G64" s="1336">
        <f t="shared" si="29"/>
        <v>11686</v>
      </c>
      <c r="H64" s="1336">
        <f t="shared" si="29"/>
        <v>14460</v>
      </c>
      <c r="I64" s="1336">
        <f t="shared" si="29"/>
        <v>13861</v>
      </c>
      <c r="J64" s="1336">
        <f t="shared" si="29"/>
        <v>20427</v>
      </c>
      <c r="K64" s="1337">
        <f t="shared" si="29"/>
        <v>27803.116747365937</v>
      </c>
      <c r="L64" s="1294">
        <f t="shared" si="29"/>
        <v>31525.992471770431</v>
      </c>
      <c r="M64" s="1294">
        <f t="shared" si="29"/>
        <v>35112.247965084942</v>
      </c>
      <c r="N64" s="1294">
        <f t="shared" si="29"/>
        <v>39998.881804720564</v>
      </c>
      <c r="O64" s="1294">
        <f t="shared" si="29"/>
        <v>45654.686916541184</v>
      </c>
      <c r="P64" s="1294">
        <f t="shared" si="29"/>
        <v>50864.592708620163</v>
      </c>
      <c r="Q64" s="1294">
        <f t="shared" si="29"/>
        <v>56786.601080441142</v>
      </c>
      <c r="R64" s="1294">
        <f t="shared" si="29"/>
        <v>62625.51833783379</v>
      </c>
      <c r="S64" s="1294">
        <f t="shared" si="29"/>
        <v>69708.418604057864</v>
      </c>
      <c r="T64" s="1294">
        <f t="shared" si="29"/>
        <v>77095.171912570106</v>
      </c>
      <c r="U64" s="1294">
        <f t="shared" si="29"/>
        <v>84420.441599796148</v>
      </c>
      <c r="V64" s="1294">
        <f t="shared" si="29"/>
        <v>91581.348506188748</v>
      </c>
    </row>
    <row r="65" spans="1:31" s="1355" customFormat="1" ht="18.600000000000001">
      <c r="A65" s="1266" t="str">
        <f>+A48</f>
        <v>Capex</v>
      </c>
      <c r="B65" s="1352"/>
      <c r="C65" s="1352">
        <f t="shared" ref="C65:V65" si="30">+C48*-1</f>
        <v>-10200</v>
      </c>
      <c r="D65" s="1352">
        <f t="shared" si="30"/>
        <v>-13600</v>
      </c>
      <c r="E65" s="1353">
        <f t="shared" si="30"/>
        <v>-16900</v>
      </c>
      <c r="F65" s="1353">
        <f t="shared" si="30"/>
        <v>-19000</v>
      </c>
      <c r="G65" s="1353">
        <f t="shared" si="30"/>
        <v>-24200</v>
      </c>
      <c r="H65" s="1353">
        <f t="shared" si="30"/>
        <v>-29200</v>
      </c>
      <c r="I65" s="1353">
        <f t="shared" si="30"/>
        <v>-31900</v>
      </c>
      <c r="J65" s="1353">
        <f t="shared" si="30"/>
        <v>-55700</v>
      </c>
      <c r="K65" s="1354">
        <f t="shared" si="30"/>
        <v>-80000</v>
      </c>
      <c r="L65" s="1352">
        <f t="shared" si="30"/>
        <v>-71146.597218206225</v>
      </c>
      <c r="M65" s="1352">
        <f t="shared" si="30"/>
        <v>-74380.53345539741</v>
      </c>
      <c r="N65" s="1352">
        <f t="shared" si="30"/>
        <v>-76983.852126336307</v>
      </c>
      <c r="O65" s="1352">
        <f t="shared" si="30"/>
        <v>-78694.604395810456</v>
      </c>
      <c r="P65" s="1352">
        <f t="shared" si="30"/>
        <v>-79186.445673284266</v>
      </c>
      <c r="Q65" s="1352">
        <f t="shared" si="30"/>
        <v>-84559.81162968569</v>
      </c>
      <c r="R65" s="1352">
        <f t="shared" si="30"/>
        <v>-89763.492345358638</v>
      </c>
      <c r="S65" s="1352">
        <f t="shared" si="30"/>
        <v>-103228.01619716243</v>
      </c>
      <c r="T65" s="1352">
        <f t="shared" si="30"/>
        <v>-118712.21862673679</v>
      </c>
      <c r="U65" s="1352">
        <f t="shared" si="30"/>
        <v>-136519.0514207473</v>
      </c>
      <c r="V65" s="1352">
        <f t="shared" si="30"/>
        <v>-156996.90913385942</v>
      </c>
    </row>
    <row r="66" spans="1:31">
      <c r="A66" s="1339" t="s">
        <v>141</v>
      </c>
      <c r="B66" s="1290"/>
      <c r="C66" s="1294">
        <f t="shared" ref="C66:V66" si="31">+C65+C64+C61</f>
        <v>18212.550000000003</v>
      </c>
      <c r="D66" s="1294">
        <f t="shared" si="31"/>
        <v>22922.28</v>
      </c>
      <c r="E66" s="1336">
        <f t="shared" si="31"/>
        <v>29295.520000000004</v>
      </c>
      <c r="F66" s="1336">
        <f t="shared" si="31"/>
        <v>35694.44</v>
      </c>
      <c r="G66" s="1336">
        <f t="shared" si="31"/>
        <v>43656.58</v>
      </c>
      <c r="H66" s="1336">
        <f t="shared" si="31"/>
        <v>51395.64</v>
      </c>
      <c r="I66" s="1336">
        <f t="shared" si="31"/>
        <v>53441.78</v>
      </c>
      <c r="J66" s="1336">
        <f t="shared" si="31"/>
        <v>53264.630000000005</v>
      </c>
      <c r="K66" s="1337">
        <f t="shared" si="31"/>
        <v>53826.31205476079</v>
      </c>
      <c r="L66" s="1294">
        <f t="shared" si="31"/>
        <v>88278.023053972225</v>
      </c>
      <c r="M66" s="1294">
        <f t="shared" si="31"/>
        <v>113187.35617706069</v>
      </c>
      <c r="N66" s="1294">
        <f t="shared" si="31"/>
        <v>143930.83429276734</v>
      </c>
      <c r="O66" s="1294">
        <f t="shared" si="31"/>
        <v>180780.5505241752</v>
      </c>
      <c r="P66" s="1294">
        <f t="shared" si="31"/>
        <v>223344.67943620094</v>
      </c>
      <c r="Q66" s="1294">
        <f t="shared" si="31"/>
        <v>267421.99740865419</v>
      </c>
      <c r="R66" s="1294">
        <f t="shared" si="31"/>
        <v>318120.91234096268</v>
      </c>
      <c r="S66" s="1294">
        <f t="shared" si="31"/>
        <v>369318.22040455998</v>
      </c>
      <c r="T66" s="1294">
        <f t="shared" si="31"/>
        <v>427442.24418005144</v>
      </c>
      <c r="U66" s="1294">
        <f t="shared" si="31"/>
        <v>493121.07640430366</v>
      </c>
      <c r="V66" s="1294">
        <f t="shared" si="31"/>
        <v>567297.47172827646</v>
      </c>
    </row>
    <row r="67" spans="1:31">
      <c r="A67" s="1331" t="s">
        <v>87</v>
      </c>
      <c r="C67" s="1296"/>
      <c r="D67" s="1296">
        <f t="shared" ref="D67:V67" si="32">+D66/C66-1</f>
        <v>0.25859805463814767</v>
      </c>
      <c r="E67" s="1296">
        <f t="shared" si="32"/>
        <v>0.278036914303464</v>
      </c>
      <c r="F67" s="1296">
        <f t="shared" si="32"/>
        <v>0.21842657170789237</v>
      </c>
      <c r="G67" s="1296">
        <f t="shared" si="32"/>
        <v>0.22306387213246648</v>
      </c>
      <c r="H67" s="1296">
        <f t="shared" si="32"/>
        <v>0.17727133000340367</v>
      </c>
      <c r="I67" s="1296">
        <f t="shared" si="32"/>
        <v>3.9811548216930559E-2</v>
      </c>
      <c r="J67" s="1296">
        <f t="shared" si="32"/>
        <v>-3.3148222233614355E-3</v>
      </c>
      <c r="K67" s="1311">
        <f t="shared" si="32"/>
        <v>1.0545122621912206E-2</v>
      </c>
      <c r="L67" s="1296">
        <f t="shared" si="32"/>
        <v>0.64005334350534016</v>
      </c>
      <c r="M67" s="1296">
        <f t="shared" si="32"/>
        <v>0.28216913181052061</v>
      </c>
      <c r="N67" s="1296">
        <f t="shared" si="32"/>
        <v>0.27161583372982201</v>
      </c>
      <c r="O67" s="1296">
        <f t="shared" si="32"/>
        <v>0.25602377984172908</v>
      </c>
      <c r="P67" s="1296">
        <f t="shared" si="32"/>
        <v>0.23544639502762088</v>
      </c>
      <c r="Q67" s="1296">
        <f t="shared" si="32"/>
        <v>0.19735109913394666</v>
      </c>
      <c r="R67" s="1296">
        <f t="shared" si="32"/>
        <v>0.18958393633876813</v>
      </c>
      <c r="S67" s="1296">
        <f t="shared" si="32"/>
        <v>0.16093663156832627</v>
      </c>
      <c r="T67" s="1296">
        <f t="shared" si="32"/>
        <v>0.15738195562575008</v>
      </c>
      <c r="U67" s="1296">
        <f t="shared" si="32"/>
        <v>0.15365545431814254</v>
      </c>
      <c r="V67" s="1296">
        <f t="shared" si="32"/>
        <v>0.15042227735396274</v>
      </c>
    </row>
    <row r="68" spans="1:31">
      <c r="A68" s="1266"/>
      <c r="B68" s="1290"/>
      <c r="C68" s="1356"/>
      <c r="D68" s="1294"/>
      <c r="E68" s="1336"/>
      <c r="F68" s="1336"/>
      <c r="G68" s="1336"/>
      <c r="H68" s="1336"/>
      <c r="I68" s="1336"/>
      <c r="J68" s="1336"/>
      <c r="K68" s="1337"/>
      <c r="L68" s="1294"/>
      <c r="M68" s="1294"/>
      <c r="N68" s="1294"/>
      <c r="O68" s="1294"/>
      <c r="P68" s="1294"/>
      <c r="Q68" s="1294"/>
      <c r="R68" s="1294"/>
      <c r="S68" s="1294"/>
      <c r="T68" s="1294"/>
      <c r="U68" s="1294"/>
      <c r="V68" s="1294"/>
      <c r="W68" s="1290"/>
      <c r="X68" s="1290"/>
      <c r="Y68" s="1290"/>
      <c r="Z68" s="1290"/>
      <c r="AA68" s="1290"/>
      <c r="AB68" s="1290"/>
      <c r="AC68" s="1290"/>
      <c r="AD68" s="1290"/>
      <c r="AE68" s="1290"/>
    </row>
    <row r="69" spans="1:31">
      <c r="A69" s="1266" t="s">
        <v>142</v>
      </c>
      <c r="C69" s="1291">
        <f>+'Historical Financials'!BH118</f>
        <v>3266</v>
      </c>
      <c r="D69" s="1291">
        <f>+'Historical Financials'!BI118</f>
        <v>3940</v>
      </c>
      <c r="E69" s="1292">
        <f>+'Historical Financials'!BJ118</f>
        <v>4652</v>
      </c>
      <c r="F69" s="1292">
        <f>+'Historical Financials'!BK118</f>
        <v>5289</v>
      </c>
      <c r="G69" s="1292">
        <f>+'Historical Financials'!BL118</f>
        <v>6118</v>
      </c>
      <c r="H69" s="1292">
        <f>+'Historical Financials'!BM118</f>
        <v>7502</v>
      </c>
      <c r="I69" s="1292">
        <f>+'Historical Financials'!BN118</f>
        <v>9611</v>
      </c>
      <c r="J69" s="1292">
        <f>+'Historical Financials'!BO118</f>
        <v>10734</v>
      </c>
      <c r="K69" s="1357">
        <v>0</v>
      </c>
      <c r="L69" s="1358">
        <v>0</v>
      </c>
      <c r="M69" s="1358">
        <v>0</v>
      </c>
      <c r="N69" s="1358">
        <v>0</v>
      </c>
      <c r="O69" s="1358">
        <v>0</v>
      </c>
      <c r="P69" s="1358">
        <v>0</v>
      </c>
      <c r="Q69" s="1358">
        <v>0</v>
      </c>
      <c r="R69" s="1358">
        <v>0</v>
      </c>
      <c r="S69" s="1358">
        <v>0</v>
      </c>
      <c r="T69" s="1358">
        <v>0</v>
      </c>
      <c r="U69" s="1358">
        <v>0</v>
      </c>
      <c r="V69" s="1358">
        <v>0</v>
      </c>
      <c r="W69" s="1290"/>
      <c r="Y69" s="1359"/>
    </row>
    <row r="70" spans="1:31">
      <c r="A70" s="1266" t="str">
        <f>+Base!A71</f>
        <v>ATVI Amortization Cash Tax Benefit</v>
      </c>
      <c r="C70" s="1291"/>
      <c r="D70" s="1291"/>
      <c r="E70" s="1292"/>
      <c r="F70" s="1292"/>
      <c r="G70" s="1292"/>
      <c r="H70" s="1292"/>
      <c r="I70" s="1292"/>
      <c r="J70" s="1422">
        <f>+'D&amp;A forecast - Case 2'!U53*0.21</f>
        <v>480.27</v>
      </c>
      <c r="K70" s="1357">
        <f>+'D&amp;A forecast - Case 2'!V53*0.21</f>
        <v>480.27</v>
      </c>
      <c r="L70" s="1358">
        <f>+'D&amp;A forecast - Case 2'!W53*0.21</f>
        <v>480.27</v>
      </c>
      <c r="M70" s="1358">
        <f>+'D&amp;A forecast - Case 2'!X53*0.21</f>
        <v>480.27</v>
      </c>
      <c r="N70" s="1358">
        <f>+'D&amp;A forecast - Case 2'!Y53*0.21</f>
        <v>480.27</v>
      </c>
      <c r="O70" s="1358">
        <f>+'D&amp;A forecast - Case 2'!Z53*0.21</f>
        <v>480.27</v>
      </c>
      <c r="P70" s="1358">
        <f>+'D&amp;A forecast - Case 2'!AA53*0.21</f>
        <v>480.27</v>
      </c>
      <c r="Q70" s="1358">
        <f>+'D&amp;A forecast - Case 2'!AB53*0.21</f>
        <v>480.27</v>
      </c>
      <c r="R70" s="1358">
        <f>+'D&amp;A forecast - Case 2'!AC53*0.21</f>
        <v>480.27</v>
      </c>
      <c r="S70" s="1358">
        <f>+'D&amp;A forecast - Case 2'!AD53*0.21</f>
        <v>480.27</v>
      </c>
      <c r="T70" s="1358">
        <f>+'D&amp;A forecast - Case 2'!AE53*0.21</f>
        <v>480.27</v>
      </c>
      <c r="U70" s="1358">
        <f>+'D&amp;A forecast - Case 2'!AF53*0.21</f>
        <v>480.27</v>
      </c>
      <c r="V70" s="1358">
        <f>+'D&amp;A forecast - Case 2'!AG53*0.21</f>
        <v>480.27</v>
      </c>
      <c r="W70" s="1290"/>
      <c r="Y70" s="1359"/>
    </row>
    <row r="71" spans="1:31" ht="18.600000000000001">
      <c r="A71" s="1266" t="s">
        <v>198</v>
      </c>
      <c r="C71" s="1360">
        <f t="shared" ref="C71:I71" si="33">C72-C66-SUM(C69:C69)</f>
        <v>7828.4499999999971</v>
      </c>
      <c r="D71" s="1360">
        <f t="shared" si="33"/>
        <v>3421.7200000000012</v>
      </c>
      <c r="E71" s="1360">
        <f t="shared" si="33"/>
        <v>1337.4799999999959</v>
      </c>
      <c r="F71" s="1360">
        <f t="shared" si="33"/>
        <v>691.55999999999767</v>
      </c>
      <c r="G71" s="1360">
        <f t="shared" si="33"/>
        <v>2765.4199999999983</v>
      </c>
      <c r="H71" s="1360">
        <f t="shared" si="33"/>
        <v>937.36000000000058</v>
      </c>
      <c r="I71" s="1360">
        <f t="shared" si="33"/>
        <v>-7370.7799999999988</v>
      </c>
      <c r="J71" s="1360">
        <f>+SUM('Historical Financials'!BO120:BO121)</f>
        <v>-518.71374999999898</v>
      </c>
      <c r="K71" s="1361">
        <v>0</v>
      </c>
      <c r="L71" s="1362">
        <v>0</v>
      </c>
      <c r="M71" s="1362">
        <v>0</v>
      </c>
      <c r="N71" s="1362">
        <v>0</v>
      </c>
      <c r="O71" s="1362">
        <v>0</v>
      </c>
      <c r="P71" s="1362">
        <v>0</v>
      </c>
      <c r="Q71" s="1362">
        <v>0</v>
      </c>
      <c r="R71" s="1362">
        <v>0</v>
      </c>
      <c r="S71" s="1362">
        <v>0</v>
      </c>
      <c r="T71" s="1362">
        <v>0</v>
      </c>
      <c r="U71" s="1362">
        <v>0</v>
      </c>
      <c r="V71" s="1362">
        <v>0</v>
      </c>
    </row>
    <row r="72" spans="1:31">
      <c r="A72" s="1363" t="s">
        <v>145</v>
      </c>
      <c r="B72" s="1291"/>
      <c r="C72" s="1291">
        <f>+'Historical Financials'!BH122</f>
        <v>29307</v>
      </c>
      <c r="D72" s="1291">
        <f>+'Historical Financials'!BI122</f>
        <v>30284</v>
      </c>
      <c r="E72" s="1292">
        <f>+'Historical Financials'!BJ122</f>
        <v>35285</v>
      </c>
      <c r="F72" s="1292">
        <f>+'Historical Financials'!BK122</f>
        <v>41675</v>
      </c>
      <c r="G72" s="1292">
        <f>+'Historical Financials'!BL122</f>
        <v>52540</v>
      </c>
      <c r="H72" s="1292">
        <f>+'Historical Financials'!BM122</f>
        <v>59835</v>
      </c>
      <c r="I72" s="1292">
        <f>+'Historical Financials'!BN122</f>
        <v>55682</v>
      </c>
      <c r="J72" s="1336">
        <f t="shared" ref="J72:V72" si="34">+J66+J71+J69+J68+J70</f>
        <v>63960.186250000006</v>
      </c>
      <c r="K72" s="1337">
        <f t="shared" si="34"/>
        <v>54306.582054760787</v>
      </c>
      <c r="L72" s="1294">
        <f t="shared" si="34"/>
        <v>88758.293053972229</v>
      </c>
      <c r="M72" s="1294">
        <f t="shared" si="34"/>
        <v>113667.62617706069</v>
      </c>
      <c r="N72" s="1294">
        <f t="shared" si="34"/>
        <v>144411.10429276733</v>
      </c>
      <c r="O72" s="1294">
        <f t="shared" si="34"/>
        <v>181260.82052417519</v>
      </c>
      <c r="P72" s="1294">
        <f t="shared" si="34"/>
        <v>223824.94943620093</v>
      </c>
      <c r="Q72" s="1294">
        <f t="shared" si="34"/>
        <v>267902.26740865421</v>
      </c>
      <c r="R72" s="1294">
        <f t="shared" si="34"/>
        <v>318601.1823409627</v>
      </c>
      <c r="S72" s="1294">
        <f t="shared" si="34"/>
        <v>369798.49040456</v>
      </c>
      <c r="T72" s="1294">
        <f t="shared" si="34"/>
        <v>427922.51418005145</v>
      </c>
      <c r="U72" s="1294">
        <f t="shared" si="34"/>
        <v>493601.34640430368</v>
      </c>
      <c r="V72" s="1294">
        <f t="shared" si="34"/>
        <v>567777.74172827648</v>
      </c>
      <c r="W72" s="1364"/>
      <c r="X72" s="1364"/>
      <c r="Y72" s="1364"/>
      <c r="Z72" s="1364"/>
      <c r="AA72" s="1364"/>
      <c r="AB72" s="1364"/>
      <c r="AC72" s="1364"/>
      <c r="AD72" s="1364"/>
      <c r="AE72" s="1364"/>
    </row>
    <row r="73" spans="1:31">
      <c r="C73" s="1266"/>
      <c r="D73" s="1266"/>
      <c r="E73" s="1266"/>
      <c r="F73" s="1266"/>
      <c r="G73" s="1266"/>
      <c r="H73" s="1266"/>
      <c r="I73" s="1266"/>
      <c r="J73" s="1266"/>
      <c r="K73" s="1338"/>
      <c r="L73" s="1266"/>
      <c r="M73" s="1266"/>
      <c r="N73" s="1266"/>
      <c r="O73" s="1266"/>
      <c r="P73" s="1266"/>
      <c r="Q73" s="1266"/>
      <c r="R73" s="1266"/>
      <c r="S73" s="1266"/>
      <c r="T73" s="1266"/>
      <c r="U73" s="1266"/>
      <c r="V73" s="1266"/>
    </row>
    <row r="74" spans="1:31">
      <c r="A74" s="1267" t="s">
        <v>146</v>
      </c>
      <c r="B74" s="1290"/>
      <c r="C74" s="1291">
        <f>+'Historical Financials'!BH136</f>
        <v>-38877</v>
      </c>
      <c r="D74" s="1291">
        <f>+'Historical Financials'!BI136</f>
        <v>-47659</v>
      </c>
      <c r="E74" s="1292">
        <f>+'Historical Financials'!BJ136</f>
        <v>-48879</v>
      </c>
      <c r="F74" s="1292">
        <f>+'Historical Financials'!BK136</f>
        <v>-56033</v>
      </c>
      <c r="G74" s="1292">
        <f>+'Historical Financials'!BL136</f>
        <v>-50018</v>
      </c>
      <c r="H74" s="1292">
        <f>+'Historical Financials'!BM136</f>
        <v>-28585</v>
      </c>
      <c r="I74" s="1292">
        <f>+'Historical Financials'!BN136</f>
        <v>-34230</v>
      </c>
      <c r="J74" s="1292">
        <f>+'Historical Financials'!BO136</f>
        <v>18729</v>
      </c>
      <c r="K74" s="1293">
        <f>+'Historical Financials'!BP136</f>
        <v>-34820.532054760792</v>
      </c>
      <c r="L74" s="1294">
        <f t="shared" ref="L74:V74" si="35">L75*L32</f>
        <v>0</v>
      </c>
      <c r="M74" s="1294">
        <f t="shared" si="35"/>
        <v>0</v>
      </c>
      <c r="N74" s="1294">
        <f t="shared" si="35"/>
        <v>0</v>
      </c>
      <c r="O74" s="1294">
        <f t="shared" si="35"/>
        <v>0</v>
      </c>
      <c r="P74" s="1294">
        <f t="shared" si="35"/>
        <v>0</v>
      </c>
      <c r="Q74" s="1294">
        <f t="shared" si="35"/>
        <v>0</v>
      </c>
      <c r="R74" s="1294">
        <f t="shared" si="35"/>
        <v>0</v>
      </c>
      <c r="S74" s="1294">
        <f t="shared" si="35"/>
        <v>0</v>
      </c>
      <c r="T74" s="1294">
        <f t="shared" si="35"/>
        <v>0</v>
      </c>
      <c r="U74" s="1294">
        <f t="shared" si="35"/>
        <v>0</v>
      </c>
      <c r="V74" s="1294">
        <f t="shared" si="35"/>
        <v>0</v>
      </c>
    </row>
    <row r="75" spans="1:31">
      <c r="A75" s="1295" t="s">
        <v>147</v>
      </c>
      <c r="B75" s="1277"/>
      <c r="C75" s="1365">
        <f t="shared" ref="C75:K75" si="36">+C74/C32</f>
        <v>-1.0201527198299614</v>
      </c>
      <c r="D75" s="1365">
        <f t="shared" si="36"/>
        <v>-1.0516339725060129</v>
      </c>
      <c r="E75" s="1365">
        <f t="shared" si="36"/>
        <v>-0.89454804999908488</v>
      </c>
      <c r="F75" s="1365">
        <f t="shared" si="36"/>
        <v>-0.85214812561782372</v>
      </c>
      <c r="G75" s="1365">
        <f t="shared" si="36"/>
        <v>-0.61295066297394674</v>
      </c>
      <c r="H75" s="1365">
        <f t="shared" si="36"/>
        <v>-0.29215171243727195</v>
      </c>
      <c r="I75" s="1365">
        <f t="shared" si="36"/>
        <v>-0.33054898363188645</v>
      </c>
      <c r="J75" s="1365">
        <f t="shared" si="36"/>
        <v>0.14095732671031835</v>
      </c>
      <c r="K75" s="1367">
        <f t="shared" si="36"/>
        <v>-0.2161511145307676</v>
      </c>
      <c r="L75" s="1368">
        <v>0</v>
      </c>
      <c r="M75" s="1368">
        <f t="shared" ref="M75:V75" si="37">L75</f>
        <v>0</v>
      </c>
      <c r="N75" s="1368">
        <f t="shared" si="37"/>
        <v>0</v>
      </c>
      <c r="O75" s="1368">
        <f t="shared" si="37"/>
        <v>0</v>
      </c>
      <c r="P75" s="1368">
        <f t="shared" si="37"/>
        <v>0</v>
      </c>
      <c r="Q75" s="1368">
        <f t="shared" si="37"/>
        <v>0</v>
      </c>
      <c r="R75" s="1368">
        <f t="shared" si="37"/>
        <v>0</v>
      </c>
      <c r="S75" s="1368">
        <f t="shared" si="37"/>
        <v>0</v>
      </c>
      <c r="T75" s="1368">
        <f t="shared" si="37"/>
        <v>0</v>
      </c>
      <c r="U75" s="1368">
        <f t="shared" si="37"/>
        <v>0</v>
      </c>
      <c r="V75" s="1368">
        <f t="shared" si="37"/>
        <v>0</v>
      </c>
    </row>
    <row r="76" spans="1:31">
      <c r="C76" s="1266"/>
      <c r="D76" s="1266"/>
      <c r="E76" s="1266"/>
      <c r="F76" s="1266"/>
      <c r="G76" s="1266"/>
      <c r="H76" s="1266"/>
      <c r="I76" s="1266"/>
      <c r="J76" s="1266"/>
      <c r="K76" s="1338"/>
      <c r="L76" s="1266"/>
      <c r="M76" s="1266"/>
      <c r="N76" s="1266"/>
      <c r="O76" s="1266"/>
      <c r="P76" s="1266"/>
      <c r="Q76" s="1266"/>
      <c r="R76" s="1266"/>
      <c r="S76" s="1266"/>
      <c r="T76" s="1266"/>
      <c r="U76" s="1266"/>
      <c r="V76" s="1266"/>
    </row>
    <row r="77" spans="1:31">
      <c r="A77" s="1339" t="s">
        <v>148</v>
      </c>
      <c r="B77" s="1290"/>
      <c r="C77" s="1294"/>
      <c r="D77" s="1294"/>
      <c r="E77" s="1336"/>
      <c r="F77" s="1336"/>
      <c r="G77" s="1336"/>
      <c r="H77" s="1336"/>
      <c r="I77" s="1336"/>
      <c r="J77" s="1336"/>
      <c r="K77" s="1337"/>
      <c r="L77" s="1294">
        <f t="shared" ref="L77:V77" si="38">+L72+(L74-K74)</f>
        <v>123578.82510873303</v>
      </c>
      <c r="M77" s="1294">
        <f t="shared" si="38"/>
        <v>113667.62617706069</v>
      </c>
      <c r="N77" s="1294">
        <f t="shared" si="38"/>
        <v>144411.10429276733</v>
      </c>
      <c r="O77" s="1294">
        <f t="shared" si="38"/>
        <v>181260.82052417519</v>
      </c>
      <c r="P77" s="1294">
        <f t="shared" si="38"/>
        <v>223824.94943620093</v>
      </c>
      <c r="Q77" s="1294">
        <f t="shared" si="38"/>
        <v>267902.26740865421</v>
      </c>
      <c r="R77" s="1294">
        <f t="shared" si="38"/>
        <v>318601.1823409627</v>
      </c>
      <c r="S77" s="1294">
        <f t="shared" si="38"/>
        <v>369798.49040456</v>
      </c>
      <c r="T77" s="1294">
        <f t="shared" si="38"/>
        <v>427922.51418005145</v>
      </c>
      <c r="U77" s="1294">
        <f t="shared" si="38"/>
        <v>493601.34640430368</v>
      </c>
      <c r="V77" s="1294">
        <f t="shared" si="38"/>
        <v>567777.74172827648</v>
      </c>
    </row>
    <row r="78" spans="1:31">
      <c r="A78" s="1331" t="s">
        <v>149</v>
      </c>
      <c r="C78" s="1296"/>
      <c r="D78" s="1296"/>
      <c r="E78" s="1296"/>
      <c r="F78" s="1296"/>
      <c r="G78" s="1296"/>
      <c r="H78" s="1296"/>
      <c r="I78" s="1296"/>
      <c r="J78" s="1296"/>
      <c r="K78" s="1311"/>
      <c r="L78" s="1296">
        <f t="shared" ref="L78:V78" si="39">+L77/$D$99</f>
        <v>3.8435793608939804E-2</v>
      </c>
      <c r="M78" s="1296">
        <f t="shared" si="39"/>
        <v>3.5353187861395907E-2</v>
      </c>
      <c r="N78" s="1296">
        <f t="shared" si="39"/>
        <v>4.4915100904642284E-2</v>
      </c>
      <c r="O78" s="1296">
        <f t="shared" si="39"/>
        <v>5.6376191316953553E-2</v>
      </c>
      <c r="P78" s="1296">
        <f t="shared" si="39"/>
        <v>6.961459257677681E-2</v>
      </c>
      <c r="Q78" s="1296">
        <f t="shared" si="39"/>
        <v>8.3323629662492765E-2</v>
      </c>
      <c r="R78" s="1296">
        <f t="shared" si="39"/>
        <v>9.9092132307026307E-2</v>
      </c>
      <c r="S78" s="1296">
        <f t="shared" si="39"/>
        <v>0.1150156464230921</v>
      </c>
      <c r="T78" s="1296">
        <f t="shared" si="39"/>
        <v>0.1330935248912701</v>
      </c>
      <c r="U78" s="1296">
        <f t="shared" si="39"/>
        <v>0.15352111867706947</v>
      </c>
      <c r="V78" s="1296">
        <f t="shared" si="39"/>
        <v>0.1765916456772964</v>
      </c>
    </row>
    <row r="79" spans="1:31">
      <c r="C79" s="1266"/>
      <c r="D79" s="1266"/>
      <c r="E79" s="1266"/>
      <c r="F79" s="1266"/>
      <c r="G79" s="1266"/>
      <c r="H79" s="1266"/>
      <c r="I79" s="1266"/>
      <c r="J79" s="1266"/>
      <c r="K79" s="1338"/>
      <c r="L79" s="1266"/>
      <c r="M79" s="1266"/>
      <c r="N79" s="1266"/>
      <c r="O79" s="1266"/>
      <c r="P79" s="1266"/>
      <c r="Q79" s="1266"/>
      <c r="R79" s="1266"/>
      <c r="S79" s="1266"/>
      <c r="T79" s="1266"/>
      <c r="U79" s="1266"/>
      <c r="V79" s="1266"/>
    </row>
    <row r="80" spans="1:31">
      <c r="A80" s="1339" t="s">
        <v>150</v>
      </c>
      <c r="B80" s="1290"/>
      <c r="C80" s="1294"/>
      <c r="D80" s="1294"/>
      <c r="E80" s="1336"/>
      <c r="F80" s="1336"/>
      <c r="G80" s="1336"/>
      <c r="H80" s="1336"/>
      <c r="I80" s="1336"/>
      <c r="J80" s="1336"/>
      <c r="K80" s="1337"/>
      <c r="L80" s="1294">
        <f t="shared" ref="L80:V80" si="40">L77+K80</f>
        <v>123578.82510873303</v>
      </c>
      <c r="M80" s="1294">
        <f t="shared" si="40"/>
        <v>237246.45128579374</v>
      </c>
      <c r="N80" s="1294">
        <f t="shared" si="40"/>
        <v>381657.55557856103</v>
      </c>
      <c r="O80" s="1294">
        <f t="shared" si="40"/>
        <v>562918.37610273622</v>
      </c>
      <c r="P80" s="1294">
        <f t="shared" si="40"/>
        <v>786743.32553893712</v>
      </c>
      <c r="Q80" s="1294">
        <f t="shared" si="40"/>
        <v>1054645.5929475913</v>
      </c>
      <c r="R80" s="1294">
        <f t="shared" si="40"/>
        <v>1373246.7752885539</v>
      </c>
      <c r="S80" s="1294">
        <f t="shared" si="40"/>
        <v>1743045.2656931139</v>
      </c>
      <c r="T80" s="1294">
        <f t="shared" si="40"/>
        <v>2170967.7798731653</v>
      </c>
      <c r="U80" s="1294">
        <f t="shared" si="40"/>
        <v>2664569.1262774691</v>
      </c>
      <c r="V80" s="1294">
        <f t="shared" si="40"/>
        <v>3232346.8680057456</v>
      </c>
    </row>
    <row r="81" spans="1:26">
      <c r="A81" s="1331" t="s">
        <v>149</v>
      </c>
      <c r="C81" s="1296"/>
      <c r="D81" s="1296"/>
      <c r="E81" s="1296"/>
      <c r="F81" s="1296"/>
      <c r="G81" s="1296"/>
      <c r="H81" s="1296"/>
      <c r="I81" s="1296"/>
      <c r="J81" s="1296"/>
      <c r="K81" s="1311"/>
      <c r="L81" s="1296">
        <f t="shared" ref="L81:V81" si="41">L80/$D$99</f>
        <v>3.8435793608939804E-2</v>
      </c>
      <c r="M81" s="1296">
        <f t="shared" si="41"/>
        <v>7.3788981470335704E-2</v>
      </c>
      <c r="N81" s="1296">
        <f t="shared" si="41"/>
        <v>0.11870408237497798</v>
      </c>
      <c r="O81" s="1369">
        <f t="shared" si="41"/>
        <v>0.17508027369193155</v>
      </c>
      <c r="P81" s="1296">
        <f t="shared" si="41"/>
        <v>0.24469486626870834</v>
      </c>
      <c r="Q81" s="1296">
        <f t="shared" si="41"/>
        <v>0.32801849593120114</v>
      </c>
      <c r="R81" s="1296">
        <f t="shared" si="41"/>
        <v>0.42711062823822737</v>
      </c>
      <c r="S81" s="1296">
        <f t="shared" si="41"/>
        <v>0.54212627466131946</v>
      </c>
      <c r="T81" s="1296">
        <f t="shared" si="41"/>
        <v>0.67521979955258959</v>
      </c>
      <c r="U81" s="1296">
        <f t="shared" si="41"/>
        <v>0.82874091822965912</v>
      </c>
      <c r="V81" s="1296">
        <f t="shared" si="41"/>
        <v>1.0053325639069555</v>
      </c>
    </row>
    <row r="82" spans="1:26">
      <c r="C82" s="1266"/>
      <c r="D82" s="1266"/>
      <c r="E82" s="1266"/>
      <c r="F82" s="1266"/>
      <c r="G82" s="1266"/>
      <c r="H82" s="1266"/>
      <c r="I82" s="1266"/>
      <c r="J82" s="1266"/>
      <c r="K82" s="1338"/>
      <c r="L82" s="1266"/>
      <c r="M82" s="1266"/>
      <c r="N82" s="1266"/>
      <c r="O82" s="1266"/>
      <c r="P82" s="1266"/>
      <c r="Q82" s="1266"/>
      <c r="R82" s="1266"/>
      <c r="S82" s="1266"/>
      <c r="T82" s="1266"/>
      <c r="U82" s="1266"/>
      <c r="V82" s="1266"/>
    </row>
    <row r="83" spans="1:26" collapsed="1">
      <c r="A83" s="1267" t="s">
        <v>151</v>
      </c>
      <c r="C83" s="1266"/>
      <c r="D83" s="1266"/>
      <c r="E83" s="1266"/>
      <c r="F83" s="1266"/>
      <c r="G83" s="1370"/>
      <c r="H83" s="1371"/>
      <c r="I83" s="1370"/>
      <c r="J83" s="1370">
        <f>+Base!J84</f>
        <v>51.158375763747458</v>
      </c>
      <c r="K83" s="1338"/>
      <c r="L83" s="1266"/>
      <c r="M83" s="1266"/>
      <c r="N83" s="1266"/>
      <c r="O83" s="1266"/>
      <c r="P83" s="1266"/>
      <c r="Q83" s="1266"/>
      <c r="R83" s="1266"/>
      <c r="S83" s="1266"/>
      <c r="T83" s="1266"/>
      <c r="U83" s="1266"/>
      <c r="V83" s="1266"/>
      <c r="Z83" s="1346"/>
    </row>
    <row r="84" spans="1:26">
      <c r="A84" s="1266" t="s">
        <v>152</v>
      </c>
      <c r="B84" s="1266"/>
      <c r="C84" s="1370"/>
      <c r="D84" s="1370"/>
      <c r="E84" s="1370"/>
      <c r="F84" s="1370"/>
      <c r="G84" s="1370"/>
      <c r="H84" s="1370"/>
      <c r="I84" s="1370"/>
      <c r="J84" s="1370"/>
      <c r="K84" s="1372">
        <f t="shared" ref="K84:V84" si="42">+($D$99-K80)/(K8)</f>
        <v>11.433378919095253</v>
      </c>
      <c r="L84" s="1370">
        <f t="shared" si="42"/>
        <v>9.5599373275722659</v>
      </c>
      <c r="M84" s="1370">
        <f t="shared" si="42"/>
        <v>8.0073508762879442</v>
      </c>
      <c r="N84" s="1370">
        <f t="shared" si="42"/>
        <v>6.6252585952551231</v>
      </c>
      <c r="O84" s="1370">
        <f t="shared" si="42"/>
        <v>5.3925592368332005</v>
      </c>
      <c r="P84" s="1370">
        <f t="shared" si="42"/>
        <v>4.2934640585750126</v>
      </c>
      <c r="Q84" s="1370">
        <f t="shared" si="42"/>
        <v>3.3215812039274897</v>
      </c>
      <c r="R84" s="1370">
        <f t="shared" si="42"/>
        <v>2.4624106436830546</v>
      </c>
      <c r="S84" s="1370">
        <f t="shared" si="42"/>
        <v>1.7113451040211154</v>
      </c>
      <c r="T84" s="1370">
        <f t="shared" si="42"/>
        <v>1.0555615914249104</v>
      </c>
      <c r="U84" s="1370">
        <f t="shared" si="42"/>
        <v>0.48400495138997074</v>
      </c>
      <c r="V84" s="1370">
        <f t="shared" si="42"/>
        <v>-1.3104921441066342E-2</v>
      </c>
    </row>
    <row r="85" spans="1:26">
      <c r="A85" s="1266" t="s">
        <v>153</v>
      </c>
      <c r="B85" s="1266"/>
      <c r="C85" s="1371">
        <f t="shared" ref="C85:V85" si="43">($D$99-C80)/C66</f>
        <v>176.53769516075451</v>
      </c>
      <c r="D85" s="1371">
        <f t="shared" si="43"/>
        <v>140.26534882219397</v>
      </c>
      <c r="E85" s="1371">
        <f t="shared" si="43"/>
        <v>109.7506239861931</v>
      </c>
      <c r="F85" s="1371">
        <f t="shared" si="43"/>
        <v>90.075698063900148</v>
      </c>
      <c r="G85" s="1371">
        <f t="shared" si="43"/>
        <v>73.647583021849172</v>
      </c>
      <c r="H85" s="1371">
        <f t="shared" si="43"/>
        <v>62.557866776247948</v>
      </c>
      <c r="I85" s="1371">
        <f t="shared" si="43"/>
        <v>60.162696676645133</v>
      </c>
      <c r="J85" s="1371">
        <f t="shared" si="43"/>
        <v>60.362788589726428</v>
      </c>
      <c r="K85" s="1372">
        <f t="shared" si="43"/>
        <v>59.732897857259466</v>
      </c>
      <c r="L85" s="1370">
        <f t="shared" si="43"/>
        <v>35.021431925373797</v>
      </c>
      <c r="M85" s="1370">
        <f t="shared" si="43"/>
        <v>26.309962961373053</v>
      </c>
      <c r="N85" s="1370">
        <f t="shared" si="43"/>
        <v>19.686845131862253</v>
      </c>
      <c r="O85" s="1370">
        <f t="shared" si="43"/>
        <v>14.671286353575866</v>
      </c>
      <c r="P85" s="1370">
        <f t="shared" si="43"/>
        <v>10.873141373196487</v>
      </c>
      <c r="Q85" s="1370">
        <f t="shared" si="43"/>
        <v>8.0792007687789766</v>
      </c>
      <c r="R85" s="1370">
        <f t="shared" si="43"/>
        <v>5.7901092108563903</v>
      </c>
      <c r="S85" s="1370">
        <f t="shared" si="43"/>
        <v>3.9861459656505738</v>
      </c>
      <c r="T85" s="1370">
        <f t="shared" si="43"/>
        <v>2.4429822609834799</v>
      </c>
      <c r="U85" s="1370">
        <f t="shared" si="43"/>
        <v>1.1166273356993455</v>
      </c>
      <c r="V85" s="1370">
        <f t="shared" si="43"/>
        <v>-3.0222711822621533E-2</v>
      </c>
    </row>
    <row r="86" spans="1:26">
      <c r="A86" s="1266" t="s">
        <v>154</v>
      </c>
      <c r="B86" s="1266"/>
      <c r="C86" s="1371"/>
      <c r="D86" s="1371">
        <f t="shared" ref="D86:V86" si="44">($D$99-D80)/D61</f>
        <v>122.43126001474415</v>
      </c>
      <c r="E86" s="1371">
        <f t="shared" si="44"/>
        <v>93.157742241301378</v>
      </c>
      <c r="F86" s="1371">
        <f t="shared" si="44"/>
        <v>76.737978788709071</v>
      </c>
      <c r="G86" s="1371">
        <f t="shared" si="44"/>
        <v>57.239957287248949</v>
      </c>
      <c r="H86" s="1371">
        <f t="shared" si="44"/>
        <v>48.615264024057225</v>
      </c>
      <c r="I86" s="1371">
        <f t="shared" si="44"/>
        <v>44.979945658119568</v>
      </c>
      <c r="J86" s="1371">
        <f t="shared" si="44"/>
        <v>36.314520729773314</v>
      </c>
      <c r="K86" s="1372">
        <f t="shared" si="44"/>
        <v>30.325454639224102</v>
      </c>
      <c r="L86" s="1370">
        <f t="shared" si="44"/>
        <v>24.172446788998343</v>
      </c>
      <c r="M86" s="1370">
        <f t="shared" si="44"/>
        <v>19.533256468209235</v>
      </c>
      <c r="N86" s="1370">
        <f t="shared" si="44"/>
        <v>15.662225035900306</v>
      </c>
      <c r="O86" s="1370">
        <f t="shared" si="44"/>
        <v>12.404253197381168</v>
      </c>
      <c r="P86" s="1370">
        <f t="shared" si="44"/>
        <v>9.6495082254040536</v>
      </c>
      <c r="Q86" s="1370">
        <f t="shared" si="44"/>
        <v>7.3190754755089076</v>
      </c>
      <c r="R86" s="1370">
        <f t="shared" si="44"/>
        <v>5.3349961363551017</v>
      </c>
      <c r="S86" s="1370">
        <f t="shared" si="44"/>
        <v>3.6544640759508358</v>
      </c>
      <c r="T86" s="1370">
        <f t="shared" si="44"/>
        <v>2.2262299039767437</v>
      </c>
      <c r="U86" s="1370">
        <f t="shared" si="44"/>
        <v>1.0099277183748643</v>
      </c>
      <c r="V86" s="1370">
        <f t="shared" si="44"/>
        <v>-2.7098016207922876E-2</v>
      </c>
    </row>
    <row r="87" spans="1:26" hidden="1" outlineLevel="1">
      <c r="A87" s="1266" t="s">
        <v>155</v>
      </c>
      <c r="C87" s="1266"/>
      <c r="D87" s="1370"/>
      <c r="E87" s="1370"/>
      <c r="F87" s="1370"/>
      <c r="G87" s="1370"/>
      <c r="H87" s="1371">
        <f>+$E$99/8.81</f>
        <v>48.842224744608401</v>
      </c>
      <c r="I87" s="1373">
        <f>+$E$99/10.11</f>
        <v>42.561819980217606</v>
      </c>
      <c r="J87" s="1374">
        <f>+$E$99/11.45</f>
        <v>37.580786026200876</v>
      </c>
      <c r="K87" s="1370"/>
    </row>
    <row r="88" spans="1:26" collapsed="1">
      <c r="C88" s="1266"/>
      <c r="D88" s="1266"/>
      <c r="E88" s="1266"/>
      <c r="F88" s="1266"/>
      <c r="G88" s="1266"/>
      <c r="H88" s="1266"/>
      <c r="I88" s="1266"/>
      <c r="J88" s="1266"/>
      <c r="K88" s="1266"/>
    </row>
    <row r="89" spans="1:26">
      <c r="A89" s="1282" t="s">
        <v>156</v>
      </c>
      <c r="B89" s="1283"/>
      <c r="C89" s="1376"/>
      <c r="D89" s="1266"/>
      <c r="E89" s="1266"/>
      <c r="F89" s="1266"/>
      <c r="G89" s="1266"/>
      <c r="H89" s="1266"/>
      <c r="I89" s="1266"/>
      <c r="J89" s="1266"/>
      <c r="K89" s="1266"/>
    </row>
    <row r="90" spans="1:26">
      <c r="C90" s="1266"/>
      <c r="D90" s="1266"/>
      <c r="E90" s="1266"/>
      <c r="F90" s="1266"/>
      <c r="G90" s="1266"/>
      <c r="H90" s="1266"/>
      <c r="I90" s="1266"/>
      <c r="J90" s="1343"/>
      <c r="K90" s="1266"/>
    </row>
    <row r="91" spans="1:26">
      <c r="A91" s="1317" t="s">
        <v>157</v>
      </c>
      <c r="C91" s="1266"/>
      <c r="D91" s="1266"/>
      <c r="E91" s="1266"/>
      <c r="F91" s="1266"/>
      <c r="G91" s="1266"/>
      <c r="H91" s="1266"/>
      <c r="I91" s="1266"/>
      <c r="J91" s="1266"/>
      <c r="K91" s="1266"/>
      <c r="L91" s="1266"/>
      <c r="M91" s="1266"/>
      <c r="N91" s="1266"/>
      <c r="O91" s="1266"/>
    </row>
    <row r="92" spans="1:26" ht="18.600000000000001">
      <c r="A92" s="1267" t="s">
        <v>158</v>
      </c>
      <c r="C92" s="1266"/>
      <c r="D92" s="1266"/>
      <c r="E92" s="1266"/>
      <c r="F92" s="1266"/>
      <c r="G92" s="1266"/>
      <c r="H92" s="1266"/>
      <c r="I92" s="1266"/>
      <c r="J92" s="1266"/>
      <c r="K92" s="1266"/>
      <c r="L92" s="1266"/>
      <c r="M92" s="1266"/>
      <c r="N92" s="1266"/>
      <c r="O92" s="1266"/>
      <c r="P92" s="1266"/>
      <c r="Q92" s="1266"/>
      <c r="R92" s="1266"/>
      <c r="S92" s="1266"/>
      <c r="T92" s="1266"/>
      <c r="U92" s="1377">
        <v>15</v>
      </c>
      <c r="V92" s="1378"/>
    </row>
    <row r="93" spans="1:26">
      <c r="A93" s="1339" t="s">
        <v>159</v>
      </c>
      <c r="C93" s="1294"/>
      <c r="D93" s="1294"/>
      <c r="E93" s="1294"/>
      <c r="F93" s="1294"/>
      <c r="G93" s="1294"/>
      <c r="H93" s="1294"/>
      <c r="I93" s="1294"/>
      <c r="J93" s="1294"/>
      <c r="K93" s="1294"/>
      <c r="L93" s="1294"/>
      <c r="M93" s="1294"/>
      <c r="N93" s="1294"/>
      <c r="O93" s="1294"/>
      <c r="P93" s="1294"/>
      <c r="Q93" s="1294"/>
      <c r="R93" s="1294"/>
      <c r="S93" s="1294"/>
      <c r="T93" s="1294"/>
      <c r="U93" s="1294">
        <f>+U92*V66</f>
        <v>8509462.0759241469</v>
      </c>
      <c r="V93" s="1294"/>
    </row>
    <row r="94" spans="1:26">
      <c r="A94" s="1339" t="s">
        <v>160</v>
      </c>
      <c r="C94" s="1294"/>
      <c r="D94" s="1294"/>
      <c r="E94" s="1294"/>
      <c r="F94" s="1294"/>
      <c r="G94" s="1294"/>
      <c r="H94" s="1294"/>
      <c r="I94" s="1294"/>
      <c r="J94" s="1294"/>
      <c r="K94" s="1294">
        <f>-$D$99+K80</f>
        <v>-3215201.6</v>
      </c>
      <c r="L94" s="1294">
        <f t="shared" ref="L94:U94" si="45">+L77+L93</f>
        <v>123578.82510873303</v>
      </c>
      <c r="M94" s="1294">
        <f t="shared" si="45"/>
        <v>113667.62617706069</v>
      </c>
      <c r="N94" s="1294">
        <f t="shared" si="45"/>
        <v>144411.10429276733</v>
      </c>
      <c r="O94" s="1294">
        <f t="shared" si="45"/>
        <v>181260.82052417519</v>
      </c>
      <c r="P94" s="1294">
        <f t="shared" si="45"/>
        <v>223824.94943620093</v>
      </c>
      <c r="Q94" s="1294">
        <f t="shared" si="45"/>
        <v>267902.26740865421</v>
      </c>
      <c r="R94" s="1294">
        <f t="shared" si="45"/>
        <v>318601.1823409627</v>
      </c>
      <c r="S94" s="1294">
        <f t="shared" si="45"/>
        <v>369798.49040456</v>
      </c>
      <c r="T94" s="1294">
        <f t="shared" si="45"/>
        <v>427922.51418005145</v>
      </c>
      <c r="U94" s="1294">
        <f t="shared" si="45"/>
        <v>9003063.4223284498</v>
      </c>
      <c r="V94" s="1294"/>
    </row>
    <row r="95" spans="1:26">
      <c r="A95" s="1379" t="s">
        <v>161</v>
      </c>
      <c r="B95" s="1380"/>
      <c r="C95" s="1381"/>
      <c r="D95" s="1381"/>
      <c r="E95" s="1381"/>
      <c r="F95" s="1381"/>
      <c r="G95" s="1381"/>
      <c r="H95" s="1381"/>
      <c r="I95" s="1381"/>
      <c r="J95" s="1381"/>
      <c r="K95" s="1382">
        <f>XIRR(K94:U94,K3:U3)</f>
        <v>0.13678889870643615</v>
      </c>
      <c r="L95" s="1383"/>
      <c r="M95" s="1384"/>
      <c r="N95" s="1384"/>
      <c r="O95" s="1384"/>
      <c r="P95" s="1384"/>
      <c r="Q95" s="1384"/>
      <c r="R95" s="1384"/>
      <c r="S95" s="1384"/>
      <c r="T95" s="1384"/>
      <c r="U95" s="1384"/>
      <c r="V95" s="1384"/>
    </row>
    <row r="97" spans="1:22">
      <c r="A97" s="1385" t="s">
        <v>162</v>
      </c>
      <c r="B97" s="1386"/>
      <c r="C97" s="1387"/>
      <c r="D97" s="1387"/>
      <c r="E97" s="1388"/>
      <c r="F97" s="1266"/>
      <c r="I97" s="1266"/>
      <c r="J97" s="1266"/>
      <c r="K97" s="1266"/>
    </row>
    <row r="98" spans="1:22">
      <c r="D98" s="1389" t="s">
        <v>163</v>
      </c>
      <c r="E98" s="1389" t="s">
        <v>164</v>
      </c>
      <c r="F98" s="1266"/>
      <c r="I98" s="1266"/>
      <c r="J98" s="1266"/>
      <c r="K98" s="1266"/>
    </row>
    <row r="99" spans="1:22">
      <c r="A99" s="1267" t="s">
        <v>165</v>
      </c>
      <c r="D99" s="1344">
        <f>+E99*E102</f>
        <v>3215201.6</v>
      </c>
      <c r="E99" s="1394">
        <f>+Base!E100</f>
        <v>430.3</v>
      </c>
      <c r="F99" s="1266"/>
      <c r="I99" s="1266"/>
      <c r="J99" s="1266"/>
      <c r="K99" s="1266"/>
    </row>
    <row r="100" spans="1:22" ht="18.600000000000001">
      <c r="A100" s="1267" t="s">
        <v>146</v>
      </c>
      <c r="D100" s="1352">
        <f>+Base!D101</f>
        <v>18729</v>
      </c>
      <c r="E100" s="1423">
        <f>+D100/E102</f>
        <v>2.5065578158458246</v>
      </c>
      <c r="F100" s="1275"/>
      <c r="I100" s="1266"/>
      <c r="J100" s="1266"/>
      <c r="K100" s="1266"/>
    </row>
    <row r="101" spans="1:22">
      <c r="A101" s="1393" t="s">
        <v>166</v>
      </c>
      <c r="B101" s="1300"/>
      <c r="D101" s="1344">
        <f>+D100+D99</f>
        <v>3233930.6</v>
      </c>
      <c r="E101" s="1344">
        <f>+D101/E102</f>
        <v>432.80655781584585</v>
      </c>
      <c r="F101" s="1266"/>
      <c r="I101" s="1266"/>
      <c r="J101" s="1266"/>
      <c r="K101" s="1266"/>
    </row>
    <row r="102" spans="1:22">
      <c r="A102" s="1295" t="s">
        <v>167</v>
      </c>
      <c r="D102" s="1266"/>
      <c r="E102" s="1321">
        <f>+Base!E103</f>
        <v>7472</v>
      </c>
      <c r="F102" s="1266"/>
      <c r="I102" s="1266"/>
      <c r="J102" s="1266"/>
      <c r="K102" s="1266"/>
    </row>
    <row r="103" spans="1:22">
      <c r="A103" s="1295"/>
      <c r="D103" s="1266"/>
      <c r="E103" s="1321"/>
      <c r="F103" s="1266"/>
      <c r="I103" s="1266"/>
      <c r="J103" s="1266"/>
      <c r="K103" s="1266"/>
    </row>
    <row r="104" spans="1:22">
      <c r="A104" s="1282" t="s">
        <v>168</v>
      </c>
      <c r="B104" s="1283"/>
    </row>
    <row r="106" spans="1:22">
      <c r="A106" s="1396" t="s">
        <v>169</v>
      </c>
    </row>
    <row r="107" spans="1:22">
      <c r="A107" s="1267" t="s">
        <v>196</v>
      </c>
      <c r="B107" s="1344"/>
      <c r="C107" s="1344">
        <f>+'Historical Financials'!BH937</f>
        <v>-26030</v>
      </c>
      <c r="D107" s="1344">
        <f>+'Historical Financials'!BI937</f>
        <v>-16475</v>
      </c>
      <c r="E107" s="1344">
        <f>+'Historical Financials'!BJ937</f>
        <v>-16506</v>
      </c>
      <c r="F107" s="1344">
        <f>+'Historical Financials'!BK937</f>
        <v>-21043</v>
      </c>
      <c r="G107" s="1344">
        <f>+'Historical Financials'!BL937</f>
        <v>-24339</v>
      </c>
      <c r="H107" s="1344">
        <f>+'Historical Financials'!BM937</f>
        <v>-23339</v>
      </c>
      <c r="I107" s="1344">
        <f>+'Historical Financials'!BN937</f>
        <v>-21755</v>
      </c>
      <c r="J107" s="1344">
        <f>+'Historical Financials'!BO937</f>
        <v>-27136</v>
      </c>
      <c r="K107" s="1344">
        <f>+K108*K8</f>
        <v>-36294.868986490568</v>
      </c>
      <c r="L107" s="1344">
        <f t="shared" ref="L107:V107" si="46">+L108*L8</f>
        <v>-41739.099334464154</v>
      </c>
      <c r="M107" s="1344">
        <f t="shared" si="46"/>
        <v>-47999.964234633779</v>
      </c>
      <c r="N107" s="1344">
        <f t="shared" si="46"/>
        <v>-55199.958869828843</v>
      </c>
      <c r="O107" s="1344">
        <f t="shared" si="46"/>
        <v>-63479.952700303162</v>
      </c>
      <c r="P107" s="1344">
        <f t="shared" si="46"/>
        <v>-73001.945605348636</v>
      </c>
      <c r="Q107" s="1344">
        <f t="shared" si="46"/>
        <v>-83952.237446150917</v>
      </c>
      <c r="R107" s="1344">
        <f t="shared" si="46"/>
        <v>-96545.073063073549</v>
      </c>
      <c r="S107" s="1344">
        <f t="shared" si="46"/>
        <v>-111026.83402253457</v>
      </c>
      <c r="T107" s="1344">
        <f t="shared" si="46"/>
        <v>-127680.85912591477</v>
      </c>
      <c r="U107" s="1344">
        <f t="shared" si="46"/>
        <v>-146832.98799480198</v>
      </c>
      <c r="V107" s="1344">
        <f t="shared" si="46"/>
        <v>-168857.93619402227</v>
      </c>
    </row>
    <row r="108" spans="1:22" s="1277" customFormat="1">
      <c r="A108" s="1295" t="s">
        <v>172</v>
      </c>
      <c r="B108" s="1296"/>
      <c r="C108" s="1296">
        <f t="shared" ref="C108:I108" si="47">+C107/C8</f>
        <v>-0.269542616313386</v>
      </c>
      <c r="D108" s="1296">
        <f t="shared" si="47"/>
        <v>-0.14928416092787242</v>
      </c>
      <c r="E108" s="1296">
        <f t="shared" si="47"/>
        <v>-0.13116343380243636</v>
      </c>
      <c r="F108" s="1296">
        <f t="shared" si="47"/>
        <v>-0.14713841205467959</v>
      </c>
      <c r="G108" s="1296">
        <f t="shared" si="47"/>
        <v>-0.14479915282471087</v>
      </c>
      <c r="H108" s="1296">
        <f t="shared" si="47"/>
        <v>-0.11771321934735461</v>
      </c>
      <c r="I108" s="1296">
        <f t="shared" si="47"/>
        <v>-0.10265908501049949</v>
      </c>
      <c r="J108" s="1296">
        <f>+J107/J8</f>
        <v>-0.11070405757133182</v>
      </c>
      <c r="K108" s="1299">
        <f>+AVERAGE(D108:J108)</f>
        <v>-0.12906593164841215</v>
      </c>
      <c r="L108" s="1299">
        <f>+K108</f>
        <v>-0.12906593164841215</v>
      </c>
      <c r="M108" s="1299">
        <f t="shared" ref="M108:V108" si="48">+L108</f>
        <v>-0.12906593164841215</v>
      </c>
      <c r="N108" s="1299">
        <f t="shared" si="48"/>
        <v>-0.12906593164841215</v>
      </c>
      <c r="O108" s="1299">
        <f t="shared" si="48"/>
        <v>-0.12906593164841215</v>
      </c>
      <c r="P108" s="1299">
        <f t="shared" si="48"/>
        <v>-0.12906593164841215</v>
      </c>
      <c r="Q108" s="1299">
        <f t="shared" si="48"/>
        <v>-0.12906593164841215</v>
      </c>
      <c r="R108" s="1299">
        <f t="shared" si="48"/>
        <v>-0.12906593164841215</v>
      </c>
      <c r="S108" s="1299">
        <f t="shared" si="48"/>
        <v>-0.12906593164841215</v>
      </c>
      <c r="T108" s="1299">
        <f t="shared" si="48"/>
        <v>-0.12906593164841215</v>
      </c>
      <c r="U108" s="1299">
        <f t="shared" si="48"/>
        <v>-0.12906593164841215</v>
      </c>
      <c r="V108" s="1299">
        <f t="shared" si="48"/>
        <v>-0.12906593164841215</v>
      </c>
    </row>
    <row r="110" spans="1:22">
      <c r="A110" s="1301" t="s">
        <v>174</v>
      </c>
      <c r="J110" s="1344"/>
    </row>
    <row r="111" spans="1:22">
      <c r="A111" s="1397" t="s">
        <v>175</v>
      </c>
      <c r="B111" s="1344"/>
      <c r="C111" s="1344">
        <f>+'Historical Financials'!BH895</f>
        <v>10106</v>
      </c>
      <c r="D111" s="1344">
        <f>+'Historical Financials'!BI895</f>
        <v>8053</v>
      </c>
      <c r="E111" s="1344">
        <f>+'Historical Financials'!BJ895</f>
        <v>7750</v>
      </c>
      <c r="F111" s="1344">
        <f>+'Historical Financials'!BK895</f>
        <v>7038</v>
      </c>
      <c r="G111" s="1344">
        <f>+'Historical Financials'!BL895</f>
        <v>7800</v>
      </c>
      <c r="H111" s="1344">
        <f>+'Historical Financials'!BM895</f>
        <v>11298</v>
      </c>
      <c r="I111" s="1344">
        <f>+'Historical Financials'!BN895</f>
        <v>9366</v>
      </c>
      <c r="J111" s="1344">
        <f>+'Historical Financials'!BO895-J116</f>
        <v>5628</v>
      </c>
      <c r="K111" s="1346"/>
    </row>
    <row r="112" spans="1:22">
      <c r="A112" s="1397" t="s">
        <v>176</v>
      </c>
      <c r="B112" s="1344"/>
      <c r="C112" s="1344">
        <f>+'Historical Financials'!BH890</f>
        <v>6555</v>
      </c>
      <c r="D112" s="1344">
        <f>+'Historical Financials'!BI890</f>
        <v>6686</v>
      </c>
      <c r="E112" s="1344">
        <f>+'Historical Financials'!BJ890</f>
        <v>7379</v>
      </c>
      <c r="F112" s="1344">
        <f>+'Historical Financials'!BK890</f>
        <v>8753</v>
      </c>
      <c r="G112" s="1344">
        <f>+'Historical Financials'!BL890</f>
        <v>11088</v>
      </c>
      <c r="H112" s="1344">
        <f>+'Historical Financials'!BM890</f>
        <v>13148</v>
      </c>
      <c r="I112" s="1344">
        <f>+'Historical Financials'!BN890</f>
        <v>14346</v>
      </c>
      <c r="J112" s="1344">
        <f>+'Historical Financials'!BO890</f>
        <v>18961</v>
      </c>
    </row>
    <row r="113" spans="1:22" s="1301" customFormat="1">
      <c r="A113" s="1397" t="s">
        <v>177</v>
      </c>
      <c r="B113" s="1398"/>
      <c r="C113" s="1398">
        <f>+'Historical Financials'!BH896</f>
        <v>6250</v>
      </c>
      <c r="D113" s="1398">
        <f>+'Historical Financials'!BI896</f>
        <v>7442</v>
      </c>
      <c r="E113" s="1398">
        <f>+'Historical Financials'!BJ896</f>
        <v>14723</v>
      </c>
      <c r="F113" s="1398">
        <f>+'Historical Financials'!BK896</f>
        <v>13138</v>
      </c>
      <c r="G113" s="1398">
        <f>+'Historical Financials'!BL896</f>
        <v>15075</v>
      </c>
      <c r="H113" s="1398">
        <f>+'Historical Financials'!BM896</f>
        <v>21897</v>
      </c>
      <c r="I113" s="1398">
        <f>+'Historical Financials'!BN896</f>
        <v>30601</v>
      </c>
      <c r="J113" s="1398">
        <f>+'Historical Financials'!BO896</f>
        <v>36460</v>
      </c>
    </row>
    <row r="114" spans="1:22">
      <c r="A114" s="1397" t="s">
        <v>178</v>
      </c>
      <c r="B114" s="1344"/>
      <c r="C114" s="1344">
        <f t="shared" ref="C114:J114" si="49">+SUM(C111:C113)</f>
        <v>22911</v>
      </c>
      <c r="D114" s="1344">
        <f t="shared" si="49"/>
        <v>22181</v>
      </c>
      <c r="E114" s="1344">
        <f t="shared" si="49"/>
        <v>29852</v>
      </c>
      <c r="F114" s="1344">
        <f t="shared" si="49"/>
        <v>28929</v>
      </c>
      <c r="G114" s="1344">
        <f t="shared" si="49"/>
        <v>33963</v>
      </c>
      <c r="H114" s="1344">
        <f t="shared" si="49"/>
        <v>46343</v>
      </c>
      <c r="I114" s="1344">
        <f t="shared" si="49"/>
        <v>54313</v>
      </c>
      <c r="J114" s="1344">
        <f t="shared" si="49"/>
        <v>61049</v>
      </c>
      <c r="K114" s="1344">
        <f>+K119*K8</f>
        <v>70037.377428128981</v>
      </c>
      <c r="L114" s="1344">
        <f t="shared" ref="L114:V114" si="50">+L119*L8</f>
        <v>80542.984042348326</v>
      </c>
      <c r="M114" s="1344">
        <f t="shared" si="50"/>
        <v>92624.431648700571</v>
      </c>
      <c r="N114" s="1344">
        <f t="shared" si="50"/>
        <v>106518.09639600565</v>
      </c>
      <c r="O114" s="1344">
        <f t="shared" si="50"/>
        <v>122495.8108554065</v>
      </c>
      <c r="P114" s="1344">
        <f t="shared" si="50"/>
        <v>140870.18248371748</v>
      </c>
      <c r="Q114" s="1344">
        <f t="shared" si="50"/>
        <v>162000.70985627506</v>
      </c>
      <c r="R114" s="1344">
        <f t="shared" si="50"/>
        <v>186300.81633471631</v>
      </c>
      <c r="S114" s="1344">
        <f t="shared" si="50"/>
        <v>214245.93878492375</v>
      </c>
      <c r="T114" s="1344">
        <f t="shared" si="50"/>
        <v>246382.8296026623</v>
      </c>
      <c r="U114" s="1344">
        <f t="shared" si="50"/>
        <v>283340.25404306164</v>
      </c>
      <c r="V114" s="1344">
        <f t="shared" si="50"/>
        <v>325841.29214952089</v>
      </c>
    </row>
    <row r="115" spans="1:22">
      <c r="A115" s="1397" t="s">
        <v>179</v>
      </c>
      <c r="B115" s="1344"/>
      <c r="C115" s="1344">
        <f>+'Historical Financials'!BH894</f>
        <v>35122</v>
      </c>
      <c r="D115" s="1344">
        <f>+'Historical Financials'!BI894</f>
        <v>35683</v>
      </c>
      <c r="E115" s="1344">
        <f>+'Historical Financials'!BJ894</f>
        <v>42026</v>
      </c>
      <c r="F115" s="1344">
        <f>+'Historical Financials'!BK894</f>
        <v>43351</v>
      </c>
      <c r="G115" s="1344">
        <f>+'Historical Financials'!BL894</f>
        <v>49711</v>
      </c>
      <c r="H115" s="1344">
        <f>+'Historical Financials'!BM894</f>
        <v>67524</v>
      </c>
      <c r="I115" s="1344">
        <f>+'Historical Financials'!BN894</f>
        <v>67886</v>
      </c>
      <c r="J115" s="1344">
        <f>+'Historical Financials'!BO894</f>
        <v>119220</v>
      </c>
      <c r="K115" s="1399">
        <f>MAX(J115-$J$115/15,0)</f>
        <v>111272</v>
      </c>
      <c r="L115" s="1399">
        <f t="shared" ref="L115:V115" si="51">MAX(K115-$J$115/15,0)</f>
        <v>103324</v>
      </c>
      <c r="M115" s="1399">
        <f t="shared" si="51"/>
        <v>95376</v>
      </c>
      <c r="N115" s="1399">
        <f t="shared" si="51"/>
        <v>87428</v>
      </c>
      <c r="O115" s="1399">
        <f t="shared" si="51"/>
        <v>79480</v>
      </c>
      <c r="P115" s="1399">
        <f t="shared" si="51"/>
        <v>71532</v>
      </c>
      <c r="Q115" s="1399">
        <f t="shared" si="51"/>
        <v>63584</v>
      </c>
      <c r="R115" s="1399">
        <f t="shared" si="51"/>
        <v>55636</v>
      </c>
      <c r="S115" s="1399">
        <f t="shared" si="51"/>
        <v>47688</v>
      </c>
      <c r="T115" s="1399">
        <f t="shared" si="51"/>
        <v>39740</v>
      </c>
      <c r="U115" s="1399">
        <f t="shared" si="51"/>
        <v>31792</v>
      </c>
      <c r="V115" s="1399">
        <f t="shared" si="51"/>
        <v>23844</v>
      </c>
    </row>
    <row r="116" spans="1:22">
      <c r="A116" s="1397" t="s">
        <v>180</v>
      </c>
      <c r="B116" s="1344"/>
      <c r="C116" s="1344">
        <v>0</v>
      </c>
      <c r="D116" s="1344">
        <v>0</v>
      </c>
      <c r="E116" s="1344">
        <v>0</v>
      </c>
      <c r="F116" s="1344">
        <v>0</v>
      </c>
      <c r="G116" s="1344">
        <v>0</v>
      </c>
      <c r="H116" s="1344">
        <v>0</v>
      </c>
      <c r="I116" s="1344">
        <v>0</v>
      </c>
      <c r="J116" s="1318">
        <v>21969</v>
      </c>
      <c r="K116" s="1399">
        <f>MAX(J116-$J$116/15,0)</f>
        <v>20504.400000000001</v>
      </c>
      <c r="L116" s="1399">
        <f t="shared" ref="L116:V116" si="52">MAX(K116-$J$116/15,0)</f>
        <v>19039.800000000003</v>
      </c>
      <c r="M116" s="1399">
        <f t="shared" si="52"/>
        <v>17575.200000000004</v>
      </c>
      <c r="N116" s="1399">
        <f t="shared" si="52"/>
        <v>16110.600000000004</v>
      </c>
      <c r="O116" s="1399">
        <f t="shared" si="52"/>
        <v>14646.000000000004</v>
      </c>
      <c r="P116" s="1399">
        <f t="shared" si="52"/>
        <v>13181.400000000003</v>
      </c>
      <c r="Q116" s="1399">
        <f t="shared" si="52"/>
        <v>11716.800000000003</v>
      </c>
      <c r="R116" s="1399">
        <f t="shared" si="52"/>
        <v>10252.200000000003</v>
      </c>
      <c r="S116" s="1399">
        <f t="shared" si="52"/>
        <v>8787.6000000000022</v>
      </c>
      <c r="T116" s="1399">
        <f t="shared" si="52"/>
        <v>7323.0000000000018</v>
      </c>
      <c r="U116" s="1399">
        <f t="shared" si="52"/>
        <v>5858.4000000000015</v>
      </c>
      <c r="V116" s="1399">
        <f t="shared" si="52"/>
        <v>4393.8000000000011</v>
      </c>
    </row>
    <row r="117" spans="1:22" s="1301" customFormat="1">
      <c r="A117" s="1397" t="s">
        <v>181</v>
      </c>
      <c r="B117" s="1398"/>
      <c r="C117" s="1398">
        <f>+'Historical Financials'!BH891</f>
        <v>23734</v>
      </c>
      <c r="D117" s="1398">
        <f>+'Historical Financials'!BI891</f>
        <v>29460</v>
      </c>
      <c r="E117" s="1398">
        <f>+'Historical Financials'!BJ891</f>
        <v>36477</v>
      </c>
      <c r="F117" s="1398">
        <f>+'Historical Financials'!BK891</f>
        <v>44151</v>
      </c>
      <c r="G117" s="1398">
        <f>+'Historical Financials'!BL891</f>
        <v>59715</v>
      </c>
      <c r="H117" s="1398">
        <f>+'Historical Financials'!BM891</f>
        <v>74398</v>
      </c>
      <c r="I117" s="1398">
        <f>+'Historical Financials'!BN891</f>
        <v>95641</v>
      </c>
      <c r="J117" s="1398">
        <f>+'Historical Financials'!BO891</f>
        <v>135591</v>
      </c>
      <c r="K117" s="1400">
        <f>+'D&amp;A forecast - Case 2'!V197</f>
        <v>292512</v>
      </c>
      <c r="L117" s="1400">
        <f>+'D&amp;A forecast - Case 2'!W197</f>
        <v>364158.59721820621</v>
      </c>
      <c r="M117" s="1400">
        <f>+'D&amp;A forecast - Case 2'!X197</f>
        <v>439039.13067360362</v>
      </c>
      <c r="N117" s="1400">
        <f>+'D&amp;A forecast - Case 2'!Y197</f>
        <v>516522.98279993993</v>
      </c>
      <c r="O117" s="1400">
        <f>+'D&amp;A forecast - Case 2'!Z197</f>
        <v>595717.58719575033</v>
      </c>
      <c r="P117" s="1400">
        <f>+'D&amp;A forecast - Case 2'!AA197</f>
        <v>675404.03286903456</v>
      </c>
      <c r="Q117" s="1400">
        <f>+'D&amp;A forecast - Case 2'!AB197</f>
        <v>760463.84449872025</v>
      </c>
      <c r="R117" s="1400">
        <f>+'D&amp;A forecast - Case 2'!AC197</f>
        <v>850727.33684407885</v>
      </c>
      <c r="S117" s="1400">
        <f>+'D&amp;A forecast - Case 2'!AD197</f>
        <v>954455.35304124129</v>
      </c>
      <c r="T117" s="1400">
        <f>+'D&amp;A forecast - Case 2'!AE197</f>
        <v>1073667.5716679781</v>
      </c>
      <c r="U117" s="1400">
        <f>+'D&amp;A forecast - Case 2'!AF197</f>
        <v>1210686.6230887254</v>
      </c>
      <c r="V117" s="1400">
        <f>+'D&amp;A forecast - Case 2'!AG197</f>
        <v>1368183.5322225848</v>
      </c>
    </row>
    <row r="118" spans="1:22">
      <c r="A118" s="1339" t="s">
        <v>182</v>
      </c>
      <c r="B118" s="1344"/>
      <c r="C118" s="1344">
        <f>+SUM(C114:C117)</f>
        <v>81767</v>
      </c>
      <c r="D118" s="1344">
        <f t="shared" ref="D118:V118" si="53">+SUM(D114:D117)</f>
        <v>87324</v>
      </c>
      <c r="E118" s="1344">
        <f t="shared" si="53"/>
        <v>108355</v>
      </c>
      <c r="F118" s="1344">
        <f t="shared" si="53"/>
        <v>116431</v>
      </c>
      <c r="G118" s="1344">
        <f t="shared" si="53"/>
        <v>143389</v>
      </c>
      <c r="H118" s="1344">
        <f t="shared" si="53"/>
        <v>188265</v>
      </c>
      <c r="I118" s="1344">
        <f t="shared" si="53"/>
        <v>217840</v>
      </c>
      <c r="J118" s="1344">
        <f t="shared" si="53"/>
        <v>337829</v>
      </c>
      <c r="K118" s="1344">
        <f t="shared" si="53"/>
        <v>494325.77742812899</v>
      </c>
      <c r="L118" s="1344">
        <f t="shared" si="53"/>
        <v>567065.38126055454</v>
      </c>
      <c r="M118" s="1344">
        <f t="shared" si="53"/>
        <v>644614.76232230419</v>
      </c>
      <c r="N118" s="1344">
        <f t="shared" si="53"/>
        <v>726579.67919594562</v>
      </c>
      <c r="O118" s="1344">
        <f t="shared" si="53"/>
        <v>812339.3980511569</v>
      </c>
      <c r="P118" s="1344">
        <f t="shared" si="53"/>
        <v>900987.61535275204</v>
      </c>
      <c r="Q118" s="1344">
        <f t="shared" si="53"/>
        <v>997765.3543549953</v>
      </c>
      <c r="R118" s="1344">
        <f t="shared" si="53"/>
        <v>1102916.3531787952</v>
      </c>
      <c r="S118" s="1344">
        <f t="shared" si="53"/>
        <v>1225176.8918261649</v>
      </c>
      <c r="T118" s="1344">
        <f t="shared" si="53"/>
        <v>1367113.4012706403</v>
      </c>
      <c r="U118" s="1344">
        <f t="shared" si="53"/>
        <v>1531677.277131787</v>
      </c>
      <c r="V118" s="1344">
        <f t="shared" si="53"/>
        <v>1722262.6243721056</v>
      </c>
    </row>
    <row r="119" spans="1:22" s="1277" customFormat="1">
      <c r="A119" s="1331" t="s">
        <v>183</v>
      </c>
      <c r="B119" s="1296"/>
      <c r="C119" s="1296">
        <f t="shared" ref="C119:J119" si="54">+C114/C8</f>
        <v>0.23724513570326494</v>
      </c>
      <c r="D119" s="1296">
        <f t="shared" si="54"/>
        <v>0.20098767669445453</v>
      </c>
      <c r="E119" s="1296">
        <f t="shared" si="54"/>
        <v>0.23721621385377017</v>
      </c>
      <c r="F119" s="1296">
        <f t="shared" si="54"/>
        <v>0.20227948117330349</v>
      </c>
      <c r="G119" s="1296">
        <f t="shared" si="54"/>
        <v>0.20205487601732425</v>
      </c>
      <c r="H119" s="1296">
        <f t="shared" si="54"/>
        <v>0.23373682352347808</v>
      </c>
      <c r="I119" s="1296">
        <f t="shared" si="54"/>
        <v>0.2562961564778331</v>
      </c>
      <c r="J119" s="1296">
        <f t="shared" si="54"/>
        <v>0.24905557232724929</v>
      </c>
      <c r="K119" s="1299">
        <f>+J119</f>
        <v>0.24905557232724929</v>
      </c>
      <c r="L119" s="1299">
        <f t="shared" ref="L119:V119" si="55">+K119</f>
        <v>0.24905557232724929</v>
      </c>
      <c r="M119" s="1299">
        <f t="shared" si="55"/>
        <v>0.24905557232724929</v>
      </c>
      <c r="N119" s="1299">
        <f t="shared" si="55"/>
        <v>0.24905557232724929</v>
      </c>
      <c r="O119" s="1299">
        <f t="shared" si="55"/>
        <v>0.24905557232724929</v>
      </c>
      <c r="P119" s="1299">
        <f t="shared" si="55"/>
        <v>0.24905557232724929</v>
      </c>
      <c r="Q119" s="1299">
        <f t="shared" si="55"/>
        <v>0.24905557232724929</v>
      </c>
      <c r="R119" s="1299">
        <f t="shared" si="55"/>
        <v>0.24905557232724929</v>
      </c>
      <c r="S119" s="1299">
        <f t="shared" si="55"/>
        <v>0.24905557232724929</v>
      </c>
      <c r="T119" s="1299">
        <f t="shared" si="55"/>
        <v>0.24905557232724929</v>
      </c>
      <c r="U119" s="1299">
        <f t="shared" si="55"/>
        <v>0.24905557232724929</v>
      </c>
      <c r="V119" s="1299">
        <f t="shared" si="55"/>
        <v>0.24905557232724929</v>
      </c>
    </row>
    <row r="120" spans="1:22">
      <c r="A120" s="1324"/>
    </row>
    <row r="121" spans="1:22">
      <c r="A121" s="1324" t="s">
        <v>169</v>
      </c>
      <c r="B121" s="1346"/>
      <c r="C121" s="1346">
        <f t="shared" ref="C121:J121" si="56">+C118+C107</f>
        <v>55737</v>
      </c>
      <c r="D121" s="1346">
        <f t="shared" si="56"/>
        <v>70849</v>
      </c>
      <c r="E121" s="1346">
        <f t="shared" si="56"/>
        <v>91849</v>
      </c>
      <c r="F121" s="1346">
        <f t="shared" si="56"/>
        <v>95388</v>
      </c>
      <c r="G121" s="1346">
        <f t="shared" si="56"/>
        <v>119050</v>
      </c>
      <c r="H121" s="1346">
        <f t="shared" si="56"/>
        <v>164926</v>
      </c>
      <c r="I121" s="1346">
        <f t="shared" si="56"/>
        <v>196085</v>
      </c>
      <c r="J121" s="1346">
        <f t="shared" si="56"/>
        <v>310693</v>
      </c>
      <c r="K121" s="1346">
        <f t="shared" ref="K121:V121" si="57">+K118+K107</f>
        <v>458030.9084416384</v>
      </c>
      <c r="L121" s="1346">
        <f t="shared" si="57"/>
        <v>525326.28192609036</v>
      </c>
      <c r="M121" s="1346">
        <f t="shared" si="57"/>
        <v>596614.79808767047</v>
      </c>
      <c r="N121" s="1346">
        <f t="shared" si="57"/>
        <v>671379.72032611677</v>
      </c>
      <c r="O121" s="1346">
        <f t="shared" si="57"/>
        <v>748859.44535085373</v>
      </c>
      <c r="P121" s="1346">
        <f t="shared" si="57"/>
        <v>827985.66974740336</v>
      </c>
      <c r="Q121" s="1346">
        <f t="shared" si="57"/>
        <v>913813.11690884433</v>
      </c>
      <c r="R121" s="1346">
        <f t="shared" si="57"/>
        <v>1006371.2801157216</v>
      </c>
      <c r="S121" s="1346">
        <f t="shared" si="57"/>
        <v>1114150.0578036304</v>
      </c>
      <c r="T121" s="1346">
        <f t="shared" si="57"/>
        <v>1239432.5421447256</v>
      </c>
      <c r="U121" s="1346">
        <f t="shared" si="57"/>
        <v>1384844.2891369851</v>
      </c>
      <c r="V121" s="1346">
        <f t="shared" si="57"/>
        <v>1553404.6881780834</v>
      </c>
    </row>
    <row r="122" spans="1:22" s="1300" customFormat="1">
      <c r="A122" s="1393" t="s">
        <v>184</v>
      </c>
      <c r="C122" s="1401">
        <f>+'Historical Financials'!BH940</f>
        <v>33088.5</v>
      </c>
      <c r="D122" s="1401">
        <f>+'Historical Financials'!BI940</f>
        <v>63293</v>
      </c>
      <c r="E122" s="1401">
        <f t="shared" ref="E122:I122" si="58">AVERAGE(D121:E121)</f>
        <v>81349</v>
      </c>
      <c r="F122" s="1401">
        <f t="shared" si="58"/>
        <v>93618.5</v>
      </c>
      <c r="G122" s="1401">
        <f t="shared" si="58"/>
        <v>107219</v>
      </c>
      <c r="H122" s="1401">
        <f t="shared" si="58"/>
        <v>141988</v>
      </c>
      <c r="I122" s="1401">
        <f t="shared" si="58"/>
        <v>180505.5</v>
      </c>
      <c r="J122" s="1401">
        <f>AVERAGE(I121:J121)</f>
        <v>253389</v>
      </c>
      <c r="K122" s="1401">
        <f t="shared" ref="K122:V122" si="59">AVERAGE(J121:K121)</f>
        <v>384361.95422081917</v>
      </c>
      <c r="L122" s="1401">
        <f t="shared" si="59"/>
        <v>491678.59518386435</v>
      </c>
      <c r="M122" s="1401">
        <f t="shared" si="59"/>
        <v>560970.54000688042</v>
      </c>
      <c r="N122" s="1401">
        <f t="shared" si="59"/>
        <v>633997.25920689362</v>
      </c>
      <c r="O122" s="1401">
        <f t="shared" si="59"/>
        <v>710119.58283848525</v>
      </c>
      <c r="P122" s="1401">
        <f t="shared" si="59"/>
        <v>788422.55754912854</v>
      </c>
      <c r="Q122" s="1401">
        <f t="shared" si="59"/>
        <v>870899.39332812384</v>
      </c>
      <c r="R122" s="1401">
        <f t="shared" si="59"/>
        <v>960092.19851228292</v>
      </c>
      <c r="S122" s="1401">
        <f t="shared" si="59"/>
        <v>1060260.6689596761</v>
      </c>
      <c r="T122" s="1401">
        <f t="shared" si="59"/>
        <v>1176791.299974178</v>
      </c>
      <c r="U122" s="1401">
        <f t="shared" si="59"/>
        <v>1312138.4156408552</v>
      </c>
      <c r="V122" s="1401">
        <f t="shared" si="59"/>
        <v>1469124.4886575341</v>
      </c>
    </row>
    <row r="123" spans="1:22">
      <c r="A123" s="1339"/>
      <c r="C123" s="1346"/>
      <c r="D123" s="1346"/>
      <c r="E123" s="1346"/>
      <c r="F123" s="1346"/>
      <c r="G123" s="1346"/>
      <c r="H123" s="1346"/>
      <c r="I123" s="1346"/>
      <c r="J123" s="1346"/>
      <c r="K123" s="1346"/>
      <c r="L123" s="1346"/>
      <c r="M123" s="1346"/>
      <c r="N123" s="1346"/>
      <c r="O123" s="1346"/>
      <c r="P123" s="1346"/>
      <c r="Q123" s="1346"/>
      <c r="R123" s="1346"/>
      <c r="S123" s="1346"/>
      <c r="T123" s="1346"/>
      <c r="U123" s="1346"/>
      <c r="V123" s="1346"/>
    </row>
    <row r="124" spans="1:22">
      <c r="A124" s="1324" t="s">
        <v>185</v>
      </c>
      <c r="C124" s="1346">
        <f t="shared" ref="C124:J124" si="60">+C13</f>
        <v>29331</v>
      </c>
      <c r="D124" s="1346">
        <f t="shared" si="60"/>
        <v>35058</v>
      </c>
      <c r="E124" s="1346">
        <f t="shared" si="60"/>
        <v>42959</v>
      </c>
      <c r="F124" s="1346">
        <f t="shared" si="60"/>
        <v>52959</v>
      </c>
      <c r="G124" s="1346">
        <f t="shared" si="60"/>
        <v>69916</v>
      </c>
      <c r="H124" s="1346">
        <f t="shared" si="60"/>
        <v>83383</v>
      </c>
      <c r="I124" s="1346">
        <f t="shared" si="60"/>
        <v>89694</v>
      </c>
      <c r="J124" s="1346">
        <f t="shared" si="60"/>
        <v>112443</v>
      </c>
      <c r="K124" s="1346">
        <f t="shared" ref="K124:V124" si="61">+K13</f>
        <v>133290.34849037323</v>
      </c>
      <c r="L124" s="1346">
        <f t="shared" si="61"/>
        <v>160708.50354482027</v>
      </c>
      <c r="M124" s="1346">
        <f t="shared" si="61"/>
        <v>192239.38185743437</v>
      </c>
      <c r="N124" s="1346">
        <f t="shared" si="61"/>
        <v>228499.8919169406</v>
      </c>
      <c r="O124" s="1346">
        <f t="shared" si="61"/>
        <v>270199.47848537273</v>
      </c>
      <c r="P124" s="1346">
        <f t="shared" si="61"/>
        <v>318154.00303906971</v>
      </c>
      <c r="Q124" s="1346">
        <f t="shared" si="61"/>
        <v>373301.7062758212</v>
      </c>
      <c r="R124" s="1346">
        <f t="shared" si="61"/>
        <v>436721.56499808544</v>
      </c>
      <c r="S124" s="1346">
        <f t="shared" si="61"/>
        <v>509654.4025286893</v>
      </c>
      <c r="T124" s="1346">
        <f t="shared" si="61"/>
        <v>593527.16568888375</v>
      </c>
      <c r="U124" s="1346">
        <f t="shared" si="61"/>
        <v>689980.84332310734</v>
      </c>
      <c r="V124" s="1346">
        <f t="shared" si="61"/>
        <v>800902.57260246458</v>
      </c>
    </row>
    <row r="125" spans="1:22" s="1404" customFormat="1">
      <c r="A125" s="1402" t="s">
        <v>186</v>
      </c>
      <c r="B125" s="1403"/>
      <c r="C125" s="1403">
        <f>+C124/C122</f>
        <v>0.88644090847273227</v>
      </c>
      <c r="D125" s="1403">
        <f t="shared" ref="D125:V125" si="62">+D124/D122</f>
        <v>0.5539001153366091</v>
      </c>
      <c r="E125" s="1403">
        <f t="shared" si="62"/>
        <v>0.52808270538052093</v>
      </c>
      <c r="F125" s="1403">
        <f t="shared" si="62"/>
        <v>0.56568947376853929</v>
      </c>
      <c r="G125" s="1403">
        <f t="shared" si="62"/>
        <v>0.6520859176078867</v>
      </c>
      <c r="H125" s="1403">
        <f t="shared" si="62"/>
        <v>0.58725385243823425</v>
      </c>
      <c r="I125" s="1403">
        <f t="shared" si="62"/>
        <v>0.49690452645487254</v>
      </c>
      <c r="J125" s="1403">
        <f t="shared" si="62"/>
        <v>0.44375643773013035</v>
      </c>
      <c r="K125" s="1403">
        <f t="shared" si="62"/>
        <v>0.34678340826052934</v>
      </c>
      <c r="L125" s="1403">
        <f t="shared" si="62"/>
        <v>0.32685682297136193</v>
      </c>
      <c r="M125" s="1403">
        <f t="shared" si="62"/>
        <v>0.34269069077152703</v>
      </c>
      <c r="N125" s="1403">
        <f t="shared" si="62"/>
        <v>0.36041148222436364</v>
      </c>
      <c r="O125" s="1403">
        <f t="shared" si="62"/>
        <v>0.3804985597007946</v>
      </c>
      <c r="P125" s="1403">
        <f t="shared" si="62"/>
        <v>0.4035323444170289</v>
      </c>
      <c r="Q125" s="1403">
        <f t="shared" si="62"/>
        <v>0.42863929994170341</v>
      </c>
      <c r="R125" s="1403">
        <f t="shared" si="62"/>
        <v>0.45487461066219492</v>
      </c>
      <c r="S125" s="1403">
        <f t="shared" si="62"/>
        <v>0.4806878321995669</v>
      </c>
      <c r="T125" s="1403">
        <f t="shared" si="62"/>
        <v>0.5043605996253604</v>
      </c>
      <c r="U125" s="1403">
        <f t="shared" si="62"/>
        <v>0.5258445565638874</v>
      </c>
      <c r="V125" s="1403">
        <f t="shared" si="62"/>
        <v>0.54515636951523316</v>
      </c>
    </row>
    <row r="126" spans="1:22">
      <c r="A126" s="1397"/>
    </row>
    <row r="127" spans="1:22">
      <c r="C127" s="1405"/>
      <c r="D127" s="1405"/>
      <c r="E127" s="1405"/>
      <c r="H127" s="1405"/>
      <c r="I127" s="1405"/>
      <c r="J127" s="1405"/>
      <c r="K127" s="1405">
        <f>K95</f>
        <v>0.13678889870643615</v>
      </c>
    </row>
    <row r="130" spans="1:13">
      <c r="A130" s="1267" t="s">
        <v>187</v>
      </c>
      <c r="C130" s="1406">
        <f>+$E$99/C85</f>
        <v>2.4374397751606001</v>
      </c>
      <c r="D130" s="1406">
        <f t="shared" ref="D130:M130" si="63">+$E$99/D86</f>
        <v>3.5146252676659526</v>
      </c>
      <c r="E130" s="1406">
        <f t="shared" si="63"/>
        <v>4.6190471092077088</v>
      </c>
      <c r="F130" s="1406">
        <f t="shared" si="63"/>
        <v>5.6073929336188444</v>
      </c>
      <c r="G130" s="1406">
        <f t="shared" si="63"/>
        <v>7.5174759100642401</v>
      </c>
      <c r="H130" s="1406">
        <f t="shared" si="63"/>
        <v>8.8511295503211986</v>
      </c>
      <c r="I130" s="1406">
        <f t="shared" si="63"/>
        <v>9.5664855460385443</v>
      </c>
      <c r="J130" s="1406">
        <f t="shared" si="63"/>
        <v>11.8492545503212</v>
      </c>
      <c r="K130" s="1406">
        <f t="shared" si="63"/>
        <v>14.18939980024021</v>
      </c>
      <c r="L130" s="1406">
        <f t="shared" si="63"/>
        <v>17.801259581046772</v>
      </c>
      <c r="M130" s="1406">
        <f t="shared" si="63"/>
        <v>22.029096925047899</v>
      </c>
    </row>
    <row r="131" spans="1:13">
      <c r="A131" s="1267" t="s">
        <v>188</v>
      </c>
      <c r="C131" s="1406"/>
      <c r="D131" s="1406">
        <f t="shared" ref="D131:L131" si="64">AVERAGE(D130:E130)</f>
        <v>4.0668361884368309</v>
      </c>
      <c r="E131" s="1406">
        <f t="shared" si="64"/>
        <v>5.1132200214132766</v>
      </c>
      <c r="F131" s="1406">
        <f t="shared" si="64"/>
        <v>6.5624344218415427</v>
      </c>
      <c r="G131" s="1406">
        <f t="shared" si="64"/>
        <v>8.1843027301927194</v>
      </c>
      <c r="H131" s="1406">
        <f t="shared" si="64"/>
        <v>9.2088075481798715</v>
      </c>
      <c r="I131" s="1406">
        <f t="shared" si="64"/>
        <v>10.707870048179872</v>
      </c>
      <c r="J131" s="1406">
        <f t="shared" si="64"/>
        <v>13.019327175280704</v>
      </c>
      <c r="K131" s="1406">
        <f t="shared" si="64"/>
        <v>15.995329690643491</v>
      </c>
      <c r="L131" s="1406">
        <f t="shared" si="64"/>
        <v>19.915178253047337</v>
      </c>
    </row>
    <row r="132" spans="1:13">
      <c r="C132" s="1407"/>
    </row>
    <row r="133" spans="1:13">
      <c r="F133" s="1346"/>
    </row>
    <row r="136" spans="1:13">
      <c r="G136" s="1346"/>
    </row>
  </sheetData>
  <pageMargins left="0.3" right="0.3" top="0.3" bottom="0.3" header="0.3" footer="0.3"/>
  <pageSetup scale="41" fitToHeight="0" orientation="portrait" r:id="rId1"/>
  <headerFooter>
    <oddFooter>Page &amp;P</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04A92-845A-44D9-AB1B-B2F30BF4BEE3}">
  <sheetPr>
    <pageSetUpPr fitToPage="1"/>
  </sheetPr>
  <dimension ref="A1:AE137"/>
  <sheetViews>
    <sheetView view="pageBreakPreview" zoomScale="55" zoomScaleNormal="100" zoomScaleSheetLayoutView="55" workbookViewId="0">
      <pane xSplit="1" ySplit="5" topLeftCell="B6" activePane="bottomRight" state="frozen"/>
      <selection pane="bottomRight" activeCell="B6" sqref="B6"/>
      <selection pane="bottomLeft" activeCell="J83" sqref="J83"/>
      <selection pane="topRight" activeCell="J83" sqref="J83"/>
    </sheetView>
  </sheetViews>
  <sheetFormatPr defaultColWidth="4.5" defaultRowHeight="15.6" outlineLevelRow="1" outlineLevelCol="1"/>
  <cols>
    <col min="1" max="1" width="39.33203125" style="1267" customWidth="1"/>
    <col min="2" max="2" width="4.1640625" style="1267" customWidth="1"/>
    <col min="3" max="3" width="1.83203125" style="1267" hidden="1" customWidth="1" outlineLevel="1"/>
    <col min="4" max="4" width="13.6640625" style="1267" customWidth="1" collapsed="1"/>
    <col min="5" max="10" width="13.6640625" style="1267" customWidth="1"/>
    <col min="11" max="11" width="18" style="1267" bestFit="1" customWidth="1"/>
    <col min="12" max="22" width="13.6640625" style="1267" customWidth="1"/>
    <col min="23" max="24" width="10.6640625" style="1267" customWidth="1"/>
    <col min="25" max="25" width="30" style="1267" bestFit="1" customWidth="1"/>
    <col min="26" max="31" width="11.1640625" style="1267" customWidth="1"/>
    <col min="32" max="256" width="4.5" style="1267"/>
    <col min="257" max="257" width="11.83203125" style="1267" customWidth="1"/>
    <col min="258" max="258" width="2.1640625" style="1267" customWidth="1"/>
    <col min="259" max="274" width="10.6640625" style="1267" customWidth="1"/>
    <col min="275" max="276" width="14" style="1267" customWidth="1"/>
    <col min="277" max="277" width="54" style="1267" customWidth="1"/>
    <col min="278" max="280" width="10.6640625" style="1267" customWidth="1"/>
    <col min="281" max="287" width="11.1640625" style="1267" customWidth="1"/>
    <col min="288" max="512" width="4.5" style="1267"/>
    <col min="513" max="513" width="11.83203125" style="1267" customWidth="1"/>
    <col min="514" max="514" width="2.1640625" style="1267" customWidth="1"/>
    <col min="515" max="530" width="10.6640625" style="1267" customWidth="1"/>
    <col min="531" max="532" width="14" style="1267" customWidth="1"/>
    <col min="533" max="533" width="54" style="1267" customWidth="1"/>
    <col min="534" max="536" width="10.6640625" style="1267" customWidth="1"/>
    <col min="537" max="543" width="11.1640625" style="1267" customWidth="1"/>
    <col min="544" max="768" width="4.5" style="1267"/>
    <col min="769" max="769" width="11.83203125" style="1267" customWidth="1"/>
    <col min="770" max="770" width="2.1640625" style="1267" customWidth="1"/>
    <col min="771" max="786" width="10.6640625" style="1267" customWidth="1"/>
    <col min="787" max="788" width="14" style="1267" customWidth="1"/>
    <col min="789" max="789" width="54" style="1267" customWidth="1"/>
    <col min="790" max="792" width="10.6640625" style="1267" customWidth="1"/>
    <col min="793" max="799" width="11.1640625" style="1267" customWidth="1"/>
    <col min="800" max="1024" width="4.5" style="1267"/>
    <col min="1025" max="1025" width="11.83203125" style="1267" customWidth="1"/>
    <col min="1026" max="1026" width="2.1640625" style="1267" customWidth="1"/>
    <col min="1027" max="1042" width="10.6640625" style="1267" customWidth="1"/>
    <col min="1043" max="1044" width="14" style="1267" customWidth="1"/>
    <col min="1045" max="1045" width="54" style="1267" customWidth="1"/>
    <col min="1046" max="1048" width="10.6640625" style="1267" customWidth="1"/>
    <col min="1049" max="1055" width="11.1640625" style="1267" customWidth="1"/>
    <col min="1056" max="1280" width="4.5" style="1267"/>
    <col min="1281" max="1281" width="11.83203125" style="1267" customWidth="1"/>
    <col min="1282" max="1282" width="2.1640625" style="1267" customWidth="1"/>
    <col min="1283" max="1298" width="10.6640625" style="1267" customWidth="1"/>
    <col min="1299" max="1300" width="14" style="1267" customWidth="1"/>
    <col min="1301" max="1301" width="54" style="1267" customWidth="1"/>
    <col min="1302" max="1304" width="10.6640625" style="1267" customWidth="1"/>
    <col min="1305" max="1311" width="11.1640625" style="1267" customWidth="1"/>
    <col min="1312" max="1536" width="4.5" style="1267"/>
    <col min="1537" max="1537" width="11.83203125" style="1267" customWidth="1"/>
    <col min="1538" max="1538" width="2.1640625" style="1267" customWidth="1"/>
    <col min="1539" max="1554" width="10.6640625" style="1267" customWidth="1"/>
    <col min="1555" max="1556" width="14" style="1267" customWidth="1"/>
    <col min="1557" max="1557" width="54" style="1267" customWidth="1"/>
    <col min="1558" max="1560" width="10.6640625" style="1267" customWidth="1"/>
    <col min="1561" max="1567" width="11.1640625" style="1267" customWidth="1"/>
    <col min="1568" max="1792" width="4.5" style="1267"/>
    <col min="1793" max="1793" width="11.83203125" style="1267" customWidth="1"/>
    <col min="1794" max="1794" width="2.1640625" style="1267" customWidth="1"/>
    <col min="1795" max="1810" width="10.6640625" style="1267" customWidth="1"/>
    <col min="1811" max="1812" width="14" style="1267" customWidth="1"/>
    <col min="1813" max="1813" width="54" style="1267" customWidth="1"/>
    <col min="1814" max="1816" width="10.6640625" style="1267" customWidth="1"/>
    <col min="1817" max="1823" width="11.1640625" style="1267" customWidth="1"/>
    <col min="1824" max="2048" width="4.5" style="1267"/>
    <col min="2049" max="2049" width="11.83203125" style="1267" customWidth="1"/>
    <col min="2050" max="2050" width="2.1640625" style="1267" customWidth="1"/>
    <col min="2051" max="2066" width="10.6640625" style="1267" customWidth="1"/>
    <col min="2067" max="2068" width="14" style="1267" customWidth="1"/>
    <col min="2069" max="2069" width="54" style="1267" customWidth="1"/>
    <col min="2070" max="2072" width="10.6640625" style="1267" customWidth="1"/>
    <col min="2073" max="2079" width="11.1640625" style="1267" customWidth="1"/>
    <col min="2080" max="2304" width="4.5" style="1267"/>
    <col min="2305" max="2305" width="11.83203125" style="1267" customWidth="1"/>
    <col min="2306" max="2306" width="2.1640625" style="1267" customWidth="1"/>
    <col min="2307" max="2322" width="10.6640625" style="1267" customWidth="1"/>
    <col min="2323" max="2324" width="14" style="1267" customWidth="1"/>
    <col min="2325" max="2325" width="54" style="1267" customWidth="1"/>
    <col min="2326" max="2328" width="10.6640625" style="1267" customWidth="1"/>
    <col min="2329" max="2335" width="11.1640625" style="1267" customWidth="1"/>
    <col min="2336" max="2560" width="4.5" style="1267"/>
    <col min="2561" max="2561" width="11.83203125" style="1267" customWidth="1"/>
    <col min="2562" max="2562" width="2.1640625" style="1267" customWidth="1"/>
    <col min="2563" max="2578" width="10.6640625" style="1267" customWidth="1"/>
    <col min="2579" max="2580" width="14" style="1267" customWidth="1"/>
    <col min="2581" max="2581" width="54" style="1267" customWidth="1"/>
    <col min="2582" max="2584" width="10.6640625" style="1267" customWidth="1"/>
    <col min="2585" max="2591" width="11.1640625" style="1267" customWidth="1"/>
    <col min="2592" max="2816" width="4.5" style="1267"/>
    <col min="2817" max="2817" width="11.83203125" style="1267" customWidth="1"/>
    <col min="2818" max="2818" width="2.1640625" style="1267" customWidth="1"/>
    <col min="2819" max="2834" width="10.6640625" style="1267" customWidth="1"/>
    <col min="2835" max="2836" width="14" style="1267" customWidth="1"/>
    <col min="2837" max="2837" width="54" style="1267" customWidth="1"/>
    <col min="2838" max="2840" width="10.6640625" style="1267" customWidth="1"/>
    <col min="2841" max="2847" width="11.1640625" style="1267" customWidth="1"/>
    <col min="2848" max="3072" width="4.5" style="1267"/>
    <col min="3073" max="3073" width="11.83203125" style="1267" customWidth="1"/>
    <col min="3074" max="3074" width="2.1640625" style="1267" customWidth="1"/>
    <col min="3075" max="3090" width="10.6640625" style="1267" customWidth="1"/>
    <col min="3091" max="3092" width="14" style="1267" customWidth="1"/>
    <col min="3093" max="3093" width="54" style="1267" customWidth="1"/>
    <col min="3094" max="3096" width="10.6640625" style="1267" customWidth="1"/>
    <col min="3097" max="3103" width="11.1640625" style="1267" customWidth="1"/>
    <col min="3104" max="3328" width="4.5" style="1267"/>
    <col min="3329" max="3329" width="11.83203125" style="1267" customWidth="1"/>
    <col min="3330" max="3330" width="2.1640625" style="1267" customWidth="1"/>
    <col min="3331" max="3346" width="10.6640625" style="1267" customWidth="1"/>
    <col min="3347" max="3348" width="14" style="1267" customWidth="1"/>
    <col min="3349" max="3349" width="54" style="1267" customWidth="1"/>
    <col min="3350" max="3352" width="10.6640625" style="1267" customWidth="1"/>
    <col min="3353" max="3359" width="11.1640625" style="1267" customWidth="1"/>
    <col min="3360" max="3584" width="4.5" style="1267"/>
    <col min="3585" max="3585" width="11.83203125" style="1267" customWidth="1"/>
    <col min="3586" max="3586" width="2.1640625" style="1267" customWidth="1"/>
    <col min="3587" max="3602" width="10.6640625" style="1267" customWidth="1"/>
    <col min="3603" max="3604" width="14" style="1267" customWidth="1"/>
    <col min="3605" max="3605" width="54" style="1267" customWidth="1"/>
    <col min="3606" max="3608" width="10.6640625" style="1267" customWidth="1"/>
    <col min="3609" max="3615" width="11.1640625" style="1267" customWidth="1"/>
    <col min="3616" max="3840" width="4.5" style="1267"/>
    <col min="3841" max="3841" width="11.83203125" style="1267" customWidth="1"/>
    <col min="3842" max="3842" width="2.1640625" style="1267" customWidth="1"/>
    <col min="3843" max="3858" width="10.6640625" style="1267" customWidth="1"/>
    <col min="3859" max="3860" width="14" style="1267" customWidth="1"/>
    <col min="3861" max="3861" width="54" style="1267" customWidth="1"/>
    <col min="3862" max="3864" width="10.6640625" style="1267" customWidth="1"/>
    <col min="3865" max="3871" width="11.1640625" style="1267" customWidth="1"/>
    <col min="3872" max="4096" width="4.5" style="1267"/>
    <col min="4097" max="4097" width="11.83203125" style="1267" customWidth="1"/>
    <col min="4098" max="4098" width="2.1640625" style="1267" customWidth="1"/>
    <col min="4099" max="4114" width="10.6640625" style="1267" customWidth="1"/>
    <col min="4115" max="4116" width="14" style="1267" customWidth="1"/>
    <col min="4117" max="4117" width="54" style="1267" customWidth="1"/>
    <col min="4118" max="4120" width="10.6640625" style="1267" customWidth="1"/>
    <col min="4121" max="4127" width="11.1640625" style="1267" customWidth="1"/>
    <col min="4128" max="4352" width="4.5" style="1267"/>
    <col min="4353" max="4353" width="11.83203125" style="1267" customWidth="1"/>
    <col min="4354" max="4354" width="2.1640625" style="1267" customWidth="1"/>
    <col min="4355" max="4370" width="10.6640625" style="1267" customWidth="1"/>
    <col min="4371" max="4372" width="14" style="1267" customWidth="1"/>
    <col min="4373" max="4373" width="54" style="1267" customWidth="1"/>
    <col min="4374" max="4376" width="10.6640625" style="1267" customWidth="1"/>
    <col min="4377" max="4383" width="11.1640625" style="1267" customWidth="1"/>
    <col min="4384" max="4608" width="4.5" style="1267"/>
    <col min="4609" max="4609" width="11.83203125" style="1267" customWidth="1"/>
    <col min="4610" max="4610" width="2.1640625" style="1267" customWidth="1"/>
    <col min="4611" max="4626" width="10.6640625" style="1267" customWidth="1"/>
    <col min="4627" max="4628" width="14" style="1267" customWidth="1"/>
    <col min="4629" max="4629" width="54" style="1267" customWidth="1"/>
    <col min="4630" max="4632" width="10.6640625" style="1267" customWidth="1"/>
    <col min="4633" max="4639" width="11.1640625" style="1267" customWidth="1"/>
    <col min="4640" max="4864" width="4.5" style="1267"/>
    <col min="4865" max="4865" width="11.83203125" style="1267" customWidth="1"/>
    <col min="4866" max="4866" width="2.1640625" style="1267" customWidth="1"/>
    <col min="4867" max="4882" width="10.6640625" style="1267" customWidth="1"/>
    <col min="4883" max="4884" width="14" style="1267" customWidth="1"/>
    <col min="4885" max="4885" width="54" style="1267" customWidth="1"/>
    <col min="4886" max="4888" width="10.6640625" style="1267" customWidth="1"/>
    <col min="4889" max="4895" width="11.1640625" style="1267" customWidth="1"/>
    <col min="4896" max="5120" width="4.5" style="1267"/>
    <col min="5121" max="5121" width="11.83203125" style="1267" customWidth="1"/>
    <col min="5122" max="5122" width="2.1640625" style="1267" customWidth="1"/>
    <col min="5123" max="5138" width="10.6640625" style="1267" customWidth="1"/>
    <col min="5139" max="5140" width="14" style="1267" customWidth="1"/>
    <col min="5141" max="5141" width="54" style="1267" customWidth="1"/>
    <col min="5142" max="5144" width="10.6640625" style="1267" customWidth="1"/>
    <col min="5145" max="5151" width="11.1640625" style="1267" customWidth="1"/>
    <col min="5152" max="5376" width="4.5" style="1267"/>
    <col min="5377" max="5377" width="11.83203125" style="1267" customWidth="1"/>
    <col min="5378" max="5378" width="2.1640625" style="1267" customWidth="1"/>
    <col min="5379" max="5394" width="10.6640625" style="1267" customWidth="1"/>
    <col min="5395" max="5396" width="14" style="1267" customWidth="1"/>
    <col min="5397" max="5397" width="54" style="1267" customWidth="1"/>
    <col min="5398" max="5400" width="10.6640625" style="1267" customWidth="1"/>
    <col min="5401" max="5407" width="11.1640625" style="1267" customWidth="1"/>
    <col min="5408" max="5632" width="4.5" style="1267"/>
    <col min="5633" max="5633" width="11.83203125" style="1267" customWidth="1"/>
    <col min="5634" max="5634" width="2.1640625" style="1267" customWidth="1"/>
    <col min="5635" max="5650" width="10.6640625" style="1267" customWidth="1"/>
    <col min="5651" max="5652" width="14" style="1267" customWidth="1"/>
    <col min="5653" max="5653" width="54" style="1267" customWidth="1"/>
    <col min="5654" max="5656" width="10.6640625" style="1267" customWidth="1"/>
    <col min="5657" max="5663" width="11.1640625" style="1267" customWidth="1"/>
    <col min="5664" max="5888" width="4.5" style="1267"/>
    <col min="5889" max="5889" width="11.83203125" style="1267" customWidth="1"/>
    <col min="5890" max="5890" width="2.1640625" style="1267" customWidth="1"/>
    <col min="5891" max="5906" width="10.6640625" style="1267" customWidth="1"/>
    <col min="5907" max="5908" width="14" style="1267" customWidth="1"/>
    <col min="5909" max="5909" width="54" style="1267" customWidth="1"/>
    <col min="5910" max="5912" width="10.6640625" style="1267" customWidth="1"/>
    <col min="5913" max="5919" width="11.1640625" style="1267" customWidth="1"/>
    <col min="5920" max="6144" width="4.5" style="1267"/>
    <col min="6145" max="6145" width="11.83203125" style="1267" customWidth="1"/>
    <col min="6146" max="6146" width="2.1640625" style="1267" customWidth="1"/>
    <col min="6147" max="6162" width="10.6640625" style="1267" customWidth="1"/>
    <col min="6163" max="6164" width="14" style="1267" customWidth="1"/>
    <col min="6165" max="6165" width="54" style="1267" customWidth="1"/>
    <col min="6166" max="6168" width="10.6640625" style="1267" customWidth="1"/>
    <col min="6169" max="6175" width="11.1640625" style="1267" customWidth="1"/>
    <col min="6176" max="6400" width="4.5" style="1267"/>
    <col min="6401" max="6401" width="11.83203125" style="1267" customWidth="1"/>
    <col min="6402" max="6402" width="2.1640625" style="1267" customWidth="1"/>
    <col min="6403" max="6418" width="10.6640625" style="1267" customWidth="1"/>
    <col min="6419" max="6420" width="14" style="1267" customWidth="1"/>
    <col min="6421" max="6421" width="54" style="1267" customWidth="1"/>
    <col min="6422" max="6424" width="10.6640625" style="1267" customWidth="1"/>
    <col min="6425" max="6431" width="11.1640625" style="1267" customWidth="1"/>
    <col min="6432" max="6656" width="4.5" style="1267"/>
    <col min="6657" max="6657" width="11.83203125" style="1267" customWidth="1"/>
    <col min="6658" max="6658" width="2.1640625" style="1267" customWidth="1"/>
    <col min="6659" max="6674" width="10.6640625" style="1267" customWidth="1"/>
    <col min="6675" max="6676" width="14" style="1267" customWidth="1"/>
    <col min="6677" max="6677" width="54" style="1267" customWidth="1"/>
    <col min="6678" max="6680" width="10.6640625" style="1267" customWidth="1"/>
    <col min="6681" max="6687" width="11.1640625" style="1267" customWidth="1"/>
    <col min="6688" max="6912" width="4.5" style="1267"/>
    <col min="6913" max="6913" width="11.83203125" style="1267" customWidth="1"/>
    <col min="6914" max="6914" width="2.1640625" style="1267" customWidth="1"/>
    <col min="6915" max="6930" width="10.6640625" style="1267" customWidth="1"/>
    <col min="6931" max="6932" width="14" style="1267" customWidth="1"/>
    <col min="6933" max="6933" width="54" style="1267" customWidth="1"/>
    <col min="6934" max="6936" width="10.6640625" style="1267" customWidth="1"/>
    <col min="6937" max="6943" width="11.1640625" style="1267" customWidth="1"/>
    <col min="6944" max="7168" width="4.5" style="1267"/>
    <col min="7169" max="7169" width="11.83203125" style="1267" customWidth="1"/>
    <col min="7170" max="7170" width="2.1640625" style="1267" customWidth="1"/>
    <col min="7171" max="7186" width="10.6640625" style="1267" customWidth="1"/>
    <col min="7187" max="7188" width="14" style="1267" customWidth="1"/>
    <col min="7189" max="7189" width="54" style="1267" customWidth="1"/>
    <col min="7190" max="7192" width="10.6640625" style="1267" customWidth="1"/>
    <col min="7193" max="7199" width="11.1640625" style="1267" customWidth="1"/>
    <col min="7200" max="7424" width="4.5" style="1267"/>
    <col min="7425" max="7425" width="11.83203125" style="1267" customWidth="1"/>
    <col min="7426" max="7426" width="2.1640625" style="1267" customWidth="1"/>
    <col min="7427" max="7442" width="10.6640625" style="1267" customWidth="1"/>
    <col min="7443" max="7444" width="14" style="1267" customWidth="1"/>
    <col min="7445" max="7445" width="54" style="1267" customWidth="1"/>
    <col min="7446" max="7448" width="10.6640625" style="1267" customWidth="1"/>
    <col min="7449" max="7455" width="11.1640625" style="1267" customWidth="1"/>
    <col min="7456" max="7680" width="4.5" style="1267"/>
    <col min="7681" max="7681" width="11.83203125" style="1267" customWidth="1"/>
    <col min="7682" max="7682" width="2.1640625" style="1267" customWidth="1"/>
    <col min="7683" max="7698" width="10.6640625" style="1267" customWidth="1"/>
    <col min="7699" max="7700" width="14" style="1267" customWidth="1"/>
    <col min="7701" max="7701" width="54" style="1267" customWidth="1"/>
    <col min="7702" max="7704" width="10.6640625" style="1267" customWidth="1"/>
    <col min="7705" max="7711" width="11.1640625" style="1267" customWidth="1"/>
    <col min="7712" max="7936" width="4.5" style="1267"/>
    <col min="7937" max="7937" width="11.83203125" style="1267" customWidth="1"/>
    <col min="7938" max="7938" width="2.1640625" style="1267" customWidth="1"/>
    <col min="7939" max="7954" width="10.6640625" style="1267" customWidth="1"/>
    <col min="7955" max="7956" width="14" style="1267" customWidth="1"/>
    <col min="7957" max="7957" width="54" style="1267" customWidth="1"/>
    <col min="7958" max="7960" width="10.6640625" style="1267" customWidth="1"/>
    <col min="7961" max="7967" width="11.1640625" style="1267" customWidth="1"/>
    <col min="7968" max="8192" width="4.5" style="1267"/>
    <col min="8193" max="8193" width="11.83203125" style="1267" customWidth="1"/>
    <col min="8194" max="8194" width="2.1640625" style="1267" customWidth="1"/>
    <col min="8195" max="8210" width="10.6640625" style="1267" customWidth="1"/>
    <col min="8211" max="8212" width="14" style="1267" customWidth="1"/>
    <col min="8213" max="8213" width="54" style="1267" customWidth="1"/>
    <col min="8214" max="8216" width="10.6640625" style="1267" customWidth="1"/>
    <col min="8217" max="8223" width="11.1640625" style="1267" customWidth="1"/>
    <col min="8224" max="8448" width="4.5" style="1267"/>
    <col min="8449" max="8449" width="11.83203125" style="1267" customWidth="1"/>
    <col min="8450" max="8450" width="2.1640625" style="1267" customWidth="1"/>
    <col min="8451" max="8466" width="10.6640625" style="1267" customWidth="1"/>
    <col min="8467" max="8468" width="14" style="1267" customWidth="1"/>
    <col min="8469" max="8469" width="54" style="1267" customWidth="1"/>
    <col min="8470" max="8472" width="10.6640625" style="1267" customWidth="1"/>
    <col min="8473" max="8479" width="11.1640625" style="1267" customWidth="1"/>
    <col min="8480" max="8704" width="4.5" style="1267"/>
    <col min="8705" max="8705" width="11.83203125" style="1267" customWidth="1"/>
    <col min="8706" max="8706" width="2.1640625" style="1267" customWidth="1"/>
    <col min="8707" max="8722" width="10.6640625" style="1267" customWidth="1"/>
    <col min="8723" max="8724" width="14" style="1267" customWidth="1"/>
    <col min="8725" max="8725" width="54" style="1267" customWidth="1"/>
    <col min="8726" max="8728" width="10.6640625" style="1267" customWidth="1"/>
    <col min="8729" max="8735" width="11.1640625" style="1267" customWidth="1"/>
    <col min="8736" max="8960" width="4.5" style="1267"/>
    <col min="8961" max="8961" width="11.83203125" style="1267" customWidth="1"/>
    <col min="8962" max="8962" width="2.1640625" style="1267" customWidth="1"/>
    <col min="8963" max="8978" width="10.6640625" style="1267" customWidth="1"/>
    <col min="8979" max="8980" width="14" style="1267" customWidth="1"/>
    <col min="8981" max="8981" width="54" style="1267" customWidth="1"/>
    <col min="8982" max="8984" width="10.6640625" style="1267" customWidth="1"/>
    <col min="8985" max="8991" width="11.1640625" style="1267" customWidth="1"/>
    <col min="8992" max="9216" width="4.5" style="1267"/>
    <col min="9217" max="9217" width="11.83203125" style="1267" customWidth="1"/>
    <col min="9218" max="9218" width="2.1640625" style="1267" customWidth="1"/>
    <col min="9219" max="9234" width="10.6640625" style="1267" customWidth="1"/>
    <col min="9235" max="9236" width="14" style="1267" customWidth="1"/>
    <col min="9237" max="9237" width="54" style="1267" customWidth="1"/>
    <col min="9238" max="9240" width="10.6640625" style="1267" customWidth="1"/>
    <col min="9241" max="9247" width="11.1640625" style="1267" customWidth="1"/>
    <col min="9248" max="9472" width="4.5" style="1267"/>
    <col min="9473" max="9473" width="11.83203125" style="1267" customWidth="1"/>
    <col min="9474" max="9474" width="2.1640625" style="1267" customWidth="1"/>
    <col min="9475" max="9490" width="10.6640625" style="1267" customWidth="1"/>
    <col min="9491" max="9492" width="14" style="1267" customWidth="1"/>
    <col min="9493" max="9493" width="54" style="1267" customWidth="1"/>
    <col min="9494" max="9496" width="10.6640625" style="1267" customWidth="1"/>
    <col min="9497" max="9503" width="11.1640625" style="1267" customWidth="1"/>
    <col min="9504" max="9728" width="4.5" style="1267"/>
    <col min="9729" max="9729" width="11.83203125" style="1267" customWidth="1"/>
    <col min="9730" max="9730" width="2.1640625" style="1267" customWidth="1"/>
    <col min="9731" max="9746" width="10.6640625" style="1267" customWidth="1"/>
    <col min="9747" max="9748" width="14" style="1267" customWidth="1"/>
    <col min="9749" max="9749" width="54" style="1267" customWidth="1"/>
    <col min="9750" max="9752" width="10.6640625" style="1267" customWidth="1"/>
    <col min="9753" max="9759" width="11.1640625" style="1267" customWidth="1"/>
    <col min="9760" max="9984" width="4.5" style="1267"/>
    <col min="9985" max="9985" width="11.83203125" style="1267" customWidth="1"/>
    <col min="9986" max="9986" width="2.1640625" style="1267" customWidth="1"/>
    <col min="9987" max="10002" width="10.6640625" style="1267" customWidth="1"/>
    <col min="10003" max="10004" width="14" style="1267" customWidth="1"/>
    <col min="10005" max="10005" width="54" style="1267" customWidth="1"/>
    <col min="10006" max="10008" width="10.6640625" style="1267" customWidth="1"/>
    <col min="10009" max="10015" width="11.1640625" style="1267" customWidth="1"/>
    <col min="10016" max="10240" width="4.5" style="1267"/>
    <col min="10241" max="10241" width="11.83203125" style="1267" customWidth="1"/>
    <col min="10242" max="10242" width="2.1640625" style="1267" customWidth="1"/>
    <col min="10243" max="10258" width="10.6640625" style="1267" customWidth="1"/>
    <col min="10259" max="10260" width="14" style="1267" customWidth="1"/>
    <col min="10261" max="10261" width="54" style="1267" customWidth="1"/>
    <col min="10262" max="10264" width="10.6640625" style="1267" customWidth="1"/>
    <col min="10265" max="10271" width="11.1640625" style="1267" customWidth="1"/>
    <col min="10272" max="10496" width="4.5" style="1267"/>
    <col min="10497" max="10497" width="11.83203125" style="1267" customWidth="1"/>
    <col min="10498" max="10498" width="2.1640625" style="1267" customWidth="1"/>
    <col min="10499" max="10514" width="10.6640625" style="1267" customWidth="1"/>
    <col min="10515" max="10516" width="14" style="1267" customWidth="1"/>
    <col min="10517" max="10517" width="54" style="1267" customWidth="1"/>
    <col min="10518" max="10520" width="10.6640625" style="1267" customWidth="1"/>
    <col min="10521" max="10527" width="11.1640625" style="1267" customWidth="1"/>
    <col min="10528" max="10752" width="4.5" style="1267"/>
    <col min="10753" max="10753" width="11.83203125" style="1267" customWidth="1"/>
    <col min="10754" max="10754" width="2.1640625" style="1267" customWidth="1"/>
    <col min="10755" max="10770" width="10.6640625" style="1267" customWidth="1"/>
    <col min="10771" max="10772" width="14" style="1267" customWidth="1"/>
    <col min="10773" max="10773" width="54" style="1267" customWidth="1"/>
    <col min="10774" max="10776" width="10.6640625" style="1267" customWidth="1"/>
    <col min="10777" max="10783" width="11.1640625" style="1267" customWidth="1"/>
    <col min="10784" max="11008" width="4.5" style="1267"/>
    <col min="11009" max="11009" width="11.83203125" style="1267" customWidth="1"/>
    <col min="11010" max="11010" width="2.1640625" style="1267" customWidth="1"/>
    <col min="11011" max="11026" width="10.6640625" style="1267" customWidth="1"/>
    <col min="11027" max="11028" width="14" style="1267" customWidth="1"/>
    <col min="11029" max="11029" width="54" style="1267" customWidth="1"/>
    <col min="11030" max="11032" width="10.6640625" style="1267" customWidth="1"/>
    <col min="11033" max="11039" width="11.1640625" style="1267" customWidth="1"/>
    <col min="11040" max="11264" width="4.5" style="1267"/>
    <col min="11265" max="11265" width="11.83203125" style="1267" customWidth="1"/>
    <col min="11266" max="11266" width="2.1640625" style="1267" customWidth="1"/>
    <col min="11267" max="11282" width="10.6640625" style="1267" customWidth="1"/>
    <col min="11283" max="11284" width="14" style="1267" customWidth="1"/>
    <col min="11285" max="11285" width="54" style="1267" customWidth="1"/>
    <col min="11286" max="11288" width="10.6640625" style="1267" customWidth="1"/>
    <col min="11289" max="11295" width="11.1640625" style="1267" customWidth="1"/>
    <col min="11296" max="11520" width="4.5" style="1267"/>
    <col min="11521" max="11521" width="11.83203125" style="1267" customWidth="1"/>
    <col min="11522" max="11522" width="2.1640625" style="1267" customWidth="1"/>
    <col min="11523" max="11538" width="10.6640625" style="1267" customWidth="1"/>
    <col min="11539" max="11540" width="14" style="1267" customWidth="1"/>
    <col min="11541" max="11541" width="54" style="1267" customWidth="1"/>
    <col min="11542" max="11544" width="10.6640625" style="1267" customWidth="1"/>
    <col min="11545" max="11551" width="11.1640625" style="1267" customWidth="1"/>
    <col min="11552" max="11776" width="4.5" style="1267"/>
    <col min="11777" max="11777" width="11.83203125" style="1267" customWidth="1"/>
    <col min="11778" max="11778" width="2.1640625" style="1267" customWidth="1"/>
    <col min="11779" max="11794" width="10.6640625" style="1267" customWidth="1"/>
    <col min="11795" max="11796" width="14" style="1267" customWidth="1"/>
    <col min="11797" max="11797" width="54" style="1267" customWidth="1"/>
    <col min="11798" max="11800" width="10.6640625" style="1267" customWidth="1"/>
    <col min="11801" max="11807" width="11.1640625" style="1267" customWidth="1"/>
    <col min="11808" max="12032" width="4.5" style="1267"/>
    <col min="12033" max="12033" width="11.83203125" style="1267" customWidth="1"/>
    <col min="12034" max="12034" width="2.1640625" style="1267" customWidth="1"/>
    <col min="12035" max="12050" width="10.6640625" style="1267" customWidth="1"/>
    <col min="12051" max="12052" width="14" style="1267" customWidth="1"/>
    <col min="12053" max="12053" width="54" style="1267" customWidth="1"/>
    <col min="12054" max="12056" width="10.6640625" style="1267" customWidth="1"/>
    <col min="12057" max="12063" width="11.1640625" style="1267" customWidth="1"/>
    <col min="12064" max="12288" width="4.5" style="1267"/>
    <col min="12289" max="12289" width="11.83203125" style="1267" customWidth="1"/>
    <col min="12290" max="12290" width="2.1640625" style="1267" customWidth="1"/>
    <col min="12291" max="12306" width="10.6640625" style="1267" customWidth="1"/>
    <col min="12307" max="12308" width="14" style="1267" customWidth="1"/>
    <col min="12309" max="12309" width="54" style="1267" customWidth="1"/>
    <col min="12310" max="12312" width="10.6640625" style="1267" customWidth="1"/>
    <col min="12313" max="12319" width="11.1640625" style="1267" customWidth="1"/>
    <col min="12320" max="12544" width="4.5" style="1267"/>
    <col min="12545" max="12545" width="11.83203125" style="1267" customWidth="1"/>
    <col min="12546" max="12546" width="2.1640625" style="1267" customWidth="1"/>
    <col min="12547" max="12562" width="10.6640625" style="1267" customWidth="1"/>
    <col min="12563" max="12564" width="14" style="1267" customWidth="1"/>
    <col min="12565" max="12565" width="54" style="1267" customWidth="1"/>
    <col min="12566" max="12568" width="10.6640625" style="1267" customWidth="1"/>
    <col min="12569" max="12575" width="11.1640625" style="1267" customWidth="1"/>
    <col min="12576" max="12800" width="4.5" style="1267"/>
    <col min="12801" max="12801" width="11.83203125" style="1267" customWidth="1"/>
    <col min="12802" max="12802" width="2.1640625" style="1267" customWidth="1"/>
    <col min="12803" max="12818" width="10.6640625" style="1267" customWidth="1"/>
    <col min="12819" max="12820" width="14" style="1267" customWidth="1"/>
    <col min="12821" max="12821" width="54" style="1267" customWidth="1"/>
    <col min="12822" max="12824" width="10.6640625" style="1267" customWidth="1"/>
    <col min="12825" max="12831" width="11.1640625" style="1267" customWidth="1"/>
    <col min="12832" max="13056" width="4.5" style="1267"/>
    <col min="13057" max="13057" width="11.83203125" style="1267" customWidth="1"/>
    <col min="13058" max="13058" width="2.1640625" style="1267" customWidth="1"/>
    <col min="13059" max="13074" width="10.6640625" style="1267" customWidth="1"/>
    <col min="13075" max="13076" width="14" style="1267" customWidth="1"/>
    <col min="13077" max="13077" width="54" style="1267" customWidth="1"/>
    <col min="13078" max="13080" width="10.6640625" style="1267" customWidth="1"/>
    <col min="13081" max="13087" width="11.1640625" style="1267" customWidth="1"/>
    <col min="13088" max="13312" width="4.5" style="1267"/>
    <col min="13313" max="13313" width="11.83203125" style="1267" customWidth="1"/>
    <col min="13314" max="13314" width="2.1640625" style="1267" customWidth="1"/>
    <col min="13315" max="13330" width="10.6640625" style="1267" customWidth="1"/>
    <col min="13331" max="13332" width="14" style="1267" customWidth="1"/>
    <col min="13333" max="13333" width="54" style="1267" customWidth="1"/>
    <col min="13334" max="13336" width="10.6640625" style="1267" customWidth="1"/>
    <col min="13337" max="13343" width="11.1640625" style="1267" customWidth="1"/>
    <col min="13344" max="13568" width="4.5" style="1267"/>
    <col min="13569" max="13569" width="11.83203125" style="1267" customWidth="1"/>
    <col min="13570" max="13570" width="2.1640625" style="1267" customWidth="1"/>
    <col min="13571" max="13586" width="10.6640625" style="1267" customWidth="1"/>
    <col min="13587" max="13588" width="14" style="1267" customWidth="1"/>
    <col min="13589" max="13589" width="54" style="1267" customWidth="1"/>
    <col min="13590" max="13592" width="10.6640625" style="1267" customWidth="1"/>
    <col min="13593" max="13599" width="11.1640625" style="1267" customWidth="1"/>
    <col min="13600" max="13824" width="4.5" style="1267"/>
    <col min="13825" max="13825" width="11.83203125" style="1267" customWidth="1"/>
    <col min="13826" max="13826" width="2.1640625" style="1267" customWidth="1"/>
    <col min="13827" max="13842" width="10.6640625" style="1267" customWidth="1"/>
    <col min="13843" max="13844" width="14" style="1267" customWidth="1"/>
    <col min="13845" max="13845" width="54" style="1267" customWidth="1"/>
    <col min="13846" max="13848" width="10.6640625" style="1267" customWidth="1"/>
    <col min="13849" max="13855" width="11.1640625" style="1267" customWidth="1"/>
    <col min="13856" max="14080" width="4.5" style="1267"/>
    <col min="14081" max="14081" width="11.83203125" style="1267" customWidth="1"/>
    <col min="14082" max="14082" width="2.1640625" style="1267" customWidth="1"/>
    <col min="14083" max="14098" width="10.6640625" style="1267" customWidth="1"/>
    <col min="14099" max="14100" width="14" style="1267" customWidth="1"/>
    <col min="14101" max="14101" width="54" style="1267" customWidth="1"/>
    <col min="14102" max="14104" width="10.6640625" style="1267" customWidth="1"/>
    <col min="14105" max="14111" width="11.1640625" style="1267" customWidth="1"/>
    <col min="14112" max="14336" width="4.5" style="1267"/>
    <col min="14337" max="14337" width="11.83203125" style="1267" customWidth="1"/>
    <col min="14338" max="14338" width="2.1640625" style="1267" customWidth="1"/>
    <col min="14339" max="14354" width="10.6640625" style="1267" customWidth="1"/>
    <col min="14355" max="14356" width="14" style="1267" customWidth="1"/>
    <col min="14357" max="14357" width="54" style="1267" customWidth="1"/>
    <col min="14358" max="14360" width="10.6640625" style="1267" customWidth="1"/>
    <col min="14361" max="14367" width="11.1640625" style="1267" customWidth="1"/>
    <col min="14368" max="14592" width="4.5" style="1267"/>
    <col min="14593" max="14593" width="11.83203125" style="1267" customWidth="1"/>
    <col min="14594" max="14594" width="2.1640625" style="1267" customWidth="1"/>
    <col min="14595" max="14610" width="10.6640625" style="1267" customWidth="1"/>
    <col min="14611" max="14612" width="14" style="1267" customWidth="1"/>
    <col min="14613" max="14613" width="54" style="1267" customWidth="1"/>
    <col min="14614" max="14616" width="10.6640625" style="1267" customWidth="1"/>
    <col min="14617" max="14623" width="11.1640625" style="1267" customWidth="1"/>
    <col min="14624" max="14848" width="4.5" style="1267"/>
    <col min="14849" max="14849" width="11.83203125" style="1267" customWidth="1"/>
    <col min="14850" max="14850" width="2.1640625" style="1267" customWidth="1"/>
    <col min="14851" max="14866" width="10.6640625" style="1267" customWidth="1"/>
    <col min="14867" max="14868" width="14" style="1267" customWidth="1"/>
    <col min="14869" max="14869" width="54" style="1267" customWidth="1"/>
    <col min="14870" max="14872" width="10.6640625" style="1267" customWidth="1"/>
    <col min="14873" max="14879" width="11.1640625" style="1267" customWidth="1"/>
    <col min="14880" max="15104" width="4.5" style="1267"/>
    <col min="15105" max="15105" width="11.83203125" style="1267" customWidth="1"/>
    <col min="15106" max="15106" width="2.1640625" style="1267" customWidth="1"/>
    <col min="15107" max="15122" width="10.6640625" style="1267" customWidth="1"/>
    <col min="15123" max="15124" width="14" style="1267" customWidth="1"/>
    <col min="15125" max="15125" width="54" style="1267" customWidth="1"/>
    <col min="15126" max="15128" width="10.6640625" style="1267" customWidth="1"/>
    <col min="15129" max="15135" width="11.1640625" style="1267" customWidth="1"/>
    <col min="15136" max="15360" width="4.5" style="1267"/>
    <col min="15361" max="15361" width="11.83203125" style="1267" customWidth="1"/>
    <col min="15362" max="15362" width="2.1640625" style="1267" customWidth="1"/>
    <col min="15363" max="15378" width="10.6640625" style="1267" customWidth="1"/>
    <col min="15379" max="15380" width="14" style="1267" customWidth="1"/>
    <col min="15381" max="15381" width="54" style="1267" customWidth="1"/>
    <col min="15382" max="15384" width="10.6640625" style="1267" customWidth="1"/>
    <col min="15385" max="15391" width="11.1640625" style="1267" customWidth="1"/>
    <col min="15392" max="15616" width="4.5" style="1267"/>
    <col min="15617" max="15617" width="11.83203125" style="1267" customWidth="1"/>
    <col min="15618" max="15618" width="2.1640625" style="1267" customWidth="1"/>
    <col min="15619" max="15634" width="10.6640625" style="1267" customWidth="1"/>
    <col min="15635" max="15636" width="14" style="1267" customWidth="1"/>
    <col min="15637" max="15637" width="54" style="1267" customWidth="1"/>
    <col min="15638" max="15640" width="10.6640625" style="1267" customWidth="1"/>
    <col min="15641" max="15647" width="11.1640625" style="1267" customWidth="1"/>
    <col min="15648" max="15872" width="4.5" style="1267"/>
    <col min="15873" max="15873" width="11.83203125" style="1267" customWidth="1"/>
    <col min="15874" max="15874" width="2.1640625" style="1267" customWidth="1"/>
    <col min="15875" max="15890" width="10.6640625" style="1267" customWidth="1"/>
    <col min="15891" max="15892" width="14" style="1267" customWidth="1"/>
    <col min="15893" max="15893" width="54" style="1267" customWidth="1"/>
    <col min="15894" max="15896" width="10.6640625" style="1267" customWidth="1"/>
    <col min="15897" max="15903" width="11.1640625" style="1267" customWidth="1"/>
    <col min="15904" max="16128" width="4.5" style="1267"/>
    <col min="16129" max="16129" width="11.83203125" style="1267" customWidth="1"/>
    <col min="16130" max="16130" width="2.1640625" style="1267" customWidth="1"/>
    <col min="16131" max="16146" width="10.6640625" style="1267" customWidth="1"/>
    <col min="16147" max="16148" width="14" style="1267" customWidth="1"/>
    <col min="16149" max="16149" width="54" style="1267" customWidth="1"/>
    <col min="16150" max="16152" width="10.6640625" style="1267" customWidth="1"/>
    <col min="16153" max="16159" width="11.1640625" style="1267" customWidth="1"/>
    <col min="16160" max="16384" width="4.5" style="1267"/>
  </cols>
  <sheetData>
    <row r="1" spans="1:31">
      <c r="A1" s="1266" t="s">
        <v>60</v>
      </c>
      <c r="G1" s="1424"/>
      <c r="H1" s="1425" t="s">
        <v>199</v>
      </c>
      <c r="I1" s="1424"/>
      <c r="J1" s="1424"/>
      <c r="K1" s="1424"/>
      <c r="L1" s="1424"/>
      <c r="M1" s="1424"/>
      <c r="O1" s="1271"/>
      <c r="P1" s="1272"/>
      <c r="R1" s="1272"/>
      <c r="S1" s="1272"/>
      <c r="T1" s="1272"/>
      <c r="U1" s="1272"/>
      <c r="V1" s="1272">
        <f>+Base!V1</f>
        <v>45565</v>
      </c>
    </row>
    <row r="2" spans="1:31">
      <c r="A2" s="1273" t="s">
        <v>62</v>
      </c>
      <c r="B2" s="1274"/>
      <c r="C2" s="1274"/>
      <c r="D2" s="1274"/>
      <c r="E2" s="1274"/>
      <c r="F2" s="1274"/>
      <c r="G2" s="1274"/>
      <c r="H2" s="1274"/>
      <c r="I2" s="1274"/>
      <c r="J2" s="1274"/>
      <c r="K2" s="1274"/>
      <c r="L2" s="1274"/>
      <c r="M2" s="1274"/>
      <c r="N2" s="1274"/>
      <c r="O2" s="1274"/>
      <c r="P2" s="1274"/>
      <c r="Q2" s="1274"/>
      <c r="R2" s="1274"/>
      <c r="S2" s="1274"/>
      <c r="T2" s="1274"/>
      <c r="U2" s="1274"/>
      <c r="V2" s="1274"/>
      <c r="W2" s="1274"/>
      <c r="X2" s="1274"/>
      <c r="Y2" s="1274"/>
      <c r="Z2" s="1274"/>
      <c r="AA2" s="1274"/>
      <c r="AB2" s="1274"/>
      <c r="AC2" s="1274"/>
      <c r="AD2" s="1274"/>
      <c r="AE2" s="1274"/>
    </row>
    <row r="3" spans="1:31">
      <c r="A3" s="1275" t="s">
        <v>63</v>
      </c>
      <c r="C3" s="1276"/>
      <c r="D3" s="1276"/>
      <c r="E3" s="1276"/>
      <c r="F3" s="1276"/>
      <c r="G3" s="1276"/>
      <c r="H3" s="1276"/>
      <c r="I3" s="1276"/>
      <c r="J3" s="1276"/>
      <c r="K3" s="1276">
        <f>+Base!K3</f>
        <v>45565</v>
      </c>
      <c r="L3" s="1276">
        <v>46203</v>
      </c>
      <c r="M3" s="1276">
        <v>46568</v>
      </c>
      <c r="N3" s="1276">
        <v>46934</v>
      </c>
      <c r="O3" s="1276">
        <v>47299</v>
      </c>
      <c r="P3" s="1276">
        <v>47664</v>
      </c>
      <c r="Q3" s="1276">
        <v>48029</v>
      </c>
      <c r="R3" s="1276">
        <v>48395</v>
      </c>
      <c r="S3" s="1276">
        <v>48760</v>
      </c>
      <c r="T3" s="1276">
        <v>49125</v>
      </c>
      <c r="U3" s="1276">
        <v>49490</v>
      </c>
      <c r="V3" s="1276">
        <v>49856</v>
      </c>
    </row>
    <row r="4" spans="1:31" ht="20.100000000000001">
      <c r="A4" s="1277"/>
      <c r="C4" s="1278"/>
      <c r="D4" s="1278" t="str">
        <f>+'Historical Financials'!D5</f>
        <v>FYE June 30th</v>
      </c>
      <c r="E4" s="1279"/>
      <c r="F4" s="1279"/>
      <c r="G4" s="1279"/>
      <c r="H4" s="1279"/>
      <c r="I4" s="1279"/>
      <c r="J4" s="1279"/>
      <c r="K4" s="1279"/>
      <c r="L4" s="1279"/>
      <c r="M4" s="1279"/>
      <c r="N4" s="1279"/>
      <c r="O4" s="1279"/>
      <c r="P4" s="1279"/>
      <c r="Q4" s="1279"/>
      <c r="R4" s="1279"/>
      <c r="S4" s="1279"/>
      <c r="T4" s="1279"/>
      <c r="U4" s="1279"/>
      <c r="V4" s="1279"/>
    </row>
    <row r="5" spans="1:31" ht="20.100000000000001">
      <c r="C5" s="1280" t="s">
        <v>64</v>
      </c>
      <c r="D5" s="1280" t="s">
        <v>65</v>
      </c>
      <c r="E5" s="1280" t="s">
        <v>66</v>
      </c>
      <c r="F5" s="1280" t="s">
        <v>67</v>
      </c>
      <c r="G5" s="1280" t="s">
        <v>68</v>
      </c>
      <c r="H5" s="1280" t="s">
        <v>69</v>
      </c>
      <c r="I5" s="1280" t="s">
        <v>70</v>
      </c>
      <c r="J5" s="1280" t="s">
        <v>71</v>
      </c>
      <c r="K5" s="1281" t="s">
        <v>72</v>
      </c>
      <c r="L5" s="1280" t="s">
        <v>73</v>
      </c>
      <c r="M5" s="1280" t="s">
        <v>74</v>
      </c>
      <c r="N5" s="1280" t="s">
        <v>75</v>
      </c>
      <c r="O5" s="1280" t="s">
        <v>76</v>
      </c>
      <c r="P5" s="1280" t="s">
        <v>77</v>
      </c>
      <c r="Q5" s="1280" t="s">
        <v>78</v>
      </c>
      <c r="R5" s="1280" t="s">
        <v>79</v>
      </c>
      <c r="S5" s="1280" t="s">
        <v>80</v>
      </c>
      <c r="T5" s="1280" t="s">
        <v>81</v>
      </c>
      <c r="U5" s="1280" t="s">
        <v>82</v>
      </c>
      <c r="V5" s="1280" t="s">
        <v>83</v>
      </c>
    </row>
    <row r="6" spans="1:31" ht="20.100000000000001">
      <c r="A6" s="1282" t="s">
        <v>84</v>
      </c>
      <c r="B6" s="1283"/>
      <c r="C6" s="1280"/>
      <c r="D6" s="1280"/>
      <c r="E6" s="1280"/>
      <c r="F6" s="1280"/>
      <c r="G6" s="1280"/>
      <c r="H6" s="1280"/>
      <c r="I6" s="1280"/>
      <c r="J6" s="1280"/>
      <c r="K6" s="1281"/>
      <c r="L6" s="1280"/>
      <c r="M6" s="1280"/>
      <c r="N6" s="1280"/>
      <c r="O6" s="1280"/>
      <c r="P6" s="1280"/>
      <c r="Q6" s="1280"/>
      <c r="R6" s="1280"/>
      <c r="S6" s="1280"/>
      <c r="T6" s="1280"/>
      <c r="U6" s="1280"/>
      <c r="V6" s="1280"/>
    </row>
    <row r="7" spans="1:31" ht="20.100000000000001">
      <c r="C7" s="1284"/>
      <c r="D7" s="1285"/>
      <c r="E7" s="1286"/>
      <c r="F7" s="1287"/>
      <c r="G7" s="1287"/>
      <c r="H7" s="1287"/>
      <c r="I7" s="1287"/>
      <c r="J7" s="1285"/>
      <c r="K7" s="1288" t="str">
        <f>+Base!K7</f>
        <v>c = 279,049</v>
      </c>
      <c r="L7" s="1289"/>
      <c r="M7" s="1280"/>
      <c r="N7" s="1280"/>
      <c r="O7" s="1280"/>
      <c r="P7" s="1280"/>
      <c r="Q7" s="1280"/>
      <c r="R7" s="1280"/>
      <c r="S7" s="1280"/>
      <c r="T7" s="1280"/>
      <c r="U7" s="1280"/>
      <c r="V7" s="1280"/>
    </row>
    <row r="8" spans="1:31">
      <c r="A8" s="1267" t="s">
        <v>86</v>
      </c>
      <c r="B8" s="1290"/>
      <c r="C8" s="1291">
        <f>+'Historical Financials'!BH12</f>
        <v>96571</v>
      </c>
      <c r="D8" s="1291">
        <f>+'Historical Financials'!BI12</f>
        <v>110360</v>
      </c>
      <c r="E8" s="1291">
        <f>+'Historical Financials'!BJ12</f>
        <v>125843</v>
      </c>
      <c r="F8" s="1292">
        <f>+'Historical Financials'!BK12</f>
        <v>143015</v>
      </c>
      <c r="G8" s="1292">
        <f>+'Historical Financials'!BL12</f>
        <v>168088</v>
      </c>
      <c r="H8" s="1292">
        <f>+'Historical Financials'!BM12</f>
        <v>198270</v>
      </c>
      <c r="I8" s="1292">
        <f>+'Historical Financials'!BN12</f>
        <v>211915</v>
      </c>
      <c r="J8" s="1292">
        <f>+'Historical Financials'!BO12</f>
        <v>245122</v>
      </c>
      <c r="K8" s="1293">
        <f>+'Historical Financials'!BP12</f>
        <v>281211.84671227756</v>
      </c>
      <c r="L8" s="1294">
        <f t="shared" ref="L8:V8" si="0">K8*(1+L9)</f>
        <v>303708.79444925976</v>
      </c>
      <c r="M8" s="1294">
        <f t="shared" si="0"/>
        <v>328005.49800520058</v>
      </c>
      <c r="N8" s="1294">
        <f t="shared" si="0"/>
        <v>354245.93784561666</v>
      </c>
      <c r="O8" s="1294">
        <f t="shared" si="0"/>
        <v>382585.61287326604</v>
      </c>
      <c r="P8" s="1294">
        <f t="shared" si="0"/>
        <v>413192.46190312738</v>
      </c>
      <c r="Q8" s="1294">
        <f t="shared" si="0"/>
        <v>446247.85885537759</v>
      </c>
      <c r="R8" s="1294">
        <f t="shared" si="0"/>
        <v>481947.68756380782</v>
      </c>
      <c r="S8" s="1294">
        <f t="shared" si="0"/>
        <v>520503.50256891246</v>
      </c>
      <c r="T8" s="1294">
        <f t="shared" si="0"/>
        <v>562143.78277442546</v>
      </c>
      <c r="U8" s="1294">
        <f t="shared" si="0"/>
        <v>607115.28539637954</v>
      </c>
      <c r="V8" s="1294">
        <f t="shared" si="0"/>
        <v>655684.50822808989</v>
      </c>
    </row>
    <row r="9" spans="1:31" ht="20.100000000000001">
      <c r="A9" s="1295" t="s">
        <v>87</v>
      </c>
      <c r="C9" s="1296"/>
      <c r="D9" s="1297">
        <f t="shared" ref="D9:K9" si="1">D8/C8-1</f>
        <v>0.14278613662486661</v>
      </c>
      <c r="E9" s="1297">
        <f t="shared" si="1"/>
        <v>0.14029539688292858</v>
      </c>
      <c r="F9" s="1297">
        <f t="shared" si="1"/>
        <v>0.13645574247276371</v>
      </c>
      <c r="G9" s="1297">
        <f t="shared" si="1"/>
        <v>0.17531727441177503</v>
      </c>
      <c r="H9" s="1297">
        <f t="shared" si="1"/>
        <v>0.17956070629670173</v>
      </c>
      <c r="I9" s="1296">
        <f t="shared" si="1"/>
        <v>6.8820295556564215E-2</v>
      </c>
      <c r="J9" s="1296">
        <f t="shared" si="1"/>
        <v>0.1566996201307127</v>
      </c>
      <c r="K9" s="1298">
        <f t="shared" si="1"/>
        <v>0.14723218116806147</v>
      </c>
      <c r="L9" s="1299">
        <v>0.08</v>
      </c>
      <c r="M9" s="1299">
        <f t="shared" ref="M9:V9" si="2">+L9</f>
        <v>0.08</v>
      </c>
      <c r="N9" s="1299">
        <f t="shared" si="2"/>
        <v>0.08</v>
      </c>
      <c r="O9" s="1299">
        <f t="shared" si="2"/>
        <v>0.08</v>
      </c>
      <c r="P9" s="1299">
        <f t="shared" si="2"/>
        <v>0.08</v>
      </c>
      <c r="Q9" s="1299">
        <f t="shared" si="2"/>
        <v>0.08</v>
      </c>
      <c r="R9" s="1299">
        <f t="shared" si="2"/>
        <v>0.08</v>
      </c>
      <c r="S9" s="1299">
        <f t="shared" si="2"/>
        <v>0.08</v>
      </c>
      <c r="T9" s="1299">
        <f t="shared" si="2"/>
        <v>0.08</v>
      </c>
      <c r="U9" s="1299">
        <f t="shared" si="2"/>
        <v>0.08</v>
      </c>
      <c r="V9" s="1299">
        <f t="shared" si="2"/>
        <v>0.08</v>
      </c>
      <c r="Y9" s="1300" t="s">
        <v>60</v>
      </c>
      <c r="AA9" s="1280" t="s">
        <v>88</v>
      </c>
    </row>
    <row r="10" spans="1:31">
      <c r="A10" s="1295" t="s">
        <v>89</v>
      </c>
      <c r="C10" s="1296"/>
      <c r="D10" s="1297">
        <f>+'Historical Financials'!BI15</f>
        <v>0.12866916569156372</v>
      </c>
      <c r="E10" s="1297">
        <f>+'Historical Financials'!BJ15</f>
        <v>0.1508835628851033</v>
      </c>
      <c r="F10" s="1297">
        <f>+'Historical Financials'!BK15</f>
        <v>0.15208497890228301</v>
      </c>
      <c r="G10" s="1297">
        <f>+'Historical Financials'!BL15</f>
        <v>0.1534946089571024</v>
      </c>
      <c r="H10" s="1297">
        <f>+'Historical Financials'!BM15</f>
        <v>0.18958755731124965</v>
      </c>
      <c r="I10" s="1297">
        <f>+'Historical Financials'!BN15</f>
        <v>0.10029775894823553</v>
      </c>
      <c r="J10" s="1296">
        <f>+'Historical Financials'!BO15</f>
        <v>0.12609841999640306</v>
      </c>
      <c r="K10" s="1298">
        <f>+'Historical Financials'!BP15</f>
        <v>0.12358334499224677</v>
      </c>
      <c r="L10" s="1297">
        <f t="shared" ref="L10:V10" si="3">+L9</f>
        <v>0.08</v>
      </c>
      <c r="M10" s="1297">
        <f t="shared" si="3"/>
        <v>0.08</v>
      </c>
      <c r="N10" s="1297">
        <f t="shared" si="3"/>
        <v>0.08</v>
      </c>
      <c r="O10" s="1297">
        <f t="shared" si="3"/>
        <v>0.08</v>
      </c>
      <c r="P10" s="1297">
        <f t="shared" si="3"/>
        <v>0.08</v>
      </c>
      <c r="Q10" s="1297">
        <f t="shared" si="3"/>
        <v>0.08</v>
      </c>
      <c r="R10" s="1297">
        <f t="shared" si="3"/>
        <v>0.08</v>
      </c>
      <c r="S10" s="1297">
        <f t="shared" si="3"/>
        <v>0.08</v>
      </c>
      <c r="T10" s="1297">
        <f t="shared" si="3"/>
        <v>0.08</v>
      </c>
      <c r="U10" s="1297">
        <f t="shared" si="3"/>
        <v>0.08</v>
      </c>
      <c r="V10" s="1297">
        <f t="shared" si="3"/>
        <v>0.08</v>
      </c>
      <c r="Y10" s="1301" t="s">
        <v>90</v>
      </c>
      <c r="AA10" s="1302"/>
    </row>
    <row r="11" spans="1:31">
      <c r="A11" s="1295"/>
      <c r="C11" s="1296"/>
      <c r="D11" s="1297"/>
      <c r="E11" s="1297"/>
      <c r="F11" s="1297"/>
      <c r="G11" s="1303"/>
      <c r="H11" s="1303"/>
      <c r="I11" s="1304"/>
      <c r="J11" s="1304"/>
      <c r="K11" s="1305"/>
      <c r="L11" s="1303"/>
      <c r="M11" s="1303"/>
      <c r="N11" s="1303"/>
      <c r="O11" s="1303"/>
      <c r="P11" s="1303"/>
      <c r="Q11" s="1303"/>
      <c r="R11" s="1303"/>
      <c r="S11" s="1303"/>
      <c r="T11" s="1303"/>
      <c r="U11" s="1303"/>
      <c r="V11" s="1303"/>
      <c r="Y11" s="1267" t="s">
        <v>91</v>
      </c>
      <c r="AA11" s="1302" t="s">
        <v>92</v>
      </c>
    </row>
    <row r="12" spans="1:31">
      <c r="A12" s="1295"/>
      <c r="C12" s="1296"/>
      <c r="D12" s="1297"/>
      <c r="E12" s="1297"/>
      <c r="F12" s="1287"/>
      <c r="G12" s="1287"/>
      <c r="H12" s="1287"/>
      <c r="I12" s="1287"/>
      <c r="J12" s="1285"/>
      <c r="K12" s="1288" t="str">
        <f>+Base!K12</f>
        <v>c = 122,460</v>
      </c>
      <c r="L12" s="1303"/>
      <c r="M12" s="1303"/>
      <c r="N12" s="1303"/>
      <c r="O12" s="1303"/>
      <c r="P12" s="1303"/>
      <c r="Q12" s="1303"/>
      <c r="R12" s="1303"/>
      <c r="S12" s="1303"/>
      <c r="T12" s="1303"/>
      <c r="U12" s="1303"/>
      <c r="V12" s="1303"/>
      <c r="Y12" s="1267" t="s">
        <v>94</v>
      </c>
      <c r="AA12" s="1306">
        <v>0.04</v>
      </c>
    </row>
    <row r="13" spans="1:31">
      <c r="A13" s="1307" t="s">
        <v>95</v>
      </c>
      <c r="B13" s="1290"/>
      <c r="C13" s="1291">
        <f>+'Historical Financials'!BH48</f>
        <v>29331</v>
      </c>
      <c r="D13" s="1291">
        <f>+'Historical Financials'!BI48</f>
        <v>35058</v>
      </c>
      <c r="E13" s="1292">
        <f>+'Historical Financials'!BJ48</f>
        <v>42959</v>
      </c>
      <c r="F13" s="1292">
        <f>+'Historical Financials'!BK48</f>
        <v>52959</v>
      </c>
      <c r="G13" s="1308">
        <f>+'Historical Financials'!BL48</f>
        <v>69916</v>
      </c>
      <c r="H13" s="1308">
        <f>+'Historical Financials'!BM48</f>
        <v>83383</v>
      </c>
      <c r="I13" s="1308">
        <f>+'Historical Financials'!BN48</f>
        <v>89694</v>
      </c>
      <c r="J13" s="1292">
        <f>+'Historical Financials'!BO48</f>
        <v>112443</v>
      </c>
      <c r="K13" s="1293">
        <f>+'Historical Financials'!BP48</f>
        <v>133290.34849037323</v>
      </c>
      <c r="L13" s="1294">
        <f t="shared" ref="L13:V13" si="4">+L8*L16</f>
        <v>144783.76944767387</v>
      </c>
      <c r="M13" s="1294">
        <f t="shared" si="4"/>
        <v>157263.07952780425</v>
      </c>
      <c r="N13" s="1294">
        <f t="shared" si="4"/>
        <v>170812.46309629036</v>
      </c>
      <c r="O13" s="1294">
        <f t="shared" si="4"/>
        <v>185523.26432675633</v>
      </c>
      <c r="P13" s="1294">
        <f t="shared" si="4"/>
        <v>201494.59399028058</v>
      </c>
      <c r="Q13" s="1294">
        <f t="shared" si="4"/>
        <v>218833.98750827747</v>
      </c>
      <c r="R13" s="1294">
        <f t="shared" si="4"/>
        <v>237658.11858761605</v>
      </c>
      <c r="S13" s="1294">
        <f t="shared" si="4"/>
        <v>258093.57311959579</v>
      </c>
      <c r="T13" s="1294">
        <f t="shared" si="4"/>
        <v>280277.68841773161</v>
      </c>
      <c r="U13" s="1294">
        <f t="shared" si="4"/>
        <v>304359.46329560358</v>
      </c>
      <c r="V13" s="1294">
        <f t="shared" si="4"/>
        <v>333234.54650865635</v>
      </c>
      <c r="Y13" s="1267" t="s">
        <v>96</v>
      </c>
      <c r="AA13" s="1302" t="s">
        <v>97</v>
      </c>
    </row>
    <row r="14" spans="1:31">
      <c r="A14" s="1295" t="s">
        <v>87</v>
      </c>
      <c r="C14" s="1296"/>
      <c r="D14" s="1297">
        <f t="shared" ref="D14:V14" si="5">D13/C13-1</f>
        <v>0.19525416794517736</v>
      </c>
      <c r="E14" s="1297">
        <f t="shared" si="5"/>
        <v>0.22536938787152727</v>
      </c>
      <c r="F14" s="1297">
        <f t="shared" si="5"/>
        <v>0.23278009264647692</v>
      </c>
      <c r="G14" s="1296">
        <f t="shared" si="5"/>
        <v>0.3201910912215109</v>
      </c>
      <c r="H14" s="1296">
        <f t="shared" si="5"/>
        <v>0.19261685451112753</v>
      </c>
      <c r="I14" s="1296">
        <f t="shared" si="5"/>
        <v>7.5686890613194446E-2</v>
      </c>
      <c r="J14" s="1296">
        <f t="shared" si="5"/>
        <v>0.25362900528463439</v>
      </c>
      <c r="K14" s="1298">
        <f t="shared" si="5"/>
        <v>0.18540370223467217</v>
      </c>
      <c r="L14" s="1297">
        <f t="shared" si="5"/>
        <v>8.622845605457119E-2</v>
      </c>
      <c r="M14" s="1297">
        <f t="shared" si="5"/>
        <v>8.6192741960904096E-2</v>
      </c>
      <c r="N14" s="1297">
        <f t="shared" si="5"/>
        <v>8.6157435102818036E-2</v>
      </c>
      <c r="O14" s="1297">
        <f t="shared" si="5"/>
        <v>8.6122528554448685E-2</v>
      </c>
      <c r="P14" s="1297">
        <f t="shared" si="5"/>
        <v>8.6088015546095908E-2</v>
      </c>
      <c r="Q14" s="1297">
        <f t="shared" si="5"/>
        <v>8.6053889459849708E-2</v>
      </c>
      <c r="R14" s="1297">
        <f t="shared" si="5"/>
        <v>8.6020143825357831E-2</v>
      </c>
      <c r="S14" s="1297">
        <f t="shared" si="5"/>
        <v>8.5986772315737037E-2</v>
      </c>
      <c r="T14" s="1297">
        <f t="shared" si="5"/>
        <v>8.5953768743618042E-2</v>
      </c>
      <c r="U14" s="1297">
        <f t="shared" si="5"/>
        <v>8.5921127057320357E-2</v>
      </c>
      <c r="V14" s="1297">
        <f t="shared" si="5"/>
        <v>9.4871645850578945E-2</v>
      </c>
      <c r="AA14" s="1302"/>
    </row>
    <row r="15" spans="1:31" s="1277" customFormat="1">
      <c r="A15" s="1295" t="s">
        <v>98</v>
      </c>
      <c r="C15" s="1296"/>
      <c r="D15" s="1309">
        <f>+D24</f>
        <v>0.17249565306331185</v>
      </c>
      <c r="E15" s="1309">
        <f>+E24</f>
        <v>0.24103656797307321</v>
      </c>
      <c r="F15" s="1309">
        <f>+F24</f>
        <v>0.29050722782187671</v>
      </c>
      <c r="G15" s="1310">
        <f>+'Historical Financials'!BL61</f>
        <v>0.22807492588606293</v>
      </c>
      <c r="H15" s="1310">
        <f>+'Historical Financials'!BM61</f>
        <v>0.25276367406485195</v>
      </c>
      <c r="I15" s="1310">
        <f>+'Historical Financials'!BN61</f>
        <v>9.6498489478974617E-2</v>
      </c>
      <c r="J15" s="1310">
        <f>+'Historical Financials'!BO61</f>
        <v>0.2726341594082406</v>
      </c>
      <c r="K15" s="1305"/>
      <c r="L15" s="1303"/>
      <c r="M15" s="1303"/>
      <c r="N15" s="1303"/>
      <c r="O15" s="1303"/>
      <c r="P15" s="1303"/>
      <c r="Q15" s="1303"/>
      <c r="R15" s="1303"/>
      <c r="S15" s="1303"/>
      <c r="T15" s="1303"/>
      <c r="U15" s="1303"/>
      <c r="V15" s="1303"/>
      <c r="X15" s="1295"/>
      <c r="Y15" s="1295"/>
      <c r="AA15" s="1323"/>
    </row>
    <row r="16" spans="1:31">
      <c r="A16" s="1295" t="s">
        <v>99</v>
      </c>
      <c r="C16" s="1296"/>
      <c r="D16" s="1297">
        <f t="shared" ref="D16:K16" si="6">+D13/D8</f>
        <v>0.31766944545125048</v>
      </c>
      <c r="E16" s="1297">
        <f t="shared" si="6"/>
        <v>0.3413698020549415</v>
      </c>
      <c r="F16" s="1297">
        <f t="shared" si="6"/>
        <v>0.37030381428521486</v>
      </c>
      <c r="G16" s="1296">
        <f t="shared" si="6"/>
        <v>0.41594878872971303</v>
      </c>
      <c r="H16" s="1296">
        <f t="shared" si="6"/>
        <v>0.4205527815604983</v>
      </c>
      <c r="I16" s="1296">
        <f t="shared" si="6"/>
        <v>0.42325460679989618</v>
      </c>
      <c r="J16" s="1296">
        <f t="shared" si="6"/>
        <v>0.45872259527908554</v>
      </c>
      <c r="K16" s="1311">
        <f t="shared" si="6"/>
        <v>0.47398553812261512</v>
      </c>
      <c r="L16" s="1299">
        <f t="shared" ref="L16:T16" si="7">+K16+($U$16-$K$16)/10</f>
        <v>0.47671905487696609</v>
      </c>
      <c r="M16" s="1299">
        <f t="shared" si="7"/>
        <v>0.47945257163131705</v>
      </c>
      <c r="N16" s="1299">
        <f t="shared" si="7"/>
        <v>0.48218608838566801</v>
      </c>
      <c r="O16" s="1299">
        <f t="shared" si="7"/>
        <v>0.48491960514001897</v>
      </c>
      <c r="P16" s="1299">
        <f t="shared" si="7"/>
        <v>0.48765312189436993</v>
      </c>
      <c r="Q16" s="1299">
        <f t="shared" si="7"/>
        <v>0.4903866386487209</v>
      </c>
      <c r="R16" s="1299">
        <f t="shared" si="7"/>
        <v>0.49312015540307186</v>
      </c>
      <c r="S16" s="1299">
        <f t="shared" si="7"/>
        <v>0.49585367215742282</v>
      </c>
      <c r="T16" s="1299">
        <f t="shared" si="7"/>
        <v>0.49858718891177378</v>
      </c>
      <c r="U16" s="1299">
        <f>48.1%+U49-U29</f>
        <v>0.50132070566612452</v>
      </c>
      <c r="V16" s="1299">
        <f>48.1%+V49-V29</f>
        <v>0.50822391306633652</v>
      </c>
      <c r="Y16" s="1267" t="s">
        <v>100</v>
      </c>
      <c r="AA16" s="1302" t="s">
        <v>92</v>
      </c>
    </row>
    <row r="17" spans="1:28">
      <c r="A17" s="1295" t="s">
        <v>101</v>
      </c>
      <c r="C17" s="1297"/>
      <c r="D17" s="1297">
        <f t="shared" ref="D17:V17" si="8">(D13-C13)/(D8-C8)</f>
        <v>0.41533106099064471</v>
      </c>
      <c r="E17" s="1297">
        <f t="shared" si="8"/>
        <v>0.51030162113285538</v>
      </c>
      <c r="F17" s="1297">
        <f t="shared" si="8"/>
        <v>0.58234334963894707</v>
      </c>
      <c r="G17" s="1296">
        <f t="shared" si="8"/>
        <v>0.67630518884856217</v>
      </c>
      <c r="H17" s="1296">
        <f t="shared" si="8"/>
        <v>0.44619309522231793</v>
      </c>
      <c r="I17" s="1296">
        <f t="shared" si="8"/>
        <v>0.46251374129717843</v>
      </c>
      <c r="J17" s="1296">
        <f t="shared" si="8"/>
        <v>0.68506640166230015</v>
      </c>
      <c r="K17" s="1311">
        <f t="shared" si="8"/>
        <v>0.57765134489421599</v>
      </c>
      <c r="L17" s="1296">
        <f t="shared" si="8"/>
        <v>0.510888014306353</v>
      </c>
      <c r="M17" s="1296">
        <f t="shared" si="8"/>
        <v>0.51362153106070407</v>
      </c>
      <c r="N17" s="1296">
        <f t="shared" si="8"/>
        <v>0.51635504781505481</v>
      </c>
      <c r="O17" s="1296">
        <f t="shared" si="8"/>
        <v>0.51908856456940611</v>
      </c>
      <c r="P17" s="1296">
        <f t="shared" si="8"/>
        <v>0.52182208132375718</v>
      </c>
      <c r="Q17" s="1296">
        <f t="shared" si="8"/>
        <v>0.52455559807810803</v>
      </c>
      <c r="R17" s="1296">
        <f t="shared" si="8"/>
        <v>0.52728911483245888</v>
      </c>
      <c r="S17" s="1296">
        <f t="shared" si="8"/>
        <v>0.53002263158680918</v>
      </c>
      <c r="T17" s="1296">
        <f t="shared" si="8"/>
        <v>0.53275614834116158</v>
      </c>
      <c r="U17" s="1296">
        <f t="shared" si="8"/>
        <v>0.53548966509550844</v>
      </c>
      <c r="V17" s="1296">
        <f t="shared" si="8"/>
        <v>0.59451400556898593</v>
      </c>
      <c r="Y17" s="1267" t="s">
        <v>102</v>
      </c>
      <c r="AA17" s="1302" t="s">
        <v>103</v>
      </c>
    </row>
    <row r="18" spans="1:28">
      <c r="A18" s="1295" t="s">
        <v>104</v>
      </c>
      <c r="C18" s="1297"/>
      <c r="D18" s="1297">
        <f>+'Historical Financials'!BI54</f>
        <v>0.40717753754111435</v>
      </c>
      <c r="E18" s="1297">
        <f>+'Historical Financials'!BJ54</f>
        <v>0.50747709967444388</v>
      </c>
      <c r="F18" s="1297">
        <f>+'Historical Financials'!BK54</f>
        <v>0.65080049690651331</v>
      </c>
      <c r="G18" s="1296">
        <f>+'Historical Financials'!BL54</f>
        <v>0.55022789120906668</v>
      </c>
      <c r="H18" s="1296">
        <f>+'Historical Financials'!BM54</f>
        <v>0.54843620075989441</v>
      </c>
      <c r="I18" s="1296">
        <f>+'Historical Financials'!BN54</f>
        <v>0.38351640596561781</v>
      </c>
      <c r="J18" s="1296">
        <f>+'Historical Financials'!BO54</f>
        <v>0.75352945184063325</v>
      </c>
      <c r="K18" s="1288"/>
      <c r="L18" s="1299"/>
      <c r="M18" s="1299"/>
      <c r="N18" s="1299"/>
      <c r="O18" s="1299"/>
      <c r="P18" s="1299"/>
      <c r="Q18" s="1299"/>
      <c r="R18" s="1299"/>
      <c r="S18" s="1299"/>
      <c r="T18" s="1299"/>
      <c r="U18" s="1299"/>
      <c r="V18" s="1299"/>
      <c r="Y18" s="1267" t="s">
        <v>105</v>
      </c>
      <c r="AA18" s="1302" t="s">
        <v>103</v>
      </c>
    </row>
    <row r="19" spans="1:28">
      <c r="A19" s="1295"/>
      <c r="C19" s="1296"/>
      <c r="D19" s="1297"/>
      <c r="E19" s="1297"/>
      <c r="F19" s="1297"/>
      <c r="G19" s="1303"/>
      <c r="H19" s="1303"/>
      <c r="I19" s="1303"/>
      <c r="J19" s="1303"/>
      <c r="K19" s="1305"/>
      <c r="L19" s="1303"/>
      <c r="M19" s="1303"/>
      <c r="N19" s="1303"/>
      <c r="O19" s="1303"/>
      <c r="P19" s="1303"/>
      <c r="Q19" s="1303"/>
      <c r="R19" s="1303"/>
      <c r="S19" s="1303"/>
      <c r="T19" s="1303"/>
      <c r="U19" s="1303"/>
      <c r="V19" s="1303"/>
    </row>
    <row r="20" spans="1:28" ht="20.100000000000001" hidden="1" outlineLevel="1">
      <c r="A20" s="1312" t="s">
        <v>106</v>
      </c>
      <c r="C20" s="1313"/>
      <c r="D20" s="1314"/>
      <c r="E20" s="1314"/>
      <c r="F20" s="1314"/>
      <c r="G20" s="1315"/>
      <c r="H20" s="1315"/>
      <c r="I20" s="1315"/>
      <c r="J20" s="1315"/>
      <c r="K20" s="1316"/>
      <c r="L20" s="1315"/>
      <c r="M20" s="1315"/>
      <c r="N20" s="1315"/>
      <c r="O20" s="1315"/>
      <c r="P20" s="1315"/>
      <c r="Q20" s="1315"/>
      <c r="R20" s="1315"/>
      <c r="S20" s="1315"/>
      <c r="T20" s="1315"/>
      <c r="U20" s="1315"/>
      <c r="V20" s="1315"/>
      <c r="X20" s="1312"/>
      <c r="Z20" s="1278" t="s">
        <v>107</v>
      </c>
      <c r="AA20" s="1279"/>
      <c r="AB20" s="1277"/>
    </row>
    <row r="21" spans="1:28" s="1277" customFormat="1" ht="20.100000000000001" hidden="1" outlineLevel="1">
      <c r="A21" s="1295" t="s">
        <v>108</v>
      </c>
      <c r="C21" s="1296"/>
      <c r="D21" s="1297">
        <f t="shared" ref="D21:I21" si="9">+D14</f>
        <v>0.19525416794517736</v>
      </c>
      <c r="E21" s="1297">
        <f t="shared" si="9"/>
        <v>0.22536938787152727</v>
      </c>
      <c r="F21" s="1297">
        <f t="shared" si="9"/>
        <v>0.23278009264647692</v>
      </c>
      <c r="G21" s="1296">
        <f t="shared" si="9"/>
        <v>0.3201910912215109</v>
      </c>
      <c r="H21" s="1296">
        <f t="shared" si="9"/>
        <v>0.19261685451112753</v>
      </c>
      <c r="I21" s="1296">
        <f t="shared" si="9"/>
        <v>7.5686890613194446E-2</v>
      </c>
      <c r="J21" s="1303"/>
      <c r="K21" s="1305"/>
      <c r="L21" s="1303"/>
      <c r="M21" s="1303"/>
      <c r="N21" s="1303"/>
      <c r="O21" s="1303"/>
      <c r="P21" s="1303"/>
      <c r="Q21" s="1303"/>
      <c r="R21" s="1303"/>
      <c r="S21" s="1303"/>
      <c r="T21" s="1303"/>
      <c r="U21" s="1303"/>
      <c r="V21" s="1303"/>
      <c r="X21" s="1295"/>
      <c r="Z21" s="1280" t="s">
        <v>109</v>
      </c>
      <c r="AA21" s="1280" t="s">
        <v>88</v>
      </c>
    </row>
    <row r="22" spans="1:28" s="1277" customFormat="1" hidden="1" outlineLevel="1">
      <c r="A22" s="1295" t="s">
        <v>110</v>
      </c>
      <c r="C22" s="1296"/>
      <c r="D22" s="1309">
        <f>+D21</f>
        <v>0.19525416794517736</v>
      </c>
      <c r="E22" s="1309">
        <f>+E21</f>
        <v>0.22536938787152727</v>
      </c>
      <c r="F22" s="1309">
        <f>+F21</f>
        <v>0.23278009264647692</v>
      </c>
      <c r="G22" s="1310">
        <f>+'Historical Financials'!BL58</f>
        <v>0.26542721728129309</v>
      </c>
      <c r="H22" s="1310">
        <f>+'Historical Financials'!BM58</f>
        <v>0.23513022821554716</v>
      </c>
      <c r="I22" s="1310">
        <f>+'Historical Financials'!BN58</f>
        <v>3.1422154974339353E-2</v>
      </c>
      <c r="J22" s="1303"/>
      <c r="K22" s="1305"/>
      <c r="L22" s="1303"/>
      <c r="M22" s="1303"/>
      <c r="N22" s="1303"/>
      <c r="O22" s="1303"/>
      <c r="P22" s="1303"/>
      <c r="Q22" s="1303"/>
      <c r="R22" s="1303"/>
      <c r="S22" s="1303"/>
      <c r="T22" s="1303"/>
      <c r="U22" s="1303"/>
      <c r="V22" s="1303"/>
      <c r="X22" s="1295"/>
      <c r="Y22" s="1317" t="s">
        <v>111</v>
      </c>
    </row>
    <row r="23" spans="1:28" s="1277" customFormat="1" hidden="1" outlineLevel="1">
      <c r="A23" s="1295"/>
      <c r="C23" s="1296"/>
      <c r="D23" s="1309"/>
      <c r="E23" s="1309"/>
      <c r="F23" s="1309"/>
      <c r="G23" s="1310"/>
      <c r="H23" s="1310"/>
      <c r="I23" s="1310"/>
      <c r="J23" s="1303"/>
      <c r="K23" s="1305"/>
      <c r="L23" s="1303"/>
      <c r="M23" s="1303"/>
      <c r="N23" s="1303"/>
      <c r="O23" s="1303"/>
      <c r="P23" s="1303"/>
      <c r="Q23" s="1303"/>
      <c r="R23" s="1303"/>
      <c r="S23" s="1303"/>
      <c r="T23" s="1303"/>
      <c r="U23" s="1303"/>
      <c r="V23" s="1303"/>
      <c r="X23" s="1295"/>
      <c r="Y23" s="1267" t="s">
        <v>86</v>
      </c>
      <c r="Z23" s="1318">
        <f>+H8</f>
        <v>198270</v>
      </c>
      <c r="AA23" s="1319">
        <f>+Z23*(1+AA24)</f>
        <v>218097.00000000003</v>
      </c>
    </row>
    <row r="24" spans="1:28" s="1277" customFormat="1" hidden="1" outlineLevel="1">
      <c r="A24" s="1295" t="s">
        <v>112</v>
      </c>
      <c r="C24" s="1296"/>
      <c r="D24" s="1309">
        <f>+'Historical Financials'!BI60</f>
        <v>0.17249565306331185</v>
      </c>
      <c r="E24" s="1309">
        <f>+'Historical Financials'!BJ60</f>
        <v>0.24103656797307321</v>
      </c>
      <c r="F24" s="1309">
        <f>+'Historical Financials'!BK60</f>
        <v>0.29050722782187671</v>
      </c>
      <c r="G24" s="1310">
        <f>+'Historical Financials'!BL60</f>
        <v>0.28283879982628074</v>
      </c>
      <c r="H24" s="1310">
        <f>+'Historical Financials'!BM60</f>
        <v>0.21025030036043252</v>
      </c>
      <c r="I24" s="1310">
        <f>+'Historical Financials'!BN60</f>
        <v>0.14076322511782977</v>
      </c>
      <c r="J24" s="1303"/>
      <c r="K24" s="1305"/>
      <c r="L24" s="1303"/>
      <c r="M24" s="1303"/>
      <c r="N24" s="1303"/>
      <c r="O24" s="1303"/>
      <c r="P24" s="1303"/>
      <c r="Q24" s="1303"/>
      <c r="R24" s="1303"/>
      <c r="S24" s="1303"/>
      <c r="T24" s="1303"/>
      <c r="U24" s="1303"/>
      <c r="V24" s="1303"/>
      <c r="X24" s="1295"/>
      <c r="Y24" s="1295" t="s">
        <v>113</v>
      </c>
      <c r="AA24" s="1320">
        <v>0.1</v>
      </c>
    </row>
    <row r="25" spans="1:28" hidden="1" outlineLevel="1">
      <c r="A25" s="1295"/>
      <c r="C25" s="1296"/>
      <c r="D25" s="1297"/>
      <c r="E25" s="1297"/>
      <c r="F25" s="1297"/>
      <c r="G25" s="1303"/>
      <c r="H25" s="1303"/>
      <c r="I25" s="1303"/>
      <c r="J25" s="1303"/>
      <c r="K25" s="1305"/>
      <c r="L25" s="1303"/>
      <c r="M25" s="1303"/>
      <c r="N25" s="1303"/>
      <c r="O25" s="1303"/>
      <c r="P25" s="1303"/>
      <c r="Q25" s="1303"/>
      <c r="R25" s="1303"/>
      <c r="S25" s="1303"/>
      <c r="T25" s="1303"/>
      <c r="U25" s="1303"/>
      <c r="V25" s="1303"/>
      <c r="Y25" s="1267" t="s">
        <v>95</v>
      </c>
      <c r="Z25" s="1318">
        <f>+H13</f>
        <v>83383</v>
      </c>
      <c r="AA25" s="1319">
        <f>+AA23*AA27</f>
        <v>91721.300000000017</v>
      </c>
    </row>
    <row r="26" spans="1:28" hidden="1" outlineLevel="1">
      <c r="A26" s="1295" t="s">
        <v>114</v>
      </c>
      <c r="C26" s="1296"/>
      <c r="D26" s="1321">
        <f t="shared" ref="D26:I26" si="10">+D15*C13</f>
        <v>5059.47</v>
      </c>
      <c r="E26" s="1321">
        <f t="shared" si="10"/>
        <v>8450.26</v>
      </c>
      <c r="F26" s="1322">
        <f t="shared" si="10"/>
        <v>12479.900000000001</v>
      </c>
      <c r="G26" s="1322">
        <f t="shared" si="10"/>
        <v>12078.620000000006</v>
      </c>
      <c r="H26" s="1322">
        <f t="shared" si="10"/>
        <v>17672.225035918189</v>
      </c>
      <c r="I26" s="1322">
        <f t="shared" si="10"/>
        <v>8046.3335482253406</v>
      </c>
      <c r="J26" s="1303"/>
      <c r="K26" s="1305"/>
      <c r="L26" s="1303"/>
      <c r="M26" s="1303"/>
      <c r="N26" s="1303"/>
      <c r="O26" s="1303"/>
      <c r="P26" s="1303"/>
      <c r="Q26" s="1303"/>
      <c r="R26" s="1303"/>
      <c r="S26" s="1303"/>
      <c r="T26" s="1303"/>
      <c r="U26" s="1303"/>
      <c r="V26" s="1303"/>
      <c r="Y26" s="1295" t="s">
        <v>113</v>
      </c>
      <c r="AA26" s="1417">
        <f>+AA25/Z25-1</f>
        <v>0.10000000000000031</v>
      </c>
    </row>
    <row r="27" spans="1:28" hidden="1" outlineLevel="1">
      <c r="A27" s="1295"/>
      <c r="C27" s="1296"/>
      <c r="D27" s="1297"/>
      <c r="E27" s="1297"/>
      <c r="F27" s="1297"/>
      <c r="G27" s="1303"/>
      <c r="H27" s="1303"/>
      <c r="I27" s="1303"/>
      <c r="J27" s="1303"/>
      <c r="K27" s="1305"/>
      <c r="L27" s="1303"/>
      <c r="M27" s="1303"/>
      <c r="N27" s="1303"/>
      <c r="O27" s="1303"/>
      <c r="P27" s="1303"/>
      <c r="Q27" s="1303"/>
      <c r="R27" s="1303"/>
      <c r="S27" s="1303"/>
      <c r="T27" s="1303"/>
      <c r="U27" s="1303"/>
      <c r="V27" s="1303"/>
      <c r="Y27" s="1295" t="s">
        <v>115</v>
      </c>
      <c r="Z27" s="1417">
        <f>+Z25/Z23</f>
        <v>0.4205527815604983</v>
      </c>
      <c r="AA27" s="1418">
        <f>+Z27</f>
        <v>0.4205527815604983</v>
      </c>
    </row>
    <row r="28" spans="1:28" s="1301" customFormat="1" ht="18.600000000000001" collapsed="1">
      <c r="A28" s="1324" t="s">
        <v>116</v>
      </c>
      <c r="B28" s="1419"/>
      <c r="C28" s="1420">
        <f>+'Historical Financials'!BH85</f>
        <v>8778</v>
      </c>
      <c r="D28" s="1420">
        <f>+'Historical Financials'!BI85</f>
        <v>10261</v>
      </c>
      <c r="E28" s="1421">
        <f>+'Historical Financials'!BJ85</f>
        <v>11682</v>
      </c>
      <c r="F28" s="1421">
        <f>+'Historical Financials'!BK85</f>
        <v>12796</v>
      </c>
      <c r="G28" s="1421">
        <f>+'Historical Financials'!BL85</f>
        <v>11686</v>
      </c>
      <c r="H28" s="1421">
        <f>+'Historical Financials'!BM85</f>
        <v>14460</v>
      </c>
      <c r="I28" s="1421">
        <f>+'Historical Financials'!BN85</f>
        <v>13861</v>
      </c>
      <c r="J28" s="1421">
        <f>+'Historical Financials'!BO85</f>
        <v>20427</v>
      </c>
      <c r="K28" s="1328">
        <f>+'D&amp;A forecast - Case 3'!V52</f>
        <v>27803.116747365937</v>
      </c>
      <c r="L28" s="1326">
        <f>+'D&amp;A forecast - Case 3'!W52</f>
        <v>31175.692983231798</v>
      </c>
      <c r="M28" s="1326">
        <f>+'D&amp;A forecast - Case 3'!X52</f>
        <v>34042.998101963938</v>
      </c>
      <c r="N28" s="1326">
        <f>+'D&amp;A forecast - Case 3'!Y52</f>
        <v>37835.153964588295</v>
      </c>
      <c r="O28" s="1326">
        <f>+'D&amp;A forecast - Case 3'!Z52</f>
        <v>42029.487808216436</v>
      </c>
      <c r="P28" s="1326">
        <f>+'D&amp;A forecast - Case 3'!AA52</f>
        <v>45439.739923028188</v>
      </c>
      <c r="Q28" s="1326">
        <f>+'D&amp;A forecast - Case 3'!AB52</f>
        <v>49105.419379419582</v>
      </c>
      <c r="R28" s="1326">
        <f>+'D&amp;A forecast - Case 3'!AC52</f>
        <v>52211.672673355213</v>
      </c>
      <c r="S28" s="1326">
        <f>+'D&amp;A forecast - Case 3'!AD52</f>
        <v>55783.82536271157</v>
      </c>
      <c r="T28" s="1326">
        <f>+'D&amp;A forecast - Case 3'!AE52</f>
        <v>58732.133176156225</v>
      </c>
      <c r="U28" s="1326">
        <f>+'D&amp;A forecast - Case 3'!AF52</f>
        <v>60516.823227620487</v>
      </c>
      <c r="V28" s="1326">
        <f>+'D&amp;A forecast - Case 3'!AG52</f>
        <v>60831.842936425644</v>
      </c>
      <c r="Y28" s="1317" t="s">
        <v>117</v>
      </c>
    </row>
    <row r="29" spans="1:28" s="1277" customFormat="1" hidden="1" outlineLevel="1">
      <c r="A29" s="1331" t="s">
        <v>118</v>
      </c>
      <c r="C29" s="1296">
        <f t="shared" ref="C29:V29" si="11">+C28/C8</f>
        <v>9.0896853092543306E-2</v>
      </c>
      <c r="D29" s="1296">
        <f t="shared" si="11"/>
        <v>9.2977528089887643E-2</v>
      </c>
      <c r="E29" s="1296">
        <f t="shared" si="11"/>
        <v>9.2829954784930432E-2</v>
      </c>
      <c r="F29" s="1296">
        <f t="shared" si="11"/>
        <v>8.9473132188931229E-2</v>
      </c>
      <c r="G29" s="1296">
        <f t="shared" si="11"/>
        <v>6.9523106943981727E-2</v>
      </c>
      <c r="H29" s="1296">
        <f t="shared" si="11"/>
        <v>7.2930851868663937E-2</v>
      </c>
      <c r="I29" s="1296">
        <f t="shared" si="11"/>
        <v>6.5408300497841118E-2</v>
      </c>
      <c r="J29" s="1296">
        <f t="shared" si="11"/>
        <v>8.333401326686303E-2</v>
      </c>
      <c r="K29" s="1311">
        <f t="shared" si="11"/>
        <v>9.8868938390823724E-2</v>
      </c>
      <c r="L29" s="1296">
        <f t="shared" si="11"/>
        <v>0.10264995137781656</v>
      </c>
      <c r="M29" s="1296">
        <f t="shared" si="11"/>
        <v>0.10378788864515978</v>
      </c>
      <c r="N29" s="1296">
        <f t="shared" si="11"/>
        <v>0.10680476449408764</v>
      </c>
      <c r="O29" s="1296">
        <f t="shared" si="11"/>
        <v>0.1098564253176425</v>
      </c>
      <c r="P29" s="1296">
        <f t="shared" si="11"/>
        <v>0.10997233520122034</v>
      </c>
      <c r="Q29" s="1296">
        <f t="shared" si="11"/>
        <v>0.11004068345644193</v>
      </c>
      <c r="R29" s="1296">
        <f t="shared" si="11"/>
        <v>0.10833473013903114</v>
      </c>
      <c r="S29" s="1296">
        <f t="shared" si="11"/>
        <v>0.10717281456780596</v>
      </c>
      <c r="T29" s="1296">
        <f t="shared" si="11"/>
        <v>0.10447884504972635</v>
      </c>
      <c r="U29" s="1296">
        <f t="shared" si="11"/>
        <v>9.9679294333875415E-2</v>
      </c>
      <c r="V29" s="1296">
        <f t="shared" si="11"/>
        <v>9.277608693366346E-2</v>
      </c>
      <c r="Y29" s="1267" t="s">
        <v>119</v>
      </c>
      <c r="Z29" s="1318">
        <f>+Z23</f>
        <v>198270</v>
      </c>
      <c r="AA29" s="1319">
        <f>+Z29*(1+AA30)</f>
        <v>226027.80000000002</v>
      </c>
    </row>
    <row r="30" spans="1:28" s="1277" customFormat="1" hidden="1" outlineLevel="1">
      <c r="A30" s="1332"/>
      <c r="C30" s="1275"/>
      <c r="D30" s="1275"/>
      <c r="E30" s="1275"/>
      <c r="F30" s="1275"/>
      <c r="G30" s="1275"/>
      <c r="H30" s="1275"/>
      <c r="I30" s="1275"/>
      <c r="J30" s="1275"/>
      <c r="K30" s="1333"/>
      <c r="L30" s="1275"/>
      <c r="M30" s="1275"/>
      <c r="N30" s="1275"/>
      <c r="O30" s="1275"/>
      <c r="P30" s="1275"/>
      <c r="Q30" s="1275"/>
      <c r="R30" s="1275"/>
      <c r="S30" s="1275"/>
      <c r="T30" s="1275"/>
      <c r="U30" s="1275"/>
      <c r="V30" s="1275"/>
      <c r="Y30" s="1295" t="s">
        <v>120</v>
      </c>
      <c r="AA30" s="1320">
        <f>+AA24+4%</f>
        <v>0.14000000000000001</v>
      </c>
    </row>
    <row r="31" spans="1:28" s="1277" customFormat="1" hidden="1" outlineLevel="1">
      <c r="A31" s="1334"/>
      <c r="C31" s="1310"/>
      <c r="D31" s="1309"/>
      <c r="E31" s="1309"/>
      <c r="F31" s="1287"/>
      <c r="G31" s="1287"/>
      <c r="H31" s="1287"/>
      <c r="I31" s="1287"/>
      <c r="J31" s="1285"/>
      <c r="K31" s="1305"/>
      <c r="L31" s="1303"/>
      <c r="M31" s="1303"/>
      <c r="N31" s="1303"/>
      <c r="O31" s="1303"/>
      <c r="P31" s="1303"/>
      <c r="Q31" s="1303"/>
      <c r="R31" s="1303"/>
      <c r="S31" s="1303"/>
      <c r="T31" s="1303"/>
      <c r="U31" s="1303"/>
      <c r="V31" s="1303"/>
      <c r="Y31" s="1295"/>
      <c r="AA31" s="1323"/>
    </row>
    <row r="32" spans="1:28" collapsed="1">
      <c r="A32" s="1335" t="s">
        <v>121</v>
      </c>
      <c r="B32" s="1290"/>
      <c r="C32" s="1291">
        <f>+'Historical Financials'!BH86</f>
        <v>38109</v>
      </c>
      <c r="D32" s="1291">
        <f>+'Historical Financials'!BI86</f>
        <v>45319</v>
      </c>
      <c r="E32" s="1292">
        <f>+'Historical Financials'!BJ86</f>
        <v>54641</v>
      </c>
      <c r="F32" s="1292">
        <f>+'Historical Financials'!BK86</f>
        <v>65755</v>
      </c>
      <c r="G32" s="1292">
        <f>+'Historical Financials'!BL86</f>
        <v>81602</v>
      </c>
      <c r="H32" s="1292">
        <f>+'Historical Financials'!BM86</f>
        <v>97843</v>
      </c>
      <c r="I32" s="1292">
        <f>+'Historical Financials'!BN86</f>
        <v>103555</v>
      </c>
      <c r="J32" s="1292">
        <f>+'Historical Financials'!BO86</f>
        <v>132870</v>
      </c>
      <c r="K32" s="1337">
        <f>+'Historical Financials'!BP86</f>
        <v>161093.46523773918</v>
      </c>
      <c r="L32" s="1294">
        <f t="shared" ref="L32:V32" si="12">+L13+L28</f>
        <v>175959.46243090567</v>
      </c>
      <c r="M32" s="1294">
        <f t="shared" si="12"/>
        <v>191306.07762976817</v>
      </c>
      <c r="N32" s="1294">
        <f t="shared" si="12"/>
        <v>208647.61706087866</v>
      </c>
      <c r="O32" s="1294">
        <f t="shared" si="12"/>
        <v>227552.75213497278</v>
      </c>
      <c r="P32" s="1294">
        <f t="shared" si="12"/>
        <v>246934.33391330877</v>
      </c>
      <c r="Q32" s="1294">
        <f t="shared" si="12"/>
        <v>267939.40688769706</v>
      </c>
      <c r="R32" s="1294">
        <f t="shared" si="12"/>
        <v>289869.79126097128</v>
      </c>
      <c r="S32" s="1294">
        <f t="shared" si="12"/>
        <v>313877.39848230738</v>
      </c>
      <c r="T32" s="1294">
        <f t="shared" si="12"/>
        <v>339009.82159388781</v>
      </c>
      <c r="U32" s="1294">
        <f t="shared" si="12"/>
        <v>364876.28652322409</v>
      </c>
      <c r="V32" s="1294">
        <f t="shared" si="12"/>
        <v>394066.38944508199</v>
      </c>
      <c r="Y32" s="1267" t="s">
        <v>122</v>
      </c>
      <c r="Z32" s="1318">
        <f>+Z25</f>
        <v>83383</v>
      </c>
      <c r="AA32" s="1319">
        <f>+AA29*AA34</f>
        <v>95056.62000000001</v>
      </c>
    </row>
    <row r="33" spans="1:27" s="1277" customFormat="1">
      <c r="A33" s="1331" t="s">
        <v>87</v>
      </c>
      <c r="C33" s="1296"/>
      <c r="D33" s="1296">
        <f t="shared" ref="D33:V33" si="13">+D32/C32-1</f>
        <v>0.18919415361200764</v>
      </c>
      <c r="E33" s="1296">
        <f t="shared" si="13"/>
        <v>0.2056973896158345</v>
      </c>
      <c r="F33" s="1296">
        <f t="shared" si="13"/>
        <v>0.20340037700627733</v>
      </c>
      <c r="G33" s="1296">
        <f t="shared" si="13"/>
        <v>0.24100068435860389</v>
      </c>
      <c r="H33" s="1296">
        <f t="shared" si="13"/>
        <v>0.1990269846327295</v>
      </c>
      <c r="I33" s="1296">
        <f t="shared" si="13"/>
        <v>5.8379240211358985E-2</v>
      </c>
      <c r="J33" s="1296">
        <f t="shared" si="13"/>
        <v>0.28308628265173086</v>
      </c>
      <c r="K33" s="1311">
        <f t="shared" si="13"/>
        <v>0.2124141283791614</v>
      </c>
      <c r="L33" s="1296">
        <f t="shared" si="13"/>
        <v>9.2281813984369299E-2</v>
      </c>
      <c r="M33" s="1296">
        <f t="shared" si="13"/>
        <v>8.7216765650717454E-2</v>
      </c>
      <c r="N33" s="1296">
        <f t="shared" si="13"/>
        <v>9.0648136462613049E-2</v>
      </c>
      <c r="O33" s="1296">
        <f t="shared" si="13"/>
        <v>9.0607960639100149E-2</v>
      </c>
      <c r="P33" s="1296">
        <f t="shared" si="13"/>
        <v>8.5174016119303309E-2</v>
      </c>
      <c r="Q33" s="1296">
        <f t="shared" si="13"/>
        <v>8.5063395768052885E-2</v>
      </c>
      <c r="R33" s="1296">
        <f t="shared" si="13"/>
        <v>8.1848297822298521E-2</v>
      </c>
      <c r="S33" s="1296">
        <f t="shared" si="13"/>
        <v>8.2822039222852029E-2</v>
      </c>
      <c r="T33" s="1296">
        <f t="shared" si="13"/>
        <v>8.0070827759830321E-2</v>
      </c>
      <c r="U33" s="1296">
        <f t="shared" si="13"/>
        <v>7.6300045844461373E-2</v>
      </c>
      <c r="V33" s="1296">
        <f t="shared" si="13"/>
        <v>7.9999999999999849E-2</v>
      </c>
      <c r="Y33" s="1295" t="s">
        <v>113</v>
      </c>
      <c r="Z33" s="1313"/>
      <c r="AA33" s="1417">
        <f>+AA32/Z32-1</f>
        <v>0.14000000000000012</v>
      </c>
    </row>
    <row r="34" spans="1:27" s="1277" customFormat="1">
      <c r="A34" s="1331" t="s">
        <v>99</v>
      </c>
      <c r="C34" s="1296">
        <f t="shared" ref="C34:V34" si="14">+C32/C8</f>
        <v>0.39462157376438062</v>
      </c>
      <c r="D34" s="1297">
        <f t="shared" si="14"/>
        <v>0.41064697354113811</v>
      </c>
      <c r="E34" s="1297">
        <f t="shared" si="14"/>
        <v>0.43419975683987189</v>
      </c>
      <c r="F34" s="1297">
        <f t="shared" si="14"/>
        <v>0.45977694647414608</v>
      </c>
      <c r="G34" s="1296">
        <f t="shared" si="14"/>
        <v>0.48547189567369475</v>
      </c>
      <c r="H34" s="1296">
        <f t="shared" si="14"/>
        <v>0.49348363342916224</v>
      </c>
      <c r="I34" s="1296">
        <f t="shared" si="14"/>
        <v>0.48866290729773731</v>
      </c>
      <c r="J34" s="1296">
        <f t="shared" si="14"/>
        <v>0.5420566085459485</v>
      </c>
      <c r="K34" s="1311">
        <f t="shared" si="14"/>
        <v>0.5728544765134389</v>
      </c>
      <c r="L34" s="1296">
        <f t="shared" si="14"/>
        <v>0.5793690062547826</v>
      </c>
      <c r="M34" s="1296">
        <f t="shared" si="14"/>
        <v>0.5832404602764768</v>
      </c>
      <c r="N34" s="1296">
        <f t="shared" si="14"/>
        <v>0.58899085287975561</v>
      </c>
      <c r="O34" s="1296">
        <f t="shared" si="14"/>
        <v>0.59477603045766148</v>
      </c>
      <c r="P34" s="1296">
        <f t="shared" si="14"/>
        <v>0.59762545709559023</v>
      </c>
      <c r="Q34" s="1296">
        <f t="shared" si="14"/>
        <v>0.60042732210516292</v>
      </c>
      <c r="R34" s="1296">
        <f t="shared" si="14"/>
        <v>0.60145488554210302</v>
      </c>
      <c r="S34" s="1296">
        <f t="shared" si="14"/>
        <v>0.60302648672522885</v>
      </c>
      <c r="T34" s="1296">
        <f t="shared" si="14"/>
        <v>0.60306603396150016</v>
      </c>
      <c r="U34" s="1296">
        <f t="shared" si="14"/>
        <v>0.60099999999999998</v>
      </c>
      <c r="V34" s="1296">
        <f t="shared" si="14"/>
        <v>0.60099999999999998</v>
      </c>
      <c r="Y34" s="1295" t="s">
        <v>115</v>
      </c>
      <c r="Z34" s="1417">
        <f>+Z32/Z29</f>
        <v>0.4205527815604983</v>
      </c>
      <c r="AA34" s="1418">
        <f>+Z34</f>
        <v>0.4205527815604983</v>
      </c>
    </row>
    <row r="35" spans="1:27" s="1277" customFormat="1">
      <c r="A35" s="1331" t="s">
        <v>101</v>
      </c>
      <c r="C35" s="1297"/>
      <c r="D35" s="1297">
        <f t="shared" ref="D35:V35" si="15">(D32-C32)/(D8-C8)</f>
        <v>0.52288055696569724</v>
      </c>
      <c r="E35" s="1297">
        <f t="shared" si="15"/>
        <v>0.60207970031647617</v>
      </c>
      <c r="F35" s="1297">
        <f t="shared" si="15"/>
        <v>0.64721639878872583</v>
      </c>
      <c r="G35" s="1297">
        <f t="shared" si="15"/>
        <v>0.63203445937861447</v>
      </c>
      <c r="H35" s="1297">
        <f t="shared" si="15"/>
        <v>0.53810218010734878</v>
      </c>
      <c r="I35" s="1297">
        <f t="shared" si="15"/>
        <v>0.41861487724441188</v>
      </c>
      <c r="J35" s="1297">
        <f t="shared" si="15"/>
        <v>0.88279579606709424</v>
      </c>
      <c r="K35" s="1298">
        <f t="shared" si="15"/>
        <v>0.7820333919051452</v>
      </c>
      <c r="L35" s="1297">
        <f t="shared" si="15"/>
        <v>0.66080062802157968</v>
      </c>
      <c r="M35" s="1297">
        <f t="shared" si="15"/>
        <v>0.63163363554765362</v>
      </c>
      <c r="N35" s="1297">
        <f t="shared" si="15"/>
        <v>0.66087076042074144</v>
      </c>
      <c r="O35" s="1297">
        <f t="shared" si="15"/>
        <v>0.66709075018148456</v>
      </c>
      <c r="P35" s="1297">
        <f t="shared" si="15"/>
        <v>0.63324329006970004</v>
      </c>
      <c r="Q35" s="1297">
        <f t="shared" si="15"/>
        <v>0.63545063472482011</v>
      </c>
      <c r="R35" s="1297">
        <f t="shared" si="15"/>
        <v>0.61429942850385555</v>
      </c>
      <c r="S35" s="1297">
        <f t="shared" si="15"/>
        <v>0.62267150151430051</v>
      </c>
      <c r="T35" s="1297">
        <f t="shared" si="15"/>
        <v>0.60356037441489163</v>
      </c>
      <c r="U35" s="1297">
        <f t="shared" si="15"/>
        <v>0.57517457548124817</v>
      </c>
      <c r="V35" s="1297">
        <f t="shared" si="15"/>
        <v>0.60099999999999965</v>
      </c>
    </row>
    <row r="36" spans="1:27" hidden="1" outlineLevel="1">
      <c r="C36" s="1266"/>
      <c r="D36" s="1266"/>
      <c r="E36" s="1266"/>
      <c r="F36" s="1266"/>
      <c r="G36" s="1266"/>
      <c r="H36" s="1266"/>
      <c r="I36" s="1266"/>
      <c r="J36" s="1266"/>
      <c r="K36" s="1338"/>
      <c r="L36" s="1266"/>
      <c r="M36" s="1266"/>
      <c r="N36" s="1266"/>
      <c r="O36" s="1266"/>
      <c r="P36" s="1266"/>
      <c r="Q36" s="1266"/>
      <c r="R36" s="1266"/>
      <c r="S36" s="1266"/>
      <c r="T36" s="1266"/>
      <c r="U36" s="1266"/>
      <c r="V36" s="1266"/>
    </row>
    <row r="37" spans="1:27" hidden="1" outlineLevel="1">
      <c r="A37" s="1312" t="s">
        <v>123</v>
      </c>
      <c r="C37" s="1266"/>
      <c r="D37" s="1266"/>
      <c r="E37" s="1266"/>
      <c r="F37" s="1266"/>
      <c r="G37" s="1266"/>
      <c r="H37" s="1266"/>
      <c r="I37" s="1266"/>
      <c r="J37" s="1266"/>
      <c r="K37" s="1338"/>
      <c r="L37" s="1266"/>
      <c r="M37" s="1266"/>
      <c r="N37" s="1266"/>
      <c r="O37" s="1266"/>
      <c r="P37" s="1266"/>
      <c r="Q37" s="1266"/>
      <c r="R37" s="1266"/>
      <c r="S37" s="1266"/>
      <c r="T37" s="1266"/>
      <c r="U37" s="1266"/>
      <c r="V37" s="1266"/>
    </row>
    <row r="38" spans="1:27" hidden="1" outlineLevel="1">
      <c r="A38" s="1339" t="s">
        <v>124</v>
      </c>
      <c r="C38" s="1266"/>
      <c r="D38" s="1266"/>
      <c r="E38" s="1266"/>
      <c r="F38" s="1266"/>
      <c r="G38" s="1266"/>
      <c r="H38" s="1266"/>
      <c r="I38" s="1266"/>
      <c r="J38" s="1340">
        <f>+'D&amp;A forecast - Case 3'!U51</f>
        <v>4800</v>
      </c>
      <c r="K38" s="1341">
        <f>+'D&amp;A forecast - Case 3'!V51</f>
        <v>5892</v>
      </c>
      <c r="L38" s="1342">
        <f>+'D&amp;A forecast - Case 3'!W51</f>
        <v>4471</v>
      </c>
      <c r="M38" s="1342">
        <f>+'D&amp;A forecast - Case 3'!X51</f>
        <v>2793</v>
      </c>
      <c r="N38" s="1342">
        <f>+'D&amp;A forecast - Case 3'!Y51</f>
        <v>1909</v>
      </c>
      <c r="O38" s="1342">
        <f>+'D&amp;A forecast - Case 3'!Z51</f>
        <v>1728</v>
      </c>
      <c r="P38" s="1342">
        <f>+'D&amp;A forecast - Case 3'!AA51</f>
        <v>1547</v>
      </c>
      <c r="Q38" s="1342">
        <f>+'D&amp;A forecast - Case 3'!AB51</f>
        <v>1366</v>
      </c>
      <c r="R38" s="1342">
        <f>+'D&amp;A forecast - Case 3'!AC51</f>
        <v>1185</v>
      </c>
      <c r="S38" s="1342">
        <f>+'D&amp;A forecast - Case 3'!AD51</f>
        <v>1004</v>
      </c>
      <c r="T38" s="1342">
        <f>+'D&amp;A forecast - Case 3'!AE51</f>
        <v>823</v>
      </c>
      <c r="U38" s="1342">
        <f>+'D&amp;A forecast - Case 3'!AF51</f>
        <v>642</v>
      </c>
      <c r="V38" s="1342">
        <f>+'D&amp;A forecast - Case 3'!AH51</f>
        <v>0</v>
      </c>
    </row>
    <row r="39" spans="1:27" collapsed="1">
      <c r="C39" s="1266"/>
      <c r="D39" s="1266"/>
      <c r="E39" s="1266"/>
      <c r="F39" s="1266"/>
      <c r="G39" s="1266"/>
      <c r="H39" s="1266"/>
      <c r="I39" s="1266"/>
      <c r="J39" s="1343"/>
      <c r="K39" s="1338"/>
      <c r="L39" s="1266"/>
      <c r="M39" s="1266"/>
      <c r="N39" s="1266"/>
      <c r="O39" s="1266"/>
      <c r="P39" s="1266"/>
      <c r="Q39" s="1266"/>
      <c r="R39" s="1266"/>
      <c r="S39" s="1266"/>
      <c r="T39" s="1266"/>
      <c r="U39" s="1266"/>
      <c r="V39" s="1266"/>
    </row>
    <row r="40" spans="1:27">
      <c r="A40" s="1334" t="s">
        <v>126</v>
      </c>
      <c r="C40" s="1266"/>
      <c r="D40" s="1266"/>
      <c r="E40" s="1266"/>
      <c r="F40" s="1266"/>
      <c r="G40" s="1266"/>
      <c r="H40" s="1266"/>
      <c r="I40" s="1266"/>
      <c r="J40" s="1343"/>
      <c r="K40" s="1338"/>
      <c r="L40" s="1266"/>
      <c r="M40" s="1266"/>
      <c r="N40" s="1266"/>
      <c r="O40" s="1266"/>
      <c r="P40" s="1266"/>
      <c r="Q40" s="1266"/>
      <c r="R40" s="1266"/>
      <c r="S40" s="1266"/>
      <c r="T40" s="1266"/>
      <c r="U40" s="1266"/>
      <c r="V40" s="1266"/>
    </row>
    <row r="41" spans="1:27">
      <c r="A41" s="1295" t="s">
        <v>128</v>
      </c>
      <c r="C41" s="1296"/>
      <c r="D41" s="1297">
        <f t="shared" ref="D41:V41" si="16">D28/D8</f>
        <v>9.2977528089887643E-2</v>
      </c>
      <c r="E41" s="1297">
        <f t="shared" si="16"/>
        <v>9.2829954784930432E-2</v>
      </c>
      <c r="F41" s="1297">
        <f t="shared" si="16"/>
        <v>8.9473132188931229E-2</v>
      </c>
      <c r="G41" s="1296">
        <f t="shared" si="16"/>
        <v>6.9523106943981727E-2</v>
      </c>
      <c r="H41" s="1296">
        <f t="shared" si="16"/>
        <v>7.2930851868663937E-2</v>
      </c>
      <c r="I41" s="1296">
        <f t="shared" si="16"/>
        <v>6.5408300497841118E-2</v>
      </c>
      <c r="J41" s="1296">
        <f t="shared" si="16"/>
        <v>8.333401326686303E-2</v>
      </c>
      <c r="K41" s="1298">
        <f t="shared" si="16"/>
        <v>9.8868938390823724E-2</v>
      </c>
      <c r="L41" s="1297">
        <f t="shared" si="16"/>
        <v>0.10264995137781656</v>
      </c>
      <c r="M41" s="1297">
        <f t="shared" si="16"/>
        <v>0.10378788864515978</v>
      </c>
      <c r="N41" s="1297">
        <f t="shared" si="16"/>
        <v>0.10680476449408764</v>
      </c>
      <c r="O41" s="1297">
        <f t="shared" si="16"/>
        <v>0.1098564253176425</v>
      </c>
      <c r="P41" s="1297">
        <f t="shared" si="16"/>
        <v>0.10997233520122034</v>
      </c>
      <c r="Q41" s="1297">
        <f t="shared" si="16"/>
        <v>0.11004068345644193</v>
      </c>
      <c r="R41" s="1297">
        <f t="shared" si="16"/>
        <v>0.10833473013903114</v>
      </c>
      <c r="S41" s="1297">
        <f t="shared" si="16"/>
        <v>0.10717281456780596</v>
      </c>
      <c r="T41" s="1297">
        <f t="shared" si="16"/>
        <v>0.10447884504972635</v>
      </c>
      <c r="U41" s="1297">
        <f t="shared" si="16"/>
        <v>9.9679294333875415E-2</v>
      </c>
      <c r="V41" s="1297">
        <f t="shared" si="16"/>
        <v>9.277608693366346E-2</v>
      </c>
      <c r="AA41" s="1302"/>
    </row>
    <row r="42" spans="1:27">
      <c r="A42" s="1339"/>
      <c r="C42" s="1266"/>
      <c r="D42" s="1266"/>
      <c r="E42" s="1266"/>
      <c r="F42" s="1266"/>
      <c r="G42" s="1266"/>
      <c r="H42" s="1266"/>
      <c r="I42" s="1266"/>
      <c r="J42" s="1343"/>
      <c r="K42" s="1338"/>
      <c r="L42" s="1266"/>
      <c r="M42" s="1266"/>
      <c r="N42" s="1266"/>
      <c r="O42" s="1266"/>
      <c r="P42" s="1266"/>
      <c r="Q42" s="1266"/>
      <c r="R42" s="1266"/>
      <c r="S42" s="1266"/>
      <c r="T42" s="1266"/>
      <c r="U42" s="1266"/>
      <c r="V42" s="1266"/>
    </row>
    <row r="43" spans="1:27">
      <c r="A43" s="1334" t="s">
        <v>126</v>
      </c>
      <c r="C43" s="1266"/>
      <c r="D43" s="1266"/>
      <c r="E43" s="1266"/>
      <c r="F43" s="1266"/>
      <c r="G43" s="1266"/>
      <c r="H43" s="1266"/>
      <c r="I43" s="1266"/>
      <c r="J43" s="1266"/>
      <c r="K43" s="1338"/>
      <c r="L43" s="1266"/>
      <c r="M43" s="1266"/>
      <c r="N43" s="1266"/>
      <c r="O43" s="1266"/>
      <c r="P43" s="1266"/>
      <c r="Q43" s="1266"/>
      <c r="R43" s="1266"/>
      <c r="S43" s="1266"/>
      <c r="T43" s="1266"/>
      <c r="U43" s="1266"/>
      <c r="V43" s="1266"/>
    </row>
    <row r="44" spans="1:27">
      <c r="A44" s="1295" t="s">
        <v>129</v>
      </c>
      <c r="B44" s="1344"/>
      <c r="C44" s="1344">
        <f t="shared" ref="C44:V44" si="17">+C8-C32</f>
        <v>58462</v>
      </c>
      <c r="D44" s="1344">
        <f t="shared" si="17"/>
        <v>65041</v>
      </c>
      <c r="E44" s="1344">
        <f t="shared" si="17"/>
        <v>71202</v>
      </c>
      <c r="F44" s="1344">
        <f t="shared" si="17"/>
        <v>77260</v>
      </c>
      <c r="G44" s="1344">
        <f t="shared" si="17"/>
        <v>86486</v>
      </c>
      <c r="H44" s="1344">
        <f t="shared" si="17"/>
        <v>100427</v>
      </c>
      <c r="I44" s="1336">
        <f t="shared" si="17"/>
        <v>108360</v>
      </c>
      <c r="J44" s="1336">
        <f t="shared" si="17"/>
        <v>112252</v>
      </c>
      <c r="K44" s="1337">
        <f t="shared" si="17"/>
        <v>120118.38147453839</v>
      </c>
      <c r="L44" s="1344">
        <f t="shared" si="17"/>
        <v>127749.33201835409</v>
      </c>
      <c r="M44" s="1344">
        <f t="shared" si="17"/>
        <v>136699.42037543241</v>
      </c>
      <c r="N44" s="1344">
        <f t="shared" si="17"/>
        <v>145598.320784738</v>
      </c>
      <c r="O44" s="1344">
        <f t="shared" si="17"/>
        <v>155032.86073829327</v>
      </c>
      <c r="P44" s="1344">
        <f t="shared" si="17"/>
        <v>166258.1279898186</v>
      </c>
      <c r="Q44" s="1344">
        <f t="shared" si="17"/>
        <v>178308.45196768054</v>
      </c>
      <c r="R44" s="1344">
        <f t="shared" si="17"/>
        <v>192077.89630283654</v>
      </c>
      <c r="S44" s="1344">
        <f t="shared" si="17"/>
        <v>206626.10408660508</v>
      </c>
      <c r="T44" s="1344">
        <f t="shared" si="17"/>
        <v>223133.96118053765</v>
      </c>
      <c r="U44" s="1344">
        <f t="shared" si="17"/>
        <v>242238.99887315545</v>
      </c>
      <c r="V44" s="1344">
        <f t="shared" si="17"/>
        <v>261618.1187830079</v>
      </c>
    </row>
    <row r="45" spans="1:27">
      <c r="A45" s="1331" t="s">
        <v>130</v>
      </c>
      <c r="C45" s="1266"/>
      <c r="D45" s="1296">
        <f t="shared" ref="D45:V45" si="18">+D44/C44-1</f>
        <v>0.11253463788443785</v>
      </c>
      <c r="E45" s="1296">
        <f t="shared" si="18"/>
        <v>9.4724865853845985E-2</v>
      </c>
      <c r="F45" s="1296">
        <f t="shared" si="18"/>
        <v>8.5081879722479714E-2</v>
      </c>
      <c r="G45" s="1296">
        <f t="shared" si="18"/>
        <v>0.11941496246440586</v>
      </c>
      <c r="H45" s="1296">
        <f t="shared" si="18"/>
        <v>0.16119371921467063</v>
      </c>
      <c r="I45" s="1296">
        <f t="shared" si="18"/>
        <v>7.8992701166021195E-2</v>
      </c>
      <c r="J45" s="1296">
        <f t="shared" si="18"/>
        <v>3.5917312661498668E-2</v>
      </c>
      <c r="K45" s="1311">
        <f t="shared" si="18"/>
        <v>7.0077873664062817E-2</v>
      </c>
      <c r="L45" s="1296">
        <f t="shared" si="18"/>
        <v>6.3528582804233347E-2</v>
      </c>
      <c r="M45" s="1296">
        <f t="shared" si="18"/>
        <v>7.0059766385255351E-2</v>
      </c>
      <c r="N45" s="1296">
        <f t="shared" si="18"/>
        <v>6.5098303890869236E-2</v>
      </c>
      <c r="O45" s="1296">
        <f t="shared" si="18"/>
        <v>6.479841184091617E-2</v>
      </c>
      <c r="P45" s="1296">
        <f t="shared" si="18"/>
        <v>7.2405728682736425E-2</v>
      </c>
      <c r="Q45" s="1296">
        <f t="shared" si="18"/>
        <v>7.2479608206582613E-2</v>
      </c>
      <c r="R45" s="1296">
        <f t="shared" si="18"/>
        <v>7.7222611621639681E-2</v>
      </c>
      <c r="S45" s="1296">
        <f t="shared" si="18"/>
        <v>7.5741186590420284E-2</v>
      </c>
      <c r="T45" s="1296">
        <f t="shared" si="18"/>
        <v>7.9892408400699777E-2</v>
      </c>
      <c r="U45" s="1296">
        <f t="shared" si="18"/>
        <v>8.5621380051420948E-2</v>
      </c>
      <c r="V45" s="1296">
        <f t="shared" si="18"/>
        <v>8.0000000000000071E-2</v>
      </c>
    </row>
    <row r="46" spans="1:27">
      <c r="A46" s="1331" t="s">
        <v>118</v>
      </c>
      <c r="C46" s="1266"/>
      <c r="D46" s="1296">
        <f t="shared" ref="D46:V46" si="19">+D44/D8</f>
        <v>0.58935302645886189</v>
      </c>
      <c r="E46" s="1296">
        <f t="shared" si="19"/>
        <v>0.56580024316012811</v>
      </c>
      <c r="F46" s="1296">
        <f t="shared" si="19"/>
        <v>0.54022305352585398</v>
      </c>
      <c r="G46" s="1296">
        <f t="shared" si="19"/>
        <v>0.51452810432630525</v>
      </c>
      <c r="H46" s="1296">
        <f t="shared" si="19"/>
        <v>0.50651636657083776</v>
      </c>
      <c r="I46" s="1296">
        <f t="shared" si="19"/>
        <v>0.51133709270226269</v>
      </c>
      <c r="J46" s="1296">
        <f t="shared" si="19"/>
        <v>0.45794339145405144</v>
      </c>
      <c r="K46" s="1311">
        <f t="shared" si="19"/>
        <v>0.42714552348656115</v>
      </c>
      <c r="L46" s="1296">
        <f t="shared" si="19"/>
        <v>0.4206309937452174</v>
      </c>
      <c r="M46" s="1296">
        <f t="shared" si="19"/>
        <v>0.41675953972352325</v>
      </c>
      <c r="N46" s="1296">
        <f t="shared" si="19"/>
        <v>0.41100914712024433</v>
      </c>
      <c r="O46" s="1296">
        <f t="shared" si="19"/>
        <v>0.40522396954233852</v>
      </c>
      <c r="P46" s="1296">
        <f t="shared" si="19"/>
        <v>0.40237454290440972</v>
      </c>
      <c r="Q46" s="1296">
        <f t="shared" si="19"/>
        <v>0.39957267789483714</v>
      </c>
      <c r="R46" s="1296">
        <f t="shared" si="19"/>
        <v>0.39854511445789692</v>
      </c>
      <c r="S46" s="1296">
        <f t="shared" si="19"/>
        <v>0.39697351327477121</v>
      </c>
      <c r="T46" s="1296">
        <f t="shared" si="19"/>
        <v>0.3969339660384999</v>
      </c>
      <c r="U46" s="1296">
        <f t="shared" si="19"/>
        <v>0.39900000000000002</v>
      </c>
      <c r="V46" s="1296">
        <f t="shared" si="19"/>
        <v>0.39900000000000008</v>
      </c>
    </row>
    <row r="47" spans="1:27">
      <c r="A47" s="1339"/>
      <c r="C47" s="1266"/>
      <c r="D47" s="1266"/>
      <c r="E47" s="1266"/>
      <c r="F47" s="1266"/>
      <c r="G47" s="1266"/>
      <c r="H47" s="1266"/>
      <c r="I47" s="1266"/>
      <c r="J47" s="1343"/>
      <c r="K47" s="1338"/>
      <c r="L47" s="1266"/>
      <c r="M47" s="1266"/>
      <c r="N47" s="1266"/>
      <c r="O47" s="1266"/>
      <c r="P47" s="1266"/>
      <c r="Q47" s="1266"/>
      <c r="R47" s="1266"/>
      <c r="S47" s="1266"/>
      <c r="T47" s="1266"/>
      <c r="U47" s="1266"/>
      <c r="V47" s="1266"/>
    </row>
    <row r="48" spans="1:27">
      <c r="A48" s="1324" t="s">
        <v>131</v>
      </c>
      <c r="B48" s="1290"/>
      <c r="C48" s="1291">
        <f>+'Historical Financials'!BH111*-1</f>
        <v>10200</v>
      </c>
      <c r="D48" s="1291">
        <f>+'Historical Financials'!BI111*-1</f>
        <v>13600</v>
      </c>
      <c r="E48" s="1292">
        <f>+'Historical Financials'!BJ111*-1</f>
        <v>16900</v>
      </c>
      <c r="F48" s="1292">
        <f>+'Historical Financials'!BK111*-1</f>
        <v>19000</v>
      </c>
      <c r="G48" s="1292">
        <f>+'Historical Financials'!BL111*-1</f>
        <v>24200</v>
      </c>
      <c r="H48" s="1292">
        <f>+'Historical Financials'!BM111*-1</f>
        <v>29200</v>
      </c>
      <c r="I48" s="1292">
        <f>+'Historical Financials'!BN111*-1</f>
        <v>31900</v>
      </c>
      <c r="J48" s="1292">
        <f>+'Historical Financials'!BO111*-1</f>
        <v>55700</v>
      </c>
      <c r="K48" s="1293">
        <f>+'Historical Financials'!BP111*-1</f>
        <v>80000</v>
      </c>
      <c r="L48" s="1294">
        <f t="shared" ref="L48:V48" si="20">+L49*L8</f>
        <v>66815.934778837152</v>
      </c>
      <c r="M48" s="1294">
        <f t="shared" si="20"/>
        <v>65601.099601040114</v>
      </c>
      <c r="N48" s="1294">
        <f t="shared" si="20"/>
        <v>63764.268812210998</v>
      </c>
      <c r="O48" s="1294">
        <f t="shared" si="20"/>
        <v>61213.69805972257</v>
      </c>
      <c r="P48" s="1294">
        <f t="shared" si="20"/>
        <v>57846.944666437841</v>
      </c>
      <c r="Q48" s="1294">
        <f t="shared" si="20"/>
        <v>58012.221651199092</v>
      </c>
      <c r="R48" s="1294">
        <f t="shared" si="20"/>
        <v>57833.722507656938</v>
      </c>
      <c r="S48" s="1294">
        <f t="shared" si="20"/>
        <v>62460.420308269495</v>
      </c>
      <c r="T48" s="1294">
        <f t="shared" si="20"/>
        <v>67457.253932931053</v>
      </c>
      <c r="U48" s="1294">
        <f t="shared" si="20"/>
        <v>72853.834247565537</v>
      </c>
      <c r="V48" s="1294">
        <f t="shared" si="20"/>
        <v>78682.140987370789</v>
      </c>
    </row>
    <row r="49" spans="1:31" s="1277" customFormat="1">
      <c r="A49" s="1295" t="s">
        <v>118</v>
      </c>
      <c r="C49" s="1297">
        <f t="shared" ref="C49:K49" si="21">+C48/C8</f>
        <v>0.10562177051081588</v>
      </c>
      <c r="D49" s="1297">
        <f t="shared" si="21"/>
        <v>0.12323305545487495</v>
      </c>
      <c r="E49" s="1297">
        <f t="shared" si="21"/>
        <v>0.13429431911190928</v>
      </c>
      <c r="F49" s="1296">
        <f t="shared" si="21"/>
        <v>0.13285319721707514</v>
      </c>
      <c r="G49" s="1296">
        <f t="shared" si="21"/>
        <v>0.14397220503545763</v>
      </c>
      <c r="H49" s="1296">
        <f t="shared" si="21"/>
        <v>0.14727391940283452</v>
      </c>
      <c r="I49" s="1296">
        <f t="shared" si="21"/>
        <v>0.15053205294575656</v>
      </c>
      <c r="J49" s="1297">
        <f t="shared" si="21"/>
        <v>0.22723378562511728</v>
      </c>
      <c r="K49" s="1298">
        <f t="shared" si="21"/>
        <v>0.28448303631337463</v>
      </c>
      <c r="L49" s="1299">
        <f>+'Case 2 - upside'!L49</f>
        <v>0.22</v>
      </c>
      <c r="M49" s="1299">
        <f>+'Case 2 - upside'!M49</f>
        <v>0.2</v>
      </c>
      <c r="N49" s="1299">
        <f>+'Case 2 - upside'!N49</f>
        <v>0.18</v>
      </c>
      <c r="O49" s="1299">
        <f>+'Case 2 - upside'!O49</f>
        <v>0.16</v>
      </c>
      <c r="P49" s="1299">
        <f>+'Case 2 - upside'!P49</f>
        <v>0.14000000000000001</v>
      </c>
      <c r="Q49" s="1299">
        <f>+'Case 2 - upside'!Q49</f>
        <v>0.13</v>
      </c>
      <c r="R49" s="1299">
        <f>+'Case 2 - upside'!R49</f>
        <v>0.12</v>
      </c>
      <c r="S49" s="1299">
        <f>+'Case 2 - upside'!S49</f>
        <v>0.12</v>
      </c>
      <c r="T49" s="1299">
        <f>+'Case 2 - upside'!T49</f>
        <v>0.12</v>
      </c>
      <c r="U49" s="1299">
        <f>+'Case 2 - upside'!U49</f>
        <v>0.12</v>
      </c>
      <c r="V49" s="1299">
        <f>+'Case 2 - upside'!V49</f>
        <v>0.12</v>
      </c>
    </row>
    <row r="50" spans="1:31" s="1277" customFormat="1">
      <c r="A50" s="1332"/>
      <c r="C50" s="1275"/>
      <c r="D50" s="1275"/>
      <c r="E50" s="1275"/>
      <c r="F50" s="1275"/>
      <c r="G50" s="1275"/>
      <c r="H50" s="1275"/>
      <c r="I50" s="1275"/>
      <c r="J50" s="1275"/>
      <c r="K50" s="1288"/>
      <c r="L50" s="1275"/>
      <c r="M50" s="1275"/>
      <c r="N50" s="1275"/>
      <c r="O50" s="1275"/>
      <c r="P50" s="1275"/>
      <c r="Q50" s="1275"/>
      <c r="R50" s="1275"/>
      <c r="S50" s="1275"/>
      <c r="T50" s="1275"/>
      <c r="U50" s="1275"/>
      <c r="V50" s="1275"/>
    </row>
    <row r="51" spans="1:31">
      <c r="A51" s="1324" t="s">
        <v>136</v>
      </c>
      <c r="B51" s="1290"/>
      <c r="C51" s="1294">
        <f t="shared" ref="C51:V51" si="22">+C32-C48</f>
        <v>27909</v>
      </c>
      <c r="D51" s="1294">
        <f t="shared" si="22"/>
        <v>31719</v>
      </c>
      <c r="E51" s="1336">
        <f t="shared" si="22"/>
        <v>37741</v>
      </c>
      <c r="F51" s="1336">
        <f t="shared" si="22"/>
        <v>46755</v>
      </c>
      <c r="G51" s="1336">
        <f t="shared" si="22"/>
        <v>57402</v>
      </c>
      <c r="H51" s="1336">
        <f t="shared" si="22"/>
        <v>68643</v>
      </c>
      <c r="I51" s="1336">
        <f t="shared" si="22"/>
        <v>71655</v>
      </c>
      <c r="J51" s="1336">
        <f t="shared" si="22"/>
        <v>77170</v>
      </c>
      <c r="K51" s="1337">
        <f t="shared" si="22"/>
        <v>81093.465237739176</v>
      </c>
      <c r="L51" s="1294">
        <f t="shared" si="22"/>
        <v>109143.52765206851</v>
      </c>
      <c r="M51" s="1294">
        <f t="shared" si="22"/>
        <v>125704.97802872806</v>
      </c>
      <c r="N51" s="1294">
        <f t="shared" si="22"/>
        <v>144883.34824866767</v>
      </c>
      <c r="O51" s="1294">
        <f t="shared" si="22"/>
        <v>166339.0540752502</v>
      </c>
      <c r="P51" s="1294">
        <f t="shared" si="22"/>
        <v>189087.38924687094</v>
      </c>
      <c r="Q51" s="1294">
        <f t="shared" si="22"/>
        <v>209927.18523649796</v>
      </c>
      <c r="R51" s="1294">
        <f t="shared" si="22"/>
        <v>232036.06875331435</v>
      </c>
      <c r="S51" s="1294">
        <f t="shared" si="22"/>
        <v>251416.97817403788</v>
      </c>
      <c r="T51" s="1294">
        <f t="shared" si="22"/>
        <v>271552.56766095676</v>
      </c>
      <c r="U51" s="1294">
        <f t="shared" si="22"/>
        <v>292022.45227565855</v>
      </c>
      <c r="V51" s="1294">
        <f t="shared" si="22"/>
        <v>315384.24845771119</v>
      </c>
    </row>
    <row r="52" spans="1:31" s="1277" customFormat="1">
      <c r="A52" s="1295" t="s">
        <v>87</v>
      </c>
      <c r="C52" s="1296"/>
      <c r="D52" s="1296">
        <f t="shared" ref="D52:V52" si="23">+D51/C51-1</f>
        <v>0.13651510265505751</v>
      </c>
      <c r="E52" s="1296">
        <f t="shared" si="23"/>
        <v>0.18985466124404926</v>
      </c>
      <c r="F52" s="1296">
        <f t="shared" si="23"/>
        <v>0.23883839855859668</v>
      </c>
      <c r="G52" s="1296">
        <f t="shared" si="23"/>
        <v>0.22771896053897978</v>
      </c>
      <c r="H52" s="1296">
        <f t="shared" si="23"/>
        <v>0.19582941360928197</v>
      </c>
      <c r="I52" s="1296">
        <f t="shared" si="23"/>
        <v>4.3879201083868669E-2</v>
      </c>
      <c r="J52" s="1296">
        <f t="shared" si="23"/>
        <v>7.6966017723815394E-2</v>
      </c>
      <c r="K52" s="1311">
        <f t="shared" si="23"/>
        <v>5.0841845765701388E-2</v>
      </c>
      <c r="L52" s="1296">
        <f t="shared" si="23"/>
        <v>0.34589793804094882</v>
      </c>
      <c r="M52" s="1296">
        <f t="shared" si="23"/>
        <v>0.1517401052809535</v>
      </c>
      <c r="N52" s="1296">
        <f t="shared" si="23"/>
        <v>0.15256651344035599</v>
      </c>
      <c r="O52" s="1296">
        <f t="shared" si="23"/>
        <v>0.14808952226695826</v>
      </c>
      <c r="P52" s="1296">
        <f t="shared" si="23"/>
        <v>0.13675883452679494</v>
      </c>
      <c r="Q52" s="1296">
        <f t="shared" si="23"/>
        <v>0.1102125111179082</v>
      </c>
      <c r="R52" s="1296">
        <f t="shared" si="23"/>
        <v>0.1053169149670119</v>
      </c>
      <c r="S52" s="1296">
        <f t="shared" si="23"/>
        <v>8.352541708215222E-2</v>
      </c>
      <c r="T52" s="1296">
        <f t="shared" si="23"/>
        <v>8.0088423753866156E-2</v>
      </c>
      <c r="U52" s="1296">
        <f t="shared" si="23"/>
        <v>7.5380928234341615E-2</v>
      </c>
      <c r="V52" s="1296">
        <f t="shared" si="23"/>
        <v>7.9999999999999849E-2</v>
      </c>
      <c r="AC52" s="1413"/>
    </row>
    <row r="53" spans="1:31" s="1277" customFormat="1">
      <c r="A53" s="1295" t="s">
        <v>99</v>
      </c>
      <c r="C53" s="1296">
        <f t="shared" ref="C53:V53" si="24">+C51/C8</f>
        <v>0.28899980325356472</v>
      </c>
      <c r="D53" s="1296">
        <f t="shared" si="24"/>
        <v>0.28741391808626315</v>
      </c>
      <c r="E53" s="1296">
        <f t="shared" si="24"/>
        <v>0.29990543772796263</v>
      </c>
      <c r="F53" s="1296">
        <f t="shared" si="24"/>
        <v>0.32692374925707096</v>
      </c>
      <c r="G53" s="1296">
        <f t="shared" si="24"/>
        <v>0.3414996906382371</v>
      </c>
      <c r="H53" s="1296">
        <f t="shared" si="24"/>
        <v>0.34620971402632772</v>
      </c>
      <c r="I53" s="1296">
        <f t="shared" si="24"/>
        <v>0.33813085435198076</v>
      </c>
      <c r="J53" s="1296">
        <f t="shared" si="24"/>
        <v>0.31482282292083125</v>
      </c>
      <c r="K53" s="1311">
        <f t="shared" si="24"/>
        <v>0.28837144020006422</v>
      </c>
      <c r="L53" s="1296">
        <f t="shared" si="24"/>
        <v>0.35936900625478263</v>
      </c>
      <c r="M53" s="1296">
        <f t="shared" si="24"/>
        <v>0.38324046027647679</v>
      </c>
      <c r="N53" s="1296">
        <f t="shared" si="24"/>
        <v>0.40899085287975567</v>
      </c>
      <c r="O53" s="1296">
        <f t="shared" si="24"/>
        <v>0.4347760304576615</v>
      </c>
      <c r="P53" s="1296">
        <f t="shared" si="24"/>
        <v>0.45762545709559027</v>
      </c>
      <c r="Q53" s="1296">
        <f t="shared" si="24"/>
        <v>0.47042732210516286</v>
      </c>
      <c r="R53" s="1296">
        <f t="shared" si="24"/>
        <v>0.48145488554210308</v>
      </c>
      <c r="S53" s="1296">
        <f t="shared" si="24"/>
        <v>0.4830264867252288</v>
      </c>
      <c r="T53" s="1296">
        <f t="shared" si="24"/>
        <v>0.48306603396150011</v>
      </c>
      <c r="U53" s="1296">
        <f t="shared" si="24"/>
        <v>0.48099999999999998</v>
      </c>
      <c r="V53" s="1348">
        <f t="shared" si="24"/>
        <v>0.48099999999999993</v>
      </c>
    </row>
    <row r="54" spans="1:31">
      <c r="A54" s="1295"/>
      <c r="C54" s="1297"/>
      <c r="D54" s="1297"/>
      <c r="E54" s="1297"/>
      <c r="F54" s="1297"/>
      <c r="G54" s="1297"/>
      <c r="H54" s="1297"/>
      <c r="I54" s="1297"/>
      <c r="J54" s="1297"/>
      <c r="K54" s="1298"/>
      <c r="L54" s="1297"/>
      <c r="M54" s="1297"/>
      <c r="N54" s="1297"/>
      <c r="O54" s="1297"/>
      <c r="P54" s="1297"/>
      <c r="Q54" s="1297"/>
      <c r="R54" s="1297"/>
      <c r="S54" s="1297"/>
      <c r="T54" s="1297"/>
      <c r="U54" s="1297"/>
      <c r="V54" s="1297"/>
    </row>
    <row r="55" spans="1:31">
      <c r="A55" s="1267" t="s">
        <v>137</v>
      </c>
      <c r="B55" s="1290"/>
      <c r="C55" s="1291">
        <f>+'Historical Financials'!BH68*-1</f>
        <v>-876</v>
      </c>
      <c r="D55" s="1291">
        <f>+'Historical Financials'!BI68*-1</f>
        <v>-1416</v>
      </c>
      <c r="E55" s="1292">
        <f>+'Historical Financials'!BJ68*-1</f>
        <v>-729</v>
      </c>
      <c r="F55" s="1292">
        <f>+'Historical Financials'!BK68*-1</f>
        <v>-77</v>
      </c>
      <c r="G55" s="1292">
        <f>+'Historical Financials'!BL68*-1</f>
        <v>-1186</v>
      </c>
      <c r="H55" s="1292">
        <f>+'Historical Financials'!BM68*-1</f>
        <v>-333</v>
      </c>
      <c r="I55" s="1292">
        <f>+'Historical Financials'!BN68*-1</f>
        <v>-788</v>
      </c>
      <c r="J55" s="1292">
        <f>+'Historical Financials'!BO68*-1</f>
        <v>1646</v>
      </c>
      <c r="K55" s="1293">
        <f>+'Historical Financials'!BP68*-1</f>
        <v>650</v>
      </c>
      <c r="L55" s="1294">
        <v>0</v>
      </c>
      <c r="M55" s="1294">
        <v>0</v>
      </c>
      <c r="N55" s="1294">
        <v>0</v>
      </c>
      <c r="O55" s="1294">
        <v>0</v>
      </c>
      <c r="P55" s="1294">
        <v>0</v>
      </c>
      <c r="Q55" s="1294">
        <v>0</v>
      </c>
      <c r="R55" s="1294">
        <v>0</v>
      </c>
      <c r="S55" s="1294">
        <v>0</v>
      </c>
      <c r="T55" s="1294">
        <v>0</v>
      </c>
      <c r="U55" s="1294">
        <v>0</v>
      </c>
      <c r="V55" s="1294">
        <v>0</v>
      </c>
    </row>
    <row r="56" spans="1:31">
      <c r="A56" s="1295" t="s">
        <v>138</v>
      </c>
      <c r="C56" s="1349">
        <v>0.05</v>
      </c>
      <c r="D56" s="1299">
        <f>C56+0.25%</f>
        <v>5.2500000000000005E-2</v>
      </c>
      <c r="E56" s="1299">
        <f>D56+0.25%</f>
        <v>5.5000000000000007E-2</v>
      </c>
      <c r="F56" s="1299">
        <f>E56+0.25%</f>
        <v>5.7500000000000009E-2</v>
      </c>
      <c r="G56" s="1299">
        <f>F56+0.25%</f>
        <v>6.0000000000000012E-2</v>
      </c>
      <c r="H56" s="1299">
        <f t="shared" ref="H56:V56" si="25">G56</f>
        <v>6.0000000000000012E-2</v>
      </c>
      <c r="I56" s="1299">
        <f t="shared" si="25"/>
        <v>6.0000000000000012E-2</v>
      </c>
      <c r="J56" s="1299">
        <f t="shared" si="25"/>
        <v>6.0000000000000012E-2</v>
      </c>
      <c r="K56" s="1288">
        <f t="shared" si="25"/>
        <v>6.0000000000000012E-2</v>
      </c>
      <c r="L56" s="1299">
        <f t="shared" si="25"/>
        <v>6.0000000000000012E-2</v>
      </c>
      <c r="M56" s="1299">
        <f t="shared" si="25"/>
        <v>6.0000000000000012E-2</v>
      </c>
      <c r="N56" s="1299">
        <f t="shared" si="25"/>
        <v>6.0000000000000012E-2</v>
      </c>
      <c r="O56" s="1299">
        <f t="shared" si="25"/>
        <v>6.0000000000000012E-2</v>
      </c>
      <c r="P56" s="1299">
        <f t="shared" si="25"/>
        <v>6.0000000000000012E-2</v>
      </c>
      <c r="Q56" s="1299">
        <f t="shared" si="25"/>
        <v>6.0000000000000012E-2</v>
      </c>
      <c r="R56" s="1299">
        <f t="shared" si="25"/>
        <v>6.0000000000000012E-2</v>
      </c>
      <c r="S56" s="1299">
        <f t="shared" si="25"/>
        <v>6.0000000000000012E-2</v>
      </c>
      <c r="T56" s="1299">
        <f t="shared" si="25"/>
        <v>6.0000000000000012E-2</v>
      </c>
      <c r="U56" s="1299">
        <f t="shared" si="25"/>
        <v>6.0000000000000012E-2</v>
      </c>
      <c r="V56" s="1299">
        <f t="shared" si="25"/>
        <v>6.0000000000000012E-2</v>
      </c>
    </row>
    <row r="57" spans="1:31">
      <c r="C57" s="1266"/>
      <c r="D57" s="1266"/>
      <c r="E57" s="1266"/>
      <c r="F57" s="1266"/>
      <c r="G57" s="1266"/>
      <c r="H57" s="1266"/>
      <c r="I57" s="1266"/>
      <c r="J57" s="1266"/>
      <c r="K57" s="1338"/>
      <c r="L57" s="1266"/>
      <c r="M57" s="1266"/>
      <c r="N57" s="1266"/>
      <c r="O57" s="1266"/>
      <c r="P57" s="1266"/>
      <c r="Q57" s="1266"/>
      <c r="R57" s="1266"/>
      <c r="S57" s="1266"/>
      <c r="T57" s="1266"/>
      <c r="U57" s="1266"/>
      <c r="V57" s="1266"/>
    </row>
    <row r="58" spans="1:31">
      <c r="A58" s="1266" t="s">
        <v>139</v>
      </c>
      <c r="B58" s="1294"/>
      <c r="C58" s="1294">
        <f>+MAX((C32-C28-C55)*C59,0)</f>
        <v>10572.449999999999</v>
      </c>
      <c r="D58" s="1294">
        <f>+MAX((D32-D28-D55)*D59,0)</f>
        <v>10212.719999999999</v>
      </c>
      <c r="E58" s="1336">
        <f>+MAX((E32-E28-E55)*E59,0)</f>
        <v>9174.48</v>
      </c>
      <c r="F58" s="1292">
        <f>+'Historical Financials'!BK113*-1</f>
        <v>11137.559999999998</v>
      </c>
      <c r="G58" s="1292">
        <f>+'Historical Financials'!BL113*-1</f>
        <v>14931.419999999998</v>
      </c>
      <c r="H58" s="1292">
        <f>+'Historical Financials'!BM113*-1</f>
        <v>17580.359999999997</v>
      </c>
      <c r="I58" s="1292">
        <f>+'Historical Financials'!BN113*-1</f>
        <v>19001.22</v>
      </c>
      <c r="J58" s="1336">
        <f t="shared" ref="J58:V58" si="26">+MAX((J32-J28-J55-J38)*J59,0)</f>
        <v>22259.37</v>
      </c>
      <c r="K58" s="1337">
        <f t="shared" si="26"/>
        <v>26617.153182978378</v>
      </c>
      <c r="L58" s="1294">
        <f t="shared" si="26"/>
        <v>29465.681584011512</v>
      </c>
      <c r="M58" s="1294">
        <f t="shared" si="26"/>
        <v>32438.716700838886</v>
      </c>
      <c r="N58" s="1294">
        <f t="shared" si="26"/>
        <v>35469.727250220974</v>
      </c>
      <c r="O58" s="1294">
        <f t="shared" si="26"/>
        <v>38597.005508618829</v>
      </c>
      <c r="P58" s="1294">
        <f t="shared" si="26"/>
        <v>41988.994737958921</v>
      </c>
      <c r="Q58" s="1294">
        <f t="shared" si="26"/>
        <v>45668.277376738268</v>
      </c>
      <c r="R58" s="1294">
        <f t="shared" si="26"/>
        <v>49659.354903399377</v>
      </c>
      <c r="S58" s="1294">
        <f t="shared" si="26"/>
        <v>53988.810355115122</v>
      </c>
      <c r="T58" s="1294">
        <f t="shared" si="26"/>
        <v>58685.484567723637</v>
      </c>
      <c r="U58" s="1294">
        <f t="shared" si="26"/>
        <v>63780.667292076752</v>
      </c>
      <c r="V58" s="1294">
        <f t="shared" si="26"/>
        <v>69979.25476681783</v>
      </c>
      <c r="W58" s="1266"/>
      <c r="X58" s="1266"/>
      <c r="Y58" s="1266"/>
      <c r="Z58" s="1266"/>
      <c r="AA58" s="1266"/>
      <c r="AB58" s="1266"/>
      <c r="AC58" s="1266"/>
      <c r="AD58" s="1266"/>
      <c r="AE58" s="1266"/>
    </row>
    <row r="59" spans="1:31">
      <c r="A59" s="1295" t="s">
        <v>138</v>
      </c>
      <c r="C59" s="1349">
        <v>0.35</v>
      </c>
      <c r="D59" s="1299">
        <f>+(0.35+0.21)/2</f>
        <v>0.27999999999999997</v>
      </c>
      <c r="E59" s="1299">
        <v>0.21</v>
      </c>
      <c r="F59" s="1297">
        <f>+F58/(F32-F28-F55)</f>
        <v>0.20999999999999996</v>
      </c>
      <c r="G59" s="1297">
        <f>+G58/(G32-G28-G55)</f>
        <v>0.20999999999999996</v>
      </c>
      <c r="H59" s="1297">
        <f>+H58/(H32-H28-H55)</f>
        <v>0.20999999999999996</v>
      </c>
      <c r="I59" s="1297">
        <f>+I58/(I32-I28-I55)</f>
        <v>0.21000000000000002</v>
      </c>
      <c r="J59" s="1299">
        <v>0.21</v>
      </c>
      <c r="K59" s="1288">
        <v>0.21</v>
      </c>
      <c r="L59" s="1299">
        <f t="shared" ref="L59:V59" si="27">K59</f>
        <v>0.21</v>
      </c>
      <c r="M59" s="1299">
        <f t="shared" si="27"/>
        <v>0.21</v>
      </c>
      <c r="N59" s="1299">
        <f t="shared" si="27"/>
        <v>0.21</v>
      </c>
      <c r="O59" s="1299">
        <f t="shared" si="27"/>
        <v>0.21</v>
      </c>
      <c r="P59" s="1299">
        <f t="shared" si="27"/>
        <v>0.21</v>
      </c>
      <c r="Q59" s="1299">
        <f t="shared" si="27"/>
        <v>0.21</v>
      </c>
      <c r="R59" s="1299">
        <f t="shared" si="27"/>
        <v>0.21</v>
      </c>
      <c r="S59" s="1299">
        <f t="shared" si="27"/>
        <v>0.21</v>
      </c>
      <c r="T59" s="1299">
        <f t="shared" si="27"/>
        <v>0.21</v>
      </c>
      <c r="U59" s="1299">
        <f t="shared" si="27"/>
        <v>0.21</v>
      </c>
      <c r="V59" s="1299">
        <f t="shared" si="27"/>
        <v>0.21</v>
      </c>
      <c r="Z59" s="1350"/>
      <c r="AA59" s="1290"/>
    </row>
    <row r="60" spans="1:31">
      <c r="C60" s="1266"/>
      <c r="D60" s="1266"/>
      <c r="E60" s="1351"/>
      <c r="F60" s="1266"/>
      <c r="G60" s="1266"/>
      <c r="H60" s="1266"/>
      <c r="I60" s="1266"/>
      <c r="J60" s="1266"/>
      <c r="K60" s="1338"/>
      <c r="L60" s="1266"/>
      <c r="M60" s="1266"/>
      <c r="N60" s="1266"/>
      <c r="O60" s="1266"/>
      <c r="P60" s="1266"/>
      <c r="Q60" s="1266"/>
      <c r="R60" s="1266"/>
      <c r="S60" s="1266"/>
      <c r="T60" s="1266"/>
      <c r="U60" s="1266"/>
      <c r="V60" s="1266"/>
    </row>
    <row r="61" spans="1:31" s="1266" customFormat="1">
      <c r="A61" s="1266" t="s">
        <v>140</v>
      </c>
      <c r="B61" s="1294"/>
      <c r="C61" s="1294">
        <f t="shared" ref="C61:V61" si="28">+C13-C55-C58</f>
        <v>19634.550000000003</v>
      </c>
      <c r="D61" s="1294">
        <f t="shared" si="28"/>
        <v>26261.279999999999</v>
      </c>
      <c r="E61" s="1336">
        <f t="shared" si="28"/>
        <v>34513.520000000004</v>
      </c>
      <c r="F61" s="1336">
        <f t="shared" si="28"/>
        <v>41898.44</v>
      </c>
      <c r="G61" s="1336">
        <f t="shared" si="28"/>
        <v>56170.58</v>
      </c>
      <c r="H61" s="1336">
        <f t="shared" si="28"/>
        <v>66135.64</v>
      </c>
      <c r="I61" s="1336">
        <f t="shared" si="28"/>
        <v>71480.78</v>
      </c>
      <c r="J61" s="1336">
        <f t="shared" si="28"/>
        <v>88537.63</v>
      </c>
      <c r="K61" s="1337">
        <f t="shared" si="28"/>
        <v>106023.19530739485</v>
      </c>
      <c r="L61" s="1294">
        <f t="shared" si="28"/>
        <v>115318.08786366235</v>
      </c>
      <c r="M61" s="1294">
        <f t="shared" si="28"/>
        <v>124824.36282696537</v>
      </c>
      <c r="N61" s="1294">
        <f t="shared" si="28"/>
        <v>135342.73584606938</v>
      </c>
      <c r="O61" s="1294">
        <f t="shared" si="28"/>
        <v>146926.25881813749</v>
      </c>
      <c r="P61" s="1294">
        <f t="shared" si="28"/>
        <v>159505.59925232167</v>
      </c>
      <c r="Q61" s="1294">
        <f t="shared" si="28"/>
        <v>173165.71013153921</v>
      </c>
      <c r="R61" s="1294">
        <f t="shared" si="28"/>
        <v>187998.76368421665</v>
      </c>
      <c r="S61" s="1294">
        <f t="shared" si="28"/>
        <v>204104.76276448066</v>
      </c>
      <c r="T61" s="1294">
        <f t="shared" si="28"/>
        <v>221592.20385000797</v>
      </c>
      <c r="U61" s="1294">
        <f t="shared" si="28"/>
        <v>240578.79600352683</v>
      </c>
      <c r="V61" s="1294">
        <f t="shared" si="28"/>
        <v>263255.2917418385</v>
      </c>
    </row>
    <row r="62" spans="1:31">
      <c r="A62" s="1295" t="s">
        <v>87</v>
      </c>
      <c r="C62" s="1296"/>
      <c r="D62" s="1297">
        <f t="shared" ref="D62:V62" si="29">D61/C61-1</f>
        <v>0.33750353331245142</v>
      </c>
      <c r="E62" s="1297">
        <f t="shared" si="29"/>
        <v>0.31423601591392369</v>
      </c>
      <c r="F62" s="1296">
        <f t="shared" si="29"/>
        <v>0.21397180003662331</v>
      </c>
      <c r="G62" s="1296">
        <f t="shared" si="29"/>
        <v>0.34063654875933325</v>
      </c>
      <c r="H62" s="1296">
        <f t="shared" si="29"/>
        <v>0.17740710528536474</v>
      </c>
      <c r="I62" s="1296">
        <f t="shared" si="29"/>
        <v>8.0820870562377634E-2</v>
      </c>
      <c r="J62" s="1296">
        <f t="shared" si="29"/>
        <v>0.23862148678288064</v>
      </c>
      <c r="K62" s="1311">
        <f t="shared" si="29"/>
        <v>0.19749303553070985</v>
      </c>
      <c r="L62" s="1296">
        <f t="shared" si="29"/>
        <v>8.7668481687602995E-2</v>
      </c>
      <c r="M62" s="1296">
        <f t="shared" si="29"/>
        <v>8.2435246190884159E-2</v>
      </c>
      <c r="N62" s="1296">
        <f t="shared" si="29"/>
        <v>8.4265385225197109E-2</v>
      </c>
      <c r="O62" s="1296">
        <f t="shared" si="29"/>
        <v>8.5586588003086606E-2</v>
      </c>
      <c r="P62" s="1296">
        <f t="shared" si="29"/>
        <v>8.5616693267570598E-2</v>
      </c>
      <c r="Q62" s="1296">
        <f t="shared" si="29"/>
        <v>8.564032199025573E-2</v>
      </c>
      <c r="R62" s="1296">
        <f t="shared" si="29"/>
        <v>8.5658145261033658E-2</v>
      </c>
      <c r="S62" s="1296">
        <f t="shared" si="29"/>
        <v>8.5670771257397194E-2</v>
      </c>
      <c r="T62" s="1296">
        <f t="shared" si="29"/>
        <v>8.5678750699738959E-2</v>
      </c>
      <c r="U62" s="1296">
        <f t="shared" si="29"/>
        <v>8.5682581894309662E-2</v>
      </c>
      <c r="V62" s="1296">
        <f t="shared" si="29"/>
        <v>9.4258081406223493E-2</v>
      </c>
    </row>
    <row r="63" spans="1:31">
      <c r="C63" s="1266"/>
      <c r="D63" s="1266"/>
      <c r="E63" s="1351"/>
      <c r="F63" s="1266"/>
      <c r="G63" s="1266"/>
      <c r="H63" s="1266"/>
      <c r="I63" s="1266"/>
      <c r="J63" s="1266"/>
      <c r="K63" s="1338"/>
      <c r="L63" s="1266"/>
      <c r="M63" s="1266"/>
      <c r="N63" s="1266"/>
      <c r="O63" s="1266"/>
      <c r="P63" s="1266"/>
      <c r="Q63" s="1266"/>
      <c r="R63" s="1266"/>
      <c r="S63" s="1266"/>
      <c r="T63" s="1266"/>
      <c r="U63" s="1266"/>
      <c r="V63" s="1266"/>
    </row>
    <row r="64" spans="1:31" s="1266" customFormat="1">
      <c r="A64" s="1266" t="str">
        <f>+A28</f>
        <v>Adj. D&amp;A</v>
      </c>
      <c r="B64" s="1294"/>
      <c r="C64" s="1294">
        <f t="shared" ref="C64:V64" si="30">+C28</f>
        <v>8778</v>
      </c>
      <c r="D64" s="1294">
        <f t="shared" si="30"/>
        <v>10261</v>
      </c>
      <c r="E64" s="1336">
        <f t="shared" si="30"/>
        <v>11682</v>
      </c>
      <c r="F64" s="1336">
        <f t="shared" si="30"/>
        <v>12796</v>
      </c>
      <c r="G64" s="1336">
        <f t="shared" si="30"/>
        <v>11686</v>
      </c>
      <c r="H64" s="1336">
        <f t="shared" si="30"/>
        <v>14460</v>
      </c>
      <c r="I64" s="1336">
        <f t="shared" si="30"/>
        <v>13861</v>
      </c>
      <c r="J64" s="1336">
        <f t="shared" si="30"/>
        <v>20427</v>
      </c>
      <c r="K64" s="1337">
        <f t="shared" si="30"/>
        <v>27803.116747365937</v>
      </c>
      <c r="L64" s="1294">
        <f t="shared" si="30"/>
        <v>31175.692983231798</v>
      </c>
      <c r="M64" s="1294">
        <f t="shared" si="30"/>
        <v>34042.998101963938</v>
      </c>
      <c r="N64" s="1294">
        <f t="shared" si="30"/>
        <v>37835.153964588295</v>
      </c>
      <c r="O64" s="1294">
        <f t="shared" si="30"/>
        <v>42029.487808216436</v>
      </c>
      <c r="P64" s="1294">
        <f t="shared" si="30"/>
        <v>45439.739923028188</v>
      </c>
      <c r="Q64" s="1294">
        <f t="shared" si="30"/>
        <v>49105.419379419582</v>
      </c>
      <c r="R64" s="1294">
        <f t="shared" si="30"/>
        <v>52211.672673355213</v>
      </c>
      <c r="S64" s="1294">
        <f t="shared" si="30"/>
        <v>55783.82536271157</v>
      </c>
      <c r="T64" s="1294">
        <f t="shared" si="30"/>
        <v>58732.133176156225</v>
      </c>
      <c r="U64" s="1294">
        <f t="shared" si="30"/>
        <v>60516.823227620487</v>
      </c>
      <c r="V64" s="1294">
        <f t="shared" si="30"/>
        <v>60831.842936425644</v>
      </c>
    </row>
    <row r="65" spans="1:31" s="1355" customFormat="1" ht="18.600000000000001">
      <c r="A65" s="1266" t="str">
        <f>+A48</f>
        <v>Capex</v>
      </c>
      <c r="B65" s="1352"/>
      <c r="C65" s="1352">
        <f t="shared" ref="C65:V65" si="31">+C48*-1</f>
        <v>-10200</v>
      </c>
      <c r="D65" s="1352">
        <f t="shared" si="31"/>
        <v>-13600</v>
      </c>
      <c r="E65" s="1353">
        <f t="shared" si="31"/>
        <v>-16900</v>
      </c>
      <c r="F65" s="1353">
        <f t="shared" si="31"/>
        <v>-19000</v>
      </c>
      <c r="G65" s="1353">
        <f t="shared" si="31"/>
        <v>-24200</v>
      </c>
      <c r="H65" s="1353">
        <f t="shared" si="31"/>
        <v>-29200</v>
      </c>
      <c r="I65" s="1353">
        <f t="shared" si="31"/>
        <v>-31900</v>
      </c>
      <c r="J65" s="1353">
        <f t="shared" si="31"/>
        <v>-55700</v>
      </c>
      <c r="K65" s="1354">
        <f t="shared" si="31"/>
        <v>-80000</v>
      </c>
      <c r="L65" s="1352">
        <f t="shared" si="31"/>
        <v>-66815.934778837152</v>
      </c>
      <c r="M65" s="1352">
        <f t="shared" si="31"/>
        <v>-65601.099601040114</v>
      </c>
      <c r="N65" s="1352">
        <f t="shared" si="31"/>
        <v>-63764.268812210998</v>
      </c>
      <c r="O65" s="1352">
        <f t="shared" si="31"/>
        <v>-61213.69805972257</v>
      </c>
      <c r="P65" s="1352">
        <f t="shared" si="31"/>
        <v>-57846.944666437841</v>
      </c>
      <c r="Q65" s="1352">
        <f t="shared" si="31"/>
        <v>-58012.221651199092</v>
      </c>
      <c r="R65" s="1352">
        <f t="shared" si="31"/>
        <v>-57833.722507656938</v>
      </c>
      <c r="S65" s="1352">
        <f t="shared" si="31"/>
        <v>-62460.420308269495</v>
      </c>
      <c r="T65" s="1352">
        <f t="shared" si="31"/>
        <v>-67457.253932931053</v>
      </c>
      <c r="U65" s="1352">
        <f t="shared" si="31"/>
        <v>-72853.834247565537</v>
      </c>
      <c r="V65" s="1352">
        <f t="shared" si="31"/>
        <v>-78682.140987370789</v>
      </c>
    </row>
    <row r="66" spans="1:31">
      <c r="A66" s="1339" t="s">
        <v>141</v>
      </c>
      <c r="B66" s="1290"/>
      <c r="C66" s="1294">
        <f t="shared" ref="C66:V66" si="32">+C65+C64+C61</f>
        <v>18212.550000000003</v>
      </c>
      <c r="D66" s="1294">
        <f t="shared" si="32"/>
        <v>22922.28</v>
      </c>
      <c r="E66" s="1336">
        <f t="shared" si="32"/>
        <v>29295.520000000004</v>
      </c>
      <c r="F66" s="1336">
        <f t="shared" si="32"/>
        <v>35694.44</v>
      </c>
      <c r="G66" s="1336">
        <f t="shared" si="32"/>
        <v>43656.58</v>
      </c>
      <c r="H66" s="1336">
        <f t="shared" si="32"/>
        <v>51395.64</v>
      </c>
      <c r="I66" s="1336">
        <f t="shared" si="32"/>
        <v>53441.78</v>
      </c>
      <c r="J66" s="1336">
        <f t="shared" si="32"/>
        <v>53264.630000000005</v>
      </c>
      <c r="K66" s="1337">
        <f t="shared" si="32"/>
        <v>53826.31205476079</v>
      </c>
      <c r="L66" s="1294">
        <f t="shared" si="32"/>
        <v>79677.846068056999</v>
      </c>
      <c r="M66" s="1294">
        <f t="shared" si="32"/>
        <v>93266.261327889195</v>
      </c>
      <c r="N66" s="1294">
        <f t="shared" si="32"/>
        <v>109413.62099844668</v>
      </c>
      <c r="O66" s="1294">
        <f t="shared" si="32"/>
        <v>127742.04856663136</v>
      </c>
      <c r="P66" s="1294">
        <f t="shared" si="32"/>
        <v>147098.39450891202</v>
      </c>
      <c r="Q66" s="1294">
        <f t="shared" si="32"/>
        <v>164258.9078597597</v>
      </c>
      <c r="R66" s="1294">
        <f t="shared" si="32"/>
        <v>182376.71384991493</v>
      </c>
      <c r="S66" s="1294">
        <f t="shared" si="32"/>
        <v>197428.16781892272</v>
      </c>
      <c r="T66" s="1294">
        <f t="shared" si="32"/>
        <v>212867.08309323314</v>
      </c>
      <c r="U66" s="1294">
        <f t="shared" si="32"/>
        <v>228241.78498358178</v>
      </c>
      <c r="V66" s="1294">
        <f t="shared" si="32"/>
        <v>245404.99369089335</v>
      </c>
    </row>
    <row r="67" spans="1:31">
      <c r="A67" s="1331" t="s">
        <v>87</v>
      </c>
      <c r="C67" s="1296"/>
      <c r="D67" s="1296">
        <f t="shared" ref="D67:V67" si="33">+D66/C66-1</f>
        <v>0.25859805463814767</v>
      </c>
      <c r="E67" s="1296">
        <f t="shared" si="33"/>
        <v>0.278036914303464</v>
      </c>
      <c r="F67" s="1296">
        <f t="shared" si="33"/>
        <v>0.21842657170789237</v>
      </c>
      <c r="G67" s="1296">
        <f t="shared" si="33"/>
        <v>0.22306387213246648</v>
      </c>
      <c r="H67" s="1296">
        <f t="shared" si="33"/>
        <v>0.17727133000340367</v>
      </c>
      <c r="I67" s="1296">
        <f t="shared" si="33"/>
        <v>3.9811548216930559E-2</v>
      </c>
      <c r="J67" s="1296">
        <f t="shared" si="33"/>
        <v>-3.3148222233614355E-3</v>
      </c>
      <c r="K67" s="1311">
        <f t="shared" si="33"/>
        <v>1.0545122621912206E-2</v>
      </c>
      <c r="L67" s="1296">
        <f t="shared" si="33"/>
        <v>0.48027689482043412</v>
      </c>
      <c r="M67" s="1296">
        <f t="shared" si="33"/>
        <v>0.17054195024581387</v>
      </c>
      <c r="N67" s="1296">
        <f t="shared" si="33"/>
        <v>0.17313184254045977</v>
      </c>
      <c r="O67" s="1296">
        <f t="shared" si="33"/>
        <v>0.16751504429640329</v>
      </c>
      <c r="P67" s="1296">
        <f t="shared" si="33"/>
        <v>0.15152681642007826</v>
      </c>
      <c r="Q67" s="1296">
        <f t="shared" si="33"/>
        <v>0.11666009957578427</v>
      </c>
      <c r="R67" s="1296">
        <f t="shared" si="33"/>
        <v>0.11030029498079807</v>
      </c>
      <c r="S67" s="1296">
        <f t="shared" si="33"/>
        <v>8.2529472383158664E-2</v>
      </c>
      <c r="T67" s="1296">
        <f t="shared" si="33"/>
        <v>7.8200164874500988E-2</v>
      </c>
      <c r="U67" s="1296">
        <f t="shared" si="33"/>
        <v>7.2226770184165678E-2</v>
      </c>
      <c r="V67" s="1296">
        <f t="shared" si="33"/>
        <v>7.5197487210968639E-2</v>
      </c>
    </row>
    <row r="68" spans="1:31">
      <c r="A68" s="1266"/>
      <c r="B68" s="1290"/>
      <c r="C68" s="1356"/>
      <c r="D68" s="1294"/>
      <c r="E68" s="1336"/>
      <c r="F68" s="1336"/>
      <c r="G68" s="1336"/>
      <c r="H68" s="1336"/>
      <c r="I68" s="1336"/>
      <c r="J68" s="1336"/>
      <c r="K68" s="1337"/>
      <c r="L68" s="1294"/>
      <c r="M68" s="1294"/>
      <c r="N68" s="1294"/>
      <c r="O68" s="1294"/>
      <c r="P68" s="1294"/>
      <c r="Q68" s="1294"/>
      <c r="R68" s="1294"/>
      <c r="S68" s="1294"/>
      <c r="T68" s="1294"/>
      <c r="U68" s="1294"/>
      <c r="V68" s="1294"/>
      <c r="W68" s="1290"/>
      <c r="X68" s="1290"/>
      <c r="Y68" s="1290"/>
      <c r="Z68" s="1290"/>
      <c r="AA68" s="1290"/>
      <c r="AB68" s="1290"/>
      <c r="AC68" s="1290"/>
      <c r="AD68" s="1290"/>
      <c r="AE68" s="1290"/>
    </row>
    <row r="69" spans="1:31">
      <c r="A69" s="1266" t="s">
        <v>142</v>
      </c>
      <c r="C69" s="1291">
        <f>+'Historical Financials'!BH118</f>
        <v>3266</v>
      </c>
      <c r="D69" s="1291">
        <f>+'Historical Financials'!BI118</f>
        <v>3940</v>
      </c>
      <c r="E69" s="1292">
        <f>+'Historical Financials'!BJ118</f>
        <v>4652</v>
      </c>
      <c r="F69" s="1292">
        <f>+'Historical Financials'!BK118</f>
        <v>5289</v>
      </c>
      <c r="G69" s="1292">
        <f>+'Historical Financials'!BL118</f>
        <v>6118</v>
      </c>
      <c r="H69" s="1292">
        <f>+'Historical Financials'!BM118</f>
        <v>7502</v>
      </c>
      <c r="I69" s="1292">
        <f>+'Historical Financials'!BN118</f>
        <v>9611</v>
      </c>
      <c r="J69" s="1292">
        <f>+'Historical Financials'!BO118</f>
        <v>10734</v>
      </c>
      <c r="K69" s="1357">
        <v>0</v>
      </c>
      <c r="L69" s="1358">
        <v>0</v>
      </c>
      <c r="M69" s="1358">
        <v>0</v>
      </c>
      <c r="N69" s="1358">
        <v>0</v>
      </c>
      <c r="O69" s="1358">
        <v>0</v>
      </c>
      <c r="P69" s="1358">
        <v>0</v>
      </c>
      <c r="Q69" s="1358">
        <v>0</v>
      </c>
      <c r="R69" s="1358">
        <v>0</v>
      </c>
      <c r="S69" s="1358">
        <v>0</v>
      </c>
      <c r="T69" s="1358">
        <v>0</v>
      </c>
      <c r="U69" s="1358">
        <v>0</v>
      </c>
      <c r="V69" s="1358">
        <v>0</v>
      </c>
      <c r="W69" s="1290"/>
      <c r="Y69" s="1359"/>
    </row>
    <row r="70" spans="1:31">
      <c r="A70" s="1266" t="str">
        <f>+'Case 2 - upside'!A70</f>
        <v>ATVI Amortization Cash Tax Benefit</v>
      </c>
      <c r="C70" s="1291"/>
      <c r="D70" s="1291">
        <v>0</v>
      </c>
      <c r="E70" s="1292">
        <v>0</v>
      </c>
      <c r="F70" s="1292">
        <v>0</v>
      </c>
      <c r="G70" s="1292">
        <v>0</v>
      </c>
      <c r="H70" s="1292">
        <v>0</v>
      </c>
      <c r="I70" s="1292">
        <v>0</v>
      </c>
      <c r="J70" s="1422">
        <f>+'D&amp;A forecast - Case 3'!U53*0.21</f>
        <v>480.27</v>
      </c>
      <c r="K70" s="1357">
        <f>+'D&amp;A forecast - Case 3'!V53*0.21</f>
        <v>480.27</v>
      </c>
      <c r="L70" s="1358">
        <f>+'D&amp;A forecast - Case 3'!W53*0.21</f>
        <v>480.27</v>
      </c>
      <c r="M70" s="1358">
        <f>+'D&amp;A forecast - Case 3'!X53*0.21</f>
        <v>480.27</v>
      </c>
      <c r="N70" s="1358">
        <f>+'D&amp;A forecast - Case 3'!Y53*0.21</f>
        <v>480.27</v>
      </c>
      <c r="O70" s="1358">
        <f>+'D&amp;A forecast - Case 3'!Z53*0.21</f>
        <v>480.27</v>
      </c>
      <c r="P70" s="1358">
        <f>+'D&amp;A forecast - Case 3'!AA53*0.21</f>
        <v>480.27</v>
      </c>
      <c r="Q70" s="1358">
        <f>+'D&amp;A forecast - Case 3'!AB53*0.21</f>
        <v>480.27</v>
      </c>
      <c r="R70" s="1358">
        <f>+'D&amp;A forecast - Case 3'!AC53*0.21</f>
        <v>480.27</v>
      </c>
      <c r="S70" s="1358">
        <f>+'D&amp;A forecast - Case 3'!AD53*0.21</f>
        <v>480.27</v>
      </c>
      <c r="T70" s="1358">
        <f>+'D&amp;A forecast - Case 3'!AE53*0.21</f>
        <v>480.27</v>
      </c>
      <c r="U70" s="1358">
        <f>+'D&amp;A forecast - Case 3'!AF53*0.21</f>
        <v>480.27</v>
      </c>
      <c r="V70" s="1358">
        <f>+'D&amp;A forecast - Case 3'!AG53*0.21</f>
        <v>480.27</v>
      </c>
      <c r="W70" s="1290"/>
      <c r="Y70" s="1359"/>
    </row>
    <row r="71" spans="1:31" ht="18.600000000000001">
      <c r="A71" s="1266" t="s">
        <v>198</v>
      </c>
      <c r="C71" s="1360">
        <f t="shared" ref="C71:I71" si="34">C72-C66-SUM(C69:C69)</f>
        <v>7828.4499999999971</v>
      </c>
      <c r="D71" s="1360">
        <f t="shared" si="34"/>
        <v>3421.7200000000012</v>
      </c>
      <c r="E71" s="1360">
        <f t="shared" si="34"/>
        <v>1337.4799999999959</v>
      </c>
      <c r="F71" s="1360">
        <f t="shared" si="34"/>
        <v>691.55999999999767</v>
      </c>
      <c r="G71" s="1360">
        <f t="shared" si="34"/>
        <v>2765.4199999999983</v>
      </c>
      <c r="H71" s="1360">
        <f t="shared" si="34"/>
        <v>937.36000000000058</v>
      </c>
      <c r="I71" s="1360">
        <f t="shared" si="34"/>
        <v>-7370.7799999999988</v>
      </c>
      <c r="J71" s="1360">
        <f>+SUM('Historical Financials'!BO120:BO121)</f>
        <v>-518.71374999999898</v>
      </c>
      <c r="K71" s="1361">
        <v>0</v>
      </c>
      <c r="L71" s="1362">
        <v>0</v>
      </c>
      <c r="M71" s="1362">
        <v>0</v>
      </c>
      <c r="N71" s="1362">
        <v>0</v>
      </c>
      <c r="O71" s="1362">
        <v>0</v>
      </c>
      <c r="P71" s="1362">
        <v>0</v>
      </c>
      <c r="Q71" s="1362">
        <v>0</v>
      </c>
      <c r="R71" s="1362">
        <v>0</v>
      </c>
      <c r="S71" s="1362">
        <v>0</v>
      </c>
      <c r="T71" s="1362">
        <v>0</v>
      </c>
      <c r="U71" s="1362">
        <v>0</v>
      </c>
      <c r="V71" s="1362">
        <v>0</v>
      </c>
    </row>
    <row r="72" spans="1:31">
      <c r="A72" s="1363" t="s">
        <v>145</v>
      </c>
      <c r="B72" s="1291"/>
      <c r="C72" s="1291">
        <f>+'Historical Financials'!BH122</f>
        <v>29307</v>
      </c>
      <c r="D72" s="1291">
        <f>+'Historical Financials'!BI122</f>
        <v>30284</v>
      </c>
      <c r="E72" s="1292">
        <f>+'Historical Financials'!BJ122</f>
        <v>35285</v>
      </c>
      <c r="F72" s="1292">
        <f>+'Historical Financials'!BK122</f>
        <v>41675</v>
      </c>
      <c r="G72" s="1292">
        <f>+'Historical Financials'!BL122</f>
        <v>52540</v>
      </c>
      <c r="H72" s="1292">
        <f>+'Historical Financials'!BM122</f>
        <v>59835</v>
      </c>
      <c r="I72" s="1292">
        <f>+'Historical Financials'!BN122</f>
        <v>55682</v>
      </c>
      <c r="J72" s="1336">
        <f t="shared" ref="J72:V72" si="35">+J66+J71+J69+J68+J70</f>
        <v>63960.186250000006</v>
      </c>
      <c r="K72" s="1337">
        <f t="shared" si="35"/>
        <v>54306.582054760787</v>
      </c>
      <c r="L72" s="1294">
        <f t="shared" si="35"/>
        <v>80158.116068057003</v>
      </c>
      <c r="M72" s="1294">
        <f t="shared" si="35"/>
        <v>93746.531327889199</v>
      </c>
      <c r="N72" s="1294">
        <f t="shared" si="35"/>
        <v>109893.89099844669</v>
      </c>
      <c r="O72" s="1294">
        <f t="shared" si="35"/>
        <v>128222.31856663137</v>
      </c>
      <c r="P72" s="1294">
        <f t="shared" si="35"/>
        <v>147578.66450891201</v>
      </c>
      <c r="Q72" s="1294">
        <f t="shared" si="35"/>
        <v>164739.17785975969</v>
      </c>
      <c r="R72" s="1294">
        <f t="shared" si="35"/>
        <v>182856.98384991492</v>
      </c>
      <c r="S72" s="1294">
        <f t="shared" si="35"/>
        <v>197908.43781892271</v>
      </c>
      <c r="T72" s="1294">
        <f t="shared" si="35"/>
        <v>213347.35309323313</v>
      </c>
      <c r="U72" s="1294">
        <f t="shared" si="35"/>
        <v>228722.05498358177</v>
      </c>
      <c r="V72" s="1294">
        <f t="shared" si="35"/>
        <v>245885.26369089333</v>
      </c>
      <c r="W72" s="1364"/>
      <c r="X72" s="1364"/>
      <c r="Y72" s="1364"/>
      <c r="Z72" s="1364"/>
      <c r="AA72" s="1364"/>
      <c r="AB72" s="1364"/>
      <c r="AC72" s="1364"/>
      <c r="AD72" s="1364"/>
      <c r="AE72" s="1364"/>
    </row>
    <row r="73" spans="1:31">
      <c r="C73" s="1266"/>
      <c r="D73" s="1266"/>
      <c r="E73" s="1266"/>
      <c r="F73" s="1266"/>
      <c r="G73" s="1266"/>
      <c r="H73" s="1266"/>
      <c r="I73" s="1266"/>
      <c r="J73" s="1266"/>
      <c r="K73" s="1338"/>
      <c r="L73" s="1266"/>
      <c r="M73" s="1266"/>
      <c r="N73" s="1266"/>
      <c r="O73" s="1266"/>
      <c r="P73" s="1266"/>
      <c r="Q73" s="1266"/>
      <c r="R73" s="1266"/>
      <c r="S73" s="1266"/>
      <c r="T73" s="1266"/>
      <c r="U73" s="1266"/>
      <c r="V73" s="1266"/>
    </row>
    <row r="74" spans="1:31">
      <c r="A74" s="1267" t="s">
        <v>146</v>
      </c>
      <c r="B74" s="1290"/>
      <c r="C74" s="1291">
        <f>+'Historical Financials'!BH136</f>
        <v>-38877</v>
      </c>
      <c r="D74" s="1291">
        <f>+'Historical Financials'!BI136</f>
        <v>-47659</v>
      </c>
      <c r="E74" s="1292">
        <f>+'Historical Financials'!BJ136</f>
        <v>-48879</v>
      </c>
      <c r="F74" s="1292">
        <f>+'Historical Financials'!BK136</f>
        <v>-56033</v>
      </c>
      <c r="G74" s="1292">
        <f>+'Historical Financials'!BL136</f>
        <v>-50018</v>
      </c>
      <c r="H74" s="1292">
        <f>+'Historical Financials'!BM136</f>
        <v>-28585</v>
      </c>
      <c r="I74" s="1292">
        <f>+'Historical Financials'!BN136</f>
        <v>-34230</v>
      </c>
      <c r="J74" s="1292">
        <f>+'Historical Financials'!BO136</f>
        <v>18729</v>
      </c>
      <c r="K74" s="1293">
        <f>+'Historical Financials'!BP136</f>
        <v>-34820.532054760792</v>
      </c>
      <c r="L74" s="1294">
        <f t="shared" ref="L74:V74" si="36">L75*L32</f>
        <v>0</v>
      </c>
      <c r="M74" s="1294">
        <f t="shared" si="36"/>
        <v>0</v>
      </c>
      <c r="N74" s="1294">
        <f t="shared" si="36"/>
        <v>0</v>
      </c>
      <c r="O74" s="1294">
        <f t="shared" si="36"/>
        <v>0</v>
      </c>
      <c r="P74" s="1294">
        <f t="shared" si="36"/>
        <v>0</v>
      </c>
      <c r="Q74" s="1294">
        <f t="shared" si="36"/>
        <v>0</v>
      </c>
      <c r="R74" s="1294">
        <f t="shared" si="36"/>
        <v>0</v>
      </c>
      <c r="S74" s="1294">
        <f t="shared" si="36"/>
        <v>0</v>
      </c>
      <c r="T74" s="1294">
        <f t="shared" si="36"/>
        <v>0</v>
      </c>
      <c r="U74" s="1294">
        <f t="shared" si="36"/>
        <v>0</v>
      </c>
      <c r="V74" s="1294">
        <f t="shared" si="36"/>
        <v>0</v>
      </c>
    </row>
    <row r="75" spans="1:31">
      <c r="A75" s="1295" t="s">
        <v>147</v>
      </c>
      <c r="B75" s="1277"/>
      <c r="C75" s="1365">
        <f t="shared" ref="C75:K75" si="37">+C74/C32</f>
        <v>-1.0201527198299614</v>
      </c>
      <c r="D75" s="1365">
        <f t="shared" si="37"/>
        <v>-1.0516339725060129</v>
      </c>
      <c r="E75" s="1365">
        <f t="shared" si="37"/>
        <v>-0.89454804999908488</v>
      </c>
      <c r="F75" s="1365">
        <f t="shared" si="37"/>
        <v>-0.85214812561782372</v>
      </c>
      <c r="G75" s="1365">
        <f t="shared" si="37"/>
        <v>-0.61295066297394674</v>
      </c>
      <c r="H75" s="1365">
        <f t="shared" si="37"/>
        <v>-0.29215171243727195</v>
      </c>
      <c r="I75" s="1365">
        <f t="shared" si="37"/>
        <v>-0.33054898363188645</v>
      </c>
      <c r="J75" s="1365">
        <f t="shared" si="37"/>
        <v>0.14095732671031835</v>
      </c>
      <c r="K75" s="1367">
        <f t="shared" si="37"/>
        <v>-0.2161511145307676</v>
      </c>
      <c r="L75" s="1368">
        <v>0</v>
      </c>
      <c r="M75" s="1368">
        <f t="shared" ref="M75:V75" si="38">L75</f>
        <v>0</v>
      </c>
      <c r="N75" s="1368">
        <f t="shared" si="38"/>
        <v>0</v>
      </c>
      <c r="O75" s="1368">
        <f t="shared" si="38"/>
        <v>0</v>
      </c>
      <c r="P75" s="1368">
        <f t="shared" si="38"/>
        <v>0</v>
      </c>
      <c r="Q75" s="1368">
        <f t="shared" si="38"/>
        <v>0</v>
      </c>
      <c r="R75" s="1368">
        <f t="shared" si="38"/>
        <v>0</v>
      </c>
      <c r="S75" s="1368">
        <f t="shared" si="38"/>
        <v>0</v>
      </c>
      <c r="T75" s="1368">
        <f t="shared" si="38"/>
        <v>0</v>
      </c>
      <c r="U75" s="1368">
        <f t="shared" si="38"/>
        <v>0</v>
      </c>
      <c r="V75" s="1368">
        <f t="shared" si="38"/>
        <v>0</v>
      </c>
    </row>
    <row r="76" spans="1:31">
      <c r="C76" s="1266"/>
      <c r="D76" s="1266"/>
      <c r="E76" s="1266"/>
      <c r="F76" s="1266"/>
      <c r="G76" s="1266"/>
      <c r="H76" s="1266"/>
      <c r="I76" s="1266"/>
      <c r="J76" s="1266"/>
      <c r="K76" s="1338"/>
      <c r="L76" s="1266"/>
      <c r="M76" s="1266"/>
      <c r="N76" s="1266"/>
      <c r="O76" s="1266"/>
      <c r="P76" s="1266"/>
      <c r="Q76" s="1266"/>
      <c r="R76" s="1266"/>
      <c r="S76" s="1266"/>
      <c r="T76" s="1266"/>
      <c r="U76" s="1266"/>
      <c r="V76" s="1266"/>
    </row>
    <row r="77" spans="1:31">
      <c r="A77" s="1339" t="s">
        <v>148</v>
      </c>
      <c r="B77" s="1290"/>
      <c r="C77" s="1294"/>
      <c r="D77" s="1294"/>
      <c r="E77" s="1336"/>
      <c r="F77" s="1336"/>
      <c r="G77" s="1336"/>
      <c r="H77" s="1336"/>
      <c r="I77" s="1336"/>
      <c r="J77" s="1336"/>
      <c r="K77" s="1337"/>
      <c r="L77" s="1294">
        <f t="shared" ref="L77:V77" si="39">+L72+(L74-K74)</f>
        <v>114978.6481228178</v>
      </c>
      <c r="M77" s="1294">
        <f t="shared" si="39"/>
        <v>93746.531327889199</v>
      </c>
      <c r="N77" s="1294">
        <f t="shared" si="39"/>
        <v>109893.89099844669</v>
      </c>
      <c r="O77" s="1294">
        <f t="shared" si="39"/>
        <v>128222.31856663137</v>
      </c>
      <c r="P77" s="1294">
        <f t="shared" si="39"/>
        <v>147578.66450891201</v>
      </c>
      <c r="Q77" s="1294">
        <f t="shared" si="39"/>
        <v>164739.17785975969</v>
      </c>
      <c r="R77" s="1294">
        <f t="shared" si="39"/>
        <v>182856.98384991492</v>
      </c>
      <c r="S77" s="1294">
        <f t="shared" si="39"/>
        <v>197908.43781892271</v>
      </c>
      <c r="T77" s="1294">
        <f t="shared" si="39"/>
        <v>213347.35309323313</v>
      </c>
      <c r="U77" s="1294">
        <f t="shared" si="39"/>
        <v>228722.05498358177</v>
      </c>
      <c r="V77" s="1294">
        <f t="shared" si="39"/>
        <v>245885.26369089333</v>
      </c>
    </row>
    <row r="78" spans="1:31">
      <c r="A78" s="1331" t="s">
        <v>149</v>
      </c>
      <c r="C78" s="1296"/>
      <c r="D78" s="1296"/>
      <c r="E78" s="1296"/>
      <c r="F78" s="1296"/>
      <c r="G78" s="1296"/>
      <c r="H78" s="1296"/>
      <c r="I78" s="1296"/>
      <c r="J78" s="1296"/>
      <c r="K78" s="1311"/>
      <c r="L78" s="1296">
        <f t="shared" ref="L78:V78" si="40">+L77/$D$99</f>
        <v>3.5760945168358274E-2</v>
      </c>
      <c r="M78" s="1296">
        <f t="shared" si="40"/>
        <v>2.915727938425049E-2</v>
      </c>
      <c r="N78" s="1296">
        <f t="shared" si="40"/>
        <v>3.4179471358326857E-2</v>
      </c>
      <c r="O78" s="1296">
        <f t="shared" si="40"/>
        <v>3.9880024495705449E-2</v>
      </c>
      <c r="P78" s="1296">
        <f t="shared" si="40"/>
        <v>4.5900283362919451E-2</v>
      </c>
      <c r="Q78" s="1296">
        <f t="shared" si="40"/>
        <v>5.1237588915034028E-2</v>
      </c>
      <c r="R78" s="1296">
        <f t="shared" si="40"/>
        <v>5.6872634005256439E-2</v>
      </c>
      <c r="S78" s="1296">
        <f t="shared" si="40"/>
        <v>6.155397466178255E-2</v>
      </c>
      <c r="T78" s="1296">
        <f t="shared" si="40"/>
        <v>6.6355824497360646E-2</v>
      </c>
      <c r="U78" s="1296">
        <f t="shared" si="40"/>
        <v>7.1137702526517077E-2</v>
      </c>
      <c r="V78" s="1296">
        <f t="shared" si="40"/>
        <v>7.6475846395104227E-2</v>
      </c>
    </row>
    <row r="79" spans="1:31">
      <c r="C79" s="1266"/>
      <c r="D79" s="1266"/>
      <c r="E79" s="1266"/>
      <c r="F79" s="1266"/>
      <c r="G79" s="1266"/>
      <c r="H79" s="1266"/>
      <c r="I79" s="1266"/>
      <c r="J79" s="1266"/>
      <c r="K79" s="1338"/>
      <c r="L79" s="1266"/>
      <c r="M79" s="1266"/>
      <c r="N79" s="1266"/>
      <c r="O79" s="1266"/>
      <c r="P79" s="1266"/>
      <c r="Q79" s="1266"/>
      <c r="R79" s="1266"/>
      <c r="S79" s="1266"/>
      <c r="T79" s="1266"/>
      <c r="U79" s="1266"/>
      <c r="V79" s="1266"/>
    </row>
    <row r="80" spans="1:31">
      <c r="A80" s="1339" t="s">
        <v>150</v>
      </c>
      <c r="B80" s="1290"/>
      <c r="C80" s="1294"/>
      <c r="D80" s="1294"/>
      <c r="E80" s="1336"/>
      <c r="F80" s="1336"/>
      <c r="G80" s="1336"/>
      <c r="H80" s="1336"/>
      <c r="I80" s="1336"/>
      <c r="J80" s="1336"/>
      <c r="K80" s="1337"/>
      <c r="L80" s="1294">
        <f t="shared" ref="L80:V80" si="41">L77+K80</f>
        <v>114978.6481228178</v>
      </c>
      <c r="M80" s="1294">
        <f t="shared" si="41"/>
        <v>208725.17945070699</v>
      </c>
      <c r="N80" s="1294">
        <f t="shared" si="41"/>
        <v>318619.07044915366</v>
      </c>
      <c r="O80" s="1294">
        <f t="shared" si="41"/>
        <v>446841.38901578501</v>
      </c>
      <c r="P80" s="1294">
        <f t="shared" si="41"/>
        <v>594420.05352469697</v>
      </c>
      <c r="Q80" s="1294">
        <f t="shared" si="41"/>
        <v>759159.23138445662</v>
      </c>
      <c r="R80" s="1294">
        <f t="shared" si="41"/>
        <v>942016.2152343716</v>
      </c>
      <c r="S80" s="1294">
        <f t="shared" si="41"/>
        <v>1139924.6530532944</v>
      </c>
      <c r="T80" s="1294">
        <f t="shared" si="41"/>
        <v>1353272.0061465276</v>
      </c>
      <c r="U80" s="1294">
        <f t="shared" si="41"/>
        <v>1581994.0611301092</v>
      </c>
      <c r="V80" s="1294">
        <f t="shared" si="41"/>
        <v>1827879.3248210025</v>
      </c>
    </row>
    <row r="81" spans="1:26">
      <c r="A81" s="1331" t="s">
        <v>149</v>
      </c>
      <c r="C81" s="1296"/>
      <c r="D81" s="1296"/>
      <c r="E81" s="1296"/>
      <c r="F81" s="1296"/>
      <c r="G81" s="1296"/>
      <c r="H81" s="1296"/>
      <c r="I81" s="1296"/>
      <c r="J81" s="1296"/>
      <c r="K81" s="1311"/>
      <c r="L81" s="1296">
        <f t="shared" ref="L81:V81" si="42">L80/$D$99</f>
        <v>3.5760945168358274E-2</v>
      </c>
      <c r="M81" s="1296">
        <f t="shared" si="42"/>
        <v>6.4918224552608761E-2</v>
      </c>
      <c r="N81" s="1296">
        <f t="shared" si="42"/>
        <v>9.9097695910935618E-2</v>
      </c>
      <c r="O81" s="1369">
        <f t="shared" si="42"/>
        <v>0.13897772040664105</v>
      </c>
      <c r="P81" s="1296">
        <f t="shared" si="42"/>
        <v>0.18487800376956051</v>
      </c>
      <c r="Q81" s="1296">
        <f t="shared" si="42"/>
        <v>0.23611559268459453</v>
      </c>
      <c r="R81" s="1296">
        <f t="shared" si="42"/>
        <v>0.29298822668985097</v>
      </c>
      <c r="S81" s="1296">
        <f t="shared" si="42"/>
        <v>0.35454220135163356</v>
      </c>
      <c r="T81" s="1296">
        <f t="shared" si="42"/>
        <v>0.42089802584899422</v>
      </c>
      <c r="U81" s="1296">
        <f t="shared" si="42"/>
        <v>0.49203572837551124</v>
      </c>
      <c r="V81" s="1296">
        <f t="shared" si="42"/>
        <v>0.56851157477061542</v>
      </c>
    </row>
    <row r="82" spans="1:26">
      <c r="C82" s="1266"/>
      <c r="D82" s="1266"/>
      <c r="E82" s="1266"/>
      <c r="F82" s="1266"/>
      <c r="G82" s="1266"/>
      <c r="H82" s="1266"/>
      <c r="I82" s="1266"/>
      <c r="J82" s="1266"/>
      <c r="K82" s="1338"/>
      <c r="L82" s="1266"/>
      <c r="M82" s="1266"/>
      <c r="N82" s="1266"/>
      <c r="O82" s="1266"/>
      <c r="P82" s="1266"/>
      <c r="Q82" s="1266"/>
      <c r="R82" s="1266"/>
      <c r="S82" s="1266"/>
      <c r="T82" s="1266"/>
      <c r="U82" s="1266"/>
      <c r="V82" s="1266"/>
    </row>
    <row r="83" spans="1:26" collapsed="1">
      <c r="A83" s="1267" t="s">
        <v>151</v>
      </c>
      <c r="C83" s="1266"/>
      <c r="D83" s="1266"/>
      <c r="E83" s="1266"/>
      <c r="F83" s="1266"/>
      <c r="G83" s="1370"/>
      <c r="H83" s="1371"/>
      <c r="I83" s="1426"/>
      <c r="J83" s="1370">
        <f>+Base!J84</f>
        <v>51.158375763747458</v>
      </c>
      <c r="K83" s="1338"/>
      <c r="L83" s="1266"/>
      <c r="M83" s="1266"/>
      <c r="N83" s="1266"/>
      <c r="O83" s="1266"/>
      <c r="P83" s="1266"/>
      <c r="Q83" s="1266"/>
      <c r="R83" s="1266"/>
      <c r="S83" s="1266"/>
      <c r="T83" s="1266"/>
      <c r="U83" s="1266"/>
      <c r="V83" s="1266"/>
      <c r="Z83" s="1346"/>
    </row>
    <row r="84" spans="1:26">
      <c r="A84" s="1266" t="s">
        <v>152</v>
      </c>
      <c r="B84" s="1266"/>
      <c r="C84" s="1370"/>
      <c r="D84" s="1370"/>
      <c r="E84" s="1370"/>
      <c r="F84" s="1370"/>
      <c r="G84" s="1370"/>
      <c r="H84" s="1370"/>
      <c r="I84" s="1370"/>
      <c r="J84" s="1370"/>
      <c r="K84" s="1372">
        <f t="shared" ref="K84:V84" si="43">+($D$99-K80)/(K8)</f>
        <v>11.433378919095253</v>
      </c>
      <c r="L84" s="1370">
        <f t="shared" si="43"/>
        <v>10.207880076370763</v>
      </c>
      <c r="M84" s="1370">
        <f t="shared" si="43"/>
        <v>9.1659330067132743</v>
      </c>
      <c r="N84" s="1370">
        <f t="shared" si="43"/>
        <v>8.1767558074673019</v>
      </c>
      <c r="O84" s="1370">
        <f t="shared" si="43"/>
        <v>7.2359234582646277</v>
      </c>
      <c r="P84" s="1370">
        <f t="shared" si="43"/>
        <v>6.3427622430579174</v>
      </c>
      <c r="Q84" s="1370">
        <f t="shared" si="43"/>
        <v>5.503762807770717</v>
      </c>
      <c r="R84" s="1370">
        <f t="shared" si="43"/>
        <v>4.7166641596649814</v>
      </c>
      <c r="S84" s="1370">
        <f t="shared" si="43"/>
        <v>3.987056641702325</v>
      </c>
      <c r="T84" s="1370">
        <f t="shared" si="43"/>
        <v>3.3121945859901456</v>
      </c>
      <c r="U84" s="1370">
        <f t="shared" si="43"/>
        <v>2.690111051649088</v>
      </c>
      <c r="V84" s="1370">
        <f t="shared" si="43"/>
        <v>2.1158381169139902</v>
      </c>
    </row>
    <row r="85" spans="1:26">
      <c r="A85" s="1266" t="s">
        <v>153</v>
      </c>
      <c r="B85" s="1266"/>
      <c r="C85" s="1371">
        <f t="shared" ref="C85:V85" si="44">($D$99-C80)/C66</f>
        <v>176.53769516075451</v>
      </c>
      <c r="D85" s="1371">
        <f t="shared" si="44"/>
        <v>140.26534882219397</v>
      </c>
      <c r="E85" s="1371">
        <f t="shared" si="44"/>
        <v>109.7506239861931</v>
      </c>
      <c r="F85" s="1371">
        <f t="shared" si="44"/>
        <v>90.075698063900148</v>
      </c>
      <c r="G85" s="1371">
        <f t="shared" si="44"/>
        <v>73.647583021849172</v>
      </c>
      <c r="H85" s="1371">
        <f t="shared" si="44"/>
        <v>62.557866776247948</v>
      </c>
      <c r="I85" s="1426">
        <f t="shared" si="44"/>
        <v>60.162696676645133</v>
      </c>
      <c r="J85" s="1371">
        <f t="shared" si="44"/>
        <v>60.362788589726428</v>
      </c>
      <c r="K85" s="1372">
        <f t="shared" si="44"/>
        <v>59.732897857259466</v>
      </c>
      <c r="L85" s="1370">
        <f t="shared" si="44"/>
        <v>38.909472392478087</v>
      </c>
      <c r="M85" s="1370">
        <f t="shared" si="44"/>
        <v>32.235412653452997</v>
      </c>
      <c r="N85" s="1370">
        <f t="shared" si="44"/>
        <v>26.473692243417926</v>
      </c>
      <c r="O85" s="1370">
        <f t="shared" si="44"/>
        <v>21.671487517598518</v>
      </c>
      <c r="P85" s="1370">
        <f t="shared" si="44"/>
        <v>17.81652039932035</v>
      </c>
      <c r="Q85" s="1370">
        <f t="shared" si="44"/>
        <v>14.95226286730491</v>
      </c>
      <c r="R85" s="1370">
        <f t="shared" si="44"/>
        <v>12.464230420536712</v>
      </c>
      <c r="S85" s="1370">
        <f t="shared" si="44"/>
        <v>10.511554505485304</v>
      </c>
      <c r="T85" s="1370">
        <f t="shared" si="44"/>
        <v>8.7469117667101699</v>
      </c>
      <c r="U85" s="1370">
        <f t="shared" si="44"/>
        <v>7.1556027262377624</v>
      </c>
      <c r="V85" s="1370">
        <f t="shared" si="44"/>
        <v>5.6531949668735662</v>
      </c>
    </row>
    <row r="86" spans="1:26">
      <c r="A86" s="1266" t="s">
        <v>154</v>
      </c>
      <c r="B86" s="1266"/>
      <c r="C86" s="1371"/>
      <c r="D86" s="1371">
        <f t="shared" ref="D86:V86" si="45">($D$99-D80)/D61</f>
        <v>122.43126001474415</v>
      </c>
      <c r="E86" s="1371">
        <f t="shared" si="45"/>
        <v>93.157742241301378</v>
      </c>
      <c r="F86" s="1371">
        <f t="shared" si="45"/>
        <v>76.737978788709071</v>
      </c>
      <c r="G86" s="1371">
        <f t="shared" si="45"/>
        <v>57.239957287248949</v>
      </c>
      <c r="H86" s="1371">
        <f t="shared" si="45"/>
        <v>48.615264024057225</v>
      </c>
      <c r="I86" s="1426">
        <f t="shared" si="45"/>
        <v>44.979945658119568</v>
      </c>
      <c r="J86" s="1371">
        <f t="shared" si="45"/>
        <v>36.314520729773314</v>
      </c>
      <c r="K86" s="1372">
        <f t="shared" si="45"/>
        <v>30.325454639224102</v>
      </c>
      <c r="L86" s="1370">
        <f t="shared" si="45"/>
        <v>26.884099531224425</v>
      </c>
      <c r="M86" s="1370">
        <f t="shared" si="45"/>
        <v>24.085654053904086</v>
      </c>
      <c r="N86" s="1370">
        <f t="shared" si="45"/>
        <v>21.401832255299198</v>
      </c>
      <c r="O86" s="1370">
        <f t="shared" si="45"/>
        <v>18.841834218421354</v>
      </c>
      <c r="P86" s="1370">
        <f t="shared" si="45"/>
        <v>16.430655467645952</v>
      </c>
      <c r="Q86" s="1370">
        <f t="shared" si="45"/>
        <v>14.183191156897619</v>
      </c>
      <c r="R86" s="1370">
        <f t="shared" si="45"/>
        <v>12.091491136526409</v>
      </c>
      <c r="S86" s="1370">
        <f t="shared" si="45"/>
        <v>10.167704657344997</v>
      </c>
      <c r="T86" s="1370">
        <f t="shared" si="45"/>
        <v>8.4025049686034148</v>
      </c>
      <c r="U86" s="1370">
        <f t="shared" si="45"/>
        <v>6.7886595410758828</v>
      </c>
      <c r="V86" s="1370">
        <f t="shared" si="45"/>
        <v>5.2698742198104647</v>
      </c>
    </row>
    <row r="87" spans="1:26" hidden="1" outlineLevel="1">
      <c r="A87" s="1266" t="s">
        <v>155</v>
      </c>
      <c r="C87" s="1266"/>
      <c r="D87" s="1370"/>
      <c r="E87" s="1370"/>
      <c r="F87" s="1370"/>
      <c r="G87" s="1370"/>
      <c r="H87" s="1371">
        <f>+$E$99/8.81</f>
        <v>48.842224744608401</v>
      </c>
      <c r="I87" s="1427">
        <f>+$E$99/10.11</f>
        <v>42.561819980217606</v>
      </c>
      <c r="J87" s="1374">
        <f>+$E$99/11.45</f>
        <v>37.580786026200876</v>
      </c>
      <c r="K87" s="1370"/>
    </row>
    <row r="88" spans="1:26" collapsed="1">
      <c r="C88" s="1266"/>
      <c r="D88" s="1266"/>
      <c r="E88" s="1266"/>
      <c r="F88" s="1266"/>
      <c r="G88" s="1266"/>
      <c r="H88" s="1266"/>
      <c r="I88" s="1266"/>
      <c r="J88" s="1266"/>
      <c r="K88" s="1266"/>
    </row>
    <row r="89" spans="1:26">
      <c r="A89" s="1282" t="s">
        <v>156</v>
      </c>
      <c r="B89" s="1283"/>
      <c r="C89" s="1376"/>
      <c r="D89" s="1266"/>
      <c r="E89" s="1266"/>
      <c r="F89" s="1266"/>
      <c r="G89" s="1266"/>
      <c r="H89" s="1266"/>
      <c r="I89" s="1266"/>
      <c r="J89" s="1266"/>
      <c r="K89" s="1266"/>
    </row>
    <row r="90" spans="1:26">
      <c r="C90" s="1266"/>
      <c r="D90" s="1266"/>
      <c r="E90" s="1266"/>
      <c r="F90" s="1266"/>
      <c r="G90" s="1266"/>
      <c r="H90" s="1266"/>
      <c r="I90" s="1266"/>
      <c r="J90" s="1343"/>
      <c r="K90" s="1266"/>
    </row>
    <row r="91" spans="1:26">
      <c r="A91" s="1317" t="s">
        <v>157</v>
      </c>
      <c r="C91" s="1266"/>
      <c r="D91" s="1266"/>
      <c r="E91" s="1266"/>
      <c r="F91" s="1266"/>
      <c r="G91" s="1266"/>
      <c r="H91" s="1266"/>
      <c r="I91" s="1266"/>
      <c r="J91" s="1266"/>
      <c r="K91" s="1266"/>
      <c r="L91" s="1266"/>
      <c r="M91" s="1266"/>
      <c r="N91" s="1266"/>
    </row>
    <row r="92" spans="1:26" ht="18.600000000000001">
      <c r="A92" s="1267" t="s">
        <v>158</v>
      </c>
      <c r="C92" s="1266"/>
      <c r="D92" s="1266"/>
      <c r="E92" s="1266"/>
      <c r="F92" s="1266"/>
      <c r="G92" s="1266"/>
      <c r="H92" s="1266"/>
      <c r="I92" s="1266"/>
      <c r="J92" s="1266"/>
      <c r="K92" s="1266"/>
      <c r="L92" s="1266"/>
      <c r="M92" s="1266"/>
      <c r="N92" s="1266"/>
      <c r="O92" s="1266"/>
      <c r="P92" s="1266"/>
      <c r="Q92" s="1266"/>
      <c r="R92" s="1266"/>
      <c r="S92" s="1266"/>
      <c r="T92" s="1266"/>
      <c r="U92" s="1377">
        <v>15</v>
      </c>
      <c r="V92" s="1378"/>
    </row>
    <row r="93" spans="1:26">
      <c r="A93" s="1339" t="s">
        <v>159</v>
      </c>
      <c r="C93" s="1294"/>
      <c r="D93" s="1294"/>
      <c r="E93" s="1294"/>
      <c r="F93" s="1294"/>
      <c r="G93" s="1294"/>
      <c r="H93" s="1294"/>
      <c r="I93" s="1294"/>
      <c r="J93" s="1294"/>
      <c r="K93" s="1294"/>
      <c r="L93" s="1294"/>
      <c r="M93" s="1294"/>
      <c r="N93" s="1294"/>
      <c r="O93" s="1294"/>
      <c r="P93" s="1294"/>
      <c r="Q93" s="1294"/>
      <c r="R93" s="1294"/>
      <c r="S93" s="1294"/>
      <c r="T93" s="1294"/>
      <c r="U93" s="1294">
        <f>+U92*V66</f>
        <v>3681074.9053634</v>
      </c>
      <c r="V93" s="1294"/>
    </row>
    <row r="94" spans="1:26">
      <c r="A94" s="1339" t="s">
        <v>160</v>
      </c>
      <c r="C94" s="1294"/>
      <c r="D94" s="1294"/>
      <c r="E94" s="1294"/>
      <c r="F94" s="1294"/>
      <c r="G94" s="1294"/>
      <c r="H94" s="1294"/>
      <c r="I94" s="1294"/>
      <c r="J94" s="1294"/>
      <c r="K94" s="1294">
        <f>-$D$99+K80</f>
        <v>-3215201.6</v>
      </c>
      <c r="L94" s="1294">
        <f t="shared" ref="L94:U94" si="46">+L77+L93</f>
        <v>114978.6481228178</v>
      </c>
      <c r="M94" s="1294">
        <f t="shared" si="46"/>
        <v>93746.531327889199</v>
      </c>
      <c r="N94" s="1294">
        <f t="shared" si="46"/>
        <v>109893.89099844669</v>
      </c>
      <c r="O94" s="1294">
        <f t="shared" si="46"/>
        <v>128222.31856663137</v>
      </c>
      <c r="P94" s="1294">
        <f t="shared" si="46"/>
        <v>147578.66450891201</v>
      </c>
      <c r="Q94" s="1294">
        <f t="shared" si="46"/>
        <v>164739.17785975969</v>
      </c>
      <c r="R94" s="1294">
        <f t="shared" si="46"/>
        <v>182856.98384991492</v>
      </c>
      <c r="S94" s="1294">
        <f t="shared" si="46"/>
        <v>197908.43781892271</v>
      </c>
      <c r="T94" s="1294">
        <f t="shared" si="46"/>
        <v>213347.35309323313</v>
      </c>
      <c r="U94" s="1294">
        <f t="shared" si="46"/>
        <v>3909796.9603469819</v>
      </c>
      <c r="V94" s="1294"/>
    </row>
    <row r="95" spans="1:26">
      <c r="A95" s="1379" t="s">
        <v>161</v>
      </c>
      <c r="B95" s="1380"/>
      <c r="C95" s="1381"/>
      <c r="D95" s="1381"/>
      <c r="E95" s="1381"/>
      <c r="F95" s="1381"/>
      <c r="G95" s="1381"/>
      <c r="H95" s="1381"/>
      <c r="I95" s="1381"/>
      <c r="J95" s="1381"/>
      <c r="K95" s="1382">
        <f>XIRR(K94:U94,K3:U3)</f>
        <v>5.3318831324577334E-2</v>
      </c>
      <c r="L95" s="1383"/>
      <c r="M95" s="1384"/>
      <c r="N95" s="1384"/>
      <c r="O95" s="1384"/>
      <c r="P95" s="1384"/>
      <c r="Q95" s="1384"/>
      <c r="R95" s="1384"/>
      <c r="S95" s="1384"/>
      <c r="T95" s="1384"/>
      <c r="U95" s="1384"/>
      <c r="V95" s="1384"/>
    </row>
    <row r="97" spans="1:22">
      <c r="A97" s="1385" t="s">
        <v>162</v>
      </c>
      <c r="B97" s="1386"/>
      <c r="C97" s="1387"/>
      <c r="D97" s="1387"/>
      <c r="E97" s="1388"/>
      <c r="F97" s="1266"/>
      <c r="I97" s="1266"/>
      <c r="J97" s="1266"/>
      <c r="K97" s="1266"/>
    </row>
    <row r="98" spans="1:22">
      <c r="D98" s="1389" t="s">
        <v>163</v>
      </c>
      <c r="E98" s="1389" t="s">
        <v>164</v>
      </c>
      <c r="F98" s="1266"/>
      <c r="I98" s="1266"/>
      <c r="J98" s="1266"/>
      <c r="K98" s="1266"/>
    </row>
    <row r="99" spans="1:22">
      <c r="A99" s="1267" t="s">
        <v>165</v>
      </c>
      <c r="D99" s="1344">
        <f>+E99*E102</f>
        <v>3215201.6</v>
      </c>
      <c r="E99" s="1394">
        <f>+Base!E100</f>
        <v>430.3</v>
      </c>
      <c r="F99" s="1266"/>
      <c r="I99" s="1266"/>
      <c r="J99" s="1266"/>
      <c r="K99" s="1266"/>
    </row>
    <row r="100" spans="1:22" ht="18.600000000000001">
      <c r="A100" s="1267" t="s">
        <v>146</v>
      </c>
      <c r="D100" s="1352">
        <f>+Base!D101</f>
        <v>18729</v>
      </c>
      <c r="E100" s="1423">
        <f>+D100/E102</f>
        <v>2.5065578158458246</v>
      </c>
      <c r="F100" s="1275"/>
      <c r="I100" s="1266"/>
      <c r="J100" s="1266"/>
      <c r="K100" s="1266"/>
    </row>
    <row r="101" spans="1:22">
      <c r="A101" s="1393" t="s">
        <v>166</v>
      </c>
      <c r="B101" s="1300"/>
      <c r="D101" s="1344">
        <f>+D100+D99</f>
        <v>3233930.6</v>
      </c>
      <c r="E101" s="1344">
        <f>+D101/E102</f>
        <v>432.80655781584585</v>
      </c>
      <c r="F101" s="1266"/>
      <c r="I101" s="1266"/>
      <c r="J101" s="1266"/>
      <c r="K101" s="1266"/>
    </row>
    <row r="102" spans="1:22">
      <c r="A102" s="1295" t="s">
        <v>167</v>
      </c>
      <c r="D102" s="1266"/>
      <c r="E102" s="1321">
        <f>+Base!E103</f>
        <v>7472</v>
      </c>
      <c r="F102" s="1266"/>
      <c r="I102" s="1266"/>
      <c r="J102" s="1266"/>
      <c r="K102" s="1266"/>
    </row>
    <row r="103" spans="1:22">
      <c r="A103" s="1295"/>
      <c r="D103" s="1266"/>
      <c r="E103" s="1321"/>
      <c r="F103" s="1266"/>
      <c r="I103" s="1266"/>
      <c r="J103" s="1266"/>
      <c r="K103" s="1266"/>
    </row>
    <row r="104" spans="1:22">
      <c r="A104" s="1282" t="s">
        <v>168</v>
      </c>
      <c r="B104" s="1283"/>
    </row>
    <row r="106" spans="1:22">
      <c r="A106" s="1396" t="s">
        <v>169</v>
      </c>
    </row>
    <row r="107" spans="1:22">
      <c r="A107" s="1267" t="s">
        <v>196</v>
      </c>
      <c r="B107" s="1344"/>
      <c r="C107" s="1344">
        <f>+'Historical Financials'!BH937</f>
        <v>-26030</v>
      </c>
      <c r="D107" s="1344">
        <f>+'Historical Financials'!BI937</f>
        <v>-16475</v>
      </c>
      <c r="E107" s="1344">
        <f>+'Historical Financials'!BJ937</f>
        <v>-16506</v>
      </c>
      <c r="F107" s="1344">
        <f>+'Historical Financials'!BK937</f>
        <v>-21043</v>
      </c>
      <c r="G107" s="1344">
        <f>+'Historical Financials'!BL937</f>
        <v>-24339</v>
      </c>
      <c r="H107" s="1344">
        <f>+'Historical Financials'!BM937</f>
        <v>-23339</v>
      </c>
      <c r="I107" s="1344">
        <f>+'Historical Financials'!BN937</f>
        <v>-21755</v>
      </c>
      <c r="J107" s="1344">
        <f>+'Historical Financials'!BO937</f>
        <v>-27136</v>
      </c>
      <c r="K107" s="1344">
        <f>+K108*K8</f>
        <v>-36294.868986490568</v>
      </c>
      <c r="L107" s="1344">
        <f t="shared" ref="L107:V107" si="47">+L108*L8</f>
        <v>-39198.458505409813</v>
      </c>
      <c r="M107" s="1344">
        <f t="shared" si="47"/>
        <v>-42334.33518584261</v>
      </c>
      <c r="N107" s="1344">
        <f t="shared" si="47"/>
        <v>-45721.082000710019</v>
      </c>
      <c r="O107" s="1344">
        <f t="shared" si="47"/>
        <v>-49378.768560766825</v>
      </c>
      <c r="P107" s="1344">
        <f t="shared" si="47"/>
        <v>-53329.070045628177</v>
      </c>
      <c r="Q107" s="1344">
        <f t="shared" si="47"/>
        <v>-57595.395649278435</v>
      </c>
      <c r="R107" s="1344">
        <f t="shared" si="47"/>
        <v>-62203.027301220718</v>
      </c>
      <c r="S107" s="1344">
        <f t="shared" si="47"/>
        <v>-67179.269485318378</v>
      </c>
      <c r="T107" s="1344">
        <f t="shared" si="47"/>
        <v>-72553.61104414385</v>
      </c>
      <c r="U107" s="1344">
        <f t="shared" si="47"/>
        <v>-78357.89992767536</v>
      </c>
      <c r="V107" s="1344">
        <f t="shared" si="47"/>
        <v>-84626.531921889386</v>
      </c>
    </row>
    <row r="108" spans="1:22" s="1277" customFormat="1">
      <c r="A108" s="1295" t="s">
        <v>172</v>
      </c>
      <c r="B108" s="1296"/>
      <c r="C108" s="1296">
        <f t="shared" ref="C108:I108" si="48">+C107/C8</f>
        <v>-0.269542616313386</v>
      </c>
      <c r="D108" s="1296">
        <f t="shared" si="48"/>
        <v>-0.14928416092787242</v>
      </c>
      <c r="E108" s="1296">
        <f t="shared" si="48"/>
        <v>-0.13116343380243636</v>
      </c>
      <c r="F108" s="1296">
        <f t="shared" si="48"/>
        <v>-0.14713841205467959</v>
      </c>
      <c r="G108" s="1296">
        <f t="shared" si="48"/>
        <v>-0.14479915282471087</v>
      </c>
      <c r="H108" s="1296">
        <f t="shared" si="48"/>
        <v>-0.11771321934735461</v>
      </c>
      <c r="I108" s="1296">
        <f t="shared" si="48"/>
        <v>-0.10265908501049949</v>
      </c>
      <c r="J108" s="1296">
        <f>+J107/J8</f>
        <v>-0.11070405757133182</v>
      </c>
      <c r="K108" s="1299">
        <f>+AVERAGE(D108:J108)</f>
        <v>-0.12906593164841215</v>
      </c>
      <c r="L108" s="1299">
        <f>+K108</f>
        <v>-0.12906593164841215</v>
      </c>
      <c r="M108" s="1299">
        <f t="shared" ref="M108:V108" si="49">+L108</f>
        <v>-0.12906593164841215</v>
      </c>
      <c r="N108" s="1299">
        <f t="shared" si="49"/>
        <v>-0.12906593164841215</v>
      </c>
      <c r="O108" s="1299">
        <f t="shared" si="49"/>
        <v>-0.12906593164841215</v>
      </c>
      <c r="P108" s="1299">
        <f t="shared" si="49"/>
        <v>-0.12906593164841215</v>
      </c>
      <c r="Q108" s="1299">
        <f t="shared" si="49"/>
        <v>-0.12906593164841215</v>
      </c>
      <c r="R108" s="1299">
        <f t="shared" si="49"/>
        <v>-0.12906593164841215</v>
      </c>
      <c r="S108" s="1299">
        <f t="shared" si="49"/>
        <v>-0.12906593164841215</v>
      </c>
      <c r="T108" s="1299">
        <f t="shared" si="49"/>
        <v>-0.12906593164841215</v>
      </c>
      <c r="U108" s="1299">
        <f t="shared" si="49"/>
        <v>-0.12906593164841215</v>
      </c>
      <c r="V108" s="1299">
        <f t="shared" si="49"/>
        <v>-0.12906593164841215</v>
      </c>
    </row>
    <row r="110" spans="1:22">
      <c r="A110" s="1301" t="s">
        <v>174</v>
      </c>
      <c r="J110" s="1344"/>
    </row>
    <row r="111" spans="1:22">
      <c r="A111" s="1397" t="s">
        <v>175</v>
      </c>
      <c r="B111" s="1344"/>
      <c r="C111" s="1344">
        <f>+'Historical Financials'!BH895</f>
        <v>10106</v>
      </c>
      <c r="D111" s="1344">
        <f>+'Historical Financials'!BI895</f>
        <v>8053</v>
      </c>
      <c r="E111" s="1344">
        <f>+'Historical Financials'!BJ895</f>
        <v>7750</v>
      </c>
      <c r="F111" s="1344">
        <f>+'Historical Financials'!BK895</f>
        <v>7038</v>
      </c>
      <c r="G111" s="1344">
        <f>+'Historical Financials'!BL895</f>
        <v>7800</v>
      </c>
      <c r="H111" s="1344">
        <f>+'Historical Financials'!BM895</f>
        <v>11298</v>
      </c>
      <c r="I111" s="1344">
        <f>+'Historical Financials'!BN895</f>
        <v>9366</v>
      </c>
      <c r="J111" s="1344">
        <f>+'Historical Financials'!BO895-J116</f>
        <v>5628</v>
      </c>
      <c r="K111" s="1346"/>
    </row>
    <row r="112" spans="1:22">
      <c r="A112" s="1397" t="s">
        <v>176</v>
      </c>
      <c r="B112" s="1344"/>
      <c r="C112" s="1344">
        <f>+'Historical Financials'!BH890</f>
        <v>6555</v>
      </c>
      <c r="D112" s="1344">
        <f>+'Historical Financials'!BI890</f>
        <v>6686</v>
      </c>
      <c r="E112" s="1344">
        <f>+'Historical Financials'!BJ890</f>
        <v>7379</v>
      </c>
      <c r="F112" s="1344">
        <f>+'Historical Financials'!BK890</f>
        <v>8753</v>
      </c>
      <c r="G112" s="1344">
        <f>+'Historical Financials'!BL890</f>
        <v>11088</v>
      </c>
      <c r="H112" s="1344">
        <f>+'Historical Financials'!BM890</f>
        <v>13148</v>
      </c>
      <c r="I112" s="1344">
        <f>+'Historical Financials'!BN890</f>
        <v>14346</v>
      </c>
      <c r="J112" s="1344">
        <f>+'Historical Financials'!BO890</f>
        <v>18961</v>
      </c>
    </row>
    <row r="113" spans="1:22" s="1301" customFormat="1">
      <c r="A113" s="1397" t="s">
        <v>177</v>
      </c>
      <c r="B113" s="1398"/>
      <c r="C113" s="1398">
        <f>+'Historical Financials'!BH896</f>
        <v>6250</v>
      </c>
      <c r="D113" s="1398">
        <f>+'Historical Financials'!BI896</f>
        <v>7442</v>
      </c>
      <c r="E113" s="1398">
        <f>+'Historical Financials'!BJ896</f>
        <v>14723</v>
      </c>
      <c r="F113" s="1398">
        <f>+'Historical Financials'!BK896</f>
        <v>13138</v>
      </c>
      <c r="G113" s="1398">
        <f>+'Historical Financials'!BL896</f>
        <v>15075</v>
      </c>
      <c r="H113" s="1398">
        <f>+'Historical Financials'!BM896</f>
        <v>21897</v>
      </c>
      <c r="I113" s="1398">
        <f>+'Historical Financials'!BN896</f>
        <v>30601</v>
      </c>
      <c r="J113" s="1398">
        <f>+'Historical Financials'!BO896</f>
        <v>36460</v>
      </c>
    </row>
    <row r="114" spans="1:22">
      <c r="A114" s="1397" t="s">
        <v>178</v>
      </c>
      <c r="B114" s="1344"/>
      <c r="C114" s="1344">
        <f t="shared" ref="C114:J114" si="50">+SUM(C111:C113)</f>
        <v>22911</v>
      </c>
      <c r="D114" s="1344">
        <f t="shared" si="50"/>
        <v>22181</v>
      </c>
      <c r="E114" s="1344">
        <f t="shared" si="50"/>
        <v>29852</v>
      </c>
      <c r="F114" s="1344">
        <f t="shared" si="50"/>
        <v>28929</v>
      </c>
      <c r="G114" s="1344">
        <f t="shared" si="50"/>
        <v>33963</v>
      </c>
      <c r="H114" s="1344">
        <f t="shared" si="50"/>
        <v>46343</v>
      </c>
      <c r="I114" s="1344">
        <f t="shared" si="50"/>
        <v>54313</v>
      </c>
      <c r="J114" s="1344">
        <f t="shared" si="50"/>
        <v>61049</v>
      </c>
      <c r="K114" s="1344">
        <f>+K119*K8</f>
        <v>70037.377428128981</v>
      </c>
      <c r="L114" s="1344">
        <f t="shared" ref="L114:V114" si="51">+L119*L8</f>
        <v>75640.367622379301</v>
      </c>
      <c r="M114" s="1344">
        <f t="shared" si="51"/>
        <v>81691.597032169651</v>
      </c>
      <c r="N114" s="1344">
        <f t="shared" si="51"/>
        <v>88226.92479474323</v>
      </c>
      <c r="O114" s="1344">
        <f t="shared" si="51"/>
        <v>95285.078778322713</v>
      </c>
      <c r="P114" s="1344">
        <f t="shared" si="51"/>
        <v>102907.88508058853</v>
      </c>
      <c r="Q114" s="1344">
        <f t="shared" si="51"/>
        <v>111140.51588703562</v>
      </c>
      <c r="R114" s="1344">
        <f t="shared" si="51"/>
        <v>120031.75715799848</v>
      </c>
      <c r="S114" s="1344">
        <f t="shared" si="51"/>
        <v>129634.29773063835</v>
      </c>
      <c r="T114" s="1344">
        <f t="shared" si="51"/>
        <v>140005.04154908942</v>
      </c>
      <c r="U114" s="1344">
        <f t="shared" si="51"/>
        <v>151205.44487301659</v>
      </c>
      <c r="V114" s="1344">
        <f t="shared" si="51"/>
        <v>163301.88046285792</v>
      </c>
    </row>
    <row r="115" spans="1:22">
      <c r="A115" s="1397" t="s">
        <v>179</v>
      </c>
      <c r="B115" s="1344"/>
      <c r="C115" s="1344">
        <f>+'Historical Financials'!BH894</f>
        <v>35122</v>
      </c>
      <c r="D115" s="1344">
        <f>+'Historical Financials'!BI894</f>
        <v>35683</v>
      </c>
      <c r="E115" s="1344">
        <f>+'Historical Financials'!BJ894</f>
        <v>42026</v>
      </c>
      <c r="F115" s="1344">
        <f>+'Historical Financials'!BK894</f>
        <v>43351</v>
      </c>
      <c r="G115" s="1344">
        <f>+'Historical Financials'!BL894</f>
        <v>49711</v>
      </c>
      <c r="H115" s="1344">
        <f>+'Historical Financials'!BM894</f>
        <v>67524</v>
      </c>
      <c r="I115" s="1344">
        <f>+'Historical Financials'!BN894</f>
        <v>67886</v>
      </c>
      <c r="J115" s="1344">
        <f>+'Historical Financials'!BO894</f>
        <v>119220</v>
      </c>
      <c r="K115" s="1399">
        <f>MAX(J115-$J$115/15,0)</f>
        <v>111272</v>
      </c>
      <c r="L115" s="1399">
        <f t="shared" ref="L115:V115" si="52">MAX(K115-$J$115/15,0)</f>
        <v>103324</v>
      </c>
      <c r="M115" s="1399">
        <f t="shared" si="52"/>
        <v>95376</v>
      </c>
      <c r="N115" s="1399">
        <f t="shared" si="52"/>
        <v>87428</v>
      </c>
      <c r="O115" s="1399">
        <f t="shared" si="52"/>
        <v>79480</v>
      </c>
      <c r="P115" s="1399">
        <f t="shared" si="52"/>
        <v>71532</v>
      </c>
      <c r="Q115" s="1399">
        <f t="shared" si="52"/>
        <v>63584</v>
      </c>
      <c r="R115" s="1399">
        <f t="shared" si="52"/>
        <v>55636</v>
      </c>
      <c r="S115" s="1399">
        <f t="shared" si="52"/>
        <v>47688</v>
      </c>
      <c r="T115" s="1399">
        <f t="shared" si="52"/>
        <v>39740</v>
      </c>
      <c r="U115" s="1399">
        <f t="shared" si="52"/>
        <v>31792</v>
      </c>
      <c r="V115" s="1399">
        <f t="shared" si="52"/>
        <v>23844</v>
      </c>
    </row>
    <row r="116" spans="1:22">
      <c r="A116" s="1397" t="s">
        <v>180</v>
      </c>
      <c r="B116" s="1344"/>
      <c r="C116" s="1344">
        <v>0</v>
      </c>
      <c r="D116" s="1344">
        <v>0</v>
      </c>
      <c r="E116" s="1344">
        <v>0</v>
      </c>
      <c r="F116" s="1344">
        <v>0</v>
      </c>
      <c r="G116" s="1344">
        <v>0</v>
      </c>
      <c r="H116" s="1344">
        <v>0</v>
      </c>
      <c r="I116" s="1344">
        <v>0</v>
      </c>
      <c r="J116" s="1318">
        <v>21969</v>
      </c>
      <c r="K116" s="1399">
        <f>MAX(J116-$J$116/15,0)</f>
        <v>20504.400000000001</v>
      </c>
      <c r="L116" s="1399">
        <f t="shared" ref="L116:V116" si="53">MAX(K116-$J$116/15,0)</f>
        <v>19039.800000000003</v>
      </c>
      <c r="M116" s="1399">
        <f t="shared" si="53"/>
        <v>17575.200000000004</v>
      </c>
      <c r="N116" s="1399">
        <f t="shared" si="53"/>
        <v>16110.600000000004</v>
      </c>
      <c r="O116" s="1399">
        <f t="shared" si="53"/>
        <v>14646.000000000004</v>
      </c>
      <c r="P116" s="1399">
        <f t="shared" si="53"/>
        <v>13181.400000000003</v>
      </c>
      <c r="Q116" s="1399">
        <f t="shared" si="53"/>
        <v>11716.800000000003</v>
      </c>
      <c r="R116" s="1399">
        <f t="shared" si="53"/>
        <v>10252.200000000003</v>
      </c>
      <c r="S116" s="1399">
        <f t="shared" si="53"/>
        <v>8787.6000000000022</v>
      </c>
      <c r="T116" s="1399">
        <f t="shared" si="53"/>
        <v>7323.0000000000018</v>
      </c>
      <c r="U116" s="1399">
        <f t="shared" si="53"/>
        <v>5858.4000000000015</v>
      </c>
      <c r="V116" s="1399">
        <f t="shared" si="53"/>
        <v>4393.8000000000011</v>
      </c>
    </row>
    <row r="117" spans="1:22" s="1301" customFormat="1">
      <c r="A117" s="1397" t="s">
        <v>181</v>
      </c>
      <c r="B117" s="1398"/>
      <c r="C117" s="1398">
        <f>+'Historical Financials'!BH891</f>
        <v>23734</v>
      </c>
      <c r="D117" s="1398">
        <f>+'Historical Financials'!BI891</f>
        <v>29460</v>
      </c>
      <c r="E117" s="1398">
        <f>+'Historical Financials'!BJ891</f>
        <v>36477</v>
      </c>
      <c r="F117" s="1398">
        <f>+'Historical Financials'!BK891</f>
        <v>44151</v>
      </c>
      <c r="G117" s="1398">
        <f>+'Historical Financials'!BL891</f>
        <v>59715</v>
      </c>
      <c r="H117" s="1398">
        <f>+'Historical Financials'!BM891</f>
        <v>74398</v>
      </c>
      <c r="I117" s="1398">
        <f>+'Historical Financials'!BN891</f>
        <v>95641</v>
      </c>
      <c r="J117" s="1398">
        <f>+'Historical Financials'!BO891</f>
        <v>135591</v>
      </c>
      <c r="K117" s="1400">
        <f>+'D&amp;A forecast - Case 3'!V197</f>
        <v>292512</v>
      </c>
      <c r="L117" s="1400">
        <f>+'D&amp;A forecast - Case 3'!W197</f>
        <v>359827.93477883714</v>
      </c>
      <c r="M117" s="1400">
        <f>+'D&amp;A forecast - Case 3'!X197</f>
        <v>425929.03437987727</v>
      </c>
      <c r="N117" s="1400">
        <f>+'D&amp;A forecast - Case 3'!Y197</f>
        <v>490193.30319208826</v>
      </c>
      <c r="O117" s="1400">
        <f>+'D&amp;A forecast - Case 3'!Z197</f>
        <v>551907.00125181081</v>
      </c>
      <c r="P117" s="1400">
        <f>+'D&amp;A forecast - Case 3'!AA197</f>
        <v>610253.94591824862</v>
      </c>
      <c r="Q117" s="1400">
        <f>+'D&amp;A forecast - Case 3'!AB197</f>
        <v>668766.16756944766</v>
      </c>
      <c r="R117" s="1400">
        <f>+'D&amp;A forecast - Case 3'!AC197</f>
        <v>727099.89007710456</v>
      </c>
      <c r="S117" s="1400">
        <f>+'D&amp;A forecast - Case 3'!AD197</f>
        <v>790060.310385374</v>
      </c>
      <c r="T117" s="1400">
        <f>+'D&amp;A forecast - Case 3'!AE197</f>
        <v>858017.56431830511</v>
      </c>
      <c r="U117" s="1400">
        <f>+'D&amp;A forecast - Case 3'!AF197</f>
        <v>931371.39856587071</v>
      </c>
      <c r="V117" s="1400">
        <f>+'D&amp;A forecast - Case 3'!AG197</f>
        <v>1010553.5395532415</v>
      </c>
    </row>
    <row r="118" spans="1:22">
      <c r="A118" s="1339" t="s">
        <v>182</v>
      </c>
      <c r="B118" s="1344"/>
      <c r="C118" s="1344">
        <f>+SUM(C114:C117)</f>
        <v>81767</v>
      </c>
      <c r="D118" s="1344">
        <f t="shared" ref="D118:V118" si="54">+SUM(D114:D117)</f>
        <v>87324</v>
      </c>
      <c r="E118" s="1344">
        <f t="shared" si="54"/>
        <v>108355</v>
      </c>
      <c r="F118" s="1344">
        <f t="shared" si="54"/>
        <v>116431</v>
      </c>
      <c r="G118" s="1344">
        <f t="shared" si="54"/>
        <v>143389</v>
      </c>
      <c r="H118" s="1344">
        <f t="shared" si="54"/>
        <v>188265</v>
      </c>
      <c r="I118" s="1344">
        <f t="shared" si="54"/>
        <v>217840</v>
      </c>
      <c r="J118" s="1344">
        <f t="shared" si="54"/>
        <v>337829</v>
      </c>
      <c r="K118" s="1344">
        <f t="shared" si="54"/>
        <v>494325.77742812899</v>
      </c>
      <c r="L118" s="1344">
        <f t="shared" si="54"/>
        <v>557832.10240121651</v>
      </c>
      <c r="M118" s="1344">
        <f t="shared" si="54"/>
        <v>620571.83141204691</v>
      </c>
      <c r="N118" s="1344">
        <f t="shared" si="54"/>
        <v>681958.82798683154</v>
      </c>
      <c r="O118" s="1344">
        <f t="shared" si="54"/>
        <v>741318.08003013348</v>
      </c>
      <c r="P118" s="1344">
        <f t="shared" si="54"/>
        <v>797875.23099883716</v>
      </c>
      <c r="Q118" s="1344">
        <f t="shared" si="54"/>
        <v>855207.48345648334</v>
      </c>
      <c r="R118" s="1344">
        <f t="shared" si="54"/>
        <v>913019.84723510302</v>
      </c>
      <c r="S118" s="1344">
        <f t="shared" si="54"/>
        <v>976170.20811601239</v>
      </c>
      <c r="T118" s="1344">
        <f t="shared" si="54"/>
        <v>1045085.6058673945</v>
      </c>
      <c r="U118" s="1344">
        <f t="shared" si="54"/>
        <v>1120227.2434388874</v>
      </c>
      <c r="V118" s="1344">
        <f t="shared" si="54"/>
        <v>1202093.2200160993</v>
      </c>
    </row>
    <row r="119" spans="1:22" s="1277" customFormat="1">
      <c r="A119" s="1331" t="s">
        <v>183</v>
      </c>
      <c r="B119" s="1296"/>
      <c r="C119" s="1296">
        <f t="shared" ref="C119:J119" si="55">+C114/C8</f>
        <v>0.23724513570326494</v>
      </c>
      <c r="D119" s="1296">
        <f t="shared" si="55"/>
        <v>0.20098767669445453</v>
      </c>
      <c r="E119" s="1296">
        <f t="shared" si="55"/>
        <v>0.23721621385377017</v>
      </c>
      <c r="F119" s="1296">
        <f t="shared" si="55"/>
        <v>0.20227948117330349</v>
      </c>
      <c r="G119" s="1296">
        <f t="shared" si="55"/>
        <v>0.20205487601732425</v>
      </c>
      <c r="H119" s="1296">
        <f t="shared" si="55"/>
        <v>0.23373682352347808</v>
      </c>
      <c r="I119" s="1296">
        <f t="shared" si="55"/>
        <v>0.2562961564778331</v>
      </c>
      <c r="J119" s="1296">
        <f t="shared" si="55"/>
        <v>0.24905557232724929</v>
      </c>
      <c r="K119" s="1299">
        <f>+J119</f>
        <v>0.24905557232724929</v>
      </c>
      <c r="L119" s="1299">
        <f t="shared" ref="L119:V119" si="56">+K119</f>
        <v>0.24905557232724929</v>
      </c>
      <c r="M119" s="1299">
        <f t="shared" si="56"/>
        <v>0.24905557232724929</v>
      </c>
      <c r="N119" s="1299">
        <f t="shared" si="56"/>
        <v>0.24905557232724929</v>
      </c>
      <c r="O119" s="1299">
        <f t="shared" si="56"/>
        <v>0.24905557232724929</v>
      </c>
      <c r="P119" s="1299">
        <f t="shared" si="56"/>
        <v>0.24905557232724929</v>
      </c>
      <c r="Q119" s="1299">
        <f t="shared" si="56"/>
        <v>0.24905557232724929</v>
      </c>
      <c r="R119" s="1299">
        <f t="shared" si="56"/>
        <v>0.24905557232724929</v>
      </c>
      <c r="S119" s="1299">
        <f t="shared" si="56"/>
        <v>0.24905557232724929</v>
      </c>
      <c r="T119" s="1299">
        <f t="shared" si="56"/>
        <v>0.24905557232724929</v>
      </c>
      <c r="U119" s="1299">
        <f t="shared" si="56"/>
        <v>0.24905557232724929</v>
      </c>
      <c r="V119" s="1299">
        <f t="shared" si="56"/>
        <v>0.24905557232724929</v>
      </c>
    </row>
    <row r="120" spans="1:22">
      <c r="A120" s="1324"/>
    </row>
    <row r="121" spans="1:22">
      <c r="A121" s="1324" t="s">
        <v>169</v>
      </c>
      <c r="B121" s="1346"/>
      <c r="C121" s="1346">
        <f t="shared" ref="C121:J121" si="57">+C118+C107</f>
        <v>55737</v>
      </c>
      <c r="D121" s="1346">
        <f t="shared" si="57"/>
        <v>70849</v>
      </c>
      <c r="E121" s="1346">
        <f t="shared" si="57"/>
        <v>91849</v>
      </c>
      <c r="F121" s="1346">
        <f t="shared" si="57"/>
        <v>95388</v>
      </c>
      <c r="G121" s="1346">
        <f t="shared" si="57"/>
        <v>119050</v>
      </c>
      <c r="H121" s="1346">
        <f t="shared" si="57"/>
        <v>164926</v>
      </c>
      <c r="I121" s="1346">
        <f t="shared" si="57"/>
        <v>196085</v>
      </c>
      <c r="J121" s="1346">
        <f t="shared" si="57"/>
        <v>310693</v>
      </c>
      <c r="K121" s="1346">
        <f t="shared" ref="K121:V121" si="58">+K118+K107</f>
        <v>458030.9084416384</v>
      </c>
      <c r="L121" s="1346">
        <f t="shared" si="58"/>
        <v>518633.64389580669</v>
      </c>
      <c r="M121" s="1346">
        <f t="shared" si="58"/>
        <v>578237.49622620433</v>
      </c>
      <c r="N121" s="1346">
        <f t="shared" si="58"/>
        <v>636237.74598612147</v>
      </c>
      <c r="O121" s="1346">
        <f t="shared" si="58"/>
        <v>691939.31146936666</v>
      </c>
      <c r="P121" s="1346">
        <f t="shared" si="58"/>
        <v>744546.16095320904</v>
      </c>
      <c r="Q121" s="1346">
        <f t="shared" si="58"/>
        <v>797612.08780720492</v>
      </c>
      <c r="R121" s="1346">
        <f t="shared" si="58"/>
        <v>850816.81993388233</v>
      </c>
      <c r="S121" s="1346">
        <f t="shared" si="58"/>
        <v>908990.93863069406</v>
      </c>
      <c r="T121" s="1346">
        <f t="shared" si="58"/>
        <v>972531.99482325069</v>
      </c>
      <c r="U121" s="1346">
        <f t="shared" si="58"/>
        <v>1041869.343511212</v>
      </c>
      <c r="V121" s="1346">
        <f t="shared" si="58"/>
        <v>1117466.6880942099</v>
      </c>
    </row>
    <row r="122" spans="1:22" s="1300" customFormat="1">
      <c r="A122" s="1393" t="s">
        <v>184</v>
      </c>
      <c r="C122" s="1401">
        <f>+'Historical Financials'!BH940</f>
        <v>33088.5</v>
      </c>
      <c r="D122" s="1401">
        <f>+'Historical Financials'!BI940</f>
        <v>63293</v>
      </c>
      <c r="E122" s="1401">
        <f t="shared" ref="E122:I122" si="59">AVERAGE(D121:E121)</f>
        <v>81349</v>
      </c>
      <c r="F122" s="1401">
        <f t="shared" si="59"/>
        <v>93618.5</v>
      </c>
      <c r="G122" s="1401">
        <f t="shared" si="59"/>
        <v>107219</v>
      </c>
      <c r="H122" s="1401">
        <f t="shared" si="59"/>
        <v>141988</v>
      </c>
      <c r="I122" s="1401">
        <f t="shared" si="59"/>
        <v>180505.5</v>
      </c>
      <c r="J122" s="1401">
        <f>AVERAGE(I121:J121)</f>
        <v>253389</v>
      </c>
      <c r="K122" s="1401">
        <f t="shared" ref="K122:V122" si="60">AVERAGE(J121:K121)</f>
        <v>384361.95422081917</v>
      </c>
      <c r="L122" s="1401">
        <f t="shared" si="60"/>
        <v>488332.27616872254</v>
      </c>
      <c r="M122" s="1401">
        <f t="shared" si="60"/>
        <v>548435.57006100554</v>
      </c>
      <c r="N122" s="1401">
        <f t="shared" si="60"/>
        <v>607237.6211061629</v>
      </c>
      <c r="O122" s="1401">
        <f t="shared" si="60"/>
        <v>664088.52872774401</v>
      </c>
      <c r="P122" s="1401">
        <f t="shared" si="60"/>
        <v>718242.73621128779</v>
      </c>
      <c r="Q122" s="1401">
        <f t="shared" si="60"/>
        <v>771079.12438020692</v>
      </c>
      <c r="R122" s="1401">
        <f t="shared" si="60"/>
        <v>824214.45387054363</v>
      </c>
      <c r="S122" s="1401">
        <f t="shared" si="60"/>
        <v>879903.87928228825</v>
      </c>
      <c r="T122" s="1401">
        <f t="shared" si="60"/>
        <v>940761.46672697237</v>
      </c>
      <c r="U122" s="1401">
        <f t="shared" si="60"/>
        <v>1007200.6691672313</v>
      </c>
      <c r="V122" s="1401">
        <f t="shared" si="60"/>
        <v>1079668.015802711</v>
      </c>
    </row>
    <row r="123" spans="1:22">
      <c r="A123" s="1339"/>
      <c r="C123" s="1346"/>
      <c r="D123" s="1346"/>
      <c r="E123" s="1346"/>
      <c r="F123" s="1346"/>
      <c r="G123" s="1346"/>
      <c r="H123" s="1346"/>
      <c r="I123" s="1346"/>
      <c r="J123" s="1346"/>
      <c r="K123" s="1346"/>
      <c r="L123" s="1346"/>
      <c r="M123" s="1346"/>
      <c r="N123" s="1346"/>
      <c r="O123" s="1346"/>
      <c r="P123" s="1346"/>
      <c r="Q123" s="1346"/>
      <c r="R123" s="1346"/>
      <c r="S123" s="1346"/>
      <c r="T123" s="1346"/>
      <c r="U123" s="1346"/>
      <c r="V123" s="1346"/>
    </row>
    <row r="124" spans="1:22">
      <c r="A124" s="1324" t="s">
        <v>185</v>
      </c>
      <c r="C124" s="1346">
        <f t="shared" ref="C124:J124" si="61">+C13</f>
        <v>29331</v>
      </c>
      <c r="D124" s="1346">
        <f t="shared" si="61"/>
        <v>35058</v>
      </c>
      <c r="E124" s="1346">
        <f t="shared" si="61"/>
        <v>42959</v>
      </c>
      <c r="F124" s="1346">
        <f t="shared" si="61"/>
        <v>52959</v>
      </c>
      <c r="G124" s="1346">
        <f t="shared" si="61"/>
        <v>69916</v>
      </c>
      <c r="H124" s="1346">
        <f t="shared" si="61"/>
        <v>83383</v>
      </c>
      <c r="I124" s="1346">
        <f t="shared" si="61"/>
        <v>89694</v>
      </c>
      <c r="J124" s="1346">
        <f t="shared" si="61"/>
        <v>112443</v>
      </c>
      <c r="K124" s="1346">
        <f t="shared" ref="K124:V124" si="62">+K13</f>
        <v>133290.34849037323</v>
      </c>
      <c r="L124" s="1346">
        <f t="shared" si="62"/>
        <v>144783.76944767387</v>
      </c>
      <c r="M124" s="1346">
        <f t="shared" si="62"/>
        <v>157263.07952780425</v>
      </c>
      <c r="N124" s="1346">
        <f t="shared" si="62"/>
        <v>170812.46309629036</v>
      </c>
      <c r="O124" s="1346">
        <f t="shared" si="62"/>
        <v>185523.26432675633</v>
      </c>
      <c r="P124" s="1346">
        <f t="shared" si="62"/>
        <v>201494.59399028058</v>
      </c>
      <c r="Q124" s="1346">
        <f t="shared" si="62"/>
        <v>218833.98750827747</v>
      </c>
      <c r="R124" s="1346">
        <f t="shared" si="62"/>
        <v>237658.11858761605</v>
      </c>
      <c r="S124" s="1346">
        <f t="shared" si="62"/>
        <v>258093.57311959579</v>
      </c>
      <c r="T124" s="1346">
        <f t="shared" si="62"/>
        <v>280277.68841773161</v>
      </c>
      <c r="U124" s="1346">
        <f t="shared" si="62"/>
        <v>304359.46329560358</v>
      </c>
      <c r="V124" s="1346">
        <f t="shared" si="62"/>
        <v>333234.54650865635</v>
      </c>
    </row>
    <row r="125" spans="1:22" s="1404" customFormat="1">
      <c r="A125" s="1402" t="s">
        <v>186</v>
      </c>
      <c r="B125" s="1403"/>
      <c r="C125" s="1403">
        <f>+C124/C122</f>
        <v>0.88644090847273227</v>
      </c>
      <c r="D125" s="1403">
        <f t="shared" ref="D125:V125" si="63">+D124/D122</f>
        <v>0.5539001153366091</v>
      </c>
      <c r="E125" s="1403">
        <f t="shared" si="63"/>
        <v>0.52808270538052093</v>
      </c>
      <c r="F125" s="1403">
        <f t="shared" si="63"/>
        <v>0.56568947376853929</v>
      </c>
      <c r="G125" s="1403">
        <f t="shared" si="63"/>
        <v>0.6520859176078867</v>
      </c>
      <c r="H125" s="1403">
        <f t="shared" si="63"/>
        <v>0.58725385243823425</v>
      </c>
      <c r="I125" s="1403">
        <f t="shared" si="63"/>
        <v>0.49690452645487254</v>
      </c>
      <c r="J125" s="1403">
        <f t="shared" si="63"/>
        <v>0.44375643773013035</v>
      </c>
      <c r="K125" s="1403">
        <f t="shared" si="63"/>
        <v>0.34678340826052934</v>
      </c>
      <c r="L125" s="1403">
        <f t="shared" si="63"/>
        <v>0.2964861765509228</v>
      </c>
      <c r="M125" s="1403">
        <f t="shared" si="63"/>
        <v>0.28674850449672878</v>
      </c>
      <c r="N125" s="1403">
        <f t="shared" si="63"/>
        <v>0.2812942695894452</v>
      </c>
      <c r="O125" s="1403">
        <f t="shared" si="63"/>
        <v>0.27936525975261228</v>
      </c>
      <c r="P125" s="1403">
        <f t="shared" si="63"/>
        <v>0.28053829691777943</v>
      </c>
      <c r="Q125" s="1403">
        <f t="shared" si="63"/>
        <v>0.28380224621458416</v>
      </c>
      <c r="R125" s="1403">
        <f t="shared" si="63"/>
        <v>0.28834500228862053</v>
      </c>
      <c r="S125" s="1403">
        <f t="shared" si="63"/>
        <v>0.29332019007589233</v>
      </c>
      <c r="T125" s="1403">
        <f t="shared" si="63"/>
        <v>0.29792641209344278</v>
      </c>
      <c r="U125" s="1403">
        <f t="shared" si="63"/>
        <v>0.30218353959916705</v>
      </c>
      <c r="V125" s="1403">
        <f t="shared" si="63"/>
        <v>0.30864538138689168</v>
      </c>
    </row>
    <row r="126" spans="1:22">
      <c r="A126" s="1397"/>
    </row>
    <row r="127" spans="1:22">
      <c r="A127" s="1397"/>
    </row>
    <row r="128" spans="1:22">
      <c r="C128" s="1405"/>
      <c r="D128" s="1405"/>
      <c r="E128" s="1405"/>
      <c r="H128" s="1405"/>
      <c r="I128" s="1405"/>
      <c r="J128" s="1405"/>
      <c r="K128" s="1405">
        <f>K95</f>
        <v>5.3318831324577334E-2</v>
      </c>
    </row>
    <row r="131" spans="1:13">
      <c r="A131" s="1267" t="s">
        <v>187</v>
      </c>
      <c r="C131" s="1406">
        <f>+$E$99/C85</f>
        <v>2.4374397751606001</v>
      </c>
      <c r="D131" s="1406">
        <f t="shared" ref="D131:M131" si="64">+$E$99/D86</f>
        <v>3.5146252676659526</v>
      </c>
      <c r="E131" s="1406">
        <f t="shared" si="64"/>
        <v>4.6190471092077088</v>
      </c>
      <c r="F131" s="1406">
        <f t="shared" si="64"/>
        <v>5.6073929336188444</v>
      </c>
      <c r="G131" s="1406">
        <f t="shared" si="64"/>
        <v>7.5174759100642401</v>
      </c>
      <c r="H131" s="1406">
        <f t="shared" si="64"/>
        <v>8.8511295503211986</v>
      </c>
      <c r="I131" s="1406">
        <f t="shared" si="64"/>
        <v>9.5664855460385443</v>
      </c>
      <c r="J131" s="1406">
        <f t="shared" si="64"/>
        <v>11.8492545503212</v>
      </c>
      <c r="K131" s="1406">
        <f t="shared" si="64"/>
        <v>14.18939980024021</v>
      </c>
      <c r="L131" s="1406">
        <f t="shared" si="64"/>
        <v>16.005743450705122</v>
      </c>
      <c r="M131" s="1406">
        <f t="shared" si="64"/>
        <v>17.865406479599084</v>
      </c>
    </row>
    <row r="132" spans="1:13">
      <c r="A132" s="1267" t="s">
        <v>188</v>
      </c>
      <c r="C132" s="1406"/>
      <c r="D132" s="1406">
        <f t="shared" ref="D132:L132" si="65">AVERAGE(D131:E131)</f>
        <v>4.0668361884368309</v>
      </c>
      <c r="E132" s="1406">
        <f t="shared" si="65"/>
        <v>5.1132200214132766</v>
      </c>
      <c r="F132" s="1406">
        <f t="shared" si="65"/>
        <v>6.5624344218415427</v>
      </c>
      <c r="G132" s="1406">
        <f t="shared" si="65"/>
        <v>8.1843027301927194</v>
      </c>
      <c r="H132" s="1406">
        <f t="shared" si="65"/>
        <v>9.2088075481798715</v>
      </c>
      <c r="I132" s="1406">
        <f t="shared" si="65"/>
        <v>10.707870048179872</v>
      </c>
      <c r="J132" s="1406">
        <f t="shared" si="65"/>
        <v>13.019327175280704</v>
      </c>
      <c r="K132" s="1406">
        <f t="shared" si="65"/>
        <v>15.097571625472666</v>
      </c>
      <c r="L132" s="1406">
        <f t="shared" si="65"/>
        <v>16.935574965152103</v>
      </c>
    </row>
    <row r="133" spans="1:13">
      <c r="C133" s="1407"/>
    </row>
    <row r="134" spans="1:13">
      <c r="F134" s="1346"/>
    </row>
    <row r="137" spans="1:13">
      <c r="G137" s="1346"/>
    </row>
  </sheetData>
  <pageMargins left="0.3" right="0.3" top="0.3" bottom="0.3" header="0.3" footer="0.3"/>
  <pageSetup scale="40" fitToHeight="0" orientation="portrait" r:id="rId1"/>
  <headerFooter>
    <oddFooter>Page &amp;P</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CD1087"/>
  <sheetViews>
    <sheetView view="pageBreakPreview" zoomScale="70" zoomScaleNormal="100" zoomScaleSheetLayoutView="70" workbookViewId="0">
      <pane xSplit="3" ySplit="7" topLeftCell="AD23" activePane="bottomRight" state="frozen"/>
      <selection pane="bottomRight" activeCell="BO51" sqref="BO51"/>
      <selection pane="bottomLeft" activeCell="J83" sqref="J83"/>
      <selection pane="topRight" activeCell="J83" sqref="J83"/>
    </sheetView>
  </sheetViews>
  <sheetFormatPr defaultColWidth="8.83203125" defaultRowHeight="9.9499999999999993" outlineLevelRow="2" outlineLevelCol="2"/>
  <cols>
    <col min="1" max="1" width="3.83203125" customWidth="1"/>
    <col min="2" max="2" width="31.1640625" customWidth="1"/>
    <col min="3" max="3" width="2.83203125" customWidth="1"/>
    <col min="4" max="4" width="9.83203125" hidden="1" customWidth="1" outlineLevel="1"/>
    <col min="5" max="5" width="9.33203125" hidden="1" customWidth="1" outlineLevel="1"/>
    <col min="6" max="7" width="8.83203125" hidden="1" customWidth="1" outlineLevel="1"/>
    <col min="8" max="8" width="10.1640625" hidden="1" customWidth="1" outlineLevel="1"/>
    <col min="9" max="11" width="8.83203125" hidden="1" customWidth="1" outlineLevel="1"/>
    <col min="12" max="12" width="11.5" hidden="1" customWidth="1" outlineLevel="1"/>
    <col min="13" max="13" width="9.33203125" hidden="1" customWidth="1" outlineLevel="1"/>
    <col min="14" max="14" width="9" hidden="1" customWidth="1" outlineLevel="1"/>
    <col min="15" max="15" width="10" hidden="1" customWidth="1" outlineLevel="1"/>
    <col min="16" max="16" width="11.5" hidden="1" customWidth="1" outlineLevel="1" collapsed="1"/>
    <col min="17" max="17" width="12.6640625" hidden="1" customWidth="1" outlineLevel="1"/>
    <col min="18" max="19" width="11.1640625" hidden="1" customWidth="1" outlineLevel="1"/>
    <col min="20" max="20" width="10.83203125" customWidth="1" collapsed="1"/>
    <col min="21" max="43" width="10.83203125" customWidth="1"/>
    <col min="44" max="44" width="9.6640625" customWidth="1"/>
    <col min="45" max="46" width="9.33203125" hidden="1" customWidth="1" outlineLevel="1"/>
    <col min="47" max="49" width="10.6640625" hidden="1" customWidth="1" outlineLevel="1"/>
    <col min="50" max="50" width="10.6640625" hidden="1" customWidth="1" outlineLevel="1" collapsed="1"/>
    <col min="51" max="55" width="10.6640625" hidden="1" customWidth="1" outlineLevel="1"/>
    <col min="56" max="57" width="10.6640625" hidden="1" customWidth="1" outlineLevel="2"/>
    <col min="58" max="58" width="2.83203125" hidden="1" customWidth="1" outlineLevel="2"/>
    <col min="59" max="59" width="10.6640625" hidden="1" customWidth="1" outlineLevel="1" collapsed="1"/>
    <col min="60" max="60" width="10.83203125" hidden="1" customWidth="1" outlineLevel="1"/>
    <col min="61" max="61" width="10.83203125" customWidth="1" collapsed="1"/>
    <col min="62" max="68" width="10.83203125" customWidth="1"/>
    <col min="69" max="70" width="20.83203125" bestFit="1" customWidth="1"/>
    <col min="71" max="72" width="14.5" bestFit="1" customWidth="1"/>
    <col min="73" max="73" width="13.83203125" bestFit="1" customWidth="1"/>
    <col min="74" max="74" width="9.1640625" bestFit="1" customWidth="1"/>
    <col min="75" max="75" width="12.33203125" bestFit="1" customWidth="1"/>
    <col min="76" max="76" width="9.6640625" bestFit="1" customWidth="1"/>
    <col min="77" max="77" width="12.33203125" bestFit="1" customWidth="1"/>
    <col min="78" max="78" width="9" bestFit="1" customWidth="1"/>
    <col min="81" max="81" width="10" bestFit="1" customWidth="1"/>
  </cols>
  <sheetData>
    <row r="2" spans="2:73" s="1" customFormat="1" ht="10.5">
      <c r="B2" t="s">
        <v>60</v>
      </c>
      <c r="L2" s="228"/>
      <c r="M2" s="228"/>
      <c r="N2" s="228"/>
      <c r="O2" s="228"/>
      <c r="P2" s="228"/>
      <c r="Q2" s="228"/>
      <c r="R2" s="228"/>
      <c r="S2" s="228"/>
      <c r="T2" s="228"/>
      <c r="U2" s="228"/>
      <c r="V2" s="228"/>
      <c r="W2" s="228"/>
      <c r="X2" s="228"/>
      <c r="Y2" s="228"/>
      <c r="Z2" s="228"/>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228"/>
      <c r="BE2" s="228"/>
      <c r="BF2" s="228"/>
      <c r="BG2" s="228"/>
      <c r="BH2" s="228"/>
      <c r="BI2" s="228"/>
      <c r="BJ2" s="228"/>
      <c r="BK2" s="228"/>
      <c r="BL2" s="792"/>
      <c r="BM2" s="792"/>
      <c r="BN2" s="792"/>
      <c r="BO2" s="792"/>
      <c r="BP2" s="792">
        <f t="shared" ref="BP2" ca="1" si="0">TODAY()</f>
        <v>45797</v>
      </c>
    </row>
    <row r="3" spans="2:73" s="2" customFormat="1" ht="10.5">
      <c r="B3" s="2" t="s">
        <v>200</v>
      </c>
      <c r="H3" s="820"/>
      <c r="I3" s="820"/>
      <c r="J3" s="820"/>
      <c r="K3" s="820"/>
      <c r="L3" s="820"/>
      <c r="M3" s="820"/>
      <c r="N3" s="820"/>
      <c r="O3" s="820"/>
      <c r="P3" s="820"/>
      <c r="Q3" s="820"/>
      <c r="R3" s="820"/>
      <c r="S3" s="820"/>
      <c r="T3" s="820"/>
      <c r="U3" s="820"/>
      <c r="V3" s="820"/>
      <c r="W3" s="820"/>
      <c r="X3" s="820"/>
      <c r="Y3" s="820"/>
      <c r="Z3" s="820"/>
      <c r="AA3" s="820"/>
      <c r="AB3" s="820"/>
      <c r="AC3" s="820"/>
      <c r="AD3" s="820"/>
      <c r="AE3" s="820"/>
      <c r="AF3" s="820"/>
      <c r="AG3" s="820"/>
      <c r="AH3" s="820"/>
      <c r="AI3" s="820"/>
      <c r="AJ3" s="820"/>
      <c r="AK3" s="820"/>
      <c r="AL3" s="820"/>
      <c r="AM3" s="820"/>
      <c r="AN3" s="820"/>
      <c r="AO3" s="820"/>
      <c r="AP3" s="820"/>
      <c r="AQ3" s="820"/>
      <c r="AR3" s="820"/>
      <c r="AS3" s="820"/>
      <c r="AT3" s="820"/>
      <c r="AU3" s="820"/>
      <c r="AV3" s="820"/>
      <c r="AW3" s="820"/>
      <c r="AX3" s="820"/>
      <c r="AY3" s="820"/>
      <c r="AZ3" s="820"/>
      <c r="BA3" s="820"/>
      <c r="BB3" s="820"/>
      <c r="BC3" s="820"/>
      <c r="BD3" s="820"/>
      <c r="BE3" s="820"/>
      <c r="BF3" s="820"/>
      <c r="BG3" s="820"/>
      <c r="BH3" s="820"/>
      <c r="BI3" s="820"/>
      <c r="BJ3" s="820"/>
      <c r="BK3" s="820"/>
      <c r="BL3" s="820"/>
      <c r="BM3" s="820"/>
      <c r="BN3" s="820"/>
      <c r="BO3" s="820"/>
      <c r="BP3" s="820"/>
    </row>
    <row r="4" spans="2:73">
      <c r="B4" s="3" t="s">
        <v>63</v>
      </c>
      <c r="AD4" t="s">
        <v>201</v>
      </c>
      <c r="AK4" t="s">
        <v>202</v>
      </c>
    </row>
    <row r="5" spans="2:73" ht="13.5">
      <c r="D5" s="821" t="s">
        <v>203</v>
      </c>
      <c r="E5" s="821"/>
      <c r="F5" s="31"/>
      <c r="G5" s="31"/>
      <c r="H5" s="821"/>
      <c r="I5" s="31"/>
      <c r="J5" s="31"/>
      <c r="K5" s="31"/>
      <c r="L5" s="821"/>
      <c r="M5" s="31"/>
      <c r="N5" s="31"/>
      <c r="O5" s="31"/>
      <c r="P5" s="821"/>
      <c r="Q5" s="31"/>
      <c r="R5" s="31"/>
      <c r="S5" s="31"/>
      <c r="T5" s="821" t="s">
        <v>203</v>
      </c>
      <c r="U5" s="31"/>
      <c r="V5" s="31"/>
      <c r="W5" s="31"/>
      <c r="X5" s="31"/>
      <c r="Y5" s="31"/>
      <c r="Z5" s="31"/>
      <c r="AA5" s="31"/>
      <c r="AB5" s="821"/>
      <c r="AC5" s="31"/>
      <c r="AD5" s="31"/>
      <c r="AE5" s="31"/>
      <c r="AF5" s="31"/>
      <c r="AG5" s="31"/>
      <c r="AH5" s="31"/>
      <c r="AI5" s="31"/>
      <c r="AJ5" s="31"/>
      <c r="AK5" s="31"/>
      <c r="AL5" s="31"/>
      <c r="AM5" s="31"/>
      <c r="AN5" s="31"/>
      <c r="AO5" s="31"/>
      <c r="AP5" s="31"/>
      <c r="AQ5" s="31"/>
      <c r="AS5" s="821"/>
      <c r="AT5" s="821"/>
      <c r="AV5" s="821"/>
      <c r="AW5" s="821"/>
      <c r="AX5" s="821" t="s">
        <v>203</v>
      </c>
      <c r="AY5" s="821"/>
      <c r="AZ5" s="821"/>
      <c r="BA5" s="821"/>
      <c r="BB5" s="821"/>
      <c r="BC5" s="821"/>
      <c r="BD5" s="821"/>
      <c r="BE5" s="821"/>
      <c r="BG5" s="821"/>
      <c r="BH5" s="821"/>
      <c r="BI5" s="821" t="s">
        <v>203</v>
      </c>
      <c r="BJ5" s="821"/>
      <c r="BK5" s="821"/>
      <c r="BL5" s="821"/>
      <c r="BM5" s="821"/>
      <c r="BN5" s="821"/>
      <c r="BO5" s="821"/>
      <c r="BP5" s="821"/>
    </row>
    <row r="6" spans="2:73" ht="13.5">
      <c r="B6" s="7"/>
      <c r="D6" s="6" t="s">
        <v>204</v>
      </c>
      <c r="E6" s="6" t="s">
        <v>205</v>
      </c>
      <c r="F6" s="6" t="s">
        <v>206</v>
      </c>
      <c r="G6" s="6" t="s">
        <v>207</v>
      </c>
      <c r="H6" s="6" t="s">
        <v>208</v>
      </c>
      <c r="I6" s="6" t="s">
        <v>209</v>
      </c>
      <c r="J6" s="6" t="s">
        <v>210</v>
      </c>
      <c r="K6" s="6" t="s">
        <v>211</v>
      </c>
      <c r="L6" s="6" t="s">
        <v>212</v>
      </c>
      <c r="M6" s="6" t="s">
        <v>213</v>
      </c>
      <c r="N6" s="6" t="s">
        <v>214</v>
      </c>
      <c r="O6" s="6" t="s">
        <v>215</v>
      </c>
      <c r="P6" s="6" t="s">
        <v>216</v>
      </c>
      <c r="Q6" s="6" t="s">
        <v>217</v>
      </c>
      <c r="R6" s="6" t="s">
        <v>218</v>
      </c>
      <c r="S6" s="6" t="s">
        <v>219</v>
      </c>
      <c r="T6" s="6" t="s">
        <v>220</v>
      </c>
      <c r="U6" s="6" t="s">
        <v>221</v>
      </c>
      <c r="V6" s="6" t="s">
        <v>222</v>
      </c>
      <c r="W6" s="6" t="s">
        <v>223</v>
      </c>
      <c r="X6" s="6" t="s">
        <v>224</v>
      </c>
      <c r="Y6" s="6" t="s">
        <v>225</v>
      </c>
      <c r="Z6" s="6" t="s">
        <v>226</v>
      </c>
      <c r="AA6" s="6" t="s">
        <v>227</v>
      </c>
      <c r="AB6" s="6" t="s">
        <v>228</v>
      </c>
      <c r="AC6" s="6" t="s">
        <v>229</v>
      </c>
      <c r="AD6" s="6" t="s">
        <v>230</v>
      </c>
      <c r="AE6" s="6" t="s">
        <v>231</v>
      </c>
      <c r="AF6" s="6" t="s">
        <v>232</v>
      </c>
      <c r="AG6" s="6" t="s">
        <v>233</v>
      </c>
      <c r="AH6" s="6" t="s">
        <v>234</v>
      </c>
      <c r="AI6" s="6" t="s">
        <v>235</v>
      </c>
      <c r="AJ6" s="6" t="s">
        <v>236</v>
      </c>
      <c r="AK6" s="6" t="s">
        <v>237</v>
      </c>
      <c r="AL6" s="6" t="s">
        <v>238</v>
      </c>
      <c r="AM6" s="6" t="s">
        <v>239</v>
      </c>
      <c r="AN6" s="6" t="s">
        <v>240</v>
      </c>
      <c r="AO6" s="6" t="s">
        <v>241</v>
      </c>
      <c r="AP6" s="6" t="s">
        <v>242</v>
      </c>
      <c r="AQ6" s="6" t="s">
        <v>243</v>
      </c>
      <c r="AS6" s="6" t="s">
        <v>244</v>
      </c>
      <c r="AT6" s="6" t="s">
        <v>245</v>
      </c>
      <c r="AU6" s="6" t="s">
        <v>246</v>
      </c>
      <c r="AV6" s="6" t="s">
        <v>247</v>
      </c>
      <c r="AW6" s="6" t="s">
        <v>248</v>
      </c>
      <c r="AX6" s="6" t="s">
        <v>249</v>
      </c>
      <c r="AY6" s="6" t="s">
        <v>250</v>
      </c>
      <c r="AZ6" s="6" t="s">
        <v>251</v>
      </c>
      <c r="BA6" s="6" t="s">
        <v>252</v>
      </c>
      <c r="BB6" s="6" t="s">
        <v>253</v>
      </c>
      <c r="BC6" s="6" t="s">
        <v>254</v>
      </c>
      <c r="BD6" s="6" t="s">
        <v>255</v>
      </c>
      <c r="BE6" s="6" t="s">
        <v>256</v>
      </c>
      <c r="BF6" s="6"/>
      <c r="BG6" s="6" t="s">
        <v>255</v>
      </c>
      <c r="BH6" s="6" t="s">
        <v>256</v>
      </c>
      <c r="BI6" s="6" t="s">
        <v>257</v>
      </c>
      <c r="BJ6" s="6" t="s">
        <v>258</v>
      </c>
      <c r="BK6" s="6" t="s">
        <v>259</v>
      </c>
      <c r="BL6" s="6" t="s">
        <v>260</v>
      </c>
      <c r="BM6" s="6" t="s">
        <v>109</v>
      </c>
      <c r="BN6" s="6" t="s">
        <v>190</v>
      </c>
      <c r="BO6" s="6" t="s">
        <v>261</v>
      </c>
      <c r="BP6" s="6" t="s">
        <v>72</v>
      </c>
    </row>
    <row r="7" spans="2:73" hidden="1" outlineLevel="1">
      <c r="B7" s="3"/>
      <c r="D7" s="822">
        <v>42277</v>
      </c>
      <c r="E7" s="822">
        <v>42369</v>
      </c>
      <c r="F7" s="822">
        <v>42460</v>
      </c>
      <c r="G7" s="822">
        <v>42551</v>
      </c>
      <c r="H7" s="822">
        <v>42643</v>
      </c>
      <c r="I7" s="822">
        <v>42735</v>
      </c>
      <c r="J7" s="822">
        <v>42825</v>
      </c>
      <c r="K7" s="822">
        <v>42916</v>
      </c>
      <c r="L7" s="822">
        <v>43008</v>
      </c>
      <c r="M7" s="822">
        <v>43100</v>
      </c>
      <c r="N7" s="822">
        <v>43190</v>
      </c>
      <c r="O7" s="822">
        <v>43281</v>
      </c>
      <c r="P7" s="822">
        <v>43373</v>
      </c>
      <c r="Q7" s="822">
        <v>43465</v>
      </c>
      <c r="R7" s="822">
        <v>43555</v>
      </c>
      <c r="S7" s="822">
        <v>43646</v>
      </c>
      <c r="T7" s="822">
        <v>43738</v>
      </c>
      <c r="U7" s="822">
        <v>43830</v>
      </c>
      <c r="V7" s="822">
        <v>43921</v>
      </c>
      <c r="W7" s="822">
        <v>43921</v>
      </c>
      <c r="X7" s="822"/>
      <c r="Y7" s="822"/>
      <c r="Z7" s="822"/>
      <c r="AA7" s="822"/>
      <c r="AB7" s="822"/>
      <c r="AC7" s="822"/>
      <c r="AD7" s="822"/>
      <c r="AE7" s="822"/>
      <c r="AF7" s="822"/>
      <c r="AG7" s="822"/>
      <c r="AH7" s="822"/>
      <c r="AI7" s="822"/>
      <c r="AJ7" s="822"/>
      <c r="AK7" s="822"/>
      <c r="AL7" s="822"/>
      <c r="AM7" s="822"/>
      <c r="AN7" s="822"/>
      <c r="AO7" s="822"/>
      <c r="AP7" s="822"/>
      <c r="AQ7" s="822"/>
      <c r="AS7" s="822">
        <v>38533</v>
      </c>
      <c r="AT7" s="822">
        <v>38898</v>
      </c>
      <c r="AU7" s="822">
        <v>39263</v>
      </c>
      <c r="AV7" s="822">
        <v>39629</v>
      </c>
      <c r="AW7" s="822">
        <v>39994</v>
      </c>
      <c r="AX7" s="822">
        <v>40359</v>
      </c>
      <c r="AY7" s="822">
        <v>40724</v>
      </c>
      <c r="AZ7" s="822">
        <v>41090</v>
      </c>
      <c r="BA7" s="822">
        <v>41455</v>
      </c>
      <c r="BB7" s="822">
        <v>41820</v>
      </c>
      <c r="BC7" s="822">
        <v>42185</v>
      </c>
      <c r="BD7" s="822">
        <v>42551</v>
      </c>
      <c r="BE7" s="822">
        <v>42916</v>
      </c>
      <c r="BF7" s="822"/>
      <c r="BG7" s="822">
        <v>42551</v>
      </c>
      <c r="BH7" s="822">
        <v>42916</v>
      </c>
      <c r="BI7" s="822">
        <v>43281</v>
      </c>
      <c r="BJ7" s="822">
        <v>43646</v>
      </c>
      <c r="BK7" s="822"/>
      <c r="BL7" s="822"/>
      <c r="BM7" s="822"/>
      <c r="BN7" s="822"/>
      <c r="BO7" s="822"/>
      <c r="BP7" s="822"/>
    </row>
    <row r="8" spans="2:73" ht="13.5" hidden="1" outlineLevel="1">
      <c r="B8" s="3"/>
      <c r="D8" s="823" t="s">
        <v>262</v>
      </c>
      <c r="E8" s="821"/>
      <c r="F8" s="31"/>
      <c r="G8" s="31"/>
      <c r="H8" s="823" t="s">
        <v>262</v>
      </c>
      <c r="I8" s="31"/>
      <c r="J8" s="31"/>
      <c r="K8" s="31"/>
      <c r="AS8" s="822"/>
      <c r="AT8" s="822"/>
      <c r="AU8" s="822"/>
      <c r="AV8" s="822"/>
      <c r="AW8" s="822"/>
      <c r="AX8" s="822"/>
      <c r="AY8" s="822"/>
      <c r="AZ8" s="822"/>
      <c r="BA8" s="822"/>
      <c r="BB8" s="822"/>
      <c r="BC8" s="822"/>
      <c r="BD8" s="822"/>
      <c r="BE8" s="822"/>
      <c r="BF8" s="822"/>
      <c r="BG8" s="823" t="s">
        <v>262</v>
      </c>
      <c r="BH8" s="821"/>
    </row>
    <row r="9" spans="2:73" collapsed="1">
      <c r="AF9" s="9"/>
      <c r="BE9" s="932" t="s">
        <v>263</v>
      </c>
      <c r="BG9" s="932" t="s">
        <v>263</v>
      </c>
      <c r="BH9" s="921"/>
    </row>
    <row r="10" spans="2:73" ht="10.5">
      <c r="B10" s="5" t="s">
        <v>264</v>
      </c>
      <c r="C10" s="4"/>
      <c r="X10" s="824"/>
      <c r="AB10" s="824"/>
      <c r="AE10" s="8"/>
      <c r="AF10" s="9"/>
      <c r="BG10" s="8"/>
    </row>
    <row r="11" spans="2:73">
      <c r="E11" s="825"/>
      <c r="F11" s="825"/>
      <c r="G11" s="825"/>
      <c r="H11" s="825"/>
      <c r="I11" s="825"/>
      <c r="J11" s="825"/>
      <c r="K11" s="825"/>
      <c r="L11" s="825"/>
      <c r="M11" s="825"/>
      <c r="N11" s="825"/>
      <c r="O11" s="825"/>
      <c r="P11" s="825"/>
      <c r="Q11" s="825"/>
      <c r="R11" s="825"/>
      <c r="S11" s="825"/>
      <c r="T11" s="825"/>
      <c r="U11" s="825"/>
      <c r="X11" s="826"/>
      <c r="Y11" s="827"/>
      <c r="Z11" s="8"/>
      <c r="AA11" s="828"/>
      <c r="AB11" s="827"/>
      <c r="AC11" s="828"/>
      <c r="AD11" s="828"/>
      <c r="AF11" s="828"/>
      <c r="AK11" s="1241"/>
      <c r="AM11" s="828" t="s">
        <v>265</v>
      </c>
      <c r="AN11" s="1079">
        <f>+BX146*1000</f>
        <v>64300</v>
      </c>
      <c r="AO11" s="1241"/>
      <c r="AP11" s="1242"/>
      <c r="AQ11" s="828"/>
      <c r="BG11" s="8"/>
      <c r="BR11" t="s">
        <v>266</v>
      </c>
      <c r="BS11" t="s">
        <v>267</v>
      </c>
      <c r="BT11" t="s">
        <v>268</v>
      </c>
      <c r="BU11" t="s">
        <v>269</v>
      </c>
    </row>
    <row r="12" spans="2:73">
      <c r="B12" t="s">
        <v>86</v>
      </c>
      <c r="D12" s="8">
        <f t="shared" ref="D12:V12" si="1">+D732</f>
        <v>20910</v>
      </c>
      <c r="E12" s="8">
        <f t="shared" si="1"/>
        <v>25253</v>
      </c>
      <c r="F12" s="8">
        <f t="shared" si="1"/>
        <v>21517</v>
      </c>
      <c r="G12" s="8">
        <f t="shared" si="1"/>
        <v>23474</v>
      </c>
      <c r="H12" s="8">
        <f t="shared" si="1"/>
        <v>21928</v>
      </c>
      <c r="I12" s="8">
        <f t="shared" si="1"/>
        <v>25826</v>
      </c>
      <c r="J12" s="8">
        <f t="shared" si="1"/>
        <v>23212</v>
      </c>
      <c r="K12" s="8">
        <f t="shared" si="1"/>
        <v>25605</v>
      </c>
      <c r="L12" s="8">
        <f t="shared" si="1"/>
        <v>24538</v>
      </c>
      <c r="M12" s="8">
        <f t="shared" si="1"/>
        <v>28918</v>
      </c>
      <c r="N12" s="8">
        <f t="shared" si="1"/>
        <v>26819</v>
      </c>
      <c r="O12" s="8">
        <f t="shared" si="1"/>
        <v>30085</v>
      </c>
      <c r="P12" s="8">
        <f t="shared" si="1"/>
        <v>29084</v>
      </c>
      <c r="Q12" s="8">
        <f t="shared" si="1"/>
        <v>32471</v>
      </c>
      <c r="R12" s="8">
        <f t="shared" si="1"/>
        <v>30571</v>
      </c>
      <c r="S12" s="8">
        <f t="shared" si="1"/>
        <v>33717</v>
      </c>
      <c r="T12" s="8">
        <f t="shared" si="1"/>
        <v>33055</v>
      </c>
      <c r="U12" s="8">
        <f t="shared" si="1"/>
        <v>36906</v>
      </c>
      <c r="V12" s="8">
        <f t="shared" si="1"/>
        <v>35021</v>
      </c>
      <c r="W12" s="8">
        <f>+W152</f>
        <v>38033</v>
      </c>
      <c r="X12" s="8">
        <f t="shared" ref="X12:Y12" si="2">+X152</f>
        <v>37154</v>
      </c>
      <c r="Y12" s="8">
        <f t="shared" si="2"/>
        <v>43076</v>
      </c>
      <c r="Z12" s="8">
        <f t="shared" ref="Z12" si="3">+Z152</f>
        <v>41706</v>
      </c>
      <c r="AA12" s="8">
        <f t="shared" ref="AA12:AB12" si="4">+AA152</f>
        <v>46152</v>
      </c>
      <c r="AB12" s="8">
        <f t="shared" si="4"/>
        <v>45317</v>
      </c>
      <c r="AC12" s="8">
        <f t="shared" ref="AC12:AD12" si="5">+AC152</f>
        <v>51728</v>
      </c>
      <c r="AD12" s="8">
        <f t="shared" si="5"/>
        <v>49360</v>
      </c>
      <c r="AE12" s="8">
        <f t="shared" ref="AE12:AF12" si="6">+AE152</f>
        <v>51865</v>
      </c>
      <c r="AF12" s="8">
        <f t="shared" si="6"/>
        <v>50122</v>
      </c>
      <c r="AG12" s="8">
        <f t="shared" ref="AG12:AI12" si="7">+AG152</f>
        <v>52747</v>
      </c>
      <c r="AH12" s="8">
        <f t="shared" ref="AH12" si="8">+AH152</f>
        <v>52857</v>
      </c>
      <c r="AI12" s="8">
        <f t="shared" si="7"/>
        <v>56189</v>
      </c>
      <c r="AJ12" s="8">
        <f t="shared" ref="AJ12:AM12" si="9">+AJ152</f>
        <v>56517</v>
      </c>
      <c r="AK12" s="8">
        <f t="shared" si="9"/>
        <v>62020</v>
      </c>
      <c r="AL12" s="8">
        <f t="shared" si="9"/>
        <v>61858</v>
      </c>
      <c r="AM12" s="8">
        <f t="shared" si="9"/>
        <v>64727</v>
      </c>
      <c r="AN12" s="8">
        <f t="shared" ref="AN12:AQ12" si="10">+AN152</f>
        <v>65306.668670161642</v>
      </c>
      <c r="AO12" s="8">
        <f t="shared" si="10"/>
        <v>70154.988371963365</v>
      </c>
      <c r="AP12" s="8">
        <f t="shared" si="10"/>
        <v>71055.656578552866</v>
      </c>
      <c r="AQ12" s="8">
        <f t="shared" si="10"/>
        <v>74694.533091599718</v>
      </c>
      <c r="AR12" s="8"/>
      <c r="AS12" s="8">
        <f t="shared" ref="AS12:BE12" si="11">+AS732</f>
        <v>39788</v>
      </c>
      <c r="AT12" s="8">
        <f t="shared" si="11"/>
        <v>44282</v>
      </c>
      <c r="AU12" s="8">
        <f t="shared" si="11"/>
        <v>51122</v>
      </c>
      <c r="AV12" s="8">
        <f t="shared" si="11"/>
        <v>60420</v>
      </c>
      <c r="AW12" s="8">
        <f t="shared" si="11"/>
        <v>58437</v>
      </c>
      <c r="AX12" s="8">
        <f t="shared" si="11"/>
        <v>62484</v>
      </c>
      <c r="AY12" s="8">
        <f t="shared" si="11"/>
        <v>69943</v>
      </c>
      <c r="AZ12" s="8">
        <f t="shared" si="11"/>
        <v>73723</v>
      </c>
      <c r="BA12" s="8">
        <f t="shared" si="11"/>
        <v>77849</v>
      </c>
      <c r="BB12" s="8">
        <f t="shared" si="11"/>
        <v>86833</v>
      </c>
      <c r="BC12" s="8">
        <f t="shared" si="11"/>
        <v>93580</v>
      </c>
      <c r="BD12" s="8">
        <f t="shared" si="11"/>
        <v>85320</v>
      </c>
      <c r="BE12" s="8">
        <f t="shared" si="11"/>
        <v>89950</v>
      </c>
      <c r="BG12" s="8">
        <f>+BG732</f>
        <v>91154</v>
      </c>
      <c r="BH12" s="8">
        <f>+BH732</f>
        <v>96571</v>
      </c>
      <c r="BI12" s="8">
        <f>+BI732</f>
        <v>110360</v>
      </c>
      <c r="BJ12" s="8">
        <f>+BJ732</f>
        <v>125843</v>
      </c>
      <c r="BK12" s="8">
        <f>SUM(T12:W12)</f>
        <v>143015</v>
      </c>
      <c r="BL12" s="8">
        <f>SUM(X12:AA12)</f>
        <v>168088</v>
      </c>
      <c r="BM12" s="8">
        <f>SUM(AB12:AE12)</f>
        <v>198270</v>
      </c>
      <c r="BN12" s="8">
        <f>SUM(AF12:AI12)</f>
        <v>211915</v>
      </c>
      <c r="BO12" s="8">
        <f>SUM(AJ12:AM12)</f>
        <v>245122</v>
      </c>
      <c r="BP12" s="8">
        <f>+SUM(AN12:AQ12)</f>
        <v>281211.84671227756</v>
      </c>
      <c r="BR12" s="8">
        <f>+SUM(Z12:AC12)</f>
        <v>184903</v>
      </c>
      <c r="BS12" s="8">
        <f>+SUM(AD12:AG12)</f>
        <v>204094</v>
      </c>
      <c r="BT12" s="8">
        <f>+SUM(AH12:AK12)</f>
        <v>227583</v>
      </c>
      <c r="BU12" s="8">
        <f>+SUM(AL12:AO12)</f>
        <v>262046.65704212501</v>
      </c>
    </row>
    <row r="13" spans="2:73" s="3" customFormat="1">
      <c r="B13" s="13" t="s">
        <v>113</v>
      </c>
      <c r="D13" s="228"/>
      <c r="E13" s="228"/>
      <c r="F13" s="228"/>
      <c r="G13" s="228"/>
      <c r="H13" s="228">
        <f>IFERROR(H12/D12-1,"n/a ")</f>
        <v>4.8684839789574275E-2</v>
      </c>
      <c r="I13" s="228">
        <f t="shared" ref="I13:N13" si="12">IFERROR(I12/E12-1,"n/a ")</f>
        <v>2.2690373420979792E-2</v>
      </c>
      <c r="J13" s="228">
        <f t="shared" si="12"/>
        <v>7.8774922154575489E-2</v>
      </c>
      <c r="K13" s="228">
        <f t="shared" si="12"/>
        <v>9.0781289937803544E-2</v>
      </c>
      <c r="L13" s="228">
        <f t="shared" si="12"/>
        <v>0.11902590295512594</v>
      </c>
      <c r="M13" s="228">
        <f t="shared" si="12"/>
        <v>0.11972430883605667</v>
      </c>
      <c r="N13" s="228">
        <f t="shared" si="12"/>
        <v>0.15539376184732046</v>
      </c>
      <c r="O13" s="228">
        <f t="shared" ref="O13" si="13">IFERROR(O12/K12-1,"n/a ")</f>
        <v>0.17496582698691654</v>
      </c>
      <c r="P13" s="228">
        <f t="shared" ref="P13" si="14">IFERROR(P12/L12-1,"n/a ")</f>
        <v>0.18526367267095933</v>
      </c>
      <c r="Q13" s="228">
        <f t="shared" ref="Q13" si="15">IFERROR(Q12/M12-1,"n/a ")</f>
        <v>0.12286465177398154</v>
      </c>
      <c r="R13" s="228">
        <f t="shared" ref="R13" si="16">IFERROR(R12/N12-1,"n/a ")</f>
        <v>0.13990081658525666</v>
      </c>
      <c r="S13" s="228">
        <f t="shared" ref="S13" si="17">IFERROR(S12/O12-1,"n/a ")</f>
        <v>0.12072461359481479</v>
      </c>
      <c r="T13" s="228">
        <f t="shared" ref="T13" si="18">IFERROR(T12/P12-1,"n/a ")</f>
        <v>0.13653555219364599</v>
      </c>
      <c r="U13" s="228">
        <f t="shared" ref="U13" si="19">IFERROR(U12/Q12-1,"n/a ")</f>
        <v>0.13658341289150311</v>
      </c>
      <c r="V13" s="228">
        <f t="shared" ref="V13:W13" si="20">IFERROR(V12/R12-1,"n/a ")</f>
        <v>0.14556278826338698</v>
      </c>
      <c r="W13" s="228">
        <f t="shared" si="20"/>
        <v>0.12800664353293589</v>
      </c>
      <c r="X13" s="228">
        <f t="shared" ref="X13" si="21">IFERROR(X12/T12-1,"n/a ")</f>
        <v>0.12400544546967174</v>
      </c>
      <c r="Y13" s="228">
        <f t="shared" ref="Y13" si="22">IFERROR(Y12/U12-1,"n/a ")</f>
        <v>0.16718148810491518</v>
      </c>
      <c r="Z13" s="228">
        <f t="shared" ref="Z13" si="23">IFERROR(Z12/V12-1,"n/a ")</f>
        <v>0.19088546871876866</v>
      </c>
      <c r="AA13" s="228">
        <f t="shared" ref="AA13" si="24">IFERROR(AA12/W12-1,"n/a ")</f>
        <v>0.21347251071437956</v>
      </c>
      <c r="AB13" s="228">
        <f t="shared" ref="AB13" si="25">IFERROR(AB12/X12-1,"n/a ")</f>
        <v>0.21970716477364483</v>
      </c>
      <c r="AC13" s="228">
        <f t="shared" ref="AC13" si="26">IFERROR(AC12/Y12-1,"n/a ")</f>
        <v>0.2008543040208004</v>
      </c>
      <c r="AD13" s="228">
        <f t="shared" ref="AD13" si="27">IFERROR(AD12/Z12-1,"n/a ")</f>
        <v>0.18352275451973332</v>
      </c>
      <c r="AE13" s="228">
        <f t="shared" ref="AE13" si="28">IFERROR(AE12/AA12-1,"n/a ")</f>
        <v>0.12378661813139202</v>
      </c>
      <c r="AF13" s="228">
        <f t="shared" ref="AF13" si="29">IFERROR(AF12/AB12-1,"n/a ")</f>
        <v>0.1060308493501334</v>
      </c>
      <c r="AG13" s="228">
        <f t="shared" ref="AG13" si="30">IFERROR(AG12/AC12-1,"n/a ")</f>
        <v>1.9699195793380753E-2</v>
      </c>
      <c r="AH13" s="228">
        <f t="shared" ref="AH13" si="31">IFERROR(AH12/AD12-1,"n/a ")</f>
        <v>7.0846839546191198E-2</v>
      </c>
      <c r="AI13" s="228">
        <f t="shared" ref="AI13" si="32">IFERROR(AI12/AE12-1,"n/a ")</f>
        <v>8.3370288248336921E-2</v>
      </c>
      <c r="AJ13" s="228">
        <f t="shared" ref="AJ13" si="33">IFERROR(AJ12/AF12-1,"n/a ")</f>
        <v>0.12758868361198683</v>
      </c>
      <c r="AK13" s="228">
        <f t="shared" ref="AK13" si="34">IFERROR(AK12/AG12-1,"n/a ")</f>
        <v>0.17580146738203117</v>
      </c>
      <c r="AL13" s="228">
        <f t="shared" ref="AL13" si="35">IFERROR(AL12/AH12-1,"n/a ")</f>
        <v>0.17028964943148495</v>
      </c>
      <c r="AM13" s="228">
        <f t="shared" ref="AM13" si="36">IFERROR(AM12/AI12-1,"n/a ")</f>
        <v>0.15195144957198026</v>
      </c>
      <c r="AN13" s="228">
        <f t="shared" ref="AN13" si="37">IFERROR(AN12/AJ12-1,"n/a ")</f>
        <v>0.15552256259464659</v>
      </c>
      <c r="AO13" s="228">
        <f t="shared" ref="AO13" si="38">IFERROR(AO12/AK12-1,"n/a ")</f>
        <v>0.1311671778775132</v>
      </c>
      <c r="AP13" s="228">
        <f t="shared" ref="AP13" si="39">IFERROR(AP12/AL12-1,"n/a ")</f>
        <v>0.14868984736902036</v>
      </c>
      <c r="AQ13" s="228">
        <f t="shared" ref="AQ13" si="40">IFERROR(AQ12/AM12-1,"n/a ")</f>
        <v>0.1539934353762682</v>
      </c>
      <c r="AR13" s="228"/>
      <c r="AS13" s="228"/>
      <c r="AT13" s="228">
        <f>IFERROR(AT12/AS12-1,"n/a ")</f>
        <v>0.11294862772695291</v>
      </c>
      <c r="AU13" s="228">
        <f t="shared" ref="AU13:BE13" si="41">IFERROR(AU12/AT12-1,"n/a ")</f>
        <v>0.15446456799602548</v>
      </c>
      <c r="AV13" s="228">
        <f t="shared" si="41"/>
        <v>0.18187864324556946</v>
      </c>
      <c r="AW13" s="228">
        <f t="shared" si="41"/>
        <v>-3.2820258192651441E-2</v>
      </c>
      <c r="AX13" s="228">
        <f t="shared" si="41"/>
        <v>6.9254068484008391E-2</v>
      </c>
      <c r="AY13" s="228">
        <f t="shared" si="41"/>
        <v>0.11937455988733126</v>
      </c>
      <c r="AZ13" s="228">
        <f t="shared" si="41"/>
        <v>5.4044007263057026E-2</v>
      </c>
      <c r="BA13" s="228">
        <f t="shared" si="41"/>
        <v>5.5966252051598442E-2</v>
      </c>
      <c r="BB13" s="228">
        <f t="shared" si="41"/>
        <v>0.11540289534868786</v>
      </c>
      <c r="BC13" s="228">
        <f t="shared" si="41"/>
        <v>7.7700874091647165E-2</v>
      </c>
      <c r="BD13" s="228">
        <f t="shared" si="41"/>
        <v>-8.8266723658901425E-2</v>
      </c>
      <c r="BE13" s="228">
        <f t="shared" si="41"/>
        <v>5.4266291608063844E-2</v>
      </c>
      <c r="BF13" s="228"/>
      <c r="BG13" s="829">
        <f>+BD13</f>
        <v>-8.8266723658901425E-2</v>
      </c>
      <c r="BH13" s="228">
        <f t="shared" ref="BH13" si="42">IFERROR(BH12/BG12-1,"n/a ")</f>
        <v>5.9426903920837271E-2</v>
      </c>
      <c r="BI13" s="228">
        <f t="shared" ref="BI13" si="43">IFERROR(BI12/BH12-1,"n/a ")</f>
        <v>0.14278613662486661</v>
      </c>
      <c r="BJ13" s="228">
        <f t="shared" ref="BJ13:BM13" si="44">IFERROR(BJ12/BI12-1,"n/a ")</f>
        <v>0.14029539688292858</v>
      </c>
      <c r="BK13" s="228">
        <f t="shared" si="44"/>
        <v>0.13645574247276371</v>
      </c>
      <c r="BL13" s="228">
        <f t="shared" si="44"/>
        <v>0.17531727441177503</v>
      </c>
      <c r="BM13" s="228">
        <f t="shared" si="44"/>
        <v>0.17956070629670173</v>
      </c>
      <c r="BN13" s="228">
        <f t="shared" ref="BN13:BO13" si="45">IFERROR(BN12/BM12-1,"n/a ")</f>
        <v>6.8820295556564215E-2</v>
      </c>
      <c r="BO13" s="228">
        <f t="shared" si="45"/>
        <v>0.1566996201307127</v>
      </c>
      <c r="BP13" s="228">
        <f t="shared" ref="BP13" si="46">IFERROR(BP12/BO12-1,"n/a ")</f>
        <v>0.14723218116806147</v>
      </c>
      <c r="BS13" s="986">
        <f>+BS12/BR12-1</f>
        <v>0.10378955452318239</v>
      </c>
      <c r="BT13" s="986">
        <f>+BT12/BS12-1</f>
        <v>0.11508912559898876</v>
      </c>
      <c r="BU13" s="986">
        <f>+BU12/BT12-1</f>
        <v>0.15143335417023684</v>
      </c>
    </row>
    <row r="14" spans="2:73" s="3" customFormat="1">
      <c r="B14" s="13" t="s">
        <v>270</v>
      </c>
      <c r="D14" s="228"/>
      <c r="E14" s="228"/>
      <c r="F14" s="228"/>
      <c r="G14" s="228"/>
      <c r="H14" s="228" t="s">
        <v>271</v>
      </c>
      <c r="I14" s="228" t="s">
        <v>271</v>
      </c>
      <c r="J14" s="228" t="s">
        <v>271</v>
      </c>
      <c r="K14" s="228" t="s">
        <v>271</v>
      </c>
      <c r="L14" s="228">
        <f>+L167</f>
        <v>0.11404323239693544</v>
      </c>
      <c r="M14" s="228">
        <f>+M167</f>
        <v>0.11517230697746457</v>
      </c>
      <c r="N14" s="228">
        <f>+N167</f>
        <v>0.13155824573496466</v>
      </c>
      <c r="O14" s="228">
        <f t="shared" ref="O14:W14" si="47">+O167</f>
        <v>0.15218902558094122</v>
      </c>
      <c r="P14" s="228">
        <f t="shared" si="47"/>
        <v>0.18546010269785637</v>
      </c>
      <c r="Q14" s="228">
        <f t="shared" si="47"/>
        <v>0.12631371464139982</v>
      </c>
      <c r="R14" s="228">
        <f t="shared" si="47"/>
        <v>0.16</v>
      </c>
      <c r="S14" s="228">
        <f t="shared" si="47"/>
        <v>0.14324347681568889</v>
      </c>
      <c r="T14" s="228">
        <f t="shared" si="47"/>
        <v>0.15429033145372026</v>
      </c>
      <c r="U14" s="228">
        <f t="shared" si="47"/>
        <v>0.15197037356410337</v>
      </c>
      <c r="V14" s="228">
        <f t="shared" si="47"/>
        <v>0.15910928657878379</v>
      </c>
      <c r="W14" s="228">
        <f t="shared" si="47"/>
        <v>0.14502413322656227</v>
      </c>
      <c r="X14" s="228">
        <f t="shared" ref="X14:Z14" si="48">+X167</f>
        <v>0.12050704885796401</v>
      </c>
      <c r="Y14" s="228">
        <f t="shared" si="48"/>
        <v>0.15363536010404813</v>
      </c>
      <c r="Z14" s="228">
        <f t="shared" si="48"/>
        <v>0.16171448844978725</v>
      </c>
      <c r="AA14" s="228">
        <f t="shared" ref="AA14:AB14" si="49">+AA167</f>
        <v>0.17445905660873451</v>
      </c>
      <c r="AB14" s="228">
        <f t="shared" si="49"/>
        <v>0.20385421219787908</v>
      </c>
      <c r="AC14" s="228">
        <f t="shared" ref="AC14" si="50">+AC167</f>
        <v>0.20078497539232981</v>
      </c>
      <c r="AD14" s="228">
        <f t="shared" ref="AD14:AE14" si="51">+AD167</f>
        <v>0.20149706517047911</v>
      </c>
      <c r="AE14" s="228">
        <f t="shared" si="51"/>
        <v>0.16459280637892182</v>
      </c>
      <c r="AF14" s="228">
        <f t="shared" ref="AF14:AG14" si="52">+AF167</f>
        <v>0.15702183948628548</v>
      </c>
      <c r="AG14" s="228">
        <f t="shared" si="52"/>
        <v>7.2159387565728428E-2</v>
      </c>
      <c r="AH14" s="228">
        <f t="shared" ref="AH14:AL14" si="53">+AH167</f>
        <v>0.10162370340356562</v>
      </c>
      <c r="AI14" s="228">
        <f t="shared" si="53"/>
        <v>9.8637809698255086E-2</v>
      </c>
      <c r="AJ14" s="228">
        <f t="shared" si="53"/>
        <v>0.12288664059694347</v>
      </c>
      <c r="AK14" s="228">
        <f t="shared" si="53"/>
        <v>0.16473771020152805</v>
      </c>
      <c r="AL14" s="228">
        <f t="shared" si="53"/>
        <v>0.16792691034300095</v>
      </c>
      <c r="AM14" s="228">
        <f t="shared" ref="AM14" si="54">+AM1006</f>
        <v>0.15532025438320218</v>
      </c>
      <c r="AN14" s="228">
        <f t="shared" ref="AN14:AQ14" si="55">+AN1006</f>
        <v>0.14940825546404835</v>
      </c>
      <c r="AO14" s="228">
        <f t="shared" si="55"/>
        <v>0.10589368932673393</v>
      </c>
      <c r="AP14" s="228">
        <f t="shared" si="55"/>
        <v>0.12967431227196036</v>
      </c>
      <c r="AQ14" s="228">
        <f t="shared" si="55"/>
        <v>0.13096764038646724</v>
      </c>
      <c r="AR14" s="228"/>
      <c r="AS14" s="228"/>
      <c r="AT14" s="228"/>
      <c r="AU14" s="228" t="s">
        <v>271</v>
      </c>
      <c r="AV14" s="228" t="s">
        <v>271</v>
      </c>
      <c r="AW14" s="228" t="s">
        <v>271</v>
      </c>
      <c r="AX14" s="228" t="s">
        <v>271</v>
      </c>
      <c r="AY14" s="228" t="s">
        <v>271</v>
      </c>
      <c r="AZ14" s="228" t="s">
        <v>271</v>
      </c>
      <c r="BA14" s="829">
        <f>+BA13+1%</f>
        <v>6.5966252051598437E-2</v>
      </c>
      <c r="BB14" s="829">
        <f>+BB13+1%</f>
        <v>0.12540289534868787</v>
      </c>
      <c r="BC14" s="228">
        <f>+BC167</f>
        <v>9.7700874091647169E-2</v>
      </c>
      <c r="BD14" s="228">
        <f>+BD167</f>
        <v>-4.8266723658901424E-2</v>
      </c>
      <c r="BE14" s="228">
        <f>+BE167</f>
        <v>7.4266291608063847E-2</v>
      </c>
      <c r="BF14" s="228"/>
      <c r="BG14" s="829">
        <f t="shared" ref="BG14:BG15" si="56">+BD14</f>
        <v>-4.8266723658901424E-2</v>
      </c>
      <c r="BH14" s="228">
        <f>+BE14-BE13+BH13</f>
        <v>7.9426903920837275E-2</v>
      </c>
      <c r="BI14" s="228">
        <f>+BI167</f>
        <v>0.12866916569156372</v>
      </c>
      <c r="BJ14" s="228">
        <f t="shared" ref="BJ14" si="57">+BJ167</f>
        <v>0.15088356288510332</v>
      </c>
      <c r="BK14" s="228">
        <f>+(SUM(T14:W14)-SUM(T13:W13))/4+BK13</f>
        <v>0.15238217445818814</v>
      </c>
      <c r="BL14" s="830">
        <f>SUMPRODUCT(X14:AA14,T12:W12)/BK12</f>
        <v>0.1534946089571024</v>
      </c>
      <c r="BM14" s="831">
        <f>SUMPRODUCT(AB14:AE14,X12:AA12)/BL12</f>
        <v>0.19170277949645423</v>
      </c>
      <c r="BN14" s="831">
        <f>SUMPRODUCT(AF14:AI14,AB12:AE12)/BM12</f>
        <v>0.1058173979926363</v>
      </c>
      <c r="BO14" s="831">
        <f>SUMPRODUCT(AJ14:AM14,AF12:AI12)/BN12</f>
        <v>0.15313756304904208</v>
      </c>
      <c r="BP14" s="831">
        <f>SUMPRODUCT(AN14:AQ14,AJ12:AM12)/BO12</f>
        <v>0.12854892279729868</v>
      </c>
    </row>
    <row r="15" spans="2:73" s="3" customFormat="1">
      <c r="B15" s="13" t="s">
        <v>272</v>
      </c>
      <c r="D15" s="228">
        <f t="shared" ref="D15:AI15" si="58">+D174</f>
        <v>0</v>
      </c>
      <c r="E15" s="228">
        <f t="shared" si="58"/>
        <v>0</v>
      </c>
      <c r="F15" s="228">
        <f t="shared" si="58"/>
        <v>0</v>
      </c>
      <c r="G15" s="228">
        <f t="shared" si="58"/>
        <v>0</v>
      </c>
      <c r="H15" s="228">
        <f t="shared" si="58"/>
        <v>0</v>
      </c>
      <c r="I15" s="228">
        <f t="shared" si="58"/>
        <v>0</v>
      </c>
      <c r="J15" s="228">
        <f t="shared" si="58"/>
        <v>0</v>
      </c>
      <c r="K15" s="228">
        <f t="shared" si="58"/>
        <v>0</v>
      </c>
      <c r="L15" s="228">
        <f t="shared" si="58"/>
        <v>0</v>
      </c>
      <c r="M15" s="228">
        <f t="shared" si="58"/>
        <v>0</v>
      </c>
      <c r="N15" s="228">
        <f t="shared" si="58"/>
        <v>0</v>
      </c>
      <c r="O15" s="228">
        <f t="shared" si="58"/>
        <v>0</v>
      </c>
      <c r="P15" s="228">
        <f t="shared" si="58"/>
        <v>0</v>
      </c>
      <c r="Q15" s="228">
        <f t="shared" si="58"/>
        <v>0</v>
      </c>
      <c r="R15" s="228">
        <f t="shared" si="58"/>
        <v>0</v>
      </c>
      <c r="S15" s="228">
        <f t="shared" si="58"/>
        <v>0</v>
      </c>
      <c r="T15" s="228">
        <f t="shared" si="58"/>
        <v>0</v>
      </c>
      <c r="U15" s="228">
        <f t="shared" si="58"/>
        <v>0</v>
      </c>
      <c r="V15" s="228">
        <f t="shared" si="58"/>
        <v>0</v>
      </c>
      <c r="W15" s="228">
        <f t="shared" si="58"/>
        <v>0</v>
      </c>
      <c r="X15" s="228">
        <f t="shared" si="58"/>
        <v>0</v>
      </c>
      <c r="Y15" s="228">
        <f t="shared" si="58"/>
        <v>0</v>
      </c>
      <c r="Z15" s="228">
        <f t="shared" si="58"/>
        <v>0</v>
      </c>
      <c r="AA15" s="228">
        <f t="shared" si="58"/>
        <v>0</v>
      </c>
      <c r="AB15" s="228">
        <f t="shared" si="58"/>
        <v>0.20385421219787908</v>
      </c>
      <c r="AC15" s="228">
        <f t="shared" si="58"/>
        <v>0.20078497539232981</v>
      </c>
      <c r="AD15" s="228">
        <f t="shared" si="58"/>
        <v>0.19885955498009894</v>
      </c>
      <c r="AE15" s="228">
        <f t="shared" si="58"/>
        <v>0.15700916970012113</v>
      </c>
      <c r="AF15" s="228">
        <f t="shared" si="58"/>
        <v>0.14929846856588047</v>
      </c>
      <c r="AG15" s="228">
        <f t="shared" si="58"/>
        <v>6.5393226105784075E-2</v>
      </c>
      <c r="AH15" s="228">
        <f t="shared" si="58"/>
        <v>9.6896528903295476E-2</v>
      </c>
      <c r="AI15" s="228">
        <f t="shared" si="58"/>
        <v>9.8637809698255086E-2</v>
      </c>
      <c r="AJ15" s="228">
        <f>+AJ174</f>
        <v>0.12288664059694347</v>
      </c>
      <c r="AK15" s="228">
        <f t="shared" ref="AK15:AQ15" si="59">+(AK12-AK509)/(AG12-AG509)-1-AK13+AK14</f>
        <v>0.12530418791590037</v>
      </c>
      <c r="AL15" s="228">
        <f t="shared" si="59"/>
        <v>0.13065653934199822</v>
      </c>
      <c r="AM15" s="228">
        <f t="shared" si="59"/>
        <v>0.12542116381387358</v>
      </c>
      <c r="AN15" s="228">
        <f t="shared" si="59"/>
        <v>0.12155893579032195</v>
      </c>
      <c r="AO15" s="228">
        <f t="shared" si="59"/>
        <v>0.10766926039755864</v>
      </c>
      <c r="AP15" s="228">
        <f t="shared" si="59"/>
        <v>0.13193384672488873</v>
      </c>
      <c r="AQ15" s="228">
        <f t="shared" si="59"/>
        <v>0.13293932772182249</v>
      </c>
      <c r="AR15" s="228"/>
      <c r="AS15" s="228"/>
      <c r="AT15" s="228"/>
      <c r="AU15" s="228"/>
      <c r="AV15" s="228"/>
      <c r="AW15" s="228"/>
      <c r="AX15" s="228" t="str">
        <f t="shared" ref="AX15:BI15" si="60">+AX14</f>
        <v>NA</v>
      </c>
      <c r="AY15" s="228" t="str">
        <f t="shared" si="60"/>
        <v>NA</v>
      </c>
      <c r="AZ15" s="228" t="str">
        <f t="shared" si="60"/>
        <v>NA</v>
      </c>
      <c r="BA15" s="829">
        <f t="shared" si="60"/>
        <v>6.5966252051598437E-2</v>
      </c>
      <c r="BB15" s="829">
        <f t="shared" si="60"/>
        <v>0.12540289534868787</v>
      </c>
      <c r="BC15" s="228">
        <f t="shared" si="60"/>
        <v>9.7700874091647169E-2</v>
      </c>
      <c r="BD15" s="228">
        <f t="shared" si="60"/>
        <v>-4.8266723658901424E-2</v>
      </c>
      <c r="BE15" s="228">
        <f t="shared" si="60"/>
        <v>7.4266291608063847E-2</v>
      </c>
      <c r="BF15" s="228"/>
      <c r="BG15" s="829">
        <f t="shared" si="56"/>
        <v>-4.8266723658901424E-2</v>
      </c>
      <c r="BH15" s="228">
        <f t="shared" si="60"/>
        <v>7.9426903920837275E-2</v>
      </c>
      <c r="BI15" s="228">
        <f t="shared" si="60"/>
        <v>0.12866916569156372</v>
      </c>
      <c r="BJ15" s="831">
        <f t="shared" ref="BJ15:BN15" si="61">+BJ174</f>
        <v>0.1508835628851033</v>
      </c>
      <c r="BK15" s="831">
        <f t="shared" si="61"/>
        <v>0.15208497890228301</v>
      </c>
      <c r="BL15" s="830">
        <f>+BL14</f>
        <v>0.1534946089571024</v>
      </c>
      <c r="BM15" s="831">
        <f t="shared" si="61"/>
        <v>0.18958755731124965</v>
      </c>
      <c r="BN15" s="831">
        <f t="shared" si="61"/>
        <v>0.10029775894823553</v>
      </c>
      <c r="BO15" s="228">
        <f>+BO14-(BO571/BN12)</f>
        <v>0.12609841999640306</v>
      </c>
      <c r="BP15" s="228">
        <f>+(BP12-BP509)/(BO12-BO509)-1-BP13+BP14</f>
        <v>0.12358334499224677</v>
      </c>
    </row>
    <row r="16" spans="2:73">
      <c r="AA16" s="828"/>
      <c r="AB16" s="827"/>
      <c r="AC16" s="827"/>
      <c r="AM16" s="828" t="s">
        <v>265</v>
      </c>
      <c r="AN16" s="992">
        <f>+BX149*1000</f>
        <v>44250</v>
      </c>
      <c r="AO16" s="827" t="s">
        <v>273</v>
      </c>
      <c r="AP16" s="827"/>
      <c r="AQ16" s="827"/>
    </row>
    <row r="17" spans="2:74" s="3" customFormat="1" hidden="1" outlineLevel="1">
      <c r="B17" s="24" t="s">
        <v>126</v>
      </c>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T17" s="14"/>
      <c r="AU17" s="14"/>
      <c r="AV17" s="14"/>
      <c r="AW17" s="14"/>
      <c r="AX17" s="14"/>
      <c r="AY17" s="14"/>
      <c r="AZ17" s="14"/>
      <c r="BA17" s="14"/>
      <c r="BB17" s="14"/>
      <c r="BC17" s="14"/>
      <c r="BD17" s="14"/>
      <c r="BE17" s="14"/>
      <c r="BH17" s="14"/>
      <c r="BI17" s="14"/>
      <c r="BJ17" s="14"/>
      <c r="BK17" s="14"/>
      <c r="BL17" s="14"/>
      <c r="BM17" s="14"/>
      <c r="BN17" s="14"/>
      <c r="BO17" s="14"/>
      <c r="BP17" s="14"/>
      <c r="BQ17" s="14"/>
    </row>
    <row r="18" spans="2:74" ht="11.45" hidden="1" outlineLevel="1">
      <c r="B18" s="17" t="s">
        <v>274</v>
      </c>
      <c r="D18" s="10">
        <f t="shared" ref="D18:V18" si="62">+SUM(D773:D774)</f>
        <v>0</v>
      </c>
      <c r="E18" s="10">
        <f t="shared" si="62"/>
        <v>0</v>
      </c>
      <c r="F18" s="10">
        <f t="shared" si="62"/>
        <v>0</v>
      </c>
      <c r="G18" s="10">
        <f t="shared" si="62"/>
        <v>0</v>
      </c>
      <c r="H18" s="10">
        <f t="shared" si="62"/>
        <v>0</v>
      </c>
      <c r="I18" s="10">
        <f t="shared" si="62"/>
        <v>0</v>
      </c>
      <c r="J18" s="10">
        <f t="shared" si="62"/>
        <v>0</v>
      </c>
      <c r="K18" s="10">
        <f t="shared" si="62"/>
        <v>0</v>
      </c>
      <c r="L18" s="10">
        <f t="shared" si="62"/>
        <v>0</v>
      </c>
      <c r="M18" s="10">
        <f t="shared" si="62"/>
        <v>0</v>
      </c>
      <c r="N18" s="10">
        <f t="shared" si="62"/>
        <v>0</v>
      </c>
      <c r="O18" s="10">
        <f t="shared" si="62"/>
        <v>0</v>
      </c>
      <c r="P18" s="10">
        <f t="shared" si="62"/>
        <v>0</v>
      </c>
      <c r="Q18" s="10">
        <f t="shared" si="62"/>
        <v>0</v>
      </c>
      <c r="R18" s="10">
        <f t="shared" si="62"/>
        <v>0</v>
      </c>
      <c r="S18" s="10">
        <f t="shared" si="62"/>
        <v>0</v>
      </c>
      <c r="T18" s="10">
        <f t="shared" si="62"/>
        <v>0</v>
      </c>
      <c r="U18" s="10">
        <f t="shared" si="62"/>
        <v>0</v>
      </c>
      <c r="V18" s="10">
        <f t="shared" si="62"/>
        <v>0</v>
      </c>
      <c r="W18" s="10">
        <v>0</v>
      </c>
      <c r="X18" s="10">
        <v>0</v>
      </c>
      <c r="Y18" s="10">
        <v>0</v>
      </c>
      <c r="Z18" s="10">
        <v>0</v>
      </c>
      <c r="AA18" s="10">
        <v>0</v>
      </c>
      <c r="AB18" s="10">
        <v>0</v>
      </c>
      <c r="AC18" s="10">
        <v>0</v>
      </c>
      <c r="AD18" s="10">
        <v>0</v>
      </c>
      <c r="AE18" s="10">
        <v>0</v>
      </c>
      <c r="AF18" s="10">
        <v>0</v>
      </c>
      <c r="AG18" s="10">
        <v>0</v>
      </c>
      <c r="AH18" s="10">
        <v>0</v>
      </c>
      <c r="AI18" s="10">
        <v>0</v>
      </c>
      <c r="AJ18" s="10">
        <v>0</v>
      </c>
      <c r="AK18" s="10">
        <v>0</v>
      </c>
      <c r="AL18" s="10">
        <v>0</v>
      </c>
      <c r="AM18" s="10">
        <v>0</v>
      </c>
      <c r="AN18" s="10">
        <v>0</v>
      </c>
      <c r="AO18" s="10">
        <v>0</v>
      </c>
      <c r="AP18" s="10">
        <v>0</v>
      </c>
      <c r="AQ18" s="10">
        <v>0</v>
      </c>
      <c r="AR18" s="10"/>
      <c r="AS18" s="10">
        <f t="shared" ref="AS18:BE18" si="63">+SUM(AS773:AS774)</f>
        <v>0</v>
      </c>
      <c r="AT18" s="10">
        <f t="shared" si="63"/>
        <v>0</v>
      </c>
      <c r="AU18" s="10">
        <f t="shared" si="63"/>
        <v>0</v>
      </c>
      <c r="AV18" s="10">
        <f t="shared" si="63"/>
        <v>0</v>
      </c>
      <c r="AW18" s="10">
        <f t="shared" si="63"/>
        <v>0</v>
      </c>
      <c r="AX18" s="10">
        <f t="shared" si="63"/>
        <v>0</v>
      </c>
      <c r="AY18" s="10">
        <f t="shared" si="63"/>
        <v>0</v>
      </c>
      <c r="AZ18" s="10">
        <f t="shared" si="63"/>
        <v>540</v>
      </c>
      <c r="BA18" s="10">
        <f t="shared" si="63"/>
        <v>-540</v>
      </c>
      <c r="BB18" s="10">
        <f t="shared" si="63"/>
        <v>0</v>
      </c>
      <c r="BC18" s="10">
        <f t="shared" si="63"/>
        <v>0</v>
      </c>
      <c r="BD18" s="10">
        <f t="shared" si="63"/>
        <v>6643</v>
      </c>
      <c r="BE18" s="10">
        <f t="shared" si="63"/>
        <v>6707</v>
      </c>
      <c r="BG18" s="10">
        <f>+SUM(BG773:BG774)</f>
        <v>0</v>
      </c>
      <c r="BH18" s="10">
        <f>+SUM(BH773:BH774)</f>
        <v>0</v>
      </c>
      <c r="BI18" s="10">
        <f>+SUM(BI773:BI774)</f>
        <v>0</v>
      </c>
      <c r="BJ18" s="10">
        <f>+SUM(BJ773:BJ774)</f>
        <v>0</v>
      </c>
      <c r="BK18" s="10">
        <f>SUM(T18:W18)</f>
        <v>0</v>
      </c>
      <c r="BL18" s="10">
        <f>SUM(X18:AA18)</f>
        <v>0</v>
      </c>
      <c r="BM18" s="10">
        <f t="shared" ref="BM18:BM19" si="64">SUM(AB18:AE18)</f>
        <v>0</v>
      </c>
      <c r="BN18" s="10">
        <f t="shared" ref="BN18:BN19" si="65">SUM(AF18:AI18)</f>
        <v>0</v>
      </c>
      <c r="BO18" s="10">
        <f>SUM(AJ18:AM18)</f>
        <v>0</v>
      </c>
      <c r="BP18" s="10">
        <f t="shared" ref="BP18:BP19" si="66">+SUM(AN18:AQ18)</f>
        <v>0</v>
      </c>
    </row>
    <row r="19" spans="2:74" hidden="1" outlineLevel="1">
      <c r="B19" s="18" t="s">
        <v>275</v>
      </c>
      <c r="D19" s="8">
        <f>+D12+D18</f>
        <v>20910</v>
      </c>
      <c r="E19" s="8">
        <f t="shared" ref="E19:AS19" si="67">+E12+E18</f>
        <v>25253</v>
      </c>
      <c r="F19" s="8">
        <f t="shared" si="67"/>
        <v>21517</v>
      </c>
      <c r="G19" s="8">
        <f t="shared" si="67"/>
        <v>23474</v>
      </c>
      <c r="H19" s="8">
        <f t="shared" si="67"/>
        <v>21928</v>
      </c>
      <c r="I19" s="8">
        <f t="shared" si="67"/>
        <v>25826</v>
      </c>
      <c r="J19" s="8">
        <f t="shared" si="67"/>
        <v>23212</v>
      </c>
      <c r="K19" s="8">
        <f t="shared" si="67"/>
        <v>25605</v>
      </c>
      <c r="L19" s="8">
        <f t="shared" si="67"/>
        <v>24538</v>
      </c>
      <c r="M19" s="8">
        <f t="shared" si="67"/>
        <v>28918</v>
      </c>
      <c r="N19" s="8">
        <f t="shared" si="67"/>
        <v>26819</v>
      </c>
      <c r="O19" s="8">
        <f t="shared" ref="O19:V19" si="68">+O12+O18</f>
        <v>30085</v>
      </c>
      <c r="P19" s="8">
        <f t="shared" si="68"/>
        <v>29084</v>
      </c>
      <c r="Q19" s="8">
        <f t="shared" si="68"/>
        <v>32471</v>
      </c>
      <c r="R19" s="8">
        <f t="shared" si="68"/>
        <v>30571</v>
      </c>
      <c r="S19" s="8">
        <f t="shared" si="68"/>
        <v>33717</v>
      </c>
      <c r="T19" s="8">
        <f t="shared" si="68"/>
        <v>33055</v>
      </c>
      <c r="U19" s="8">
        <f t="shared" si="68"/>
        <v>36906</v>
      </c>
      <c r="V19" s="8">
        <f t="shared" si="68"/>
        <v>35021</v>
      </c>
      <c r="W19" s="8">
        <f>+W12</f>
        <v>38033</v>
      </c>
      <c r="X19" s="8">
        <f t="shared" ref="X19:Y19" si="69">+X12</f>
        <v>37154</v>
      </c>
      <c r="Y19" s="8">
        <f t="shared" si="69"/>
        <v>43076</v>
      </c>
      <c r="Z19" s="8">
        <f t="shared" ref="Z19:AA19" si="70">+Z12</f>
        <v>41706</v>
      </c>
      <c r="AA19" s="8">
        <f t="shared" si="70"/>
        <v>46152</v>
      </c>
      <c r="AB19" s="8">
        <f t="shared" ref="AB19:AE19" si="71">+AB12</f>
        <v>45317</v>
      </c>
      <c r="AC19" s="8">
        <f t="shared" ref="AC19:AD19" si="72">+AC12</f>
        <v>51728</v>
      </c>
      <c r="AD19" s="8">
        <f t="shared" si="72"/>
        <v>49360</v>
      </c>
      <c r="AE19" s="8">
        <f t="shared" si="71"/>
        <v>51865</v>
      </c>
      <c r="AF19" s="8">
        <f t="shared" ref="AF19:AI19" si="73">+AF12</f>
        <v>50122</v>
      </c>
      <c r="AG19" s="8">
        <f t="shared" si="73"/>
        <v>52747</v>
      </c>
      <c r="AH19" s="8">
        <f t="shared" si="73"/>
        <v>52857</v>
      </c>
      <c r="AI19" s="8">
        <f t="shared" si="73"/>
        <v>56189</v>
      </c>
      <c r="AJ19" s="8">
        <f t="shared" ref="AJ19:AM19" si="74">+AJ12</f>
        <v>56517</v>
      </c>
      <c r="AK19" s="8">
        <f t="shared" si="74"/>
        <v>62020</v>
      </c>
      <c r="AL19" s="8">
        <f t="shared" si="74"/>
        <v>61858</v>
      </c>
      <c r="AM19" s="8">
        <f t="shared" si="74"/>
        <v>64727</v>
      </c>
      <c r="AN19" s="8">
        <f t="shared" ref="AN19:AQ19" si="75">+AN12</f>
        <v>65306.668670161642</v>
      </c>
      <c r="AO19" s="8">
        <f t="shared" si="75"/>
        <v>70154.988371963365</v>
      </c>
      <c r="AP19" s="8">
        <f t="shared" si="75"/>
        <v>71055.656578552866</v>
      </c>
      <c r="AQ19" s="8">
        <f t="shared" si="75"/>
        <v>74694.533091599718</v>
      </c>
      <c r="AR19" s="8"/>
      <c r="AS19" s="8">
        <f t="shared" si="67"/>
        <v>39788</v>
      </c>
      <c r="AT19" s="8">
        <f t="shared" ref="AT19" si="76">+AT12+AT18</f>
        <v>44282</v>
      </c>
      <c r="AU19" s="8">
        <f t="shared" ref="AU19" si="77">+AU12+AU18</f>
        <v>51122</v>
      </c>
      <c r="AV19" s="8">
        <f t="shared" ref="AV19" si="78">+AV12+AV18</f>
        <v>60420</v>
      </c>
      <c r="AW19" s="8">
        <f t="shared" ref="AW19" si="79">+AW12+AW18</f>
        <v>58437</v>
      </c>
      <c r="AX19" s="8">
        <f t="shared" ref="AX19" si="80">+AX12+AX18</f>
        <v>62484</v>
      </c>
      <c r="AY19" s="8">
        <f t="shared" ref="AY19" si="81">+AY12+AY18</f>
        <v>69943</v>
      </c>
      <c r="AZ19" s="8">
        <f t="shared" ref="AZ19" si="82">+AZ12+AZ18</f>
        <v>74263</v>
      </c>
      <c r="BA19" s="8">
        <f t="shared" ref="BA19" si="83">+BA12+BA18</f>
        <v>77309</v>
      </c>
      <c r="BB19" s="8">
        <f t="shared" ref="BB19" si="84">+BB12+BB18</f>
        <v>86833</v>
      </c>
      <c r="BC19" s="8">
        <f t="shared" ref="BC19" si="85">+BC12+BC18</f>
        <v>93580</v>
      </c>
      <c r="BD19" s="8">
        <f t="shared" ref="BD19" si="86">+BD12+BD18</f>
        <v>91963</v>
      </c>
      <c r="BE19" s="8">
        <f t="shared" ref="BE19:BG19" si="87">+BE12+BE18</f>
        <v>96657</v>
      </c>
      <c r="BG19" s="8">
        <f t="shared" si="87"/>
        <v>91154</v>
      </c>
      <c r="BH19" s="8">
        <f t="shared" ref="BH19" si="88">+BH12+BH18</f>
        <v>96571</v>
      </c>
      <c r="BI19" s="8">
        <f t="shared" ref="BI19:BJ19" si="89">+BI12+BI18</f>
        <v>110360</v>
      </c>
      <c r="BJ19" s="8">
        <f t="shared" si="89"/>
        <v>125843</v>
      </c>
      <c r="BK19" s="8">
        <f>+BK12</f>
        <v>143015</v>
      </c>
      <c r="BL19" s="8">
        <f>SUM(X19:AA19)</f>
        <v>168088</v>
      </c>
      <c r="BM19" s="8">
        <f t="shared" si="64"/>
        <v>198270</v>
      </c>
      <c r="BN19" s="8">
        <f t="shared" si="65"/>
        <v>211915</v>
      </c>
      <c r="BO19" s="8">
        <f>SUM(AJ19:AM19)</f>
        <v>245122</v>
      </c>
      <c r="BP19" s="8">
        <f t="shared" si="66"/>
        <v>281211.84671227756</v>
      </c>
    </row>
    <row r="20" spans="2:74" hidden="1" outlineLevel="1">
      <c r="B20" s="20" t="s">
        <v>113</v>
      </c>
      <c r="H20" s="14">
        <f>IFERROR(H19/D19-1,"n/a ")</f>
        <v>4.8684839789574275E-2</v>
      </c>
      <c r="I20" s="14">
        <f t="shared" ref="I20" si="90">IFERROR(I19/E19-1,"n/a ")</f>
        <v>2.2690373420979792E-2</v>
      </c>
      <c r="J20" s="14">
        <f t="shared" ref="J20" si="91">IFERROR(J19/F19-1,"n/a ")</f>
        <v>7.8774922154575489E-2</v>
      </c>
      <c r="K20" s="14">
        <f t="shared" ref="K20" si="92">IFERROR(K19/G19-1,"n/a ")</f>
        <v>9.0781289937803544E-2</v>
      </c>
      <c r="L20" s="14">
        <f t="shared" ref="L20" si="93">IFERROR(L19/H19-1,"n/a ")</f>
        <v>0.11902590295512594</v>
      </c>
      <c r="M20" s="14">
        <f t="shared" ref="M20" si="94">IFERROR(M19/I19-1,"n/a ")</f>
        <v>0.11972430883605667</v>
      </c>
      <c r="N20" s="14">
        <f t="shared" ref="N20" si="95">IFERROR(N19/J19-1,"n/a ")</f>
        <v>0.15539376184732046</v>
      </c>
      <c r="O20" s="14">
        <f t="shared" ref="O20" si="96">IFERROR(O19/K19-1,"n/a ")</f>
        <v>0.17496582698691654</v>
      </c>
      <c r="P20" s="14">
        <f t="shared" ref="P20" si="97">IFERROR(P19/L19-1,"n/a ")</f>
        <v>0.18526367267095933</v>
      </c>
      <c r="Q20" s="14">
        <f t="shared" ref="Q20" si="98">IFERROR(Q19/M19-1,"n/a ")</f>
        <v>0.12286465177398154</v>
      </c>
      <c r="R20" s="14">
        <f t="shared" ref="R20" si="99">IFERROR(R19/N19-1,"n/a ")</f>
        <v>0.13990081658525666</v>
      </c>
      <c r="S20" s="14">
        <f t="shared" ref="S20" si="100">IFERROR(S19/O19-1,"n/a ")</f>
        <v>0.12072461359481479</v>
      </c>
      <c r="T20" s="14">
        <f t="shared" ref="T20" si="101">IFERROR(T19/P19-1,"n/a ")</f>
        <v>0.13653555219364599</v>
      </c>
      <c r="U20" s="14">
        <f t="shared" ref="U20" si="102">IFERROR(U19/Q19-1,"n/a ")</f>
        <v>0.13658341289150311</v>
      </c>
      <c r="V20" s="14">
        <f t="shared" ref="V20:W20" si="103">IFERROR(V19/R19-1,"n/a ")</f>
        <v>0.14556278826338698</v>
      </c>
      <c r="W20" s="14">
        <f t="shared" si="103"/>
        <v>0.12800664353293589</v>
      </c>
      <c r="X20" s="14">
        <f t="shared" ref="X20" si="104">IFERROR(X19/T19-1,"n/a ")</f>
        <v>0.12400544546967174</v>
      </c>
      <c r="Y20" s="14">
        <f t="shared" ref="Y20" si="105">IFERROR(Y19/U19-1,"n/a ")</f>
        <v>0.16718148810491518</v>
      </c>
      <c r="Z20" s="14">
        <f t="shared" ref="Z20" si="106">IFERROR(Z19/V19-1,"n/a ")</f>
        <v>0.19088546871876866</v>
      </c>
      <c r="AA20" s="14">
        <f t="shared" ref="AA20" si="107">IFERROR(AA19/W19-1,"n/a ")</f>
        <v>0.21347251071437956</v>
      </c>
      <c r="AB20" s="14">
        <f t="shared" ref="AB20" si="108">IFERROR(AB19/X19-1,"n/a ")</f>
        <v>0.21970716477364483</v>
      </c>
      <c r="AC20" s="14">
        <f t="shared" ref="AC20" si="109">IFERROR(AC19/Y19-1,"n/a ")</f>
        <v>0.2008543040208004</v>
      </c>
      <c r="AD20" s="14">
        <f t="shared" ref="AD20" si="110">IFERROR(AD19/Z19-1,"n/a ")</f>
        <v>0.18352275451973332</v>
      </c>
      <c r="AE20" s="14">
        <f t="shared" ref="AE20" si="111">IFERROR(AE19/AA19-1,"n/a ")</f>
        <v>0.12378661813139202</v>
      </c>
      <c r="AF20" s="14">
        <f t="shared" ref="AF20" si="112">IFERROR(AF19/AB19-1,"n/a ")</f>
        <v>0.1060308493501334</v>
      </c>
      <c r="AG20" s="14">
        <f t="shared" ref="AG20" si="113">IFERROR(AG19/AC19-1,"n/a ")</f>
        <v>1.9699195793380753E-2</v>
      </c>
      <c r="AH20" s="14">
        <f t="shared" ref="AH20" si="114">IFERROR(AH19/AD19-1,"n/a ")</f>
        <v>7.0846839546191198E-2</v>
      </c>
      <c r="AI20" s="14">
        <f t="shared" ref="AI20" si="115">IFERROR(AI19/AE19-1,"n/a ")</f>
        <v>8.3370288248336921E-2</v>
      </c>
      <c r="AJ20" s="14">
        <f t="shared" ref="AJ20" si="116">IFERROR(AJ19/AF19-1,"n/a ")</f>
        <v>0.12758868361198683</v>
      </c>
      <c r="AK20" s="14">
        <f t="shared" ref="AK20" si="117">IFERROR(AK19/AG19-1,"n/a ")</f>
        <v>0.17580146738203117</v>
      </c>
      <c r="AL20" s="14">
        <f t="shared" ref="AL20" si="118">IFERROR(AL19/AH19-1,"n/a ")</f>
        <v>0.17028964943148495</v>
      </c>
      <c r="AM20" s="14">
        <f t="shared" ref="AM20" si="119">IFERROR(AM19/AI19-1,"n/a ")</f>
        <v>0.15195144957198026</v>
      </c>
      <c r="AN20" s="14">
        <f t="shared" ref="AN20" si="120">IFERROR(AN19/AJ19-1,"n/a ")</f>
        <v>0.15552256259464659</v>
      </c>
      <c r="AO20" s="14">
        <f t="shared" ref="AO20" si="121">IFERROR(AO19/AK19-1,"n/a ")</f>
        <v>0.1311671778775132</v>
      </c>
      <c r="AP20" s="14">
        <f t="shared" ref="AP20" si="122">IFERROR(AP19/AL19-1,"n/a ")</f>
        <v>0.14868984736902036</v>
      </c>
      <c r="AQ20" s="14">
        <f t="shared" ref="AQ20" si="123">IFERROR(AQ19/AM19-1,"n/a ")</f>
        <v>0.1539934353762682</v>
      </c>
      <c r="AR20" s="3"/>
      <c r="AS20" s="3"/>
      <c r="AT20" s="14">
        <f>IFERROR(AT19/AS19-1,"n/a ")</f>
        <v>0.11294862772695291</v>
      </c>
      <c r="AU20" s="14">
        <f t="shared" ref="AU20" si="124">IFERROR(AU19/AT19-1,"n/a ")</f>
        <v>0.15446456799602548</v>
      </c>
      <c r="AV20" s="14">
        <f t="shared" ref="AV20" si="125">IFERROR(AV19/AU19-1,"n/a ")</f>
        <v>0.18187864324556946</v>
      </c>
      <c r="AW20" s="14">
        <f t="shared" ref="AW20" si="126">IFERROR(AW19/AV19-1,"n/a ")</f>
        <v>-3.2820258192651441E-2</v>
      </c>
      <c r="AX20" s="14">
        <f t="shared" ref="AX20" si="127">IFERROR(AX19/AW19-1,"n/a ")</f>
        <v>6.9254068484008391E-2</v>
      </c>
      <c r="AY20" s="14">
        <f t="shared" ref="AY20" si="128">IFERROR(AY19/AX19-1,"n/a ")</f>
        <v>0.11937455988733126</v>
      </c>
      <c r="AZ20" s="14">
        <f t="shared" ref="AZ20" si="129">IFERROR(AZ19/AY19-1,"n/a ")</f>
        <v>6.1764579729208124E-2</v>
      </c>
      <c r="BA20" s="14">
        <f t="shared" ref="BA20" si="130">IFERROR(BA19/AZ19-1,"n/a ")</f>
        <v>4.1016387703163071E-2</v>
      </c>
      <c r="BB20" s="14">
        <f t="shared" ref="BB20" si="131">IFERROR(BB19/BA19-1,"n/a ")</f>
        <v>0.12319393602297279</v>
      </c>
      <c r="BC20" s="14">
        <f t="shared" ref="BC20" si="132">IFERROR(BC19/BB19-1,"n/a ")</f>
        <v>7.7700874091647165E-2</v>
      </c>
      <c r="BD20" s="14">
        <f t="shared" ref="BD20" si="133">IFERROR(BD19/BC19-1,"n/a ")</f>
        <v>-1.727933319085273E-2</v>
      </c>
      <c r="BE20" s="14">
        <f t="shared" ref="BE20" si="134">IFERROR(BE19/BD19-1,"n/a ")</f>
        <v>5.1042266998684305E-2</v>
      </c>
      <c r="BF20" s="3"/>
      <c r="BG20" s="3"/>
      <c r="BH20" s="14">
        <f t="shared" ref="BH20" si="135">IFERROR(BH19/BG19-1,"n/a ")</f>
        <v>5.9426903920837271E-2</v>
      </c>
      <c r="BI20" s="14">
        <f t="shared" ref="BI20" si="136">IFERROR(BI19/BH19-1,"n/a ")</f>
        <v>0.14278613662486661</v>
      </c>
      <c r="BJ20" s="14">
        <f t="shared" ref="BJ20" si="137">IFERROR(BJ19/BI19-1,"n/a ")</f>
        <v>0.14029539688292858</v>
      </c>
      <c r="BK20" s="14">
        <f t="shared" ref="BK20" si="138">IFERROR(BK19/BJ19-1,"n/a ")</f>
        <v>0.13645574247276371</v>
      </c>
      <c r="BL20" s="14">
        <f t="shared" ref="BL20:BP20" si="139">IFERROR(BL19/BK19-1,"n/a ")</f>
        <v>0.17531727441177503</v>
      </c>
      <c r="BM20" s="14">
        <f t="shared" si="139"/>
        <v>0.17956070629670173</v>
      </c>
      <c r="BN20" s="14">
        <f t="shared" si="139"/>
        <v>6.8820295556564215E-2</v>
      </c>
      <c r="BO20" s="14">
        <f t="shared" si="139"/>
        <v>0.1566996201307127</v>
      </c>
      <c r="BP20" s="14">
        <f t="shared" si="139"/>
        <v>0.14723218116806147</v>
      </c>
    </row>
    <row r="21" spans="2:74" hidden="1" outlineLevel="1">
      <c r="BD21" s="8"/>
      <c r="BE21" s="9"/>
    </row>
    <row r="22" spans="2:74" collapsed="1">
      <c r="B22" t="s">
        <v>276</v>
      </c>
      <c r="D22" s="8">
        <f t="shared" ref="D22:V22" si="140">+D746</f>
        <v>13703</v>
      </c>
      <c r="E22" s="8">
        <f t="shared" si="140"/>
        <v>15381</v>
      </c>
      <c r="F22" s="8">
        <f t="shared" si="140"/>
        <v>13795</v>
      </c>
      <c r="G22" s="8">
        <f t="shared" si="140"/>
        <v>15495</v>
      </c>
      <c r="H22" s="8">
        <f t="shared" si="140"/>
        <v>14084</v>
      </c>
      <c r="I22" s="8">
        <f t="shared" si="140"/>
        <v>15925</v>
      </c>
      <c r="J22" s="8">
        <f t="shared" si="140"/>
        <v>15152</v>
      </c>
      <c r="K22" s="8">
        <f t="shared" si="140"/>
        <v>17149</v>
      </c>
      <c r="L22" s="8">
        <f t="shared" si="140"/>
        <v>16260</v>
      </c>
      <c r="M22" s="8">
        <f t="shared" si="140"/>
        <v>17854</v>
      </c>
      <c r="N22" s="8">
        <f t="shared" si="140"/>
        <v>17550</v>
      </c>
      <c r="O22" s="8">
        <f t="shared" si="140"/>
        <v>20343</v>
      </c>
      <c r="P22" s="8">
        <f t="shared" si="140"/>
        <v>19179</v>
      </c>
      <c r="Q22" s="8">
        <f t="shared" si="140"/>
        <v>20048</v>
      </c>
      <c r="R22" s="8">
        <f t="shared" si="140"/>
        <v>20401</v>
      </c>
      <c r="S22" s="8">
        <f t="shared" si="140"/>
        <v>23305</v>
      </c>
      <c r="T22" s="8">
        <f t="shared" si="140"/>
        <v>22649</v>
      </c>
      <c r="U22" s="8">
        <f t="shared" si="140"/>
        <v>24548</v>
      </c>
      <c r="V22" s="8">
        <f t="shared" si="140"/>
        <v>24046</v>
      </c>
      <c r="W22" s="8">
        <f t="shared" ref="W22:X22" si="141">+W746</f>
        <v>25694</v>
      </c>
      <c r="X22" s="832">
        <f t="shared" si="141"/>
        <v>26152</v>
      </c>
      <c r="Y22" s="8">
        <f t="shared" ref="Y22:Z22" si="142">+Y746</f>
        <v>28882</v>
      </c>
      <c r="Z22" s="8">
        <f t="shared" si="142"/>
        <v>28661</v>
      </c>
      <c r="AA22" s="8">
        <f t="shared" ref="AA22:AB22" si="143">+AA746</f>
        <v>32161</v>
      </c>
      <c r="AB22" s="8">
        <f t="shared" si="143"/>
        <v>31671</v>
      </c>
      <c r="AC22" s="8">
        <f t="shared" ref="AC22:AD22" si="144">+AC746</f>
        <v>34768</v>
      </c>
      <c r="AD22" s="8">
        <f t="shared" si="144"/>
        <v>33745</v>
      </c>
      <c r="AE22" s="8">
        <f t="shared" ref="AE22:AG22" si="145">+AE746</f>
        <v>35436</v>
      </c>
      <c r="AF22" s="8">
        <f t="shared" si="145"/>
        <v>34670</v>
      </c>
      <c r="AG22" s="8">
        <f t="shared" si="145"/>
        <v>35259</v>
      </c>
      <c r="AH22" s="8">
        <f t="shared" ref="AH22:AI22" si="146">+AH746</f>
        <v>36729</v>
      </c>
      <c r="AI22" s="8">
        <f t="shared" si="146"/>
        <v>39394</v>
      </c>
      <c r="AJ22" s="8">
        <f t="shared" ref="AJ22" si="147">+AJ746</f>
        <v>40215</v>
      </c>
      <c r="AK22" s="61">
        <f>+AK746+580</f>
        <v>42977</v>
      </c>
      <c r="AL22" s="61">
        <f>+AL746+670</f>
        <v>44023</v>
      </c>
      <c r="AM22" s="61">
        <f>+AM746+690</f>
        <v>45733</v>
      </c>
      <c r="AN22" s="8">
        <f t="shared" ref="AN22:AQ22" si="148">+AN26*AN12</f>
        <v>46632.606526419113</v>
      </c>
      <c r="AO22" s="8">
        <f t="shared" si="148"/>
        <v>48789.559274571788</v>
      </c>
      <c r="AP22" s="8">
        <f t="shared" si="148"/>
        <v>50746.412292172761</v>
      </c>
      <c r="AQ22" s="8">
        <f t="shared" si="148"/>
        <v>52962.318112791872</v>
      </c>
      <c r="AR22" s="8"/>
      <c r="AS22" s="8">
        <f t="shared" ref="AS22:BE22" si="149">+AS746</f>
        <v>33757</v>
      </c>
      <c r="AT22" s="8">
        <f t="shared" si="149"/>
        <v>36632</v>
      </c>
      <c r="AU22" s="8">
        <f t="shared" si="149"/>
        <v>40429</v>
      </c>
      <c r="AV22" s="8">
        <f t="shared" si="149"/>
        <v>48822</v>
      </c>
      <c r="AW22" s="8">
        <f t="shared" si="149"/>
        <v>46282</v>
      </c>
      <c r="AX22" s="8">
        <f t="shared" si="149"/>
        <v>50089</v>
      </c>
      <c r="AY22" s="8">
        <f t="shared" si="149"/>
        <v>54366</v>
      </c>
      <c r="AZ22" s="8">
        <f t="shared" si="149"/>
        <v>56193</v>
      </c>
      <c r="BA22" s="8">
        <f t="shared" si="149"/>
        <v>57464</v>
      </c>
      <c r="BB22" s="8">
        <f t="shared" si="149"/>
        <v>59755</v>
      </c>
      <c r="BC22" s="8">
        <f t="shared" si="149"/>
        <v>60542</v>
      </c>
      <c r="BD22" s="8">
        <f t="shared" si="149"/>
        <v>52540</v>
      </c>
      <c r="BE22" s="8">
        <f t="shared" si="149"/>
        <v>55689</v>
      </c>
      <c r="BF22" s="8"/>
      <c r="BG22" s="8">
        <f>+BG746</f>
        <v>58374</v>
      </c>
      <c r="BH22" s="8">
        <f>+BH746</f>
        <v>62310</v>
      </c>
      <c r="BI22" s="8">
        <f>+BI746</f>
        <v>72007</v>
      </c>
      <c r="BJ22" s="8">
        <f>+BJ746</f>
        <v>82933</v>
      </c>
      <c r="BK22" s="8">
        <f>SUM(T22:W22)</f>
        <v>96937</v>
      </c>
      <c r="BL22" s="8">
        <f>SUM(X22:AA22)</f>
        <v>115856</v>
      </c>
      <c r="BM22" s="8">
        <f>SUM(AB22:AE22)</f>
        <v>135620</v>
      </c>
      <c r="BN22" s="8">
        <f>SUM(AF22:AI22)</f>
        <v>146052</v>
      </c>
      <c r="BO22" s="8">
        <f>SUM(AJ22:AM22)</f>
        <v>172948</v>
      </c>
      <c r="BP22" s="8">
        <f>+SUM(AN22:AQ22)</f>
        <v>199130.89620595553</v>
      </c>
      <c r="BR22">
        <v>42849.079650510845</v>
      </c>
      <c r="BS22">
        <v>43587.971768258889</v>
      </c>
      <c r="BT22">
        <v>46670.621749271486</v>
      </c>
      <c r="BV22">
        <v>173322.67316804122</v>
      </c>
    </row>
    <row r="23" spans="2:74" s="3" customFormat="1">
      <c r="B23" s="13" t="s">
        <v>113</v>
      </c>
      <c r="D23" s="228"/>
      <c r="E23" s="228"/>
      <c r="F23" s="228"/>
      <c r="G23" s="228"/>
      <c r="H23" s="228">
        <f>IFERROR(H22/D22-1,"n/a ")</f>
        <v>2.7804130482376177E-2</v>
      </c>
      <c r="I23" s="228">
        <f t="shared" ref="I23" si="150">IFERROR(I22/E22-1,"n/a ")</f>
        <v>3.536831155321507E-2</v>
      </c>
      <c r="J23" s="228">
        <f t="shared" ref="J23" si="151">IFERROR(J22/F22-1,"n/a ")</f>
        <v>9.8368974266038522E-2</v>
      </c>
      <c r="K23" s="228">
        <f t="shared" ref="K23" si="152">IFERROR(K22/G22-1,"n/a ")</f>
        <v>0.10674411100354964</v>
      </c>
      <c r="L23" s="228">
        <f t="shared" ref="L23" si="153">IFERROR(L22/H22-1,"n/a ")</f>
        <v>0.154501562056234</v>
      </c>
      <c r="M23" s="228">
        <f t="shared" ref="M23" si="154">IFERROR(M22/I22-1,"n/a ")</f>
        <v>0.12113029827315547</v>
      </c>
      <c r="N23" s="228">
        <f t="shared" ref="N23" si="155">IFERROR(N22/J22-1,"n/a ")</f>
        <v>0.15826293558606119</v>
      </c>
      <c r="O23" s="228">
        <f t="shared" ref="O23" si="156">IFERROR(O22/K22-1,"n/a ")</f>
        <v>0.18624992710945243</v>
      </c>
      <c r="P23" s="228">
        <f t="shared" ref="P23" si="157">IFERROR(P22/L22-1,"n/a ")</f>
        <v>0.17952029520295198</v>
      </c>
      <c r="Q23" s="228">
        <f t="shared" ref="Q23" si="158">IFERROR(Q22/M22-1,"n/a ")</f>
        <v>0.12288562787050528</v>
      </c>
      <c r="R23" s="228">
        <f t="shared" ref="R23" si="159">IFERROR(R22/N22-1,"n/a ")</f>
        <v>0.16245014245014255</v>
      </c>
      <c r="S23" s="228">
        <f t="shared" ref="S23" si="160">IFERROR(S22/O22-1,"n/a ")</f>
        <v>0.14560291009192361</v>
      </c>
      <c r="T23" s="228">
        <f t="shared" ref="T23" si="161">IFERROR(T22/P22-1,"n/a ")</f>
        <v>0.1809270556337661</v>
      </c>
      <c r="U23" s="228">
        <f t="shared" ref="U23" si="162">IFERROR(U22/Q22-1,"n/a ")</f>
        <v>0.22446129289704708</v>
      </c>
      <c r="V23" s="228">
        <f t="shared" ref="V23" si="163">IFERROR(V22/R22-1,"n/a ")</f>
        <v>0.17866771236704082</v>
      </c>
      <c r="W23" s="228">
        <f t="shared" ref="W23" si="164">IFERROR(W22/S22-1,"n/a ")</f>
        <v>0.10251019094614899</v>
      </c>
      <c r="X23" s="228">
        <f t="shared" ref="X23" si="165">IFERROR(X22/T22-1,"n/a ")</f>
        <v>0.15466466510662724</v>
      </c>
      <c r="Y23" s="228">
        <f t="shared" ref="Y23" si="166">IFERROR(Y22/U22-1,"n/a ")</f>
        <v>0.17655206126772049</v>
      </c>
      <c r="Z23" s="228">
        <f t="shared" ref="Z23" si="167">IFERROR(Z22/V22-1,"n/a ")</f>
        <v>0.19192381269233971</v>
      </c>
      <c r="AA23" s="228">
        <f t="shared" ref="AA23" si="168">IFERROR(AA22/W22-1,"n/a ")</f>
        <v>0.25169300225733626</v>
      </c>
      <c r="AB23" s="228">
        <f t="shared" ref="AB23" si="169">IFERROR(AB22/X22-1,"n/a ")</f>
        <v>0.2110354848577547</v>
      </c>
      <c r="AC23" s="228">
        <f t="shared" ref="AC23" si="170">IFERROR(AC22/Y22-1,"n/a ")</f>
        <v>0.20379475105602096</v>
      </c>
      <c r="AD23" s="228">
        <f t="shared" ref="AD23" si="171">IFERROR(AD22/Z22-1,"n/a ")</f>
        <v>0.17738390146889493</v>
      </c>
      <c r="AE23" s="228">
        <f t="shared" ref="AE23" si="172">IFERROR(AE22/AA22-1,"n/a ")</f>
        <v>0.10183141071484103</v>
      </c>
      <c r="AF23" s="228">
        <f t="shared" ref="AF23" si="173">IFERROR(AF22/AB22-1,"n/a ")</f>
        <v>9.4692305263490262E-2</v>
      </c>
      <c r="AG23" s="228">
        <f t="shared" ref="AG23" si="174">IFERROR(AG22/AC22-1,"n/a ")</f>
        <v>1.4122181316152727E-2</v>
      </c>
      <c r="AH23" s="228">
        <f t="shared" ref="AH23" si="175">IFERROR(AH22/AD22-1,"n/a ")</f>
        <v>8.8427915246703126E-2</v>
      </c>
      <c r="AI23" s="228">
        <f t="shared" ref="AI23" si="176">IFERROR(AI22/AE22-1,"n/a ")</f>
        <v>0.11169432215825714</v>
      </c>
      <c r="AJ23" s="228">
        <f t="shared" ref="AJ23:AK23" si="177">IFERROR(AJ22/AF22-1,"n/a ")</f>
        <v>0.15993654456302275</v>
      </c>
      <c r="AK23" s="228">
        <f t="shared" si="177"/>
        <v>0.21889446666099444</v>
      </c>
      <c r="AL23" s="228">
        <f t="shared" ref="AL23" si="178">IFERROR(AL22/AH22-1,"n/a ")</f>
        <v>0.1985896702877834</v>
      </c>
      <c r="AM23" s="228">
        <f t="shared" ref="AM23" si="179">IFERROR(AM22/AI22-1,"n/a ")</f>
        <v>0.16091282936487783</v>
      </c>
      <c r="AN23" s="228">
        <f t="shared" ref="AN23" si="180">IFERROR(AN22/AJ22-1,"n/a ")</f>
        <v>0.15958240771898824</v>
      </c>
      <c r="AO23" s="228">
        <f t="shared" ref="AO23" si="181">IFERROR(AO22/AK22-1,"n/a ")</f>
        <v>0.13524813911096145</v>
      </c>
      <c r="AP23" s="228">
        <f t="shared" ref="AP23" si="182">IFERROR(AP22/AL22-1,"n/a ")</f>
        <v>0.15272499130392658</v>
      </c>
      <c r="AQ23" s="228">
        <f t="shared" ref="AQ23" si="183">IFERROR(AQ22/AM22-1,"n/a ")</f>
        <v>0.15807662110055909</v>
      </c>
      <c r="AR23" s="228"/>
      <c r="AS23" s="228"/>
      <c r="AT23" s="228">
        <f>IFERROR(AT22/AS22-1,"n/a ")</f>
        <v>8.5167520810498498E-2</v>
      </c>
      <c r="AU23" s="228">
        <f t="shared" ref="AU23" si="184">IFERROR(AU22/AT22-1,"n/a ")</f>
        <v>0.10365254422362957</v>
      </c>
      <c r="AV23" s="228">
        <f t="shared" ref="AV23" si="185">IFERROR(AV22/AU22-1,"n/a ")</f>
        <v>0.20759850602290442</v>
      </c>
      <c r="AW23" s="228">
        <f t="shared" ref="AW23" si="186">IFERROR(AW22/AV22-1,"n/a ")</f>
        <v>-5.2025726107082892E-2</v>
      </c>
      <c r="AX23" s="228">
        <f t="shared" ref="AX23" si="187">IFERROR(AX22/AW22-1,"n/a ")</f>
        <v>8.2256600838338967E-2</v>
      </c>
      <c r="AY23" s="228">
        <f t="shared" ref="AY23" si="188">IFERROR(AY22/AX22-1,"n/a ")</f>
        <v>8.5388009343368765E-2</v>
      </c>
      <c r="AZ23" s="228">
        <f t="shared" ref="AZ23" si="189">IFERROR(AZ22/AY22-1,"n/a ")</f>
        <v>3.3605562299966918E-2</v>
      </c>
      <c r="BA23" s="228">
        <f t="shared" ref="BA23" si="190">IFERROR(BA22/AZ22-1,"n/a ")</f>
        <v>2.2618475610841182E-2</v>
      </c>
      <c r="BB23" s="228">
        <f t="shared" ref="BB23" si="191">IFERROR(BB22/BA22-1,"n/a ")</f>
        <v>3.9868439370736475E-2</v>
      </c>
      <c r="BC23" s="228">
        <f t="shared" ref="BC23" si="192">IFERROR(BC22/BB22-1,"n/a ")</f>
        <v>1.3170445987783497E-2</v>
      </c>
      <c r="BD23" s="228">
        <f t="shared" ref="BD23" si="193">IFERROR(BD22/BC22-1,"n/a ")</f>
        <v>-0.13217270655082425</v>
      </c>
      <c r="BE23" s="228">
        <f t="shared" ref="BE23" si="194">IFERROR(BE22/BD22-1,"n/a ")</f>
        <v>5.9935287400076032E-2</v>
      </c>
      <c r="BF23" s="228"/>
      <c r="BG23" s="829">
        <f t="shared" ref="BG23:BG25" si="195">+BD23</f>
        <v>-0.13217270655082425</v>
      </c>
      <c r="BH23" s="228">
        <f t="shared" ref="BH23" si="196">IFERROR(BH22/BG22-1,"n/a ")</f>
        <v>6.7427279268167384E-2</v>
      </c>
      <c r="BI23" s="228">
        <f t="shared" ref="BI23" si="197">IFERROR(BI22/BH22-1,"n/a ")</f>
        <v>0.15562510030492693</v>
      </c>
      <c r="BJ23" s="228">
        <f t="shared" ref="BJ23:BM23" si="198">IFERROR(BJ22/BI22-1,"n/a ")</f>
        <v>0.15173524796200377</v>
      </c>
      <c r="BK23" s="228">
        <f t="shared" si="198"/>
        <v>0.16885919959485363</v>
      </c>
      <c r="BL23" s="228">
        <f t="shared" si="198"/>
        <v>0.19516799570855303</v>
      </c>
      <c r="BM23" s="228">
        <f t="shared" si="198"/>
        <v>0.17059107858030664</v>
      </c>
      <c r="BN23" s="228">
        <f t="shared" ref="BN23" si="199">IFERROR(BN22/BM22-1,"n/a ")</f>
        <v>7.6920808140392261E-2</v>
      </c>
      <c r="BO23" s="228">
        <f t="shared" ref="BO23" si="200">IFERROR(BO22/BN22-1,"n/a ")</f>
        <v>0.1841535891326378</v>
      </c>
      <c r="BP23" s="228">
        <f t="shared" ref="BP23" si="201">IFERROR(BP22/BO22-1,"n/a ")</f>
        <v>0.15139172587110306</v>
      </c>
    </row>
    <row r="24" spans="2:74" s="833" customFormat="1">
      <c r="B24" s="13" t="s">
        <v>270</v>
      </c>
      <c r="D24" s="834"/>
      <c r="E24" s="834"/>
      <c r="F24" s="834"/>
      <c r="G24" s="834"/>
      <c r="H24" s="835" t="s">
        <v>271</v>
      </c>
      <c r="I24" s="835" t="s">
        <v>271</v>
      </c>
      <c r="J24" s="835" t="s">
        <v>271</v>
      </c>
      <c r="K24" s="835" t="s">
        <v>271</v>
      </c>
      <c r="L24" s="834">
        <v>0.15</v>
      </c>
      <c r="M24" s="834">
        <v>0.12</v>
      </c>
      <c r="N24" s="834">
        <v>0.13</v>
      </c>
      <c r="O24" s="834">
        <v>0.16</v>
      </c>
      <c r="P24" s="834">
        <v>0.18</v>
      </c>
      <c r="Q24" s="834">
        <v>0.12</v>
      </c>
      <c r="R24" s="834">
        <v>0.18</v>
      </c>
      <c r="S24" s="834">
        <v>0.17</v>
      </c>
      <c r="T24" s="834">
        <v>0.2</v>
      </c>
      <c r="U24" s="834">
        <v>0.25</v>
      </c>
      <c r="V24" s="834">
        <v>0.2</v>
      </c>
      <c r="W24" s="836">
        <v>0.12</v>
      </c>
      <c r="X24" s="836">
        <v>0.15</v>
      </c>
      <c r="Y24" s="834">
        <v>0.16</v>
      </c>
      <c r="Z24" s="834">
        <v>0.16</v>
      </c>
      <c r="AA24" s="834">
        <v>0.2</v>
      </c>
      <c r="AB24" s="834">
        <v>0.19</v>
      </c>
      <c r="AC24" s="834">
        <v>0.19</v>
      </c>
      <c r="AD24" s="834">
        <v>0.21</v>
      </c>
      <c r="AE24" s="834">
        <v>0.15</v>
      </c>
      <c r="AF24" s="834">
        <v>0.16</v>
      </c>
      <c r="AG24" s="834">
        <v>0.08</v>
      </c>
      <c r="AH24" s="834">
        <v>0.13</v>
      </c>
      <c r="AI24" s="836">
        <v>0.13</v>
      </c>
      <c r="AJ24" s="834">
        <v>0.15</v>
      </c>
      <c r="AK24" s="834">
        <f>+AK23-2%</f>
        <v>0.19889446666099445</v>
      </c>
      <c r="AL24" s="834">
        <f t="shared" ref="AL24:AM24" si="202">+AL23-2%</f>
        <v>0.17858967028778341</v>
      </c>
      <c r="AM24" s="834">
        <f t="shared" si="202"/>
        <v>0.14091282936487784</v>
      </c>
      <c r="AN24" s="834">
        <f t="shared" ref="AN24:AQ24" si="203">+AN23+AN14-AN13</f>
        <v>0.15346810058839</v>
      </c>
      <c r="AO24" s="834">
        <f t="shared" si="203"/>
        <v>0.10997465056018219</v>
      </c>
      <c r="AP24" s="834">
        <f t="shared" si="203"/>
        <v>0.13370945620686658</v>
      </c>
      <c r="AQ24" s="834">
        <f t="shared" si="203"/>
        <v>0.13505082611075814</v>
      </c>
      <c r="AR24" s="834"/>
      <c r="AS24" s="834"/>
      <c r="AT24" s="835" t="s">
        <v>271</v>
      </c>
      <c r="AU24" s="835" t="s">
        <v>271</v>
      </c>
      <c r="AV24" s="835" t="s">
        <v>271</v>
      </c>
      <c r="AW24" s="835" t="s">
        <v>271</v>
      </c>
      <c r="AX24" s="835" t="s">
        <v>271</v>
      </c>
      <c r="AY24" s="835" t="s">
        <v>271</v>
      </c>
      <c r="AZ24" s="835" t="s">
        <v>271</v>
      </c>
      <c r="BA24" s="835" t="s">
        <v>271</v>
      </c>
      <c r="BB24" s="835" t="s">
        <v>271</v>
      </c>
      <c r="BC24" s="835" t="s">
        <v>271</v>
      </c>
      <c r="BD24" s="835" t="s">
        <v>271</v>
      </c>
      <c r="BE24" s="835" t="s">
        <v>271</v>
      </c>
      <c r="BF24" s="834"/>
      <c r="BG24" s="829" t="str">
        <f t="shared" si="195"/>
        <v>NA</v>
      </c>
      <c r="BH24" s="835" t="s">
        <v>271</v>
      </c>
      <c r="BI24" s="834">
        <f>SUMPRODUCT(L24:O24,H22:K22)/BH22</f>
        <v>0.14022147327876747</v>
      </c>
      <c r="BJ24" s="834">
        <f>SUMPRODUCT(P24:S24,L22:O22)/BI22</f>
        <v>0.16229797103059426</v>
      </c>
      <c r="BK24" s="834">
        <f>SUMPRODUCT(T24:W24,P22:S22)/BJ22</f>
        <v>0.18960606754850301</v>
      </c>
      <c r="BL24" s="834">
        <f>SUMPRODUCT(X24:AA24,T22:W22)/BK22</f>
        <v>0.16826588402777065</v>
      </c>
      <c r="BM24" s="834">
        <f>SUMPRODUCT(AB24:AE24,X22:AA22)/BL22</f>
        <v>0.18384390968098327</v>
      </c>
      <c r="BN24" s="834">
        <f>SUMPRODUCT(AF24:AI24,AB22:AE22)/BM22</f>
        <v>0.12418765668780417</v>
      </c>
      <c r="BO24" s="834">
        <f>SUMPRODUCT(AJ24:AM24,AF22:AI22)/BN22</f>
        <v>0.16654246432777367</v>
      </c>
      <c r="BP24" s="834">
        <f>SUMPRODUCT(AN24:AQ24,AJ22:AM22)/BO22</f>
        <v>0.132760546773627</v>
      </c>
    </row>
    <row r="25" spans="2:74" s="833" customFormat="1">
      <c r="B25" s="13" t="s">
        <v>272</v>
      </c>
      <c r="D25" s="834"/>
      <c r="E25" s="834"/>
      <c r="F25" s="834"/>
      <c r="G25" s="834"/>
      <c r="H25" s="835" t="str">
        <f t="shared" ref="H25:AA25" si="204">+H24</f>
        <v>NA</v>
      </c>
      <c r="I25" s="835" t="str">
        <f t="shared" si="204"/>
        <v>NA</v>
      </c>
      <c r="J25" s="835" t="str">
        <f t="shared" si="204"/>
        <v>NA</v>
      </c>
      <c r="K25" s="835" t="str">
        <f t="shared" si="204"/>
        <v>NA</v>
      </c>
      <c r="L25" s="834">
        <f t="shared" si="204"/>
        <v>0.15</v>
      </c>
      <c r="M25" s="834">
        <f t="shared" si="204"/>
        <v>0.12</v>
      </c>
      <c r="N25" s="834">
        <f t="shared" si="204"/>
        <v>0.13</v>
      </c>
      <c r="O25" s="834">
        <f t="shared" si="204"/>
        <v>0.16</v>
      </c>
      <c r="P25" s="834">
        <f t="shared" si="204"/>
        <v>0.18</v>
      </c>
      <c r="Q25" s="834">
        <f t="shared" si="204"/>
        <v>0.12</v>
      </c>
      <c r="R25" s="834">
        <f t="shared" si="204"/>
        <v>0.18</v>
      </c>
      <c r="S25" s="834">
        <f t="shared" si="204"/>
        <v>0.17</v>
      </c>
      <c r="T25" s="834">
        <f t="shared" si="204"/>
        <v>0.2</v>
      </c>
      <c r="U25" s="834">
        <f t="shared" si="204"/>
        <v>0.25</v>
      </c>
      <c r="V25" s="834">
        <f t="shared" si="204"/>
        <v>0.2</v>
      </c>
      <c r="W25" s="836">
        <f t="shared" si="204"/>
        <v>0.12</v>
      </c>
      <c r="X25" s="836">
        <f t="shared" si="204"/>
        <v>0.15</v>
      </c>
      <c r="Y25" s="834">
        <f t="shared" si="204"/>
        <v>0.16</v>
      </c>
      <c r="Z25" s="834">
        <f t="shared" si="204"/>
        <v>0.16</v>
      </c>
      <c r="AA25" s="834">
        <f t="shared" si="204"/>
        <v>0.2</v>
      </c>
      <c r="AB25" s="834">
        <f>+AB24</f>
        <v>0.19</v>
      </c>
      <c r="AC25" s="834">
        <f t="shared" ref="AC25:AJ25" si="205">+AC24</f>
        <v>0.19</v>
      </c>
      <c r="AD25" s="834">
        <f>+AD24-AD14+AD15</f>
        <v>0.20736248980961983</v>
      </c>
      <c r="AE25" s="834">
        <f t="shared" ref="AE25:AH25" si="206">+AE24-AE14+AE15</f>
        <v>0.14241636332119931</v>
      </c>
      <c r="AF25" s="834">
        <f t="shared" si="206"/>
        <v>0.15227662907959499</v>
      </c>
      <c r="AG25" s="834">
        <f t="shared" si="206"/>
        <v>7.3233838540055649E-2</v>
      </c>
      <c r="AH25" s="834">
        <f t="shared" si="206"/>
        <v>0.12527282549972985</v>
      </c>
      <c r="AI25" s="836">
        <f t="shared" si="205"/>
        <v>0.13</v>
      </c>
      <c r="AJ25" s="834">
        <f t="shared" si="205"/>
        <v>0.15</v>
      </c>
      <c r="AK25" s="834">
        <f>+AK24-(AK517/AG22)</f>
        <v>0.14954536430414939</v>
      </c>
      <c r="AL25" s="834">
        <f>+AL24-(AL517/AH22)</f>
        <v>0.13339377603528541</v>
      </c>
      <c r="AM25" s="834">
        <f>+AM24-(AM517/AI22)</f>
        <v>0.10359750215768893</v>
      </c>
      <c r="AN25" s="834">
        <f>+(AN22-AN517)/(AJ22-AJ517)-1-AN23+AN24</f>
        <v>0.11843902685968177</v>
      </c>
      <c r="AO25" s="834">
        <f>+(AO22-AO517)/(AK22-AK517)-1-AO23+AO24</f>
        <v>0.11230585220077383</v>
      </c>
      <c r="AP25" s="834">
        <f>+(AP22-AP517)/(AL22-AL517)-1-AP23+AP24</f>
        <v>0.13655919502528158</v>
      </c>
      <c r="AQ25" s="834">
        <f>+(AQ22-AQ517)/(AM22-AM517)-1-AQ23+AQ24</f>
        <v>0.13764379615386013</v>
      </c>
      <c r="AR25" s="834"/>
      <c r="AS25" s="834"/>
      <c r="AT25" s="835"/>
      <c r="AU25" s="835"/>
      <c r="AV25" s="835"/>
      <c r="AW25" s="835"/>
      <c r="AX25" s="835" t="str">
        <f>+AX24</f>
        <v>NA</v>
      </c>
      <c r="AY25" s="835" t="str">
        <f t="shared" ref="AY25:BN25" si="207">+AY24</f>
        <v>NA</v>
      </c>
      <c r="AZ25" s="835" t="str">
        <f t="shared" si="207"/>
        <v>NA</v>
      </c>
      <c r="BA25" s="835" t="str">
        <f t="shared" si="207"/>
        <v>NA</v>
      </c>
      <c r="BB25" s="835" t="str">
        <f t="shared" si="207"/>
        <v>NA</v>
      </c>
      <c r="BC25" s="835" t="str">
        <f t="shared" si="207"/>
        <v>NA</v>
      </c>
      <c r="BD25" s="835" t="str">
        <f t="shared" si="207"/>
        <v>NA</v>
      </c>
      <c r="BE25" s="835" t="str">
        <f t="shared" si="207"/>
        <v>NA</v>
      </c>
      <c r="BF25" s="834">
        <f t="shared" si="207"/>
        <v>0</v>
      </c>
      <c r="BG25" s="829" t="str">
        <f t="shared" si="195"/>
        <v>NA</v>
      </c>
      <c r="BH25" s="835" t="str">
        <f t="shared" si="207"/>
        <v>NA</v>
      </c>
      <c r="BI25" s="834">
        <f t="shared" si="207"/>
        <v>0.14022147327876747</v>
      </c>
      <c r="BJ25" s="834">
        <f t="shared" si="207"/>
        <v>0.16229797103059426</v>
      </c>
      <c r="BK25" s="834">
        <f t="shared" si="207"/>
        <v>0.18960606754850301</v>
      </c>
      <c r="BL25" s="834">
        <f t="shared" si="207"/>
        <v>0.16826588402777065</v>
      </c>
      <c r="BM25" s="834">
        <f t="shared" si="207"/>
        <v>0.18384390968098327</v>
      </c>
      <c r="BN25" s="834">
        <f t="shared" si="207"/>
        <v>0.12418765668780417</v>
      </c>
      <c r="BO25" s="228">
        <f>+BO24-(BO517/BN22)</f>
        <v>0.13319817599211239</v>
      </c>
      <c r="BP25" s="228">
        <f>+(BP22-BP517)/(BO22-BO517)-1-BP23+BP24</f>
        <v>0.12644790326877972</v>
      </c>
    </row>
    <row r="26" spans="2:74" s="3" customFormat="1">
      <c r="B26" s="13" t="s">
        <v>115</v>
      </c>
      <c r="D26" s="228">
        <f t="shared" ref="D26:V26" si="208">IFERROR(D22/D12,"n/a ")</f>
        <v>0.65533237685318024</v>
      </c>
      <c r="E26" s="228">
        <f t="shared" si="208"/>
        <v>0.60907614936839183</v>
      </c>
      <c r="F26" s="228">
        <f t="shared" si="208"/>
        <v>0.64112097411349167</v>
      </c>
      <c r="G26" s="228">
        <f t="shared" si="208"/>
        <v>0.66009201669932693</v>
      </c>
      <c r="H26" s="228">
        <f t="shared" si="208"/>
        <v>0.64228383801532285</v>
      </c>
      <c r="I26" s="228">
        <f t="shared" si="208"/>
        <v>0.61662665530860372</v>
      </c>
      <c r="J26" s="228">
        <f t="shared" si="208"/>
        <v>0.65276581078752371</v>
      </c>
      <c r="K26" s="228">
        <f t="shared" si="208"/>
        <v>0.66975200156219483</v>
      </c>
      <c r="L26" s="228">
        <f t="shared" si="208"/>
        <v>0.66264569239546822</v>
      </c>
      <c r="M26" s="228">
        <f t="shared" si="208"/>
        <v>0.6174009267584204</v>
      </c>
      <c r="N26" s="228">
        <f t="shared" si="208"/>
        <v>0.65438681531749876</v>
      </c>
      <c r="O26" s="228">
        <f t="shared" si="208"/>
        <v>0.67618414492271894</v>
      </c>
      <c r="P26" s="228">
        <f t="shared" si="208"/>
        <v>0.65943474075092834</v>
      </c>
      <c r="Q26" s="228">
        <f t="shared" si="208"/>
        <v>0.61741246034923469</v>
      </c>
      <c r="R26" s="228">
        <f t="shared" si="208"/>
        <v>0.66733178502502366</v>
      </c>
      <c r="S26" s="228">
        <f t="shared" si="208"/>
        <v>0.69119435299700449</v>
      </c>
      <c r="T26" s="228">
        <f t="shared" si="208"/>
        <v>0.6851913477537438</v>
      </c>
      <c r="U26" s="228">
        <f t="shared" si="208"/>
        <v>0.66514929821709212</v>
      </c>
      <c r="V26" s="228">
        <f t="shared" si="208"/>
        <v>0.68661660146769077</v>
      </c>
      <c r="W26" s="228">
        <f t="shared" ref="W26:X26" si="209">IFERROR(W22/W12,"n/a ")</f>
        <v>0.67557121447164303</v>
      </c>
      <c r="X26" s="228">
        <f t="shared" si="209"/>
        <v>0.70388114334930285</v>
      </c>
      <c r="Y26" s="228">
        <f t="shared" ref="Y26:Z26" si="210">IFERROR(Y22/Y12,"n/a ")</f>
        <v>0.67048936762930633</v>
      </c>
      <c r="Z26" s="228">
        <f t="shared" si="210"/>
        <v>0.68721526878626582</v>
      </c>
      <c r="AA26" s="228">
        <f t="shared" ref="AA26:AB26" si="211">IFERROR(AA22/AA12,"n/a ")</f>
        <v>0.69684954064829263</v>
      </c>
      <c r="AB26" s="228">
        <f t="shared" si="211"/>
        <v>0.6988768012004325</v>
      </c>
      <c r="AC26" s="228">
        <f t="shared" ref="AC26:AD26" si="212">IFERROR(AC22/AC12,"n/a ")</f>
        <v>0.67213114754098358</v>
      </c>
      <c r="AD26" s="228">
        <f t="shared" si="212"/>
        <v>0.68365072933549431</v>
      </c>
      <c r="AE26" s="228">
        <f t="shared" ref="AE26:AG26" si="213">IFERROR(AE22/AE12,"n/a ")</f>
        <v>0.68323532247180174</v>
      </c>
      <c r="AF26" s="228">
        <f t="shared" si="213"/>
        <v>0.69171222217788597</v>
      </c>
      <c r="AG26" s="228">
        <f t="shared" si="213"/>
        <v>0.66845507801391546</v>
      </c>
      <c r="AH26" s="228">
        <f t="shared" ref="AH26:AJ26" si="214">IFERROR(AH22/AH12,"n/a ")</f>
        <v>0.69487485101311086</v>
      </c>
      <c r="AI26" s="228">
        <f t="shared" si="214"/>
        <v>0.70109807969531401</v>
      </c>
      <c r="AJ26" s="228">
        <f t="shared" si="214"/>
        <v>0.71155581506449384</v>
      </c>
      <c r="AK26" s="228">
        <f t="shared" ref="AK26:AL26" si="215">IFERROR(AK22/AK12,"n/a ")</f>
        <v>0.69295388584327633</v>
      </c>
      <c r="AL26" s="228">
        <f t="shared" si="215"/>
        <v>0.71167836011510233</v>
      </c>
      <c r="AM26" s="228">
        <f t="shared" ref="AM26" si="216">IFERROR(AM22/AM12,"n/a ")</f>
        <v>0.70655213434888064</v>
      </c>
      <c r="AN26" s="829">
        <f>+AJ26+0.25%</f>
        <v>0.71405581506449378</v>
      </c>
      <c r="AO26" s="829">
        <f t="shared" ref="AO26:AQ26" si="217">+AK26+0.25%</f>
        <v>0.69545388584327628</v>
      </c>
      <c r="AP26" s="829">
        <f t="shared" si="217"/>
        <v>0.71417836011510227</v>
      </c>
      <c r="AQ26" s="829">
        <f t="shared" si="217"/>
        <v>0.70905213434888059</v>
      </c>
      <c r="AR26" s="228"/>
      <c r="AS26" s="228">
        <f t="shared" ref="AS26:BE26" si="218">IFERROR(AS22/AS12,"n/a ")</f>
        <v>0.84842163466371767</v>
      </c>
      <c r="AT26" s="228">
        <f t="shared" si="218"/>
        <v>0.82724357526760306</v>
      </c>
      <c r="AU26" s="228">
        <f t="shared" si="218"/>
        <v>0.79083369195258402</v>
      </c>
      <c r="AV26" s="228">
        <f t="shared" si="218"/>
        <v>0.80804369414101296</v>
      </c>
      <c r="AW26" s="228">
        <f t="shared" si="218"/>
        <v>0.79199822030562828</v>
      </c>
      <c r="AX26" s="228">
        <f t="shared" si="218"/>
        <v>0.80162921707957235</v>
      </c>
      <c r="AY26" s="228">
        <f t="shared" si="218"/>
        <v>0.77729007906438097</v>
      </c>
      <c r="AZ26" s="228">
        <f t="shared" si="218"/>
        <v>0.76221803236439101</v>
      </c>
      <c r="BA26" s="228">
        <f t="shared" si="218"/>
        <v>0.73814692545825888</v>
      </c>
      <c r="BB26" s="228">
        <f t="shared" si="218"/>
        <v>0.68816003132449644</v>
      </c>
      <c r="BC26" s="228">
        <f t="shared" si="218"/>
        <v>0.64695447745244705</v>
      </c>
      <c r="BD26" s="228">
        <f t="shared" si="218"/>
        <v>0.61579934364744493</v>
      </c>
      <c r="BE26" s="228">
        <f t="shared" si="218"/>
        <v>0.61911061700944969</v>
      </c>
      <c r="BF26" s="228"/>
      <c r="BG26" s="228">
        <f>IFERROR(BG22/BG12,"n/a ")</f>
        <v>0.64038879259275516</v>
      </c>
      <c r="BH26" s="228">
        <f>IFERROR(BH22/BH12,"n/a ")</f>
        <v>0.64522475691460168</v>
      </c>
      <c r="BI26" s="228">
        <f>IFERROR(BI22/BI12,"n/a ")</f>
        <v>0.65247372236317502</v>
      </c>
      <c r="BJ26" s="228">
        <f>IFERROR(BJ22/BJ12,"n/a ")</f>
        <v>0.65901957200638894</v>
      </c>
      <c r="BK26" s="228">
        <f>IFERROR(BK22/BK12,"n/a ")</f>
        <v>0.67781001992797962</v>
      </c>
      <c r="BL26" s="228">
        <f t="shared" ref="BL26:BM26" si="219">IFERROR(BL22/BL12,"n/a ")</f>
        <v>0.68925800771024703</v>
      </c>
      <c r="BM26" s="228">
        <f t="shared" si="219"/>
        <v>0.68401674484289099</v>
      </c>
      <c r="BN26" s="228">
        <f t="shared" ref="BN26:BO26" si="220">IFERROR(BN22/BN12,"n/a ")</f>
        <v>0.68920085883491022</v>
      </c>
      <c r="BO26" s="228">
        <f t="shared" si="220"/>
        <v>0.70555886456540007</v>
      </c>
      <c r="BP26" s="228">
        <f t="shared" ref="BP26" si="221">IFERROR(BP22/BP12,"n/a ")</f>
        <v>0.70811702470592108</v>
      </c>
    </row>
    <row r="27" spans="2:74">
      <c r="AE27" s="9"/>
      <c r="AG27" s="8"/>
      <c r="AI27" s="824"/>
      <c r="AK27" s="8"/>
      <c r="AL27" s="228"/>
      <c r="AN27" s="824"/>
    </row>
    <row r="28" spans="2:74" ht="10.5">
      <c r="B28" s="45" t="s">
        <v>277</v>
      </c>
      <c r="AM28" s="828" t="s">
        <v>265</v>
      </c>
      <c r="AN28" s="992">
        <f>+BX152*1000</f>
        <v>15250</v>
      </c>
      <c r="AO28" s="827" t="s">
        <v>278</v>
      </c>
      <c r="AP28" s="827"/>
      <c r="AQ28" s="827"/>
    </row>
    <row r="29" spans="2:74">
      <c r="B29" t="s">
        <v>279</v>
      </c>
      <c r="D29" s="8">
        <f t="shared" ref="D29:V29" si="222">+D753</f>
        <v>2962</v>
      </c>
      <c r="E29" s="8">
        <f t="shared" si="222"/>
        <v>2900</v>
      </c>
      <c r="F29" s="8">
        <f t="shared" si="222"/>
        <v>2980</v>
      </c>
      <c r="G29" s="8">
        <f t="shared" si="222"/>
        <v>3146</v>
      </c>
      <c r="H29" s="8">
        <f t="shared" si="222"/>
        <v>3106</v>
      </c>
      <c r="I29" s="8">
        <f t="shared" si="222"/>
        <v>3062</v>
      </c>
      <c r="J29" s="8">
        <f t="shared" si="222"/>
        <v>3355</v>
      </c>
      <c r="K29" s="8">
        <f t="shared" si="222"/>
        <v>3514</v>
      </c>
      <c r="L29" s="8">
        <f t="shared" si="222"/>
        <v>3574</v>
      </c>
      <c r="M29" s="8">
        <f t="shared" si="222"/>
        <v>3504</v>
      </c>
      <c r="N29" s="8">
        <f t="shared" si="222"/>
        <v>3715</v>
      </c>
      <c r="O29" s="8">
        <f t="shared" si="222"/>
        <v>3933</v>
      </c>
      <c r="P29" s="8">
        <f t="shared" si="222"/>
        <v>3977</v>
      </c>
      <c r="Q29" s="8">
        <f t="shared" si="222"/>
        <v>4070</v>
      </c>
      <c r="R29" s="8">
        <f t="shared" si="222"/>
        <v>4316</v>
      </c>
      <c r="S29" s="8">
        <f t="shared" si="222"/>
        <v>4513</v>
      </c>
      <c r="T29" s="8">
        <f t="shared" si="222"/>
        <v>4565</v>
      </c>
      <c r="U29" s="8">
        <f t="shared" si="222"/>
        <v>4603</v>
      </c>
      <c r="V29" s="8">
        <f t="shared" si="222"/>
        <v>4887</v>
      </c>
      <c r="W29" s="8">
        <f t="shared" ref="W29:X29" si="223">+W753</f>
        <v>5214</v>
      </c>
      <c r="X29" s="8">
        <f t="shared" si="223"/>
        <v>4926</v>
      </c>
      <c r="Y29" s="8">
        <f t="shared" ref="Y29:Z29" si="224">+Y753</f>
        <v>4899</v>
      </c>
      <c r="Z29" s="8">
        <f t="shared" si="224"/>
        <v>5204</v>
      </c>
      <c r="AA29" s="8">
        <f t="shared" ref="AA29:AB29" si="225">+AA753</f>
        <v>5687</v>
      </c>
      <c r="AB29" s="8">
        <f t="shared" si="225"/>
        <v>5599</v>
      </c>
      <c r="AC29" s="8">
        <f t="shared" ref="AC29:AD29" si="226">+AC753</f>
        <v>5758</v>
      </c>
      <c r="AD29" s="8">
        <f t="shared" si="226"/>
        <v>6306</v>
      </c>
      <c r="AE29" s="8">
        <f t="shared" ref="AE29:AF29" si="227">+AE753</f>
        <v>6849</v>
      </c>
      <c r="AF29" s="8">
        <f t="shared" si="227"/>
        <v>6628</v>
      </c>
      <c r="AG29" s="8">
        <f t="shared" ref="AG29:AH29" si="228">+AG753</f>
        <v>6844</v>
      </c>
      <c r="AH29" s="8">
        <f t="shared" si="228"/>
        <v>6984</v>
      </c>
      <c r="AI29" s="8">
        <f t="shared" ref="AI29:AJ29" si="229">+AI753</f>
        <v>6739</v>
      </c>
      <c r="AJ29" s="8">
        <f t="shared" si="229"/>
        <v>6659</v>
      </c>
      <c r="AK29" s="8">
        <f t="shared" ref="AK29:AL29" si="230">+AK753</f>
        <v>7142</v>
      </c>
      <c r="AL29" s="8">
        <f t="shared" si="230"/>
        <v>7653</v>
      </c>
      <c r="AM29" s="8">
        <f t="shared" ref="AM29" si="231">+AM753</f>
        <v>8056</v>
      </c>
      <c r="AN29" s="8"/>
      <c r="AO29" s="8"/>
      <c r="AP29" s="228"/>
      <c r="AQ29" s="8"/>
      <c r="AS29" s="8">
        <f t="shared" ref="AS29:BE29" si="232">+AS753</f>
        <v>6097</v>
      </c>
      <c r="AT29" s="8">
        <f t="shared" si="232"/>
        <v>6584</v>
      </c>
      <c r="AU29" s="8">
        <f t="shared" si="232"/>
        <v>7121</v>
      </c>
      <c r="AV29" s="8">
        <f t="shared" si="232"/>
        <v>8164</v>
      </c>
      <c r="AW29" s="8">
        <f t="shared" si="232"/>
        <v>9010</v>
      </c>
      <c r="AX29" s="8">
        <f t="shared" si="232"/>
        <v>8714</v>
      </c>
      <c r="AY29" s="8">
        <f t="shared" si="232"/>
        <v>9043</v>
      </c>
      <c r="AZ29" s="8">
        <f t="shared" si="232"/>
        <v>9811</v>
      </c>
      <c r="BA29" s="8">
        <f t="shared" si="232"/>
        <v>10411</v>
      </c>
      <c r="BB29" s="8">
        <f t="shared" si="232"/>
        <v>11381</v>
      </c>
      <c r="BC29" s="8">
        <f t="shared" si="232"/>
        <v>12046</v>
      </c>
      <c r="BD29" s="8">
        <f t="shared" si="232"/>
        <v>11988</v>
      </c>
      <c r="BE29" s="8">
        <f t="shared" si="232"/>
        <v>13037</v>
      </c>
      <c r="BG29" s="8">
        <f t="shared" ref="BG29:BJ30" si="233">+BG753</f>
        <v>11988</v>
      </c>
      <c r="BH29" s="8">
        <f t="shared" si="233"/>
        <v>13037</v>
      </c>
      <c r="BI29" s="8">
        <f t="shared" si="233"/>
        <v>14726</v>
      </c>
      <c r="BJ29" s="8">
        <f t="shared" si="233"/>
        <v>16876</v>
      </c>
      <c r="BK29" s="8">
        <f t="shared" ref="BK29" si="234">+BK753</f>
        <v>19269</v>
      </c>
      <c r="BL29" s="8">
        <f t="shared" ref="BL29:BL31" si="235">SUM(X29:AA29)</f>
        <v>20716</v>
      </c>
      <c r="BM29" s="8">
        <f>SUM(AB29:AE29)</f>
        <v>24512</v>
      </c>
      <c r="BN29" s="8">
        <f t="shared" ref="BN29:BN31" si="236">SUM(AF29:AI29)</f>
        <v>27195</v>
      </c>
      <c r="BO29" s="8">
        <f t="shared" ref="BO29:BO31" si="237">SUM(AJ29:AM29)</f>
        <v>29510</v>
      </c>
      <c r="BP29" s="8"/>
    </row>
    <row r="30" spans="2:74">
      <c r="B30" t="s">
        <v>280</v>
      </c>
      <c r="D30" s="8">
        <f t="shared" ref="D30:V30" si="238">+D754</f>
        <v>3341</v>
      </c>
      <c r="E30" s="8">
        <f t="shared" si="238"/>
        <v>3954</v>
      </c>
      <c r="F30" s="8">
        <f t="shared" si="238"/>
        <v>3398</v>
      </c>
      <c r="G30" s="8">
        <f t="shared" si="238"/>
        <v>3942</v>
      </c>
      <c r="H30" s="8">
        <f t="shared" si="238"/>
        <v>3218</v>
      </c>
      <c r="I30" s="8">
        <f t="shared" si="238"/>
        <v>4079</v>
      </c>
      <c r="J30" s="8">
        <f t="shared" si="238"/>
        <v>3872</v>
      </c>
      <c r="K30" s="8">
        <f t="shared" si="238"/>
        <v>4292</v>
      </c>
      <c r="L30" s="8">
        <f t="shared" si="238"/>
        <v>3812</v>
      </c>
      <c r="M30" s="8">
        <f t="shared" si="238"/>
        <v>4562</v>
      </c>
      <c r="N30" s="8">
        <f t="shared" si="238"/>
        <v>4335</v>
      </c>
      <c r="O30" s="8">
        <f t="shared" si="238"/>
        <v>4760</v>
      </c>
      <c r="P30" s="8">
        <f t="shared" si="238"/>
        <v>4098</v>
      </c>
      <c r="Q30" s="8">
        <f t="shared" si="238"/>
        <v>4588</v>
      </c>
      <c r="R30" s="8">
        <f t="shared" si="238"/>
        <v>4565</v>
      </c>
      <c r="S30" s="8">
        <f t="shared" si="238"/>
        <v>4962</v>
      </c>
      <c r="T30" s="8">
        <f t="shared" si="238"/>
        <v>4337</v>
      </c>
      <c r="U30" s="8">
        <f t="shared" si="238"/>
        <v>4933</v>
      </c>
      <c r="V30" s="8">
        <f t="shared" si="238"/>
        <v>4911</v>
      </c>
      <c r="W30" s="8">
        <f t="shared" ref="W30:X30" si="239">+W754</f>
        <v>5417</v>
      </c>
      <c r="X30" s="8">
        <f t="shared" si="239"/>
        <v>4231</v>
      </c>
      <c r="Y30" s="8">
        <f t="shared" ref="Y30:Z30" si="240">+Y754</f>
        <v>4947</v>
      </c>
      <c r="Z30" s="8">
        <f t="shared" si="240"/>
        <v>5082</v>
      </c>
      <c r="AA30" s="8">
        <f t="shared" ref="AA30:AB30" si="241">+AA754</f>
        <v>5857</v>
      </c>
      <c r="AB30" s="8">
        <f t="shared" si="241"/>
        <v>4547</v>
      </c>
      <c r="AC30" s="8">
        <f t="shared" ref="AC30:AD30" si="242">+AC754</f>
        <v>5379</v>
      </c>
      <c r="AD30" s="8">
        <f t="shared" si="242"/>
        <v>5595</v>
      </c>
      <c r="AE30" s="8">
        <f t="shared" ref="AE30:AF30" si="243">+AE754</f>
        <v>6304</v>
      </c>
      <c r="AF30" s="8">
        <f t="shared" si="243"/>
        <v>5126</v>
      </c>
      <c r="AG30" s="8">
        <f t="shared" ref="AG30:AH30" si="244">+AG754</f>
        <v>5679</v>
      </c>
      <c r="AH30" s="8">
        <f t="shared" si="244"/>
        <v>5750</v>
      </c>
      <c r="AI30" s="8">
        <f t="shared" ref="AI30:AJ30" si="245">+AI754</f>
        <v>6204</v>
      </c>
      <c r="AJ30" s="8">
        <f t="shared" si="245"/>
        <v>5187</v>
      </c>
      <c r="AK30" s="8">
        <f t="shared" ref="AK30:AL30" si="246">+AK754</f>
        <v>6246</v>
      </c>
      <c r="AL30" s="8">
        <f t="shared" si="246"/>
        <v>6207</v>
      </c>
      <c r="AM30" s="8">
        <f t="shared" ref="AM30" si="247">+AM754</f>
        <v>6816</v>
      </c>
      <c r="AN30" s="8"/>
      <c r="AO30" s="8"/>
      <c r="AP30" s="8"/>
      <c r="AQ30" s="8"/>
      <c r="AS30" s="8">
        <f t="shared" ref="AS30:BE30" si="248">+AS754</f>
        <v>8548</v>
      </c>
      <c r="AT30" s="8">
        <f t="shared" si="248"/>
        <v>9910</v>
      </c>
      <c r="AU30" s="8">
        <f t="shared" si="248"/>
        <v>11541</v>
      </c>
      <c r="AV30" s="8">
        <f t="shared" si="248"/>
        <v>13260</v>
      </c>
      <c r="AW30" s="8">
        <f t="shared" si="248"/>
        <v>12879</v>
      </c>
      <c r="AX30" s="8">
        <f t="shared" si="248"/>
        <v>13214</v>
      </c>
      <c r="AY30" s="8">
        <f t="shared" si="248"/>
        <v>13940</v>
      </c>
      <c r="AZ30" s="8">
        <f t="shared" si="248"/>
        <v>13857</v>
      </c>
      <c r="BA30" s="8">
        <f t="shared" si="248"/>
        <v>15276</v>
      </c>
      <c r="BB30" s="8">
        <f t="shared" si="248"/>
        <v>15811</v>
      </c>
      <c r="BC30" s="8">
        <f t="shared" si="248"/>
        <v>15713</v>
      </c>
      <c r="BD30" s="8">
        <f t="shared" si="248"/>
        <v>14697</v>
      </c>
      <c r="BE30" s="8">
        <f t="shared" si="248"/>
        <v>15539</v>
      </c>
      <c r="BG30" s="8">
        <f t="shared" si="233"/>
        <v>14635</v>
      </c>
      <c r="BH30" s="8">
        <f t="shared" si="233"/>
        <v>15461</v>
      </c>
      <c r="BI30" s="8">
        <f t="shared" si="233"/>
        <v>17469</v>
      </c>
      <c r="BJ30" s="8">
        <f t="shared" si="233"/>
        <v>18213</v>
      </c>
      <c r="BK30" s="8">
        <f t="shared" ref="BK30" si="249">+BK754</f>
        <v>19598</v>
      </c>
      <c r="BL30" s="8">
        <f t="shared" si="235"/>
        <v>20117</v>
      </c>
      <c r="BM30" s="8">
        <f t="shared" ref="BM30:BM32" si="250">SUM(AB30:AE30)</f>
        <v>21825</v>
      </c>
      <c r="BN30" s="8">
        <f t="shared" si="236"/>
        <v>22759</v>
      </c>
      <c r="BO30" s="8">
        <f t="shared" si="237"/>
        <v>24456</v>
      </c>
      <c r="BP30" s="8"/>
    </row>
    <row r="31" spans="2:74" ht="11.45">
      <c r="B31" t="s">
        <v>281</v>
      </c>
      <c r="D31" s="10">
        <f t="shared" ref="D31:AF31" si="251">+D755-D782</f>
        <v>1084</v>
      </c>
      <c r="E31" s="10">
        <f t="shared" si="251"/>
        <v>1038</v>
      </c>
      <c r="F31" s="10">
        <f t="shared" si="251"/>
        <v>1140</v>
      </c>
      <c r="G31" s="10">
        <f t="shared" si="251"/>
        <v>1301</v>
      </c>
      <c r="H31" s="10">
        <f t="shared" si="251"/>
        <v>1045</v>
      </c>
      <c r="I31" s="10">
        <f t="shared" si="251"/>
        <v>879</v>
      </c>
      <c r="J31" s="10">
        <f t="shared" si="251"/>
        <v>1202</v>
      </c>
      <c r="K31" s="10">
        <f t="shared" si="251"/>
        <v>1355</v>
      </c>
      <c r="L31" s="10">
        <f t="shared" si="251"/>
        <v>1166</v>
      </c>
      <c r="M31" s="10">
        <f t="shared" si="251"/>
        <v>1109</v>
      </c>
      <c r="N31" s="10">
        <f t="shared" si="251"/>
        <v>1208</v>
      </c>
      <c r="O31" s="10">
        <f t="shared" si="251"/>
        <v>1271</v>
      </c>
      <c r="P31" s="10">
        <f t="shared" si="251"/>
        <v>1149</v>
      </c>
      <c r="Q31" s="10">
        <f t="shared" si="251"/>
        <v>1132</v>
      </c>
      <c r="R31" s="10">
        <f t="shared" si="251"/>
        <v>1179</v>
      </c>
      <c r="S31" s="10">
        <f t="shared" si="251"/>
        <v>1425</v>
      </c>
      <c r="T31" s="10">
        <f t="shared" si="251"/>
        <v>1061</v>
      </c>
      <c r="U31" s="10">
        <f t="shared" si="251"/>
        <v>1121</v>
      </c>
      <c r="V31" s="10">
        <f t="shared" si="251"/>
        <v>1273</v>
      </c>
      <c r="W31" s="10">
        <f t="shared" si="251"/>
        <v>1656</v>
      </c>
      <c r="X31" s="10">
        <f t="shared" si="251"/>
        <v>1119</v>
      </c>
      <c r="Y31" s="10">
        <f t="shared" si="251"/>
        <v>1139</v>
      </c>
      <c r="Z31" s="10">
        <f t="shared" si="251"/>
        <v>1327</v>
      </c>
      <c r="AA31" s="10">
        <f t="shared" si="251"/>
        <v>1522</v>
      </c>
      <c r="AB31" s="10">
        <f t="shared" si="251"/>
        <v>1287</v>
      </c>
      <c r="AC31" s="10">
        <f t="shared" si="251"/>
        <v>1384</v>
      </c>
      <c r="AD31" s="10">
        <f t="shared" si="251"/>
        <v>1480</v>
      </c>
      <c r="AE31" s="10">
        <f t="shared" si="251"/>
        <v>1749</v>
      </c>
      <c r="AF31" s="10">
        <f t="shared" si="251"/>
        <v>1398</v>
      </c>
      <c r="AG31" s="58">
        <f>+AG755-AG784</f>
        <v>1166</v>
      </c>
      <c r="AH31" s="10">
        <f>+AH755-AH784</f>
        <v>1643</v>
      </c>
      <c r="AI31" s="10">
        <f>+AI755-AI784</f>
        <v>2197</v>
      </c>
      <c r="AJ31" s="10">
        <f t="shared" ref="AJ31" si="252">+AJ755-AJ784</f>
        <v>1474</v>
      </c>
      <c r="AK31" s="58">
        <f>+AK755-550</f>
        <v>1427</v>
      </c>
      <c r="AL31" s="58">
        <f>+AL755-270</f>
        <v>1642</v>
      </c>
      <c r="AM31" s="58">
        <f>+AM755-250</f>
        <v>1996</v>
      </c>
      <c r="AN31" s="10"/>
      <c r="AO31" s="10"/>
      <c r="AP31" s="10"/>
      <c r="AQ31" s="10"/>
      <c r="AS31" s="10">
        <f t="shared" ref="AS31:BE31" si="253">+AS755-AS782</f>
        <v>4536</v>
      </c>
      <c r="AT31" s="10">
        <f t="shared" si="253"/>
        <v>3758</v>
      </c>
      <c r="AU31" s="10">
        <f t="shared" si="253"/>
        <v>3329</v>
      </c>
      <c r="AV31" s="10">
        <f t="shared" si="253"/>
        <v>5127</v>
      </c>
      <c r="AW31" s="10">
        <f t="shared" si="253"/>
        <v>4030</v>
      </c>
      <c r="AX31" s="10">
        <f t="shared" si="253"/>
        <v>4063</v>
      </c>
      <c r="AY31" s="10">
        <f t="shared" si="253"/>
        <v>4222</v>
      </c>
      <c r="AZ31" s="10">
        <f t="shared" si="253"/>
        <v>4569</v>
      </c>
      <c r="BA31" s="58">
        <f t="shared" si="253"/>
        <v>4280</v>
      </c>
      <c r="BB31" s="10">
        <f t="shared" si="253"/>
        <v>4677</v>
      </c>
      <c r="BC31" s="10">
        <f t="shared" si="253"/>
        <v>4611</v>
      </c>
      <c r="BD31" s="10">
        <f t="shared" si="253"/>
        <v>4563</v>
      </c>
      <c r="BE31" s="10">
        <f t="shared" si="253"/>
        <v>4481</v>
      </c>
      <c r="BG31" s="10">
        <f>+BG755-BG782</f>
        <v>4563</v>
      </c>
      <c r="BH31" s="10">
        <f>+BH755-BH782</f>
        <v>4481</v>
      </c>
      <c r="BI31" s="10">
        <f>+BI755-BI782</f>
        <v>4754</v>
      </c>
      <c r="BJ31" s="10">
        <f>+BJ755-BJ782</f>
        <v>4885</v>
      </c>
      <c r="BK31" s="10">
        <f>+BK755-BK782</f>
        <v>5111</v>
      </c>
      <c r="BL31" s="10">
        <f t="shared" si="235"/>
        <v>5107</v>
      </c>
      <c r="BM31" s="10">
        <f t="shared" si="250"/>
        <v>5900</v>
      </c>
      <c r="BN31" s="10">
        <f t="shared" si="236"/>
        <v>6404</v>
      </c>
      <c r="BO31" s="10">
        <f t="shared" si="237"/>
        <v>6539</v>
      </c>
      <c r="BP31" s="10"/>
    </row>
    <row r="32" spans="2:74" s="1" customFormat="1" ht="10.5">
      <c r="B32" s="837" t="s">
        <v>282</v>
      </c>
      <c r="D32" s="838">
        <f>SUM(D29:D31)</f>
        <v>7387</v>
      </c>
      <c r="E32" s="838">
        <f t="shared" ref="E32:AS32" si="254">SUM(E29:E31)</f>
        <v>7892</v>
      </c>
      <c r="F32" s="838">
        <f t="shared" si="254"/>
        <v>7518</v>
      </c>
      <c r="G32" s="838">
        <f t="shared" si="254"/>
        <v>8389</v>
      </c>
      <c r="H32" s="838">
        <f t="shared" si="254"/>
        <v>7369</v>
      </c>
      <c r="I32" s="838">
        <f t="shared" si="254"/>
        <v>8020</v>
      </c>
      <c r="J32" s="838">
        <f t="shared" si="254"/>
        <v>8429</v>
      </c>
      <c r="K32" s="838">
        <f t="shared" si="254"/>
        <v>9161</v>
      </c>
      <c r="L32" s="838">
        <f t="shared" si="254"/>
        <v>8552</v>
      </c>
      <c r="M32" s="838">
        <f t="shared" si="254"/>
        <v>9175</v>
      </c>
      <c r="N32" s="838">
        <f t="shared" si="254"/>
        <v>9258</v>
      </c>
      <c r="O32" s="838">
        <f t="shared" ref="O32:V32" si="255">SUM(O29:O31)</f>
        <v>9964</v>
      </c>
      <c r="P32" s="838">
        <f t="shared" si="255"/>
        <v>9224</v>
      </c>
      <c r="Q32" s="838">
        <f t="shared" si="255"/>
        <v>9790</v>
      </c>
      <c r="R32" s="838">
        <f t="shared" si="255"/>
        <v>10060</v>
      </c>
      <c r="S32" s="838">
        <f t="shared" si="255"/>
        <v>10900</v>
      </c>
      <c r="T32" s="838">
        <f t="shared" si="255"/>
        <v>9963</v>
      </c>
      <c r="U32" s="838">
        <f t="shared" si="255"/>
        <v>10657</v>
      </c>
      <c r="V32" s="838">
        <f t="shared" si="255"/>
        <v>11071</v>
      </c>
      <c r="W32" s="838">
        <f t="shared" ref="W32:X32" si="256">SUM(W29:W31)</f>
        <v>12287</v>
      </c>
      <c r="X32" s="838">
        <f t="shared" si="256"/>
        <v>10276</v>
      </c>
      <c r="Y32" s="838">
        <f t="shared" ref="Y32:Z32" si="257">SUM(Y29:Y31)</f>
        <v>10985</v>
      </c>
      <c r="Z32" s="838">
        <f t="shared" si="257"/>
        <v>11613</v>
      </c>
      <c r="AA32" s="838">
        <f t="shared" ref="AA32:AB32" si="258">SUM(AA29:AA31)</f>
        <v>13066</v>
      </c>
      <c r="AB32" s="838">
        <f t="shared" si="258"/>
        <v>11433</v>
      </c>
      <c r="AC32" s="838">
        <f t="shared" ref="AC32:AD32" si="259">SUM(AC29:AC31)</f>
        <v>12521</v>
      </c>
      <c r="AD32" s="838">
        <f t="shared" si="259"/>
        <v>13381</v>
      </c>
      <c r="AE32" s="838">
        <f t="shared" ref="AE32:AF32" si="260">SUM(AE29:AE31)</f>
        <v>14902</v>
      </c>
      <c r="AF32" s="838">
        <f t="shared" si="260"/>
        <v>13152</v>
      </c>
      <c r="AG32" s="838">
        <f t="shared" ref="AG32:AH32" si="261">SUM(AG29:AG31)</f>
        <v>13689</v>
      </c>
      <c r="AH32" s="838">
        <f t="shared" si="261"/>
        <v>14377</v>
      </c>
      <c r="AI32" s="838">
        <f t="shared" ref="AI32:AJ32" si="262">SUM(AI29:AI31)</f>
        <v>15140</v>
      </c>
      <c r="AJ32" s="838">
        <f t="shared" si="262"/>
        <v>13320</v>
      </c>
      <c r="AK32" s="838">
        <f t="shared" ref="AK32:AL32" si="263">SUM(AK29:AK31)</f>
        <v>14815</v>
      </c>
      <c r="AL32" s="838">
        <f t="shared" si="263"/>
        <v>15502</v>
      </c>
      <c r="AM32" s="838">
        <f t="shared" ref="AM32" si="264">SUM(AM29:AM31)</f>
        <v>16868</v>
      </c>
      <c r="AN32" s="838">
        <f t="shared" ref="AN32:AQ32" si="265">+AN22-AN48</f>
        <v>14840.534778711175</v>
      </c>
      <c r="AO32" s="838">
        <f t="shared" si="265"/>
        <v>15605.266223514693</v>
      </c>
      <c r="AP32" s="838">
        <f t="shared" si="265"/>
        <v>16869.173265962272</v>
      </c>
      <c r="AQ32" s="838">
        <f t="shared" si="265"/>
        <v>18525.573447394156</v>
      </c>
      <c r="AS32" s="838">
        <f t="shared" si="254"/>
        <v>19181</v>
      </c>
      <c r="AT32" s="838">
        <f t="shared" ref="AT32" si="266">SUM(AT29:AT31)</f>
        <v>20252</v>
      </c>
      <c r="AU32" s="838">
        <f t="shared" ref="AU32" si="267">SUM(AU29:AU31)</f>
        <v>21991</v>
      </c>
      <c r="AV32" s="838">
        <f t="shared" ref="AV32" si="268">SUM(AV29:AV31)</f>
        <v>26551</v>
      </c>
      <c r="AW32" s="838">
        <f t="shared" ref="AW32" si="269">SUM(AW29:AW31)</f>
        <v>25919</v>
      </c>
      <c r="AX32" s="838">
        <f t="shared" ref="AX32" si="270">SUM(AX29:AX31)</f>
        <v>25991</v>
      </c>
      <c r="AY32" s="838">
        <f t="shared" ref="AY32" si="271">SUM(AY29:AY31)</f>
        <v>27205</v>
      </c>
      <c r="AZ32" s="838">
        <f t="shared" ref="AZ32" si="272">SUM(AZ29:AZ31)</f>
        <v>28237</v>
      </c>
      <c r="BA32" s="838">
        <f t="shared" ref="BA32" si="273">SUM(BA29:BA31)</f>
        <v>29967</v>
      </c>
      <c r="BB32" s="838">
        <f t="shared" ref="BB32" si="274">SUM(BB29:BB31)</f>
        <v>31869</v>
      </c>
      <c r="BC32" s="838">
        <f t="shared" ref="BC32" si="275">SUM(BC29:BC31)</f>
        <v>32370</v>
      </c>
      <c r="BD32" s="838">
        <f t="shared" ref="BD32" si="276">SUM(BD29:BD31)</f>
        <v>31248</v>
      </c>
      <c r="BE32" s="838">
        <f t="shared" ref="BE32:BG32" si="277">SUM(BE29:BE31)</f>
        <v>33057</v>
      </c>
      <c r="BG32" s="838">
        <f t="shared" si="277"/>
        <v>31186</v>
      </c>
      <c r="BH32" s="838">
        <f t="shared" ref="BH32" si="278">SUM(BH29:BH31)</f>
        <v>32979</v>
      </c>
      <c r="BI32" s="838">
        <f t="shared" ref="BI32:BJ32" si="279">SUM(BI29:BI31)</f>
        <v>36949</v>
      </c>
      <c r="BJ32" s="838">
        <f t="shared" si="279"/>
        <v>39974</v>
      </c>
      <c r="BK32" s="838">
        <f t="shared" ref="BK32" si="280">SUM(BK29:BK31)</f>
        <v>43978</v>
      </c>
      <c r="BL32" s="838">
        <f>SUM(X32:AA32)</f>
        <v>45940</v>
      </c>
      <c r="BM32" s="838">
        <f t="shared" si="250"/>
        <v>52237</v>
      </c>
      <c r="BN32" s="838">
        <f>SUM(AF32:AI32)</f>
        <v>56358</v>
      </c>
      <c r="BO32" s="838">
        <f>SUM(AJ32:AM32)</f>
        <v>60505</v>
      </c>
      <c r="BP32" s="838">
        <f>+SUM(AN32:AQ32)</f>
        <v>65840.547715582303</v>
      </c>
    </row>
    <row r="33" spans="2:73" s="1" customFormat="1" ht="10.5">
      <c r="B33" s="837"/>
      <c r="D33" s="838"/>
      <c r="E33" s="838"/>
      <c r="F33" s="838"/>
      <c r="G33" s="838"/>
      <c r="H33" s="838"/>
      <c r="I33" s="838"/>
      <c r="J33" s="838"/>
      <c r="K33" s="838"/>
      <c r="L33" s="838"/>
      <c r="M33" s="838"/>
      <c r="N33" s="838"/>
      <c r="O33" s="838"/>
      <c r="P33" s="838"/>
      <c r="Q33" s="838"/>
      <c r="R33" s="838"/>
      <c r="S33" s="838"/>
      <c r="T33" s="838"/>
      <c r="U33" s="838"/>
      <c r="V33" s="838"/>
      <c r="W33" s="838"/>
      <c r="X33" s="838"/>
      <c r="Y33" s="838"/>
      <c r="Z33" s="838"/>
      <c r="AA33" s="838"/>
      <c r="AB33" s="838"/>
      <c r="AC33" s="838"/>
      <c r="AD33" s="838"/>
      <c r="AE33" s="838"/>
      <c r="AF33" s="1198"/>
      <c r="AG33" s="1214"/>
      <c r="AH33" s="1198"/>
      <c r="AI33" s="1198"/>
      <c r="AJ33" s="1198"/>
      <c r="AK33" s="1214"/>
      <c r="AL33" s="1198"/>
      <c r="AM33" s="1198"/>
      <c r="AN33" s="1198"/>
      <c r="AO33" s="1198"/>
      <c r="AP33" s="1198"/>
      <c r="AQ33" s="1198"/>
      <c r="AS33" s="838"/>
      <c r="AT33" s="838"/>
      <c r="AU33" s="838"/>
      <c r="AV33" s="838"/>
      <c r="AW33" s="838"/>
      <c r="AX33" s="838"/>
      <c r="AY33" s="838"/>
      <c r="AZ33" s="838"/>
      <c r="BA33" s="838"/>
      <c r="BB33" s="838"/>
      <c r="BC33" s="838"/>
      <c r="BD33" s="838"/>
      <c r="BE33" s="838"/>
      <c r="BG33" s="838"/>
      <c r="BH33" s="838"/>
      <c r="BI33" s="838"/>
      <c r="BJ33" s="838"/>
      <c r="BK33" s="838"/>
      <c r="BL33" s="838"/>
      <c r="BM33" s="838"/>
      <c r="BN33" s="838"/>
      <c r="BO33" s="838"/>
      <c r="BP33" s="838"/>
    </row>
    <row r="34" spans="2:73">
      <c r="B34" s="24" t="s">
        <v>113</v>
      </c>
      <c r="AK34" s="228"/>
      <c r="BH34" s="835"/>
    </row>
    <row r="35" spans="2:73" s="3" customFormat="1">
      <c r="B35" s="13" t="str">
        <f>+B29</f>
        <v>R&amp;D</v>
      </c>
      <c r="D35" s="228"/>
      <c r="E35" s="228"/>
      <c r="F35" s="228"/>
      <c r="G35" s="228"/>
      <c r="H35" s="228">
        <f t="shared" ref="H35:U38" si="281">+H29/D29-1</f>
        <v>4.8615800135043852E-2</v>
      </c>
      <c r="I35" s="228">
        <f t="shared" si="281"/>
        <v>5.5862068965517153E-2</v>
      </c>
      <c r="J35" s="228">
        <f t="shared" si="281"/>
        <v>0.12583892617449655</v>
      </c>
      <c r="K35" s="228">
        <f t="shared" si="281"/>
        <v>0.11697393515575327</v>
      </c>
      <c r="L35" s="228">
        <f t="shared" si="281"/>
        <v>0.1506761107533805</v>
      </c>
      <c r="M35" s="228">
        <f t="shared" si="281"/>
        <v>0.14435009797517973</v>
      </c>
      <c r="N35" s="228">
        <f t="shared" si="281"/>
        <v>0.10730253353204167</v>
      </c>
      <c r="O35" s="228">
        <f t="shared" si="281"/>
        <v>0.1192373363688104</v>
      </c>
      <c r="P35" s="228">
        <f t="shared" si="281"/>
        <v>0.11275881365416907</v>
      </c>
      <c r="Q35" s="228">
        <f t="shared" si="281"/>
        <v>0.1615296803652968</v>
      </c>
      <c r="R35" s="228">
        <f t="shared" si="281"/>
        <v>0.16177658142664875</v>
      </c>
      <c r="S35" s="228">
        <f t="shared" si="281"/>
        <v>0.14747012458682929</v>
      </c>
      <c r="T35" s="228">
        <f t="shared" si="281"/>
        <v>0.14785013829519733</v>
      </c>
      <c r="U35" s="228">
        <f t="shared" si="281"/>
        <v>0.13095823095823089</v>
      </c>
      <c r="V35" s="228">
        <f>+V29/R29-1</f>
        <v>0.13229842446709927</v>
      </c>
      <c r="W35" s="228">
        <f t="shared" ref="W35:W38" si="282">+W29/S29-1</f>
        <v>0.15532904941280745</v>
      </c>
      <c r="X35" s="228">
        <f t="shared" ref="X35:X38" si="283">+X29/T29-1</f>
        <v>7.9079956188389922E-2</v>
      </c>
      <c r="Y35" s="228">
        <f t="shared" ref="Y35:Y38" si="284">+Y29/U29-1</f>
        <v>6.4305887464696898E-2</v>
      </c>
      <c r="Z35" s="228">
        <f t="shared" ref="Z35:Z38" si="285">+Z29/V29-1</f>
        <v>6.4865970943319029E-2</v>
      </c>
      <c r="AA35" s="228">
        <f t="shared" ref="AA35:AA38" si="286">+AA29/W29-1</f>
        <v>9.0717299578058963E-2</v>
      </c>
      <c r="AB35" s="228">
        <f t="shared" ref="AB35:AB38" si="287">+AB29/X29-1</f>
        <v>0.13662200568412497</v>
      </c>
      <c r="AC35" s="228">
        <f t="shared" ref="AC35:AC38" si="288">+AC29/Y29-1</f>
        <v>0.17534190651153292</v>
      </c>
      <c r="AD35" s="228">
        <f t="shared" ref="AD35:AD38" si="289">+AD29/Z29-1</f>
        <v>0.21176018447348199</v>
      </c>
      <c r="AE35" s="228">
        <f t="shared" ref="AE35:AE38" si="290">+AE29/AA29-1</f>
        <v>0.20432565500263755</v>
      </c>
      <c r="AF35" s="228">
        <f t="shared" ref="AF35:AF38" si="291">+AF29/AB29-1</f>
        <v>0.18378281836042154</v>
      </c>
      <c r="AG35" s="228">
        <f t="shared" ref="AG35:AG38" si="292">+AG29/AC29-1</f>
        <v>0.18860715526224392</v>
      </c>
      <c r="AH35" s="228">
        <f t="shared" ref="AH35:AH38" si="293">+AH29/AD29-1</f>
        <v>0.1075166508087535</v>
      </c>
      <c r="AI35" s="228">
        <f t="shared" ref="AI35:AI38" si="294">+AI29/AE29-1</f>
        <v>-1.6060738793984508E-2</v>
      </c>
      <c r="AJ35" s="228">
        <f t="shared" ref="AJ35:AJ38" si="295">+AJ29/AF29-1</f>
        <v>4.6771273385637357E-3</v>
      </c>
      <c r="AK35" s="228">
        <f t="shared" ref="AK35:AK38" si="296">+AK29/AG29-1</f>
        <v>4.3541788427819972E-2</v>
      </c>
      <c r="AL35" s="228">
        <f t="shared" ref="AL35:AL38" si="297">+AL29/AH29-1</f>
        <v>9.5790378006872956E-2</v>
      </c>
      <c r="AM35" s="228">
        <f t="shared" ref="AM35:AM38" si="298">+AM29/AI29-1</f>
        <v>0.19542958895978635</v>
      </c>
      <c r="AN35" s="228"/>
      <c r="AO35" s="228"/>
      <c r="AP35" s="228"/>
      <c r="AQ35" s="228"/>
      <c r="AR35" s="228"/>
      <c r="AS35" s="228"/>
      <c r="AT35" s="228">
        <f t="shared" ref="AT35:AT38" si="299">+AT29/AS29-1</f>
        <v>7.9875348532064905E-2</v>
      </c>
      <c r="AU35" s="228">
        <f t="shared" ref="AU35:AU38" si="300">+AU29/AT29-1</f>
        <v>8.1561360874848221E-2</v>
      </c>
      <c r="AV35" s="228">
        <f t="shared" ref="AV35:BD35" si="301">+AV29/AU29-1</f>
        <v>0.14646819266956879</v>
      </c>
      <c r="AW35" s="228">
        <f t="shared" si="301"/>
        <v>0.10362567368936793</v>
      </c>
      <c r="AX35" s="228">
        <f t="shared" si="301"/>
        <v>-3.2852386237513853E-2</v>
      </c>
      <c r="AY35" s="228">
        <f t="shared" si="301"/>
        <v>3.7755336240532511E-2</v>
      </c>
      <c r="AZ35" s="228">
        <f t="shared" si="301"/>
        <v>8.4927568284861144E-2</v>
      </c>
      <c r="BA35" s="228">
        <f t="shared" si="301"/>
        <v>6.1155845479563764E-2</v>
      </c>
      <c r="BB35" s="228">
        <f t="shared" si="301"/>
        <v>9.3170684852559749E-2</v>
      </c>
      <c r="BC35" s="228">
        <f t="shared" si="301"/>
        <v>5.8430717863105164E-2</v>
      </c>
      <c r="BD35" s="228">
        <f t="shared" si="301"/>
        <v>-4.814876307488003E-3</v>
      </c>
      <c r="BE35" s="228">
        <f t="shared" ref="BE35:BI35" si="302">+BE29/BD29-1</f>
        <v>8.7504170837504169E-2</v>
      </c>
      <c r="BF35" s="228"/>
      <c r="BG35" s="829">
        <f t="shared" ref="BG35:BG40" si="303">+BD35</f>
        <v>-4.814876307488003E-3</v>
      </c>
      <c r="BH35" s="228">
        <f t="shared" si="302"/>
        <v>8.7504170837504169E-2</v>
      </c>
      <c r="BI35" s="228">
        <f t="shared" si="302"/>
        <v>0.12955434532484467</v>
      </c>
      <c r="BJ35" s="228">
        <f>+BJ29/BI29-1</f>
        <v>0.14600027162841234</v>
      </c>
      <c r="BK35" s="228">
        <f t="shared" ref="BK35:BK38" si="304">+BK29/BJ29-1</f>
        <v>0.14179900450343674</v>
      </c>
      <c r="BL35" s="228">
        <f t="shared" ref="BL35:BL38" si="305">+BL29/BK29-1</f>
        <v>7.5094711713114437E-2</v>
      </c>
      <c r="BM35" s="228">
        <f t="shared" ref="BM35:BM37" si="306">+BM29/BL29-1</f>
        <v>0.1832400077234988</v>
      </c>
      <c r="BN35" s="228">
        <f t="shared" ref="BN35:BN38" si="307">+BN29/BM29-1</f>
        <v>0.10945659268929497</v>
      </c>
      <c r="BO35" s="228">
        <f t="shared" ref="BO35:BO38" si="308">+BO29/BN29-1</f>
        <v>8.5125942268799326E-2</v>
      </c>
      <c r="BP35" s="228"/>
    </row>
    <row r="36" spans="2:73" s="3" customFormat="1">
      <c r="B36" s="13" t="str">
        <f t="shared" ref="B36:B38" si="309">+B30</f>
        <v>S&amp;M</v>
      </c>
      <c r="D36" s="228"/>
      <c r="E36" s="228"/>
      <c r="F36" s="228"/>
      <c r="G36" s="228"/>
      <c r="H36" s="228">
        <f t="shared" si="281"/>
        <v>-3.6815324753067924E-2</v>
      </c>
      <c r="I36" s="228">
        <f t="shared" si="281"/>
        <v>3.161355589276682E-2</v>
      </c>
      <c r="J36" s="228">
        <f t="shared" si="281"/>
        <v>0.1394938198940554</v>
      </c>
      <c r="K36" s="228">
        <f t="shared" si="281"/>
        <v>8.8787417554540893E-2</v>
      </c>
      <c r="L36" s="228">
        <f t="shared" si="281"/>
        <v>0.1845866998135488</v>
      </c>
      <c r="M36" s="228">
        <f t="shared" si="281"/>
        <v>0.11841137533709234</v>
      </c>
      <c r="N36" s="228">
        <f t="shared" si="281"/>
        <v>0.11957644628099184</v>
      </c>
      <c r="O36" s="228">
        <f t="shared" si="281"/>
        <v>0.1090400745573159</v>
      </c>
      <c r="P36" s="228">
        <f t="shared" si="281"/>
        <v>7.5026232948583349E-2</v>
      </c>
      <c r="Q36" s="228">
        <f t="shared" si="281"/>
        <v>5.6992547128451587E-3</v>
      </c>
      <c r="R36" s="228">
        <f t="shared" si="281"/>
        <v>5.3056516724336866E-2</v>
      </c>
      <c r="S36" s="228">
        <f t="shared" si="281"/>
        <v>4.2436974789916038E-2</v>
      </c>
      <c r="T36" s="228">
        <f t="shared" si="281"/>
        <v>5.8321132259638864E-2</v>
      </c>
      <c r="U36" s="228">
        <f t="shared" si="281"/>
        <v>7.5196163905841384E-2</v>
      </c>
      <c r="V36" s="228">
        <f t="shared" ref="V36:V37" si="310">+V30/R30-1</f>
        <v>7.5794085432639546E-2</v>
      </c>
      <c r="W36" s="228">
        <f t="shared" si="282"/>
        <v>9.1696896412736706E-2</v>
      </c>
      <c r="X36" s="228">
        <f t="shared" si="283"/>
        <v>-2.44408577357621E-2</v>
      </c>
      <c r="Y36" s="228">
        <f t="shared" si="284"/>
        <v>2.8380295965944047E-3</v>
      </c>
      <c r="Z36" s="228">
        <f t="shared" si="285"/>
        <v>3.4819792302993369E-2</v>
      </c>
      <c r="AA36" s="228">
        <f t="shared" si="286"/>
        <v>8.1225770721801815E-2</v>
      </c>
      <c r="AB36" s="228">
        <f t="shared" si="287"/>
        <v>7.4686835263531037E-2</v>
      </c>
      <c r="AC36" s="228">
        <f t="shared" si="288"/>
        <v>8.7325651910248547E-2</v>
      </c>
      <c r="AD36" s="228">
        <f t="shared" si="289"/>
        <v>0.10094451003541915</v>
      </c>
      <c r="AE36" s="228">
        <f t="shared" si="290"/>
        <v>7.6318934608161193E-2</v>
      </c>
      <c r="AF36" s="228">
        <f t="shared" si="291"/>
        <v>0.12733670552012311</v>
      </c>
      <c r="AG36" s="228">
        <f t="shared" si="292"/>
        <v>5.577244841048512E-2</v>
      </c>
      <c r="AH36" s="228">
        <f t="shared" si="293"/>
        <v>2.7703306523681803E-2</v>
      </c>
      <c r="AI36" s="228">
        <f t="shared" si="294"/>
        <v>-1.5862944162436499E-2</v>
      </c>
      <c r="AJ36" s="228">
        <f t="shared" si="295"/>
        <v>1.1900117050331671E-2</v>
      </c>
      <c r="AK36" s="228">
        <f t="shared" si="296"/>
        <v>9.9841521394611776E-2</v>
      </c>
      <c r="AL36" s="228">
        <f t="shared" si="297"/>
        <v>7.947826086956522E-2</v>
      </c>
      <c r="AM36" s="228">
        <f t="shared" si="298"/>
        <v>9.8646034816247674E-2</v>
      </c>
      <c r="AN36" s="228"/>
      <c r="AO36" s="228"/>
      <c r="AP36" s="228"/>
      <c r="AQ36" s="228"/>
      <c r="AR36" s="228"/>
      <c r="AS36" s="228"/>
      <c r="AT36" s="228">
        <f t="shared" si="299"/>
        <v>0.15933551708001881</v>
      </c>
      <c r="AU36" s="228">
        <f t="shared" si="300"/>
        <v>0.16458123107971745</v>
      </c>
      <c r="AV36" s="228">
        <f t="shared" ref="AV36:BE36" si="311">+AV30/AU30-1</f>
        <v>0.1489472316090461</v>
      </c>
      <c r="AW36" s="228">
        <f t="shared" si="311"/>
        <v>-2.8733031674208154E-2</v>
      </c>
      <c r="AX36" s="228">
        <f t="shared" si="311"/>
        <v>2.6011336283872977E-2</v>
      </c>
      <c r="AY36" s="228">
        <f t="shared" si="311"/>
        <v>5.4941728469804829E-2</v>
      </c>
      <c r="AZ36" s="228">
        <f t="shared" si="311"/>
        <v>-5.9540889526542573E-3</v>
      </c>
      <c r="BA36" s="228">
        <f t="shared" si="311"/>
        <v>0.10240311755791298</v>
      </c>
      <c r="BB36" s="228">
        <f t="shared" si="311"/>
        <v>3.5022257135375767E-2</v>
      </c>
      <c r="BC36" s="228">
        <f t="shared" si="311"/>
        <v>-6.1982164315982358E-3</v>
      </c>
      <c r="BD36" s="228">
        <f t="shared" si="311"/>
        <v>-6.4659835804747656E-2</v>
      </c>
      <c r="BE36" s="228">
        <f t="shared" si="311"/>
        <v>5.729060352452886E-2</v>
      </c>
      <c r="BF36" s="228"/>
      <c r="BG36" s="829">
        <f t="shared" si="303"/>
        <v>-6.4659835804747656E-2</v>
      </c>
      <c r="BH36" s="228">
        <f t="shared" ref="BH36:BJ36" si="312">+BH30/BG30-1</f>
        <v>5.6440040997608465E-2</v>
      </c>
      <c r="BI36" s="228">
        <f t="shared" si="312"/>
        <v>0.12987516978203217</v>
      </c>
      <c r="BJ36" s="228">
        <f t="shared" si="312"/>
        <v>4.2589730379529511E-2</v>
      </c>
      <c r="BK36" s="228">
        <f t="shared" si="304"/>
        <v>7.604458353923027E-2</v>
      </c>
      <c r="BL36" s="228">
        <f t="shared" si="305"/>
        <v>2.6482294111644045E-2</v>
      </c>
      <c r="BM36" s="228">
        <f t="shared" si="306"/>
        <v>8.4903315603718221E-2</v>
      </c>
      <c r="BN36" s="228">
        <f t="shared" si="307"/>
        <v>4.2794959908361907E-2</v>
      </c>
      <c r="BO36" s="228">
        <f t="shared" si="308"/>
        <v>7.4563908783338517E-2</v>
      </c>
      <c r="BP36" s="228"/>
    </row>
    <row r="37" spans="2:73" s="839" customFormat="1" ht="11.45">
      <c r="B37" s="13" t="str">
        <f t="shared" si="309"/>
        <v>G&amp;A</v>
      </c>
      <c r="D37" s="840"/>
      <c r="E37" s="840"/>
      <c r="F37" s="840"/>
      <c r="G37" s="840"/>
      <c r="H37" s="840">
        <f t="shared" si="281"/>
        <v>-3.5977859778597798E-2</v>
      </c>
      <c r="I37" s="840">
        <f t="shared" si="281"/>
        <v>-0.15317919075144504</v>
      </c>
      <c r="J37" s="840">
        <f t="shared" si="281"/>
        <v>5.4385964912280649E-2</v>
      </c>
      <c r="K37" s="840">
        <f t="shared" si="281"/>
        <v>4.1506533435818671E-2</v>
      </c>
      <c r="L37" s="840">
        <f t="shared" si="281"/>
        <v>0.11578947368421044</v>
      </c>
      <c r="M37" s="840">
        <f t="shared" si="281"/>
        <v>0.26166097838452784</v>
      </c>
      <c r="N37" s="840">
        <f t="shared" si="281"/>
        <v>4.991680532445919E-3</v>
      </c>
      <c r="O37" s="840">
        <f t="shared" si="281"/>
        <v>-6.199261992619931E-2</v>
      </c>
      <c r="P37" s="840">
        <f t="shared" si="281"/>
        <v>-1.4579759862778707E-2</v>
      </c>
      <c r="Q37" s="840">
        <f t="shared" si="281"/>
        <v>2.0739404869251521E-2</v>
      </c>
      <c r="R37" s="840">
        <f t="shared" si="281"/>
        <v>-2.4006622516556275E-2</v>
      </c>
      <c r="S37" s="840">
        <f t="shared" si="281"/>
        <v>0.12116443745082606</v>
      </c>
      <c r="T37" s="840">
        <f t="shared" si="281"/>
        <v>-7.6588337684943442E-2</v>
      </c>
      <c r="U37" s="840">
        <f t="shared" si="281"/>
        <v>-9.7173144876324669E-3</v>
      </c>
      <c r="V37" s="840">
        <f t="shared" si="310"/>
        <v>7.9728583545377374E-2</v>
      </c>
      <c r="W37" s="840">
        <f t="shared" si="282"/>
        <v>0.16210526315789475</v>
      </c>
      <c r="X37" s="840">
        <f t="shared" si="283"/>
        <v>5.4665409990575009E-2</v>
      </c>
      <c r="Y37" s="840">
        <f t="shared" si="284"/>
        <v>1.605709188224802E-2</v>
      </c>
      <c r="Z37" s="840">
        <f t="shared" si="285"/>
        <v>4.2419481539670123E-2</v>
      </c>
      <c r="AA37" s="840">
        <f t="shared" si="286"/>
        <v>-8.0917874396135292E-2</v>
      </c>
      <c r="AB37" s="840">
        <f t="shared" si="287"/>
        <v>0.15013404825737275</v>
      </c>
      <c r="AC37" s="840">
        <f t="shared" si="288"/>
        <v>0.21510096575943805</v>
      </c>
      <c r="AD37" s="840">
        <f t="shared" si="289"/>
        <v>0.1152976639035419</v>
      </c>
      <c r="AE37" s="840">
        <f t="shared" si="290"/>
        <v>0.14914586070959257</v>
      </c>
      <c r="AF37" s="840">
        <f t="shared" si="291"/>
        <v>8.6247086247086324E-2</v>
      </c>
      <c r="AG37" s="840">
        <f t="shared" si="292"/>
        <v>-0.15751445086705207</v>
      </c>
      <c r="AH37" s="840">
        <f t="shared" si="293"/>
        <v>0.11013513513513518</v>
      </c>
      <c r="AI37" s="840">
        <f t="shared" si="294"/>
        <v>0.25614636935391655</v>
      </c>
      <c r="AJ37" s="840">
        <f t="shared" si="295"/>
        <v>5.4363376251788331E-2</v>
      </c>
      <c r="AK37" s="840">
        <f t="shared" si="296"/>
        <v>0.22384219554030871</v>
      </c>
      <c r="AL37" s="840">
        <f t="shared" si="297"/>
        <v>-6.0864272671945496E-4</v>
      </c>
      <c r="AM37" s="840">
        <f t="shared" si="298"/>
        <v>-9.148839326354119E-2</v>
      </c>
      <c r="AN37" s="840"/>
      <c r="AO37" s="840"/>
      <c r="AP37" s="840"/>
      <c r="AQ37" s="840"/>
      <c r="AR37" s="840"/>
      <c r="AS37" s="840"/>
      <c r="AT37" s="840">
        <f t="shared" si="299"/>
        <v>-0.17151675485008822</v>
      </c>
      <c r="AU37" s="840">
        <f t="shared" si="300"/>
        <v>-0.11415646620542841</v>
      </c>
      <c r="AV37" s="840">
        <f t="shared" ref="AV37:BE37" si="313">+AV31/AU31-1</f>
        <v>0.54010213277260433</v>
      </c>
      <c r="AW37" s="840">
        <f t="shared" si="313"/>
        <v>-0.21396528184123265</v>
      </c>
      <c r="AX37" s="840">
        <f t="shared" si="313"/>
        <v>8.1885856079404462E-3</v>
      </c>
      <c r="AY37" s="840">
        <f t="shared" si="313"/>
        <v>3.913364508983519E-2</v>
      </c>
      <c r="AZ37" s="840">
        <f t="shared" si="313"/>
        <v>8.2188536238749332E-2</v>
      </c>
      <c r="BA37" s="840">
        <f t="shared" si="313"/>
        <v>-6.3252352812431578E-2</v>
      </c>
      <c r="BB37" s="840">
        <f t="shared" si="313"/>
        <v>9.2757009345794339E-2</v>
      </c>
      <c r="BC37" s="840">
        <f t="shared" si="313"/>
        <v>-1.4111610006414366E-2</v>
      </c>
      <c r="BD37" s="840">
        <f t="shared" si="313"/>
        <v>-1.0409889394925154E-2</v>
      </c>
      <c r="BE37" s="840">
        <f t="shared" si="313"/>
        <v>-1.7970633355248733E-2</v>
      </c>
      <c r="BF37" s="840"/>
      <c r="BG37" s="908">
        <f t="shared" si="303"/>
        <v>-1.0409889394925154E-2</v>
      </c>
      <c r="BH37" s="840">
        <f t="shared" ref="BH37:BJ37" si="314">+BH31/BG31-1</f>
        <v>-1.7970633355248733E-2</v>
      </c>
      <c r="BI37" s="840">
        <f t="shared" si="314"/>
        <v>6.0923900914974238E-2</v>
      </c>
      <c r="BJ37" s="840">
        <f t="shared" si="314"/>
        <v>2.7555742532604066E-2</v>
      </c>
      <c r="BK37" s="840">
        <f t="shared" si="304"/>
        <v>4.6264073694984642E-2</v>
      </c>
      <c r="BL37" s="840">
        <f t="shared" si="305"/>
        <v>-7.8262570925458075E-4</v>
      </c>
      <c r="BM37" s="840">
        <f t="shared" si="306"/>
        <v>0.15527707068729191</v>
      </c>
      <c r="BN37" s="840">
        <f t="shared" si="307"/>
        <v>8.5423728813559308E-2</v>
      </c>
      <c r="BO37" s="840">
        <f t="shared" si="308"/>
        <v>2.1080574640849559E-2</v>
      </c>
      <c r="BP37" s="840"/>
    </row>
    <row r="38" spans="2:73" s="7" customFormat="1">
      <c r="B38" s="841" t="str">
        <f t="shared" si="309"/>
        <v xml:space="preserve">Total Opex </v>
      </c>
      <c r="D38" s="842"/>
      <c r="E38" s="842"/>
      <c r="F38" s="842"/>
      <c r="G38" s="842"/>
      <c r="H38" s="842">
        <f t="shared" si="281"/>
        <v>-2.4367131447137202E-3</v>
      </c>
      <c r="I38" s="842">
        <f t="shared" si="281"/>
        <v>1.6218955904713672E-2</v>
      </c>
      <c r="J38" s="842">
        <f t="shared" si="281"/>
        <v>0.12117584463953168</v>
      </c>
      <c r="K38" s="842">
        <f t="shared" si="281"/>
        <v>9.2025271188461044E-2</v>
      </c>
      <c r="L38" s="842">
        <f t="shared" si="281"/>
        <v>0.16053738634821557</v>
      </c>
      <c r="M38" s="842">
        <f t="shared" si="281"/>
        <v>0.14401496259351632</v>
      </c>
      <c r="N38" s="842">
        <f t="shared" si="281"/>
        <v>9.8350931308577527E-2</v>
      </c>
      <c r="O38" s="842">
        <f t="shared" si="281"/>
        <v>8.7654186224211283E-2</v>
      </c>
      <c r="P38" s="842">
        <f t="shared" si="281"/>
        <v>7.8578110383535904E-2</v>
      </c>
      <c r="Q38" s="842">
        <f t="shared" si="281"/>
        <v>6.7029972752043587E-2</v>
      </c>
      <c r="R38" s="842">
        <f t="shared" si="281"/>
        <v>8.6627781378267432E-2</v>
      </c>
      <c r="S38" s="842">
        <f t="shared" si="281"/>
        <v>9.3938177438779524E-2</v>
      </c>
      <c r="T38" s="842">
        <f t="shared" si="281"/>
        <v>8.0117085862966064E-2</v>
      </c>
      <c r="U38" s="842">
        <f t="shared" si="281"/>
        <v>8.8559754851889716E-2</v>
      </c>
      <c r="V38" s="842">
        <f>+V32/R32-1</f>
        <v>0.10049701789264409</v>
      </c>
      <c r="W38" s="842">
        <f t="shared" si="282"/>
        <v>0.12724770642201833</v>
      </c>
      <c r="X38" s="842">
        <f t="shared" si="283"/>
        <v>3.1416240088326886E-2</v>
      </c>
      <c r="Y38" s="842">
        <f t="shared" si="284"/>
        <v>3.0777892465046364E-2</v>
      </c>
      <c r="Z38" s="842">
        <f t="shared" si="285"/>
        <v>4.8956733809050634E-2</v>
      </c>
      <c r="AA38" s="842">
        <f t="shared" si="286"/>
        <v>6.3400341824692674E-2</v>
      </c>
      <c r="AB38" s="842">
        <f t="shared" si="287"/>
        <v>0.11259244842351102</v>
      </c>
      <c r="AC38" s="842">
        <f t="shared" si="288"/>
        <v>0.13982703686845688</v>
      </c>
      <c r="AD38" s="842">
        <f t="shared" si="289"/>
        <v>0.15224317575131319</v>
      </c>
      <c r="AE38" s="842">
        <f t="shared" si="290"/>
        <v>0.14051737333537417</v>
      </c>
      <c r="AF38" s="842">
        <f t="shared" si="291"/>
        <v>0.15035423773287859</v>
      </c>
      <c r="AG38" s="842">
        <f t="shared" si="292"/>
        <v>9.3283284082740892E-2</v>
      </c>
      <c r="AH38" s="842">
        <f t="shared" si="293"/>
        <v>7.4433898811748112E-2</v>
      </c>
      <c r="AI38" s="842">
        <f t="shared" si="294"/>
        <v>1.5971010602603641E-2</v>
      </c>
      <c r="AJ38" s="842">
        <f t="shared" si="295"/>
        <v>1.2773722627737127E-2</v>
      </c>
      <c r="AK38" s="842">
        <f t="shared" si="296"/>
        <v>8.2255825845569452E-2</v>
      </c>
      <c r="AL38" s="842">
        <f t="shared" si="297"/>
        <v>7.8249982611114932E-2</v>
      </c>
      <c r="AM38" s="842">
        <f t="shared" si="298"/>
        <v>0.11413474240422716</v>
      </c>
      <c r="AN38" s="842">
        <f t="shared" ref="AN38" si="315">+AN32/AJ32-1</f>
        <v>0.11415426266600415</v>
      </c>
      <c r="AO38" s="842">
        <f t="shared" ref="AO38" si="316">+AO32/AK32-1</f>
        <v>5.3342303308450356E-2</v>
      </c>
      <c r="AP38" s="842">
        <f t="shared" ref="AP38" si="317">+AP32/AL32-1</f>
        <v>8.8193347049559501E-2</v>
      </c>
      <c r="AQ38" s="842">
        <f t="shared" ref="AQ38" si="318">+AQ32/AM32-1</f>
        <v>9.8267337407763611E-2</v>
      </c>
      <c r="AR38" s="842"/>
      <c r="AS38" s="842"/>
      <c r="AT38" s="842">
        <f t="shared" si="299"/>
        <v>5.5836504874615445E-2</v>
      </c>
      <c r="AU38" s="842">
        <f t="shared" si="300"/>
        <v>8.5868062413588797E-2</v>
      </c>
      <c r="AV38" s="842">
        <f t="shared" ref="AV38:BD38" si="319">+AV32/AU32-1</f>
        <v>0.20735755536355782</v>
      </c>
      <c r="AW38" s="842">
        <f t="shared" si="319"/>
        <v>-2.3803246582049686E-2</v>
      </c>
      <c r="AX38" s="842">
        <f t="shared" si="319"/>
        <v>2.7778849492650082E-3</v>
      </c>
      <c r="AY38" s="842">
        <f t="shared" si="319"/>
        <v>4.6708476010926869E-2</v>
      </c>
      <c r="AZ38" s="842">
        <f t="shared" si="319"/>
        <v>3.7934203271457356E-2</v>
      </c>
      <c r="BA38" s="842">
        <f t="shared" si="319"/>
        <v>6.1267131777455131E-2</v>
      </c>
      <c r="BB38" s="842">
        <f t="shared" si="319"/>
        <v>6.3469816798478407E-2</v>
      </c>
      <c r="BC38" s="842">
        <f t="shared" si="319"/>
        <v>1.5720606231761192E-2</v>
      </c>
      <c r="BD38" s="842">
        <f t="shared" si="319"/>
        <v>-3.466172381835031E-2</v>
      </c>
      <c r="BE38" s="842">
        <f>+BE32/BD32-1</f>
        <v>5.7891705069124333E-2</v>
      </c>
      <c r="BF38" s="842"/>
      <c r="BG38" s="1179">
        <f t="shared" si="303"/>
        <v>-3.466172381835031E-2</v>
      </c>
      <c r="BH38" s="842">
        <f>+BH32/BG32-1</f>
        <v>5.7493747194253819E-2</v>
      </c>
      <c r="BI38" s="842">
        <f t="shared" ref="BI38:BJ38" si="320">+BI32/BH32-1</f>
        <v>0.12037963552563746</v>
      </c>
      <c r="BJ38" s="842">
        <f t="shared" si="320"/>
        <v>8.1869604048824041E-2</v>
      </c>
      <c r="BK38" s="842">
        <f t="shared" si="304"/>
        <v>0.10016510731975781</v>
      </c>
      <c r="BL38" s="842">
        <f t="shared" si="305"/>
        <v>4.4613215698758424E-2</v>
      </c>
      <c r="BM38" s="842">
        <f t="shared" ref="BM38" si="321">+BM32/BL32-1</f>
        <v>0.13707009142359605</v>
      </c>
      <c r="BN38" s="842">
        <f t="shared" si="307"/>
        <v>7.8890441640982356E-2</v>
      </c>
      <c r="BO38" s="842">
        <f t="shared" si="308"/>
        <v>7.3583164768089793E-2</v>
      </c>
      <c r="BP38" s="842">
        <f t="shared" ref="BP38" si="322">+BP32/BO32-1</f>
        <v>8.818358343248156E-2</v>
      </c>
    </row>
    <row r="39" spans="2:73" s="7" customFormat="1">
      <c r="B39" s="841" t="s">
        <v>270</v>
      </c>
      <c r="D39" s="842"/>
      <c r="E39" s="842"/>
      <c r="F39" s="842"/>
      <c r="G39" s="842"/>
      <c r="H39" s="842"/>
      <c r="I39" s="842"/>
      <c r="J39" s="842"/>
      <c r="K39" s="842"/>
      <c r="L39" s="842">
        <f t="shared" ref="L39:AM39" si="323">+(L267*H265+L460*H458+L529*H527)/H32</f>
        <v>0.1679514716449885</v>
      </c>
      <c r="M39" s="842">
        <f t="shared" si="323"/>
        <v>0.14503115411805603</v>
      </c>
      <c r="N39" s="842">
        <f t="shared" si="323"/>
        <v>9.7174014011080098E-2</v>
      </c>
      <c r="O39" s="842">
        <f t="shared" si="323"/>
        <v>9.4313111539682859E-2</v>
      </c>
      <c r="P39" s="842">
        <f t="shared" si="323"/>
        <v>8.1753497322182719E-2</v>
      </c>
      <c r="Q39" s="842">
        <f t="shared" si="323"/>
        <v>7.3959316029914415E-2</v>
      </c>
      <c r="R39" s="842">
        <f t="shared" si="323"/>
        <v>0.1022099245353776</v>
      </c>
      <c r="S39" s="842">
        <f t="shared" si="323"/>
        <v>0.11517558041469764</v>
      </c>
      <c r="T39" s="842">
        <f t="shared" si="323"/>
        <v>8.6878063584268875E-2</v>
      </c>
      <c r="U39" s="842">
        <f t="shared" si="323"/>
        <v>9.2729486561841823E-2</v>
      </c>
      <c r="V39" s="842">
        <f t="shared" si="323"/>
        <v>0.10515678018687305</v>
      </c>
      <c r="W39" s="842">
        <f t="shared" si="323"/>
        <v>0.13597534833959668</v>
      </c>
      <c r="X39" s="842">
        <f t="shared" si="323"/>
        <v>3.2218846239480681E-2</v>
      </c>
      <c r="Y39" s="842">
        <f t="shared" si="323"/>
        <v>2.0166052075010155E-2</v>
      </c>
      <c r="Z39" s="842">
        <f t="shared" si="323"/>
        <v>4.0054536519647008E-2</v>
      </c>
      <c r="AA39" s="842">
        <f t="shared" si="323"/>
        <v>3.6220296800922425E-2</v>
      </c>
      <c r="AB39" s="842">
        <f t="shared" si="323"/>
        <v>0.10191683238218763</v>
      </c>
      <c r="AC39" s="842">
        <f t="shared" si="323"/>
        <v>0.14699622030934134</v>
      </c>
      <c r="AD39" s="842">
        <f t="shared" si="323"/>
        <v>0.16386023641297637</v>
      </c>
      <c r="AE39" s="842">
        <f t="shared" si="323"/>
        <v>0.15308649764512169</v>
      </c>
      <c r="AF39" s="842">
        <f t="shared" si="323"/>
        <v>0.18184924404353559</v>
      </c>
      <c r="AG39" s="842">
        <f t="shared" si="323"/>
        <v>0.11454655944240447</v>
      </c>
      <c r="AH39" s="842">
        <f t="shared" si="323"/>
        <v>9.0410902446003139E-2</v>
      </c>
      <c r="AI39" s="842">
        <f t="shared" si="323"/>
        <v>1.5728020836741581E-2</v>
      </c>
      <c r="AJ39" s="842">
        <f t="shared" si="323"/>
        <v>7.8945617331758079E-3</v>
      </c>
      <c r="AK39" s="842">
        <f t="shared" si="323"/>
        <v>7.799599824676734E-2</v>
      </c>
      <c r="AL39" s="842">
        <f t="shared" si="323"/>
        <v>7.2337001950747937E-2</v>
      </c>
      <c r="AM39" s="842">
        <f t="shared" si="323"/>
        <v>0.10371848779326737</v>
      </c>
      <c r="AN39" s="842">
        <f t="shared" ref="AN39:AQ39" si="324">+AN38+AN14-AN13</f>
        <v>0.10803995553540591</v>
      </c>
      <c r="AO39" s="842">
        <f t="shared" si="324"/>
        <v>2.806881475767109E-2</v>
      </c>
      <c r="AP39" s="842">
        <f t="shared" si="324"/>
        <v>6.9177811952499502E-2</v>
      </c>
      <c r="AQ39" s="842">
        <f t="shared" si="324"/>
        <v>7.5241542417962659E-2</v>
      </c>
      <c r="AR39" s="842"/>
      <c r="AS39" s="842"/>
      <c r="AT39" s="842"/>
      <c r="AU39" s="842"/>
      <c r="AV39" s="842"/>
      <c r="AW39" s="842"/>
      <c r="AX39" s="842" t="s">
        <v>271</v>
      </c>
      <c r="AY39" s="842" t="s">
        <v>271</v>
      </c>
      <c r="AZ39" s="842" t="s">
        <v>271</v>
      </c>
      <c r="BA39" s="842" t="s">
        <v>271</v>
      </c>
      <c r="BB39" s="842" t="s">
        <v>271</v>
      </c>
      <c r="BC39" s="842" t="s">
        <v>271</v>
      </c>
      <c r="BD39" s="842" t="s">
        <v>271</v>
      </c>
      <c r="BE39" s="842" t="s">
        <v>271</v>
      </c>
      <c r="BF39" s="842"/>
      <c r="BG39" s="1179" t="str">
        <f t="shared" si="303"/>
        <v>NA</v>
      </c>
      <c r="BH39" s="842" t="s">
        <v>271</v>
      </c>
      <c r="BI39" s="1166">
        <f>SUMPRODUCT(L39:O39,H32:K32)/BH32</f>
        <v>0.12383233055863302</v>
      </c>
      <c r="BJ39" s="1166">
        <f>SUMPRODUCT(P39:S39,L32:O32)/BI32</f>
        <v>9.3956577939168714E-2</v>
      </c>
      <c r="BK39" s="1166">
        <f>SUMPRODUCT(T39:W39,P32:S32)/BJ32</f>
        <v>0.10629893024273963</v>
      </c>
      <c r="BL39" s="1166">
        <f>SUMPRODUCT(X39:AA39,T32:W32)/BK32</f>
        <v>3.2388661208997117E-2</v>
      </c>
      <c r="BM39" s="1166">
        <f>SUMPRODUCT(AB39:AE39,X32:AA32)/BL32</f>
        <v>0.14290787882787395</v>
      </c>
      <c r="BN39" s="1166">
        <f>SUMPRODUCT(AF39:AI39,AB32:AE32)/BM32</f>
        <v>9.4903748876604299E-2</v>
      </c>
      <c r="BO39" s="842">
        <f>SUMPRODUCT(AJ39:AM39,AF32:AI32)/BN32</f>
        <v>6.7103223644392931E-2</v>
      </c>
      <c r="BP39" s="842">
        <f>SUMPRODUCT(AN39:AQ39,AJ32:AM32)/BO32</f>
        <v>6.935791218511439E-2</v>
      </c>
    </row>
    <row r="40" spans="2:73" s="7" customFormat="1">
      <c r="B40" s="841" t="s">
        <v>272</v>
      </c>
      <c r="D40" s="842"/>
      <c r="E40" s="842"/>
      <c r="F40" s="842"/>
      <c r="G40" s="842"/>
      <c r="H40" s="842"/>
      <c r="I40" s="842"/>
      <c r="J40" s="842"/>
      <c r="K40" s="842"/>
      <c r="L40" s="842"/>
      <c r="M40" s="842"/>
      <c r="N40" s="842"/>
      <c r="O40" s="842"/>
      <c r="P40" s="842"/>
      <c r="Q40" s="842"/>
      <c r="R40" s="842"/>
      <c r="S40" s="842"/>
      <c r="T40" s="842"/>
      <c r="U40" s="842"/>
      <c r="V40" s="842"/>
      <c r="W40" s="842"/>
      <c r="X40" s="842"/>
      <c r="Y40" s="842"/>
      <c r="Z40" s="842"/>
      <c r="AA40" s="842"/>
      <c r="AB40" s="842">
        <f t="shared" ref="AB40:AI40" si="325">+AB39</f>
        <v>0.10191683238218763</v>
      </c>
      <c r="AC40" s="842">
        <f t="shared" si="325"/>
        <v>0.14699622030934134</v>
      </c>
      <c r="AD40" s="842">
        <f t="shared" si="325"/>
        <v>0.16386023641297637</v>
      </c>
      <c r="AE40" s="842">
        <f t="shared" si="325"/>
        <v>0.15308649764512169</v>
      </c>
      <c r="AF40" s="842">
        <f t="shared" si="325"/>
        <v>0.18184924404353559</v>
      </c>
      <c r="AG40" s="842">
        <f t="shared" si="325"/>
        <v>0.11454655944240447</v>
      </c>
      <c r="AH40" s="842">
        <f t="shared" si="325"/>
        <v>9.0410902446003139E-2</v>
      </c>
      <c r="AI40" s="842">
        <f t="shared" si="325"/>
        <v>1.5728020836741581E-2</v>
      </c>
      <c r="AJ40" s="842">
        <f>+AJ39</f>
        <v>7.8945617331758079E-3</v>
      </c>
      <c r="AK40" s="842">
        <f t="shared" ref="AK40:AQ40" si="326">+(AK32-AK526)/(AG32-AG526)-1-AK38+AK39</f>
        <v>2.0225889400247721E-3</v>
      </c>
      <c r="AL40" s="842">
        <f t="shared" si="326"/>
        <v>-2.087425954934774E-3</v>
      </c>
      <c r="AM40" s="842">
        <f t="shared" si="326"/>
        <v>3.1063269827613482E-2</v>
      </c>
      <c r="AN40" s="842">
        <f t="shared" si="326"/>
        <v>4.0472387967838364E-2</v>
      </c>
      <c r="AO40" s="842">
        <f t="shared" si="326"/>
        <v>3.8629685570069627E-2</v>
      </c>
      <c r="AP40" s="842">
        <f t="shared" si="326"/>
        <v>8.0566869695225973E-2</v>
      </c>
      <c r="AQ40" s="842">
        <f t="shared" si="326"/>
        <v>9.8903013190954736E-2</v>
      </c>
      <c r="AR40" s="842"/>
      <c r="AS40" s="842"/>
      <c r="AT40" s="842"/>
      <c r="AU40" s="842"/>
      <c r="AV40" s="842"/>
      <c r="AW40" s="842"/>
      <c r="AX40" s="842" t="s">
        <v>271</v>
      </c>
      <c r="AY40" s="842" t="s">
        <v>271</v>
      </c>
      <c r="AZ40" s="842" t="s">
        <v>271</v>
      </c>
      <c r="BA40" s="842" t="s">
        <v>271</v>
      </c>
      <c r="BB40" s="842" t="s">
        <v>271</v>
      </c>
      <c r="BC40" s="842" t="s">
        <v>271</v>
      </c>
      <c r="BD40" s="842" t="s">
        <v>271</v>
      </c>
      <c r="BE40" s="842" t="s">
        <v>271</v>
      </c>
      <c r="BF40" s="842"/>
      <c r="BG40" s="1179" t="str">
        <f t="shared" si="303"/>
        <v>NA</v>
      </c>
      <c r="BH40" s="842" t="s">
        <v>271</v>
      </c>
      <c r="BI40" s="1166">
        <f>+BI39</f>
        <v>0.12383233055863302</v>
      </c>
      <c r="BJ40" s="1166">
        <f t="shared" ref="BJ40:BN40" si="327">+BJ39</f>
        <v>9.3956577939168714E-2</v>
      </c>
      <c r="BK40" s="1166">
        <f t="shared" si="327"/>
        <v>0.10629893024273963</v>
      </c>
      <c r="BL40" s="1166">
        <f t="shared" si="327"/>
        <v>3.2388661208997117E-2</v>
      </c>
      <c r="BM40" s="1166">
        <f t="shared" si="327"/>
        <v>0.14290787882787395</v>
      </c>
      <c r="BN40" s="842">
        <f t="shared" si="327"/>
        <v>9.4903748876604299E-2</v>
      </c>
      <c r="BO40" s="842">
        <f>+(BO32-BO526)/BN32-1</f>
        <v>1.6625856134000472E-2</v>
      </c>
      <c r="BP40" s="842">
        <f>+(BP32-BP526)/(BO32-BO526)-1-BP38+BP39</f>
        <v>6.6008044008454447E-2</v>
      </c>
    </row>
    <row r="41" spans="2:73">
      <c r="B41" s="13"/>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3"/>
      <c r="AS41" s="3"/>
      <c r="AT41" s="14"/>
      <c r="AU41" s="14"/>
      <c r="AV41" s="14"/>
      <c r="AW41" s="14"/>
      <c r="AX41" s="14"/>
      <c r="AY41" s="14"/>
      <c r="AZ41" s="14"/>
      <c r="BA41" s="14"/>
      <c r="BB41" s="14"/>
      <c r="BC41" s="14"/>
      <c r="BD41" s="14"/>
      <c r="BE41" s="14"/>
      <c r="BH41" s="14"/>
      <c r="BI41" s="14"/>
      <c r="BJ41" s="14"/>
      <c r="BK41" s="14"/>
      <c r="BL41" s="14"/>
      <c r="BM41" s="14"/>
      <c r="BN41" s="14"/>
      <c r="BO41" s="14"/>
      <c r="BP41" s="14"/>
    </row>
    <row r="42" spans="2:73">
      <c r="B42" s="24" t="s">
        <v>115</v>
      </c>
    </row>
    <row r="43" spans="2:73" s="3" customFormat="1">
      <c r="B43" s="13" t="str">
        <f>+B29</f>
        <v>R&amp;D</v>
      </c>
      <c r="D43" s="228">
        <f t="shared" ref="D43:N43" si="328">IFERROR(D29/D$12,"n/a ")</f>
        <v>0.14165471066475371</v>
      </c>
      <c r="E43" s="228">
        <f t="shared" si="328"/>
        <v>0.11483784104858828</v>
      </c>
      <c r="F43" s="228">
        <f t="shared" si="328"/>
        <v>0.13849514337500582</v>
      </c>
      <c r="G43" s="228">
        <f t="shared" si="328"/>
        <v>0.13402061855670103</v>
      </c>
      <c r="H43" s="228">
        <f t="shared" si="328"/>
        <v>0.14164538489602335</v>
      </c>
      <c r="I43" s="228">
        <f t="shared" si="328"/>
        <v>0.11856268876326183</v>
      </c>
      <c r="J43" s="228">
        <f t="shared" si="328"/>
        <v>0.14453730828881614</v>
      </c>
      <c r="K43" s="228">
        <f t="shared" si="328"/>
        <v>0.13723882054286271</v>
      </c>
      <c r="L43" s="228">
        <f t="shared" si="328"/>
        <v>0.14565164235063982</v>
      </c>
      <c r="M43" s="228">
        <f t="shared" si="328"/>
        <v>0.12117020540839615</v>
      </c>
      <c r="N43" s="228">
        <f t="shared" si="328"/>
        <v>0.13852119765837653</v>
      </c>
      <c r="O43" s="228">
        <f t="shared" ref="O43:V43" si="329">IFERROR(O29/O$12,"n/a ")</f>
        <v>0.1307295994681735</v>
      </c>
      <c r="P43" s="228">
        <f t="shared" si="329"/>
        <v>0.13674185118965754</v>
      </c>
      <c r="Q43" s="228">
        <f t="shared" si="329"/>
        <v>0.12534261340888794</v>
      </c>
      <c r="R43" s="228">
        <f t="shared" si="329"/>
        <v>0.14117954924601747</v>
      </c>
      <c r="S43" s="228">
        <f t="shared" si="329"/>
        <v>0.13384939348103331</v>
      </c>
      <c r="T43" s="228">
        <f t="shared" si="329"/>
        <v>0.13810316139767054</v>
      </c>
      <c r="U43" s="228">
        <f t="shared" si="329"/>
        <v>0.1247222673819975</v>
      </c>
      <c r="V43" s="228">
        <f t="shared" si="329"/>
        <v>0.13954484452185831</v>
      </c>
      <c r="W43" s="228">
        <f t="shared" ref="W43:X43" si="330">IFERROR(W29/W$12,"n/a ")</f>
        <v>0.13709147319433124</v>
      </c>
      <c r="X43" s="228">
        <f t="shared" si="330"/>
        <v>0.13258330193249718</v>
      </c>
      <c r="Y43" s="228">
        <f t="shared" ref="Y43:Z43" si="331">IFERROR(Y29/Y$12,"n/a ")</f>
        <v>0.11372922276905933</v>
      </c>
      <c r="Z43" s="228">
        <f t="shared" si="331"/>
        <v>0.12477820937035439</v>
      </c>
      <c r="AA43" s="228">
        <f t="shared" ref="AA43:AB43" si="332">IFERROR(AA29/AA$12,"n/a ")</f>
        <v>0.12322326226382388</v>
      </c>
      <c r="AB43" s="228">
        <f t="shared" si="332"/>
        <v>0.12355186795242404</v>
      </c>
      <c r="AC43" s="228">
        <f t="shared" ref="AC43:AD43" si="333">IFERROR(AC29/AC$12,"n/a ")</f>
        <v>0.11131302196102691</v>
      </c>
      <c r="AD43" s="228">
        <f t="shared" si="333"/>
        <v>0.12775526742301457</v>
      </c>
      <c r="AE43" s="228">
        <f t="shared" ref="AE43:AF43" si="334">IFERROR(AE29/AE$12,"n/a ")</f>
        <v>0.13205437192711847</v>
      </c>
      <c r="AF43" s="228">
        <f t="shared" si="334"/>
        <v>0.13223734088823272</v>
      </c>
      <c r="AG43" s="228">
        <f t="shared" ref="AG43:AH43" si="335">IFERROR(AG29/AG$12,"n/a ")</f>
        <v>0.1297514550590555</v>
      </c>
      <c r="AH43" s="228">
        <f t="shared" si="335"/>
        <v>0.13213008683807254</v>
      </c>
      <c r="AI43" s="228">
        <f t="shared" ref="AI43:AJ43" si="336">IFERROR(AI29/AI$12,"n/a ")</f>
        <v>0.11993450675399099</v>
      </c>
      <c r="AJ43" s="228">
        <f t="shared" si="336"/>
        <v>0.11782295592476599</v>
      </c>
      <c r="AK43" s="228">
        <f t="shared" ref="AK43:AL43" si="337">IFERROR(AK29/AK$12,"n/a ")</f>
        <v>0.11515640116091583</v>
      </c>
      <c r="AL43" s="228">
        <f t="shared" si="337"/>
        <v>0.12371883992369621</v>
      </c>
      <c r="AM43" s="228">
        <f t="shared" ref="AM43" si="338">IFERROR(AM29/AM$12,"n/a ")</f>
        <v>0.12446119857246589</v>
      </c>
      <c r="AN43" s="228"/>
      <c r="AO43" s="228"/>
      <c r="AP43" s="228"/>
      <c r="AQ43" s="228"/>
      <c r="AR43" s="228"/>
      <c r="AS43" s="228">
        <f t="shared" ref="AS43:BE43" si="339">IFERROR(AS29/AS$12,"n/a ")</f>
        <v>0.1532371569317382</v>
      </c>
      <c r="AT43" s="228">
        <f t="shared" si="339"/>
        <v>0.14868343796576486</v>
      </c>
      <c r="AU43" s="228">
        <f t="shared" si="339"/>
        <v>0.13929423731465906</v>
      </c>
      <c r="AV43" s="228">
        <f t="shared" si="339"/>
        <v>0.13512082092022509</v>
      </c>
      <c r="AW43" s="228">
        <f t="shared" si="339"/>
        <v>0.15418313739582798</v>
      </c>
      <c r="AX43" s="228">
        <f t="shared" si="339"/>
        <v>0.139459701683631</v>
      </c>
      <c r="AY43" s="228">
        <f t="shared" si="339"/>
        <v>0.12929099409519179</v>
      </c>
      <c r="AZ43" s="228">
        <f t="shared" si="339"/>
        <v>0.13307922900587332</v>
      </c>
      <c r="BA43" s="228">
        <f t="shared" si="339"/>
        <v>0.13373325283561768</v>
      </c>
      <c r="BB43" s="228">
        <f t="shared" si="339"/>
        <v>0.13106768164177213</v>
      </c>
      <c r="BC43" s="228">
        <f t="shared" si="339"/>
        <v>0.12872408634323573</v>
      </c>
      <c r="BD43" s="228">
        <f t="shared" si="339"/>
        <v>0.14050632911392405</v>
      </c>
      <c r="BE43" s="228">
        <f t="shared" si="339"/>
        <v>0.1449360755975542</v>
      </c>
      <c r="BF43" s="228"/>
      <c r="BG43" s="228">
        <f t="shared" ref="BG43:BJ45" si="340">IFERROR(BG29/BG$12,"n/a ")</f>
        <v>0.13151370208657875</v>
      </c>
      <c r="BH43" s="228">
        <f t="shared" si="340"/>
        <v>0.13499911981857907</v>
      </c>
      <c r="BI43" s="228">
        <f t="shared" si="340"/>
        <v>0.13343602754621239</v>
      </c>
      <c r="BJ43" s="228">
        <f t="shared" si="340"/>
        <v>0.13410360528595155</v>
      </c>
      <c r="BK43" s="228">
        <f t="shared" ref="BK43:BL43" si="341">IFERROR(BK29/BK$12,"n/a ")</f>
        <v>0.1347341187987274</v>
      </c>
      <c r="BL43" s="228">
        <f t="shared" si="341"/>
        <v>0.12324496692208843</v>
      </c>
      <c r="BM43" s="228">
        <f t="shared" ref="BM43:BN43" si="342">IFERROR(BM29/BM$12,"n/a ")</f>
        <v>0.12362939426035205</v>
      </c>
      <c r="BN43" s="228">
        <f t="shared" si="342"/>
        <v>0.12832975485454073</v>
      </c>
      <c r="BO43" s="228">
        <f t="shared" ref="BO43" si="343">IFERROR(BO29/BO$12,"n/a ")</f>
        <v>0.12038903076835208</v>
      </c>
      <c r="BP43" s="228"/>
    </row>
    <row r="44" spans="2:73" s="3" customFormat="1">
      <c r="B44" s="13" t="str">
        <f>+B30</f>
        <v>S&amp;M</v>
      </c>
      <c r="D44" s="228">
        <f t="shared" ref="D44:N44" si="344">IFERROR(D30/D$12,"n/a ")</f>
        <v>0.15978000956480154</v>
      </c>
      <c r="E44" s="228">
        <f t="shared" si="344"/>
        <v>0.15657545638142004</v>
      </c>
      <c r="F44" s="228">
        <f t="shared" si="344"/>
        <v>0.15792164335176836</v>
      </c>
      <c r="G44" s="228">
        <f t="shared" si="344"/>
        <v>0.16793047627161967</v>
      </c>
      <c r="H44" s="228">
        <f t="shared" si="344"/>
        <v>0.14675300985041956</v>
      </c>
      <c r="I44" s="228">
        <f t="shared" si="344"/>
        <v>0.1579416092310075</v>
      </c>
      <c r="J44" s="228">
        <f t="shared" si="344"/>
        <v>0.16681027054971567</v>
      </c>
      <c r="K44" s="228">
        <f t="shared" si="344"/>
        <v>0.16762351103300135</v>
      </c>
      <c r="L44" s="228">
        <f t="shared" si="344"/>
        <v>0.15535088434265221</v>
      </c>
      <c r="M44" s="228">
        <f t="shared" si="344"/>
        <v>0.15775641468981258</v>
      </c>
      <c r="N44" s="228">
        <f t="shared" si="344"/>
        <v>0.16163913643312577</v>
      </c>
      <c r="O44" s="228">
        <f t="shared" ref="O44:V44" si="345">IFERROR(O30/O$12,"n/a ")</f>
        <v>0.15821838125311616</v>
      </c>
      <c r="P44" s="228">
        <f t="shared" si="345"/>
        <v>0.14090221427589053</v>
      </c>
      <c r="Q44" s="228">
        <f t="shared" si="345"/>
        <v>0.14129530966092821</v>
      </c>
      <c r="R44" s="228">
        <f t="shared" si="345"/>
        <v>0.14932452324098</v>
      </c>
      <c r="S44" s="228">
        <f t="shared" si="345"/>
        <v>0.14716611798202686</v>
      </c>
      <c r="T44" s="228">
        <f t="shared" si="345"/>
        <v>0.13120556648010892</v>
      </c>
      <c r="U44" s="228">
        <f t="shared" si="345"/>
        <v>0.13366390288841923</v>
      </c>
      <c r="V44" s="228">
        <f t="shared" si="345"/>
        <v>0.14023014762571029</v>
      </c>
      <c r="W44" s="228">
        <f t="shared" ref="W44:X44" si="346">IFERROR(W30/W$12,"n/a ")</f>
        <v>0.14242894328609365</v>
      </c>
      <c r="X44" s="228">
        <f t="shared" si="346"/>
        <v>0.11387737524896377</v>
      </c>
      <c r="Y44" s="228">
        <f t="shared" ref="Y44:Z44" si="347">IFERROR(Y30/Y$12,"n/a ")</f>
        <v>0.11484353236140775</v>
      </c>
      <c r="Z44" s="228">
        <f t="shared" si="347"/>
        <v>0.12185297079556898</v>
      </c>
      <c r="AA44" s="228">
        <f t="shared" ref="AA44:AB44" si="348">IFERROR(AA30/AA$12,"n/a ")</f>
        <v>0.12690674293638413</v>
      </c>
      <c r="AB44" s="228">
        <f t="shared" si="348"/>
        <v>0.100337621643092</v>
      </c>
      <c r="AC44" s="228">
        <f t="shared" ref="AC44:AD44" si="349">IFERROR(AC30/AC$12,"n/a ")</f>
        <v>0.10398623569440149</v>
      </c>
      <c r="AD44" s="228">
        <f t="shared" si="349"/>
        <v>0.11335089141004863</v>
      </c>
      <c r="AE44" s="228">
        <f t="shared" ref="AE44:AF44" si="350">IFERROR(AE30/AE$12,"n/a ")</f>
        <v>0.12154632218258941</v>
      </c>
      <c r="AF44" s="228">
        <f t="shared" si="350"/>
        <v>0.10227046007741111</v>
      </c>
      <c r="AG44" s="228">
        <f t="shared" ref="AG44:AH44" si="351">IFERROR(AG30/AG$12,"n/a ")</f>
        <v>0.10766489089426887</v>
      </c>
      <c r="AH44" s="228">
        <f t="shared" si="351"/>
        <v>0.10878407779480485</v>
      </c>
      <c r="AI44" s="228">
        <f t="shared" ref="AI44:AJ44" si="352">IFERROR(AI30/AI$12,"n/a ")</f>
        <v>0.11041307017387746</v>
      </c>
      <c r="AJ44" s="228">
        <f t="shared" si="352"/>
        <v>9.1777695206751955E-2</v>
      </c>
      <c r="AK44" s="228">
        <f t="shared" ref="AK44:AL44" si="353">IFERROR(AK30/AK$12,"n/a ")</f>
        <v>0.10070944856497904</v>
      </c>
      <c r="AL44" s="228">
        <f t="shared" si="353"/>
        <v>0.10034272042419735</v>
      </c>
      <c r="AM44" s="228">
        <f t="shared" ref="AM44" si="354">IFERROR(AM30/AM$12,"n/a ")</f>
        <v>0.10530381448236439</v>
      </c>
      <c r="AN44" s="228"/>
      <c r="AO44" s="228"/>
      <c r="AP44" s="228"/>
      <c r="AQ44" s="228"/>
      <c r="AR44" s="228"/>
      <c r="AS44" s="228">
        <f t="shared" ref="AS44:BE44" si="355">IFERROR(AS30/AS$12,"n/a ")</f>
        <v>0.21483864481753293</v>
      </c>
      <c r="AT44" s="228">
        <f t="shared" si="355"/>
        <v>0.22379296328079129</v>
      </c>
      <c r="AU44" s="228">
        <f t="shared" si="355"/>
        <v>0.22575407847893275</v>
      </c>
      <c r="AV44" s="228">
        <f t="shared" si="355"/>
        <v>0.21946375372393248</v>
      </c>
      <c r="AW44" s="228">
        <f t="shared" si="355"/>
        <v>0.22039119051285999</v>
      </c>
      <c r="AX44" s="228">
        <f t="shared" si="355"/>
        <v>0.21147813840343127</v>
      </c>
      <c r="AY44" s="228">
        <f t="shared" si="355"/>
        <v>0.1993051484780464</v>
      </c>
      <c r="AZ44" s="228">
        <f t="shared" si="355"/>
        <v>0.18796033802205553</v>
      </c>
      <c r="BA44" s="228">
        <f t="shared" si="355"/>
        <v>0.19622602730927821</v>
      </c>
      <c r="BB44" s="228">
        <f t="shared" si="355"/>
        <v>0.18208515195835684</v>
      </c>
      <c r="BC44" s="228">
        <f t="shared" si="355"/>
        <v>0.16790980978841633</v>
      </c>
      <c r="BD44" s="228">
        <f t="shared" si="355"/>
        <v>0.17225738396624474</v>
      </c>
      <c r="BE44" s="228">
        <f t="shared" si="355"/>
        <v>0.17275152862701501</v>
      </c>
      <c r="BF44" s="228"/>
      <c r="BG44" s="228">
        <f t="shared" si="340"/>
        <v>0.16055247164139808</v>
      </c>
      <c r="BH44" s="228">
        <f t="shared" si="340"/>
        <v>0.16009982292820826</v>
      </c>
      <c r="BI44" s="228">
        <f t="shared" si="340"/>
        <v>0.15829104748097136</v>
      </c>
      <c r="BJ44" s="228">
        <f t="shared" si="340"/>
        <v>0.14472795467368069</v>
      </c>
      <c r="BK44" s="228">
        <f t="shared" ref="BK44:BL44" si="356">IFERROR(BK30/BK$12,"n/a ")</f>
        <v>0.13703457679264414</v>
      </c>
      <c r="BL44" s="228">
        <f t="shared" si="356"/>
        <v>0.1196813573842273</v>
      </c>
      <c r="BM44" s="228">
        <f t="shared" ref="BM44:BN44" si="357">IFERROR(BM30/BM$12,"n/a ")</f>
        <v>0.11007716749886519</v>
      </c>
      <c r="BN44" s="228">
        <f t="shared" si="357"/>
        <v>0.10739683363612769</v>
      </c>
      <c r="BO44" s="228">
        <f t="shared" ref="BO44" si="358">IFERROR(BO30/BO$12,"n/a ")</f>
        <v>9.9770726413785787E-2</v>
      </c>
      <c r="BP44" s="228"/>
    </row>
    <row r="45" spans="2:73" s="839" customFormat="1" ht="11.45">
      <c r="B45" s="13" t="str">
        <f>+B31</f>
        <v>G&amp;A</v>
      </c>
      <c r="D45" s="840">
        <f t="shared" ref="D45:N45" si="359">IFERROR(D31/D$12,"n/a ")</f>
        <v>5.1841224294595888E-2</v>
      </c>
      <c r="E45" s="840">
        <f t="shared" si="359"/>
        <v>4.1104027244287807E-2</v>
      </c>
      <c r="F45" s="840">
        <f t="shared" si="359"/>
        <v>5.2981363572988799E-2</v>
      </c>
      <c r="G45" s="840">
        <f t="shared" si="359"/>
        <v>5.5423021214961232E-2</v>
      </c>
      <c r="H45" s="840">
        <f t="shared" si="359"/>
        <v>4.7655964976286026E-2</v>
      </c>
      <c r="I45" s="840">
        <f t="shared" si="359"/>
        <v>3.4035468132889338E-2</v>
      </c>
      <c r="J45" s="840">
        <f t="shared" si="359"/>
        <v>5.178356022746855E-2</v>
      </c>
      <c r="K45" s="840">
        <f t="shared" si="359"/>
        <v>5.291935168912322E-2</v>
      </c>
      <c r="L45" s="840">
        <f t="shared" si="359"/>
        <v>4.7518135137338005E-2</v>
      </c>
      <c r="M45" s="840">
        <f t="shared" si="359"/>
        <v>3.834981672314821E-2</v>
      </c>
      <c r="N45" s="840">
        <f t="shared" si="359"/>
        <v>4.5042693612737238E-2</v>
      </c>
      <c r="O45" s="840">
        <f t="shared" ref="O45:V45" si="360">IFERROR(O31/O$12,"n/a ")</f>
        <v>4.2246966927040053E-2</v>
      </c>
      <c r="P45" s="840">
        <f t="shared" si="360"/>
        <v>3.9506257736212351E-2</v>
      </c>
      <c r="Q45" s="840">
        <f t="shared" si="360"/>
        <v>3.486187675156293E-2</v>
      </c>
      <c r="R45" s="840">
        <f t="shared" si="360"/>
        <v>3.8565961205063622E-2</v>
      </c>
      <c r="S45" s="840">
        <f t="shared" si="360"/>
        <v>4.2263546578877126E-2</v>
      </c>
      <c r="T45" s="840">
        <f t="shared" si="360"/>
        <v>3.2098018454091666E-2</v>
      </c>
      <c r="U45" s="840">
        <f t="shared" si="360"/>
        <v>3.0374464856662873E-2</v>
      </c>
      <c r="V45" s="840">
        <f t="shared" si="360"/>
        <v>3.6349618800148482E-2</v>
      </c>
      <c r="W45" s="840">
        <f t="shared" ref="W45:X45" si="361">IFERROR(W31/W$12,"n/a ")</f>
        <v>4.3541135329845132E-2</v>
      </c>
      <c r="X45" s="840">
        <f t="shared" si="361"/>
        <v>3.0117887710609893E-2</v>
      </c>
      <c r="Y45" s="840">
        <f t="shared" ref="Y45:Z45" si="362">IFERROR(Y31/Y$12,"n/a ")</f>
        <v>2.6441638035100752E-2</v>
      </c>
      <c r="Z45" s="840">
        <f t="shared" si="362"/>
        <v>3.1817963842133028E-2</v>
      </c>
      <c r="AA45" s="840">
        <f t="shared" ref="AA45:AB45" si="363">IFERROR(AA31/AA$12,"n/a ")</f>
        <v>3.2977985786098112E-2</v>
      </c>
      <c r="AB45" s="840">
        <f t="shared" si="363"/>
        <v>2.8399938213032636E-2</v>
      </c>
      <c r="AC45" s="840">
        <f t="shared" ref="AC45:AD45" si="364">IFERROR(AC31/AC$12,"n/a ")</f>
        <v>2.6755335601608414E-2</v>
      </c>
      <c r="AD45" s="840">
        <f t="shared" si="364"/>
        <v>2.9983792544570502E-2</v>
      </c>
      <c r="AE45" s="840">
        <f t="shared" ref="AE45:AF45" si="365">IFERROR(AE31/AE$12,"n/a ")</f>
        <v>3.3722163308589605E-2</v>
      </c>
      <c r="AF45" s="840">
        <f t="shared" si="365"/>
        <v>2.789194365747576E-2</v>
      </c>
      <c r="AG45" s="840">
        <f t="shared" ref="AG45:AH45" si="366">IFERROR(AG31/AG$12,"n/a ")</f>
        <v>2.2105522588962406E-2</v>
      </c>
      <c r="AH45" s="840">
        <f t="shared" si="366"/>
        <v>3.1083867794237281E-2</v>
      </c>
      <c r="AI45" s="840">
        <f t="shared" ref="AI45:AJ45" si="367">IFERROR(AI31/AI$12,"n/a ")</f>
        <v>3.9100179750484972E-2</v>
      </c>
      <c r="AJ45" s="840">
        <f t="shared" si="367"/>
        <v>2.608064830051135E-2</v>
      </c>
      <c r="AK45" s="840">
        <f t="shared" ref="AK45:AL45" si="368">IFERROR(AK31/AK$12,"n/a ")</f>
        <v>2.3008706868752015E-2</v>
      </c>
      <c r="AL45" s="840">
        <f t="shared" si="368"/>
        <v>2.6544666817549873E-2</v>
      </c>
      <c r="AM45" s="840">
        <f t="shared" ref="AM45" si="369">IFERROR(AM31/AM$12,"n/a ")</f>
        <v>3.0837208583744034E-2</v>
      </c>
      <c r="AN45" s="840"/>
      <c r="AO45" s="840"/>
      <c r="AP45" s="840"/>
      <c r="AQ45" s="840"/>
      <c r="AR45" s="840"/>
      <c r="AS45" s="840">
        <f t="shared" ref="AS45:BE45" si="370">IFERROR(AS31/AS$12,"n/a ")</f>
        <v>0.11400422237860662</v>
      </c>
      <c r="AT45" s="840">
        <f t="shared" si="370"/>
        <v>8.4865182241091186E-2</v>
      </c>
      <c r="AU45" s="840">
        <f t="shared" si="370"/>
        <v>6.5118735573725592E-2</v>
      </c>
      <c r="AV45" s="840">
        <f t="shared" si="370"/>
        <v>8.4856007944389272E-2</v>
      </c>
      <c r="AW45" s="840">
        <f t="shared" si="370"/>
        <v>6.896315690401629E-2</v>
      </c>
      <c r="AX45" s="840">
        <f t="shared" si="370"/>
        <v>6.5024646309455217E-2</v>
      </c>
      <c r="AY45" s="840">
        <f t="shared" si="370"/>
        <v>6.0363438800165849E-2</v>
      </c>
      <c r="AZ45" s="840">
        <f t="shared" si="370"/>
        <v>6.1975231610216619E-2</v>
      </c>
      <c r="BA45" s="840">
        <f t="shared" si="370"/>
        <v>5.4978227080630451E-2</v>
      </c>
      <c r="BB45" s="840">
        <f t="shared" si="370"/>
        <v>5.3862010986606472E-2</v>
      </c>
      <c r="BC45" s="840">
        <f t="shared" si="370"/>
        <v>4.9273349006197904E-2</v>
      </c>
      <c r="BD45" s="840">
        <f t="shared" si="370"/>
        <v>5.3481012658227849E-2</v>
      </c>
      <c r="BE45" s="840">
        <f t="shared" si="370"/>
        <v>4.9816564758198997E-2</v>
      </c>
      <c r="BF45" s="840"/>
      <c r="BG45" s="840">
        <f t="shared" si="340"/>
        <v>5.0058143361783353E-2</v>
      </c>
      <c r="BH45" s="840">
        <f t="shared" si="340"/>
        <v>4.6401093495977055E-2</v>
      </c>
      <c r="BI45" s="840">
        <f t="shared" si="340"/>
        <v>4.3077201884740846E-2</v>
      </c>
      <c r="BJ45" s="840">
        <f t="shared" si="340"/>
        <v>3.8818209991815199E-2</v>
      </c>
      <c r="BK45" s="840">
        <f t="shared" ref="BK45:BL45" si="371">IFERROR(BK31/BK$12,"n/a ")</f>
        <v>3.5737510051393209E-2</v>
      </c>
      <c r="BL45" s="840">
        <f t="shared" si="371"/>
        <v>3.0382894674218265E-2</v>
      </c>
      <c r="BM45" s="840">
        <f t="shared" ref="BM45:BN45" si="372">IFERROR(BM31/BM$12,"n/a ")</f>
        <v>2.9757401523175468E-2</v>
      </c>
      <c r="BN45" s="840">
        <f t="shared" si="372"/>
        <v>3.0219663544345611E-2</v>
      </c>
      <c r="BO45" s="840">
        <f t="shared" ref="BO45" si="373">IFERROR(BO31/BO$12,"n/a ")</f>
        <v>2.6676512104176694E-2</v>
      </c>
      <c r="BP45" s="840"/>
    </row>
    <row r="46" spans="2:73" s="7" customFormat="1">
      <c r="B46" s="841" t="str">
        <f>+B32</f>
        <v xml:space="preserve">Total Opex </v>
      </c>
      <c r="D46" s="842">
        <f t="shared" ref="D46:V46" si="374">+D32/D12</f>
        <v>0.35327594452415112</v>
      </c>
      <c r="E46" s="842">
        <f t="shared" si="374"/>
        <v>0.3125173246742961</v>
      </c>
      <c r="F46" s="842">
        <f t="shared" si="374"/>
        <v>0.34939815029976296</v>
      </c>
      <c r="G46" s="842">
        <f t="shared" si="374"/>
        <v>0.35737411604328195</v>
      </c>
      <c r="H46" s="842">
        <f t="shared" si="374"/>
        <v>0.33605435972272896</v>
      </c>
      <c r="I46" s="842">
        <f t="shared" si="374"/>
        <v>0.31053976612715867</v>
      </c>
      <c r="J46" s="842">
        <f t="shared" si="374"/>
        <v>0.36313113906600036</v>
      </c>
      <c r="K46" s="842">
        <f t="shared" si="374"/>
        <v>0.35778168326498733</v>
      </c>
      <c r="L46" s="842">
        <f t="shared" si="374"/>
        <v>0.34852066183063002</v>
      </c>
      <c r="M46" s="842">
        <f t="shared" si="374"/>
        <v>0.31727643682135692</v>
      </c>
      <c r="N46" s="842">
        <f t="shared" si="374"/>
        <v>0.34520302770423955</v>
      </c>
      <c r="O46" s="842">
        <f t="shared" si="374"/>
        <v>0.33119494764832974</v>
      </c>
      <c r="P46" s="842">
        <f t="shared" si="374"/>
        <v>0.3171503232017604</v>
      </c>
      <c r="Q46" s="842">
        <f t="shared" si="374"/>
        <v>0.30149979982137909</v>
      </c>
      <c r="R46" s="842">
        <f t="shared" si="374"/>
        <v>0.32907003369206111</v>
      </c>
      <c r="S46" s="842">
        <f t="shared" si="374"/>
        <v>0.32327905804193729</v>
      </c>
      <c r="T46" s="842">
        <f t="shared" si="374"/>
        <v>0.30140674633187114</v>
      </c>
      <c r="U46" s="842">
        <f t="shared" si="374"/>
        <v>0.28876063512707961</v>
      </c>
      <c r="V46" s="842">
        <f t="shared" si="374"/>
        <v>0.3161246109477171</v>
      </c>
      <c r="W46" s="842">
        <f t="shared" ref="W46:X46" si="375">+W32/W12</f>
        <v>0.32306155181027002</v>
      </c>
      <c r="X46" s="842">
        <f t="shared" si="375"/>
        <v>0.27657856489207083</v>
      </c>
      <c r="Y46" s="842">
        <f t="shared" ref="Y46:Z46" si="376">+Y32/Y12</f>
        <v>0.25501439316556784</v>
      </c>
      <c r="Z46" s="842">
        <f t="shared" si="376"/>
        <v>0.27844914400805637</v>
      </c>
      <c r="AA46" s="842">
        <f t="shared" ref="AA46:AB46" si="377">+AA32/AA12</f>
        <v>0.28310799098630612</v>
      </c>
      <c r="AB46" s="842">
        <f t="shared" si="377"/>
        <v>0.25228942780854868</v>
      </c>
      <c r="AC46" s="842">
        <f t="shared" ref="AC46:AD46" si="378">+AC32/AC12</f>
        <v>0.24205459325703682</v>
      </c>
      <c r="AD46" s="842">
        <f t="shared" si="378"/>
        <v>0.2710899513776337</v>
      </c>
      <c r="AE46" s="842">
        <f t="shared" ref="AE46:AF46" si="379">+AE32/AE12</f>
        <v>0.28732285741829749</v>
      </c>
      <c r="AF46" s="842">
        <f t="shared" si="379"/>
        <v>0.2623997446231196</v>
      </c>
      <c r="AG46" s="842">
        <f t="shared" ref="AG46:AH46" si="380">+AG32/AG12</f>
        <v>0.25952186854228676</v>
      </c>
      <c r="AH46" s="842">
        <f t="shared" si="380"/>
        <v>0.27199803242711468</v>
      </c>
      <c r="AI46" s="842">
        <f t="shared" ref="AI46:AJ46" si="381">+AI32/AI12</f>
        <v>0.26944775667835341</v>
      </c>
      <c r="AJ46" s="842">
        <f t="shared" si="381"/>
        <v>0.23568129943202931</v>
      </c>
      <c r="AK46" s="842">
        <f t="shared" ref="AK46:AL46" si="382">+AK32/AK12</f>
        <v>0.23887455659464688</v>
      </c>
      <c r="AL46" s="842">
        <f t="shared" si="382"/>
        <v>0.25060622716544345</v>
      </c>
      <c r="AM46" s="842">
        <f t="shared" ref="AM46" si="383">+AM32/AM12</f>
        <v>0.26060222163857433</v>
      </c>
      <c r="AN46" s="842">
        <f t="shared" ref="AN46:AQ46" si="384">+AN32/AN12</f>
        <v>0.22724378812927809</v>
      </c>
      <c r="AO46" s="842">
        <f t="shared" si="384"/>
        <v>0.22243986615428132</v>
      </c>
      <c r="AP46" s="842">
        <f t="shared" si="384"/>
        <v>0.23740788669390736</v>
      </c>
      <c r="AQ46" s="842">
        <f t="shared" si="384"/>
        <v>0.24801779568895352</v>
      </c>
      <c r="AR46" s="842"/>
      <c r="AS46" s="842">
        <f t="shared" ref="AS46:BE46" si="385">+AS32/AS12</f>
        <v>0.48208002412787776</v>
      </c>
      <c r="AT46" s="842">
        <f t="shared" si="385"/>
        <v>0.45734158348764736</v>
      </c>
      <c r="AU46" s="842">
        <f t="shared" si="385"/>
        <v>0.43016705136731742</v>
      </c>
      <c r="AV46" s="842">
        <f t="shared" si="385"/>
        <v>0.43944058258854685</v>
      </c>
      <c r="AW46" s="842">
        <f t="shared" si="385"/>
        <v>0.44353748481270427</v>
      </c>
      <c r="AX46" s="842">
        <f t="shared" si="385"/>
        <v>0.41596248639651751</v>
      </c>
      <c r="AY46" s="842">
        <f t="shared" si="385"/>
        <v>0.38895958137340408</v>
      </c>
      <c r="AZ46" s="842">
        <f t="shared" si="385"/>
        <v>0.38301479863814547</v>
      </c>
      <c r="BA46" s="842">
        <f t="shared" si="385"/>
        <v>0.38493750722552633</v>
      </c>
      <c r="BB46" s="842">
        <f t="shared" si="385"/>
        <v>0.36701484458673544</v>
      </c>
      <c r="BC46" s="842">
        <f t="shared" si="385"/>
        <v>0.34590724513784998</v>
      </c>
      <c r="BD46" s="842">
        <f t="shared" si="385"/>
        <v>0.36624472573839661</v>
      </c>
      <c r="BE46" s="842">
        <f t="shared" si="385"/>
        <v>0.36750416898276822</v>
      </c>
      <c r="BF46" s="842"/>
      <c r="BG46" s="842">
        <f>+BG32/BG12</f>
        <v>0.34212431708976021</v>
      </c>
      <c r="BH46" s="842">
        <f>+BH32/BH12</f>
        <v>0.34150003624276437</v>
      </c>
      <c r="BI46" s="842">
        <f>+BI32/BI12</f>
        <v>0.3348042769119246</v>
      </c>
      <c r="BJ46" s="842">
        <f>+BJ32/BJ12</f>
        <v>0.31764976995144745</v>
      </c>
      <c r="BK46" s="842">
        <f t="shared" ref="BK46" si="386">+BK32/BK12</f>
        <v>0.30750620564276476</v>
      </c>
      <c r="BL46" s="842">
        <f t="shared" ref="BL46:BM46" si="387">+BL32/BL12</f>
        <v>0.27330921898053401</v>
      </c>
      <c r="BM46" s="842">
        <f t="shared" si="387"/>
        <v>0.26346396328239269</v>
      </c>
      <c r="BN46" s="842">
        <f t="shared" ref="BN46" si="388">+BN32/BN12</f>
        <v>0.26594625203501404</v>
      </c>
      <c r="BO46" s="842">
        <f t="shared" ref="BO46:BP46" si="389">+BO32/BO12</f>
        <v>0.24683626928631458</v>
      </c>
      <c r="BP46" s="842">
        <f t="shared" si="389"/>
        <v>0.23413148658330596</v>
      </c>
    </row>
    <row r="47" spans="2:73">
      <c r="B47" s="843"/>
      <c r="D47" s="825"/>
      <c r="E47" s="825"/>
      <c r="F47" s="825"/>
      <c r="G47" s="825"/>
      <c r="H47" s="825"/>
      <c r="I47" s="825"/>
      <c r="J47" s="825"/>
      <c r="K47" s="825"/>
      <c r="L47" s="825"/>
      <c r="M47" s="825"/>
      <c r="N47" s="825"/>
      <c r="O47" s="825"/>
      <c r="P47" s="825"/>
      <c r="Q47" s="825"/>
      <c r="R47" s="825"/>
      <c r="S47" s="825"/>
      <c r="T47" s="825"/>
      <c r="U47" s="825"/>
      <c r="X47" s="826"/>
      <c r="Y47" s="826"/>
      <c r="Z47" s="844"/>
      <c r="AA47" s="828"/>
      <c r="AB47" s="827"/>
      <c r="AC47" s="828"/>
      <c r="AG47" s="8"/>
      <c r="AM47" s="828" t="s">
        <v>265</v>
      </c>
      <c r="AN47" s="992">
        <f>+BX154*1000</f>
        <v>29000</v>
      </c>
      <c r="AO47" s="827" t="s">
        <v>283</v>
      </c>
      <c r="AP47" s="844"/>
      <c r="AQ47" s="827"/>
      <c r="AX47" s="8"/>
      <c r="BA47" s="8"/>
      <c r="BB47" s="8"/>
    </row>
    <row r="48" spans="2:73">
      <c r="B48" t="s">
        <v>95</v>
      </c>
      <c r="D48" s="8">
        <f t="shared" ref="D48:V48" si="390">+D22-D32</f>
        <v>6316</v>
      </c>
      <c r="E48" s="8">
        <f t="shared" si="390"/>
        <v>7489</v>
      </c>
      <c r="F48" s="8">
        <f t="shared" si="390"/>
        <v>6277</v>
      </c>
      <c r="G48" s="8">
        <f t="shared" si="390"/>
        <v>7106</v>
      </c>
      <c r="H48" s="8">
        <f t="shared" si="390"/>
        <v>6715</v>
      </c>
      <c r="I48" s="8">
        <f t="shared" si="390"/>
        <v>7905</v>
      </c>
      <c r="J48" s="8">
        <f t="shared" si="390"/>
        <v>6723</v>
      </c>
      <c r="K48" s="8">
        <f t="shared" si="390"/>
        <v>7988</v>
      </c>
      <c r="L48" s="8">
        <f t="shared" si="390"/>
        <v>7708</v>
      </c>
      <c r="M48" s="8">
        <f t="shared" si="390"/>
        <v>8679</v>
      </c>
      <c r="N48" s="8">
        <f t="shared" si="390"/>
        <v>8292</v>
      </c>
      <c r="O48" s="8">
        <f t="shared" si="390"/>
        <v>10379</v>
      </c>
      <c r="P48" s="8">
        <f t="shared" si="390"/>
        <v>9955</v>
      </c>
      <c r="Q48" s="8">
        <f t="shared" si="390"/>
        <v>10258</v>
      </c>
      <c r="R48" s="8">
        <f t="shared" si="390"/>
        <v>10341</v>
      </c>
      <c r="S48" s="8">
        <f t="shared" si="390"/>
        <v>12405</v>
      </c>
      <c r="T48" s="8">
        <f t="shared" si="390"/>
        <v>12686</v>
      </c>
      <c r="U48" s="8">
        <f t="shared" si="390"/>
        <v>13891</v>
      </c>
      <c r="V48" s="8">
        <f t="shared" si="390"/>
        <v>12975</v>
      </c>
      <c r="W48" s="8">
        <f>+W22-W32</f>
        <v>13407</v>
      </c>
      <c r="X48" s="8">
        <f t="shared" ref="X48" si="391">+X22-X32</f>
        <v>15876</v>
      </c>
      <c r="Y48" s="8">
        <f t="shared" ref="Y48" si="392">+Y22-Y32</f>
        <v>17897</v>
      </c>
      <c r="Z48" s="8">
        <f t="shared" ref="Z48:AA48" si="393">+Z184</f>
        <v>17048</v>
      </c>
      <c r="AA48" s="8">
        <f t="shared" si="393"/>
        <v>19095</v>
      </c>
      <c r="AB48" s="8">
        <f t="shared" ref="AB48:AD48" si="394">+AB184</f>
        <v>20238</v>
      </c>
      <c r="AC48" s="8">
        <f t="shared" si="394"/>
        <v>22247</v>
      </c>
      <c r="AD48" s="8">
        <f t="shared" si="394"/>
        <v>20364</v>
      </c>
      <c r="AE48" s="8">
        <f t="shared" ref="AE48:AF48" si="395">+AE184</f>
        <v>20534</v>
      </c>
      <c r="AF48" s="8">
        <f t="shared" si="395"/>
        <v>21518</v>
      </c>
      <c r="AG48" s="8">
        <f>+AG785</f>
        <v>21570</v>
      </c>
      <c r="AH48" s="8">
        <f t="shared" ref="AH48:AI48" si="396">+AH785</f>
        <v>22352</v>
      </c>
      <c r="AI48" s="8">
        <f t="shared" si="396"/>
        <v>24254</v>
      </c>
      <c r="AJ48" s="8">
        <f t="shared" ref="AJ48:AK48" si="397">+AJ785</f>
        <v>26895</v>
      </c>
      <c r="AK48" s="8">
        <f t="shared" si="397"/>
        <v>28162</v>
      </c>
      <c r="AL48" s="8">
        <f t="shared" ref="AL48" si="398">+AL785</f>
        <v>28521</v>
      </c>
      <c r="AM48" s="8">
        <f t="shared" ref="AM48" si="399">+AM785</f>
        <v>28865</v>
      </c>
      <c r="AN48" s="8">
        <f t="shared" ref="AN48:AQ48" si="400">+AN184</f>
        <v>31792.071747707938</v>
      </c>
      <c r="AO48" s="8">
        <f t="shared" si="400"/>
        <v>33184.293051057095</v>
      </c>
      <c r="AP48" s="8">
        <f t="shared" si="400"/>
        <v>33877.239026210489</v>
      </c>
      <c r="AQ48" s="8">
        <f t="shared" si="400"/>
        <v>34436.744665397717</v>
      </c>
      <c r="AS48" s="8">
        <f t="shared" ref="AS48:BE48" si="401">+AS22-AS32</f>
        <v>14576</v>
      </c>
      <c r="AT48" s="8">
        <f t="shared" si="401"/>
        <v>16380</v>
      </c>
      <c r="AU48" s="8">
        <f t="shared" si="401"/>
        <v>18438</v>
      </c>
      <c r="AV48" s="8">
        <f t="shared" si="401"/>
        <v>22271</v>
      </c>
      <c r="AW48" s="8">
        <f t="shared" si="401"/>
        <v>20363</v>
      </c>
      <c r="AX48" s="8">
        <f t="shared" si="401"/>
        <v>24098</v>
      </c>
      <c r="AY48" s="8">
        <f t="shared" si="401"/>
        <v>27161</v>
      </c>
      <c r="AZ48" s="8">
        <f t="shared" si="401"/>
        <v>27956</v>
      </c>
      <c r="BA48" s="8">
        <f t="shared" si="401"/>
        <v>27497</v>
      </c>
      <c r="BB48" s="8">
        <f t="shared" si="401"/>
        <v>27886</v>
      </c>
      <c r="BC48" s="8">
        <f t="shared" si="401"/>
        <v>28172</v>
      </c>
      <c r="BD48" s="8">
        <f t="shared" si="401"/>
        <v>21292</v>
      </c>
      <c r="BE48" s="8">
        <f t="shared" si="401"/>
        <v>22632</v>
      </c>
      <c r="BG48" s="8">
        <f>+BG22-BG32</f>
        <v>27188</v>
      </c>
      <c r="BH48" s="8">
        <f>+BH22-BH32</f>
        <v>29331</v>
      </c>
      <c r="BI48" s="8">
        <f>+BI22-BI32</f>
        <v>35058</v>
      </c>
      <c r="BJ48" s="8">
        <f>+BJ22-BJ32</f>
        <v>42959</v>
      </c>
      <c r="BK48" s="8">
        <f>SUM(T48:W48)</f>
        <v>52959</v>
      </c>
      <c r="BL48" s="8">
        <f>SUM(X48:AA48)</f>
        <v>69916</v>
      </c>
      <c r="BM48" s="8">
        <f>SUM(AB48:AE48)</f>
        <v>83383</v>
      </c>
      <c r="BN48" s="8">
        <f>SUM(AF48:AI48)</f>
        <v>89694</v>
      </c>
      <c r="BO48" s="8">
        <f>SUM(AJ48:AM48)</f>
        <v>112443</v>
      </c>
      <c r="BP48" s="8">
        <f>+SUM(AN48:AQ48)</f>
        <v>133290.34849037323</v>
      </c>
      <c r="BR48" s="8">
        <f>+SUM(Z48:AC48)</f>
        <v>78628</v>
      </c>
      <c r="BS48" s="8">
        <f>+SUM(AD48:AG48)</f>
        <v>83986</v>
      </c>
      <c r="BT48" s="8">
        <f>+SUM(AH48:AK48)</f>
        <v>101663</v>
      </c>
      <c r="BU48" s="8">
        <f>+SUM(AL48:AO48)</f>
        <v>122362.36479876502</v>
      </c>
    </row>
    <row r="49" spans="2:74" s="3" customFormat="1">
      <c r="B49" s="13" t="s">
        <v>113</v>
      </c>
      <c r="D49" s="228"/>
      <c r="E49" s="228"/>
      <c r="F49" s="228"/>
      <c r="G49" s="228"/>
      <c r="H49" s="228">
        <f>IFERROR(H48/D48-1,"n/a ")</f>
        <v>6.317289423685879E-2</v>
      </c>
      <c r="I49" s="228">
        <f t="shared" ref="I49" si="402">IFERROR(I48/E48-1,"n/a ")</f>
        <v>5.5548137267993125E-2</v>
      </c>
      <c r="J49" s="228">
        <f t="shared" ref="J49" si="403">IFERROR(J48/F48-1,"n/a ")</f>
        <v>7.1053050820455654E-2</v>
      </c>
      <c r="K49" s="228">
        <f t="shared" ref="K49" si="404">IFERROR(K48/G48-1,"n/a ")</f>
        <v>0.12412046158176193</v>
      </c>
      <c r="L49" s="228">
        <f t="shared" ref="L49" si="405">IFERROR(L48/H48-1,"n/a ")</f>
        <v>0.14787788533134782</v>
      </c>
      <c r="M49" s="228">
        <f t="shared" ref="M49" si="406">IFERROR(M48/I48-1,"n/a ")</f>
        <v>9.7912713472485757E-2</v>
      </c>
      <c r="N49" s="228">
        <f t="shared" ref="N49" si="407">IFERROR(N48/J48-1,"n/a ")</f>
        <v>0.23337795626952262</v>
      </c>
      <c r="O49" s="228">
        <f t="shared" ref="O49" si="408">IFERROR(O48/K48-1,"n/a ")</f>
        <v>0.29932398597896848</v>
      </c>
      <c r="P49" s="228">
        <f t="shared" ref="P49" si="409">IFERROR(P48/L48-1,"n/a ")</f>
        <v>0.29151530877010901</v>
      </c>
      <c r="Q49" s="228">
        <f t="shared" ref="Q49" si="410">IFERROR(Q48/M48-1,"n/a ")</f>
        <v>0.18193340246572176</v>
      </c>
      <c r="R49" s="228">
        <f t="shared" ref="R49" si="411">IFERROR(R48/N48-1,"n/a ")</f>
        <v>0.2471056439942112</v>
      </c>
      <c r="S49" s="228">
        <f t="shared" ref="S49" si="412">IFERROR(S48/O48-1,"n/a ")</f>
        <v>0.19520184988919942</v>
      </c>
      <c r="T49" s="228">
        <f t="shared" ref="T49" si="413">IFERROR(T48/P48-1,"n/a ")</f>
        <v>0.27433450527373182</v>
      </c>
      <c r="U49" s="228">
        <f t="shared" ref="U49" si="414">IFERROR(U48/Q48-1,"n/a ")</f>
        <v>0.3541626047962565</v>
      </c>
      <c r="V49" s="228">
        <f t="shared" ref="V49" si="415">IFERROR(V48/R48-1,"n/a ")</f>
        <v>0.25471424427038003</v>
      </c>
      <c r="W49" s="228">
        <f t="shared" ref="W49" si="416">IFERROR(W48/S48-1,"n/a ")</f>
        <v>8.0773881499395461E-2</v>
      </c>
      <c r="X49" s="228">
        <f t="shared" ref="X49" si="417">IFERROR(X48/T48-1,"n/a ")</f>
        <v>0.25145830048872764</v>
      </c>
      <c r="Y49" s="228">
        <f t="shared" ref="Y49" si="418">IFERROR(Y48/U48-1,"n/a ")</f>
        <v>0.28838816499892017</v>
      </c>
      <c r="Z49" s="228">
        <f t="shared" ref="Z49" si="419">IFERROR(Z48/V48-1,"n/a ")</f>
        <v>0.31391136801541419</v>
      </c>
      <c r="AA49" s="228">
        <f t="shared" ref="AA49" si="420">IFERROR(AA48/W48-1,"n/a ")</f>
        <v>0.42425598567912282</v>
      </c>
      <c r="AB49" s="228">
        <f t="shared" ref="AB49" si="421">IFERROR(AB48/X48-1,"n/a ")</f>
        <v>0.27475434618291761</v>
      </c>
      <c r="AC49" s="228">
        <f t="shared" ref="AC49" si="422">IFERROR(AC48/Y48-1,"n/a ")</f>
        <v>0.24305749566966539</v>
      </c>
      <c r="AD49" s="228">
        <f t="shared" ref="AD49" si="423">IFERROR(AD48/Z48-1,"n/a ")</f>
        <v>0.19450961989676219</v>
      </c>
      <c r="AE49" s="228">
        <f t="shared" ref="AE49" si="424">IFERROR(AE48/AA48-1,"n/a ")</f>
        <v>7.5360041895784269E-2</v>
      </c>
      <c r="AF49" s="228">
        <f t="shared" ref="AF49" si="425">IFERROR(AF48/AB48-1,"n/a ")</f>
        <v>6.3247356458147941E-2</v>
      </c>
      <c r="AG49" s="228">
        <f t="shared" ref="AG49" si="426">IFERROR(AG48/AC48-1,"n/a ")</f>
        <v>-3.0431069357666152E-2</v>
      </c>
      <c r="AH49" s="228">
        <f t="shared" ref="AH49" si="427">IFERROR(AH48/AD48-1,"n/a ")</f>
        <v>9.7623256727558338E-2</v>
      </c>
      <c r="AI49" s="228">
        <f t="shared" ref="AI49" si="428">IFERROR(AI48/AE48-1,"n/a ")</f>
        <v>0.18116294925489429</v>
      </c>
      <c r="AJ49" s="228">
        <f t="shared" ref="AJ49" si="429">IFERROR(AJ48/AF48-1,"n/a ")</f>
        <v>0.2498838181987173</v>
      </c>
      <c r="AK49" s="228">
        <f t="shared" ref="AK49" si="430">IFERROR(AK48/AG48-1,"n/a ")</f>
        <v>0.30560964302271665</v>
      </c>
      <c r="AL49" s="228">
        <f t="shared" ref="AL49" si="431">IFERROR(AL48/AH48-1,"n/a ")</f>
        <v>0.2759931997136722</v>
      </c>
      <c r="AM49" s="228">
        <f t="shared" ref="AM49" si="432">IFERROR(AM48/AI48-1,"n/a ")</f>
        <v>0.19011297105632052</v>
      </c>
      <c r="AN49" s="228">
        <f t="shared" ref="AN49" si="433">IFERROR(AN48/AJ48-1,"n/a ")</f>
        <v>0.18208112094099049</v>
      </c>
      <c r="AO49" s="228">
        <f t="shared" ref="AO49" si="434">IFERROR(AO48/AK48-1,"n/a ")</f>
        <v>0.17833580892895018</v>
      </c>
      <c r="AP49" s="228">
        <f t="shared" ref="AP49" si="435">IFERROR(AP48/AL48-1,"n/a ")</f>
        <v>0.18779983262194477</v>
      </c>
      <c r="AQ49" s="228">
        <f t="shared" ref="AQ49" si="436">IFERROR(AQ48/AM48-1,"n/a ")</f>
        <v>0.19302770363407995</v>
      </c>
      <c r="AR49" s="228"/>
      <c r="AS49" s="228"/>
      <c r="AT49" s="228">
        <f>IFERROR(AT48/AS48-1,"n/a ")</f>
        <v>0.12376509330406149</v>
      </c>
      <c r="AU49" s="228">
        <f t="shared" ref="AU49" si="437">IFERROR(AU48/AT48-1,"n/a ")</f>
        <v>0.12564102564102564</v>
      </c>
      <c r="AV49" s="228">
        <f t="shared" ref="AV49" si="438">IFERROR(AV48/AU48-1,"n/a ")</f>
        <v>0.2078858878403298</v>
      </c>
      <c r="AW49" s="228">
        <f t="shared" ref="AW49" si="439">IFERROR(AW48/AV48-1,"n/a ")</f>
        <v>-8.5671950069597269E-2</v>
      </c>
      <c r="AX49" s="228">
        <f t="shared" ref="AX49" si="440">IFERROR(AX48/AW48-1,"n/a ")</f>
        <v>0.18342091047488096</v>
      </c>
      <c r="AY49" s="228">
        <f t="shared" ref="AY49" si="441">IFERROR(AY48/AX48-1,"n/a ")</f>
        <v>0.12710598389907868</v>
      </c>
      <c r="AZ49" s="228">
        <f t="shared" ref="AZ49" si="442">IFERROR(AZ48/AY48-1,"n/a ")</f>
        <v>2.9269909060785748E-2</v>
      </c>
      <c r="BA49" s="228">
        <f t="shared" ref="BA49" si="443">IFERROR(BA48/AZ48-1,"n/a ")</f>
        <v>-1.6418657890971522E-2</v>
      </c>
      <c r="BB49" s="228">
        <f t="shared" ref="BB49" si="444">IFERROR(BB48/BA48-1,"n/a ")</f>
        <v>1.4146997854311394E-2</v>
      </c>
      <c r="BC49" s="228">
        <f t="shared" ref="BC49" si="445">IFERROR(BC48/BB48-1,"n/a ")</f>
        <v>1.025604245858136E-2</v>
      </c>
      <c r="BD49" s="228">
        <f t="shared" ref="BD49" si="446">IFERROR(BD48/BC48-1,"n/a ")</f>
        <v>-0.24421411330398979</v>
      </c>
      <c r="BE49" s="228">
        <f t="shared" ref="BE49" si="447">IFERROR(BE48/BD48-1,"n/a ")</f>
        <v>6.2934435468720684E-2</v>
      </c>
      <c r="BF49" s="228"/>
      <c r="BG49" s="829">
        <f t="shared" ref="BG49" si="448">+BD49</f>
        <v>-0.24421411330398979</v>
      </c>
      <c r="BH49" s="228">
        <f t="shared" ref="BH49" si="449">IFERROR(BH48/BG48-1,"n/a ")</f>
        <v>7.882153891422683E-2</v>
      </c>
      <c r="BI49" s="228">
        <f t="shared" ref="BI49" si="450">IFERROR(BI48/BH48-1,"n/a ")</f>
        <v>0.19525416794517736</v>
      </c>
      <c r="BJ49" s="228">
        <f t="shared" ref="BJ49" si="451">IFERROR(BJ48/BI48-1,"n/a ")</f>
        <v>0.22536938787152727</v>
      </c>
      <c r="BK49" s="228">
        <f t="shared" ref="BK49" si="452">IFERROR(BK48/BJ48-1,"n/a ")</f>
        <v>0.23278009264647692</v>
      </c>
      <c r="BL49" s="228">
        <f t="shared" ref="BL49:BM49" si="453">IFERROR(BL48/BK48-1,"n/a ")</f>
        <v>0.3201910912215109</v>
      </c>
      <c r="BM49" s="228">
        <f t="shared" si="453"/>
        <v>0.19261685451112753</v>
      </c>
      <c r="BN49" s="228">
        <f t="shared" ref="BN49" si="454">IFERROR(BN48/BM48-1,"n/a ")</f>
        <v>7.5686890613194446E-2</v>
      </c>
      <c r="BO49" s="228">
        <f t="shared" ref="BO49" si="455">IFERROR(BO48/BN48-1,"n/a ")</f>
        <v>0.25362900528463439</v>
      </c>
      <c r="BP49" s="228">
        <f t="shared" ref="BP49" si="456">IFERROR(BP48/BO48-1,"n/a ")</f>
        <v>0.18540370223467217</v>
      </c>
      <c r="BR49" s="1212">
        <f>+BR48/BR12</f>
        <v>0.42523917946166367</v>
      </c>
      <c r="BS49" s="1212">
        <f>+BS48/BS12</f>
        <v>0.41150646270835989</v>
      </c>
      <c r="BT49" s="1212">
        <f t="shared" ref="BT49:BU49" si="457">+BT48/BT12</f>
        <v>0.44670735511879184</v>
      </c>
      <c r="BU49" s="1212">
        <f t="shared" si="457"/>
        <v>0.46694877232910015</v>
      </c>
      <c r="BV49" s="1212"/>
    </row>
    <row r="50" spans="2:74" s="3" customFormat="1">
      <c r="B50" s="13" t="s">
        <v>270</v>
      </c>
      <c r="D50" s="228"/>
      <c r="E50" s="228"/>
      <c r="F50" s="228"/>
      <c r="G50" s="228"/>
      <c r="H50" s="228" t="s">
        <v>271</v>
      </c>
      <c r="I50" s="228" t="s">
        <v>271</v>
      </c>
      <c r="J50" s="228" t="s">
        <v>271</v>
      </c>
      <c r="K50" s="228" t="s">
        <v>271</v>
      </c>
      <c r="L50" s="228">
        <f t="shared" ref="L50:AA50" si="458">+L60</f>
        <v>0.15</v>
      </c>
      <c r="M50" s="228">
        <f t="shared" si="458"/>
        <v>0.1</v>
      </c>
      <c r="N50" s="228">
        <f t="shared" si="458"/>
        <v>0.2</v>
      </c>
      <c r="O50" s="228">
        <f t="shared" si="458"/>
        <v>0.24</v>
      </c>
      <c r="P50" s="228">
        <f t="shared" si="458"/>
        <v>0.28000000000000003</v>
      </c>
      <c r="Q50" s="228">
        <f t="shared" si="458"/>
        <v>0.18</v>
      </c>
      <c r="R50" s="228">
        <f t="shared" si="458"/>
        <v>0.27</v>
      </c>
      <c r="S50" s="228">
        <f t="shared" si="458"/>
        <v>0.24</v>
      </c>
      <c r="T50" s="228">
        <f t="shared" si="458"/>
        <v>0.32</v>
      </c>
      <c r="U50" s="228">
        <f t="shared" si="458"/>
        <v>0.39</v>
      </c>
      <c r="V50" s="228">
        <f t="shared" si="458"/>
        <v>0.28000000000000003</v>
      </c>
      <c r="W50" s="228">
        <f t="shared" si="458"/>
        <v>0.19332527206771474</v>
      </c>
      <c r="X50" s="228">
        <f t="shared" si="458"/>
        <v>0.25</v>
      </c>
      <c r="Y50" s="228">
        <f t="shared" si="458"/>
        <v>0.26</v>
      </c>
      <c r="Z50" s="228">
        <f t="shared" si="458"/>
        <v>0.27</v>
      </c>
      <c r="AA50" s="228">
        <f t="shared" si="458"/>
        <v>0.35</v>
      </c>
      <c r="AB50" s="228">
        <f>+AB60</f>
        <v>0.24</v>
      </c>
      <c r="AC50" s="228">
        <f t="shared" ref="AC50:AK50" si="459">+AC60</f>
        <v>0.24</v>
      </c>
      <c r="AD50" s="228">
        <f t="shared" si="459"/>
        <v>0.23</v>
      </c>
      <c r="AE50" s="228">
        <f t="shared" si="459"/>
        <v>0.14000000000000001</v>
      </c>
      <c r="AF50" s="228">
        <f t="shared" si="459"/>
        <v>0.15</v>
      </c>
      <c r="AG50" s="228">
        <f t="shared" si="459"/>
        <v>0.06</v>
      </c>
      <c r="AH50" s="228">
        <f t="shared" si="459"/>
        <v>0.15</v>
      </c>
      <c r="AI50" s="228">
        <f t="shared" si="459"/>
        <v>0.21</v>
      </c>
      <c r="AJ50" s="228">
        <f t="shared" si="459"/>
        <v>0.24</v>
      </c>
      <c r="AK50" s="228">
        <f t="shared" si="459"/>
        <v>0.27560964302271662</v>
      </c>
      <c r="AL50" s="228">
        <f t="shared" ref="AL50:AM50" si="460">+AL60</f>
        <v>0.2759931997136722</v>
      </c>
      <c r="AM50" s="228">
        <f t="shared" si="460"/>
        <v>0.20011297105632053</v>
      </c>
      <c r="AN50" s="228">
        <f t="shared" ref="AN50:AQ50" si="461">+AN49+AN14-AN13</f>
        <v>0.17596681381039225</v>
      </c>
      <c r="AO50" s="228">
        <f t="shared" si="461"/>
        <v>0.15306232037817091</v>
      </c>
      <c r="AP50" s="228">
        <f t="shared" si="461"/>
        <v>0.16878429752488477</v>
      </c>
      <c r="AQ50" s="228">
        <f t="shared" si="461"/>
        <v>0.170001908644279</v>
      </c>
      <c r="AR50" s="228"/>
      <c r="AS50" s="228"/>
      <c r="AT50" s="228"/>
      <c r="AU50" s="228"/>
      <c r="AV50" s="228"/>
      <c r="AW50" s="228"/>
      <c r="AX50" s="228" t="str">
        <f t="shared" ref="AX50:BM50" si="462">+AX60</f>
        <v>NA</v>
      </c>
      <c r="AY50" s="228" t="str">
        <f t="shared" si="462"/>
        <v>NA</v>
      </c>
      <c r="AZ50" s="228" t="str">
        <f t="shared" si="462"/>
        <v>NA</v>
      </c>
      <c r="BA50" s="228" t="str">
        <f t="shared" si="462"/>
        <v>NA</v>
      </c>
      <c r="BB50" s="228" t="str">
        <f t="shared" si="462"/>
        <v>NA</v>
      </c>
      <c r="BC50" s="228" t="str">
        <f t="shared" si="462"/>
        <v>NA</v>
      </c>
      <c r="BD50" s="228" t="str">
        <f t="shared" si="462"/>
        <v>NA</v>
      </c>
      <c r="BE50" s="228" t="str">
        <f t="shared" si="462"/>
        <v>NA</v>
      </c>
      <c r="BF50" s="228"/>
      <c r="BG50" s="228" t="str">
        <f t="shared" si="462"/>
        <v>NA</v>
      </c>
      <c r="BH50" s="228" t="str">
        <f t="shared" si="462"/>
        <v>NA</v>
      </c>
      <c r="BI50" s="228">
        <f t="shared" si="462"/>
        <v>0.17249565306331185</v>
      </c>
      <c r="BJ50" s="228">
        <f t="shared" si="462"/>
        <v>0.24103656797307321</v>
      </c>
      <c r="BK50" s="228">
        <f t="shared" si="462"/>
        <v>0.29050722782187671</v>
      </c>
      <c r="BL50" s="228">
        <f t="shared" si="462"/>
        <v>0.28283879982628074</v>
      </c>
      <c r="BM50" s="228">
        <f t="shared" si="462"/>
        <v>0.21025030036043252</v>
      </c>
      <c r="BN50" s="228">
        <f>+BN60</f>
        <v>0.14076322511782977</v>
      </c>
      <c r="BO50" s="834">
        <f>SUMPRODUCT(AJ50:AM50,AF48:AI48)/BN48</f>
        <v>0.24674738555533252</v>
      </c>
      <c r="BP50" s="834">
        <f>SUMPRODUCT(AN50:AQ50,AJ48:AM48)/BO48</f>
        <v>0.16687717836276955</v>
      </c>
      <c r="BR50" s="1212"/>
      <c r="BS50" s="1212"/>
      <c r="BT50" s="1212"/>
      <c r="BU50" s="990"/>
      <c r="BV50" s="1212"/>
    </row>
    <row r="51" spans="2:74" s="3" customFormat="1">
      <c r="B51" s="13" t="s">
        <v>272</v>
      </c>
      <c r="D51" s="228"/>
      <c r="E51" s="228"/>
      <c r="F51" s="228"/>
      <c r="G51" s="228"/>
      <c r="H51" s="228" t="str">
        <f t="shared" ref="H51:AA51" si="463">+H50</f>
        <v>NA</v>
      </c>
      <c r="I51" s="228" t="str">
        <f t="shared" si="463"/>
        <v>NA</v>
      </c>
      <c r="J51" s="228" t="str">
        <f t="shared" si="463"/>
        <v>NA</v>
      </c>
      <c r="K51" s="228" t="str">
        <f t="shared" si="463"/>
        <v>NA</v>
      </c>
      <c r="L51" s="228">
        <f t="shared" si="463"/>
        <v>0.15</v>
      </c>
      <c r="M51" s="228">
        <f t="shared" si="463"/>
        <v>0.1</v>
      </c>
      <c r="N51" s="228">
        <f t="shared" si="463"/>
        <v>0.2</v>
      </c>
      <c r="O51" s="228">
        <f t="shared" si="463"/>
        <v>0.24</v>
      </c>
      <c r="P51" s="228">
        <f t="shared" si="463"/>
        <v>0.28000000000000003</v>
      </c>
      <c r="Q51" s="228">
        <f t="shared" si="463"/>
        <v>0.18</v>
      </c>
      <c r="R51" s="228">
        <f t="shared" si="463"/>
        <v>0.27</v>
      </c>
      <c r="S51" s="228">
        <f t="shared" si="463"/>
        <v>0.24</v>
      </c>
      <c r="T51" s="228">
        <f t="shared" si="463"/>
        <v>0.32</v>
      </c>
      <c r="U51" s="228">
        <f t="shared" si="463"/>
        <v>0.39</v>
      </c>
      <c r="V51" s="228">
        <f t="shared" si="463"/>
        <v>0.28000000000000003</v>
      </c>
      <c r="W51" s="228">
        <f t="shared" si="463"/>
        <v>0.19332527206771474</v>
      </c>
      <c r="X51" s="228">
        <f t="shared" si="463"/>
        <v>0.25</v>
      </c>
      <c r="Y51" s="228">
        <f t="shared" si="463"/>
        <v>0.26</v>
      </c>
      <c r="Z51" s="228">
        <f t="shared" si="463"/>
        <v>0.27</v>
      </c>
      <c r="AA51" s="228">
        <f t="shared" si="463"/>
        <v>0.35</v>
      </c>
      <c r="AB51" s="228">
        <f>+AB50</f>
        <v>0.24</v>
      </c>
      <c r="AC51" s="228">
        <f t="shared" ref="AC51:AJ51" si="464">+AC50</f>
        <v>0.24</v>
      </c>
      <c r="AD51" s="228">
        <f t="shared" si="464"/>
        <v>0.23</v>
      </c>
      <c r="AE51" s="228">
        <f t="shared" si="464"/>
        <v>0.14000000000000001</v>
      </c>
      <c r="AF51" s="228">
        <f t="shared" si="464"/>
        <v>0.15</v>
      </c>
      <c r="AG51" s="228">
        <f t="shared" si="464"/>
        <v>0.06</v>
      </c>
      <c r="AH51" s="228">
        <f t="shared" si="464"/>
        <v>0.15</v>
      </c>
      <c r="AI51" s="228">
        <f t="shared" si="464"/>
        <v>0.21</v>
      </c>
      <c r="AJ51" s="228">
        <f t="shared" si="464"/>
        <v>0.24</v>
      </c>
      <c r="AK51" s="228">
        <f>+AK50-(AK536/AG48)+0.1%</f>
        <v>0.24462076958738976</v>
      </c>
      <c r="AL51" s="228">
        <f>+AL50-(AL536/AH48)+0.1%</f>
        <v>0.25059735146743023</v>
      </c>
      <c r="AM51" s="228">
        <f>+AM50-(AM536/AI48)+0.1%</f>
        <v>0.17678708666611687</v>
      </c>
      <c r="AN51" s="228">
        <f>+(AN48-AN536)/(AJ48-AJ536)-1-AN49+AN50</f>
        <v>0.15705273312625012</v>
      </c>
      <c r="AO51" s="228">
        <f>+(AO48-AO536)/(AK48-AK536)-1-AO49+AO50</f>
        <v>0.14883444137995361</v>
      </c>
      <c r="AP51" s="228">
        <f>+(AP48-AP536)/(AL48-AL536)-1-AP49+AP50</f>
        <v>0.16549053436735184</v>
      </c>
      <c r="AQ51" s="228">
        <f>+(AQ48-AQ536)/(AM48-AM536)-1-AQ49+AQ50</f>
        <v>0.1682790561294818</v>
      </c>
      <c r="AR51" s="228"/>
      <c r="AS51" s="228"/>
      <c r="AT51" s="228"/>
      <c r="AU51" s="228"/>
      <c r="AV51" s="228"/>
      <c r="AW51" s="228"/>
      <c r="AX51" s="228" t="str">
        <f>+AX50</f>
        <v>NA</v>
      </c>
      <c r="AY51" s="228" t="str">
        <f t="shared" ref="AY51:BN51" si="465">+AY50</f>
        <v>NA</v>
      </c>
      <c r="AZ51" s="228" t="str">
        <f t="shared" si="465"/>
        <v>NA</v>
      </c>
      <c r="BA51" s="228" t="str">
        <f t="shared" si="465"/>
        <v>NA</v>
      </c>
      <c r="BB51" s="228" t="str">
        <f t="shared" si="465"/>
        <v>NA</v>
      </c>
      <c r="BC51" s="228" t="str">
        <f t="shared" si="465"/>
        <v>NA</v>
      </c>
      <c r="BD51" s="228" t="str">
        <f t="shared" si="465"/>
        <v>NA</v>
      </c>
      <c r="BE51" s="228" t="str">
        <f t="shared" si="465"/>
        <v>NA</v>
      </c>
      <c r="BF51" s="228"/>
      <c r="BG51" s="228" t="str">
        <f t="shared" si="465"/>
        <v>NA</v>
      </c>
      <c r="BH51" s="228" t="str">
        <f t="shared" si="465"/>
        <v>NA</v>
      </c>
      <c r="BI51" s="228">
        <f t="shared" si="465"/>
        <v>0.17249565306331185</v>
      </c>
      <c r="BJ51" s="228">
        <f t="shared" si="465"/>
        <v>0.24103656797307321</v>
      </c>
      <c r="BK51" s="228">
        <f t="shared" si="465"/>
        <v>0.29050722782187671</v>
      </c>
      <c r="BL51" s="228">
        <f t="shared" si="465"/>
        <v>0.28283879982628074</v>
      </c>
      <c r="BM51" s="228">
        <f t="shared" si="465"/>
        <v>0.21025030036043252</v>
      </c>
      <c r="BN51" s="228">
        <f t="shared" si="465"/>
        <v>0.14076322511782977</v>
      </c>
      <c r="BO51" s="228">
        <f>(BO48-BO534-BO535-BO536)/BN48-1</f>
        <v>0.23278034205186526</v>
      </c>
      <c r="BP51" s="228">
        <f>+(BP48-BP536)/(BO48-BO536)-1-BP49+BP50</f>
        <v>0.15994429893631662</v>
      </c>
      <c r="BS51" s="990"/>
      <c r="BT51" s="990"/>
      <c r="BU51" s="990"/>
    </row>
    <row r="52" spans="2:74" s="3" customFormat="1">
      <c r="B52" s="13" t="s">
        <v>115</v>
      </c>
      <c r="D52" s="228">
        <f t="shared" ref="D52:AD52" si="466">IFERROR(D48/D12,"n/a ")</f>
        <v>0.30205643232902918</v>
      </c>
      <c r="E52" s="228">
        <f t="shared" si="466"/>
        <v>0.29655882469409572</v>
      </c>
      <c r="F52" s="228">
        <f t="shared" si="466"/>
        <v>0.29172282381372866</v>
      </c>
      <c r="G52" s="228">
        <f t="shared" si="466"/>
        <v>0.30271790065604498</v>
      </c>
      <c r="H52" s="228">
        <f t="shared" si="466"/>
        <v>0.30622947829259395</v>
      </c>
      <c r="I52" s="228">
        <f t="shared" si="466"/>
        <v>0.30608688918144505</v>
      </c>
      <c r="J52" s="228">
        <f t="shared" si="466"/>
        <v>0.28963467172152335</v>
      </c>
      <c r="K52" s="228">
        <f t="shared" si="466"/>
        <v>0.31197031829720756</v>
      </c>
      <c r="L52" s="228">
        <f t="shared" si="466"/>
        <v>0.3141250305648382</v>
      </c>
      <c r="M52" s="228">
        <f t="shared" si="466"/>
        <v>0.30012448993706342</v>
      </c>
      <c r="N52" s="228">
        <f t="shared" si="466"/>
        <v>0.30918378761325926</v>
      </c>
      <c r="O52" s="228">
        <f t="shared" si="466"/>
        <v>0.3449891972743892</v>
      </c>
      <c r="P52" s="228">
        <f t="shared" si="466"/>
        <v>0.34228441754916794</v>
      </c>
      <c r="Q52" s="228">
        <f t="shared" si="466"/>
        <v>0.3159126605278556</v>
      </c>
      <c r="R52" s="228">
        <f t="shared" si="466"/>
        <v>0.3382617513329626</v>
      </c>
      <c r="S52" s="228">
        <f t="shared" si="466"/>
        <v>0.3679152949550672</v>
      </c>
      <c r="T52" s="228">
        <f t="shared" si="466"/>
        <v>0.38378460142187265</v>
      </c>
      <c r="U52" s="228">
        <f t="shared" si="466"/>
        <v>0.37638866309001245</v>
      </c>
      <c r="V52" s="228">
        <f t="shared" si="466"/>
        <v>0.37049199051997372</v>
      </c>
      <c r="W52" s="228">
        <f t="shared" si="466"/>
        <v>0.35250966266137301</v>
      </c>
      <c r="X52" s="228">
        <f t="shared" si="466"/>
        <v>0.42730257845723207</v>
      </c>
      <c r="Y52" s="228">
        <f t="shared" si="466"/>
        <v>0.41547497446373849</v>
      </c>
      <c r="Z52" s="228">
        <f t="shared" si="466"/>
        <v>0.40876612477820939</v>
      </c>
      <c r="AA52" s="228">
        <f t="shared" si="466"/>
        <v>0.41374154966198645</v>
      </c>
      <c r="AB52" s="228">
        <f t="shared" si="466"/>
        <v>0.44658737339188381</v>
      </c>
      <c r="AC52" s="228">
        <f t="shared" si="466"/>
        <v>0.43007655428394681</v>
      </c>
      <c r="AD52" s="228">
        <f t="shared" si="466"/>
        <v>0.41256077795786061</v>
      </c>
      <c r="AE52" s="228">
        <f t="shared" ref="AE52:AF52" si="467">IFERROR(AE48/AE12,"n/a ")</f>
        <v>0.3959124650535043</v>
      </c>
      <c r="AF52" s="228">
        <f t="shared" si="467"/>
        <v>0.42931247755476637</v>
      </c>
      <c r="AG52" s="228">
        <f t="shared" ref="AG52" si="468">IFERROR(AG48/AG12,"n/a ")</f>
        <v>0.4089332094716287</v>
      </c>
      <c r="AH52" s="228">
        <f t="shared" ref="AH52:AI52" si="469">IFERROR(AH48/AH12,"n/a ")</f>
        <v>0.42287681858599618</v>
      </c>
      <c r="AI52" s="228">
        <f t="shared" si="469"/>
        <v>0.4316503230169606</v>
      </c>
      <c r="AJ52" s="228">
        <f t="shared" ref="AJ52" si="470">IFERROR(AJ48/AJ12,"n/a ")</f>
        <v>0.47587451563246458</v>
      </c>
      <c r="AK52" s="228">
        <f t="shared" ref="AK52" si="471">IFERROR(AK48/AK12,"n/a ")</f>
        <v>0.45407932924862948</v>
      </c>
      <c r="AL52" s="228">
        <f t="shared" ref="AL52:AM52" si="472">IFERROR(AL48/AL12,"n/a ")</f>
        <v>0.46107213294965887</v>
      </c>
      <c r="AM52" s="228">
        <f t="shared" si="472"/>
        <v>0.44594991271030637</v>
      </c>
      <c r="AN52" s="228">
        <f t="shared" ref="AN52:AQ52" si="473">IFERROR(AN48/AN12,"n/a ")</f>
        <v>0.48681202693521575</v>
      </c>
      <c r="AO52" s="228">
        <f t="shared" si="473"/>
        <v>0.47301401968899498</v>
      </c>
      <c r="AP52" s="228">
        <f t="shared" si="473"/>
        <v>0.47677047342119488</v>
      </c>
      <c r="AQ52" s="228">
        <f t="shared" si="473"/>
        <v>0.4610343386599271</v>
      </c>
      <c r="AR52" s="228"/>
      <c r="AS52" s="228">
        <f t="shared" ref="AS52:BE52" si="474">IFERROR(AS48/AS12,"n/a ")</f>
        <v>0.36634161053583997</v>
      </c>
      <c r="AT52" s="228">
        <f t="shared" si="474"/>
        <v>0.36990199177995575</v>
      </c>
      <c r="AU52" s="228">
        <f t="shared" si="474"/>
        <v>0.3606666405852666</v>
      </c>
      <c r="AV52" s="228">
        <f t="shared" si="474"/>
        <v>0.36860311155246606</v>
      </c>
      <c r="AW52" s="228">
        <f t="shared" si="474"/>
        <v>0.348460735492924</v>
      </c>
      <c r="AX52" s="228">
        <f t="shared" si="474"/>
        <v>0.38566673068305485</v>
      </c>
      <c r="AY52" s="228">
        <f t="shared" si="474"/>
        <v>0.38833049769097694</v>
      </c>
      <c r="AZ52" s="228">
        <f t="shared" si="474"/>
        <v>0.37920323372624554</v>
      </c>
      <c r="BA52" s="228">
        <f t="shared" si="474"/>
        <v>0.35320941823273261</v>
      </c>
      <c r="BB52" s="228">
        <f t="shared" si="474"/>
        <v>0.32114518673776099</v>
      </c>
      <c r="BC52" s="228">
        <f t="shared" si="474"/>
        <v>0.30104723231459712</v>
      </c>
      <c r="BD52" s="228">
        <f t="shared" si="474"/>
        <v>0.24955461790904829</v>
      </c>
      <c r="BE52" s="228">
        <f t="shared" si="474"/>
        <v>0.25160644802668147</v>
      </c>
      <c r="BF52" s="228"/>
      <c r="BG52" s="228">
        <f t="shared" ref="BG52:BM52" si="475">IFERROR(BG48/BG12,"n/a ")</f>
        <v>0.29826447550299495</v>
      </c>
      <c r="BH52" s="228">
        <f t="shared" si="475"/>
        <v>0.30372472067183731</v>
      </c>
      <c r="BI52" s="228">
        <f t="shared" si="475"/>
        <v>0.31766944545125048</v>
      </c>
      <c r="BJ52" s="228">
        <f t="shared" si="475"/>
        <v>0.3413698020549415</v>
      </c>
      <c r="BK52" s="228">
        <f t="shared" si="475"/>
        <v>0.37030381428521486</v>
      </c>
      <c r="BL52" s="228">
        <f t="shared" si="475"/>
        <v>0.41594878872971303</v>
      </c>
      <c r="BM52" s="228">
        <f t="shared" si="475"/>
        <v>0.4205527815604983</v>
      </c>
      <c r="BN52" s="228">
        <f t="shared" ref="BN52:BO52" si="476">IFERROR(BN48/BN12,"n/a ")</f>
        <v>0.42325460679989618</v>
      </c>
      <c r="BO52" s="228">
        <f t="shared" si="476"/>
        <v>0.45872259527908554</v>
      </c>
      <c r="BP52" s="228">
        <f t="shared" ref="BP52" si="477">IFERROR(BP48/BP12,"n/a ")</f>
        <v>0.47398553812261512</v>
      </c>
      <c r="BQ52" s="989"/>
      <c r="BR52" s="989"/>
    </row>
    <row r="53" spans="2:74" s="3" customFormat="1">
      <c r="B53" s="13" t="s">
        <v>284</v>
      </c>
      <c r="D53" s="228"/>
      <c r="E53" s="228"/>
      <c r="F53" s="228"/>
      <c r="G53" s="228"/>
      <c r="H53" s="228"/>
      <c r="I53" s="228"/>
      <c r="J53" s="228"/>
      <c r="K53" s="228"/>
      <c r="L53" s="228">
        <f t="shared" ref="L53:AD53" si="478">(L48-H48)/(L12-H12)</f>
        <v>0.38045977011494253</v>
      </c>
      <c r="M53" s="228">
        <f t="shared" si="478"/>
        <v>0.25032341526520052</v>
      </c>
      <c r="N53" s="228">
        <f t="shared" si="478"/>
        <v>0.43498752425838649</v>
      </c>
      <c r="O53" s="228">
        <f t="shared" si="478"/>
        <v>0.53370535714285716</v>
      </c>
      <c r="P53" s="228">
        <f t="shared" si="478"/>
        <v>0.49428068631764188</v>
      </c>
      <c r="Q53" s="228">
        <f t="shared" si="478"/>
        <v>0.44441317196735153</v>
      </c>
      <c r="R53" s="228">
        <f t="shared" si="478"/>
        <v>0.5461087420042644</v>
      </c>
      <c r="S53" s="228">
        <f t="shared" si="478"/>
        <v>0.55781938325991187</v>
      </c>
      <c r="T53" s="228">
        <f t="shared" si="478"/>
        <v>0.68773608662805341</v>
      </c>
      <c r="U53" s="228">
        <f t="shared" si="478"/>
        <v>0.81916572717023672</v>
      </c>
      <c r="V53" s="228">
        <f t="shared" si="478"/>
        <v>0.5919101123595506</v>
      </c>
      <c r="W53" s="228">
        <f t="shared" si="478"/>
        <v>0.23215940685820205</v>
      </c>
      <c r="X53" s="228">
        <f t="shared" si="478"/>
        <v>0.77823859477921442</v>
      </c>
      <c r="Y53" s="228">
        <f t="shared" si="478"/>
        <v>0.64927066450567261</v>
      </c>
      <c r="Z53" s="228">
        <f t="shared" si="478"/>
        <v>0.60927449513836951</v>
      </c>
      <c r="AA53" s="228">
        <f t="shared" si="478"/>
        <v>0.70057888902574206</v>
      </c>
      <c r="AB53" s="228">
        <f t="shared" si="478"/>
        <v>0.53436236677692028</v>
      </c>
      <c r="AC53" s="228">
        <f t="shared" si="478"/>
        <v>0.50277392510402219</v>
      </c>
      <c r="AD53" s="228">
        <f t="shared" si="478"/>
        <v>0.43323752286386202</v>
      </c>
      <c r="AE53" s="228">
        <f t="shared" ref="AE53" si="479">(AE48-AA48)/(AE12-AA12)</f>
        <v>0.25188167337650974</v>
      </c>
      <c r="AF53" s="228">
        <f t="shared" ref="AF53" si="480">(AF48-AB48)/(AF12-AB12)</f>
        <v>0.26638917793964623</v>
      </c>
      <c r="AG53" s="228">
        <f t="shared" ref="AG53" si="481">(AG48-AC48)/(AG12-AC12)</f>
        <v>-0.66437684003925412</v>
      </c>
      <c r="AH53" s="228">
        <f t="shared" ref="AH53" si="482">(AH48-AD48)/(AH12-AD12)</f>
        <v>0.56848727480697736</v>
      </c>
      <c r="AI53" s="228">
        <f t="shared" ref="AI53" si="483">(AI48-AE48)/(AI12-AE12)</f>
        <v>0.86031452358926919</v>
      </c>
      <c r="AJ53" s="228">
        <f t="shared" ref="AJ53" si="484">(AJ48-AF48)/(AJ12-AF12)</f>
        <v>0.84081313526192336</v>
      </c>
      <c r="AK53" s="228">
        <f t="shared" ref="AK53" si="485">(AK48-AG48)/(AK12-AG12)</f>
        <v>0.71088105251806322</v>
      </c>
      <c r="AL53" s="228">
        <f t="shared" ref="AL53" si="486">(AL48-AH48)/(AL12-AH12)</f>
        <v>0.68536829241195418</v>
      </c>
      <c r="AM53" s="228">
        <f t="shared" ref="AM53" si="487">(AM48-AI48)/(AM12-AI12)</f>
        <v>0.54005621925509484</v>
      </c>
      <c r="AN53" s="228">
        <f t="shared" ref="AN53" si="488">(AN48-AJ48)/(AN12-AJ12)</f>
        <v>0.55713951588779065</v>
      </c>
      <c r="AO53" s="228">
        <f t="shared" ref="AO53" si="489">(AO48-AK48)/(AO12-AK12)</f>
        <v>0.61736941977275051</v>
      </c>
      <c r="AP53" s="228">
        <f t="shared" ref="AP53" si="490">(AP48-AL48)/(AP12-AL12)</f>
        <v>0.58234822973279843</v>
      </c>
      <c r="AQ53" s="228">
        <f t="shared" ref="AQ53" si="491">(AQ48-AM48)/(AQ12-AM12)</f>
        <v>0.55898933208392199</v>
      </c>
      <c r="AR53" s="228"/>
      <c r="AS53" s="228"/>
      <c r="AT53" s="228"/>
      <c r="AU53" s="228">
        <f t="shared" ref="AU53:BE53" si="492">(AU48-AT48)/(AU12-AT12)</f>
        <v>0.30087719298245613</v>
      </c>
      <c r="AV53" s="228">
        <f t="shared" si="492"/>
        <v>0.41223919122391911</v>
      </c>
      <c r="AW53" s="228">
        <f t="shared" si="492"/>
        <v>0.96217851739788196</v>
      </c>
      <c r="AX53" s="228">
        <f t="shared" si="492"/>
        <v>0.92290585618977017</v>
      </c>
      <c r="AY53" s="228">
        <f t="shared" si="492"/>
        <v>0.41064485856012872</v>
      </c>
      <c r="AZ53" s="228">
        <f t="shared" si="492"/>
        <v>0.21031746031746032</v>
      </c>
      <c r="BA53" s="228">
        <f t="shared" si="492"/>
        <v>-0.1112457586039748</v>
      </c>
      <c r="BB53" s="228">
        <f t="shared" si="492"/>
        <v>4.3299198575244877E-2</v>
      </c>
      <c r="BC53" s="228">
        <f t="shared" si="492"/>
        <v>4.238921001926782E-2</v>
      </c>
      <c r="BD53" s="228">
        <f t="shared" si="492"/>
        <v>0.83292978208232449</v>
      </c>
      <c r="BE53" s="228">
        <f t="shared" si="492"/>
        <v>0.2894168466522678</v>
      </c>
      <c r="BF53" s="228"/>
      <c r="BG53" s="829">
        <f t="shared" ref="BG53" si="493">+BD53</f>
        <v>0.83292978208232449</v>
      </c>
      <c r="BH53" s="228">
        <f t="shared" ref="BH53:BM53" si="494">(BH48-BG48)/(BH12-BG12)</f>
        <v>0.39560642422004799</v>
      </c>
      <c r="BI53" s="228">
        <f t="shared" si="494"/>
        <v>0.41533106099064471</v>
      </c>
      <c r="BJ53" s="228">
        <f t="shared" si="494"/>
        <v>0.51030162113285538</v>
      </c>
      <c r="BK53" s="228">
        <f t="shared" si="494"/>
        <v>0.58234334963894707</v>
      </c>
      <c r="BL53" s="228">
        <f t="shared" si="494"/>
        <v>0.67630518884856217</v>
      </c>
      <c r="BM53" s="228">
        <f t="shared" si="494"/>
        <v>0.44619309522231793</v>
      </c>
      <c r="BN53" s="228">
        <f t="shared" ref="BN53" si="495">(BN48-BM48)/(BN12-BM12)</f>
        <v>0.46251374129717843</v>
      </c>
      <c r="BO53" s="228">
        <f t="shared" ref="BO53" si="496">(BO48-BN48)/(BO12-BN12)</f>
        <v>0.68506640166230015</v>
      </c>
      <c r="BP53" s="228">
        <f t="shared" ref="BP53" si="497">(BP48-BO48)/(BP12-BO12)</f>
        <v>0.57765134489421599</v>
      </c>
    </row>
    <row r="54" spans="2:74" s="3" customFormat="1">
      <c r="B54" s="13" t="s">
        <v>285</v>
      </c>
      <c r="D54" s="228"/>
      <c r="E54" s="228"/>
      <c r="F54" s="228"/>
      <c r="G54" s="228"/>
      <c r="H54" s="228"/>
      <c r="I54" s="228"/>
      <c r="J54" s="228"/>
      <c r="K54" s="228"/>
      <c r="L54" s="228">
        <f t="shared" ref="L54" si="498">+L63/(L14*H12)</f>
        <v>0.40278077689004049</v>
      </c>
      <c r="M54" s="228">
        <f t="shared" ref="M54" si="499">+M63/(M14*I12)</f>
        <v>0.26576431193770927</v>
      </c>
      <c r="N54" s="228">
        <f t="shared" ref="N54" si="500">+N63/(N14*J12)</f>
        <v>0.44031397667770245</v>
      </c>
      <c r="O54" s="228">
        <f t="shared" ref="O54" si="501">+O63/(O14*K12)</f>
        <v>0.4919729008417163</v>
      </c>
      <c r="P54" s="228">
        <f t="shared" ref="P54" si="502">+P63/(P14*L12)</f>
        <v>0.47425299176851654</v>
      </c>
      <c r="Q54" s="228">
        <f t="shared" ref="Q54" si="503">+Q63/(Q14*M12)</f>
        <v>0.42768442320011829</v>
      </c>
      <c r="R54" s="228">
        <f t="shared" ref="R54" si="504">+R63/(R14*N12)</f>
        <v>0.52174764159737508</v>
      </c>
      <c r="S54" s="228">
        <f t="shared" ref="S54" si="505">+S63/(S14*O12)</f>
        <v>0.57801869367069802</v>
      </c>
      <c r="T54" s="228">
        <f t="shared" ref="T54" si="506">+T63/(T14*P12)</f>
        <v>0.7099019918081374</v>
      </c>
      <c r="U54" s="228">
        <f t="shared" ref="U54" si="507">+U63/(U14*Q12)</f>
        <v>0.81072339770155011</v>
      </c>
      <c r="V54" s="228">
        <f t="shared" ref="V54" si="508">+V63/(V14*R12)</f>
        <v>0.59527191913045108</v>
      </c>
      <c r="W54" s="228">
        <f t="shared" ref="W54" si="509">+W63/(W14*S12)</f>
        <v>0.49045164354779519</v>
      </c>
      <c r="X54" s="228">
        <f t="shared" ref="X54" si="510">+X63/(X14*T12)</f>
        <v>0.60964103048167562</v>
      </c>
      <c r="Y54" s="228">
        <f t="shared" ref="Y54" si="511">+Y63/(Y14*U12)</f>
        <v>0.48502781254809246</v>
      </c>
      <c r="Z54" s="228">
        <f t="shared" ref="Z54" si="512">+Z63/(Z14*V12)</f>
        <v>0.47129437069383301</v>
      </c>
      <c r="AA54" s="228">
        <f t="shared" ref="AA54" si="513">+AA63/(AA14*W12)</f>
        <v>0.63764907931278614</v>
      </c>
      <c r="AB54" s="228">
        <f t="shared" ref="AB54" si="514">+AB63/(AB14*X12)</f>
        <v>0.62273308339580813</v>
      </c>
      <c r="AC54" s="228">
        <f t="shared" ref="AC54" si="515">+AC63/(AC14*Y12)</f>
        <v>0.58871562868860117</v>
      </c>
      <c r="AD54" s="228">
        <f t="shared" ref="AD54" si="516">+AD63/(AD14*Z12)</f>
        <v>0.56177297326878883</v>
      </c>
      <c r="AE54" s="228">
        <f t="shared" ref="AE54" si="517">+AE63/(AE14*AA12)</f>
        <v>0.41374154966198651</v>
      </c>
      <c r="AF54" s="228">
        <f t="shared" ref="AF54" si="518">+AF63/(AF14*AB12)</f>
        <v>0.28574043692628326</v>
      </c>
      <c r="AG54" s="228">
        <f t="shared" ref="AG54" si="519">+AG63/(AG14*AC12)</f>
        <v>9.1138205972357569E-2</v>
      </c>
      <c r="AH54" s="228">
        <f t="shared" ref="AH54" si="520">+AH63/(AH14*AD12)</f>
        <v>0.44756273850853628</v>
      </c>
      <c r="AI54" s="228">
        <f t="shared" ref="AI54" si="521">+AI63/(AI14*AE12)</f>
        <v>0.67004417621536094</v>
      </c>
      <c r="AJ54" s="228">
        <f t="shared" ref="AJ54" si="522">+AJ63/(AJ14*AF12)</f>
        <v>0.961760268109078</v>
      </c>
      <c r="AK54" s="228">
        <f t="shared" ref="AK54:AL54" si="523">+AK63/(AK14*AG12)</f>
        <v>0.75552798690821699</v>
      </c>
      <c r="AL54" s="228">
        <f t="shared" si="523"/>
        <v>0.76470187225090058</v>
      </c>
      <c r="AM54" s="228">
        <f t="shared" ref="AM54" si="524">+AM63/(AM14*AI12)</f>
        <v>0.59321681006832783</v>
      </c>
      <c r="AN54" s="228"/>
      <c r="AO54" s="228"/>
      <c r="AP54" s="228"/>
      <c r="AQ54" s="228"/>
      <c r="AR54" s="228"/>
      <c r="AS54" s="228"/>
      <c r="AT54" s="228"/>
      <c r="AU54" s="228"/>
      <c r="AV54" s="228"/>
      <c r="AW54" s="228"/>
      <c r="AX54" s="228"/>
      <c r="AY54" s="228"/>
      <c r="AZ54" s="228"/>
      <c r="BA54" s="228"/>
      <c r="BB54" s="228"/>
      <c r="BC54" s="228"/>
      <c r="BD54" s="228"/>
      <c r="BE54" s="228"/>
      <c r="BF54" s="228"/>
      <c r="BG54" s="228"/>
      <c r="BH54" s="228" t="s">
        <v>271</v>
      </c>
      <c r="BI54" s="228">
        <f t="shared" ref="BI54:BN54" si="525">+BI63/(BI14*BH12)</f>
        <v>0.40717753754111435</v>
      </c>
      <c r="BJ54" s="228">
        <f t="shared" si="525"/>
        <v>0.50747709967444388</v>
      </c>
      <c r="BK54" s="228">
        <f t="shared" si="525"/>
        <v>0.65080049690651331</v>
      </c>
      <c r="BL54" s="228">
        <f t="shared" si="525"/>
        <v>0.55022789120906668</v>
      </c>
      <c r="BM54" s="228">
        <f t="shared" si="525"/>
        <v>0.54843620075989441</v>
      </c>
      <c r="BN54" s="228">
        <f t="shared" si="525"/>
        <v>0.38351640596561781</v>
      </c>
      <c r="BO54" s="228">
        <f>+BO63/(BO14*BN12)</f>
        <v>0.75352945184063325</v>
      </c>
      <c r="BP54" s="228"/>
    </row>
    <row r="55" spans="2:74">
      <c r="AG55" s="8"/>
      <c r="AH55" s="8"/>
      <c r="AI55" s="8"/>
      <c r="AJ55" s="8"/>
      <c r="AK55" s="8"/>
      <c r="AL55" s="8"/>
      <c r="AM55" s="8"/>
      <c r="AN55" s="1264"/>
      <c r="AO55" s="8"/>
      <c r="AP55" s="8"/>
      <c r="AQ55" s="8"/>
    </row>
    <row r="56" spans="2:74">
      <c r="B56" s="24" t="s">
        <v>286</v>
      </c>
      <c r="W56" s="1065"/>
      <c r="X56" s="9"/>
      <c r="AK56" s="228"/>
      <c r="AL56" s="8"/>
    </row>
    <row r="57" spans="2:74" s="3" customFormat="1">
      <c r="B57" s="13" t="s">
        <v>287</v>
      </c>
      <c r="D57" s="228"/>
      <c r="E57" s="228"/>
      <c r="F57" s="228"/>
      <c r="G57" s="228"/>
      <c r="H57" s="228"/>
      <c r="I57" s="228"/>
      <c r="J57" s="228"/>
      <c r="K57" s="228"/>
      <c r="L57" s="228">
        <f>+L49</f>
        <v>0.14787788533134782</v>
      </c>
      <c r="M57" s="228">
        <f t="shared" ref="M57:AC57" si="526">+M49</f>
        <v>9.7912713472485757E-2</v>
      </c>
      <c r="N57" s="228">
        <f t="shared" si="526"/>
        <v>0.23337795626952262</v>
      </c>
      <c r="O57" s="228">
        <f t="shared" si="526"/>
        <v>0.29932398597896848</v>
      </c>
      <c r="P57" s="228">
        <f t="shared" si="526"/>
        <v>0.29151530877010901</v>
      </c>
      <c r="Q57" s="228">
        <f t="shared" si="526"/>
        <v>0.18193340246572176</v>
      </c>
      <c r="R57" s="228">
        <f t="shared" si="526"/>
        <v>0.2471056439942112</v>
      </c>
      <c r="S57" s="228">
        <f t="shared" si="526"/>
        <v>0.19520184988919942</v>
      </c>
      <c r="T57" s="228">
        <f t="shared" si="526"/>
        <v>0.27433450527373182</v>
      </c>
      <c r="U57" s="228">
        <f t="shared" si="526"/>
        <v>0.3541626047962565</v>
      </c>
      <c r="V57" s="228">
        <f t="shared" si="526"/>
        <v>0.25471424427038003</v>
      </c>
      <c r="W57" s="236">
        <f t="shared" si="526"/>
        <v>8.0773881499395461E-2</v>
      </c>
      <c r="X57" s="228">
        <f t="shared" si="526"/>
        <v>0.25145830048872764</v>
      </c>
      <c r="Y57" s="228">
        <f t="shared" si="526"/>
        <v>0.28838816499892017</v>
      </c>
      <c r="Z57" s="228">
        <f t="shared" si="526"/>
        <v>0.31391136801541419</v>
      </c>
      <c r="AA57" s="228">
        <f t="shared" si="526"/>
        <v>0.42425598567912282</v>
      </c>
      <c r="AB57" s="228">
        <f t="shared" si="526"/>
        <v>0.27475434618291761</v>
      </c>
      <c r="AC57" s="228">
        <f t="shared" si="526"/>
        <v>0.24305749566966539</v>
      </c>
      <c r="AD57" s="228">
        <f t="shared" ref="AD57:AG57" si="527">+AD49</f>
        <v>0.19450961989676219</v>
      </c>
      <c r="AE57" s="228">
        <f t="shared" si="527"/>
        <v>7.5360041895784269E-2</v>
      </c>
      <c r="AF57" s="228">
        <f t="shared" si="527"/>
        <v>6.3247356458147941E-2</v>
      </c>
      <c r="AG57" s="228">
        <f t="shared" si="527"/>
        <v>-3.0431069357666152E-2</v>
      </c>
      <c r="AH57" s="228">
        <f t="shared" ref="AH57:AI57" si="528">+AH49</f>
        <v>9.7623256727558338E-2</v>
      </c>
      <c r="AI57" s="228">
        <f t="shared" si="528"/>
        <v>0.18116294925489429</v>
      </c>
      <c r="AJ57" s="228">
        <f t="shared" ref="AJ57:AK57" si="529">+AJ49</f>
        <v>0.2498838181987173</v>
      </c>
      <c r="AK57" s="228">
        <f t="shared" si="529"/>
        <v>0.30560964302271665</v>
      </c>
      <c r="AL57" s="228">
        <f t="shared" ref="AL57:AM57" si="530">+AL49</f>
        <v>0.2759931997136722</v>
      </c>
      <c r="AM57" s="228">
        <f t="shared" si="530"/>
        <v>0.19011297105632052</v>
      </c>
      <c r="AN57" s="228"/>
      <c r="AO57" s="228"/>
      <c r="AP57" s="228"/>
      <c r="AQ57" s="228"/>
      <c r="AR57" s="228"/>
      <c r="AS57" s="228"/>
      <c r="AT57" s="228"/>
      <c r="AU57" s="228">
        <f t="shared" ref="AU57:BM57" si="531">+AU49</f>
        <v>0.12564102564102564</v>
      </c>
      <c r="AV57" s="228">
        <f t="shared" si="531"/>
        <v>0.2078858878403298</v>
      </c>
      <c r="AW57" s="228">
        <f t="shared" si="531"/>
        <v>-8.5671950069597269E-2</v>
      </c>
      <c r="AX57" s="228">
        <f t="shared" si="531"/>
        <v>0.18342091047488096</v>
      </c>
      <c r="AY57" s="228">
        <f t="shared" si="531"/>
        <v>0.12710598389907868</v>
      </c>
      <c r="AZ57" s="228">
        <f t="shared" si="531"/>
        <v>2.9269909060785748E-2</v>
      </c>
      <c r="BA57" s="228">
        <f t="shared" si="531"/>
        <v>-1.6418657890971522E-2</v>
      </c>
      <c r="BB57" s="228">
        <f t="shared" si="531"/>
        <v>1.4146997854311394E-2</v>
      </c>
      <c r="BC57" s="228">
        <f t="shared" si="531"/>
        <v>1.025604245858136E-2</v>
      </c>
      <c r="BD57" s="228">
        <f t="shared" si="531"/>
        <v>-0.24421411330398979</v>
      </c>
      <c r="BE57" s="228">
        <f t="shared" si="531"/>
        <v>6.2934435468720684E-2</v>
      </c>
      <c r="BF57" s="228"/>
      <c r="BG57" s="829">
        <f t="shared" ref="BG57" si="532">+BD57</f>
        <v>-0.24421411330398979</v>
      </c>
      <c r="BH57" s="228">
        <f t="shared" si="531"/>
        <v>7.882153891422683E-2</v>
      </c>
      <c r="BI57" s="228">
        <f t="shared" si="531"/>
        <v>0.19525416794517736</v>
      </c>
      <c r="BJ57" s="228">
        <f t="shared" si="531"/>
        <v>0.22536938787152727</v>
      </c>
      <c r="BK57" s="228">
        <f t="shared" si="531"/>
        <v>0.23278009264647692</v>
      </c>
      <c r="BL57" s="228">
        <f t="shared" si="531"/>
        <v>0.3201910912215109</v>
      </c>
      <c r="BM57" s="228">
        <f t="shared" si="531"/>
        <v>0.19261685451112753</v>
      </c>
      <c r="BN57" s="228">
        <f t="shared" ref="BN57:BO57" si="533">+BN49</f>
        <v>7.5686890613194446E-2</v>
      </c>
      <c r="BO57" s="228">
        <f t="shared" si="533"/>
        <v>0.25362900528463439</v>
      </c>
      <c r="BP57" s="228"/>
    </row>
    <row r="58" spans="2:74" s="3" customFormat="1">
      <c r="B58" s="13" t="s">
        <v>288</v>
      </c>
      <c r="D58" s="228"/>
      <c r="E58" s="228"/>
      <c r="F58" s="228"/>
      <c r="G58" s="228"/>
      <c r="H58" s="228"/>
      <c r="I58" s="228"/>
      <c r="J58" s="228"/>
      <c r="K58" s="228"/>
      <c r="L58" s="836"/>
      <c r="M58" s="836"/>
      <c r="N58" s="836"/>
      <c r="O58" s="836"/>
      <c r="P58" s="836"/>
      <c r="Q58" s="836"/>
      <c r="R58" s="836"/>
      <c r="S58" s="836"/>
      <c r="T58" s="836"/>
      <c r="U58" s="836"/>
      <c r="V58" s="836"/>
      <c r="W58" s="1062"/>
      <c r="X58" s="836">
        <f>(X52-2%)*X12/T48-1</f>
        <v>0.19288349361500878</v>
      </c>
      <c r="Y58" s="836">
        <f>(Y52-2%)*Y12/U48-1</f>
        <v>0.22636815204088978</v>
      </c>
      <c r="Z58" s="836">
        <f>(Z52-2%)*Z12/V48-1</f>
        <v>0.24962466281310225</v>
      </c>
      <c r="AA58" s="836">
        <f>(AA52-1%)*AA12/W48-1</f>
        <v>0.38983217722085484</v>
      </c>
      <c r="AB58" s="836">
        <f>(AB52+2%)*AB12/X48-1</f>
        <v>0.33184303350970024</v>
      </c>
      <c r="AC58" s="836">
        <f>+'EBIT growth'!S19</f>
        <v>0.28756380840701024</v>
      </c>
      <c r="AD58" s="836">
        <f>+'EBIT growth'!T19</f>
        <v>0.24142984039490956</v>
      </c>
      <c r="AE58" s="836">
        <f>+AE57+AE61-AE60</f>
        <v>9.9952848274706074E-2</v>
      </c>
      <c r="AF58" s="836">
        <f>+'EBIT growth'!V19</f>
        <v>1.3714793951971505E-2</v>
      </c>
      <c r="AG58" s="836">
        <f>+'EBIT growth'!W19</f>
        <v>-7.5139658883654148E-2</v>
      </c>
      <c r="AH58" s="836">
        <f>+'EBIT growth'!X19</f>
        <v>5.7868790047075125E-2</v>
      </c>
      <c r="AI58" s="836">
        <f>+'EBIT growth'!Y19</f>
        <v>0.13809805682727938</v>
      </c>
      <c r="AJ58" s="836">
        <f>+'EBIT growth'!Z19</f>
        <v>0.28517860832617958</v>
      </c>
      <c r="AK58" s="836">
        <f>+'EBIT growth'!AA19</f>
        <v>0.33436254056560033</v>
      </c>
      <c r="AL58" s="836">
        <f>+'EBIT growth'!AB19</f>
        <v>0.30366768074445227</v>
      </c>
      <c r="AM58" s="836">
        <f>+'EBIT growth'!AC19</f>
        <v>0.20345654325059792</v>
      </c>
      <c r="AN58" s="836"/>
      <c r="AO58" s="836"/>
      <c r="AP58" s="836"/>
      <c r="AQ58" s="836"/>
      <c r="AR58" s="228"/>
      <c r="AS58" s="228"/>
      <c r="AT58" s="228"/>
      <c r="AU58" s="836"/>
      <c r="AV58" s="836"/>
      <c r="AW58" s="836"/>
      <c r="AX58" s="836" t="s">
        <v>271</v>
      </c>
      <c r="AY58" s="836" t="s">
        <v>271</v>
      </c>
      <c r="AZ58" s="836" t="s">
        <v>271</v>
      </c>
      <c r="BA58" s="836" t="s">
        <v>271</v>
      </c>
      <c r="BB58" s="836" t="s">
        <v>271</v>
      </c>
      <c r="BC58" s="836" t="s">
        <v>271</v>
      </c>
      <c r="BD58" s="836" t="s">
        <v>271</v>
      </c>
      <c r="BE58" s="836" t="s">
        <v>271</v>
      </c>
      <c r="BF58" s="836" t="s">
        <v>271</v>
      </c>
      <c r="BG58" s="836" t="s">
        <v>271</v>
      </c>
      <c r="BH58" s="836" t="s">
        <v>271</v>
      </c>
      <c r="BI58" s="836" t="s">
        <v>271</v>
      </c>
      <c r="BJ58" s="836" t="s">
        <v>271</v>
      </c>
      <c r="BK58" s="836" t="s">
        <v>271</v>
      </c>
      <c r="BL58" s="836">
        <f>SUMPRODUCT(X58:AA58,T48:W48)/BK48</f>
        <v>0.26542721728129309</v>
      </c>
      <c r="BM58" s="836">
        <f>SUMPRODUCT(AB58:AE58,X48:AA48)/BL48</f>
        <v>0.23513022821554716</v>
      </c>
      <c r="BN58" s="836">
        <f>SUMPRODUCT(AF58:AI58,AB48:AE48)/BM48</f>
        <v>3.1422154974339353E-2</v>
      </c>
      <c r="BO58" s="836">
        <f>SUMPRODUCT(AJ58:AM58,AF48:AI48)/BN48</f>
        <v>0.27951577913754239</v>
      </c>
      <c r="BP58" s="836"/>
      <c r="BQ58" s="872"/>
      <c r="BR58" s="872"/>
      <c r="BS58" s="872"/>
    </row>
    <row r="59" spans="2:74" s="3" customFormat="1">
      <c r="B59" s="13"/>
      <c r="D59" s="228"/>
      <c r="E59" s="228"/>
      <c r="F59" s="228"/>
      <c r="G59" s="228"/>
      <c r="H59" s="228"/>
      <c r="I59" s="228"/>
      <c r="J59" s="228"/>
      <c r="K59" s="228"/>
      <c r="L59" s="836"/>
      <c r="M59" s="836"/>
      <c r="N59" s="836"/>
      <c r="O59" s="836"/>
      <c r="P59" s="836"/>
      <c r="Q59" s="836"/>
      <c r="R59" s="836"/>
      <c r="S59" s="836"/>
      <c r="T59" s="836"/>
      <c r="U59" s="836"/>
      <c r="V59" s="836"/>
      <c r="W59" s="1062"/>
      <c r="X59" s="836"/>
      <c r="Y59" s="836"/>
      <c r="Z59" s="836"/>
      <c r="AA59" s="228"/>
      <c r="AB59" s="228"/>
      <c r="AC59" s="228"/>
      <c r="AD59" s="228"/>
      <c r="AE59" s="228"/>
      <c r="AF59" s="228"/>
      <c r="AG59" s="228"/>
      <c r="AH59" s="228"/>
      <c r="AI59" s="228"/>
      <c r="AJ59" s="228"/>
      <c r="AK59" s="228"/>
      <c r="AL59" s="228"/>
      <c r="AM59" s="228"/>
      <c r="AN59" s="228"/>
      <c r="AO59" s="228"/>
      <c r="AP59" s="228"/>
      <c r="AQ59" s="228"/>
      <c r="AR59" s="228"/>
      <c r="AS59" s="228"/>
      <c r="AT59" s="228"/>
      <c r="AU59" s="836"/>
      <c r="AV59" s="836"/>
      <c r="AW59" s="836"/>
      <c r="AX59" s="836"/>
      <c r="AY59" s="836"/>
      <c r="AZ59" s="836"/>
      <c r="BA59" s="836"/>
      <c r="BB59" s="836"/>
      <c r="BC59" s="836"/>
      <c r="BD59" s="836"/>
      <c r="BE59" s="836"/>
      <c r="BF59" s="836"/>
      <c r="BG59" s="836"/>
      <c r="BH59" s="836"/>
      <c r="BI59" s="836"/>
      <c r="BJ59" s="836"/>
      <c r="BK59" s="836"/>
      <c r="BL59" s="228"/>
      <c r="BM59" s="228"/>
      <c r="BN59" s="228"/>
      <c r="BO59" s="228"/>
      <c r="BP59" s="228"/>
      <c r="BQ59" s="872"/>
      <c r="BR59" s="872"/>
      <c r="BS59" s="872"/>
    </row>
    <row r="60" spans="2:74" s="3" customFormat="1">
      <c r="B60" s="13" t="s">
        <v>289</v>
      </c>
      <c r="D60" s="228"/>
      <c r="E60" s="228"/>
      <c r="F60" s="228"/>
      <c r="G60" s="228"/>
      <c r="H60" s="228"/>
      <c r="I60" s="228"/>
      <c r="J60" s="228"/>
      <c r="K60" s="228"/>
      <c r="L60" s="836">
        <f t="shared" ref="L60:AB60" si="534">+L787</f>
        <v>0.15</v>
      </c>
      <c r="M60" s="836">
        <f t="shared" si="534"/>
        <v>0.1</v>
      </c>
      <c r="N60" s="836">
        <f t="shared" si="534"/>
        <v>0.2</v>
      </c>
      <c r="O60" s="836">
        <f t="shared" si="534"/>
        <v>0.24</v>
      </c>
      <c r="P60" s="836">
        <f t="shared" si="534"/>
        <v>0.28000000000000003</v>
      </c>
      <c r="Q60" s="836">
        <f t="shared" si="534"/>
        <v>0.18</v>
      </c>
      <c r="R60" s="836">
        <f t="shared" si="534"/>
        <v>0.27</v>
      </c>
      <c r="S60" s="836">
        <f t="shared" si="534"/>
        <v>0.24</v>
      </c>
      <c r="T60" s="836">
        <f t="shared" si="534"/>
        <v>0.32</v>
      </c>
      <c r="U60" s="836">
        <f t="shared" si="534"/>
        <v>0.39</v>
      </c>
      <c r="V60" s="836">
        <f t="shared" si="534"/>
        <v>0.28000000000000003</v>
      </c>
      <c r="W60" s="1062">
        <f t="shared" si="534"/>
        <v>0.19332527206771474</v>
      </c>
      <c r="X60" s="836">
        <f t="shared" si="534"/>
        <v>0.25</v>
      </c>
      <c r="Y60" s="836">
        <f t="shared" si="534"/>
        <v>0.26</v>
      </c>
      <c r="Z60" s="836">
        <f t="shared" si="534"/>
        <v>0.27</v>
      </c>
      <c r="AA60" s="836">
        <f t="shared" si="534"/>
        <v>0.35</v>
      </c>
      <c r="AB60" s="836">
        <f t="shared" si="534"/>
        <v>0.24</v>
      </c>
      <c r="AC60" s="836">
        <f t="shared" ref="AC60:AD60" si="535">+AC787</f>
        <v>0.24</v>
      </c>
      <c r="AD60" s="836">
        <f t="shared" si="535"/>
        <v>0.23</v>
      </c>
      <c r="AE60" s="836">
        <f t="shared" ref="AE60:AI60" si="536">+AE787</f>
        <v>0.14000000000000001</v>
      </c>
      <c r="AF60" s="836">
        <f t="shared" si="536"/>
        <v>0.15</v>
      </c>
      <c r="AG60" s="836">
        <f t="shared" si="536"/>
        <v>0.06</v>
      </c>
      <c r="AH60" s="836">
        <f t="shared" si="536"/>
        <v>0.15</v>
      </c>
      <c r="AI60" s="836">
        <f t="shared" si="536"/>
        <v>0.21</v>
      </c>
      <c r="AJ60" s="836">
        <f t="shared" ref="AJ60:AK60" si="537">+AJ787</f>
        <v>0.24</v>
      </c>
      <c r="AK60" s="836">
        <f t="shared" si="537"/>
        <v>0.27560964302271662</v>
      </c>
      <c r="AL60" s="836">
        <f t="shared" ref="AL60:AM60" si="538">+AL787</f>
        <v>0.2759931997136722</v>
      </c>
      <c r="AM60" s="836">
        <f t="shared" si="538"/>
        <v>0.20011297105632053</v>
      </c>
      <c r="AN60" s="836"/>
      <c r="AO60" s="836"/>
      <c r="AP60" s="836"/>
      <c r="AQ60" s="836"/>
      <c r="AR60" s="228"/>
      <c r="AS60" s="228"/>
      <c r="AT60" s="228"/>
      <c r="AU60" s="836" t="s">
        <v>271</v>
      </c>
      <c r="AV60" s="836" t="s">
        <v>271</v>
      </c>
      <c r="AW60" s="836" t="s">
        <v>271</v>
      </c>
      <c r="AX60" s="836" t="s">
        <v>271</v>
      </c>
      <c r="AY60" s="836" t="s">
        <v>271</v>
      </c>
      <c r="AZ60" s="836" t="s">
        <v>271</v>
      </c>
      <c r="BA60" s="836" t="str">
        <f>+BA787</f>
        <v>NA</v>
      </c>
      <c r="BB60" s="836" t="str">
        <f>+BB787</f>
        <v>NA</v>
      </c>
      <c r="BC60" s="836" t="str">
        <f>+BC787</f>
        <v>NA</v>
      </c>
      <c r="BD60" s="836" t="str">
        <f>+BD787</f>
        <v>NA</v>
      </c>
      <c r="BE60" s="836" t="str">
        <f>+BE787</f>
        <v>NA</v>
      </c>
      <c r="BF60" s="836"/>
      <c r="BG60" s="836" t="str">
        <f>+BG787</f>
        <v>NA</v>
      </c>
      <c r="BH60" s="836" t="str">
        <f>+BH787</f>
        <v>NA</v>
      </c>
      <c r="BI60" s="836">
        <f>+BI787</f>
        <v>0.17249565306331185</v>
      </c>
      <c r="BJ60" s="836">
        <f>+BJ787</f>
        <v>0.24103656797307321</v>
      </c>
      <c r="BK60" s="836">
        <f>+BK787</f>
        <v>0.29050722782187671</v>
      </c>
      <c r="BL60" s="836">
        <f>SUMPRODUCT(X60:AA60,T48:W48)/BK48</f>
        <v>0.28283879982628074</v>
      </c>
      <c r="BM60" s="836">
        <f>SUMPRODUCT(AB60:AE60,X48:AA48)/BL48</f>
        <v>0.21025030036043252</v>
      </c>
      <c r="BN60" s="836">
        <f>SUMPRODUCT(AF60:AI60,AB48:AE48)/BM48</f>
        <v>0.14076322511782977</v>
      </c>
      <c r="BO60" s="836">
        <f>SUMPRODUCT(AJ60:AM60,AF48:AI48)/BN48</f>
        <v>0.24674738555533252</v>
      </c>
      <c r="BP60" s="836"/>
      <c r="BQ60" s="872"/>
      <c r="BR60" s="872"/>
      <c r="BS60" s="872"/>
    </row>
    <row r="61" spans="2:74" s="3" customFormat="1">
      <c r="B61" s="13" t="s">
        <v>290</v>
      </c>
      <c r="D61" s="228"/>
      <c r="E61" s="228"/>
      <c r="F61" s="228"/>
      <c r="G61" s="228"/>
      <c r="H61" s="228"/>
      <c r="I61" s="228"/>
      <c r="J61" s="228"/>
      <c r="K61" s="228"/>
      <c r="L61" s="836"/>
      <c r="M61" s="836"/>
      <c r="N61" s="836"/>
      <c r="O61" s="836"/>
      <c r="P61" s="836">
        <f>+P60</f>
        <v>0.28000000000000003</v>
      </c>
      <c r="Q61" s="836">
        <f t="shared" ref="Q61:W61" si="539">+Q60</f>
        <v>0.18</v>
      </c>
      <c r="R61" s="836">
        <f t="shared" si="539"/>
        <v>0.27</v>
      </c>
      <c r="S61" s="836">
        <f t="shared" si="539"/>
        <v>0.24</v>
      </c>
      <c r="T61" s="836">
        <f t="shared" si="539"/>
        <v>0.32</v>
      </c>
      <c r="U61" s="836">
        <f t="shared" si="539"/>
        <v>0.39</v>
      </c>
      <c r="V61" s="836">
        <f t="shared" si="539"/>
        <v>0.28000000000000003</v>
      </c>
      <c r="W61" s="1062">
        <f t="shared" si="539"/>
        <v>0.19332527206771474</v>
      </c>
      <c r="X61" s="836">
        <f t="shared" ref="X61" si="540">+X60+X58-X57</f>
        <v>0.19142519312628115</v>
      </c>
      <c r="Y61" s="836">
        <f>+Y60+Y58-Y57</f>
        <v>0.19797998704196962</v>
      </c>
      <c r="Z61" s="836">
        <f>+Z60+Z58-Z57</f>
        <v>0.20571329479768807</v>
      </c>
      <c r="AA61" s="836">
        <f>+AA60+AA58-AA57</f>
        <v>0.315576191541732</v>
      </c>
      <c r="AB61" s="836">
        <f>+AB60+AB58-AB57</f>
        <v>0.29708868732678262</v>
      </c>
      <c r="AC61" s="836">
        <f t="shared" ref="AC61:AI61" si="541">+AC60+AC58-AC57</f>
        <v>0.28450631273734484</v>
      </c>
      <c r="AD61" s="836">
        <f t="shared" si="541"/>
        <v>0.27692022049814735</v>
      </c>
      <c r="AE61" s="836">
        <f>+AE14</f>
        <v>0.16459280637892182</v>
      </c>
      <c r="AF61" s="836">
        <f t="shared" si="541"/>
        <v>0.10046743749382356</v>
      </c>
      <c r="AG61" s="836">
        <f t="shared" si="541"/>
        <v>1.5291410474012002E-2</v>
      </c>
      <c r="AH61" s="836">
        <f t="shared" si="541"/>
        <v>0.11024553331951678</v>
      </c>
      <c r="AI61" s="836">
        <f t="shared" si="541"/>
        <v>0.16693510757238506</v>
      </c>
      <c r="AJ61" s="836">
        <f t="shared" ref="AJ61:AL61" si="542">+AJ60+AJ58-AJ57</f>
        <v>0.27529479012746227</v>
      </c>
      <c r="AK61" s="836">
        <f t="shared" si="542"/>
        <v>0.3043625405656003</v>
      </c>
      <c r="AL61" s="836">
        <f t="shared" si="542"/>
        <v>0.30366768074445227</v>
      </c>
      <c r="AM61" s="836">
        <f t="shared" ref="AM61" si="543">+AM60+AM58-AM57</f>
        <v>0.21345654325059793</v>
      </c>
      <c r="AN61" s="836"/>
      <c r="AO61" s="836"/>
      <c r="AP61" s="836"/>
      <c r="AQ61" s="836"/>
      <c r="AR61" s="228"/>
      <c r="AS61" s="228"/>
      <c r="AT61" s="228"/>
      <c r="AU61" s="836" t="str">
        <f t="shared" ref="AU61:BE61" si="544">+AU60</f>
        <v>NA</v>
      </c>
      <c r="AV61" s="836" t="str">
        <f t="shared" si="544"/>
        <v>NA</v>
      </c>
      <c r="AW61" s="836" t="str">
        <f t="shared" si="544"/>
        <v>NA</v>
      </c>
      <c r="AX61" s="836" t="str">
        <f t="shared" si="544"/>
        <v>NA</v>
      </c>
      <c r="AY61" s="836" t="str">
        <f t="shared" si="544"/>
        <v>NA</v>
      </c>
      <c r="AZ61" s="836" t="str">
        <f t="shared" si="544"/>
        <v>NA</v>
      </c>
      <c r="BA61" s="836" t="str">
        <f t="shared" si="544"/>
        <v>NA</v>
      </c>
      <c r="BB61" s="836" t="str">
        <f t="shared" si="544"/>
        <v>NA</v>
      </c>
      <c r="BC61" s="836" t="str">
        <f t="shared" si="544"/>
        <v>NA</v>
      </c>
      <c r="BD61" s="836" t="str">
        <f t="shared" si="544"/>
        <v>NA</v>
      </c>
      <c r="BE61" s="836" t="str">
        <f t="shared" si="544"/>
        <v>NA</v>
      </c>
      <c r="BF61" s="836"/>
      <c r="BG61" s="836" t="str">
        <f>+BG60</f>
        <v>NA</v>
      </c>
      <c r="BH61" s="836" t="str">
        <f t="shared" ref="BH61:BK61" si="545">+BH60</f>
        <v>NA</v>
      </c>
      <c r="BI61" s="836">
        <f t="shared" si="545"/>
        <v>0.17249565306331185</v>
      </c>
      <c r="BJ61" s="836">
        <f t="shared" si="545"/>
        <v>0.24103656797307321</v>
      </c>
      <c r="BK61" s="836">
        <f t="shared" si="545"/>
        <v>0.29050722782187671</v>
      </c>
      <c r="BL61" s="836">
        <f>SUMPRODUCT(X61:AA61,T48:W48)/BK48</f>
        <v>0.22807492588606293</v>
      </c>
      <c r="BM61" s="836">
        <f>SUMPRODUCT(AB61:AE61,X48:AA48)/BL48</f>
        <v>0.25276367406485195</v>
      </c>
      <c r="BN61" s="836">
        <f>SUMPRODUCT(AF61:AI61,AB48:AE48)/BM48</f>
        <v>9.6498489478974617E-2</v>
      </c>
      <c r="BO61" s="836">
        <f>SUMPRODUCT(AJ61:AM61,AF48:AI48)/BN48</f>
        <v>0.2726341594082406</v>
      </c>
      <c r="BP61" s="836"/>
      <c r="BQ61" s="872"/>
      <c r="BR61" s="872"/>
      <c r="BS61" s="872"/>
    </row>
    <row r="62" spans="2:74" s="3" customFormat="1" hidden="1" outlineLevel="1">
      <c r="B62" s="13"/>
      <c r="D62" s="228"/>
      <c r="E62" s="228"/>
      <c r="F62" s="228"/>
      <c r="G62" s="228"/>
      <c r="H62" s="228"/>
      <c r="I62" s="228"/>
      <c r="J62" s="228"/>
      <c r="K62" s="228"/>
      <c r="L62" s="228"/>
      <c r="M62" s="228"/>
      <c r="N62" s="228"/>
      <c r="O62" s="228"/>
      <c r="P62" s="228"/>
      <c r="Q62" s="228"/>
      <c r="R62" s="228"/>
      <c r="S62" s="228"/>
      <c r="T62" s="228"/>
      <c r="U62" s="228"/>
      <c r="V62" s="228"/>
      <c r="W62" s="236"/>
      <c r="X62" s="228"/>
      <c r="Y62" s="228"/>
      <c r="Z62" s="228"/>
      <c r="AA62" s="228"/>
      <c r="AB62" s="228"/>
      <c r="AC62" s="228"/>
      <c r="AD62" s="228"/>
      <c r="AE62" s="228"/>
      <c r="AF62" s="228"/>
      <c r="AG62" s="228"/>
      <c r="AH62" s="228"/>
      <c r="AI62" s="228"/>
      <c r="AJ62" s="228"/>
      <c r="AK62" s="22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row>
    <row r="63" spans="2:74" s="3" customFormat="1" hidden="1" outlineLevel="1">
      <c r="B63" s="13" t="s">
        <v>291</v>
      </c>
      <c r="D63" s="228"/>
      <c r="E63" s="228"/>
      <c r="F63" s="228"/>
      <c r="G63" s="228"/>
      <c r="H63" s="228"/>
      <c r="I63" s="228"/>
      <c r="J63" s="228"/>
      <c r="K63" s="228"/>
      <c r="L63" s="845">
        <f t="shared" ref="L63:V63" si="546">+L60*H48</f>
        <v>1007.25</v>
      </c>
      <c r="M63" s="845">
        <f t="shared" si="546"/>
        <v>790.5</v>
      </c>
      <c r="N63" s="845">
        <f t="shared" si="546"/>
        <v>1344.6000000000001</v>
      </c>
      <c r="O63" s="845">
        <f t="shared" si="546"/>
        <v>1917.12</v>
      </c>
      <c r="P63" s="845">
        <f t="shared" si="546"/>
        <v>2158.2400000000002</v>
      </c>
      <c r="Q63" s="845">
        <f t="shared" si="546"/>
        <v>1562.22</v>
      </c>
      <c r="R63" s="845">
        <f t="shared" si="546"/>
        <v>2238.84</v>
      </c>
      <c r="S63" s="845">
        <f t="shared" si="546"/>
        <v>2490.96</v>
      </c>
      <c r="T63" s="845">
        <f t="shared" si="546"/>
        <v>3185.6</v>
      </c>
      <c r="U63" s="845">
        <f t="shared" si="546"/>
        <v>4000.6200000000003</v>
      </c>
      <c r="V63" s="845">
        <f t="shared" si="546"/>
        <v>2895.4800000000005</v>
      </c>
      <c r="W63" s="1199">
        <f>+W60*S48</f>
        <v>2398.2000000000012</v>
      </c>
      <c r="X63" s="845">
        <f t="shared" ref="X63:AD63" si="547">+X61*T48</f>
        <v>2428.4200000000028</v>
      </c>
      <c r="Y63" s="845">
        <f t="shared" si="547"/>
        <v>2750.14</v>
      </c>
      <c r="Z63" s="845">
        <f t="shared" si="547"/>
        <v>2669.1300000000028</v>
      </c>
      <c r="AA63" s="845">
        <f t="shared" si="547"/>
        <v>4230.9300000000012</v>
      </c>
      <c r="AB63" s="845">
        <f t="shared" si="547"/>
        <v>4716.5800000000008</v>
      </c>
      <c r="AC63" s="845">
        <f t="shared" si="547"/>
        <v>5091.8094790602609</v>
      </c>
      <c r="AD63" s="845">
        <f t="shared" si="547"/>
        <v>4720.9359190524165</v>
      </c>
      <c r="AE63" s="845">
        <f>+AE61*AA48</f>
        <v>3142.8996378055122</v>
      </c>
      <c r="AF63" s="845">
        <f>+AF61*AB48</f>
        <v>2033.2600000000011</v>
      </c>
      <c r="AG63" s="845">
        <f t="shared" ref="AG63" si="548">+AG61*AC48</f>
        <v>340.18800881534497</v>
      </c>
      <c r="AH63" s="845">
        <f t="shared" ref="AH63" si="549">+AH61*AD48</f>
        <v>2245.0400405186397</v>
      </c>
      <c r="AI63" s="845">
        <f t="shared" ref="AI63" si="550">+AI61*AE48</f>
        <v>3427.8454988913545</v>
      </c>
      <c r="AJ63" s="845">
        <f t="shared" ref="AJ63:AK63" si="551">+AJ61*AF48</f>
        <v>5923.7932939627335</v>
      </c>
      <c r="AK63" s="845">
        <f t="shared" si="551"/>
        <v>6565.0999999999985</v>
      </c>
      <c r="AL63" s="845">
        <f t="shared" ref="AL63" si="552">+AL61*AH48</f>
        <v>6787.5799999999972</v>
      </c>
      <c r="AM63" s="845">
        <f t="shared" ref="AM63" si="553">+AM61*AI48</f>
        <v>5177.175000000002</v>
      </c>
      <c r="AN63" s="845"/>
      <c r="AO63" s="845"/>
      <c r="AP63" s="845"/>
      <c r="AQ63" s="845"/>
      <c r="AR63" s="228"/>
      <c r="AS63" s="228"/>
      <c r="AT63" s="228"/>
      <c r="AU63" s="228"/>
      <c r="AV63" s="228"/>
      <c r="AW63" s="228"/>
      <c r="AX63" s="228"/>
      <c r="AY63" s="228"/>
      <c r="AZ63" s="228"/>
      <c r="BA63" s="228"/>
      <c r="BB63" s="228"/>
      <c r="BC63" s="228"/>
      <c r="BD63" s="228"/>
      <c r="BE63" s="228"/>
      <c r="BF63" s="228"/>
      <c r="BG63" s="228"/>
      <c r="BH63" s="845"/>
      <c r="BI63" s="845">
        <f t="shared" ref="BI63:BJ63" si="554">+BI60*BH48</f>
        <v>5059.47</v>
      </c>
      <c r="BJ63" s="845">
        <f t="shared" si="554"/>
        <v>8450.26</v>
      </c>
      <c r="BK63" s="845">
        <f>+BK60*BJ48</f>
        <v>12479.900000000001</v>
      </c>
      <c r="BL63" s="845">
        <f>+BL61*BK48</f>
        <v>12078.620000000006</v>
      </c>
      <c r="BM63" s="845">
        <f>+BM61*BL48</f>
        <v>17672.225035918189</v>
      </c>
      <c r="BN63" s="845">
        <f>+BN61*BM48</f>
        <v>8046.3335482253406</v>
      </c>
      <c r="BO63" s="845">
        <f>+BO61*BN48</f>
        <v>24453.648293962731</v>
      </c>
      <c r="BP63" s="845"/>
    </row>
    <row r="64" spans="2:74" s="3" customFormat="1" collapsed="1">
      <c r="B64" s="13"/>
      <c r="D64" s="228"/>
      <c r="E64" s="228"/>
      <c r="F64" s="228"/>
      <c r="G64" s="228"/>
      <c r="H64" s="228"/>
      <c r="I64" s="228"/>
      <c r="J64" s="228"/>
      <c r="K64" s="228"/>
      <c r="L64" s="228"/>
      <c r="M64" s="228"/>
      <c r="N64" s="228"/>
      <c r="O64" s="228"/>
      <c r="P64" s="228"/>
      <c r="Q64" s="228"/>
      <c r="R64" s="228"/>
      <c r="S64" s="228"/>
      <c r="T64" s="228"/>
      <c r="U64" s="228"/>
      <c r="V64" s="228"/>
      <c r="W64" s="236"/>
      <c r="X64" s="228"/>
      <c r="Y64" s="228"/>
      <c r="Z64" s="228"/>
      <c r="AA64" s="228"/>
      <c r="AB64" s="228"/>
      <c r="AC64" s="228"/>
      <c r="AD64" s="228"/>
      <c r="AE64" s="228"/>
      <c r="AF64" s="228"/>
      <c r="AG64" s="228"/>
      <c r="AH64" s="228"/>
      <c r="AI64" s="228"/>
      <c r="AJ64" s="228"/>
      <c r="AK64" s="228"/>
      <c r="AL64" s="228"/>
      <c r="AM64" s="228"/>
      <c r="AN64" s="228"/>
      <c r="AO64" s="228"/>
      <c r="AP64" s="228"/>
      <c r="AQ64" s="228"/>
      <c r="AR64" s="228"/>
      <c r="AS64" s="228"/>
      <c r="AT64" s="228"/>
      <c r="AU64" s="228"/>
      <c r="AV64" s="228"/>
      <c r="AW64" s="228"/>
      <c r="AX64" s="228"/>
      <c r="AY64" s="228"/>
      <c r="AZ64" s="228"/>
      <c r="BA64" s="228"/>
      <c r="BB64" s="228"/>
      <c r="BC64" s="228"/>
      <c r="BD64" s="228"/>
      <c r="BE64" s="228"/>
      <c r="BF64" s="228"/>
      <c r="BG64" s="228"/>
      <c r="BH64" s="228"/>
      <c r="BI64" s="228"/>
      <c r="BJ64" s="228"/>
      <c r="BK64" s="228"/>
      <c r="BL64" s="228"/>
      <c r="BM64" s="228"/>
      <c r="BN64" s="228"/>
      <c r="BO64" s="228"/>
      <c r="BP64" s="228"/>
    </row>
    <row r="65" spans="2:69" s="3" customFormat="1">
      <c r="B65" t="str">
        <f>+B791</f>
        <v>Interest and dividends income</v>
      </c>
      <c r="C65"/>
      <c r="D65" s="8">
        <f t="shared" ref="D65:AL65" si="555">+D791</f>
        <v>199</v>
      </c>
      <c r="E65" s="8">
        <f t="shared" si="555"/>
        <v>200</v>
      </c>
      <c r="F65" s="8">
        <f t="shared" si="555"/>
        <v>230</v>
      </c>
      <c r="G65" s="8">
        <f t="shared" si="555"/>
        <v>274</v>
      </c>
      <c r="H65" s="8">
        <f t="shared" si="555"/>
        <v>293</v>
      </c>
      <c r="I65" s="8">
        <f t="shared" si="555"/>
        <v>311</v>
      </c>
      <c r="J65" s="8">
        <f t="shared" si="555"/>
        <v>380</v>
      </c>
      <c r="K65" s="8">
        <f t="shared" si="555"/>
        <v>403</v>
      </c>
      <c r="L65" s="8">
        <f t="shared" si="555"/>
        <v>473</v>
      </c>
      <c r="M65" s="8">
        <f t="shared" si="555"/>
        <v>530</v>
      </c>
      <c r="N65" s="8">
        <f t="shared" si="555"/>
        <v>575</v>
      </c>
      <c r="O65" s="8">
        <f t="shared" si="555"/>
        <v>636</v>
      </c>
      <c r="P65" s="8">
        <f t="shared" si="555"/>
        <v>681</v>
      </c>
      <c r="Q65" s="8">
        <f t="shared" si="555"/>
        <v>704</v>
      </c>
      <c r="R65" s="8">
        <f t="shared" si="555"/>
        <v>668</v>
      </c>
      <c r="S65" s="8">
        <f t="shared" si="555"/>
        <v>709</v>
      </c>
      <c r="T65" s="8">
        <f t="shared" si="555"/>
        <v>724</v>
      </c>
      <c r="U65" s="8">
        <f t="shared" si="555"/>
        <v>688</v>
      </c>
      <c r="V65" s="8">
        <f t="shared" si="555"/>
        <v>673</v>
      </c>
      <c r="W65" s="1056">
        <f t="shared" si="555"/>
        <v>595</v>
      </c>
      <c r="X65" s="8">
        <f t="shared" si="555"/>
        <v>570</v>
      </c>
      <c r="Y65" s="8">
        <f t="shared" si="555"/>
        <v>545</v>
      </c>
      <c r="Z65" s="8">
        <f t="shared" si="555"/>
        <v>519</v>
      </c>
      <c r="AA65" s="8">
        <f t="shared" si="555"/>
        <v>497</v>
      </c>
      <c r="AB65" s="8">
        <f t="shared" si="555"/>
        <v>520</v>
      </c>
      <c r="AC65" s="8">
        <f t="shared" si="555"/>
        <v>503</v>
      </c>
      <c r="AD65" s="8">
        <f t="shared" si="555"/>
        <v>519</v>
      </c>
      <c r="AE65" s="8">
        <f t="shared" si="555"/>
        <v>552</v>
      </c>
      <c r="AF65" s="8">
        <f t="shared" si="555"/>
        <v>641</v>
      </c>
      <c r="AG65" s="8">
        <f t="shared" si="555"/>
        <v>700</v>
      </c>
      <c r="AH65" s="8">
        <f t="shared" si="555"/>
        <v>748</v>
      </c>
      <c r="AI65" s="8">
        <f t="shared" si="555"/>
        <v>905</v>
      </c>
      <c r="AJ65" s="8">
        <f t="shared" si="555"/>
        <v>1166</v>
      </c>
      <c r="AK65" s="8">
        <f t="shared" si="555"/>
        <v>734</v>
      </c>
      <c r="AL65" s="8">
        <f t="shared" si="555"/>
        <v>619</v>
      </c>
      <c r="AM65" s="8">
        <f t="shared" ref="AM65" si="556">+AM791</f>
        <v>638</v>
      </c>
      <c r="AN65" s="228"/>
      <c r="AO65" s="228"/>
      <c r="AP65" s="228"/>
      <c r="AQ65" s="228"/>
      <c r="AR65" s="228"/>
      <c r="AS65" s="228"/>
      <c r="AT65" s="228"/>
      <c r="AU65" s="228"/>
      <c r="AV65" s="228"/>
      <c r="AW65" s="228"/>
      <c r="AX65" s="228"/>
      <c r="AY65" s="228"/>
      <c r="AZ65" s="228"/>
      <c r="BA65" s="8">
        <f t="shared" ref="BA65:BN65" si="557">+BA791</f>
        <v>677</v>
      </c>
      <c r="BB65" s="8">
        <f t="shared" si="557"/>
        <v>883</v>
      </c>
      <c r="BC65" s="8">
        <f t="shared" si="557"/>
        <v>766</v>
      </c>
      <c r="BD65" s="8">
        <f t="shared" si="557"/>
        <v>0</v>
      </c>
      <c r="BE65" s="8">
        <f t="shared" si="557"/>
        <v>0</v>
      </c>
      <c r="BF65" s="8">
        <f t="shared" si="557"/>
        <v>0</v>
      </c>
      <c r="BG65" s="8">
        <f t="shared" si="557"/>
        <v>903</v>
      </c>
      <c r="BH65" s="8">
        <f t="shared" si="557"/>
        <v>1387</v>
      </c>
      <c r="BI65" s="8">
        <f t="shared" si="557"/>
        <v>2214</v>
      </c>
      <c r="BJ65" s="8">
        <f t="shared" si="557"/>
        <v>2762</v>
      </c>
      <c r="BK65" s="8">
        <f t="shared" si="557"/>
        <v>2680</v>
      </c>
      <c r="BL65" s="8">
        <f t="shared" si="557"/>
        <v>2131</v>
      </c>
      <c r="BM65" s="8">
        <f t="shared" si="557"/>
        <v>2094</v>
      </c>
      <c r="BN65" s="8">
        <f t="shared" si="557"/>
        <v>2994</v>
      </c>
      <c r="BO65" s="8">
        <f t="shared" ref="BO65:BO67" si="558">SUM(AJ65:AM65)</f>
        <v>3157</v>
      </c>
      <c r="BP65" s="228"/>
    </row>
    <row r="66" spans="2:69" s="3" customFormat="1">
      <c r="B66" t="str">
        <f>+B792</f>
        <v>Interest expense</v>
      </c>
      <c r="C66"/>
      <c r="D66" s="8">
        <f t="shared" ref="D66:AL66" si="559">+D792</f>
        <v>-249</v>
      </c>
      <c r="E66" s="8">
        <f t="shared" si="559"/>
        <v>-309</v>
      </c>
      <c r="F66" s="8">
        <f t="shared" si="559"/>
        <v>-340</v>
      </c>
      <c r="G66" s="8">
        <f t="shared" si="559"/>
        <v>-345</v>
      </c>
      <c r="H66" s="8">
        <f t="shared" si="559"/>
        <v>-437</v>
      </c>
      <c r="I66" s="8">
        <f t="shared" si="559"/>
        <v>-521</v>
      </c>
      <c r="J66" s="8">
        <f t="shared" si="559"/>
        <v>-609</v>
      </c>
      <c r="K66" s="8">
        <f t="shared" si="559"/>
        <v>-655</v>
      </c>
      <c r="L66" s="8">
        <f t="shared" si="559"/>
        <v>-672</v>
      </c>
      <c r="M66" s="8">
        <f t="shared" si="559"/>
        <v>-698</v>
      </c>
      <c r="N66" s="8">
        <f t="shared" si="559"/>
        <v>-691</v>
      </c>
      <c r="O66" s="8">
        <f t="shared" si="559"/>
        <v>-672</v>
      </c>
      <c r="P66" s="8">
        <f t="shared" si="559"/>
        <v>-674</v>
      </c>
      <c r="Q66" s="8">
        <f t="shared" si="559"/>
        <v>-672</v>
      </c>
      <c r="R66" s="8">
        <f t="shared" si="559"/>
        <v>-671</v>
      </c>
      <c r="S66" s="8">
        <f t="shared" si="559"/>
        <v>-669</v>
      </c>
      <c r="T66" s="8">
        <f t="shared" si="559"/>
        <v>-637</v>
      </c>
      <c r="U66" s="8">
        <f t="shared" si="559"/>
        <v>-654</v>
      </c>
      <c r="V66" s="8">
        <f t="shared" si="559"/>
        <v>-614</v>
      </c>
      <c r="W66" s="1056">
        <f t="shared" si="559"/>
        <v>-686</v>
      </c>
      <c r="X66" s="8">
        <f t="shared" si="559"/>
        <v>-589</v>
      </c>
      <c r="Y66" s="8">
        <f t="shared" si="559"/>
        <v>-571</v>
      </c>
      <c r="Z66" s="8">
        <f t="shared" si="559"/>
        <v>-633</v>
      </c>
      <c r="AA66" s="8">
        <f t="shared" si="559"/>
        <v>-553</v>
      </c>
      <c r="AB66" s="8">
        <f t="shared" si="559"/>
        <v>-539</v>
      </c>
      <c r="AC66" s="8">
        <f t="shared" si="559"/>
        <v>-525</v>
      </c>
      <c r="AD66" s="8">
        <f t="shared" si="559"/>
        <v>-503</v>
      </c>
      <c r="AE66" s="8">
        <f t="shared" si="559"/>
        <v>-496</v>
      </c>
      <c r="AF66" s="8">
        <f t="shared" si="559"/>
        <v>-500</v>
      </c>
      <c r="AG66" s="8">
        <f t="shared" si="559"/>
        <v>-490</v>
      </c>
      <c r="AH66" s="8">
        <f t="shared" si="559"/>
        <v>-496</v>
      </c>
      <c r="AI66" s="8">
        <f t="shared" si="559"/>
        <v>-482</v>
      </c>
      <c r="AJ66" s="8">
        <f t="shared" si="559"/>
        <v>-525</v>
      </c>
      <c r="AK66" s="8">
        <f t="shared" si="559"/>
        <v>-909</v>
      </c>
      <c r="AL66" s="8">
        <f t="shared" si="559"/>
        <v>-800</v>
      </c>
      <c r="AM66" s="8">
        <f t="shared" ref="AM66" si="560">+AM792</f>
        <v>-701</v>
      </c>
      <c r="AN66" s="228"/>
      <c r="AO66" s="228"/>
      <c r="AP66" s="228"/>
      <c r="AQ66" s="228"/>
      <c r="AR66" s="228"/>
      <c r="AS66" s="228"/>
      <c r="AT66" s="228"/>
      <c r="AU66" s="228"/>
      <c r="AV66" s="228"/>
      <c r="AW66" s="228"/>
      <c r="AX66" s="228"/>
      <c r="AY66" s="228"/>
      <c r="AZ66" s="228"/>
      <c r="BA66" s="8">
        <f t="shared" ref="BA66:BN66" si="561">+BA792</f>
        <v>-429</v>
      </c>
      <c r="BB66" s="8">
        <f t="shared" si="561"/>
        <v>-597</v>
      </c>
      <c r="BC66" s="8">
        <f t="shared" si="561"/>
        <v>-781</v>
      </c>
      <c r="BD66" s="8">
        <f t="shared" si="561"/>
        <v>0</v>
      </c>
      <c r="BE66" s="8">
        <f t="shared" si="561"/>
        <v>0</v>
      </c>
      <c r="BF66" s="8">
        <f t="shared" si="561"/>
        <v>0</v>
      </c>
      <c r="BG66" s="8">
        <f t="shared" si="561"/>
        <v>-1243</v>
      </c>
      <c r="BH66" s="8">
        <f t="shared" si="561"/>
        <v>-2222</v>
      </c>
      <c r="BI66" s="8">
        <f t="shared" si="561"/>
        <v>-2733</v>
      </c>
      <c r="BJ66" s="8">
        <f t="shared" si="561"/>
        <v>-2686</v>
      </c>
      <c r="BK66" s="8">
        <f t="shared" si="561"/>
        <v>-2591</v>
      </c>
      <c r="BL66" s="8">
        <f t="shared" si="561"/>
        <v>-2346</v>
      </c>
      <c r="BM66" s="8">
        <f t="shared" si="561"/>
        <v>-2063</v>
      </c>
      <c r="BN66" s="8">
        <f t="shared" si="561"/>
        <v>-1968</v>
      </c>
      <c r="BO66" s="8">
        <f t="shared" si="558"/>
        <v>-2935</v>
      </c>
      <c r="BP66" s="228"/>
    </row>
    <row r="67" spans="2:69" s="3" customFormat="1" ht="11.45">
      <c r="B67" t="s">
        <v>198</v>
      </c>
      <c r="C67"/>
      <c r="D67" s="10">
        <f t="shared" ref="D67:AK67" si="562">+D68-D66-D65</f>
        <v>-245</v>
      </c>
      <c r="E67" s="10">
        <f t="shared" si="562"/>
        <v>-67</v>
      </c>
      <c r="F67" s="10">
        <f t="shared" si="562"/>
        <v>-102</v>
      </c>
      <c r="G67" s="10">
        <f t="shared" si="562"/>
        <v>315</v>
      </c>
      <c r="H67" s="10">
        <f t="shared" si="562"/>
        <v>256</v>
      </c>
      <c r="I67" s="10">
        <f t="shared" si="562"/>
        <v>327</v>
      </c>
      <c r="J67" s="10">
        <f t="shared" si="562"/>
        <v>600</v>
      </c>
      <c r="K67" s="10">
        <f t="shared" si="562"/>
        <v>528</v>
      </c>
      <c r="L67" s="10">
        <f t="shared" si="562"/>
        <v>475</v>
      </c>
      <c r="M67" s="10">
        <f t="shared" si="562"/>
        <v>658</v>
      </c>
      <c r="N67" s="10">
        <f t="shared" si="562"/>
        <v>465</v>
      </c>
      <c r="O67" s="10">
        <f t="shared" si="562"/>
        <v>337</v>
      </c>
      <c r="P67" s="10">
        <f t="shared" si="562"/>
        <v>259</v>
      </c>
      <c r="Q67" s="10">
        <f t="shared" si="562"/>
        <v>95</v>
      </c>
      <c r="R67" s="10">
        <f t="shared" si="562"/>
        <v>148</v>
      </c>
      <c r="S67" s="10">
        <f t="shared" si="562"/>
        <v>151</v>
      </c>
      <c r="T67" s="10">
        <f t="shared" si="562"/>
        <v>-87</v>
      </c>
      <c r="U67" s="10">
        <f t="shared" si="562"/>
        <v>160</v>
      </c>
      <c r="V67" s="10">
        <f t="shared" si="562"/>
        <v>-191</v>
      </c>
      <c r="W67" s="1058">
        <f t="shared" si="562"/>
        <v>106</v>
      </c>
      <c r="X67" s="10">
        <f t="shared" si="562"/>
        <v>267</v>
      </c>
      <c r="Y67" s="10">
        <f t="shared" si="562"/>
        <v>466</v>
      </c>
      <c r="Z67" s="10">
        <f t="shared" si="562"/>
        <v>302</v>
      </c>
      <c r="AA67" s="10">
        <f t="shared" si="562"/>
        <v>366</v>
      </c>
      <c r="AB67" s="10">
        <f t="shared" si="562"/>
        <v>305</v>
      </c>
      <c r="AC67" s="10">
        <f t="shared" si="562"/>
        <v>290</v>
      </c>
      <c r="AD67" s="10">
        <f t="shared" si="562"/>
        <v>-190</v>
      </c>
      <c r="AE67" s="10">
        <f t="shared" si="562"/>
        <v>-103</v>
      </c>
      <c r="AF67" s="10">
        <f t="shared" si="562"/>
        <v>-87</v>
      </c>
      <c r="AG67" s="10">
        <f t="shared" si="562"/>
        <v>-270</v>
      </c>
      <c r="AH67" s="10">
        <f t="shared" si="562"/>
        <v>69</v>
      </c>
      <c r="AI67" s="10">
        <f t="shared" si="562"/>
        <v>50</v>
      </c>
      <c r="AJ67" s="10">
        <f t="shared" si="562"/>
        <v>-252</v>
      </c>
      <c r="AK67" s="10">
        <f t="shared" si="562"/>
        <v>-331</v>
      </c>
      <c r="AL67" s="10">
        <f>+AL68-AL66-AL65</f>
        <v>-673</v>
      </c>
      <c r="AM67" s="10">
        <f t="shared" ref="AM67" si="563">+AM68-AM66-AM65</f>
        <v>-612</v>
      </c>
      <c r="AN67" s="228"/>
      <c r="AO67" s="228"/>
      <c r="AP67" s="228"/>
      <c r="AQ67" s="228"/>
      <c r="AR67" s="228"/>
      <c r="AS67" s="228"/>
      <c r="AT67" s="228"/>
      <c r="AU67" s="228"/>
      <c r="AV67" s="228"/>
      <c r="AW67" s="228"/>
      <c r="AX67" s="228"/>
      <c r="AY67" s="228"/>
      <c r="AZ67" s="228"/>
      <c r="BA67" s="10">
        <f t="shared" ref="BA67" si="564">+BA68-BA66-BA65</f>
        <v>40</v>
      </c>
      <c r="BB67" s="10">
        <f t="shared" ref="BB67" si="565">+BB68-BB66-BB65</f>
        <v>-225</v>
      </c>
      <c r="BC67" s="10">
        <f t="shared" ref="BC67" si="566">+BC68-BC66-BC65</f>
        <v>361</v>
      </c>
      <c r="BD67" s="10">
        <f t="shared" ref="BD67" si="567">+BD68-BD66-BD65</f>
        <v>431</v>
      </c>
      <c r="BE67" s="10">
        <f t="shared" ref="BE67" si="568">+BE68-BE66-BE65</f>
        <v>-823</v>
      </c>
      <c r="BF67" s="10">
        <f t="shared" ref="BF67" si="569">+BF68-BF66-BF65</f>
        <v>0</v>
      </c>
      <c r="BG67" s="10">
        <f t="shared" ref="BG67" si="570">+BG68-BG66-BG65</f>
        <v>-99</v>
      </c>
      <c r="BH67" s="10">
        <f t="shared" ref="BH67" si="571">+BH68-BH66-BH65</f>
        <v>1711</v>
      </c>
      <c r="BI67" s="10">
        <f t="shared" ref="BI67" si="572">+BI68-BI66-BI65</f>
        <v>1935</v>
      </c>
      <c r="BJ67" s="10">
        <f t="shared" ref="BJ67" si="573">+BJ68-BJ66-BJ65</f>
        <v>653</v>
      </c>
      <c r="BK67" s="10">
        <f t="shared" ref="BK67" si="574">+BK68-BK66-BK65</f>
        <v>-12</v>
      </c>
      <c r="BL67" s="10">
        <f t="shared" ref="BL67" si="575">+BL68-BL66-BL65</f>
        <v>1401</v>
      </c>
      <c r="BM67" s="10">
        <f t="shared" ref="BM67" si="576">+BM68-BM66-BM65</f>
        <v>302</v>
      </c>
      <c r="BN67" s="10">
        <f t="shared" ref="BN67" si="577">+BN68-BN66-BN65</f>
        <v>-238</v>
      </c>
      <c r="BO67" s="10">
        <f t="shared" si="558"/>
        <v>-1868</v>
      </c>
      <c r="BP67" s="228"/>
    </row>
    <row r="68" spans="2:69" ht="11.45">
      <c r="B68" s="12" t="s">
        <v>292</v>
      </c>
      <c r="D68" s="10">
        <f t="shared" ref="D68:V68" si="578">+D758</f>
        <v>-295</v>
      </c>
      <c r="E68" s="10">
        <f t="shared" si="578"/>
        <v>-176</v>
      </c>
      <c r="F68" s="10">
        <f t="shared" si="578"/>
        <v>-212</v>
      </c>
      <c r="G68" s="10">
        <f t="shared" si="578"/>
        <v>244</v>
      </c>
      <c r="H68" s="10">
        <f t="shared" si="578"/>
        <v>112</v>
      </c>
      <c r="I68" s="10">
        <f t="shared" si="578"/>
        <v>117</v>
      </c>
      <c r="J68" s="10">
        <f t="shared" si="578"/>
        <v>371</v>
      </c>
      <c r="K68" s="10">
        <f t="shared" si="578"/>
        <v>276</v>
      </c>
      <c r="L68" s="10">
        <f t="shared" si="578"/>
        <v>276</v>
      </c>
      <c r="M68" s="10">
        <f t="shared" si="578"/>
        <v>490</v>
      </c>
      <c r="N68" s="10">
        <f t="shared" si="578"/>
        <v>349</v>
      </c>
      <c r="O68" s="10">
        <f t="shared" si="578"/>
        <v>301</v>
      </c>
      <c r="P68" s="10">
        <f t="shared" si="578"/>
        <v>266</v>
      </c>
      <c r="Q68" s="10">
        <f t="shared" si="578"/>
        <v>127</v>
      </c>
      <c r="R68" s="10">
        <f t="shared" si="578"/>
        <v>145</v>
      </c>
      <c r="S68" s="10">
        <f t="shared" si="578"/>
        <v>191</v>
      </c>
      <c r="T68" s="10">
        <f t="shared" si="578"/>
        <v>0</v>
      </c>
      <c r="U68" s="10">
        <f t="shared" si="578"/>
        <v>194</v>
      </c>
      <c r="V68" s="10">
        <f t="shared" si="578"/>
        <v>-132</v>
      </c>
      <c r="W68" s="1058">
        <f t="shared" ref="W68:X68" si="579">+W758</f>
        <v>15</v>
      </c>
      <c r="X68" s="10">
        <f t="shared" si="579"/>
        <v>248</v>
      </c>
      <c r="Y68" s="10">
        <f t="shared" ref="Y68:Z68" si="580">+Y758</f>
        <v>440</v>
      </c>
      <c r="Z68" s="10">
        <f t="shared" si="580"/>
        <v>188</v>
      </c>
      <c r="AA68" s="10">
        <f t="shared" ref="AA68:AI68" si="581">+AA758</f>
        <v>310</v>
      </c>
      <c r="AB68" s="10">
        <f t="shared" si="581"/>
        <v>286</v>
      </c>
      <c r="AC68" s="10">
        <f t="shared" si="581"/>
        <v>268</v>
      </c>
      <c r="AD68" s="10">
        <f t="shared" si="581"/>
        <v>-174</v>
      </c>
      <c r="AE68" s="10">
        <f t="shared" si="581"/>
        <v>-47</v>
      </c>
      <c r="AF68" s="10">
        <f t="shared" si="581"/>
        <v>54</v>
      </c>
      <c r="AG68" s="10">
        <f t="shared" si="581"/>
        <v>-60</v>
      </c>
      <c r="AH68" s="10">
        <f t="shared" si="581"/>
        <v>321</v>
      </c>
      <c r="AI68" s="10">
        <f t="shared" si="581"/>
        <v>473</v>
      </c>
      <c r="AJ68" s="10">
        <f t="shared" ref="AJ68:AK68" si="582">+AJ758</f>
        <v>389</v>
      </c>
      <c r="AK68" s="10">
        <f t="shared" si="582"/>
        <v>-506</v>
      </c>
      <c r="AL68" s="10">
        <f t="shared" ref="AL68" si="583">+AL758</f>
        <v>-854</v>
      </c>
      <c r="AM68" s="10">
        <f t="shared" ref="AM68" si="584">+AM758</f>
        <v>-675</v>
      </c>
      <c r="AN68" s="58">
        <v>-650</v>
      </c>
      <c r="AO68" s="58">
        <v>0</v>
      </c>
      <c r="AP68" s="58">
        <v>0</v>
      </c>
      <c r="AQ68" s="58">
        <v>0</v>
      </c>
      <c r="AS68" s="10">
        <f t="shared" ref="AS68:BE68" si="585">+AS758</f>
        <v>2052</v>
      </c>
      <c r="AT68" s="10">
        <f t="shared" si="585"/>
        <v>1882</v>
      </c>
      <c r="AU68" s="10">
        <f t="shared" si="585"/>
        <v>1663</v>
      </c>
      <c r="AV68" s="10">
        <f t="shared" si="585"/>
        <v>1543</v>
      </c>
      <c r="AW68" s="10">
        <f t="shared" si="585"/>
        <v>-542</v>
      </c>
      <c r="AX68" s="10">
        <f t="shared" si="585"/>
        <v>915</v>
      </c>
      <c r="AY68" s="10">
        <f t="shared" si="585"/>
        <v>910</v>
      </c>
      <c r="AZ68" s="10">
        <f t="shared" si="585"/>
        <v>504</v>
      </c>
      <c r="BA68" s="10">
        <f t="shared" si="585"/>
        <v>288</v>
      </c>
      <c r="BB68" s="10">
        <f t="shared" si="585"/>
        <v>61</v>
      </c>
      <c r="BC68" s="10">
        <f t="shared" si="585"/>
        <v>346</v>
      </c>
      <c r="BD68" s="10">
        <f t="shared" si="585"/>
        <v>431</v>
      </c>
      <c r="BE68" s="10">
        <f t="shared" si="585"/>
        <v>-823</v>
      </c>
      <c r="BG68" s="10">
        <f>+BG758</f>
        <v>-439</v>
      </c>
      <c r="BH68" s="10">
        <f>+BH758</f>
        <v>876</v>
      </c>
      <c r="BI68" s="10">
        <f>+BI758</f>
        <v>1416</v>
      </c>
      <c r="BJ68" s="10">
        <f>+BJ758</f>
        <v>729</v>
      </c>
      <c r="BK68" s="10">
        <f>SUM(T68:W68)</f>
        <v>77</v>
      </c>
      <c r="BL68" s="10">
        <f>SUM(X68:AA68)</f>
        <v>1186</v>
      </c>
      <c r="BM68" s="10">
        <f>SUM(AB68:AE68)</f>
        <v>333</v>
      </c>
      <c r="BN68" s="10">
        <f>SUM(AF68:AI68)</f>
        <v>788</v>
      </c>
      <c r="BO68" s="10">
        <f>SUM(AJ68:AM68)</f>
        <v>-1646</v>
      </c>
      <c r="BP68" s="10">
        <f>+SUM(AN68:AQ68)</f>
        <v>-650</v>
      </c>
    </row>
    <row r="69" spans="2:69">
      <c r="B69" t="s">
        <v>293</v>
      </c>
      <c r="D69" s="8">
        <f t="shared" ref="D69:AQ69" si="586">+D48+D68</f>
        <v>6021</v>
      </c>
      <c r="E69" s="8">
        <f t="shared" si="586"/>
        <v>7313</v>
      </c>
      <c r="F69" s="8">
        <f t="shared" si="586"/>
        <v>6065</v>
      </c>
      <c r="G69" s="8">
        <f t="shared" si="586"/>
        <v>7350</v>
      </c>
      <c r="H69" s="8">
        <f t="shared" si="586"/>
        <v>6827</v>
      </c>
      <c r="I69" s="8">
        <f t="shared" si="586"/>
        <v>8022</v>
      </c>
      <c r="J69" s="8">
        <f t="shared" si="586"/>
        <v>7094</v>
      </c>
      <c r="K69" s="8">
        <f t="shared" si="586"/>
        <v>8264</v>
      </c>
      <c r="L69" s="8">
        <f t="shared" si="586"/>
        <v>7984</v>
      </c>
      <c r="M69" s="8">
        <f t="shared" si="586"/>
        <v>9169</v>
      </c>
      <c r="N69" s="8">
        <f t="shared" si="586"/>
        <v>8641</v>
      </c>
      <c r="O69" s="8">
        <f t="shared" si="586"/>
        <v>10680</v>
      </c>
      <c r="P69" s="8">
        <f t="shared" si="586"/>
        <v>10221</v>
      </c>
      <c r="Q69" s="8">
        <f t="shared" si="586"/>
        <v>10385</v>
      </c>
      <c r="R69" s="8">
        <f t="shared" si="586"/>
        <v>10486</v>
      </c>
      <c r="S69" s="8">
        <f t="shared" si="586"/>
        <v>12596</v>
      </c>
      <c r="T69" s="8">
        <f t="shared" si="586"/>
        <v>12686</v>
      </c>
      <c r="U69" s="8">
        <f t="shared" si="586"/>
        <v>14085</v>
      </c>
      <c r="V69" s="8">
        <f t="shared" si="586"/>
        <v>12843</v>
      </c>
      <c r="W69" s="1056">
        <f t="shared" si="586"/>
        <v>13422</v>
      </c>
      <c r="X69" s="8">
        <f t="shared" si="586"/>
        <v>16124</v>
      </c>
      <c r="Y69" s="8">
        <f t="shared" si="586"/>
        <v>18337</v>
      </c>
      <c r="Z69" s="8">
        <f t="shared" si="586"/>
        <v>17236</v>
      </c>
      <c r="AA69" s="8">
        <f t="shared" si="586"/>
        <v>19405</v>
      </c>
      <c r="AB69" s="8">
        <f t="shared" si="586"/>
        <v>20524</v>
      </c>
      <c r="AC69" s="8">
        <f t="shared" si="586"/>
        <v>22515</v>
      </c>
      <c r="AD69" s="8">
        <f t="shared" si="586"/>
        <v>20190</v>
      </c>
      <c r="AE69" s="8">
        <f t="shared" si="586"/>
        <v>20487</v>
      </c>
      <c r="AF69" s="8">
        <f t="shared" si="586"/>
        <v>21572</v>
      </c>
      <c r="AG69" s="8">
        <f t="shared" si="586"/>
        <v>21510</v>
      </c>
      <c r="AH69" s="8">
        <f t="shared" si="586"/>
        <v>22673</v>
      </c>
      <c r="AI69" s="8">
        <f t="shared" si="586"/>
        <v>24727</v>
      </c>
      <c r="AJ69" s="8">
        <f t="shared" si="586"/>
        <v>27284</v>
      </c>
      <c r="AK69" s="8">
        <f t="shared" si="586"/>
        <v>27656</v>
      </c>
      <c r="AL69" s="8">
        <f t="shared" si="586"/>
        <v>27667</v>
      </c>
      <c r="AM69" s="8">
        <f t="shared" ref="AM69" si="587">+AM48+AM68</f>
        <v>28190</v>
      </c>
      <c r="AN69" s="8">
        <f t="shared" si="586"/>
        <v>31142.071747707938</v>
      </c>
      <c r="AO69" s="8">
        <f t="shared" si="586"/>
        <v>33184.293051057095</v>
      </c>
      <c r="AP69" s="8">
        <f t="shared" si="586"/>
        <v>33877.239026210489</v>
      </c>
      <c r="AQ69" s="8">
        <f t="shared" si="586"/>
        <v>34436.744665397717</v>
      </c>
      <c r="AS69" s="8">
        <f t="shared" ref="AS69:BE69" si="588">+AS48+AS68</f>
        <v>16628</v>
      </c>
      <c r="AT69" s="8">
        <f t="shared" si="588"/>
        <v>18262</v>
      </c>
      <c r="AU69" s="8">
        <f t="shared" si="588"/>
        <v>20101</v>
      </c>
      <c r="AV69" s="8">
        <f t="shared" si="588"/>
        <v>23814</v>
      </c>
      <c r="AW69" s="8">
        <f t="shared" si="588"/>
        <v>19821</v>
      </c>
      <c r="AX69" s="8">
        <f t="shared" si="588"/>
        <v>25013</v>
      </c>
      <c r="AY69" s="8">
        <f t="shared" si="588"/>
        <v>28071</v>
      </c>
      <c r="AZ69" s="8">
        <f t="shared" si="588"/>
        <v>28460</v>
      </c>
      <c r="BA69" s="8">
        <f t="shared" si="588"/>
        <v>27785</v>
      </c>
      <c r="BB69" s="8">
        <f t="shared" si="588"/>
        <v>27947</v>
      </c>
      <c r="BC69" s="8">
        <f t="shared" si="588"/>
        <v>28518</v>
      </c>
      <c r="BD69" s="8">
        <f t="shared" si="588"/>
        <v>21723</v>
      </c>
      <c r="BE69" s="8">
        <f t="shared" si="588"/>
        <v>21809</v>
      </c>
      <c r="BG69" s="8">
        <f t="shared" ref="BG69:BP69" si="589">+BG48+BG68</f>
        <v>26749</v>
      </c>
      <c r="BH69" s="8">
        <f t="shared" si="589"/>
        <v>30207</v>
      </c>
      <c r="BI69" s="8">
        <f t="shared" si="589"/>
        <v>36474</v>
      </c>
      <c r="BJ69" s="8">
        <f t="shared" si="589"/>
        <v>43688</v>
      </c>
      <c r="BK69" s="8">
        <f t="shared" si="589"/>
        <v>53036</v>
      </c>
      <c r="BL69" s="8">
        <f t="shared" si="589"/>
        <v>71102</v>
      </c>
      <c r="BM69" s="8">
        <f t="shared" si="589"/>
        <v>83716</v>
      </c>
      <c r="BN69" s="8">
        <f t="shared" si="589"/>
        <v>90482</v>
      </c>
      <c r="BO69" s="8">
        <f t="shared" si="589"/>
        <v>110797</v>
      </c>
      <c r="BP69" s="8">
        <f t="shared" si="589"/>
        <v>132640.34849037323</v>
      </c>
    </row>
    <row r="70" spans="2:69" ht="11.45">
      <c r="B70" t="s">
        <v>294</v>
      </c>
      <c r="D70" s="10">
        <f>MIN(-D69*0.35,0)</f>
        <v>-2107.35</v>
      </c>
      <c r="E70" s="10">
        <f t="shared" ref="E70:AS70" si="590">MIN(-E69*0.35,0)</f>
        <v>-2559.5499999999997</v>
      </c>
      <c r="F70" s="10">
        <f t="shared" si="590"/>
        <v>-2122.75</v>
      </c>
      <c r="G70" s="10">
        <f t="shared" si="590"/>
        <v>-2572.5</v>
      </c>
      <c r="H70" s="10">
        <f t="shared" si="590"/>
        <v>-2389.4499999999998</v>
      </c>
      <c r="I70" s="10">
        <f t="shared" si="590"/>
        <v>-2807.7</v>
      </c>
      <c r="J70" s="10">
        <f t="shared" si="590"/>
        <v>-2482.8999999999996</v>
      </c>
      <c r="K70" s="10">
        <f t="shared" si="590"/>
        <v>-2892.3999999999996</v>
      </c>
      <c r="L70" s="10">
        <f t="shared" si="590"/>
        <v>-2794.3999999999996</v>
      </c>
      <c r="M70" s="10">
        <f t="shared" si="590"/>
        <v>-3209.1499999999996</v>
      </c>
      <c r="N70" s="10">
        <f>MIN(-N69*0.21,0)</f>
        <v>-1814.61</v>
      </c>
      <c r="O70" s="10">
        <f t="shared" ref="O70:V70" si="591">MIN(-O69*0.21,0)</f>
        <v>-2242.7999999999997</v>
      </c>
      <c r="P70" s="10">
        <f t="shared" si="591"/>
        <v>-2146.41</v>
      </c>
      <c r="Q70" s="10">
        <f t="shared" si="591"/>
        <v>-2180.85</v>
      </c>
      <c r="R70" s="10">
        <f t="shared" si="591"/>
        <v>-2202.06</v>
      </c>
      <c r="S70" s="10">
        <f t="shared" si="591"/>
        <v>-2645.16</v>
      </c>
      <c r="T70" s="10">
        <f t="shared" si="591"/>
        <v>-2664.06</v>
      </c>
      <c r="U70" s="10">
        <f t="shared" si="591"/>
        <v>-2957.85</v>
      </c>
      <c r="V70" s="10">
        <f t="shared" si="591"/>
        <v>-2697.0299999999997</v>
      </c>
      <c r="W70" s="1058">
        <f t="shared" ref="W70:X70" si="592">MIN(-W69*0.21,0)</f>
        <v>-2818.62</v>
      </c>
      <c r="X70" s="10">
        <f t="shared" si="592"/>
        <v>-3386.04</v>
      </c>
      <c r="Y70" s="10">
        <f t="shared" ref="Y70" si="593">MIN(-Y69*0.21,0)</f>
        <v>-3850.77</v>
      </c>
      <c r="Z70" s="10">
        <f t="shared" ref="Z70" si="594">MIN(-Z69*0.21,0)</f>
        <v>-3619.56</v>
      </c>
      <c r="AA70" s="10">
        <f t="shared" ref="AA70" si="595">MIN(-AA69*0.21,0)</f>
        <v>-4075.0499999999997</v>
      </c>
      <c r="AB70" s="10">
        <f t="shared" ref="AB70:AC70" si="596">MIN(-AB69*0.21,0)</f>
        <v>-4310.04</v>
      </c>
      <c r="AC70" s="10">
        <f t="shared" si="596"/>
        <v>-4728.1499999999996</v>
      </c>
      <c r="AD70" s="10">
        <f t="shared" ref="AD70:AE70" si="597">MIN(-AD69*0.21,0)</f>
        <v>-4239.8999999999996</v>
      </c>
      <c r="AE70" s="10">
        <f t="shared" si="597"/>
        <v>-4302.2699999999995</v>
      </c>
      <c r="AF70" s="10">
        <f t="shared" ref="AF70" si="598">MIN(-AF69*0.21,0)</f>
        <v>-4530.12</v>
      </c>
      <c r="AG70" s="10">
        <f t="shared" ref="AG70:AI70" si="599">MIN(-AG69*0.21,0)</f>
        <v>-4517.0999999999995</v>
      </c>
      <c r="AH70" s="10">
        <f t="shared" si="599"/>
        <v>-4761.33</v>
      </c>
      <c r="AI70" s="10">
        <f t="shared" si="599"/>
        <v>-5192.67</v>
      </c>
      <c r="AJ70" s="10">
        <f t="shared" ref="AJ70" si="600">MIN(-AJ69*0.21,0)</f>
        <v>-5729.6399999999994</v>
      </c>
      <c r="AK70" s="10">
        <f t="shared" ref="AK70:AQ70" si="601">MIN(-(AK69-AK95)*0.21,0)</f>
        <v>-5702.76</v>
      </c>
      <c r="AL70" s="10">
        <f t="shared" si="601"/>
        <v>-5669.37</v>
      </c>
      <c r="AM70" s="10">
        <f t="shared" ref="AM70" si="602">MIN(-(AM69-AM95)*0.21,0)</f>
        <v>-5789.5162499999997</v>
      </c>
      <c r="AN70" s="10">
        <f t="shared" si="601"/>
        <v>-6419.7675670186663</v>
      </c>
      <c r="AO70" s="10">
        <f t="shared" si="601"/>
        <v>-6848.6340407219895</v>
      </c>
      <c r="AP70" s="10">
        <f t="shared" si="601"/>
        <v>-6994.1526955042027</v>
      </c>
      <c r="AQ70" s="10">
        <f t="shared" si="601"/>
        <v>-7111.6488797335205</v>
      </c>
      <c r="AS70" s="10">
        <f t="shared" si="590"/>
        <v>-5819.7999999999993</v>
      </c>
      <c r="AT70" s="10">
        <f t="shared" ref="AT70" si="603">MIN(-AT69*0.35,0)</f>
        <v>-6391.7</v>
      </c>
      <c r="AU70" s="10">
        <f t="shared" ref="AU70" si="604">MIN(-AU69*0.35,0)</f>
        <v>-7035.3499999999995</v>
      </c>
      <c r="AV70" s="10">
        <f t="shared" ref="AV70" si="605">MIN(-AV69*0.35,0)</f>
        <v>-8334.9</v>
      </c>
      <c r="AW70" s="10">
        <f t="shared" ref="AW70" si="606">MIN(-AW69*0.35,0)</f>
        <v>-6937.3499999999995</v>
      </c>
      <c r="AX70" s="10">
        <f t="shared" ref="AX70" si="607">MIN(-AX69*0.35,0)</f>
        <v>-8754.5499999999993</v>
      </c>
      <c r="AY70" s="10">
        <f t="shared" ref="AY70" si="608">MIN(-AY69*0.35,0)</f>
        <v>-9824.8499999999985</v>
      </c>
      <c r="AZ70" s="10">
        <f t="shared" ref="AZ70" si="609">MIN(-AZ69*0.35,0)</f>
        <v>-9961</v>
      </c>
      <c r="BA70" s="10">
        <f t="shared" ref="BA70" si="610">MIN(-BA69*0.35,0)</f>
        <v>-9724.75</v>
      </c>
      <c r="BB70" s="10">
        <f t="shared" ref="BB70" si="611">MIN(-BB69*0.35,0)</f>
        <v>-9781.4499999999989</v>
      </c>
      <c r="BC70" s="10">
        <f t="shared" ref="BC70" si="612">MIN(-BC69*0.35,0)</f>
        <v>-9981.2999999999993</v>
      </c>
      <c r="BD70" s="10">
        <f t="shared" ref="BD70" si="613">MIN(-BD69*0.35,0)</f>
        <v>-7603.0499999999993</v>
      </c>
      <c r="BE70" s="10">
        <f t="shared" ref="BE70:BH70" si="614">MIN(-BE69*0.35,0)</f>
        <v>-7633.15</v>
      </c>
      <c r="BG70" s="10">
        <f t="shared" si="614"/>
        <v>-9362.15</v>
      </c>
      <c r="BH70" s="10">
        <f t="shared" si="614"/>
        <v>-10572.449999999999</v>
      </c>
      <c r="BI70" s="10">
        <f>+SUM(L70:O70)</f>
        <v>-10060.959999999999</v>
      </c>
      <c r="BJ70" s="10">
        <f>SUM(P70:S70)</f>
        <v>-9174.48</v>
      </c>
      <c r="BK70" s="10">
        <f>SUM(T70:W70)</f>
        <v>-11137.559999999998</v>
      </c>
      <c r="BL70" s="10">
        <f>SUM(X70:AA70)</f>
        <v>-14931.419999999998</v>
      </c>
      <c r="BM70" s="10">
        <f>SUM(AB70:AE70)</f>
        <v>-17580.359999999997</v>
      </c>
      <c r="BN70" s="10">
        <f>SUM(AF70:AI70)</f>
        <v>-19001.22</v>
      </c>
      <c r="BO70" s="10">
        <f>SUM(AJ70:AM70)</f>
        <v>-22891.286250000001</v>
      </c>
      <c r="BP70" s="10">
        <f>+SUM(AN70:AQ70)</f>
        <v>-27374.203182978381</v>
      </c>
    </row>
    <row r="71" spans="2:69">
      <c r="B71" s="12" t="s">
        <v>295</v>
      </c>
      <c r="D71" s="8">
        <f>+SUM(D69:D70)</f>
        <v>3913.65</v>
      </c>
      <c r="E71" s="8">
        <f t="shared" ref="E71:AS71" si="615">+SUM(E69:E70)</f>
        <v>4753.4500000000007</v>
      </c>
      <c r="F71" s="8">
        <f t="shared" si="615"/>
        <v>3942.25</v>
      </c>
      <c r="G71" s="8">
        <f t="shared" si="615"/>
        <v>4777.5</v>
      </c>
      <c r="H71" s="8">
        <f t="shared" si="615"/>
        <v>4437.55</v>
      </c>
      <c r="I71" s="8">
        <f t="shared" si="615"/>
        <v>5214.3</v>
      </c>
      <c r="J71" s="8">
        <f t="shared" si="615"/>
        <v>4611.1000000000004</v>
      </c>
      <c r="K71" s="8">
        <f t="shared" si="615"/>
        <v>5371.6</v>
      </c>
      <c r="L71" s="8">
        <f t="shared" si="615"/>
        <v>5189.6000000000004</v>
      </c>
      <c r="M71" s="8">
        <f t="shared" si="615"/>
        <v>5959.85</v>
      </c>
      <c r="N71" s="8">
        <f t="shared" si="615"/>
        <v>6826.39</v>
      </c>
      <c r="O71" s="8">
        <f t="shared" ref="O71:Z71" si="616">+SUM(O69:O70)</f>
        <v>8437.2000000000007</v>
      </c>
      <c r="P71" s="8">
        <f t="shared" si="616"/>
        <v>8074.59</v>
      </c>
      <c r="Q71" s="8">
        <f t="shared" si="616"/>
        <v>8204.15</v>
      </c>
      <c r="R71" s="8">
        <f t="shared" si="616"/>
        <v>8283.94</v>
      </c>
      <c r="S71" s="8">
        <f t="shared" si="616"/>
        <v>9950.84</v>
      </c>
      <c r="T71" s="8">
        <f t="shared" si="616"/>
        <v>10021.94</v>
      </c>
      <c r="U71" s="8">
        <f t="shared" si="616"/>
        <v>11127.15</v>
      </c>
      <c r="V71" s="8">
        <f t="shared" si="616"/>
        <v>10145.970000000001</v>
      </c>
      <c r="W71" s="1056">
        <f t="shared" ref="W71:X71" si="617">+SUM(W69:W70)</f>
        <v>10603.380000000001</v>
      </c>
      <c r="X71" s="8">
        <f t="shared" si="617"/>
        <v>12737.96</v>
      </c>
      <c r="Y71" s="8">
        <f t="shared" ref="Y71" si="618">+SUM(Y69:Y70)</f>
        <v>14486.23</v>
      </c>
      <c r="Z71" s="8">
        <f t="shared" si="616"/>
        <v>13616.44</v>
      </c>
      <c r="AA71" s="8">
        <f t="shared" ref="AA71" si="619">+SUM(AA69:AA70)</f>
        <v>15329.95</v>
      </c>
      <c r="AB71" s="8">
        <f t="shared" ref="AB71:AC71" si="620">+SUM(AB69:AB70)</f>
        <v>16213.96</v>
      </c>
      <c r="AC71" s="8">
        <f t="shared" si="620"/>
        <v>17786.849999999999</v>
      </c>
      <c r="AD71" s="8">
        <f t="shared" ref="AD71:AE71" si="621">+SUM(AD69:AD70)</f>
        <v>15950.1</v>
      </c>
      <c r="AE71" s="8">
        <f t="shared" si="621"/>
        <v>16184.73</v>
      </c>
      <c r="AF71" s="8">
        <f t="shared" ref="AF71" si="622">+SUM(AF69:AF70)</f>
        <v>17041.88</v>
      </c>
      <c r="AG71" s="8">
        <f t="shared" ref="AG71:AI71" si="623">+SUM(AG69:AG70)</f>
        <v>16992.900000000001</v>
      </c>
      <c r="AH71" s="8">
        <f t="shared" si="623"/>
        <v>17911.669999999998</v>
      </c>
      <c r="AI71" s="8">
        <f t="shared" si="623"/>
        <v>19534.330000000002</v>
      </c>
      <c r="AJ71" s="8">
        <f t="shared" ref="AJ71" si="624">+SUM(AJ69:AJ70)</f>
        <v>21554.36</v>
      </c>
      <c r="AK71" s="8">
        <f t="shared" ref="AK71" si="625">+SUM(AK69:AK70)</f>
        <v>21953.239999999998</v>
      </c>
      <c r="AL71" s="8">
        <f t="shared" ref="AL71:AM71" si="626">+SUM(AL69:AL70)</f>
        <v>21997.63</v>
      </c>
      <c r="AM71" s="8">
        <f t="shared" si="626"/>
        <v>22400.483749999999</v>
      </c>
      <c r="AN71" s="8">
        <f t="shared" ref="AN71:AQ71" si="627">+SUM(AN69:AN70)</f>
        <v>24722.304180689272</v>
      </c>
      <c r="AO71" s="8">
        <f t="shared" si="627"/>
        <v>26335.659010335105</v>
      </c>
      <c r="AP71" s="8">
        <f t="shared" si="627"/>
        <v>26883.086330706286</v>
      </c>
      <c r="AQ71" s="8">
        <f t="shared" si="627"/>
        <v>27325.095785664198</v>
      </c>
      <c r="AS71" s="8">
        <f t="shared" si="615"/>
        <v>10808.2</v>
      </c>
      <c r="AT71" s="8">
        <f t="shared" ref="AT71" si="628">+SUM(AT69:AT70)</f>
        <v>11870.3</v>
      </c>
      <c r="AU71" s="8">
        <f t="shared" ref="AU71" si="629">+SUM(AU69:AU70)</f>
        <v>13065.650000000001</v>
      </c>
      <c r="AV71" s="8">
        <f t="shared" ref="AV71" si="630">+SUM(AV69:AV70)</f>
        <v>15479.1</v>
      </c>
      <c r="AW71" s="8">
        <f t="shared" ref="AW71" si="631">+SUM(AW69:AW70)</f>
        <v>12883.650000000001</v>
      </c>
      <c r="AX71" s="8">
        <f t="shared" ref="AX71" si="632">+SUM(AX69:AX70)</f>
        <v>16258.45</v>
      </c>
      <c r="AY71" s="8">
        <f t="shared" ref="AY71" si="633">+SUM(AY69:AY70)</f>
        <v>18246.150000000001</v>
      </c>
      <c r="AZ71" s="8">
        <f t="shared" ref="AZ71" si="634">+SUM(AZ69:AZ70)</f>
        <v>18499</v>
      </c>
      <c r="BA71" s="8">
        <f t="shared" ref="BA71" si="635">+SUM(BA69:BA70)</f>
        <v>18060.25</v>
      </c>
      <c r="BB71" s="8">
        <f t="shared" ref="BB71" si="636">+SUM(BB69:BB70)</f>
        <v>18165.550000000003</v>
      </c>
      <c r="BC71" s="8">
        <f t="shared" ref="BC71" si="637">+SUM(BC69:BC70)</f>
        <v>18536.7</v>
      </c>
      <c r="BD71" s="8">
        <f t="shared" ref="BD71" si="638">+SUM(BD69:BD70)</f>
        <v>14119.95</v>
      </c>
      <c r="BE71" s="8">
        <f t="shared" ref="BE71:BP71" si="639">+SUM(BE69:BE70)</f>
        <v>14175.85</v>
      </c>
      <c r="BG71" s="8">
        <f t="shared" si="639"/>
        <v>17386.849999999999</v>
      </c>
      <c r="BH71" s="8">
        <f t="shared" si="639"/>
        <v>19634.550000000003</v>
      </c>
      <c r="BI71" s="8">
        <f t="shared" si="639"/>
        <v>26413.040000000001</v>
      </c>
      <c r="BJ71" s="8">
        <f t="shared" si="639"/>
        <v>34513.520000000004</v>
      </c>
      <c r="BK71" s="8">
        <f t="shared" si="639"/>
        <v>41898.44</v>
      </c>
      <c r="BL71" s="8">
        <f t="shared" si="639"/>
        <v>56170.58</v>
      </c>
      <c r="BM71" s="8">
        <f t="shared" si="639"/>
        <v>66135.64</v>
      </c>
      <c r="BN71" s="8">
        <f t="shared" si="639"/>
        <v>71480.78</v>
      </c>
      <c r="BO71" s="8">
        <f t="shared" si="639"/>
        <v>87905.713749999995</v>
      </c>
      <c r="BP71" s="8">
        <f t="shared" si="639"/>
        <v>105266.14530739485</v>
      </c>
    </row>
    <row r="72" spans="2:69" s="3" customFormat="1" ht="11.45">
      <c r="B72" t="s">
        <v>296</v>
      </c>
      <c r="D72" s="846">
        <f t="shared" ref="D72:AI72" si="640">+D765</f>
        <v>8084</v>
      </c>
      <c r="E72" s="846">
        <f t="shared" si="640"/>
        <v>8051</v>
      </c>
      <c r="F72" s="846">
        <f t="shared" si="640"/>
        <v>7985</v>
      </c>
      <c r="G72" s="846">
        <f t="shared" si="640"/>
        <v>7929</v>
      </c>
      <c r="H72" s="846">
        <f t="shared" si="640"/>
        <v>7876</v>
      </c>
      <c r="I72" s="846">
        <f t="shared" si="640"/>
        <v>7830</v>
      </c>
      <c r="J72" s="846">
        <f t="shared" si="640"/>
        <v>7813</v>
      </c>
      <c r="K72" s="846">
        <f t="shared" si="640"/>
        <v>7806</v>
      </c>
      <c r="L72" s="846">
        <f t="shared" si="640"/>
        <v>7799</v>
      </c>
      <c r="M72" s="846">
        <f t="shared" si="640"/>
        <v>7710</v>
      </c>
      <c r="N72" s="846">
        <f t="shared" si="640"/>
        <v>7794</v>
      </c>
      <c r="O72" s="846">
        <f t="shared" si="640"/>
        <v>7775</v>
      </c>
      <c r="P72" s="846">
        <f t="shared" si="640"/>
        <v>7766</v>
      </c>
      <c r="Q72" s="846">
        <f t="shared" si="640"/>
        <v>7768</v>
      </c>
      <c r="R72" s="846">
        <f t="shared" si="640"/>
        <v>7744</v>
      </c>
      <c r="S72" s="846">
        <f t="shared" si="640"/>
        <v>7734</v>
      </c>
      <c r="T72" s="846">
        <f t="shared" si="640"/>
        <v>7710</v>
      </c>
      <c r="U72" s="846">
        <f t="shared" si="640"/>
        <v>7714.5695364238409</v>
      </c>
      <c r="V72" s="846">
        <f t="shared" si="640"/>
        <v>7675</v>
      </c>
      <c r="W72" s="1200">
        <f t="shared" si="640"/>
        <v>7650</v>
      </c>
      <c r="X72" s="846">
        <f t="shared" si="640"/>
        <v>7637</v>
      </c>
      <c r="Y72" s="846">
        <f t="shared" si="640"/>
        <v>7616</v>
      </c>
      <c r="Z72" s="846">
        <f t="shared" si="640"/>
        <v>7597</v>
      </c>
      <c r="AA72" s="846">
        <f t="shared" si="640"/>
        <v>7581</v>
      </c>
      <c r="AB72" s="846">
        <f t="shared" si="640"/>
        <v>7567</v>
      </c>
      <c r="AC72" s="846">
        <f t="shared" si="640"/>
        <v>7555</v>
      </c>
      <c r="AD72" s="846">
        <f t="shared" si="640"/>
        <v>7534</v>
      </c>
      <c r="AE72" s="846">
        <f t="shared" si="640"/>
        <v>7506</v>
      </c>
      <c r="AF72" s="846">
        <f t="shared" si="640"/>
        <v>7485</v>
      </c>
      <c r="AG72" s="846">
        <f t="shared" si="640"/>
        <v>7473</v>
      </c>
      <c r="AH72" s="846">
        <f t="shared" si="640"/>
        <v>7464</v>
      </c>
      <c r="AI72" s="846">
        <f t="shared" si="640"/>
        <v>7467</v>
      </c>
      <c r="AJ72" s="846">
        <f t="shared" ref="AJ72:AK72" si="641">+AJ765</f>
        <v>7462</v>
      </c>
      <c r="AK72" s="846">
        <f t="shared" si="641"/>
        <v>7468</v>
      </c>
      <c r="AL72" s="846">
        <f t="shared" ref="AL72:AM72" si="642">+AL765</f>
        <v>7472</v>
      </c>
      <c r="AM72" s="846">
        <f t="shared" si="642"/>
        <v>7472</v>
      </c>
      <c r="AN72" s="846">
        <f t="shared" ref="AN72" si="643">+AM72</f>
        <v>7472</v>
      </c>
      <c r="AO72" s="846">
        <f t="shared" ref="AO72" si="644">+AN72</f>
        <v>7472</v>
      </c>
      <c r="AP72" s="846">
        <f t="shared" ref="AP72" si="645">+AO72</f>
        <v>7472</v>
      </c>
      <c r="AQ72" s="846">
        <f t="shared" ref="AQ72" si="646">+AP72</f>
        <v>7472</v>
      </c>
      <c r="AS72" s="846">
        <f t="shared" ref="AS72:BE72" si="647">+AS765</f>
        <v>7775</v>
      </c>
      <c r="AT72" s="846">
        <f t="shared" si="647"/>
        <v>7775</v>
      </c>
      <c r="AU72" s="846">
        <f t="shared" si="647"/>
        <v>7775</v>
      </c>
      <c r="AV72" s="846">
        <f t="shared" si="647"/>
        <v>7775</v>
      </c>
      <c r="AW72" s="846">
        <f t="shared" si="647"/>
        <v>7775</v>
      </c>
      <c r="AX72" s="846">
        <f t="shared" si="647"/>
        <v>7775</v>
      </c>
      <c r="AY72" s="846">
        <f t="shared" si="647"/>
        <v>7775</v>
      </c>
      <c r="AZ72" s="846">
        <f t="shared" si="647"/>
        <v>7775</v>
      </c>
      <c r="BA72" s="846">
        <f t="shared" si="647"/>
        <v>7775</v>
      </c>
      <c r="BB72" s="846">
        <f t="shared" si="647"/>
        <v>7775</v>
      </c>
      <c r="BC72" s="846">
        <f t="shared" si="647"/>
        <v>7775</v>
      </c>
      <c r="BD72" s="846">
        <f t="shared" si="647"/>
        <v>7832</v>
      </c>
      <c r="BE72" s="846">
        <f t="shared" si="647"/>
        <v>7794</v>
      </c>
      <c r="BG72" s="846">
        <f>+BG765</f>
        <v>8012.25</v>
      </c>
      <c r="BH72" s="846">
        <f>+BH765</f>
        <v>7831.25</v>
      </c>
      <c r="BI72" s="846">
        <f>+BI765</f>
        <v>7769.5</v>
      </c>
      <c r="BJ72" s="846">
        <f>+BJ765</f>
        <v>7753</v>
      </c>
      <c r="BK72" s="846">
        <f>AVERAGE(T72:W72)</f>
        <v>7687.3923841059604</v>
      </c>
      <c r="BL72" s="846">
        <f>AVERAGE(X72:AA72)</f>
        <v>7607.75</v>
      </c>
      <c r="BM72" s="846">
        <f>AVERAGE(AB72:AE72)</f>
        <v>7540.5</v>
      </c>
      <c r="BN72" s="846">
        <f>+BN71/BN73</f>
        <v>7471.9575593292129</v>
      </c>
      <c r="BO72" s="846">
        <f>+BO71/BO73</f>
        <v>7468.5468444992594</v>
      </c>
      <c r="BP72" s="846">
        <f>+BP71/BP73</f>
        <v>7471.9999999999991</v>
      </c>
    </row>
    <row r="73" spans="2:69">
      <c r="B73" s="12" t="s">
        <v>297</v>
      </c>
      <c r="D73" s="9">
        <f>+D71/D72</f>
        <v>0.4841229589312222</v>
      </c>
      <c r="E73" s="9">
        <f t="shared" ref="E73:AS73" si="648">+E71/E72</f>
        <v>0.59041733946093666</v>
      </c>
      <c r="F73" s="9">
        <f t="shared" si="648"/>
        <v>0.49370695053224795</v>
      </c>
      <c r="G73" s="9">
        <f t="shared" si="648"/>
        <v>0.60253499810821032</v>
      </c>
      <c r="H73" s="9">
        <f t="shared" si="648"/>
        <v>0.56342686642965978</v>
      </c>
      <c r="I73" s="9">
        <f t="shared" si="648"/>
        <v>0.6659386973180077</v>
      </c>
      <c r="J73" s="9">
        <f t="shared" si="648"/>
        <v>0.59018302828618974</v>
      </c>
      <c r="K73" s="9">
        <f t="shared" si="648"/>
        <v>0.68813733025877533</v>
      </c>
      <c r="L73" s="9">
        <f t="shared" si="648"/>
        <v>0.66541864341582257</v>
      </c>
      <c r="M73" s="9">
        <f t="shared" si="648"/>
        <v>0.77300259403372251</v>
      </c>
      <c r="N73" s="9">
        <f t="shared" si="648"/>
        <v>0.87585193738773415</v>
      </c>
      <c r="O73" s="9">
        <f t="shared" ref="O73:V73" si="649">+O71/O72</f>
        <v>1.085170418006431</v>
      </c>
      <c r="P73" s="9">
        <f t="shared" si="649"/>
        <v>1.0397360288436777</v>
      </c>
      <c r="Q73" s="9">
        <f t="shared" si="649"/>
        <v>1.0561470133882596</v>
      </c>
      <c r="R73" s="9">
        <f t="shared" si="649"/>
        <v>1.0697236570247934</v>
      </c>
      <c r="S73" s="9">
        <f t="shared" si="649"/>
        <v>1.286635634859064</v>
      </c>
      <c r="T73" s="9">
        <f t="shared" si="649"/>
        <v>1.2998625162127109</v>
      </c>
      <c r="U73" s="9">
        <f t="shared" si="649"/>
        <v>1.4423552665464847</v>
      </c>
      <c r="V73" s="9">
        <f t="shared" si="649"/>
        <v>1.3219504885993487</v>
      </c>
      <c r="W73" s="1201">
        <f t="shared" ref="W73:X73" si="650">+W71/W72</f>
        <v>1.3860627450980394</v>
      </c>
      <c r="X73" s="9">
        <f t="shared" si="650"/>
        <v>1.667927196543145</v>
      </c>
      <c r="Y73" s="9">
        <f t="shared" ref="Y73" si="651">+Y71/Y72</f>
        <v>1.9020785189075631</v>
      </c>
      <c r="Z73" s="9">
        <f t="shared" ref="Z73" si="652">+Z71/Z72</f>
        <v>1.792344346452547</v>
      </c>
      <c r="AA73" s="9">
        <f t="shared" ref="AA73" si="653">+AA71/AA72</f>
        <v>2.0221540693839866</v>
      </c>
      <c r="AB73" s="9">
        <f t="shared" ref="AB73:AC73" si="654">+AB71/AB72</f>
        <v>2.1427197039777983</v>
      </c>
      <c r="AC73" s="9">
        <f t="shared" si="654"/>
        <v>2.3543150231634677</v>
      </c>
      <c r="AD73" s="9">
        <f t="shared" ref="AD73:AE73" si="655">+AD71/AD72</f>
        <v>2.1170825590655693</v>
      </c>
      <c r="AE73" s="9">
        <f t="shared" si="655"/>
        <v>2.1562390087929657</v>
      </c>
      <c r="AF73" s="9">
        <f t="shared" ref="AF73" si="656">+AF71/AF72</f>
        <v>2.2768042752171009</v>
      </c>
      <c r="AG73" s="9">
        <f t="shared" ref="AG73:AI73" si="657">+AG71/AG72</f>
        <v>2.2739060618225615</v>
      </c>
      <c r="AH73" s="9">
        <f t="shared" si="657"/>
        <v>2.3997414255091103</v>
      </c>
      <c r="AI73" s="9">
        <f t="shared" si="657"/>
        <v>2.6160881210660243</v>
      </c>
      <c r="AJ73" s="9">
        <f t="shared" ref="AJ73" si="658">+AJ71/AJ72</f>
        <v>2.8885499865987674</v>
      </c>
      <c r="AK73" s="9">
        <f t="shared" ref="AK73" si="659">+AK71/AK72</f>
        <v>2.9396411355115157</v>
      </c>
      <c r="AL73" s="9">
        <f t="shared" ref="AL73:AM73" si="660">+AL71/AL72</f>
        <v>2.9440082976445399</v>
      </c>
      <c r="AM73" s="9">
        <f t="shared" si="660"/>
        <v>2.9979234140792292</v>
      </c>
      <c r="AN73" s="9">
        <f t="shared" ref="AN73:AQ73" si="661">+AN71/AN72</f>
        <v>3.3086595530901062</v>
      </c>
      <c r="AO73" s="9">
        <f t="shared" si="661"/>
        <v>3.5245796320041629</v>
      </c>
      <c r="AP73" s="9">
        <f t="shared" si="661"/>
        <v>3.5978434596769655</v>
      </c>
      <c r="AQ73" s="9">
        <f t="shared" si="661"/>
        <v>3.65699890065099</v>
      </c>
      <c r="AS73" s="9">
        <f t="shared" si="648"/>
        <v>1.3901221864951769</v>
      </c>
      <c r="AT73" s="9">
        <f t="shared" ref="AT73" si="662">+AT71/AT72</f>
        <v>1.5267266881028938</v>
      </c>
      <c r="AU73" s="9">
        <f t="shared" ref="AU73" si="663">+AU71/AU72</f>
        <v>1.6804694533762059</v>
      </c>
      <c r="AV73" s="9">
        <f t="shared" ref="AV73" si="664">+AV71/AV72</f>
        <v>1.9908810289389067</v>
      </c>
      <c r="AW73" s="9">
        <f t="shared" ref="AW73" si="665">+AW71/AW72</f>
        <v>1.6570610932475887</v>
      </c>
      <c r="AX73" s="9">
        <f t="shared" ref="AX73" si="666">+AX71/AX72</f>
        <v>2.0911189710610931</v>
      </c>
      <c r="AY73" s="9">
        <f t="shared" ref="AY73" si="667">+AY71/AY72</f>
        <v>2.3467717041800644</v>
      </c>
      <c r="AZ73" s="9">
        <f t="shared" ref="AZ73" si="668">+AZ71/AZ72</f>
        <v>2.3792926045016078</v>
      </c>
      <c r="BA73" s="9">
        <f t="shared" ref="BA73" si="669">+BA71/BA72</f>
        <v>2.3228617363344051</v>
      </c>
      <c r="BB73" s="9">
        <f t="shared" ref="BB73" si="670">+BB71/BB72</f>
        <v>2.3364051446945342</v>
      </c>
      <c r="BC73" s="9">
        <f t="shared" ref="BC73" si="671">+BC71/BC72</f>
        <v>2.3841414790996787</v>
      </c>
      <c r="BD73" s="9">
        <f t="shared" ref="BD73" si="672">+BD71/BD72</f>
        <v>1.8028536772216548</v>
      </c>
      <c r="BE73" s="9">
        <f t="shared" ref="BE73:BG73" si="673">+BE71/BE72</f>
        <v>1.8188157557095201</v>
      </c>
      <c r="BG73" s="9">
        <f t="shared" si="673"/>
        <v>2.17003338637711</v>
      </c>
      <c r="BH73" s="9">
        <f t="shared" ref="BH73" si="674">+BH71/BH72</f>
        <v>2.507205107741421</v>
      </c>
      <c r="BI73" s="9">
        <f t="shared" ref="BI73:BJ73" si="675">+BI71/BI72</f>
        <v>3.3995804105798313</v>
      </c>
      <c r="BJ73" s="9">
        <f t="shared" si="675"/>
        <v>4.4516342061137628</v>
      </c>
      <c r="BK73" s="9">
        <f t="shared" ref="BK73:BL73" si="676">+BK71/BK72</f>
        <v>5.4502798746980794</v>
      </c>
      <c r="BL73" s="9">
        <f t="shared" si="676"/>
        <v>7.3833367289934611</v>
      </c>
      <c r="BM73" s="9">
        <f t="shared" ref="BM73" si="677">+BM71/BM72</f>
        <v>8.7707234268284591</v>
      </c>
      <c r="BN73" s="9">
        <f>SUM(AF73:AI73)</f>
        <v>9.5665398836147979</v>
      </c>
      <c r="BO73" s="9">
        <f>SUM(AJ73:AM73)</f>
        <v>11.770122833834053</v>
      </c>
      <c r="BP73" s="9">
        <f>+SUM(AN73:AQ73)</f>
        <v>14.088081545422225</v>
      </c>
    </row>
    <row r="74" spans="2:69" s="3" customFormat="1">
      <c r="B74" s="15" t="s">
        <v>113</v>
      </c>
      <c r="D74" s="228"/>
      <c r="E74" s="228"/>
      <c r="F74" s="228"/>
      <c r="G74" s="228"/>
      <c r="H74" s="228">
        <f>IFERROR(H73/D73-1,"n/a ")</f>
        <v>0.16380943319340502</v>
      </c>
      <c r="I74" s="228">
        <f t="shared" ref="I74" si="678">IFERROR(I73/E73-1,"n/a ")</f>
        <v>0.12791182238316989</v>
      </c>
      <c r="J74" s="228">
        <f t="shared" ref="J74" si="679">IFERROR(J73/F73-1,"n/a ")</f>
        <v>0.19541162556033354</v>
      </c>
      <c r="K74" s="228">
        <f t="shared" ref="K74" si="680">IFERROR(K73/G73-1,"n/a ")</f>
        <v>0.14207030698520784</v>
      </c>
      <c r="L74" s="228">
        <f t="shared" ref="L74" si="681">IFERROR(L73/H73-1,"n/a ")</f>
        <v>0.18102043594844419</v>
      </c>
      <c r="M74" s="228">
        <f t="shared" ref="M74" si="682">IFERROR(M73/I73-1,"n/a ")</f>
        <v>0.16077140005063906</v>
      </c>
      <c r="N74" s="228">
        <f t="shared" ref="N74" si="683">IFERROR(N73/J73-1,"n/a ")</f>
        <v>0.48403443577679206</v>
      </c>
      <c r="O74" s="228">
        <f t="shared" ref="O74" si="684">IFERROR(O73/K73-1,"n/a ")</f>
        <v>0.57696780902490885</v>
      </c>
      <c r="P74" s="228">
        <f t="shared" ref="P74" si="685">IFERROR(P73/L73-1,"n/a ")</f>
        <v>0.56252915233386802</v>
      </c>
      <c r="Q74" s="228">
        <f t="shared" ref="Q74" si="686">IFERROR(Q73/M73-1,"n/a ")</f>
        <v>0.36629168070060159</v>
      </c>
      <c r="R74" s="228">
        <f t="shared" ref="R74" si="687">IFERROR(R73/N73-1,"n/a ")</f>
        <v>0.22135216166249516</v>
      </c>
      <c r="S74" s="228">
        <f t="shared" ref="S74" si="688">IFERROR(S73/O73-1,"n/a ")</f>
        <v>0.18565306749030741</v>
      </c>
      <c r="T74" s="228">
        <f t="shared" ref="T74" si="689">IFERROR(T73/P73-1,"n/a ")</f>
        <v>0.25018512406300641</v>
      </c>
      <c r="U74" s="228">
        <f t="shared" ref="U74" si="690">IFERROR(U73/Q73-1,"n/a ")</f>
        <v>0.36567660397885127</v>
      </c>
      <c r="V74" s="228">
        <f t="shared" ref="V74" si="691">IFERROR(V73/R73-1,"n/a ")</f>
        <v>0.23578690619600762</v>
      </c>
      <c r="W74" s="236">
        <f t="shared" ref="W74:X74" si="692">IFERROR(W73/S73-1,"n/a ")</f>
        <v>7.7276819905478966E-2</v>
      </c>
      <c r="X74" s="228">
        <f t="shared" si="692"/>
        <v>0.28315662290411314</v>
      </c>
      <c r="Y74" s="228">
        <f t="shared" ref="Y74" si="693">IFERROR(Y73/U73-1,"n/a ")</f>
        <v>0.31873094169220906</v>
      </c>
      <c r="Z74" s="228">
        <f t="shared" ref="Z74" si="694">IFERROR(Z73/V73-1,"n/a ")</f>
        <v>0.35583318884476256</v>
      </c>
      <c r="AA74" s="228">
        <f t="shared" ref="AA74" si="695">IFERROR(AA73/W73-1,"n/a ")</f>
        <v>0.45891957383282445</v>
      </c>
      <c r="AB74" s="228">
        <f t="shared" ref="AB74" si="696">IFERROR(AB73/X73-1,"n/a ")</f>
        <v>0.28466021084054649</v>
      </c>
      <c r="AC74" s="228">
        <f t="shared" ref="AC74" si="697">IFERROR(AC73/Y73-1,"n/a ")</f>
        <v>0.23775911444267894</v>
      </c>
      <c r="AD74" s="228">
        <f t="shared" ref="AD74" si="698">IFERROR(AD73/Z73-1,"n/a ")</f>
        <v>0.18118070517852902</v>
      </c>
      <c r="AE74" s="228">
        <f t="shared" ref="AE74" si="699">IFERROR(AE73/AA73-1,"n/a ")</f>
        <v>6.6307973976397205E-2</v>
      </c>
      <c r="AF74" s="228">
        <f t="shared" ref="AF74" si="700">IFERROR(AF73/AB73-1,"n/a ")</f>
        <v>6.2576813472329018E-2</v>
      </c>
      <c r="AG74" s="228">
        <f t="shared" ref="AG74" si="701">IFERROR(AG73/AC73-1,"n/a ")</f>
        <v>-3.4153866644771047E-2</v>
      </c>
      <c r="AH74" s="228">
        <f t="shared" ref="AH74" si="702">IFERROR(AH73/AD73-1,"n/a ")</f>
        <v>0.13351338861735274</v>
      </c>
      <c r="AI74" s="228">
        <f t="shared" ref="AI74" si="703">IFERROR(AI73/AE73-1,"n/a ")</f>
        <v>0.2132644435045612</v>
      </c>
      <c r="AJ74" s="228">
        <f t="shared" ref="AJ74" si="704">IFERROR(AJ73/AF73-1,"n/a ")</f>
        <v>0.26868612205295261</v>
      </c>
      <c r="AK74" s="228">
        <f t="shared" ref="AK74" si="705">IFERROR(AK73/AG73-1,"n/a ")</f>
        <v>0.29277158140620818</v>
      </c>
      <c r="AL74" s="228">
        <f t="shared" ref="AL74" si="706">IFERROR(AL73/AH73-1,"n/a ")</f>
        <v>0.22680229892683634</v>
      </c>
      <c r="AM74" s="228">
        <f t="shared" ref="AM74" si="707">IFERROR(AM73/AI73-1,"n/a ")</f>
        <v>0.14595658683607793</v>
      </c>
      <c r="AN74" s="228">
        <f t="shared" ref="AN74" si="708">IFERROR(AN73/AJ73-1,"n/a ")</f>
        <v>0.14543960410600776</v>
      </c>
      <c r="AO74" s="228">
        <f t="shared" ref="AO74" si="709">IFERROR(AO73/AK73-1,"n/a ")</f>
        <v>0.19898296068403076</v>
      </c>
      <c r="AP74" s="228">
        <f t="shared" ref="AP74" si="710">IFERROR(AP73/AL73-1,"n/a ")</f>
        <v>0.2220901220134297</v>
      </c>
      <c r="AQ74" s="228">
        <f t="shared" ref="AQ74" si="711">IFERROR(AQ73/AM73-1,"n/a ")</f>
        <v>0.21984400384497027</v>
      </c>
      <c r="AR74" s="228"/>
      <c r="AS74" s="228"/>
      <c r="AT74" s="228">
        <f>IFERROR(AT73/AS73-1,"n/a ")</f>
        <v>9.8267981717584663E-2</v>
      </c>
      <c r="AU74" s="228">
        <f t="shared" ref="AU74" si="712">IFERROR(AU73/AT73-1,"n/a ")</f>
        <v>0.1007009089913482</v>
      </c>
      <c r="AV74" s="228">
        <f t="shared" ref="AV74" si="713">IFERROR(AV73/AU73-1,"n/a ")</f>
        <v>0.18471717824983824</v>
      </c>
      <c r="AW74" s="228">
        <f t="shared" ref="AW74" si="714">IFERROR(AW73/AV73-1,"n/a ")</f>
        <v>-0.16767447719828654</v>
      </c>
      <c r="AX74" s="228">
        <f t="shared" ref="AX74" si="715">IFERROR(AX73/AW73-1,"n/a ")</f>
        <v>0.26194440240149319</v>
      </c>
      <c r="AY74" s="228">
        <f t="shared" ref="AY74" si="716">IFERROR(AY73/AX73-1,"n/a ")</f>
        <v>0.12225642665813785</v>
      </c>
      <c r="AZ74" s="228">
        <f t="shared" ref="AZ74" si="717">IFERROR(AZ73/AY73-1,"n/a ")</f>
        <v>1.3857717929535829E-2</v>
      </c>
      <c r="BA74" s="228">
        <f t="shared" ref="BA74" si="718">IFERROR(BA73/AZ73-1,"n/a ")</f>
        <v>-2.3717498243148394E-2</v>
      </c>
      <c r="BB74" s="228">
        <f t="shared" ref="BB74" si="719">IFERROR(BB73/BA73-1,"n/a ")</f>
        <v>5.8304840741409958E-3</v>
      </c>
      <c r="BC74" s="228">
        <f t="shared" ref="BC74" si="720">IFERROR(BC73/BB73-1,"n/a ")</f>
        <v>2.0431531112462764E-2</v>
      </c>
      <c r="BD74" s="228">
        <f t="shared" ref="BD74" si="721">IFERROR(BD73/BC73-1,"n/a ")</f>
        <v>-0.24381430673213866</v>
      </c>
      <c r="BE74" s="228">
        <f t="shared" ref="BE74" si="722">IFERROR(BE73/BD73-1,"n/a ")</f>
        <v>8.853784802138831E-3</v>
      </c>
      <c r="BF74" s="228"/>
      <c r="BG74" s="829">
        <f t="shared" ref="BG74" si="723">+BD74</f>
        <v>-0.24381430673213866</v>
      </c>
      <c r="BH74" s="228">
        <f t="shared" ref="BH74" si="724">IFERROR(BH73/BG73-1,"n/a ")</f>
        <v>0.1553762829092793</v>
      </c>
      <c r="BI74" s="228">
        <f t="shared" ref="BI74" si="725">IFERROR(BI73/BH73-1,"n/a ")</f>
        <v>0.35592433187179218</v>
      </c>
      <c r="BJ74" s="228">
        <f t="shared" ref="BJ74" si="726">IFERROR(BJ73/BI73-1,"n/a ")</f>
        <v>0.3094657776765144</v>
      </c>
      <c r="BK74" s="228">
        <f t="shared" ref="BK74" si="727">IFERROR(BK73/BJ73-1,"n/a ")</f>
        <v>0.22433237376350501</v>
      </c>
      <c r="BL74" s="228">
        <f t="shared" ref="BL74:BP74" si="728">IFERROR(BL73/BK73-1,"n/a ")</f>
        <v>0.35467111758228098</v>
      </c>
      <c r="BM74" s="228">
        <f t="shared" si="728"/>
        <v>0.18790781847818216</v>
      </c>
      <c r="BN74" s="228">
        <f t="shared" si="728"/>
        <v>9.0735554874760149E-2</v>
      </c>
      <c r="BO74" s="228">
        <f t="shared" si="728"/>
        <v>0.23034273384397497</v>
      </c>
      <c r="BP74" s="228">
        <f t="shared" si="728"/>
        <v>0.19693581318667608</v>
      </c>
    </row>
    <row r="75" spans="2:69">
      <c r="W75" s="1065"/>
      <c r="AF75" s="228"/>
      <c r="AG75" s="228"/>
      <c r="AH75" s="228"/>
      <c r="AI75" s="228"/>
      <c r="AJ75" s="228"/>
      <c r="AK75" s="11"/>
      <c r="AL75" s="228"/>
      <c r="AM75" s="228"/>
      <c r="AN75" s="228"/>
      <c r="AO75" s="228"/>
      <c r="AP75" s="228"/>
      <c r="AQ75" s="228"/>
    </row>
    <row r="76" spans="2:69" hidden="1" outlineLevel="1">
      <c r="B76" s="847" t="s">
        <v>298</v>
      </c>
      <c r="W76" s="1065"/>
      <c r="BA76" s="8"/>
    </row>
    <row r="77" spans="2:69" ht="11.45" hidden="1" outlineLevel="1">
      <c r="B77" s="12" t="s">
        <v>274</v>
      </c>
      <c r="D77" s="10">
        <f t="shared" ref="D77:Y77" si="729">+D18</f>
        <v>0</v>
      </c>
      <c r="E77" s="10">
        <f t="shared" si="729"/>
        <v>0</v>
      </c>
      <c r="F77" s="10">
        <f t="shared" si="729"/>
        <v>0</v>
      </c>
      <c r="G77" s="10">
        <f t="shared" si="729"/>
        <v>0</v>
      </c>
      <c r="H77" s="10">
        <f t="shared" si="729"/>
        <v>0</v>
      </c>
      <c r="I77" s="10">
        <f t="shared" si="729"/>
        <v>0</v>
      </c>
      <c r="J77" s="10">
        <f t="shared" si="729"/>
        <v>0</v>
      </c>
      <c r="K77" s="10">
        <f t="shared" si="729"/>
        <v>0</v>
      </c>
      <c r="L77" s="10">
        <f t="shared" si="729"/>
        <v>0</v>
      </c>
      <c r="M77" s="10">
        <f t="shared" si="729"/>
        <v>0</v>
      </c>
      <c r="N77" s="10">
        <f t="shared" si="729"/>
        <v>0</v>
      </c>
      <c r="O77" s="10">
        <f t="shared" si="729"/>
        <v>0</v>
      </c>
      <c r="P77" s="10">
        <f t="shared" si="729"/>
        <v>0</v>
      </c>
      <c r="Q77" s="10">
        <f t="shared" si="729"/>
        <v>0</v>
      </c>
      <c r="R77" s="10">
        <f t="shared" si="729"/>
        <v>0</v>
      </c>
      <c r="S77" s="10">
        <f t="shared" si="729"/>
        <v>0</v>
      </c>
      <c r="T77" s="10">
        <f t="shared" si="729"/>
        <v>0</v>
      </c>
      <c r="U77" s="10">
        <f t="shared" si="729"/>
        <v>0</v>
      </c>
      <c r="V77" s="10">
        <f t="shared" si="729"/>
        <v>0</v>
      </c>
      <c r="W77" s="1058">
        <f t="shared" si="729"/>
        <v>0</v>
      </c>
      <c r="X77" s="10">
        <f t="shared" si="729"/>
        <v>0</v>
      </c>
      <c r="Y77" s="10">
        <f t="shared" si="729"/>
        <v>0</v>
      </c>
      <c r="Z77" s="10">
        <v>0</v>
      </c>
      <c r="AA77" s="10">
        <v>0</v>
      </c>
      <c r="AB77" s="10">
        <v>0</v>
      </c>
      <c r="AC77" s="10">
        <v>0</v>
      </c>
      <c r="AD77" s="10">
        <v>0</v>
      </c>
      <c r="AE77" s="10">
        <v>0</v>
      </c>
      <c r="AF77" s="10">
        <v>0</v>
      </c>
      <c r="AG77" s="10">
        <v>0</v>
      </c>
      <c r="AH77" s="10">
        <v>0</v>
      </c>
      <c r="AI77" s="10">
        <v>0</v>
      </c>
      <c r="AJ77" s="10">
        <v>0</v>
      </c>
      <c r="AK77" s="10">
        <v>0</v>
      </c>
      <c r="AL77" s="10">
        <v>0</v>
      </c>
      <c r="AM77" s="10">
        <v>0</v>
      </c>
      <c r="AN77" s="10">
        <v>0</v>
      </c>
      <c r="AO77" s="10">
        <v>0</v>
      </c>
      <c r="AP77" s="10">
        <v>0</v>
      </c>
      <c r="AQ77" s="10">
        <v>0</v>
      </c>
      <c r="AS77" s="10">
        <f t="shared" ref="AS77:BE77" si="730">+AS18</f>
        <v>0</v>
      </c>
      <c r="AT77" s="10">
        <f t="shared" si="730"/>
        <v>0</v>
      </c>
      <c r="AU77" s="10">
        <f t="shared" si="730"/>
        <v>0</v>
      </c>
      <c r="AV77" s="10">
        <f t="shared" si="730"/>
        <v>0</v>
      </c>
      <c r="AW77" s="10">
        <f t="shared" si="730"/>
        <v>0</v>
      </c>
      <c r="AX77" s="10">
        <f t="shared" si="730"/>
        <v>0</v>
      </c>
      <c r="AY77" s="10">
        <f t="shared" si="730"/>
        <v>0</v>
      </c>
      <c r="AZ77" s="10">
        <f t="shared" si="730"/>
        <v>540</v>
      </c>
      <c r="BA77" s="10">
        <f t="shared" si="730"/>
        <v>-540</v>
      </c>
      <c r="BB77" s="10">
        <f t="shared" si="730"/>
        <v>0</v>
      </c>
      <c r="BC77" s="10">
        <f t="shared" si="730"/>
        <v>0</v>
      </c>
      <c r="BD77" s="10">
        <f t="shared" si="730"/>
        <v>6643</v>
      </c>
      <c r="BE77" s="10">
        <f t="shared" si="730"/>
        <v>6707</v>
      </c>
      <c r="BG77" s="10">
        <f>+BG18</f>
        <v>0</v>
      </c>
      <c r="BH77" s="10">
        <f>+BH18</f>
        <v>0</v>
      </c>
      <c r="BI77" s="10">
        <f>+BI18</f>
        <v>0</v>
      </c>
      <c r="BJ77" s="10">
        <f>+BJ18</f>
        <v>0</v>
      </c>
      <c r="BK77" s="10">
        <f>SUM(T77:W77)</f>
        <v>0</v>
      </c>
      <c r="BL77" s="10">
        <f>SUM(X77:AA77)</f>
        <v>0</v>
      </c>
      <c r="BM77" s="10">
        <f>SUM(AB77:AE77)</f>
        <v>0</v>
      </c>
      <c r="BN77" s="10">
        <f>SUM(AF77:AI77)</f>
        <v>0</v>
      </c>
      <c r="BO77" s="10">
        <f t="shared" ref="BO77:BO78" si="731">SUM(AJ77:AM77)</f>
        <v>0</v>
      </c>
      <c r="BP77" s="10">
        <f t="shared" ref="BP77" si="732">+SUM(AN77:AQ77)</f>
        <v>0</v>
      </c>
    </row>
    <row r="78" spans="2:69" hidden="1" outlineLevel="1">
      <c r="B78" s="17" t="s">
        <v>299</v>
      </c>
      <c r="D78" s="8">
        <f t="shared" ref="D78:AQ78" si="733">+D48+D77</f>
        <v>6316</v>
      </c>
      <c r="E78" s="8">
        <f t="shared" si="733"/>
        <v>7489</v>
      </c>
      <c r="F78" s="8">
        <f t="shared" si="733"/>
        <v>6277</v>
      </c>
      <c r="G78" s="8">
        <f t="shared" si="733"/>
        <v>7106</v>
      </c>
      <c r="H78" s="8">
        <f t="shared" si="733"/>
        <v>6715</v>
      </c>
      <c r="I78" s="8">
        <f t="shared" si="733"/>
        <v>7905</v>
      </c>
      <c r="J78" s="8">
        <f t="shared" si="733"/>
        <v>6723</v>
      </c>
      <c r="K78" s="8">
        <f t="shared" si="733"/>
        <v>7988</v>
      </c>
      <c r="L78" s="8">
        <f t="shared" si="733"/>
        <v>7708</v>
      </c>
      <c r="M78" s="8">
        <f t="shared" si="733"/>
        <v>8679</v>
      </c>
      <c r="N78" s="8">
        <f t="shared" si="733"/>
        <v>8292</v>
      </c>
      <c r="O78" s="8">
        <f t="shared" si="733"/>
        <v>10379</v>
      </c>
      <c r="P78" s="8">
        <f t="shared" si="733"/>
        <v>9955</v>
      </c>
      <c r="Q78" s="8">
        <f t="shared" si="733"/>
        <v>10258</v>
      </c>
      <c r="R78" s="8">
        <f t="shared" si="733"/>
        <v>10341</v>
      </c>
      <c r="S78" s="8">
        <f t="shared" si="733"/>
        <v>12405</v>
      </c>
      <c r="T78" s="8">
        <f t="shared" si="733"/>
        <v>12686</v>
      </c>
      <c r="U78" s="8">
        <f t="shared" si="733"/>
        <v>13891</v>
      </c>
      <c r="V78" s="8">
        <f t="shared" si="733"/>
        <v>12975</v>
      </c>
      <c r="W78" s="1056">
        <f t="shared" si="733"/>
        <v>13407</v>
      </c>
      <c r="X78" s="8">
        <f t="shared" si="733"/>
        <v>15876</v>
      </c>
      <c r="Y78" s="8">
        <f t="shared" si="733"/>
        <v>17897</v>
      </c>
      <c r="Z78" s="8">
        <f t="shared" si="733"/>
        <v>17048</v>
      </c>
      <c r="AA78" s="8">
        <f t="shared" si="733"/>
        <v>19095</v>
      </c>
      <c r="AB78" s="8">
        <f t="shared" si="733"/>
        <v>20238</v>
      </c>
      <c r="AC78" s="8">
        <f t="shared" si="733"/>
        <v>22247</v>
      </c>
      <c r="AD78" s="8">
        <f t="shared" si="733"/>
        <v>20364</v>
      </c>
      <c r="AE78" s="8">
        <f t="shared" si="733"/>
        <v>20534</v>
      </c>
      <c r="AF78" s="8">
        <f t="shared" si="733"/>
        <v>21518</v>
      </c>
      <c r="AG78" s="8">
        <f t="shared" si="733"/>
        <v>21570</v>
      </c>
      <c r="AH78" s="8">
        <f t="shared" si="733"/>
        <v>22352</v>
      </c>
      <c r="AI78" s="8">
        <f t="shared" si="733"/>
        <v>24254</v>
      </c>
      <c r="AJ78" s="8">
        <f t="shared" si="733"/>
        <v>26895</v>
      </c>
      <c r="AK78" s="8">
        <f t="shared" si="733"/>
        <v>28162</v>
      </c>
      <c r="AL78" s="8">
        <f t="shared" si="733"/>
        <v>28521</v>
      </c>
      <c r="AM78" s="8">
        <f t="shared" si="733"/>
        <v>28865</v>
      </c>
      <c r="AN78" s="8">
        <f t="shared" si="733"/>
        <v>31792.071747707938</v>
      </c>
      <c r="AO78" s="8">
        <f t="shared" si="733"/>
        <v>33184.293051057095</v>
      </c>
      <c r="AP78" s="8">
        <f t="shared" si="733"/>
        <v>33877.239026210489</v>
      </c>
      <c r="AQ78" s="8">
        <f t="shared" si="733"/>
        <v>34436.744665397717</v>
      </c>
      <c r="AS78" s="8">
        <f t="shared" ref="AS78:BE78" si="734">+AS48+AS77</f>
        <v>14576</v>
      </c>
      <c r="AT78" s="8">
        <f t="shared" si="734"/>
        <v>16380</v>
      </c>
      <c r="AU78" s="8">
        <f t="shared" si="734"/>
        <v>18438</v>
      </c>
      <c r="AV78" s="8">
        <f t="shared" si="734"/>
        <v>22271</v>
      </c>
      <c r="AW78" s="8">
        <f t="shared" si="734"/>
        <v>20363</v>
      </c>
      <c r="AX78" s="8">
        <f t="shared" si="734"/>
        <v>24098</v>
      </c>
      <c r="AY78" s="8">
        <f t="shared" si="734"/>
        <v>27161</v>
      </c>
      <c r="AZ78" s="8">
        <f t="shared" si="734"/>
        <v>28496</v>
      </c>
      <c r="BA78" s="8">
        <f t="shared" si="734"/>
        <v>26957</v>
      </c>
      <c r="BB78" s="8">
        <f t="shared" si="734"/>
        <v>27886</v>
      </c>
      <c r="BC78" s="8">
        <f t="shared" si="734"/>
        <v>28172</v>
      </c>
      <c r="BD78" s="8">
        <f t="shared" si="734"/>
        <v>27935</v>
      </c>
      <c r="BE78" s="8">
        <f t="shared" si="734"/>
        <v>29339</v>
      </c>
      <c r="BG78" s="8">
        <f t="shared" ref="BG78:BN78" si="735">+BG48+BG77</f>
        <v>27188</v>
      </c>
      <c r="BH78" s="8">
        <f t="shared" si="735"/>
        <v>29331</v>
      </c>
      <c r="BI78" s="8">
        <f t="shared" si="735"/>
        <v>35058</v>
      </c>
      <c r="BJ78" s="8">
        <f t="shared" si="735"/>
        <v>42959</v>
      </c>
      <c r="BK78" s="8">
        <f t="shared" si="735"/>
        <v>52959</v>
      </c>
      <c r="BL78" s="8">
        <f t="shared" si="735"/>
        <v>69916</v>
      </c>
      <c r="BM78" s="8">
        <f t="shared" si="735"/>
        <v>83383</v>
      </c>
      <c r="BN78" s="8">
        <f t="shared" si="735"/>
        <v>89694</v>
      </c>
      <c r="BO78" s="8">
        <f t="shared" si="731"/>
        <v>112443</v>
      </c>
      <c r="BP78" s="8">
        <f>+SUM(AN78:AQ78)</f>
        <v>133290.34849037323</v>
      </c>
    </row>
    <row r="79" spans="2:69" s="3" customFormat="1" hidden="1" outlineLevel="1">
      <c r="B79" s="19" t="s">
        <v>113</v>
      </c>
      <c r="D79" s="228"/>
      <c r="E79" s="228"/>
      <c r="F79" s="228"/>
      <c r="G79" s="228"/>
      <c r="H79" s="228">
        <f>IFERROR(H78/D78-1,"n/a ")</f>
        <v>6.317289423685879E-2</v>
      </c>
      <c r="I79" s="228">
        <f t="shared" ref="I79" si="736">IFERROR(I78/E78-1,"n/a ")</f>
        <v>5.5548137267993125E-2</v>
      </c>
      <c r="J79" s="228">
        <f t="shared" ref="J79" si="737">IFERROR(J78/F78-1,"n/a ")</f>
        <v>7.1053050820455654E-2</v>
      </c>
      <c r="K79" s="228">
        <f t="shared" ref="K79" si="738">IFERROR(K78/G78-1,"n/a ")</f>
        <v>0.12412046158176193</v>
      </c>
      <c r="L79" s="228">
        <f t="shared" ref="L79" si="739">IFERROR(L78/H78-1,"n/a ")</f>
        <v>0.14787788533134782</v>
      </c>
      <c r="M79" s="228">
        <f t="shared" ref="M79" si="740">IFERROR(M78/I78-1,"n/a ")</f>
        <v>9.7912713472485757E-2</v>
      </c>
      <c r="N79" s="228">
        <f t="shared" ref="N79" si="741">IFERROR(N78/J78-1,"n/a ")</f>
        <v>0.23337795626952262</v>
      </c>
      <c r="O79" s="228">
        <f t="shared" ref="O79" si="742">IFERROR(O78/K78-1,"n/a ")</f>
        <v>0.29932398597896848</v>
      </c>
      <c r="P79" s="228">
        <f t="shared" ref="P79" si="743">IFERROR(P78/L78-1,"n/a ")</f>
        <v>0.29151530877010901</v>
      </c>
      <c r="Q79" s="228">
        <f t="shared" ref="Q79" si="744">IFERROR(Q78/M78-1,"n/a ")</f>
        <v>0.18193340246572176</v>
      </c>
      <c r="R79" s="228">
        <f t="shared" ref="R79" si="745">IFERROR(R78/N78-1,"n/a ")</f>
        <v>0.2471056439942112</v>
      </c>
      <c r="S79" s="228">
        <f t="shared" ref="S79" si="746">IFERROR(S78/O78-1,"n/a ")</f>
        <v>0.19520184988919942</v>
      </c>
      <c r="T79" s="228">
        <f t="shared" ref="T79" si="747">IFERROR(T78/P78-1,"n/a ")</f>
        <v>0.27433450527373182</v>
      </c>
      <c r="U79" s="228">
        <f t="shared" ref="U79" si="748">IFERROR(U78/Q78-1,"n/a ")</f>
        <v>0.3541626047962565</v>
      </c>
      <c r="V79" s="228">
        <f t="shared" ref="V79" si="749">IFERROR(V78/R78-1,"n/a ")</f>
        <v>0.25471424427038003</v>
      </c>
      <c r="W79" s="236">
        <f t="shared" ref="W79:X79" si="750">IFERROR(W78/S78-1,"n/a ")</f>
        <v>8.0773881499395461E-2</v>
      </c>
      <c r="X79" s="228">
        <f t="shared" si="750"/>
        <v>0.25145830048872764</v>
      </c>
      <c r="Y79" s="228">
        <f t="shared" ref="Y79" si="751">IFERROR(Y78/U78-1,"n/a ")</f>
        <v>0.28838816499892017</v>
      </c>
      <c r="Z79" s="228">
        <f t="shared" ref="Z79" si="752">IFERROR(Z78/V78-1,"n/a ")</f>
        <v>0.31391136801541419</v>
      </c>
      <c r="AA79" s="228">
        <f t="shared" ref="AA79" si="753">IFERROR(AA78/W78-1,"n/a ")</f>
        <v>0.42425598567912282</v>
      </c>
      <c r="AB79" s="228">
        <f t="shared" ref="AB79" si="754">IFERROR(AB78/X78-1,"n/a ")</f>
        <v>0.27475434618291761</v>
      </c>
      <c r="AC79" s="228">
        <f t="shared" ref="AC79" si="755">IFERROR(AC78/Y78-1,"n/a ")</f>
        <v>0.24305749566966539</v>
      </c>
      <c r="AD79" s="228">
        <f t="shared" ref="AD79" si="756">IFERROR(AD78/Z78-1,"n/a ")</f>
        <v>0.19450961989676219</v>
      </c>
      <c r="AE79" s="228">
        <f t="shared" ref="AE79" si="757">IFERROR(AE78/AA78-1,"n/a ")</f>
        <v>7.5360041895784269E-2</v>
      </c>
      <c r="AF79" s="228">
        <f t="shared" ref="AF79" si="758">IFERROR(AF78/AB78-1,"n/a ")</f>
        <v>6.3247356458147941E-2</v>
      </c>
      <c r="AG79" s="228">
        <f t="shared" ref="AG79" si="759">IFERROR(AG78/AC78-1,"n/a ")</f>
        <v>-3.0431069357666152E-2</v>
      </c>
      <c r="AH79" s="228">
        <f t="shared" ref="AH79" si="760">IFERROR(AH78/AD78-1,"n/a ")</f>
        <v>9.7623256727558338E-2</v>
      </c>
      <c r="AI79" s="228">
        <f t="shared" ref="AI79" si="761">IFERROR(AI78/AE78-1,"n/a ")</f>
        <v>0.18116294925489429</v>
      </c>
      <c r="AJ79" s="228">
        <f t="shared" ref="AJ79" si="762">IFERROR(AJ78/AF78-1,"n/a ")</f>
        <v>0.2498838181987173</v>
      </c>
      <c r="AK79" s="228">
        <f t="shared" ref="AK79" si="763">IFERROR(AK78/AG78-1,"n/a ")</f>
        <v>0.30560964302271665</v>
      </c>
      <c r="AL79" s="228">
        <f t="shared" ref="AL79" si="764">IFERROR(AL78/AH78-1,"n/a ")</f>
        <v>0.2759931997136722</v>
      </c>
      <c r="AM79" s="228">
        <f t="shared" ref="AM79" si="765">IFERROR(AM78/AI78-1,"n/a ")</f>
        <v>0.19011297105632052</v>
      </c>
      <c r="AN79" s="228">
        <f t="shared" ref="AN79" si="766">IFERROR(AN78/AJ78-1,"n/a ")</f>
        <v>0.18208112094099049</v>
      </c>
      <c r="AO79" s="228">
        <f t="shared" ref="AO79" si="767">IFERROR(AO78/AK78-1,"n/a ")</f>
        <v>0.17833580892895018</v>
      </c>
      <c r="AP79" s="228">
        <f t="shared" ref="AP79" si="768">IFERROR(AP78/AL78-1,"n/a ")</f>
        <v>0.18779983262194477</v>
      </c>
      <c r="AQ79" s="228">
        <f t="shared" ref="AQ79" si="769">IFERROR(AQ78/AM78-1,"n/a ")</f>
        <v>0.19302770363407995</v>
      </c>
      <c r="AR79" s="228"/>
      <c r="AS79" s="228"/>
      <c r="AT79" s="228">
        <f>IFERROR(AT78/AS78-1,"n/a ")</f>
        <v>0.12376509330406149</v>
      </c>
      <c r="AU79" s="228">
        <f t="shared" ref="AU79" si="770">IFERROR(AU78/AT78-1,"n/a ")</f>
        <v>0.12564102564102564</v>
      </c>
      <c r="AV79" s="228">
        <f t="shared" ref="AV79" si="771">IFERROR(AV78/AU78-1,"n/a ")</f>
        <v>0.2078858878403298</v>
      </c>
      <c r="AW79" s="228">
        <f t="shared" ref="AW79" si="772">IFERROR(AW78/AV78-1,"n/a ")</f>
        <v>-8.5671950069597269E-2</v>
      </c>
      <c r="AX79" s="228">
        <f t="shared" ref="AX79" si="773">IFERROR(AX78/AW78-1,"n/a ")</f>
        <v>0.18342091047488096</v>
      </c>
      <c r="AY79" s="228">
        <f t="shared" ref="AY79" si="774">IFERROR(AY78/AX78-1,"n/a ")</f>
        <v>0.12710598389907868</v>
      </c>
      <c r="AZ79" s="228">
        <f t="shared" ref="AZ79" si="775">IFERROR(AZ78/AY78-1,"n/a ")</f>
        <v>4.9151356724715489E-2</v>
      </c>
      <c r="BA79" s="228">
        <f t="shared" ref="BA79" si="776">IFERROR(BA78/AZ78-1,"n/a ")</f>
        <v>-5.4007580011229628E-2</v>
      </c>
      <c r="BB79" s="228">
        <f t="shared" ref="BB79" si="777">IFERROR(BB78/BA78-1,"n/a ")</f>
        <v>3.4462291798048827E-2</v>
      </c>
      <c r="BC79" s="228">
        <f t="shared" ref="BC79" si="778">IFERROR(BC78/BB78-1,"n/a ")</f>
        <v>1.025604245858136E-2</v>
      </c>
      <c r="BD79" s="228">
        <f t="shared" ref="BD79" si="779">IFERROR(BD78/BC78-1,"n/a ")</f>
        <v>-8.4126082635240795E-3</v>
      </c>
      <c r="BE79" s="228">
        <f t="shared" ref="BE79" si="780">IFERROR(BE78/BD78-1,"n/a ")</f>
        <v>5.0259531054233086E-2</v>
      </c>
      <c r="BF79" s="228"/>
      <c r="BG79" s="228"/>
      <c r="BH79" s="228">
        <f t="shared" ref="BH79" si="781">IFERROR(BH78/BG78-1,"n/a ")</f>
        <v>7.882153891422683E-2</v>
      </c>
      <c r="BI79" s="228">
        <f t="shared" ref="BI79" si="782">IFERROR(BI78/BH78-1,"n/a ")</f>
        <v>0.19525416794517736</v>
      </c>
      <c r="BJ79" s="228">
        <f t="shared" ref="BJ79" si="783">IFERROR(BJ78/BI78-1,"n/a ")</f>
        <v>0.22536938787152727</v>
      </c>
      <c r="BK79" s="228">
        <f t="shared" ref="BK79" si="784">IFERROR(BK78/BJ78-1,"n/a ")</f>
        <v>0.23278009264647692</v>
      </c>
      <c r="BL79" s="228">
        <f t="shared" ref="BL79:BM79" si="785">IFERROR(BL78/BK78-1,"n/a ")</f>
        <v>0.3201910912215109</v>
      </c>
      <c r="BM79" s="228">
        <f t="shared" si="785"/>
        <v>0.19261685451112753</v>
      </c>
      <c r="BN79" s="228">
        <f t="shared" ref="BN79" si="786">IFERROR(BN78/BM78-1,"n/a ")</f>
        <v>7.5686890613194446E-2</v>
      </c>
      <c r="BO79" s="228">
        <f t="shared" ref="BO79" si="787">IFERROR(BO78/BN78-1,"n/a ")</f>
        <v>0.25362900528463439</v>
      </c>
      <c r="BP79" s="228">
        <f t="shared" ref="BP79" si="788">IFERROR(BP78/BO78-1,"n/a ")</f>
        <v>0.18540370223467217</v>
      </c>
    </row>
    <row r="80" spans="2:69" s="3" customFormat="1" hidden="1" outlineLevel="1">
      <c r="B80" s="19" t="s">
        <v>115</v>
      </c>
      <c r="D80" s="228">
        <f t="shared" ref="D80:AQ80" si="789">IFERROR(D78/D19,"n/a ")</f>
        <v>0.30205643232902918</v>
      </c>
      <c r="E80" s="228">
        <f t="shared" si="789"/>
        <v>0.29655882469409572</v>
      </c>
      <c r="F80" s="228">
        <f t="shared" si="789"/>
        <v>0.29172282381372866</v>
      </c>
      <c r="G80" s="228">
        <f t="shared" si="789"/>
        <v>0.30271790065604498</v>
      </c>
      <c r="H80" s="228">
        <f t="shared" si="789"/>
        <v>0.30622947829259395</v>
      </c>
      <c r="I80" s="228">
        <f t="shared" si="789"/>
        <v>0.30608688918144505</v>
      </c>
      <c r="J80" s="228">
        <f t="shared" si="789"/>
        <v>0.28963467172152335</v>
      </c>
      <c r="K80" s="228">
        <f t="shared" si="789"/>
        <v>0.31197031829720756</v>
      </c>
      <c r="L80" s="228">
        <f t="shared" si="789"/>
        <v>0.3141250305648382</v>
      </c>
      <c r="M80" s="228">
        <f t="shared" si="789"/>
        <v>0.30012448993706342</v>
      </c>
      <c r="N80" s="228">
        <f t="shared" si="789"/>
        <v>0.30918378761325926</v>
      </c>
      <c r="O80" s="228">
        <f t="shared" si="789"/>
        <v>0.3449891972743892</v>
      </c>
      <c r="P80" s="228">
        <f t="shared" si="789"/>
        <v>0.34228441754916794</v>
      </c>
      <c r="Q80" s="228">
        <f t="shared" si="789"/>
        <v>0.3159126605278556</v>
      </c>
      <c r="R80" s="228">
        <f t="shared" si="789"/>
        <v>0.3382617513329626</v>
      </c>
      <c r="S80" s="228">
        <f t="shared" si="789"/>
        <v>0.3679152949550672</v>
      </c>
      <c r="T80" s="228">
        <f t="shared" si="789"/>
        <v>0.38378460142187265</v>
      </c>
      <c r="U80" s="228">
        <f t="shared" si="789"/>
        <v>0.37638866309001245</v>
      </c>
      <c r="V80" s="228">
        <f t="shared" si="789"/>
        <v>0.37049199051997372</v>
      </c>
      <c r="W80" s="236">
        <f t="shared" si="789"/>
        <v>0.35250966266137301</v>
      </c>
      <c r="X80" s="228">
        <f t="shared" si="789"/>
        <v>0.42730257845723207</v>
      </c>
      <c r="Y80" s="228">
        <f t="shared" si="789"/>
        <v>0.41547497446373849</v>
      </c>
      <c r="Z80" s="228">
        <f t="shared" si="789"/>
        <v>0.40876612477820939</v>
      </c>
      <c r="AA80" s="228">
        <f t="shared" si="789"/>
        <v>0.41374154966198645</v>
      </c>
      <c r="AB80" s="228">
        <f t="shared" si="789"/>
        <v>0.44658737339188381</v>
      </c>
      <c r="AC80" s="228">
        <f t="shared" si="789"/>
        <v>0.43007655428394681</v>
      </c>
      <c r="AD80" s="228">
        <f t="shared" si="789"/>
        <v>0.41256077795786061</v>
      </c>
      <c r="AE80" s="228">
        <f t="shared" si="789"/>
        <v>0.3959124650535043</v>
      </c>
      <c r="AF80" s="228">
        <f t="shared" si="789"/>
        <v>0.42931247755476637</v>
      </c>
      <c r="AG80" s="228">
        <f t="shared" si="789"/>
        <v>0.4089332094716287</v>
      </c>
      <c r="AH80" s="228">
        <f t="shared" si="789"/>
        <v>0.42287681858599618</v>
      </c>
      <c r="AI80" s="228">
        <f t="shared" si="789"/>
        <v>0.4316503230169606</v>
      </c>
      <c r="AJ80" s="228">
        <f t="shared" si="789"/>
        <v>0.47587451563246458</v>
      </c>
      <c r="AK80" s="228">
        <f t="shared" si="789"/>
        <v>0.45407932924862948</v>
      </c>
      <c r="AL80" s="228">
        <f t="shared" si="789"/>
        <v>0.46107213294965887</v>
      </c>
      <c r="AM80" s="228">
        <f t="shared" si="789"/>
        <v>0.44594991271030637</v>
      </c>
      <c r="AN80" s="228">
        <f t="shared" si="789"/>
        <v>0.48681202693521575</v>
      </c>
      <c r="AO80" s="228">
        <f t="shared" si="789"/>
        <v>0.47301401968899498</v>
      </c>
      <c r="AP80" s="228">
        <f t="shared" si="789"/>
        <v>0.47677047342119488</v>
      </c>
      <c r="AQ80" s="228">
        <f t="shared" si="789"/>
        <v>0.4610343386599271</v>
      </c>
      <c r="AR80" s="228"/>
      <c r="AS80" s="228">
        <f t="shared" ref="AS80:BE80" si="790">IFERROR(AS78/AS19,"n/a ")</f>
        <v>0.36634161053583997</v>
      </c>
      <c r="AT80" s="228">
        <f t="shared" si="790"/>
        <v>0.36990199177995575</v>
      </c>
      <c r="AU80" s="228">
        <f t="shared" si="790"/>
        <v>0.3606666405852666</v>
      </c>
      <c r="AV80" s="228">
        <f t="shared" si="790"/>
        <v>0.36860311155246606</v>
      </c>
      <c r="AW80" s="228">
        <f t="shared" si="790"/>
        <v>0.348460735492924</v>
      </c>
      <c r="AX80" s="228">
        <f t="shared" si="790"/>
        <v>0.38566673068305485</v>
      </c>
      <c r="AY80" s="228">
        <f t="shared" si="790"/>
        <v>0.38833049769097694</v>
      </c>
      <c r="AZ80" s="228">
        <f t="shared" si="790"/>
        <v>0.38371732895250665</v>
      </c>
      <c r="BA80" s="228">
        <f t="shared" si="790"/>
        <v>0.34869161417170058</v>
      </c>
      <c r="BB80" s="228">
        <f t="shared" si="790"/>
        <v>0.32114518673776099</v>
      </c>
      <c r="BC80" s="228">
        <f t="shared" si="790"/>
        <v>0.30104723231459712</v>
      </c>
      <c r="BD80" s="228">
        <f t="shared" si="790"/>
        <v>0.30376347009123233</v>
      </c>
      <c r="BE80" s="228">
        <f t="shared" si="790"/>
        <v>0.30353725027675182</v>
      </c>
      <c r="BF80" s="228"/>
      <c r="BG80" s="228">
        <f t="shared" ref="BG80:BP80" si="791">IFERROR(BG78/BG19,"n/a ")</f>
        <v>0.29826447550299495</v>
      </c>
      <c r="BH80" s="228">
        <f t="shared" si="791"/>
        <v>0.30372472067183731</v>
      </c>
      <c r="BI80" s="228">
        <f t="shared" si="791"/>
        <v>0.31766944545125048</v>
      </c>
      <c r="BJ80" s="228">
        <f t="shared" si="791"/>
        <v>0.3413698020549415</v>
      </c>
      <c r="BK80" s="228">
        <f t="shared" si="791"/>
        <v>0.37030381428521486</v>
      </c>
      <c r="BL80" s="228">
        <f t="shared" si="791"/>
        <v>0.41594878872971303</v>
      </c>
      <c r="BM80" s="228">
        <f t="shared" si="791"/>
        <v>0.4205527815604983</v>
      </c>
      <c r="BN80" s="228">
        <f t="shared" si="791"/>
        <v>0.42325460679989618</v>
      </c>
      <c r="BO80" s="228">
        <f t="shared" si="791"/>
        <v>0.45872259527908554</v>
      </c>
      <c r="BP80" s="228">
        <f t="shared" si="791"/>
        <v>0.47398553812261512</v>
      </c>
      <c r="BQ80" s="989"/>
    </row>
    <row r="81" spans="2:68" hidden="1" outlineLevel="1">
      <c r="B81" s="17"/>
      <c r="W81" s="1065"/>
    </row>
    <row r="82" spans="2:68" collapsed="1">
      <c r="B82" s="954" t="s">
        <v>300</v>
      </c>
      <c r="W82" s="1065"/>
    </row>
    <row r="83" spans="2:68" s="3" customFormat="1">
      <c r="B83" t="s">
        <v>301</v>
      </c>
      <c r="C83"/>
      <c r="D83" s="8">
        <f t="shared" ref="D83:S83" si="792">+D85</f>
        <v>1461</v>
      </c>
      <c r="E83" s="8">
        <f t="shared" si="792"/>
        <v>1544</v>
      </c>
      <c r="F83" s="8">
        <f t="shared" si="792"/>
        <v>1707</v>
      </c>
      <c r="G83" s="8">
        <f t="shared" si="792"/>
        <v>1910</v>
      </c>
      <c r="H83" s="8">
        <f t="shared" si="792"/>
        <v>1816</v>
      </c>
      <c r="I83" s="8">
        <f t="shared" si="792"/>
        <v>2166</v>
      </c>
      <c r="J83" s="8">
        <f t="shared" si="792"/>
        <v>2453</v>
      </c>
      <c r="K83" s="8">
        <f t="shared" si="792"/>
        <v>2343</v>
      </c>
      <c r="L83" s="8">
        <f t="shared" si="792"/>
        <v>2499</v>
      </c>
      <c r="M83" s="8">
        <f t="shared" si="792"/>
        <v>2536</v>
      </c>
      <c r="N83" s="8">
        <f t="shared" si="792"/>
        <v>2710</v>
      </c>
      <c r="O83" s="8">
        <f t="shared" si="792"/>
        <v>2516</v>
      </c>
      <c r="P83" s="8">
        <f t="shared" si="792"/>
        <v>2837</v>
      </c>
      <c r="Q83" s="8">
        <f t="shared" si="792"/>
        <v>2995</v>
      </c>
      <c r="R83" s="8">
        <f t="shared" si="792"/>
        <v>2926</v>
      </c>
      <c r="S83" s="8">
        <f t="shared" si="792"/>
        <v>2924</v>
      </c>
      <c r="T83" s="8">
        <f>+T85</f>
        <v>2971</v>
      </c>
      <c r="U83" s="8">
        <f t="shared" ref="U83:AJ83" si="793">+U85</f>
        <v>3203</v>
      </c>
      <c r="V83" s="8">
        <f t="shared" si="793"/>
        <v>3118</v>
      </c>
      <c r="W83" s="8">
        <f t="shared" si="793"/>
        <v>3504</v>
      </c>
      <c r="X83" s="8">
        <f t="shared" si="793"/>
        <v>2645</v>
      </c>
      <c r="Y83" s="8">
        <f t="shared" si="793"/>
        <v>2761</v>
      </c>
      <c r="Z83" s="8">
        <f t="shared" si="793"/>
        <v>2936</v>
      </c>
      <c r="AA83" s="8">
        <f t="shared" si="793"/>
        <v>3344</v>
      </c>
      <c r="AB83" s="8">
        <f t="shared" si="793"/>
        <v>3212</v>
      </c>
      <c r="AC83" s="8">
        <f t="shared" si="793"/>
        <v>3496</v>
      </c>
      <c r="AD83" s="8">
        <f t="shared" si="793"/>
        <v>3773</v>
      </c>
      <c r="AE83" s="8">
        <f t="shared" si="793"/>
        <v>3979</v>
      </c>
      <c r="AF83" s="8">
        <f t="shared" si="793"/>
        <v>2790</v>
      </c>
      <c r="AG83" s="8">
        <f t="shared" si="793"/>
        <v>3648</v>
      </c>
      <c r="AH83" s="8">
        <f t="shared" si="793"/>
        <v>3549</v>
      </c>
      <c r="AI83" s="8">
        <f t="shared" si="793"/>
        <v>3874</v>
      </c>
      <c r="AJ83" s="8">
        <f t="shared" si="793"/>
        <v>3921</v>
      </c>
      <c r="AK83" s="8">
        <f>+AK85-AK84</f>
        <v>5332</v>
      </c>
      <c r="AL83" s="8">
        <f t="shared" ref="AL83" si="794">+AL85-AL84</f>
        <v>5230</v>
      </c>
      <c r="AM83" s="8">
        <f t="shared" ref="AM83" si="795">+AM85-AM84</f>
        <v>5563</v>
      </c>
      <c r="AN83" s="8">
        <f t="shared" ref="AN83" si="796">+AN85-AN84</f>
        <v>6048.9067076444944</v>
      </c>
      <c r="AO83" s="8">
        <f t="shared" ref="AO83" si="797">+AO85-AO84</f>
        <v>6594.9706880215299</v>
      </c>
      <c r="AP83" s="8">
        <f t="shared" ref="AP83" si="798">+AP85-AP84</f>
        <v>7127.5753449385675</v>
      </c>
      <c r="AQ83" s="8">
        <f t="shared" ref="AQ83" si="799">+AQ85-AQ84</f>
        <v>7523.6640067613462</v>
      </c>
      <c r="AR83" s="228"/>
      <c r="AS83" s="228"/>
      <c r="AT83" s="228"/>
      <c r="AU83" s="228"/>
      <c r="AV83" s="228"/>
      <c r="AW83" s="228"/>
      <c r="AX83" s="228"/>
      <c r="AY83" s="228"/>
      <c r="AZ83" s="228"/>
      <c r="BA83" s="8"/>
      <c r="BB83" s="8"/>
      <c r="BC83" s="8"/>
      <c r="BD83" s="8"/>
      <c r="BE83" s="8"/>
      <c r="BF83" s="8"/>
      <c r="BG83" s="8"/>
      <c r="BH83" s="8"/>
      <c r="BI83" s="8">
        <f>+BI85</f>
        <v>10261</v>
      </c>
      <c r="BJ83" s="8">
        <f>+BJ85</f>
        <v>11682</v>
      </c>
      <c r="BK83" s="8">
        <f t="shared" ref="BK83:BK84" si="800">SUM(T83:W83)</f>
        <v>12796</v>
      </c>
      <c r="BL83" s="8">
        <f t="shared" ref="BL83:BL84" si="801">SUM(X83:AA83)</f>
        <v>11686</v>
      </c>
      <c r="BM83" s="8">
        <f t="shared" ref="BM83:BM84" si="802">SUM(AB83:AE83)</f>
        <v>14460</v>
      </c>
      <c r="BN83" s="8">
        <f t="shared" ref="BN83:BN84" si="803">SUM(AF83:AI83)</f>
        <v>13861</v>
      </c>
      <c r="BO83" s="8">
        <f t="shared" ref="BO83:BO84" si="804">SUM(AJ83:AM83)</f>
        <v>20046</v>
      </c>
      <c r="BP83" s="8">
        <f>+SUM(AN83:AQ83)</f>
        <v>27295.116747365937</v>
      </c>
    </row>
    <row r="84" spans="2:68" s="3" customFormat="1" ht="11.45">
      <c r="B84" t="s">
        <v>302</v>
      </c>
      <c r="C84"/>
      <c r="D84" s="1251">
        <v>104</v>
      </c>
      <c r="E84" s="1251">
        <v>128</v>
      </c>
      <c r="F84" s="1251">
        <v>235</v>
      </c>
      <c r="G84" s="1251">
        <v>318</v>
      </c>
      <c r="H84" s="1251">
        <v>305</v>
      </c>
      <c r="I84" s="1251">
        <v>342</v>
      </c>
      <c r="J84" s="1251">
        <v>313</v>
      </c>
      <c r="K84" s="1251">
        <v>325</v>
      </c>
      <c r="L84" s="1251">
        <v>244</v>
      </c>
      <c r="M84" s="1251">
        <v>329</v>
      </c>
      <c r="N84" s="1251">
        <v>305</v>
      </c>
      <c r="O84" s="1251">
        <v>168</v>
      </c>
      <c r="P84" s="1251">
        <v>150</v>
      </c>
      <c r="Q84" s="1251">
        <v>375</v>
      </c>
      <c r="R84" s="1251">
        <v>191</v>
      </c>
      <c r="S84" s="1251">
        <v>128</v>
      </c>
      <c r="T84" s="1251">
        <v>90</v>
      </c>
      <c r="U84" s="1251">
        <v>144</v>
      </c>
      <c r="V84" s="1251">
        <v>139</v>
      </c>
      <c r="W84" s="1251">
        <v>72</v>
      </c>
      <c r="X84" s="1251">
        <v>82</v>
      </c>
      <c r="Y84" s="1251">
        <v>153</v>
      </c>
      <c r="Z84" s="1251">
        <v>139</v>
      </c>
      <c r="AA84" s="1251">
        <v>109</v>
      </c>
      <c r="AB84" s="1251">
        <v>96</v>
      </c>
      <c r="AC84" s="1251">
        <v>96</v>
      </c>
      <c r="AD84" s="1251">
        <v>99</v>
      </c>
      <c r="AE84" s="1251">
        <v>83</v>
      </c>
      <c r="AF84" s="1251">
        <v>37</v>
      </c>
      <c r="AG84" s="1251">
        <v>100</v>
      </c>
      <c r="AH84" s="1251">
        <v>123</v>
      </c>
      <c r="AI84" s="1251">
        <v>127</v>
      </c>
      <c r="AJ84" s="1251">
        <f>+AI84</f>
        <v>127</v>
      </c>
      <c r="AK84" s="58">
        <f>+AJ84</f>
        <v>127</v>
      </c>
      <c r="AL84" s="58">
        <f t="shared" ref="AL84:AQ84" si="805">+AK84</f>
        <v>127</v>
      </c>
      <c r="AM84" s="58">
        <f t="shared" si="805"/>
        <v>127</v>
      </c>
      <c r="AN84" s="58">
        <f t="shared" si="805"/>
        <v>127</v>
      </c>
      <c r="AO84" s="58">
        <f t="shared" si="805"/>
        <v>127</v>
      </c>
      <c r="AP84" s="58">
        <f t="shared" si="805"/>
        <v>127</v>
      </c>
      <c r="AQ84" s="58">
        <f t="shared" si="805"/>
        <v>127</v>
      </c>
      <c r="AR84" s="228"/>
      <c r="AS84" s="228"/>
      <c r="AT84" s="228"/>
      <c r="AU84" s="228"/>
      <c r="AV84" s="228"/>
      <c r="AW84" s="228"/>
      <c r="AX84" s="228"/>
      <c r="AY84" s="228"/>
      <c r="AZ84" s="228"/>
      <c r="BA84" s="10"/>
      <c r="BB84" s="10"/>
      <c r="BC84" s="10"/>
      <c r="BD84" s="10"/>
      <c r="BE84" s="10"/>
      <c r="BF84" s="10"/>
      <c r="BG84" s="10"/>
      <c r="BH84" s="10"/>
      <c r="BI84" s="1251">
        <f>+SUM(L84:O84)</f>
        <v>1046</v>
      </c>
      <c r="BJ84" s="1251">
        <f>+SUM(P84:S84)</f>
        <v>844</v>
      </c>
      <c r="BK84" s="1251">
        <f t="shared" si="800"/>
        <v>445</v>
      </c>
      <c r="BL84" s="1251">
        <f t="shared" si="801"/>
        <v>483</v>
      </c>
      <c r="BM84" s="1251">
        <f t="shared" si="802"/>
        <v>374</v>
      </c>
      <c r="BN84" s="1251">
        <f t="shared" si="803"/>
        <v>387</v>
      </c>
      <c r="BO84" s="58">
        <f t="shared" si="804"/>
        <v>508</v>
      </c>
      <c r="BP84" s="58">
        <f>+SUM(AN84:AQ84)</f>
        <v>508</v>
      </c>
    </row>
    <row r="85" spans="2:68" ht="11.45">
      <c r="B85" s="12" t="s">
        <v>303</v>
      </c>
      <c r="D85" s="10">
        <f t="shared" ref="D85:V85" si="806">+D816</f>
        <v>1461</v>
      </c>
      <c r="E85" s="10">
        <f t="shared" si="806"/>
        <v>1544</v>
      </c>
      <c r="F85" s="10">
        <f t="shared" si="806"/>
        <v>1707</v>
      </c>
      <c r="G85" s="10">
        <f t="shared" si="806"/>
        <v>1910</v>
      </c>
      <c r="H85" s="10">
        <f t="shared" si="806"/>
        <v>1816</v>
      </c>
      <c r="I85" s="10">
        <f t="shared" si="806"/>
        <v>2166</v>
      </c>
      <c r="J85" s="10">
        <f t="shared" si="806"/>
        <v>2453</v>
      </c>
      <c r="K85" s="10">
        <f t="shared" si="806"/>
        <v>2343</v>
      </c>
      <c r="L85" s="10">
        <f t="shared" si="806"/>
        <v>2499</v>
      </c>
      <c r="M85" s="10">
        <f t="shared" si="806"/>
        <v>2536</v>
      </c>
      <c r="N85" s="10">
        <f t="shared" si="806"/>
        <v>2710</v>
      </c>
      <c r="O85" s="10">
        <f t="shared" si="806"/>
        <v>2516</v>
      </c>
      <c r="P85" s="10">
        <f t="shared" si="806"/>
        <v>2837</v>
      </c>
      <c r="Q85" s="10">
        <f t="shared" si="806"/>
        <v>2995</v>
      </c>
      <c r="R85" s="10">
        <f t="shared" si="806"/>
        <v>2926</v>
      </c>
      <c r="S85" s="10">
        <f t="shared" si="806"/>
        <v>2924</v>
      </c>
      <c r="T85" s="10">
        <f t="shared" si="806"/>
        <v>2971</v>
      </c>
      <c r="U85" s="10">
        <f t="shared" si="806"/>
        <v>3203</v>
      </c>
      <c r="V85" s="10">
        <f t="shared" si="806"/>
        <v>3118</v>
      </c>
      <c r="W85" s="1058">
        <f t="shared" ref="W85:X85" si="807">+W816</f>
        <v>3504</v>
      </c>
      <c r="X85" s="10">
        <f t="shared" si="807"/>
        <v>2645</v>
      </c>
      <c r="Y85" s="10">
        <f t="shared" ref="Y85:AB85" si="808">+Y816</f>
        <v>2761</v>
      </c>
      <c r="Z85" s="10">
        <f t="shared" si="808"/>
        <v>2936</v>
      </c>
      <c r="AA85" s="10">
        <f t="shared" si="808"/>
        <v>3344</v>
      </c>
      <c r="AB85" s="10">
        <f t="shared" si="808"/>
        <v>3212</v>
      </c>
      <c r="AC85" s="10">
        <f t="shared" ref="AC85:AD85" si="809">+AC816</f>
        <v>3496</v>
      </c>
      <c r="AD85" s="10">
        <f t="shared" si="809"/>
        <v>3773</v>
      </c>
      <c r="AE85" s="10">
        <f t="shared" ref="AE85:AI85" si="810">+AE816</f>
        <v>3979</v>
      </c>
      <c r="AF85" s="10">
        <f t="shared" si="810"/>
        <v>2790</v>
      </c>
      <c r="AG85" s="10">
        <f t="shared" si="810"/>
        <v>3648</v>
      </c>
      <c r="AH85" s="10">
        <f t="shared" si="810"/>
        <v>3549</v>
      </c>
      <c r="AI85" s="10">
        <f t="shared" si="810"/>
        <v>3874</v>
      </c>
      <c r="AJ85" s="10">
        <f t="shared" ref="AJ85" si="811">+AJ816</f>
        <v>3921</v>
      </c>
      <c r="AK85" s="58">
        <f>+AK816-500</f>
        <v>5459</v>
      </c>
      <c r="AL85" s="58">
        <f>+AL816-670</f>
        <v>5357</v>
      </c>
      <c r="AM85" s="58">
        <f>+AM816-690</f>
        <v>5690</v>
      </c>
      <c r="AN85" s="34">
        <f>+$BP$85*(AB85/$BM$85)</f>
        <v>6175.9067076444944</v>
      </c>
      <c r="AO85" s="34">
        <f t="shared" ref="AO85:AQ85" si="812">+$BP$85*(AC85/$BM$85)</f>
        <v>6721.9706880215299</v>
      </c>
      <c r="AP85" s="34">
        <f t="shared" si="812"/>
        <v>7254.5753449385675</v>
      </c>
      <c r="AQ85" s="34">
        <f t="shared" si="812"/>
        <v>7650.6640067613462</v>
      </c>
      <c r="AS85" s="10">
        <f t="shared" ref="AS85:BE85" si="813">+AS816</f>
        <v>855</v>
      </c>
      <c r="AT85" s="10">
        <f t="shared" si="813"/>
        <v>903</v>
      </c>
      <c r="AU85" s="10">
        <f t="shared" si="813"/>
        <v>1440</v>
      </c>
      <c r="AV85" s="10">
        <f t="shared" si="813"/>
        <v>2056</v>
      </c>
      <c r="AW85" s="10">
        <f t="shared" si="813"/>
        <v>2562</v>
      </c>
      <c r="AX85" s="10">
        <f t="shared" si="813"/>
        <v>2673</v>
      </c>
      <c r="AY85" s="10">
        <f t="shared" si="813"/>
        <v>2766</v>
      </c>
      <c r="AZ85" s="10">
        <f t="shared" si="813"/>
        <v>2967</v>
      </c>
      <c r="BA85" s="10">
        <f t="shared" si="813"/>
        <v>3755</v>
      </c>
      <c r="BB85" s="10">
        <f t="shared" si="813"/>
        <v>5212</v>
      </c>
      <c r="BC85" s="10">
        <f t="shared" si="813"/>
        <v>5957</v>
      </c>
      <c r="BD85" s="10">
        <f t="shared" si="813"/>
        <v>6622</v>
      </c>
      <c r="BE85" s="10">
        <f t="shared" si="813"/>
        <v>8778</v>
      </c>
      <c r="BG85" s="10">
        <f>+BD85</f>
        <v>6622</v>
      </c>
      <c r="BH85" s="10">
        <f>+BH816</f>
        <v>8778</v>
      </c>
      <c r="BI85" s="10">
        <f>+BI816</f>
        <v>10261</v>
      </c>
      <c r="BJ85" s="10">
        <f>+BJ816</f>
        <v>11682</v>
      </c>
      <c r="BK85" s="10">
        <f>SUM(T85:W85)</f>
        <v>12796</v>
      </c>
      <c r="BL85" s="10">
        <f>SUM(X85:AA85)</f>
        <v>11686</v>
      </c>
      <c r="BM85" s="10">
        <f>SUM(AB85:AE85)</f>
        <v>14460</v>
      </c>
      <c r="BN85" s="10">
        <f>SUM(AF85:AI85)</f>
        <v>13861</v>
      </c>
      <c r="BO85" s="10">
        <f>SUM(AJ85:AM85)</f>
        <v>20427</v>
      </c>
      <c r="BP85" s="993">
        <f>+Base!K29</f>
        <v>27803.116747365937</v>
      </c>
    </row>
    <row r="86" spans="2:68">
      <c r="B86" s="843" t="s">
        <v>121</v>
      </c>
      <c r="D86" s="8">
        <f t="shared" ref="D86:AQ86" si="814">+D78+D85</f>
        <v>7777</v>
      </c>
      <c r="E86" s="8">
        <f t="shared" si="814"/>
        <v>9033</v>
      </c>
      <c r="F86" s="8">
        <f t="shared" si="814"/>
        <v>7984</v>
      </c>
      <c r="G86" s="8">
        <f t="shared" si="814"/>
        <v>9016</v>
      </c>
      <c r="H86" s="8">
        <f t="shared" si="814"/>
        <v>8531</v>
      </c>
      <c r="I86" s="8">
        <f t="shared" si="814"/>
        <v>10071</v>
      </c>
      <c r="J86" s="8">
        <f t="shared" si="814"/>
        <v>9176</v>
      </c>
      <c r="K86" s="8">
        <f t="shared" si="814"/>
        <v>10331</v>
      </c>
      <c r="L86" s="8">
        <f t="shared" si="814"/>
        <v>10207</v>
      </c>
      <c r="M86" s="8">
        <f t="shared" si="814"/>
        <v>11215</v>
      </c>
      <c r="N86" s="8">
        <f t="shared" si="814"/>
        <v>11002</v>
      </c>
      <c r="O86" s="8">
        <f t="shared" si="814"/>
        <v>12895</v>
      </c>
      <c r="P86" s="8">
        <f t="shared" si="814"/>
        <v>12792</v>
      </c>
      <c r="Q86" s="8">
        <f t="shared" si="814"/>
        <v>13253</v>
      </c>
      <c r="R86" s="8">
        <f t="shared" si="814"/>
        <v>13267</v>
      </c>
      <c r="S86" s="8">
        <f t="shared" si="814"/>
        <v>15329</v>
      </c>
      <c r="T86" s="8">
        <f t="shared" si="814"/>
        <v>15657</v>
      </c>
      <c r="U86" s="8">
        <f t="shared" si="814"/>
        <v>17094</v>
      </c>
      <c r="V86" s="8">
        <f t="shared" si="814"/>
        <v>16093</v>
      </c>
      <c r="W86" s="1056">
        <f t="shared" si="814"/>
        <v>16911</v>
      </c>
      <c r="X86" s="8">
        <f t="shared" si="814"/>
        <v>18521</v>
      </c>
      <c r="Y86" s="8">
        <f t="shared" si="814"/>
        <v>20658</v>
      </c>
      <c r="Z86" s="8">
        <f t="shared" si="814"/>
        <v>19984</v>
      </c>
      <c r="AA86" s="8">
        <f t="shared" si="814"/>
        <v>22439</v>
      </c>
      <c r="AB86" s="8">
        <f t="shared" si="814"/>
        <v>23450</v>
      </c>
      <c r="AC86" s="8">
        <f t="shared" si="814"/>
        <v>25743</v>
      </c>
      <c r="AD86" s="8">
        <f t="shared" si="814"/>
        <v>24137</v>
      </c>
      <c r="AE86" s="8">
        <f t="shared" si="814"/>
        <v>24513</v>
      </c>
      <c r="AF86" s="8">
        <f t="shared" si="814"/>
        <v>24308</v>
      </c>
      <c r="AG86" s="8">
        <f t="shared" si="814"/>
        <v>25218</v>
      </c>
      <c r="AH86" s="8">
        <f t="shared" si="814"/>
        <v>25901</v>
      </c>
      <c r="AI86" s="11">
        <f t="shared" si="814"/>
        <v>28128</v>
      </c>
      <c r="AJ86" s="11">
        <f t="shared" si="814"/>
        <v>30816</v>
      </c>
      <c r="AK86" s="8">
        <f t="shared" si="814"/>
        <v>33621</v>
      </c>
      <c r="AL86" s="8">
        <f t="shared" si="814"/>
        <v>33878</v>
      </c>
      <c r="AM86" s="8">
        <f t="shared" si="814"/>
        <v>34555</v>
      </c>
      <c r="AN86" s="8">
        <f t="shared" si="814"/>
        <v>37967.97845535243</v>
      </c>
      <c r="AO86" s="8">
        <f t="shared" si="814"/>
        <v>39906.263739078626</v>
      </c>
      <c r="AP86" s="8">
        <f t="shared" si="814"/>
        <v>41131.814371149056</v>
      </c>
      <c r="AQ86" s="8">
        <f t="shared" si="814"/>
        <v>42087.408672159065</v>
      </c>
      <c r="AS86" s="8">
        <f t="shared" ref="AS86:BE86" si="815">+AS78+AS85</f>
        <v>15431</v>
      </c>
      <c r="AT86" s="8">
        <f t="shared" si="815"/>
        <v>17283</v>
      </c>
      <c r="AU86" s="8">
        <f t="shared" si="815"/>
        <v>19878</v>
      </c>
      <c r="AV86" s="8">
        <f t="shared" si="815"/>
        <v>24327</v>
      </c>
      <c r="AW86" s="8">
        <f t="shared" si="815"/>
        <v>22925</v>
      </c>
      <c r="AX86" s="8">
        <f t="shared" si="815"/>
        <v>26771</v>
      </c>
      <c r="AY86" s="8">
        <f t="shared" si="815"/>
        <v>29927</v>
      </c>
      <c r="AZ86" s="8">
        <f t="shared" si="815"/>
        <v>31463</v>
      </c>
      <c r="BA86" s="8">
        <f t="shared" si="815"/>
        <v>30712</v>
      </c>
      <c r="BB86" s="8">
        <f t="shared" si="815"/>
        <v>33098</v>
      </c>
      <c r="BC86" s="8">
        <f t="shared" si="815"/>
        <v>34129</v>
      </c>
      <c r="BD86" s="8">
        <f t="shared" si="815"/>
        <v>34557</v>
      </c>
      <c r="BE86" s="8">
        <f t="shared" si="815"/>
        <v>38117</v>
      </c>
      <c r="BG86" s="8">
        <f>+BG78+BG85</f>
        <v>33810</v>
      </c>
      <c r="BH86" s="8">
        <f>+BH78+BH85</f>
        <v>38109</v>
      </c>
      <c r="BI86" s="8">
        <f>+BI78+BI85</f>
        <v>45319</v>
      </c>
      <c r="BJ86" s="8">
        <f>+BJ78+BJ85</f>
        <v>54641</v>
      </c>
      <c r="BK86" s="11">
        <f>SUM(T86:W86)</f>
        <v>65755</v>
      </c>
      <c r="BL86" s="11">
        <f>SUM(X86:AA86)</f>
        <v>81602</v>
      </c>
      <c r="BM86" s="11">
        <f>SUM(AB86:AE86)</f>
        <v>97843</v>
      </c>
      <c r="BN86" s="11">
        <f>SUM(AF86:AI86)</f>
        <v>103555</v>
      </c>
      <c r="BO86" s="11">
        <f>SUM(AJ86:AM86)</f>
        <v>132870</v>
      </c>
      <c r="BP86" s="11">
        <f>+SUM(AN86:AQ86)</f>
        <v>161093.46523773918</v>
      </c>
    </row>
    <row r="87" spans="2:68" s="3" customFormat="1">
      <c r="B87" s="13" t="s">
        <v>113</v>
      </c>
      <c r="D87" s="228"/>
      <c r="E87" s="228"/>
      <c r="F87" s="228"/>
      <c r="G87" s="228"/>
      <c r="H87" s="228">
        <f>IFERROR(H86/D86-1,"n/a ")</f>
        <v>9.6952552398096969E-2</v>
      </c>
      <c r="I87" s="228">
        <f t="shared" ref="I87" si="816">IFERROR(I86/E86-1,"n/a ")</f>
        <v>0.11491198937230163</v>
      </c>
      <c r="J87" s="228">
        <f t="shared" ref="J87" si="817">IFERROR(J86/F86-1,"n/a ")</f>
        <v>0.14929859719438876</v>
      </c>
      <c r="K87" s="228">
        <f t="shared" ref="K87" si="818">IFERROR(K86/G86-1,"n/a ")</f>
        <v>0.145851818988465</v>
      </c>
      <c r="L87" s="228">
        <f t="shared" ref="L87" si="819">IFERROR(L86/H86-1,"n/a ")</f>
        <v>0.19645996952291633</v>
      </c>
      <c r="M87" s="228">
        <f t="shared" ref="M87" si="820">IFERROR(M86/I86-1,"n/a ")</f>
        <v>0.11359348624764176</v>
      </c>
      <c r="N87" s="228">
        <f t="shared" ref="N87" si="821">IFERROR(N86/J86-1,"n/a ")</f>
        <v>0.19899738448125537</v>
      </c>
      <c r="O87" s="228">
        <f t="shared" ref="O87" si="822">IFERROR(O86/K86-1,"n/a ")</f>
        <v>0.24818507404897883</v>
      </c>
      <c r="P87" s="228">
        <f t="shared" ref="P87" si="823">IFERROR(P86/L86-1,"n/a ")</f>
        <v>0.2532575683354561</v>
      </c>
      <c r="Q87" s="228">
        <f t="shared" ref="Q87" si="824">IFERROR(Q86/M86-1,"n/a ")</f>
        <v>0.18172090949621045</v>
      </c>
      <c r="R87" s="228">
        <f t="shared" ref="R87" si="825">IFERROR(R86/N86-1,"n/a ")</f>
        <v>0.20587165969823662</v>
      </c>
      <c r="S87" s="228">
        <f t="shared" ref="S87" si="826">IFERROR(S86/O86-1,"n/a ")</f>
        <v>0.18875533152384638</v>
      </c>
      <c r="T87" s="228">
        <f t="shared" ref="T87" si="827">IFERROR(T86/P86-1,"n/a ")</f>
        <v>0.22396810506566611</v>
      </c>
      <c r="U87" s="228">
        <f t="shared" ref="U87" si="828">IFERROR(U86/Q86-1,"n/a ")</f>
        <v>0.28982117256470241</v>
      </c>
      <c r="V87" s="228">
        <f t="shared" ref="V87" si="829">IFERROR(V86/R86-1,"n/a ")</f>
        <v>0.21300972337378465</v>
      </c>
      <c r="W87" s="236">
        <f t="shared" ref="W87:X87" si="830">IFERROR(W86/S86-1,"n/a ")</f>
        <v>0.10320307913105875</v>
      </c>
      <c r="X87" s="228">
        <f t="shared" si="830"/>
        <v>0.18292137701986322</v>
      </c>
      <c r="Y87" s="228">
        <f t="shared" ref="Y87" si="831">IFERROR(Y86/U86-1,"n/a ")</f>
        <v>0.20849420849420852</v>
      </c>
      <c r="Z87" s="228">
        <f t="shared" ref="Z87" si="832">IFERROR(Z86/V86-1,"n/a ")</f>
        <v>0.24178214130367248</v>
      </c>
      <c r="AA87" s="228">
        <f t="shared" ref="AA87" si="833">IFERROR(AA86/W86-1,"n/a ")</f>
        <v>0.32688782449293363</v>
      </c>
      <c r="AB87" s="228">
        <f t="shared" ref="AB87" si="834">IFERROR(AB86/X86-1,"n/a ")</f>
        <v>0.2661303385346363</v>
      </c>
      <c r="AC87" s="228">
        <f t="shared" ref="AC87" si="835">IFERROR(AC86/Y86-1,"n/a ")</f>
        <v>0.24615161196630853</v>
      </c>
      <c r="AD87" s="228">
        <f t="shared" ref="AD87" si="836">IFERROR(AD86/Z86-1,"n/a ")</f>
        <v>0.20781625300240192</v>
      </c>
      <c r="AE87" s="228">
        <f t="shared" ref="AE87" si="837">IFERROR(AE86/AA86-1,"n/a ")</f>
        <v>9.2428361335175291E-2</v>
      </c>
      <c r="AF87" s="228">
        <f t="shared" ref="AF87" si="838">IFERROR(AF86/AB86-1,"n/a ")</f>
        <v>3.6588486140724852E-2</v>
      </c>
      <c r="AG87" s="228">
        <f t="shared" ref="AG87" si="839">IFERROR(AG86/AC86-1,"n/a ")</f>
        <v>-2.0393893485607717E-2</v>
      </c>
      <c r="AH87" s="228">
        <f t="shared" ref="AH87" si="840">IFERROR(AH86/AD86-1,"n/a ")</f>
        <v>7.3082818908729363E-2</v>
      </c>
      <c r="AI87" s="228">
        <f t="shared" ref="AI87" si="841">IFERROR(AI86/AE86-1,"n/a ")</f>
        <v>0.14747276955085065</v>
      </c>
      <c r="AJ87" s="228">
        <f t="shared" ref="AJ87" si="842">IFERROR(AJ86/AF86-1,"n/a ")</f>
        <v>0.26773078821787055</v>
      </c>
      <c r="AK87" s="228">
        <f t="shared" ref="AK87" si="843">IFERROR(AK86/AG86-1,"n/a ")</f>
        <v>0.33321437068760407</v>
      </c>
      <c r="AL87" s="228">
        <f t="shared" ref="AL87" si="844">IFERROR(AL86/AH86-1,"n/a ")</f>
        <v>0.30798038685765028</v>
      </c>
      <c r="AM87" s="228">
        <f t="shared" ref="AM87" si="845">IFERROR(AM86/AI86-1,"n/a ")</f>
        <v>0.2284911831626848</v>
      </c>
      <c r="AN87" s="228">
        <f t="shared" ref="AN87" si="846">IFERROR(AN86/AJ86-1,"n/a ")</f>
        <v>0.23208652827597454</v>
      </c>
      <c r="AO87" s="228">
        <f t="shared" ref="AO87" si="847">IFERROR(AO86/AK86-1,"n/a ")</f>
        <v>0.18694458044313444</v>
      </c>
      <c r="AP87" s="228">
        <f t="shared" ref="AP87" si="848">IFERROR(AP86/AL86-1,"n/a ")</f>
        <v>0.21411577930069825</v>
      </c>
      <c r="AQ87" s="228">
        <f t="shared" ref="AQ87" si="849">IFERROR(AQ86/AM86-1,"n/a ")</f>
        <v>0.21798317673734813</v>
      </c>
      <c r="AR87" s="228"/>
      <c r="AS87" s="228"/>
      <c r="AT87" s="228">
        <f>IFERROR(AT86/AS86-1,"n/a ")</f>
        <v>0.12001814529194488</v>
      </c>
      <c r="AU87" s="228">
        <f t="shared" ref="AU87" si="850">IFERROR(AU86/AT86-1,"n/a ")</f>
        <v>0.15014754382919637</v>
      </c>
      <c r="AV87" s="228">
        <f t="shared" ref="AV87" si="851">IFERROR(AV86/AU86-1,"n/a ")</f>
        <v>0.22381527316631455</v>
      </c>
      <c r="AW87" s="228">
        <f t="shared" ref="AW87" si="852">IFERROR(AW86/AV86-1,"n/a ")</f>
        <v>-5.7631438319562633E-2</v>
      </c>
      <c r="AX87" s="228">
        <f t="shared" ref="AX87" si="853">IFERROR(AX86/AW86-1,"n/a ")</f>
        <v>0.16776444929116674</v>
      </c>
      <c r="AY87" s="228">
        <f t="shared" ref="AY87" si="854">IFERROR(AY86/AX86-1,"n/a ")</f>
        <v>0.11788876022561734</v>
      </c>
      <c r="AZ87" s="228">
        <f t="shared" ref="AZ87" si="855">IFERROR(AZ86/AY86-1,"n/a ")</f>
        <v>5.1324890567046477E-2</v>
      </c>
      <c r="BA87" s="228">
        <f t="shared" ref="BA87" si="856">IFERROR(BA86/AZ86-1,"n/a ")</f>
        <v>-2.3869306804818358E-2</v>
      </c>
      <c r="BB87" s="228">
        <f t="shared" ref="BB87" si="857">IFERROR(BB86/BA86-1,"n/a ")</f>
        <v>7.7689502474602712E-2</v>
      </c>
      <c r="BC87" s="228">
        <f t="shared" ref="BC87" si="858">IFERROR(BC86/BB86-1,"n/a ")</f>
        <v>3.1149918424073997E-2</v>
      </c>
      <c r="BD87" s="228">
        <f t="shared" ref="BD87" si="859">IFERROR(BD86/BC86-1,"n/a ")</f>
        <v>1.2540654575287968E-2</v>
      </c>
      <c r="BE87" s="228">
        <f t="shared" ref="BE87" si="860">IFERROR(BE86/BD86-1,"n/a ")</f>
        <v>0.10301820181149979</v>
      </c>
      <c r="BF87" s="228"/>
      <c r="BG87" s="829">
        <f t="shared" ref="BG87" si="861">+BD87</f>
        <v>1.2540654575287968E-2</v>
      </c>
      <c r="BH87" s="228">
        <f t="shared" ref="BH87" si="862">IFERROR(BH86/BG86-1,"n/a ")</f>
        <v>0.12715173025732041</v>
      </c>
      <c r="BI87" s="228">
        <f t="shared" ref="BI87" si="863">IFERROR(BI86/BH86-1,"n/a ")</f>
        <v>0.18919415361200764</v>
      </c>
      <c r="BJ87" s="228">
        <f t="shared" ref="BJ87" si="864">IFERROR(BJ86/BI86-1,"n/a ")</f>
        <v>0.2056973896158345</v>
      </c>
      <c r="BK87" s="228">
        <f t="shared" ref="BK87" si="865">IFERROR(BK86/BJ86-1,"n/a ")</f>
        <v>0.20340037700627733</v>
      </c>
      <c r="BL87" s="228">
        <f t="shared" ref="BL87" si="866">IFERROR(BL86/BK86-1,"n/a ")</f>
        <v>0.24100068435860389</v>
      </c>
      <c r="BM87" s="228">
        <f t="shared" ref="BM87" si="867">IFERROR(BM86/BL86-1,"n/a ")</f>
        <v>0.1990269846327295</v>
      </c>
      <c r="BN87" s="228">
        <f t="shared" ref="BN87" si="868">IFERROR(BN86/BM86-1,"n/a ")</f>
        <v>5.8379240211358985E-2</v>
      </c>
      <c r="BO87" s="228">
        <f t="shared" ref="BO87" si="869">IFERROR(BO86/BN86-1,"n/a ")</f>
        <v>0.28308628265173086</v>
      </c>
      <c r="BP87" s="228">
        <f t="shared" ref="BP87" si="870">IFERROR(BP86/BO86-1,"n/a ")</f>
        <v>0.2124141283791614</v>
      </c>
    </row>
    <row r="88" spans="2:68" s="3" customFormat="1">
      <c r="B88" s="13" t="s">
        <v>115</v>
      </c>
      <c r="D88" s="228">
        <f t="shared" ref="D88:AQ88" si="871">IFERROR(D86/D19,"n/a ")</f>
        <v>0.37192730750836922</v>
      </c>
      <c r="E88" s="228">
        <f t="shared" si="871"/>
        <v>0.35770007523858549</v>
      </c>
      <c r="F88" s="228">
        <f t="shared" si="871"/>
        <v>0.37105544453223033</v>
      </c>
      <c r="G88" s="228">
        <f t="shared" si="871"/>
        <v>0.3840845190423447</v>
      </c>
      <c r="H88" s="228">
        <f t="shared" si="871"/>
        <v>0.38904596862458957</v>
      </c>
      <c r="I88" s="228">
        <f t="shared" si="871"/>
        <v>0.38995585843723379</v>
      </c>
      <c r="J88" s="228">
        <f t="shared" si="871"/>
        <v>0.39531276925728071</v>
      </c>
      <c r="K88" s="228">
        <f t="shared" si="871"/>
        <v>0.40347588361648118</v>
      </c>
      <c r="L88" s="228">
        <f t="shared" si="871"/>
        <v>0.41596707148096829</v>
      </c>
      <c r="M88" s="228">
        <f t="shared" si="871"/>
        <v>0.38782073449062865</v>
      </c>
      <c r="N88" s="228">
        <f t="shared" si="871"/>
        <v>0.41023155225772773</v>
      </c>
      <c r="O88" s="228">
        <f t="shared" si="871"/>
        <v>0.42861891307960776</v>
      </c>
      <c r="P88" s="228">
        <f t="shared" si="871"/>
        <v>0.43982945949663044</v>
      </c>
      <c r="Q88" s="228">
        <f t="shared" si="871"/>
        <v>0.40814880970712331</v>
      </c>
      <c r="R88" s="228">
        <f t="shared" si="871"/>
        <v>0.43397337345850645</v>
      </c>
      <c r="S88" s="228">
        <f t="shared" si="871"/>
        <v>0.45463712667200523</v>
      </c>
      <c r="T88" s="228">
        <f t="shared" si="871"/>
        <v>0.47366510361518682</v>
      </c>
      <c r="U88" s="228">
        <f t="shared" si="871"/>
        <v>0.46317671923264508</v>
      </c>
      <c r="V88" s="228">
        <f t="shared" si="871"/>
        <v>0.45952428542874274</v>
      </c>
      <c r="W88" s="236">
        <f t="shared" si="871"/>
        <v>0.44464018089553808</v>
      </c>
      <c r="X88" s="228">
        <f t="shared" si="871"/>
        <v>0.49849275986434838</v>
      </c>
      <c r="Y88" s="228">
        <f t="shared" si="871"/>
        <v>0.47957099080694587</v>
      </c>
      <c r="Z88" s="228">
        <f t="shared" si="871"/>
        <v>0.47916366949599576</v>
      </c>
      <c r="AA88" s="228">
        <f t="shared" si="871"/>
        <v>0.48619778124458313</v>
      </c>
      <c r="AB88" s="228">
        <f t="shared" si="871"/>
        <v>0.51746585166714476</v>
      </c>
      <c r="AC88" s="228">
        <f t="shared" si="871"/>
        <v>0.4976608413238478</v>
      </c>
      <c r="AD88" s="228">
        <f t="shared" si="871"/>
        <v>0.48899918962722855</v>
      </c>
      <c r="AE88" s="228">
        <f t="shared" si="871"/>
        <v>0.47263086860117615</v>
      </c>
      <c r="AF88" s="228">
        <f t="shared" si="871"/>
        <v>0.48497665695702485</v>
      </c>
      <c r="AG88" s="228">
        <f t="shared" si="871"/>
        <v>0.47809354086488332</v>
      </c>
      <c r="AH88" s="228">
        <f t="shared" si="871"/>
        <v>0.49002024329795485</v>
      </c>
      <c r="AI88" s="228">
        <f t="shared" si="871"/>
        <v>0.50059620210361455</v>
      </c>
      <c r="AJ88" s="228">
        <f t="shared" si="871"/>
        <v>0.54525187111842455</v>
      </c>
      <c r="AK88" s="228">
        <f t="shared" si="871"/>
        <v>0.54209932279909712</v>
      </c>
      <c r="AL88" s="228">
        <f t="shared" si="871"/>
        <v>0.54767370429047169</v>
      </c>
      <c r="AM88" s="228">
        <f t="shared" si="871"/>
        <v>0.53385758647859471</v>
      </c>
      <c r="AN88" s="228">
        <f t="shared" si="871"/>
        <v>0.5813798074299853</v>
      </c>
      <c r="AO88" s="228">
        <f t="shared" si="871"/>
        <v>0.56883002428130547</v>
      </c>
      <c r="AP88" s="228">
        <f t="shared" si="871"/>
        <v>0.57886755751355767</v>
      </c>
      <c r="AQ88" s="228">
        <f t="shared" si="871"/>
        <v>0.56346036222686147</v>
      </c>
      <c r="AR88" s="228"/>
      <c r="AS88" s="228">
        <f t="shared" ref="AS88:BE88" si="872">IFERROR(AS86/AS19,"n/a ")</f>
        <v>0.38783050165879157</v>
      </c>
      <c r="AT88" s="228">
        <f t="shared" si="872"/>
        <v>0.3902940246601328</v>
      </c>
      <c r="AU88" s="228">
        <f t="shared" si="872"/>
        <v>0.38883455263878564</v>
      </c>
      <c r="AV88" s="228">
        <f t="shared" si="872"/>
        <v>0.4026315789473684</v>
      </c>
      <c r="AW88" s="228">
        <f t="shared" si="872"/>
        <v>0.3923028218423259</v>
      </c>
      <c r="AX88" s="228">
        <f t="shared" si="872"/>
        <v>0.4284456820946162</v>
      </c>
      <c r="AY88" s="228">
        <f t="shared" si="872"/>
        <v>0.42787698554537268</v>
      </c>
      <c r="AZ88" s="228">
        <f t="shared" si="872"/>
        <v>0.42366992984393304</v>
      </c>
      <c r="BA88" s="228">
        <f t="shared" si="872"/>
        <v>0.39726293187080419</v>
      </c>
      <c r="BB88" s="228">
        <f t="shared" si="872"/>
        <v>0.38116844978291664</v>
      </c>
      <c r="BC88" s="228">
        <f t="shared" si="872"/>
        <v>0.36470399658046593</v>
      </c>
      <c r="BD88" s="228">
        <f t="shared" si="872"/>
        <v>0.37577069038635103</v>
      </c>
      <c r="BE88" s="228">
        <f t="shared" si="872"/>
        <v>0.39435322842629089</v>
      </c>
      <c r="BF88" s="228"/>
      <c r="BG88" s="228">
        <f t="shared" ref="BG88:BP88" si="873">IFERROR(BG86/BG19,"n/a ")</f>
        <v>0.37091076639533099</v>
      </c>
      <c r="BH88" s="228">
        <f t="shared" si="873"/>
        <v>0.39462157376438062</v>
      </c>
      <c r="BI88" s="228">
        <f t="shared" si="873"/>
        <v>0.41064697354113811</v>
      </c>
      <c r="BJ88" s="228">
        <f t="shared" si="873"/>
        <v>0.43419975683987189</v>
      </c>
      <c r="BK88" s="228">
        <f t="shared" si="873"/>
        <v>0.45977694647414608</v>
      </c>
      <c r="BL88" s="228">
        <f t="shared" si="873"/>
        <v>0.48547189567369475</v>
      </c>
      <c r="BM88" s="228">
        <f t="shared" si="873"/>
        <v>0.49348363342916224</v>
      </c>
      <c r="BN88" s="228">
        <f t="shared" si="873"/>
        <v>0.48866290729773731</v>
      </c>
      <c r="BO88" s="228">
        <f t="shared" si="873"/>
        <v>0.5420566085459485</v>
      </c>
      <c r="BP88" s="228">
        <f t="shared" si="873"/>
        <v>0.5728544765134389</v>
      </c>
    </row>
    <row r="89" spans="2:68" s="3" customFormat="1">
      <c r="B89" s="15"/>
      <c r="D89" s="228"/>
      <c r="E89" s="228"/>
      <c r="F89" s="228"/>
      <c r="G89" s="228"/>
      <c r="H89" s="228"/>
      <c r="I89" s="228"/>
      <c r="J89" s="228"/>
      <c r="K89" s="228"/>
      <c r="L89" s="228"/>
      <c r="M89" s="228"/>
      <c r="N89" s="228"/>
      <c r="O89" s="228"/>
      <c r="P89" s="228"/>
      <c r="Q89" s="228"/>
      <c r="R89" s="228"/>
      <c r="S89" s="228"/>
      <c r="T89" s="228"/>
      <c r="U89" s="228"/>
      <c r="V89" s="228"/>
      <c r="W89" s="236"/>
      <c r="X89" s="228"/>
      <c r="Y89" s="228"/>
      <c r="Z89" s="228"/>
      <c r="AA89" s="228"/>
      <c r="AB89" s="228"/>
      <c r="AC89" s="228"/>
      <c r="AD89" s="228"/>
      <c r="AE89" s="228"/>
      <c r="AF89" s="228"/>
      <c r="AG89" s="228"/>
      <c r="AH89" s="228"/>
      <c r="AI89" s="228"/>
      <c r="AJ89" s="228"/>
      <c r="AK89" s="22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row>
    <row r="90" spans="2:68">
      <c r="B90" s="843" t="s">
        <v>129</v>
      </c>
      <c r="C90" s="8"/>
      <c r="D90" s="8">
        <f t="shared" ref="D90:AQ90" si="874">+D12-D86</f>
        <v>13133</v>
      </c>
      <c r="E90" s="8">
        <f t="shared" si="874"/>
        <v>16220</v>
      </c>
      <c r="F90" s="8">
        <f t="shared" si="874"/>
        <v>13533</v>
      </c>
      <c r="G90" s="8">
        <f t="shared" si="874"/>
        <v>14458</v>
      </c>
      <c r="H90" s="8">
        <f t="shared" si="874"/>
        <v>13397</v>
      </c>
      <c r="I90" s="8">
        <f t="shared" si="874"/>
        <v>15755</v>
      </c>
      <c r="J90" s="8">
        <f t="shared" si="874"/>
        <v>14036</v>
      </c>
      <c r="K90" s="8">
        <f t="shared" si="874"/>
        <v>15274</v>
      </c>
      <c r="L90" s="8">
        <f t="shared" si="874"/>
        <v>14331</v>
      </c>
      <c r="M90" s="8">
        <f t="shared" si="874"/>
        <v>17703</v>
      </c>
      <c r="N90" s="8">
        <f t="shared" si="874"/>
        <v>15817</v>
      </c>
      <c r="O90" s="8">
        <f t="shared" si="874"/>
        <v>17190</v>
      </c>
      <c r="P90" s="8">
        <f t="shared" si="874"/>
        <v>16292</v>
      </c>
      <c r="Q90" s="8">
        <f t="shared" si="874"/>
        <v>19218</v>
      </c>
      <c r="R90" s="8">
        <f t="shared" si="874"/>
        <v>17304</v>
      </c>
      <c r="S90" s="8">
        <f t="shared" si="874"/>
        <v>18388</v>
      </c>
      <c r="T90" s="8">
        <f t="shared" si="874"/>
        <v>17398</v>
      </c>
      <c r="U90" s="8">
        <f t="shared" si="874"/>
        <v>19812</v>
      </c>
      <c r="V90" s="8">
        <f t="shared" si="874"/>
        <v>18928</v>
      </c>
      <c r="W90" s="1056">
        <f t="shared" si="874"/>
        <v>21122</v>
      </c>
      <c r="X90" s="8">
        <f t="shared" si="874"/>
        <v>18633</v>
      </c>
      <c r="Y90" s="8">
        <f t="shared" si="874"/>
        <v>22418</v>
      </c>
      <c r="Z90" s="8">
        <f t="shared" si="874"/>
        <v>21722</v>
      </c>
      <c r="AA90" s="8">
        <f t="shared" si="874"/>
        <v>23713</v>
      </c>
      <c r="AB90" s="8">
        <f t="shared" si="874"/>
        <v>21867</v>
      </c>
      <c r="AC90" s="8">
        <f t="shared" si="874"/>
        <v>25985</v>
      </c>
      <c r="AD90" s="8">
        <f t="shared" si="874"/>
        <v>25223</v>
      </c>
      <c r="AE90" s="8">
        <f t="shared" si="874"/>
        <v>27352</v>
      </c>
      <c r="AF90" s="8">
        <f t="shared" si="874"/>
        <v>25814</v>
      </c>
      <c r="AG90" s="8">
        <f t="shared" si="874"/>
        <v>27529</v>
      </c>
      <c r="AH90" s="8">
        <f t="shared" si="874"/>
        <v>26956</v>
      </c>
      <c r="AI90" s="11">
        <f t="shared" si="874"/>
        <v>28061</v>
      </c>
      <c r="AJ90" s="11">
        <f t="shared" si="874"/>
        <v>25701</v>
      </c>
      <c r="AK90" s="8">
        <f t="shared" si="874"/>
        <v>28399</v>
      </c>
      <c r="AL90" s="8">
        <f t="shared" si="874"/>
        <v>27980</v>
      </c>
      <c r="AM90" s="8">
        <f t="shared" si="874"/>
        <v>30172</v>
      </c>
      <c r="AN90" s="8">
        <f t="shared" si="874"/>
        <v>27338.690214809212</v>
      </c>
      <c r="AO90" s="8">
        <f t="shared" si="874"/>
        <v>30248.72463288474</v>
      </c>
      <c r="AP90" s="8">
        <f t="shared" si="874"/>
        <v>29923.84220740381</v>
      </c>
      <c r="AQ90" s="8">
        <f t="shared" si="874"/>
        <v>32607.124419440654</v>
      </c>
      <c r="AS90" s="8">
        <f t="shared" ref="AS90:BP90" si="875">+AS12-AS86</f>
        <v>24357</v>
      </c>
      <c r="AT90" s="8">
        <f t="shared" si="875"/>
        <v>26999</v>
      </c>
      <c r="AU90" s="8">
        <f t="shared" si="875"/>
        <v>31244</v>
      </c>
      <c r="AV90" s="8">
        <f t="shared" si="875"/>
        <v>36093</v>
      </c>
      <c r="AW90" s="8">
        <f t="shared" si="875"/>
        <v>35512</v>
      </c>
      <c r="AX90" s="8">
        <f t="shared" si="875"/>
        <v>35713</v>
      </c>
      <c r="AY90" s="8">
        <f t="shared" si="875"/>
        <v>40016</v>
      </c>
      <c r="AZ90" s="8">
        <f t="shared" si="875"/>
        <v>42260</v>
      </c>
      <c r="BA90" s="8">
        <f t="shared" si="875"/>
        <v>47137</v>
      </c>
      <c r="BB90" s="8">
        <f t="shared" si="875"/>
        <v>53735</v>
      </c>
      <c r="BC90" s="8">
        <f t="shared" si="875"/>
        <v>59451</v>
      </c>
      <c r="BD90" s="8">
        <f t="shared" si="875"/>
        <v>50763</v>
      </c>
      <c r="BE90" s="8">
        <f t="shared" si="875"/>
        <v>51833</v>
      </c>
      <c r="BF90">
        <f t="shared" si="875"/>
        <v>0</v>
      </c>
      <c r="BG90" s="8">
        <f t="shared" si="875"/>
        <v>57344</v>
      </c>
      <c r="BH90" s="8">
        <f t="shared" si="875"/>
        <v>58462</v>
      </c>
      <c r="BI90" s="8">
        <f t="shared" si="875"/>
        <v>65041</v>
      </c>
      <c r="BJ90" s="8">
        <f t="shared" si="875"/>
        <v>71202</v>
      </c>
      <c r="BK90" s="11">
        <f t="shared" si="875"/>
        <v>77260</v>
      </c>
      <c r="BL90" s="11">
        <f t="shared" si="875"/>
        <v>86486</v>
      </c>
      <c r="BM90" s="11">
        <f t="shared" si="875"/>
        <v>100427</v>
      </c>
      <c r="BN90" s="11">
        <f t="shared" si="875"/>
        <v>108360</v>
      </c>
      <c r="BO90" s="11">
        <f t="shared" si="875"/>
        <v>112252</v>
      </c>
      <c r="BP90" s="11">
        <f t="shared" si="875"/>
        <v>120118.38147453839</v>
      </c>
    </row>
    <row r="91" spans="2:68" s="3" customFormat="1">
      <c r="B91" s="13" t="s">
        <v>304</v>
      </c>
      <c r="D91" s="228"/>
      <c r="E91" s="228"/>
      <c r="F91" s="228"/>
      <c r="G91" s="228"/>
      <c r="H91" s="228"/>
      <c r="I91" s="228"/>
      <c r="J91" s="228"/>
      <c r="K91" s="228"/>
      <c r="L91" s="228"/>
      <c r="M91" s="228"/>
      <c r="N91" s="228"/>
      <c r="O91" s="228"/>
      <c r="P91" s="228"/>
      <c r="Q91" s="228"/>
      <c r="R91" s="228"/>
      <c r="S91" s="228"/>
      <c r="T91" s="228">
        <f t="shared" ref="T91:V91" si="876">+T90/S90-1</f>
        <v>-5.3839460517728921E-2</v>
      </c>
      <c r="U91" s="228">
        <f t="shared" si="876"/>
        <v>0.13875158064145299</v>
      </c>
      <c r="V91" s="228">
        <f t="shared" si="876"/>
        <v>-4.4619422572178435E-2</v>
      </c>
      <c r="W91" s="236">
        <f>+W90/V90-1</f>
        <v>0.11591293322062546</v>
      </c>
      <c r="X91" s="228">
        <f t="shared" ref="X91:AQ91" si="877">+X90/W90-1</f>
        <v>-0.11783921977085499</v>
      </c>
      <c r="Y91" s="228">
        <f t="shared" si="877"/>
        <v>0.20313422422583582</v>
      </c>
      <c r="Z91" s="228">
        <f t="shared" si="877"/>
        <v>-3.1046480506735641E-2</v>
      </c>
      <c r="AA91" s="228">
        <f t="shared" si="877"/>
        <v>9.1658226682625799E-2</v>
      </c>
      <c r="AB91" s="228">
        <f t="shared" si="877"/>
        <v>-7.784759414667064E-2</v>
      </c>
      <c r="AC91" s="228">
        <f t="shared" si="877"/>
        <v>0.18832029999542699</v>
      </c>
      <c r="AD91" s="228">
        <f t="shared" si="877"/>
        <v>-2.932461035212619E-2</v>
      </c>
      <c r="AE91" s="228">
        <f t="shared" si="877"/>
        <v>8.440708876818781E-2</v>
      </c>
      <c r="AF91" s="228">
        <f t="shared" si="877"/>
        <v>-5.6229891781222618E-2</v>
      </c>
      <c r="AG91" s="228">
        <f t="shared" si="877"/>
        <v>6.6436817230959955E-2</v>
      </c>
      <c r="AH91" s="228">
        <f t="shared" si="877"/>
        <v>-2.0814413890806072E-2</v>
      </c>
      <c r="AI91" s="228">
        <f t="shared" si="877"/>
        <v>4.0992728891526831E-2</v>
      </c>
      <c r="AJ91" s="228">
        <f t="shared" si="877"/>
        <v>-8.410249100174616E-2</v>
      </c>
      <c r="AK91" s="228">
        <f t="shared" si="877"/>
        <v>0.1049764600599199</v>
      </c>
      <c r="AL91" s="228">
        <f t="shared" si="877"/>
        <v>-1.4754040635233667E-2</v>
      </c>
      <c r="AM91" s="228">
        <f t="shared" si="877"/>
        <v>7.8341672623302383E-2</v>
      </c>
      <c r="AN91" s="228">
        <f t="shared" si="877"/>
        <v>-9.3905269295730731E-2</v>
      </c>
      <c r="AO91" s="228">
        <f t="shared" si="877"/>
        <v>0.10644381260442315</v>
      </c>
      <c r="AP91" s="228">
        <f t="shared" si="877"/>
        <v>-1.0740367715461829E-2</v>
      </c>
      <c r="AQ91" s="228">
        <f t="shared" si="877"/>
        <v>8.9670377000348633E-2</v>
      </c>
      <c r="AR91" s="228"/>
      <c r="AS91" s="228"/>
      <c r="AT91" s="228" t="str">
        <f t="shared" ref="AT91" si="878">IFERROR(AT89/AS89-1,"n/a ")</f>
        <v xml:space="preserve">n/a </v>
      </c>
      <c r="AU91" s="228" t="str">
        <f t="shared" ref="AU91" si="879">IFERROR(AU89/AT89-1,"n/a ")</f>
        <v xml:space="preserve">n/a </v>
      </c>
      <c r="AV91" s="228" t="str">
        <f t="shared" ref="AV91" si="880">IFERROR(AV89/AU89-1,"n/a ")</f>
        <v xml:space="preserve">n/a </v>
      </c>
      <c r="AW91" s="228" t="str">
        <f t="shared" ref="AW91" si="881">IFERROR(AW89/AV89-1,"n/a ")</f>
        <v xml:space="preserve">n/a </v>
      </c>
      <c r="AX91" s="228" t="str">
        <f t="shared" ref="AX91" si="882">IFERROR(AX89/AW89-1,"n/a ")</f>
        <v xml:space="preserve">n/a </v>
      </c>
      <c r="AY91" s="228" t="str">
        <f t="shared" ref="AY91" si="883">IFERROR(AY89/AX89-1,"n/a ")</f>
        <v xml:space="preserve">n/a </v>
      </c>
      <c r="AZ91" s="228" t="str">
        <f t="shared" ref="AZ91" si="884">IFERROR(AZ89/AY89-1,"n/a ")</f>
        <v xml:space="preserve">n/a </v>
      </c>
      <c r="BA91" s="228" t="str">
        <f t="shared" ref="BA91" si="885">IFERROR(BA89/AZ89-1,"n/a ")</f>
        <v xml:space="preserve">n/a </v>
      </c>
      <c r="BB91" s="228" t="str">
        <f t="shared" ref="BB91" si="886">IFERROR(BB89/BA89-1,"n/a ")</f>
        <v xml:space="preserve">n/a </v>
      </c>
      <c r="BC91" s="228" t="str">
        <f t="shared" ref="BC91" si="887">IFERROR(BC89/BB89-1,"n/a ")</f>
        <v xml:space="preserve">n/a </v>
      </c>
      <c r="BD91" s="228" t="str">
        <f t="shared" ref="BD91" si="888">IFERROR(BD89/BC89-1,"n/a ")</f>
        <v xml:space="preserve">n/a </v>
      </c>
      <c r="BE91" s="228" t="str">
        <f t="shared" ref="BE91" si="889">IFERROR(BE89/BD89-1,"n/a ")</f>
        <v xml:space="preserve">n/a </v>
      </c>
      <c r="BF91" s="228"/>
      <c r="BG91" s="829" t="str">
        <f t="shared" ref="BG91" si="890">+BD91</f>
        <v xml:space="preserve">n/a </v>
      </c>
      <c r="BH91" s="228" t="str">
        <f t="shared" ref="BH91" si="891">IFERROR(BH89/BG89-1,"n/a ")</f>
        <v xml:space="preserve">n/a </v>
      </c>
      <c r="BI91" s="228">
        <f t="shared" ref="BI91:BP91" si="892">+BI90/BH90-1</f>
        <v>0.11253463788443785</v>
      </c>
      <c r="BJ91" s="228">
        <f t="shared" si="892"/>
        <v>9.4724865853845985E-2</v>
      </c>
      <c r="BK91" s="228">
        <f t="shared" si="892"/>
        <v>8.5081879722479714E-2</v>
      </c>
      <c r="BL91" s="228">
        <f t="shared" si="892"/>
        <v>0.11941496246440586</v>
      </c>
      <c r="BM91" s="228">
        <f t="shared" si="892"/>
        <v>0.16119371921467063</v>
      </c>
      <c r="BN91" s="228">
        <f t="shared" si="892"/>
        <v>7.8992701166021195E-2</v>
      </c>
      <c r="BO91" s="228">
        <f t="shared" si="892"/>
        <v>3.5917312661498668E-2</v>
      </c>
      <c r="BP91" s="228">
        <f t="shared" si="892"/>
        <v>7.0077873664062817E-2</v>
      </c>
    </row>
    <row r="92" spans="2:68" s="3" customFormat="1">
      <c r="B92" s="13" t="s">
        <v>113</v>
      </c>
      <c r="D92" s="228"/>
      <c r="E92" s="228"/>
      <c r="F92" s="228"/>
      <c r="G92" s="228"/>
      <c r="H92" s="228">
        <f>IFERROR(H90/D90-1,"n/a ")</f>
        <v>2.0102033046524026E-2</v>
      </c>
      <c r="I92" s="228">
        <f t="shared" ref="I92" si="893">IFERROR(I90/E90-1,"n/a ")</f>
        <v>-2.8668310727496871E-2</v>
      </c>
      <c r="J92" s="228">
        <f t="shared" ref="J92" si="894">IFERROR(J90/F90-1,"n/a ")</f>
        <v>3.7168403162639363E-2</v>
      </c>
      <c r="K92" s="228">
        <f t="shared" ref="K92" si="895">IFERROR(K90/G90-1,"n/a ")</f>
        <v>5.6439341541015375E-2</v>
      </c>
      <c r="L92" s="228">
        <f t="shared" ref="L92" si="896">IFERROR(L90/H90-1,"n/a ")</f>
        <v>6.971710084347249E-2</v>
      </c>
      <c r="M92" s="228">
        <f t="shared" ref="M92" si="897">IFERROR(M90/I90-1,"n/a ")</f>
        <v>0.12364328784512857</v>
      </c>
      <c r="N92" s="228">
        <f t="shared" ref="N92" si="898">IFERROR(N90/J90-1,"n/a ")</f>
        <v>0.12688800227985175</v>
      </c>
      <c r="O92" s="228">
        <f t="shared" ref="O92" si="899">IFERROR(O90/K90-1,"n/a ")</f>
        <v>0.12544192745842597</v>
      </c>
      <c r="P92" s="228">
        <f t="shared" ref="P92" si="900">IFERROR(P90/L90-1,"n/a ")</f>
        <v>0.13683622915358318</v>
      </c>
      <c r="Q92" s="228">
        <f t="shared" ref="Q92" si="901">IFERROR(Q90/M90-1,"n/a ")</f>
        <v>8.5578715471953837E-2</v>
      </c>
      <c r="R92" s="228">
        <f t="shared" ref="R92" si="902">IFERROR(R90/N90-1,"n/a ")</f>
        <v>9.4012771069102774E-2</v>
      </c>
      <c r="S92" s="228">
        <f t="shared" ref="S92" si="903">IFERROR(S90/O90-1,"n/a ")</f>
        <v>6.9691681210005907E-2</v>
      </c>
      <c r="T92" s="228">
        <f t="shared" ref="T92" si="904">IFERROR(T90/P90-1,"n/a ")</f>
        <v>6.7886079057206006E-2</v>
      </c>
      <c r="U92" s="228">
        <f t="shared" ref="U92" si="905">IFERROR(U90/Q90-1,"n/a ")</f>
        <v>3.0908523259444376E-2</v>
      </c>
      <c r="V92" s="228">
        <f t="shared" ref="V92" si="906">IFERROR(V90/R90-1,"n/a ")</f>
        <v>9.3851132686084249E-2</v>
      </c>
      <c r="W92" s="236">
        <f t="shared" ref="W92" si="907">IFERROR(W90/S90-1,"n/a ")</f>
        <v>0.14868392429845545</v>
      </c>
      <c r="X92" s="228">
        <f t="shared" ref="X92" si="908">IFERROR(X90/T90-1,"n/a ")</f>
        <v>7.0985170709277012E-2</v>
      </c>
      <c r="Y92" s="228">
        <f t="shared" ref="Y92" si="909">IFERROR(Y90/U90-1,"n/a ")</f>
        <v>0.13153644256006469</v>
      </c>
      <c r="Z92" s="228">
        <f t="shared" ref="Z92" si="910">IFERROR(Z90/V90-1,"n/a ")</f>
        <v>0.14761200338123426</v>
      </c>
      <c r="AA92" s="228">
        <f t="shared" ref="AA92" si="911">IFERROR(AA90/W90-1,"n/a ")</f>
        <v>0.12266830792538586</v>
      </c>
      <c r="AB92" s="228">
        <f t="shared" ref="AB92" si="912">IFERROR(AB90/X90-1,"n/a ")</f>
        <v>0.17356303332796652</v>
      </c>
      <c r="AC92" s="228">
        <f t="shared" ref="AC92" si="913">IFERROR(AC90/Y90-1,"n/a ")</f>
        <v>0.15911321259702027</v>
      </c>
      <c r="AD92" s="228">
        <f t="shared" ref="AD92" si="914">IFERROR(AD90/Z90-1,"n/a ")</f>
        <v>0.16117300432741</v>
      </c>
      <c r="AE92" s="228">
        <f t="shared" ref="AE92" si="915">IFERROR(AE90/AA90-1,"n/a ")</f>
        <v>0.15346012735630254</v>
      </c>
      <c r="AF92" s="228">
        <f t="shared" ref="AF92" si="916">IFERROR(AF90/AB90-1,"n/a ")</f>
        <v>0.18050029725156636</v>
      </c>
      <c r="AG92" s="228">
        <f t="shared" ref="AG92" si="917">IFERROR(AG90/AC90-1,"n/a ")</f>
        <v>5.9418895516644143E-2</v>
      </c>
      <c r="AH92" s="228">
        <f t="shared" ref="AH92" si="918">IFERROR(AH90/AD90-1,"n/a ")</f>
        <v>6.8707132379177693E-2</v>
      </c>
      <c r="AI92" s="228">
        <f t="shared" ref="AI92" si="919">IFERROR(AI90/AE90-1,"n/a ")</f>
        <v>2.5921322023983562E-2</v>
      </c>
      <c r="AJ92" s="228">
        <f t="shared" ref="AJ92" si="920">IFERROR(AJ90/AF90-1,"n/a ")</f>
        <v>-4.3774695901448446E-3</v>
      </c>
      <c r="AK92" s="228">
        <f t="shared" ref="AK92" si="921">IFERROR(AK90/AG90-1,"n/a ")</f>
        <v>3.1603036797559048E-2</v>
      </c>
      <c r="AL92" s="228">
        <f t="shared" ref="AL92" si="922">IFERROR(AL90/AH90-1,"n/a ")</f>
        <v>3.798783202255529E-2</v>
      </c>
      <c r="AM92" s="228">
        <f t="shared" ref="AM92" si="923">IFERROR(AM90/AI90-1,"n/a ")</f>
        <v>7.5228965468087328E-2</v>
      </c>
      <c r="AN92" s="228">
        <f t="shared" ref="AN92" si="924">IFERROR(AN90/AJ90-1,"n/a ")</f>
        <v>6.3720875250348641E-2</v>
      </c>
      <c r="AO92" s="228">
        <f t="shared" ref="AO92" si="925">IFERROR(AO90/AK90-1,"n/a ")</f>
        <v>6.5133442476310366E-2</v>
      </c>
      <c r="AP92" s="228">
        <f t="shared" ref="AP92" si="926">IFERROR(AP90/AL90-1,"n/a ")</f>
        <v>6.9472559235304043E-2</v>
      </c>
      <c r="AQ92" s="228">
        <f t="shared" ref="AQ92" si="927">IFERROR(AQ90/AM90-1,"n/a ")</f>
        <v>8.0708087612377577E-2</v>
      </c>
      <c r="AR92" s="228"/>
      <c r="AS92" s="228"/>
      <c r="AT92" s="228">
        <f>IFERROR(AT90/AS90-1,"n/a ")</f>
        <v>0.10846984439791441</v>
      </c>
      <c r="AU92" s="228">
        <f t="shared" ref="AU92" si="928">IFERROR(AU90/AT90-1,"n/a ")</f>
        <v>0.15722804548316605</v>
      </c>
      <c r="AV92" s="228">
        <f t="shared" ref="AV92" si="929">IFERROR(AV90/AU90-1,"n/a ")</f>
        <v>0.15519779797721167</v>
      </c>
      <c r="AW92" s="228">
        <f t="shared" ref="AW92" si="930">IFERROR(AW90/AV90-1,"n/a ")</f>
        <v>-1.6097304186407313E-2</v>
      </c>
      <c r="AX92" s="228">
        <f t="shared" ref="AX92" si="931">IFERROR(AX90/AW90-1,"n/a ")</f>
        <v>5.6600585717503371E-3</v>
      </c>
      <c r="AY92" s="228">
        <f t="shared" ref="AY92" si="932">IFERROR(AY90/AX90-1,"n/a ")</f>
        <v>0.12048833758015287</v>
      </c>
      <c r="AZ92" s="228">
        <f t="shared" ref="AZ92" si="933">IFERROR(AZ90/AY90-1,"n/a ")</f>
        <v>5.6077568972411118E-2</v>
      </c>
      <c r="BA92" s="228">
        <f t="shared" ref="BA92" si="934">IFERROR(BA90/AZ90-1,"n/a ")</f>
        <v>0.11540463795551359</v>
      </c>
      <c r="BB92" s="228">
        <f t="shared" ref="BB92" si="935">IFERROR(BB90/BA90-1,"n/a ")</f>
        <v>0.13997496658675779</v>
      </c>
      <c r="BC92" s="228">
        <f t="shared" ref="BC92" si="936">IFERROR(BC90/BB90-1,"n/a ")</f>
        <v>0.10637387177817059</v>
      </c>
      <c r="BD92" s="228">
        <f t="shared" ref="BD92" si="937">IFERROR(BD90/BC90-1,"n/a ")</f>
        <v>-0.14613715496795676</v>
      </c>
      <c r="BE92" s="228">
        <f t="shared" ref="BE92" si="938">IFERROR(BE90/BD90-1,"n/a ")</f>
        <v>2.107834446348722E-2</v>
      </c>
      <c r="BF92" s="228"/>
      <c r="BG92" s="829">
        <f t="shared" ref="BG92" si="939">+BD92</f>
        <v>-0.14613715496795676</v>
      </c>
      <c r="BH92" s="228">
        <f t="shared" ref="BH92" si="940">IFERROR(BH90/BG90-1,"n/a ")</f>
        <v>1.9496372767857206E-2</v>
      </c>
      <c r="BI92" s="228">
        <f t="shared" ref="BI92" si="941">IFERROR(BI90/BH90-1,"n/a ")</f>
        <v>0.11253463788443785</v>
      </c>
      <c r="BJ92" s="228">
        <f t="shared" ref="BJ92" si="942">IFERROR(BJ90/BI90-1,"n/a ")</f>
        <v>9.4724865853845985E-2</v>
      </c>
      <c r="BK92" s="228">
        <f t="shared" ref="BK92" si="943">IFERROR(BK90/BJ90-1,"n/a ")</f>
        <v>8.5081879722479714E-2</v>
      </c>
      <c r="BL92" s="228">
        <f t="shared" ref="BL92" si="944">IFERROR(BL90/BK90-1,"n/a ")</f>
        <v>0.11941496246440586</v>
      </c>
      <c r="BM92" s="228">
        <f t="shared" ref="BM92" si="945">IFERROR(BM90/BL90-1,"n/a ")</f>
        <v>0.16119371921467063</v>
      </c>
      <c r="BN92" s="228">
        <f t="shared" ref="BN92" si="946">IFERROR(BN90/BM90-1,"n/a ")</f>
        <v>7.8992701166021195E-2</v>
      </c>
      <c r="BO92" s="228">
        <f t="shared" ref="BO92" si="947">IFERROR(BO90/BN90-1,"n/a ")</f>
        <v>3.5917312661498668E-2</v>
      </c>
      <c r="BP92" s="228">
        <f t="shared" ref="BP92" si="948">IFERROR(BP90/BO90-1,"n/a ")</f>
        <v>7.0077873664062817E-2</v>
      </c>
    </row>
    <row r="93" spans="2:68" s="3" customFormat="1">
      <c r="B93" s="13" t="s">
        <v>305</v>
      </c>
      <c r="D93" s="228"/>
      <c r="E93" s="228"/>
      <c r="F93" s="228"/>
      <c r="G93" s="228"/>
      <c r="H93" s="228"/>
      <c r="I93" s="228"/>
      <c r="J93" s="228"/>
      <c r="K93" s="228"/>
      <c r="L93" s="228"/>
      <c r="M93" s="228"/>
      <c r="N93" s="228"/>
      <c r="O93" s="228"/>
      <c r="P93" s="228"/>
      <c r="Q93" s="228"/>
      <c r="R93" s="228"/>
      <c r="S93" s="228"/>
      <c r="T93" s="228">
        <f t="shared" ref="T93:AQ93" si="949">+T90/T12</f>
        <v>0.52633489638481323</v>
      </c>
      <c r="U93" s="228">
        <f t="shared" si="949"/>
        <v>0.53682328076735486</v>
      </c>
      <c r="V93" s="228">
        <f t="shared" si="949"/>
        <v>0.5404757145712572</v>
      </c>
      <c r="W93" s="228">
        <f t="shared" si="949"/>
        <v>0.55535981910446186</v>
      </c>
      <c r="X93" s="228">
        <f t="shared" si="949"/>
        <v>0.50150724013565162</v>
      </c>
      <c r="Y93" s="228">
        <f t="shared" si="949"/>
        <v>0.52042900919305413</v>
      </c>
      <c r="Z93" s="228">
        <f t="shared" si="949"/>
        <v>0.52083633050400424</v>
      </c>
      <c r="AA93" s="228">
        <f t="shared" si="949"/>
        <v>0.51380221875541687</v>
      </c>
      <c r="AB93" s="228">
        <f t="shared" si="949"/>
        <v>0.48253414833285524</v>
      </c>
      <c r="AC93" s="228">
        <f t="shared" si="949"/>
        <v>0.5023391586761522</v>
      </c>
      <c r="AD93" s="228">
        <f t="shared" si="949"/>
        <v>0.51100081037277145</v>
      </c>
      <c r="AE93" s="228">
        <f t="shared" si="949"/>
        <v>0.52736913139882391</v>
      </c>
      <c r="AF93" s="228">
        <f t="shared" si="949"/>
        <v>0.51502334304297515</v>
      </c>
      <c r="AG93" s="228">
        <f t="shared" si="949"/>
        <v>0.52190645913511668</v>
      </c>
      <c r="AH93" s="228">
        <f t="shared" si="949"/>
        <v>0.5099797567020451</v>
      </c>
      <c r="AI93" s="228">
        <f t="shared" si="949"/>
        <v>0.49940379789638539</v>
      </c>
      <c r="AJ93" s="228">
        <f t="shared" si="949"/>
        <v>0.45474812888157545</v>
      </c>
      <c r="AK93" s="228">
        <f t="shared" si="949"/>
        <v>0.45790067720090294</v>
      </c>
      <c r="AL93" s="228">
        <f t="shared" si="949"/>
        <v>0.45232629570952826</v>
      </c>
      <c r="AM93" s="228">
        <f t="shared" si="949"/>
        <v>0.46614241352140529</v>
      </c>
      <c r="AN93" s="228">
        <f t="shared" si="949"/>
        <v>0.4186201925700147</v>
      </c>
      <c r="AO93" s="228">
        <f t="shared" si="949"/>
        <v>0.43116997571869453</v>
      </c>
      <c r="AP93" s="228">
        <f t="shared" si="949"/>
        <v>0.42113244248644227</v>
      </c>
      <c r="AQ93" s="228">
        <f t="shared" si="949"/>
        <v>0.43653963777313859</v>
      </c>
      <c r="AR93" s="228"/>
      <c r="AS93" s="228">
        <f t="shared" ref="AS93:BP93" si="950">+AS90/AS12</f>
        <v>0.61216949834120837</v>
      </c>
      <c r="AT93" s="228">
        <f t="shared" si="950"/>
        <v>0.60970597533986726</v>
      </c>
      <c r="AU93" s="228">
        <f t="shared" si="950"/>
        <v>0.61116544736121436</v>
      </c>
      <c r="AV93" s="228">
        <f t="shared" si="950"/>
        <v>0.59736842105263155</v>
      </c>
      <c r="AW93" s="228">
        <f t="shared" si="950"/>
        <v>0.6076971781576741</v>
      </c>
      <c r="AX93" s="228">
        <f t="shared" si="950"/>
        <v>0.5715543179053838</v>
      </c>
      <c r="AY93" s="228">
        <f t="shared" si="950"/>
        <v>0.57212301445462732</v>
      </c>
      <c r="AZ93" s="228">
        <f t="shared" si="950"/>
        <v>0.57322680845869001</v>
      </c>
      <c r="BA93" s="228">
        <f t="shared" si="950"/>
        <v>0.60549268455599947</v>
      </c>
      <c r="BB93" s="228">
        <f t="shared" si="950"/>
        <v>0.61883155021708336</v>
      </c>
      <c r="BC93" s="228">
        <f t="shared" si="950"/>
        <v>0.63529600341953407</v>
      </c>
      <c r="BD93" s="228">
        <f t="shared" si="950"/>
        <v>0.59497187060478196</v>
      </c>
      <c r="BE93" s="228">
        <f t="shared" si="950"/>
        <v>0.57624235686492498</v>
      </c>
      <c r="BF93" s="228" t="e">
        <f t="shared" si="950"/>
        <v>#DIV/0!</v>
      </c>
      <c r="BG93" s="228">
        <f t="shared" si="950"/>
        <v>0.62908923360466906</v>
      </c>
      <c r="BH93" s="228">
        <f t="shared" si="950"/>
        <v>0.60537842623561944</v>
      </c>
      <c r="BI93" s="228">
        <f t="shared" si="950"/>
        <v>0.58935302645886189</v>
      </c>
      <c r="BJ93" s="228">
        <f t="shared" si="950"/>
        <v>0.56580024316012811</v>
      </c>
      <c r="BK93" s="228">
        <f t="shared" si="950"/>
        <v>0.54022305352585398</v>
      </c>
      <c r="BL93" s="228">
        <f t="shared" si="950"/>
        <v>0.51452810432630525</v>
      </c>
      <c r="BM93" s="228">
        <f t="shared" si="950"/>
        <v>0.50651636657083776</v>
      </c>
      <c r="BN93" s="228">
        <f t="shared" si="950"/>
        <v>0.51133709270226269</v>
      </c>
      <c r="BO93" s="228">
        <f t="shared" si="950"/>
        <v>0.45794339145405144</v>
      </c>
      <c r="BP93" s="228">
        <f t="shared" si="950"/>
        <v>0.42714552348656115</v>
      </c>
    </row>
    <row r="94" spans="2:68">
      <c r="W94" s="1065"/>
      <c r="AL94" s="824"/>
      <c r="AM94" s="824"/>
    </row>
    <row r="95" spans="2:68" hidden="1" outlineLevel="1">
      <c r="B95" t="s">
        <v>306</v>
      </c>
      <c r="W95" s="1065"/>
      <c r="AK95" s="1230">
        <v>500</v>
      </c>
      <c r="AL95" s="1230">
        <v>670</v>
      </c>
      <c r="AM95" s="61">
        <f>+AVERAGE(AN95,AL95)</f>
        <v>620.875</v>
      </c>
      <c r="AN95" s="61">
        <f>+$BP$95/4</f>
        <v>571.75</v>
      </c>
      <c r="AO95" s="61">
        <f t="shared" ref="AO95:AQ95" si="951">+$BP$95/4</f>
        <v>571.75</v>
      </c>
      <c r="AP95" s="61">
        <f t="shared" si="951"/>
        <v>571.75</v>
      </c>
      <c r="AQ95" s="61">
        <f t="shared" si="951"/>
        <v>571.75</v>
      </c>
      <c r="BO95" s="11">
        <f>+SUM(AJ95:AM95)</f>
        <v>1790.875</v>
      </c>
      <c r="BP95" s="1098">
        <f>+Base!K39</f>
        <v>2287</v>
      </c>
    </row>
    <row r="96" spans="2:68" hidden="1" outlineLevel="1">
      <c r="W96" s="1065"/>
    </row>
    <row r="97" spans="2:73" collapsed="1">
      <c r="B97" s="843" t="s">
        <v>131</v>
      </c>
      <c r="D97" s="8">
        <f t="shared" ref="D97:AK97" si="952">+-D111</f>
        <v>1500</v>
      </c>
      <c r="E97" s="8">
        <f t="shared" si="952"/>
        <v>2000</v>
      </c>
      <c r="F97" s="8">
        <f t="shared" si="952"/>
        <v>2300</v>
      </c>
      <c r="G97" s="8">
        <f t="shared" si="952"/>
        <v>3100</v>
      </c>
      <c r="H97" s="8">
        <f t="shared" si="952"/>
        <v>2300</v>
      </c>
      <c r="I97" s="8">
        <f t="shared" si="952"/>
        <v>2500</v>
      </c>
      <c r="J97" s="8">
        <f t="shared" si="952"/>
        <v>2100</v>
      </c>
      <c r="K97" s="8">
        <f t="shared" si="952"/>
        <v>3300</v>
      </c>
      <c r="L97" s="8">
        <f t="shared" si="952"/>
        <v>2700</v>
      </c>
      <c r="M97" s="8">
        <f t="shared" si="952"/>
        <v>3300</v>
      </c>
      <c r="N97" s="8">
        <f t="shared" si="952"/>
        <v>3500</v>
      </c>
      <c r="O97" s="8">
        <f t="shared" si="952"/>
        <v>4100</v>
      </c>
      <c r="P97" s="8">
        <f t="shared" si="952"/>
        <v>4300</v>
      </c>
      <c r="Q97" s="8">
        <f t="shared" si="952"/>
        <v>3900</v>
      </c>
      <c r="R97" s="8">
        <f t="shared" si="952"/>
        <v>3400</v>
      </c>
      <c r="S97" s="8">
        <f t="shared" si="952"/>
        <v>5300</v>
      </c>
      <c r="T97" s="8">
        <f t="shared" si="952"/>
        <v>4800</v>
      </c>
      <c r="U97" s="8">
        <f t="shared" si="952"/>
        <v>4500</v>
      </c>
      <c r="V97" s="8">
        <f t="shared" si="952"/>
        <v>3900</v>
      </c>
      <c r="W97" s="1056">
        <f t="shared" si="952"/>
        <v>5800</v>
      </c>
      <c r="X97" s="8">
        <f t="shared" si="952"/>
        <v>5500</v>
      </c>
      <c r="Y97" s="8">
        <f t="shared" si="952"/>
        <v>5400</v>
      </c>
      <c r="Z97" s="8">
        <f t="shared" si="952"/>
        <v>6000</v>
      </c>
      <c r="AA97" s="8">
        <f t="shared" si="952"/>
        <v>7300</v>
      </c>
      <c r="AB97" s="8">
        <f t="shared" si="952"/>
        <v>7400</v>
      </c>
      <c r="AC97" s="8">
        <f t="shared" si="952"/>
        <v>6800</v>
      </c>
      <c r="AD97" s="8">
        <f t="shared" si="952"/>
        <v>6300</v>
      </c>
      <c r="AE97" s="8">
        <f t="shared" si="952"/>
        <v>8700</v>
      </c>
      <c r="AF97" s="8">
        <f t="shared" si="952"/>
        <v>6600</v>
      </c>
      <c r="AG97" s="8">
        <f t="shared" si="952"/>
        <v>6800</v>
      </c>
      <c r="AH97" s="8">
        <f t="shared" si="952"/>
        <v>7800</v>
      </c>
      <c r="AI97" s="11">
        <f t="shared" si="952"/>
        <v>10700</v>
      </c>
      <c r="AJ97" s="11">
        <f t="shared" si="952"/>
        <v>11200</v>
      </c>
      <c r="AK97" s="8">
        <f t="shared" si="952"/>
        <v>11500</v>
      </c>
      <c r="AL97" s="8">
        <f t="shared" ref="AL97:AM97" si="953">+-AL111</f>
        <v>14000</v>
      </c>
      <c r="AM97" s="8">
        <f t="shared" si="953"/>
        <v>19000</v>
      </c>
      <c r="AN97" s="61">
        <v>20000</v>
      </c>
      <c r="AO97" s="61">
        <v>20000</v>
      </c>
      <c r="AP97" s="61">
        <v>20000</v>
      </c>
      <c r="AQ97" s="61">
        <v>20000</v>
      </c>
      <c r="AS97" s="8">
        <f t="shared" ref="AS97:BE97" si="954">+-AS111</f>
        <v>812</v>
      </c>
      <c r="AT97" s="8">
        <f t="shared" si="954"/>
        <v>1578</v>
      </c>
      <c r="AU97" s="8">
        <f t="shared" si="954"/>
        <v>2264</v>
      </c>
      <c r="AV97" s="8">
        <f t="shared" si="954"/>
        <v>3182</v>
      </c>
      <c r="AW97" s="8">
        <f t="shared" si="954"/>
        <v>3119</v>
      </c>
      <c r="AX97" s="8">
        <f t="shared" si="954"/>
        <v>1977</v>
      </c>
      <c r="AY97" s="8">
        <f t="shared" si="954"/>
        <v>2355</v>
      </c>
      <c r="AZ97" s="8">
        <f t="shared" si="954"/>
        <v>2305</v>
      </c>
      <c r="BA97" s="8">
        <f t="shared" si="954"/>
        <v>4257</v>
      </c>
      <c r="BB97" s="8">
        <f t="shared" si="954"/>
        <v>5485</v>
      </c>
      <c r="BC97" s="8">
        <f t="shared" si="954"/>
        <v>5944</v>
      </c>
      <c r="BD97" s="8">
        <f t="shared" si="954"/>
        <v>8900</v>
      </c>
      <c r="BE97" s="8">
        <f t="shared" si="954"/>
        <v>10200</v>
      </c>
      <c r="BG97" s="8">
        <f t="shared" ref="BG97:BO97" si="955">+-BG111</f>
        <v>8900</v>
      </c>
      <c r="BH97" s="8">
        <f t="shared" si="955"/>
        <v>10200</v>
      </c>
      <c r="BI97" s="8">
        <f t="shared" si="955"/>
        <v>13600</v>
      </c>
      <c r="BJ97" s="8">
        <f t="shared" si="955"/>
        <v>16900</v>
      </c>
      <c r="BK97" s="11">
        <f t="shared" si="955"/>
        <v>19000</v>
      </c>
      <c r="BL97" s="11">
        <f t="shared" si="955"/>
        <v>24200</v>
      </c>
      <c r="BM97" s="11">
        <f t="shared" si="955"/>
        <v>29200</v>
      </c>
      <c r="BN97" s="11">
        <f t="shared" si="955"/>
        <v>31900</v>
      </c>
      <c r="BO97" s="11">
        <f t="shared" si="955"/>
        <v>55700</v>
      </c>
      <c r="BP97" s="11">
        <f t="shared" ref="BP97" si="956">+-BP111</f>
        <v>80000</v>
      </c>
    </row>
    <row r="98" spans="2:73" s="3" customFormat="1">
      <c r="B98" s="13" t="s">
        <v>113</v>
      </c>
      <c r="D98" s="228"/>
      <c r="E98" s="228"/>
      <c r="F98" s="228"/>
      <c r="G98" s="228"/>
      <c r="H98" s="228">
        <f>IFERROR(H97/D97-1,"n/a ")</f>
        <v>0.53333333333333344</v>
      </c>
      <c r="I98" s="228">
        <f t="shared" ref="I98" si="957">IFERROR(I97/E97-1,"n/a ")</f>
        <v>0.25</v>
      </c>
      <c r="J98" s="228">
        <f t="shared" ref="J98" si="958">IFERROR(J97/F97-1,"n/a ")</f>
        <v>-8.6956521739130488E-2</v>
      </c>
      <c r="K98" s="228">
        <f t="shared" ref="K98" si="959">IFERROR(K97/G97-1,"n/a ")</f>
        <v>6.4516129032258007E-2</v>
      </c>
      <c r="L98" s="228">
        <f t="shared" ref="L98" si="960">IFERROR(L97/H97-1,"n/a ")</f>
        <v>0.17391304347826098</v>
      </c>
      <c r="M98" s="228">
        <f t="shared" ref="M98" si="961">IFERROR(M97/I97-1,"n/a ")</f>
        <v>0.32000000000000006</v>
      </c>
      <c r="N98" s="228">
        <f t="shared" ref="N98" si="962">IFERROR(N97/J97-1,"n/a ")</f>
        <v>0.66666666666666674</v>
      </c>
      <c r="O98" s="228">
        <f t="shared" ref="O98" si="963">IFERROR(O97/K97-1,"n/a ")</f>
        <v>0.24242424242424243</v>
      </c>
      <c r="P98" s="228">
        <f t="shared" ref="P98" si="964">IFERROR(P97/L97-1,"n/a ")</f>
        <v>0.59259259259259256</v>
      </c>
      <c r="Q98" s="228">
        <f t="shared" ref="Q98" si="965">IFERROR(Q97/M97-1,"n/a ")</f>
        <v>0.18181818181818188</v>
      </c>
      <c r="R98" s="228">
        <f t="shared" ref="R98" si="966">IFERROR(R97/N97-1,"n/a ")</f>
        <v>-2.8571428571428581E-2</v>
      </c>
      <c r="S98" s="228">
        <f t="shared" ref="S98" si="967">IFERROR(S97/O97-1,"n/a ")</f>
        <v>0.29268292682926833</v>
      </c>
      <c r="T98" s="228">
        <f t="shared" ref="T98" si="968">IFERROR(T97/P97-1,"n/a ")</f>
        <v>0.11627906976744184</v>
      </c>
      <c r="U98" s="228">
        <f t="shared" ref="U98" si="969">IFERROR(U97/Q97-1,"n/a ")</f>
        <v>0.15384615384615374</v>
      </c>
      <c r="V98" s="228">
        <f t="shared" ref="V98" si="970">IFERROR(V97/R97-1,"n/a ")</f>
        <v>0.14705882352941169</v>
      </c>
      <c r="W98" s="236">
        <f t="shared" ref="W98" si="971">IFERROR(W97/S97-1,"n/a ")</f>
        <v>9.4339622641509413E-2</v>
      </c>
      <c r="X98" s="228">
        <f t="shared" ref="X98" si="972">IFERROR(X97/T97-1,"n/a ")</f>
        <v>0.14583333333333326</v>
      </c>
      <c r="Y98" s="228">
        <f t="shared" ref="Y98" si="973">IFERROR(Y97/U97-1,"n/a ")</f>
        <v>0.19999999999999996</v>
      </c>
      <c r="Z98" s="228">
        <f t="shared" ref="Z98" si="974">IFERROR(Z97/V97-1,"n/a ")</f>
        <v>0.53846153846153855</v>
      </c>
      <c r="AA98" s="228">
        <f t="shared" ref="AA98" si="975">IFERROR(AA97/W97-1,"n/a ")</f>
        <v>0.25862068965517238</v>
      </c>
      <c r="AB98" s="228">
        <f t="shared" ref="AB98" si="976">IFERROR(AB97/X97-1,"n/a ")</f>
        <v>0.34545454545454546</v>
      </c>
      <c r="AC98" s="228">
        <f t="shared" ref="AC98" si="977">IFERROR(AC97/Y97-1,"n/a ")</f>
        <v>0.2592592592592593</v>
      </c>
      <c r="AD98" s="228">
        <f t="shared" ref="AD98" si="978">IFERROR(AD97/Z97-1,"n/a ")</f>
        <v>5.0000000000000044E-2</v>
      </c>
      <c r="AE98" s="228">
        <f t="shared" ref="AE98" si="979">IFERROR(AE97/AA97-1,"n/a ")</f>
        <v>0.19178082191780832</v>
      </c>
      <c r="AF98" s="228">
        <f t="shared" ref="AF98" si="980">IFERROR(AF97/AB97-1,"n/a ")</f>
        <v>-0.10810810810810811</v>
      </c>
      <c r="AG98" s="228">
        <f t="shared" ref="AG98" si="981">IFERROR(AG97/AC97-1,"n/a ")</f>
        <v>0</v>
      </c>
      <c r="AH98" s="228">
        <f t="shared" ref="AH98" si="982">IFERROR(AH97/AD97-1,"n/a ")</f>
        <v>0.23809523809523814</v>
      </c>
      <c r="AI98" s="228">
        <f t="shared" ref="AI98" si="983">IFERROR(AI97/AE97-1,"n/a ")</f>
        <v>0.22988505747126431</v>
      </c>
      <c r="AJ98" s="228">
        <f t="shared" ref="AJ98" si="984">IFERROR(AJ97/AF97-1,"n/a ")</f>
        <v>0.69696969696969702</v>
      </c>
      <c r="AK98" s="228">
        <f t="shared" ref="AK98" si="985">IFERROR(AK97/AG97-1,"n/a ")</f>
        <v>0.69117647058823528</v>
      </c>
      <c r="AL98" s="228">
        <f t="shared" ref="AL98" si="986">IFERROR(AL97/AH97-1,"n/a ")</f>
        <v>0.79487179487179493</v>
      </c>
      <c r="AM98" s="228">
        <f t="shared" ref="AM98" si="987">IFERROR(AM97/AI97-1,"n/a ")</f>
        <v>0.77570093457943923</v>
      </c>
      <c r="AN98" s="228">
        <f t="shared" ref="AN98" si="988">IFERROR(AN97/AJ97-1,"n/a ")</f>
        <v>0.78571428571428581</v>
      </c>
      <c r="AO98" s="228">
        <f t="shared" ref="AO98" si="989">IFERROR(AO97/AK97-1,"n/a ")</f>
        <v>0.73913043478260865</v>
      </c>
      <c r="AP98" s="228">
        <f t="shared" ref="AP98" si="990">IFERROR(AP97/AL97-1,"n/a ")</f>
        <v>0.4285714285714286</v>
      </c>
      <c r="AQ98" s="228">
        <f t="shared" ref="AQ98" si="991">IFERROR(AQ97/AM97-1,"n/a ")</f>
        <v>5.2631578947368363E-2</v>
      </c>
      <c r="AR98" s="228"/>
      <c r="AS98" s="228"/>
      <c r="AT98" s="228">
        <f>IFERROR(AT97/AS97-1,"n/a ")</f>
        <v>0.94334975369458118</v>
      </c>
      <c r="AU98" s="228">
        <f t="shared" ref="AU98" si="992">IFERROR(AU97/AT97-1,"n/a ")</f>
        <v>0.43472750316856779</v>
      </c>
      <c r="AV98" s="228">
        <f t="shared" ref="AV98" si="993">IFERROR(AV97/AU97-1,"n/a ")</f>
        <v>0.40547703180212014</v>
      </c>
      <c r="AW98" s="228">
        <f t="shared" ref="AW98" si="994">IFERROR(AW97/AV97-1,"n/a ")</f>
        <v>-1.9798868636077938E-2</v>
      </c>
      <c r="AX98" s="228">
        <f t="shared" ref="AX98" si="995">IFERROR(AX97/AW97-1,"n/a ")</f>
        <v>-0.36614299454953514</v>
      </c>
      <c r="AY98" s="228">
        <f t="shared" ref="AY98" si="996">IFERROR(AY97/AX97-1,"n/a ")</f>
        <v>0.19119878603945373</v>
      </c>
      <c r="AZ98" s="228">
        <f t="shared" ref="AZ98" si="997">IFERROR(AZ97/AY97-1,"n/a ")</f>
        <v>-2.1231422505307851E-2</v>
      </c>
      <c r="BA98" s="228">
        <f t="shared" ref="BA98" si="998">IFERROR(BA97/AZ97-1,"n/a ")</f>
        <v>0.84685466377440344</v>
      </c>
      <c r="BB98" s="228">
        <f t="shared" ref="BB98" si="999">IFERROR(BB97/BA97-1,"n/a ")</f>
        <v>0.28846605590791641</v>
      </c>
      <c r="BC98" s="228">
        <f t="shared" ref="BC98" si="1000">IFERROR(BC97/BB97-1,"n/a ")</f>
        <v>8.3682771194165895E-2</v>
      </c>
      <c r="BD98" s="228">
        <f t="shared" ref="BD98" si="1001">IFERROR(BD97/BC97-1,"n/a ")</f>
        <v>0.4973082099596231</v>
      </c>
      <c r="BE98" s="228">
        <f t="shared" ref="BE98" si="1002">IFERROR(BE97/BD97-1,"n/a ")</f>
        <v>0.14606741573033699</v>
      </c>
      <c r="BF98" s="228"/>
      <c r="BG98" s="829">
        <f t="shared" ref="BG98" si="1003">+BD98</f>
        <v>0.4973082099596231</v>
      </c>
      <c r="BH98" s="228">
        <f t="shared" ref="BH98" si="1004">IFERROR(BH97/BG97-1,"n/a ")</f>
        <v>0.14606741573033699</v>
      </c>
      <c r="BI98" s="228">
        <f t="shared" ref="BI98" si="1005">IFERROR(BI97/BH97-1,"n/a ")</f>
        <v>0.33333333333333326</v>
      </c>
      <c r="BJ98" s="228">
        <f t="shared" ref="BJ98" si="1006">IFERROR(BJ97/BI97-1,"n/a ")</f>
        <v>0.24264705882352944</v>
      </c>
      <c r="BK98" s="228">
        <f t="shared" ref="BK98" si="1007">IFERROR(BK97/BJ97-1,"n/a ")</f>
        <v>0.12426035502958577</v>
      </c>
      <c r="BL98" s="228">
        <f t="shared" ref="BL98" si="1008">IFERROR(BL97/BK97-1,"n/a ")</f>
        <v>0.27368421052631575</v>
      </c>
      <c r="BM98" s="228">
        <f t="shared" ref="BM98" si="1009">IFERROR(BM97/BL97-1,"n/a ")</f>
        <v>0.20661157024793386</v>
      </c>
      <c r="BN98" s="228">
        <f t="shared" ref="BN98" si="1010">IFERROR(BN97/BM97-1,"n/a ")</f>
        <v>9.2465753424657571E-2</v>
      </c>
      <c r="BO98" s="228">
        <f t="shared" ref="BO98" si="1011">IFERROR(BO97/BN97-1,"n/a ")</f>
        <v>0.74608150470219425</v>
      </c>
      <c r="BP98" s="228">
        <f t="shared" ref="BP98" si="1012">IFERROR(BP97/BO97-1,"n/a ")</f>
        <v>0.43626570915619389</v>
      </c>
    </row>
    <row r="99" spans="2:73" s="3" customFormat="1">
      <c r="B99" s="13" t="s">
        <v>115</v>
      </c>
      <c r="D99" s="228">
        <f t="shared" ref="D99:AQ99" si="1013">+D97/D12</f>
        <v>7.1736011477761832E-2</v>
      </c>
      <c r="E99" s="228">
        <f t="shared" si="1013"/>
        <v>7.9198511067991917E-2</v>
      </c>
      <c r="F99" s="228">
        <f t="shared" si="1013"/>
        <v>0.10689222475252126</v>
      </c>
      <c r="G99" s="228">
        <f t="shared" si="1013"/>
        <v>0.13206100366362786</v>
      </c>
      <c r="H99" s="228">
        <f t="shared" si="1013"/>
        <v>0.10488872674206494</v>
      </c>
      <c r="I99" s="228">
        <f t="shared" si="1013"/>
        <v>9.6801672732904825E-2</v>
      </c>
      <c r="J99" s="228">
        <f t="shared" si="1013"/>
        <v>9.0470446320868522E-2</v>
      </c>
      <c r="K99" s="228">
        <f t="shared" si="1013"/>
        <v>0.12888107791446984</v>
      </c>
      <c r="L99" s="228">
        <f t="shared" si="1013"/>
        <v>0.11003341755644307</v>
      </c>
      <c r="M99" s="228">
        <f t="shared" si="1013"/>
        <v>0.11411577564146898</v>
      </c>
      <c r="N99" s="228">
        <f t="shared" si="1013"/>
        <v>0.13050449308326187</v>
      </c>
      <c r="O99" s="228">
        <f t="shared" si="1013"/>
        <v>0.13628053847432275</v>
      </c>
      <c r="P99" s="228">
        <f t="shared" si="1013"/>
        <v>0.14784761380827946</v>
      </c>
      <c r="Q99" s="228">
        <f t="shared" si="1013"/>
        <v>0.12010717255397124</v>
      </c>
      <c r="R99" s="228">
        <f t="shared" si="1013"/>
        <v>0.11121651238101468</v>
      </c>
      <c r="S99" s="228">
        <f t="shared" si="1013"/>
        <v>0.15719073464424474</v>
      </c>
      <c r="T99" s="228">
        <f t="shared" si="1013"/>
        <v>0.14521252458024506</v>
      </c>
      <c r="U99" s="228">
        <f t="shared" si="1013"/>
        <v>0.12193139326938709</v>
      </c>
      <c r="V99" s="228">
        <f t="shared" si="1013"/>
        <v>0.11136175437594587</v>
      </c>
      <c r="W99" s="236">
        <f t="shared" si="1013"/>
        <v>0.15249914547892621</v>
      </c>
      <c r="X99" s="228">
        <f t="shared" si="1013"/>
        <v>0.14803251332292619</v>
      </c>
      <c r="Y99" s="228">
        <f t="shared" si="1013"/>
        <v>0.12535982913919583</v>
      </c>
      <c r="Z99" s="228">
        <f t="shared" si="1013"/>
        <v>0.14386419220256078</v>
      </c>
      <c r="AA99" s="228">
        <f t="shared" si="1013"/>
        <v>0.15817299358641013</v>
      </c>
      <c r="AB99" s="228">
        <f t="shared" si="1013"/>
        <v>0.1632941280314231</v>
      </c>
      <c r="AC99" s="228">
        <f t="shared" si="1013"/>
        <v>0.13145685122177544</v>
      </c>
      <c r="AD99" s="228">
        <f t="shared" si="1013"/>
        <v>0.12763371150729336</v>
      </c>
      <c r="AE99" s="228">
        <f t="shared" si="1013"/>
        <v>0.16774317940807867</v>
      </c>
      <c r="AF99" s="228">
        <f t="shared" si="1013"/>
        <v>0.13167870396233192</v>
      </c>
      <c r="AG99" s="228">
        <f t="shared" si="1013"/>
        <v>0.12891728439532107</v>
      </c>
      <c r="AH99" s="228">
        <f t="shared" si="1013"/>
        <v>0.14756796639990918</v>
      </c>
      <c r="AI99" s="228">
        <f t="shared" si="1013"/>
        <v>0.19042873160227092</v>
      </c>
      <c r="AJ99" s="228">
        <f t="shared" si="1013"/>
        <v>0.1981704619848895</v>
      </c>
      <c r="AK99" s="228">
        <f t="shared" si="1013"/>
        <v>0.18542405675588519</v>
      </c>
      <c r="AL99" s="228">
        <f t="shared" si="1013"/>
        <v>0.22632480843221572</v>
      </c>
      <c r="AM99" s="228">
        <f t="shared" ref="AM99" si="1014">+AM97/AM12</f>
        <v>0.29354056267091011</v>
      </c>
      <c r="AN99" s="228">
        <f t="shared" si="1013"/>
        <v>0.30624743854279496</v>
      </c>
      <c r="AO99" s="228">
        <f t="shared" si="1013"/>
        <v>0.2850830776845053</v>
      </c>
      <c r="AP99" s="228">
        <f t="shared" si="1013"/>
        <v>0.28146949817977918</v>
      </c>
      <c r="AQ99" s="228">
        <f t="shared" si="1013"/>
        <v>0.2677572129070479</v>
      </c>
      <c r="AR99" s="228"/>
      <c r="AS99" s="228">
        <f t="shared" ref="AS99:BE99" si="1015">+AS97/AS12</f>
        <v>2.0408163265306121E-2</v>
      </c>
      <c r="AT99" s="228">
        <f t="shared" si="1015"/>
        <v>3.5635246827153244E-2</v>
      </c>
      <c r="AU99" s="228">
        <f t="shared" si="1015"/>
        <v>4.4286217284143815E-2</v>
      </c>
      <c r="AV99" s="228">
        <f t="shared" si="1015"/>
        <v>5.2664680569347901E-2</v>
      </c>
      <c r="AW99" s="228">
        <f t="shared" si="1015"/>
        <v>5.3373718705614595E-2</v>
      </c>
      <c r="AX99" s="228">
        <f t="shared" si="1015"/>
        <v>3.1640099865565582E-2</v>
      </c>
      <c r="AY99" s="228">
        <f t="shared" si="1015"/>
        <v>3.3670274366269674E-2</v>
      </c>
      <c r="AZ99" s="228">
        <f t="shared" si="1015"/>
        <v>3.1265683707933749E-2</v>
      </c>
      <c r="BA99" s="228">
        <f t="shared" si="1015"/>
        <v>5.4682783336972858E-2</v>
      </c>
      <c r="BB99" s="228">
        <f t="shared" si="1015"/>
        <v>6.3167229048863904E-2</v>
      </c>
      <c r="BC99" s="228">
        <f t="shared" si="1015"/>
        <v>6.3517845693524255E-2</v>
      </c>
      <c r="BD99" s="228">
        <f t="shared" si="1015"/>
        <v>0.10431317393342709</v>
      </c>
      <c r="BE99" s="228">
        <f t="shared" si="1015"/>
        <v>0.11339633129516398</v>
      </c>
      <c r="BF99" s="228"/>
      <c r="BG99" s="228">
        <f t="shared" ref="BG99:BP99" si="1016">+BG97/BG12</f>
        <v>9.7636966013559465E-2</v>
      </c>
      <c r="BH99" s="228">
        <f t="shared" si="1016"/>
        <v>0.10562177051081588</v>
      </c>
      <c r="BI99" s="228">
        <f t="shared" si="1016"/>
        <v>0.12323305545487495</v>
      </c>
      <c r="BJ99" s="228">
        <f t="shared" si="1016"/>
        <v>0.13429431911190928</v>
      </c>
      <c r="BK99" s="228">
        <f t="shared" si="1016"/>
        <v>0.13285319721707514</v>
      </c>
      <c r="BL99" s="228">
        <f t="shared" si="1016"/>
        <v>0.14397220503545763</v>
      </c>
      <c r="BM99" s="228">
        <f t="shared" si="1016"/>
        <v>0.14727391940283452</v>
      </c>
      <c r="BN99" s="228">
        <f t="shared" si="1016"/>
        <v>0.15053205294575656</v>
      </c>
      <c r="BO99" s="228">
        <f t="shared" si="1016"/>
        <v>0.22723378562511728</v>
      </c>
      <c r="BP99" s="228">
        <f t="shared" si="1016"/>
        <v>0.28448303631337463</v>
      </c>
    </row>
    <row r="100" spans="2:73">
      <c r="W100" s="1065"/>
    </row>
    <row r="101" spans="2:73">
      <c r="B101" s="843" t="s">
        <v>307</v>
      </c>
      <c r="D101" s="8">
        <f t="shared" ref="D101:AQ101" si="1017">+D86-D97</f>
        <v>6277</v>
      </c>
      <c r="E101" s="8">
        <f t="shared" si="1017"/>
        <v>7033</v>
      </c>
      <c r="F101" s="8">
        <f t="shared" si="1017"/>
        <v>5684</v>
      </c>
      <c r="G101" s="8">
        <f t="shared" si="1017"/>
        <v>5916</v>
      </c>
      <c r="H101" s="8">
        <f t="shared" si="1017"/>
        <v>6231</v>
      </c>
      <c r="I101" s="8">
        <f t="shared" si="1017"/>
        <v>7571</v>
      </c>
      <c r="J101" s="8">
        <f t="shared" si="1017"/>
        <v>7076</v>
      </c>
      <c r="K101" s="8">
        <f t="shared" si="1017"/>
        <v>7031</v>
      </c>
      <c r="L101" s="8">
        <f t="shared" si="1017"/>
        <v>7507</v>
      </c>
      <c r="M101" s="8">
        <f t="shared" si="1017"/>
        <v>7915</v>
      </c>
      <c r="N101" s="8">
        <f t="shared" si="1017"/>
        <v>7502</v>
      </c>
      <c r="O101" s="8">
        <f t="shared" si="1017"/>
        <v>8795</v>
      </c>
      <c r="P101" s="8">
        <f t="shared" si="1017"/>
        <v>8492</v>
      </c>
      <c r="Q101" s="8">
        <f t="shared" si="1017"/>
        <v>9353</v>
      </c>
      <c r="R101" s="8">
        <f t="shared" si="1017"/>
        <v>9867</v>
      </c>
      <c r="S101" s="8">
        <f t="shared" si="1017"/>
        <v>10029</v>
      </c>
      <c r="T101" s="8">
        <f t="shared" si="1017"/>
        <v>10857</v>
      </c>
      <c r="U101" s="8">
        <f t="shared" si="1017"/>
        <v>12594</v>
      </c>
      <c r="V101" s="8">
        <f t="shared" si="1017"/>
        <v>12193</v>
      </c>
      <c r="W101" s="1056">
        <f t="shared" si="1017"/>
        <v>11111</v>
      </c>
      <c r="X101" s="8">
        <f t="shared" si="1017"/>
        <v>13021</v>
      </c>
      <c r="Y101" s="8">
        <f t="shared" si="1017"/>
        <v>15258</v>
      </c>
      <c r="Z101" s="8">
        <f t="shared" si="1017"/>
        <v>13984</v>
      </c>
      <c r="AA101" s="8">
        <f t="shared" si="1017"/>
        <v>15139</v>
      </c>
      <c r="AB101" s="8">
        <f t="shared" si="1017"/>
        <v>16050</v>
      </c>
      <c r="AC101" s="8">
        <f t="shared" si="1017"/>
        <v>18943</v>
      </c>
      <c r="AD101" s="8">
        <f t="shared" si="1017"/>
        <v>17837</v>
      </c>
      <c r="AE101" s="8">
        <f t="shared" si="1017"/>
        <v>15813</v>
      </c>
      <c r="AF101" s="8">
        <f t="shared" si="1017"/>
        <v>17708</v>
      </c>
      <c r="AG101" s="8">
        <f t="shared" si="1017"/>
        <v>18418</v>
      </c>
      <c r="AH101" s="8">
        <f t="shared" si="1017"/>
        <v>18101</v>
      </c>
      <c r="AI101" s="11">
        <f t="shared" si="1017"/>
        <v>17428</v>
      </c>
      <c r="AJ101" s="11">
        <f t="shared" si="1017"/>
        <v>19616</v>
      </c>
      <c r="AK101" s="8">
        <f t="shared" si="1017"/>
        <v>22121</v>
      </c>
      <c r="AL101" s="8">
        <f t="shared" ref="AL101" si="1018">+AL86-AL97</f>
        <v>19878</v>
      </c>
      <c r="AM101" s="8">
        <f t="shared" si="1017"/>
        <v>15555</v>
      </c>
      <c r="AN101" s="8">
        <f t="shared" si="1017"/>
        <v>17967.97845535243</v>
      </c>
      <c r="AO101" s="8">
        <f t="shared" si="1017"/>
        <v>19906.263739078626</v>
      </c>
      <c r="AP101" s="8">
        <f t="shared" si="1017"/>
        <v>21131.814371149056</v>
      </c>
      <c r="AQ101" s="8">
        <f t="shared" si="1017"/>
        <v>22087.408672159065</v>
      </c>
      <c r="AS101" s="8">
        <f t="shared" ref="AS101:BE101" si="1019">+AS86-AS97</f>
        <v>14619</v>
      </c>
      <c r="AT101" s="8">
        <f t="shared" si="1019"/>
        <v>15705</v>
      </c>
      <c r="AU101" s="8">
        <f t="shared" si="1019"/>
        <v>17614</v>
      </c>
      <c r="AV101" s="8">
        <f t="shared" si="1019"/>
        <v>21145</v>
      </c>
      <c r="AW101" s="8">
        <f t="shared" si="1019"/>
        <v>19806</v>
      </c>
      <c r="AX101" s="8">
        <f t="shared" si="1019"/>
        <v>24794</v>
      </c>
      <c r="AY101" s="8">
        <f t="shared" si="1019"/>
        <v>27572</v>
      </c>
      <c r="AZ101" s="8">
        <f t="shared" si="1019"/>
        <v>29158</v>
      </c>
      <c r="BA101" s="8">
        <f t="shared" si="1019"/>
        <v>26455</v>
      </c>
      <c r="BB101" s="8">
        <f t="shared" si="1019"/>
        <v>27613</v>
      </c>
      <c r="BC101" s="8">
        <f t="shared" si="1019"/>
        <v>28185</v>
      </c>
      <c r="BD101" s="8">
        <f t="shared" si="1019"/>
        <v>25657</v>
      </c>
      <c r="BE101" s="8">
        <f t="shared" si="1019"/>
        <v>27917</v>
      </c>
      <c r="BG101" s="8">
        <f t="shared" ref="BG101:BP101" si="1020">+BG86-BG97</f>
        <v>24910</v>
      </c>
      <c r="BH101" s="8">
        <f t="shared" si="1020"/>
        <v>27909</v>
      </c>
      <c r="BI101" s="8">
        <f t="shared" si="1020"/>
        <v>31719</v>
      </c>
      <c r="BJ101" s="8">
        <f t="shared" si="1020"/>
        <v>37741</v>
      </c>
      <c r="BK101" s="11">
        <f t="shared" si="1020"/>
        <v>46755</v>
      </c>
      <c r="BL101" s="11">
        <f t="shared" si="1020"/>
        <v>57402</v>
      </c>
      <c r="BM101" s="11">
        <f t="shared" si="1020"/>
        <v>68643</v>
      </c>
      <c r="BN101" s="11">
        <f t="shared" si="1020"/>
        <v>71655</v>
      </c>
      <c r="BO101" s="11">
        <f t="shared" si="1020"/>
        <v>77170</v>
      </c>
      <c r="BP101" s="11">
        <f t="shared" si="1020"/>
        <v>81093.465237739176</v>
      </c>
      <c r="BR101" s="8">
        <f>+SUM(Z101:AC101)</f>
        <v>64116</v>
      </c>
      <c r="BS101" s="8">
        <f>+SUM(AD101:AG101)</f>
        <v>69776</v>
      </c>
      <c r="BT101" s="8">
        <f>+SUM(AH101:AK101)</f>
        <v>77266</v>
      </c>
      <c r="BU101" s="8">
        <f>+SUM(AL101:AO101)</f>
        <v>73307.242194431048</v>
      </c>
    </row>
    <row r="102" spans="2:73" s="3" customFormat="1">
      <c r="B102" s="13" t="s">
        <v>113</v>
      </c>
      <c r="D102" s="228"/>
      <c r="E102" s="228"/>
      <c r="F102" s="228"/>
      <c r="G102" s="228"/>
      <c r="H102" s="228">
        <f>IFERROR(H101/D101-1,"n/a ")</f>
        <v>-7.3283415644416205E-3</v>
      </c>
      <c r="I102" s="228">
        <f t="shared" ref="I102" si="1021">IFERROR(I101/E101-1,"n/a ")</f>
        <v>7.6496516422579264E-2</v>
      </c>
      <c r="J102" s="228">
        <f t="shared" ref="J102" si="1022">IFERROR(J101/F101-1,"n/a ")</f>
        <v>0.24489795918367352</v>
      </c>
      <c r="K102" s="228">
        <f t="shared" ref="K102" si="1023">IFERROR(K101/G101-1,"n/a ")</f>
        <v>0.18847194050033811</v>
      </c>
      <c r="L102" s="228">
        <f t="shared" ref="L102" si="1024">IFERROR(L101/H101-1,"n/a ")</f>
        <v>0.20478253891831177</v>
      </c>
      <c r="M102" s="228">
        <f t="shared" ref="M102" si="1025">IFERROR(M101/I101-1,"n/a ")</f>
        <v>4.5436534143442175E-2</v>
      </c>
      <c r="N102" s="228">
        <f t="shared" ref="N102" si="1026">IFERROR(N101/J101-1,"n/a ")</f>
        <v>6.0203504804974495E-2</v>
      </c>
      <c r="O102" s="228">
        <f t="shared" ref="O102" si="1027">IFERROR(O101/K101-1,"n/a ")</f>
        <v>0.25088892049495093</v>
      </c>
      <c r="P102" s="228">
        <f t="shared" ref="P102" si="1028">IFERROR(P101/L101-1,"n/a ")</f>
        <v>0.13121086985480224</v>
      </c>
      <c r="Q102" s="228">
        <f t="shared" ref="Q102" si="1029">IFERROR(Q101/M101-1,"n/a ")</f>
        <v>0.18168035375868596</v>
      </c>
      <c r="R102" s="228">
        <f t="shared" ref="R102" si="1030">IFERROR(R101/N101-1,"n/a ")</f>
        <v>0.31524926686217003</v>
      </c>
      <c r="S102" s="228">
        <f t="shared" ref="S102" si="1031">IFERROR(S101/O101-1,"n/a ")</f>
        <v>0.14030699260943713</v>
      </c>
      <c r="T102" s="228">
        <f t="shared" ref="T102" si="1032">IFERROR(T101/P101-1,"n/a ")</f>
        <v>0.27849740932642497</v>
      </c>
      <c r="U102" s="228">
        <f t="shared" ref="U102" si="1033">IFERROR(U101/Q101-1,"n/a ")</f>
        <v>0.34651983320859614</v>
      </c>
      <c r="V102" s="228">
        <f t="shared" ref="V102" si="1034">IFERROR(V101/R101-1,"n/a ")</f>
        <v>0.23573527921354009</v>
      </c>
      <c r="W102" s="236">
        <f t="shared" ref="W102" si="1035">IFERROR(W101/S101-1,"n/a ")</f>
        <v>0.10788712733074091</v>
      </c>
      <c r="X102" s="228">
        <f t="shared" ref="X102" si="1036">IFERROR(X101/T101-1,"n/a ")</f>
        <v>0.19931841208436962</v>
      </c>
      <c r="Y102" s="228">
        <f t="shared" ref="Y102" si="1037">IFERROR(Y101/U101-1,"n/a ")</f>
        <v>0.21152929966650791</v>
      </c>
      <c r="Z102" s="228">
        <f t="shared" ref="Z102" si="1038">IFERROR(Z101/V101-1,"n/a ")</f>
        <v>0.14688755843516765</v>
      </c>
      <c r="AA102" s="228">
        <f t="shared" ref="AA102" si="1039">IFERROR(AA101/W101-1,"n/a ")</f>
        <v>0.36252362523625226</v>
      </c>
      <c r="AB102" s="228">
        <f t="shared" ref="AB102" si="1040">IFERROR(AB101/X101-1,"n/a ")</f>
        <v>0.23262422240995306</v>
      </c>
      <c r="AC102" s="228">
        <f t="shared" ref="AC102" si="1041">IFERROR(AC101/Y101-1,"n/a ")</f>
        <v>0.24151264910211045</v>
      </c>
      <c r="AD102" s="228">
        <f t="shared" ref="AD102" si="1042">IFERROR(AD101/Z101-1,"n/a ")</f>
        <v>0.27552917620137296</v>
      </c>
      <c r="AE102" s="228">
        <f t="shared" ref="AE102" si="1043">IFERROR(AE101/AA101-1,"n/a ")</f>
        <v>4.4520774159455767E-2</v>
      </c>
      <c r="AF102" s="228">
        <f t="shared" ref="AF102" si="1044">IFERROR(AF101/AB101-1,"n/a ")</f>
        <v>0.10330218068535824</v>
      </c>
      <c r="AG102" s="228">
        <f t="shared" ref="AG102" si="1045">IFERROR(AG101/AC101-1,"n/a ")</f>
        <v>-2.7714723116718631E-2</v>
      </c>
      <c r="AH102" s="228">
        <f t="shared" ref="AH102" si="1046">IFERROR(AH101/AD101-1,"n/a ")</f>
        <v>1.4800695184167711E-2</v>
      </c>
      <c r="AI102" s="228">
        <f t="shared" ref="AI102" si="1047">IFERROR(AI101/AE101-1,"n/a ")</f>
        <v>0.10213115790805039</v>
      </c>
      <c r="AJ102" s="228">
        <f t="shared" ref="AJ102" si="1048">IFERROR(AJ101/AF101-1,"n/a ")</f>
        <v>0.10774791054890454</v>
      </c>
      <c r="AK102" s="228">
        <f t="shared" ref="AK102" si="1049">IFERROR(AK101/AG101-1,"n/a ")</f>
        <v>0.20105331740688448</v>
      </c>
      <c r="AL102" s="228">
        <f t="shared" ref="AL102" si="1050">IFERROR(AL101/AH101-1,"n/a ")</f>
        <v>9.8171371747417302E-2</v>
      </c>
      <c r="AM102" s="228">
        <f t="shared" ref="AM102" si="1051">IFERROR(AM101/AI101-1,"n/a ")</f>
        <v>-0.10747073674546703</v>
      </c>
      <c r="AN102" s="228">
        <f t="shared" ref="AN102" si="1052">IFERROR(AN101/AJ101-1,"n/a ")</f>
        <v>-8.4014148891087381E-2</v>
      </c>
      <c r="AO102" s="228">
        <f t="shared" ref="AO102" si="1053">IFERROR(AO101/AK101-1,"n/a ")</f>
        <v>-0.1001191745816814</v>
      </c>
      <c r="AP102" s="228">
        <f t="shared" ref="AP102" si="1054">IFERROR(AP101/AL101-1,"n/a ")</f>
        <v>6.3075478979226052E-2</v>
      </c>
      <c r="AQ102" s="228">
        <f t="shared" ref="AQ102" si="1055">IFERROR(AQ101/AM101-1,"n/a ")</f>
        <v>0.41995555590865097</v>
      </c>
      <c r="AR102" s="228"/>
      <c r="AS102" s="228"/>
      <c r="AT102" s="228">
        <f>IFERROR(AT101/AS101-1,"n/a ")</f>
        <v>7.4286886927970475E-2</v>
      </c>
      <c r="AU102" s="228">
        <f t="shared" ref="AU102" si="1056">IFERROR(AU101/AT101-1,"n/a ")</f>
        <v>0.12155364533588031</v>
      </c>
      <c r="AV102" s="228">
        <f t="shared" ref="AV102" si="1057">IFERROR(AV101/AU101-1,"n/a ")</f>
        <v>0.20046553877597373</v>
      </c>
      <c r="AW102" s="228">
        <f t="shared" ref="AW102" si="1058">IFERROR(AW101/AV101-1,"n/a ")</f>
        <v>-6.3324663040908002E-2</v>
      </c>
      <c r="AX102" s="228">
        <f t="shared" ref="AX102" si="1059">IFERROR(AX101/AW101-1,"n/a ")</f>
        <v>0.25184287589619303</v>
      </c>
      <c r="AY102" s="228">
        <f t="shared" ref="AY102" si="1060">IFERROR(AY101/AX101-1,"n/a ")</f>
        <v>0.11204323626683865</v>
      </c>
      <c r="AZ102" s="228">
        <f t="shared" ref="AZ102" si="1061">IFERROR(AZ101/AY101-1,"n/a ")</f>
        <v>5.7522123893805288E-2</v>
      </c>
      <c r="BA102" s="228">
        <f t="shared" ref="BA102" si="1062">IFERROR(BA101/AZ101-1,"n/a ")</f>
        <v>-9.2701831401330703E-2</v>
      </c>
      <c r="BB102" s="228">
        <f t="shared" ref="BB102" si="1063">IFERROR(BB101/BA101-1,"n/a ")</f>
        <v>4.3772443772443825E-2</v>
      </c>
      <c r="BC102" s="228">
        <f t="shared" ref="BC102" si="1064">IFERROR(BC101/BB101-1,"n/a ")</f>
        <v>2.0714880672147107E-2</v>
      </c>
      <c r="BD102" s="228">
        <f t="shared" ref="BD102" si="1065">IFERROR(BD101/BC101-1,"n/a ")</f>
        <v>-8.9693099166223145E-2</v>
      </c>
      <c r="BE102" s="228">
        <f t="shared" ref="BE102" si="1066">IFERROR(BE101/BD101-1,"n/a ")</f>
        <v>8.8085122968390772E-2</v>
      </c>
      <c r="BF102" s="228"/>
      <c r="BG102" s="829">
        <f t="shared" ref="BG102" si="1067">+BD102</f>
        <v>-8.9693099166223145E-2</v>
      </c>
      <c r="BH102" s="228">
        <f t="shared" ref="BH102" si="1068">IFERROR(BH101/BG101-1,"n/a ")</f>
        <v>0.12039341629867528</v>
      </c>
      <c r="BI102" s="228">
        <f t="shared" ref="BI102" si="1069">IFERROR(BI101/BH101-1,"n/a ")</f>
        <v>0.13651510265505751</v>
      </c>
      <c r="BJ102" s="228">
        <f t="shared" ref="BJ102" si="1070">IFERROR(BJ101/BI101-1,"n/a ")</f>
        <v>0.18985466124404926</v>
      </c>
      <c r="BK102" s="228">
        <f t="shared" ref="BK102" si="1071">IFERROR(BK101/BJ101-1,"n/a ")</f>
        <v>0.23883839855859668</v>
      </c>
      <c r="BL102" s="228">
        <f t="shared" ref="BL102" si="1072">IFERROR(BL101/BK101-1,"n/a ")</f>
        <v>0.22771896053897978</v>
      </c>
      <c r="BM102" s="228">
        <f t="shared" ref="BM102" si="1073">IFERROR(BM101/BL101-1,"n/a ")</f>
        <v>0.19582941360928197</v>
      </c>
      <c r="BN102" s="228">
        <f t="shared" ref="BN102" si="1074">IFERROR(BN101/BM101-1,"n/a ")</f>
        <v>4.3879201083868669E-2</v>
      </c>
      <c r="BO102" s="228">
        <f t="shared" ref="BO102" si="1075">IFERROR(BO101/BN101-1,"n/a ")</f>
        <v>7.6966017723815394E-2</v>
      </c>
      <c r="BP102" s="228">
        <f t="shared" ref="BP102" si="1076">IFERROR(BP101/BO101-1,"n/a ")</f>
        <v>5.0841845765701388E-2</v>
      </c>
    </row>
    <row r="103" spans="2:73" s="3" customFormat="1">
      <c r="B103" s="13" t="s">
        <v>115</v>
      </c>
      <c r="D103" s="228">
        <f t="shared" ref="D103:AQ103" si="1077">+D101/D12</f>
        <v>0.30019129603060735</v>
      </c>
      <c r="E103" s="228">
        <f t="shared" si="1077"/>
        <v>0.27850156417059357</v>
      </c>
      <c r="F103" s="228">
        <f t="shared" si="1077"/>
        <v>0.26416321977970908</v>
      </c>
      <c r="G103" s="228">
        <f t="shared" si="1077"/>
        <v>0.25202351537871687</v>
      </c>
      <c r="H103" s="228">
        <f t="shared" si="1077"/>
        <v>0.28415724188252461</v>
      </c>
      <c r="I103" s="228">
        <f t="shared" si="1077"/>
        <v>0.293154185704329</v>
      </c>
      <c r="J103" s="228">
        <f t="shared" si="1077"/>
        <v>0.30484232293641222</v>
      </c>
      <c r="K103" s="228">
        <f t="shared" si="1077"/>
        <v>0.27459480570201134</v>
      </c>
      <c r="L103" s="228">
        <f t="shared" si="1077"/>
        <v>0.30593365392452521</v>
      </c>
      <c r="M103" s="228">
        <f t="shared" si="1077"/>
        <v>0.27370495884915969</v>
      </c>
      <c r="N103" s="228">
        <f t="shared" si="1077"/>
        <v>0.27972705917446589</v>
      </c>
      <c r="O103" s="228">
        <f t="shared" si="1077"/>
        <v>0.292338374605285</v>
      </c>
      <c r="P103" s="228">
        <f t="shared" si="1077"/>
        <v>0.291981845688351</v>
      </c>
      <c r="Q103" s="228">
        <f t="shared" si="1077"/>
        <v>0.28804163715315206</v>
      </c>
      <c r="R103" s="228">
        <f t="shared" si="1077"/>
        <v>0.32275686107749174</v>
      </c>
      <c r="S103" s="228">
        <f t="shared" si="1077"/>
        <v>0.29744639202776046</v>
      </c>
      <c r="T103" s="228">
        <f t="shared" si="1077"/>
        <v>0.32845257903494174</v>
      </c>
      <c r="U103" s="228">
        <f t="shared" si="1077"/>
        <v>0.34124532596325802</v>
      </c>
      <c r="V103" s="228">
        <f t="shared" si="1077"/>
        <v>0.34816253105279688</v>
      </c>
      <c r="W103" s="236">
        <f t="shared" si="1077"/>
        <v>0.2921410354166119</v>
      </c>
      <c r="X103" s="228">
        <f t="shared" si="1077"/>
        <v>0.35046024654142222</v>
      </c>
      <c r="Y103" s="228">
        <f t="shared" si="1077"/>
        <v>0.35421116166775002</v>
      </c>
      <c r="Z103" s="228">
        <f t="shared" si="1077"/>
        <v>0.33529947729343501</v>
      </c>
      <c r="AA103" s="228">
        <f t="shared" si="1077"/>
        <v>0.328024787658173</v>
      </c>
      <c r="AB103" s="228">
        <f t="shared" si="1077"/>
        <v>0.35417172363572169</v>
      </c>
      <c r="AC103" s="228">
        <f t="shared" si="1077"/>
        <v>0.36620399010207239</v>
      </c>
      <c r="AD103" s="228">
        <f t="shared" si="1077"/>
        <v>0.36136547811993519</v>
      </c>
      <c r="AE103" s="228">
        <f t="shared" si="1077"/>
        <v>0.30488768919309744</v>
      </c>
      <c r="AF103" s="228">
        <f t="shared" si="1077"/>
        <v>0.35329795299469297</v>
      </c>
      <c r="AG103" s="228">
        <f t="shared" si="1077"/>
        <v>0.34917625646956224</v>
      </c>
      <c r="AH103" s="228">
        <f t="shared" si="1077"/>
        <v>0.34245227689804569</v>
      </c>
      <c r="AI103" s="228">
        <f t="shared" si="1077"/>
        <v>0.31016747050134369</v>
      </c>
      <c r="AJ103" s="228">
        <f t="shared" si="1077"/>
        <v>0.34708140913353502</v>
      </c>
      <c r="AK103" s="228">
        <f t="shared" si="1077"/>
        <v>0.35667526604321187</v>
      </c>
      <c r="AL103" s="228">
        <f t="shared" si="1077"/>
        <v>0.32134889585825599</v>
      </c>
      <c r="AM103" s="228">
        <f t="shared" si="1077"/>
        <v>0.24031702380768458</v>
      </c>
      <c r="AN103" s="228">
        <f t="shared" si="1077"/>
        <v>0.27513236888719034</v>
      </c>
      <c r="AO103" s="228">
        <f t="shared" si="1077"/>
        <v>0.28374694659680016</v>
      </c>
      <c r="AP103" s="228">
        <f t="shared" si="1077"/>
        <v>0.29739805933377855</v>
      </c>
      <c r="AQ103" s="228">
        <f t="shared" si="1077"/>
        <v>0.29570314931981351</v>
      </c>
      <c r="AR103" s="228"/>
      <c r="AS103" s="228">
        <f t="shared" ref="AS103:BE103" si="1078">+AS101/AS12</f>
        <v>0.36742233839348548</v>
      </c>
      <c r="AT103" s="228">
        <f t="shared" si="1078"/>
        <v>0.35465877783297955</v>
      </c>
      <c r="AU103" s="228">
        <f t="shared" si="1078"/>
        <v>0.34454833535464185</v>
      </c>
      <c r="AV103" s="228">
        <f t="shared" si="1078"/>
        <v>0.34996689837802053</v>
      </c>
      <c r="AW103" s="228">
        <f t="shared" si="1078"/>
        <v>0.33892910313671132</v>
      </c>
      <c r="AX103" s="228">
        <f t="shared" si="1078"/>
        <v>0.39680558222905066</v>
      </c>
      <c r="AY103" s="228">
        <f t="shared" si="1078"/>
        <v>0.394206711179103</v>
      </c>
      <c r="AZ103" s="228">
        <f t="shared" si="1078"/>
        <v>0.39550750783337629</v>
      </c>
      <c r="BA103" s="228">
        <f t="shared" si="1078"/>
        <v>0.33982453210702773</v>
      </c>
      <c r="BB103" s="228">
        <f t="shared" si="1078"/>
        <v>0.31800122073405274</v>
      </c>
      <c r="BC103" s="228">
        <f t="shared" si="1078"/>
        <v>0.30118615088694167</v>
      </c>
      <c r="BD103" s="228">
        <f t="shared" si="1078"/>
        <v>0.30071495546179089</v>
      </c>
      <c r="BE103" s="228">
        <f t="shared" si="1078"/>
        <v>0.31036131183991106</v>
      </c>
      <c r="BF103" s="228"/>
      <c r="BG103" s="228">
        <f t="shared" ref="BG103:BP103" si="1079">+BG101/BG12</f>
        <v>0.27327380038177151</v>
      </c>
      <c r="BH103" s="228">
        <f t="shared" si="1079"/>
        <v>0.28899980325356472</v>
      </c>
      <c r="BI103" s="228">
        <f t="shared" si="1079"/>
        <v>0.28741391808626315</v>
      </c>
      <c r="BJ103" s="228">
        <f t="shared" si="1079"/>
        <v>0.29990543772796263</v>
      </c>
      <c r="BK103" s="228">
        <f t="shared" si="1079"/>
        <v>0.32692374925707096</v>
      </c>
      <c r="BL103" s="228">
        <f t="shared" si="1079"/>
        <v>0.3414996906382371</v>
      </c>
      <c r="BM103" s="228">
        <f t="shared" si="1079"/>
        <v>0.34620971402632772</v>
      </c>
      <c r="BN103" s="228">
        <f t="shared" si="1079"/>
        <v>0.33813085435198076</v>
      </c>
      <c r="BO103" s="228">
        <f t="shared" si="1079"/>
        <v>0.31482282292083125</v>
      </c>
      <c r="BP103" s="228">
        <f t="shared" si="1079"/>
        <v>0.28837144020006422</v>
      </c>
      <c r="BR103" s="986">
        <f>+BR101/BR12</f>
        <v>0.34675478494129353</v>
      </c>
      <c r="BS103" s="986">
        <f>+BS101/BS12</f>
        <v>0.34188168197007263</v>
      </c>
      <c r="BT103" s="986">
        <f>+BT101/BT12</f>
        <v>0.33950690517305776</v>
      </c>
      <c r="BU103" s="986">
        <f>+BU101/BU12</f>
        <v>0.27974881657294576</v>
      </c>
    </row>
    <row r="104" spans="2:73" s="3" customFormat="1" hidden="1" outlineLevel="1">
      <c r="B104" s="13"/>
      <c r="D104" s="228"/>
      <c r="E104" s="228"/>
      <c r="F104" s="228"/>
      <c r="G104" s="228"/>
      <c r="H104" s="228"/>
      <c r="I104" s="228"/>
      <c r="J104" s="228"/>
      <c r="K104" s="228"/>
      <c r="L104" s="228"/>
      <c r="M104" s="228"/>
      <c r="N104" s="228"/>
      <c r="O104" s="228"/>
      <c r="P104" s="228"/>
      <c r="Q104" s="228"/>
      <c r="R104" s="228"/>
      <c r="S104" s="228"/>
      <c r="T104" s="228"/>
      <c r="U104" s="228"/>
      <c r="V104" s="228"/>
      <c r="W104" s="236"/>
      <c r="X104" s="228"/>
      <c r="Y104" s="228"/>
      <c r="Z104" s="22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2:73" hidden="1" outlineLevel="1">
      <c r="B105" s="24" t="s">
        <v>126</v>
      </c>
      <c r="W105" s="1065"/>
    </row>
    <row r="106" spans="2:73" s="3" customFormat="1" hidden="1" outlineLevel="1">
      <c r="B106" s="13" t="s">
        <v>308</v>
      </c>
      <c r="D106" s="14">
        <f t="shared" ref="D106:AQ106" si="1080">-D111/D19</f>
        <v>7.1736011477761832E-2</v>
      </c>
      <c r="E106" s="14">
        <f t="shared" si="1080"/>
        <v>7.9198511067991917E-2</v>
      </c>
      <c r="F106" s="14">
        <f t="shared" si="1080"/>
        <v>0.10689222475252126</v>
      </c>
      <c r="G106" s="14">
        <f t="shared" si="1080"/>
        <v>0.13206100366362786</v>
      </c>
      <c r="H106" s="14">
        <f t="shared" si="1080"/>
        <v>0.10488872674206494</v>
      </c>
      <c r="I106" s="14">
        <f t="shared" si="1080"/>
        <v>9.6801672732904825E-2</v>
      </c>
      <c r="J106" s="14">
        <f t="shared" si="1080"/>
        <v>9.0470446320868522E-2</v>
      </c>
      <c r="K106" s="14">
        <f t="shared" si="1080"/>
        <v>0.12888107791446984</v>
      </c>
      <c r="L106" s="14">
        <f t="shared" si="1080"/>
        <v>0.11003341755644307</v>
      </c>
      <c r="M106" s="14">
        <f t="shared" si="1080"/>
        <v>0.11411577564146898</v>
      </c>
      <c r="N106" s="14">
        <f t="shared" si="1080"/>
        <v>0.13050449308326187</v>
      </c>
      <c r="O106" s="14">
        <f t="shared" si="1080"/>
        <v>0.13628053847432275</v>
      </c>
      <c r="P106" s="14">
        <f t="shared" si="1080"/>
        <v>0.14784761380827946</v>
      </c>
      <c r="Q106" s="14">
        <f t="shared" si="1080"/>
        <v>0.12010717255397124</v>
      </c>
      <c r="R106" s="14">
        <f t="shared" si="1080"/>
        <v>0.11121651238101468</v>
      </c>
      <c r="S106" s="14">
        <f t="shared" si="1080"/>
        <v>0.15719073464424474</v>
      </c>
      <c r="T106" s="14">
        <f t="shared" si="1080"/>
        <v>0.14521252458024506</v>
      </c>
      <c r="U106" s="14">
        <f t="shared" si="1080"/>
        <v>0.12193139326938709</v>
      </c>
      <c r="V106" s="14">
        <f t="shared" si="1080"/>
        <v>0.11136175437594587</v>
      </c>
      <c r="W106" s="1202">
        <f t="shared" si="1080"/>
        <v>0.15249914547892621</v>
      </c>
      <c r="X106" s="14">
        <f t="shared" si="1080"/>
        <v>0.14803251332292619</v>
      </c>
      <c r="Y106" s="14">
        <f t="shared" si="1080"/>
        <v>0.12535982913919583</v>
      </c>
      <c r="Z106" s="14">
        <f t="shared" si="1080"/>
        <v>0.14386419220256078</v>
      </c>
      <c r="AA106" s="14">
        <f t="shared" si="1080"/>
        <v>0.15817299358641013</v>
      </c>
      <c r="AB106" s="14">
        <f t="shared" si="1080"/>
        <v>0.1632941280314231</v>
      </c>
      <c r="AC106" s="14">
        <f t="shared" si="1080"/>
        <v>0.13145685122177544</v>
      </c>
      <c r="AD106" s="14">
        <f t="shared" si="1080"/>
        <v>0.12763371150729336</v>
      </c>
      <c r="AE106" s="14">
        <f t="shared" si="1080"/>
        <v>0.16774317940807867</v>
      </c>
      <c r="AF106" s="890">
        <f t="shared" si="1080"/>
        <v>0.13167870396233192</v>
      </c>
      <c r="AG106" s="890">
        <f t="shared" si="1080"/>
        <v>0.12891728439532107</v>
      </c>
      <c r="AH106" s="14">
        <f t="shared" si="1080"/>
        <v>0.14756796639990918</v>
      </c>
      <c r="AI106" s="14">
        <f t="shared" si="1080"/>
        <v>0.19042873160227092</v>
      </c>
      <c r="AJ106" s="14">
        <f t="shared" si="1080"/>
        <v>0.1981704619848895</v>
      </c>
      <c r="AK106" s="14">
        <f t="shared" si="1080"/>
        <v>0.18542405675588519</v>
      </c>
      <c r="AL106" s="14">
        <f t="shared" si="1080"/>
        <v>0.22632480843221572</v>
      </c>
      <c r="AM106" s="14">
        <f t="shared" ref="AM106" si="1081">-AM111/AM19</f>
        <v>0.29354056267091011</v>
      </c>
      <c r="AN106" s="851">
        <f t="shared" si="1080"/>
        <v>0.30624743854279496</v>
      </c>
      <c r="AO106" s="851">
        <f t="shared" si="1080"/>
        <v>0.2850830776845053</v>
      </c>
      <c r="AP106" s="851">
        <f t="shared" si="1080"/>
        <v>0.28146949817977918</v>
      </c>
      <c r="AQ106" s="851">
        <f t="shared" si="1080"/>
        <v>0.2677572129070479</v>
      </c>
      <c r="AS106" s="14">
        <f t="shared" ref="AS106:BE106" si="1082">-AS111/AS19</f>
        <v>2.0408163265306121E-2</v>
      </c>
      <c r="AT106" s="14">
        <f t="shared" si="1082"/>
        <v>3.5635246827153244E-2</v>
      </c>
      <c r="AU106" s="14">
        <f t="shared" si="1082"/>
        <v>4.4286217284143815E-2</v>
      </c>
      <c r="AV106" s="14">
        <f t="shared" si="1082"/>
        <v>5.2664680569347901E-2</v>
      </c>
      <c r="AW106" s="14">
        <f t="shared" si="1082"/>
        <v>5.3373718705614595E-2</v>
      </c>
      <c r="AX106" s="14">
        <f t="shared" si="1082"/>
        <v>3.1640099865565582E-2</v>
      </c>
      <c r="AY106" s="14">
        <f t="shared" si="1082"/>
        <v>3.3670274366269674E-2</v>
      </c>
      <c r="AZ106" s="14">
        <f t="shared" si="1082"/>
        <v>3.1038336722190054E-2</v>
      </c>
      <c r="BA106" s="14">
        <f t="shared" si="1082"/>
        <v>5.5064740198424507E-2</v>
      </c>
      <c r="BB106" s="14">
        <f t="shared" si="1082"/>
        <v>6.3167229048863904E-2</v>
      </c>
      <c r="BC106" s="14">
        <f t="shared" si="1082"/>
        <v>6.3517845693524255E-2</v>
      </c>
      <c r="BD106" s="14">
        <f t="shared" si="1082"/>
        <v>9.677805204266933E-2</v>
      </c>
      <c r="BE106" s="14">
        <f t="shared" si="1082"/>
        <v>0.10552779415872622</v>
      </c>
      <c r="BG106" s="14">
        <f t="shared" ref="BG106:BP106" si="1083">-BG111/BG19</f>
        <v>9.7636966013559465E-2</v>
      </c>
      <c r="BH106" s="14">
        <f t="shared" si="1083"/>
        <v>0.10562177051081588</v>
      </c>
      <c r="BI106" s="14">
        <f t="shared" si="1083"/>
        <v>0.12323305545487495</v>
      </c>
      <c r="BJ106" s="14">
        <f t="shared" si="1083"/>
        <v>0.13429431911190928</v>
      </c>
      <c r="BK106" s="14">
        <f t="shared" si="1083"/>
        <v>0.13285319721707514</v>
      </c>
      <c r="BL106" s="14">
        <f t="shared" si="1083"/>
        <v>0.14397220503545763</v>
      </c>
      <c r="BM106" s="14">
        <f t="shared" si="1083"/>
        <v>0.14727391940283452</v>
      </c>
      <c r="BN106" s="14">
        <f t="shared" si="1083"/>
        <v>0.15053205294575656</v>
      </c>
      <c r="BO106" s="14">
        <f t="shared" si="1083"/>
        <v>0.22723378562511728</v>
      </c>
      <c r="BP106" s="14">
        <f t="shared" si="1083"/>
        <v>0.28448303631337463</v>
      </c>
    </row>
    <row r="107" spans="2:73" s="3" customFormat="1" hidden="1" outlineLevel="1">
      <c r="B107" s="13" t="s">
        <v>309</v>
      </c>
      <c r="D107" s="14">
        <f t="shared" ref="D107:AQ107" si="1084">+D88-D106</f>
        <v>0.3001912960306074</v>
      </c>
      <c r="E107" s="14">
        <f t="shared" si="1084"/>
        <v>0.27850156417059357</v>
      </c>
      <c r="F107" s="14">
        <f t="shared" si="1084"/>
        <v>0.26416321977970908</v>
      </c>
      <c r="G107" s="14">
        <f t="shared" si="1084"/>
        <v>0.25202351537871681</v>
      </c>
      <c r="H107" s="14">
        <f t="shared" si="1084"/>
        <v>0.28415724188252461</v>
      </c>
      <c r="I107" s="14">
        <f t="shared" si="1084"/>
        <v>0.29315418570432894</v>
      </c>
      <c r="J107" s="14">
        <f t="shared" si="1084"/>
        <v>0.30484232293641217</v>
      </c>
      <c r="K107" s="14">
        <f t="shared" si="1084"/>
        <v>0.27459480570201134</v>
      </c>
      <c r="L107" s="14">
        <f t="shared" si="1084"/>
        <v>0.30593365392452521</v>
      </c>
      <c r="M107" s="14">
        <f t="shared" si="1084"/>
        <v>0.27370495884915969</v>
      </c>
      <c r="N107" s="14">
        <f t="shared" si="1084"/>
        <v>0.27972705917446583</v>
      </c>
      <c r="O107" s="14">
        <f t="shared" si="1084"/>
        <v>0.292338374605285</v>
      </c>
      <c r="P107" s="14">
        <f t="shared" si="1084"/>
        <v>0.29198184568835095</v>
      </c>
      <c r="Q107" s="14">
        <f t="shared" si="1084"/>
        <v>0.28804163715315206</v>
      </c>
      <c r="R107" s="14">
        <f t="shared" si="1084"/>
        <v>0.3227568610774918</v>
      </c>
      <c r="S107" s="14">
        <f t="shared" si="1084"/>
        <v>0.29744639202776046</v>
      </c>
      <c r="T107" s="14">
        <f t="shared" si="1084"/>
        <v>0.32845257903494174</v>
      </c>
      <c r="U107" s="14">
        <f t="shared" si="1084"/>
        <v>0.34124532596325796</v>
      </c>
      <c r="V107" s="14">
        <f t="shared" si="1084"/>
        <v>0.34816253105279688</v>
      </c>
      <c r="W107" s="14">
        <f t="shared" si="1084"/>
        <v>0.29214103541661185</v>
      </c>
      <c r="X107" s="14">
        <f t="shared" si="1084"/>
        <v>0.35046024654142216</v>
      </c>
      <c r="Y107" s="14">
        <f t="shared" si="1084"/>
        <v>0.35421116166775002</v>
      </c>
      <c r="Z107" s="14">
        <f t="shared" si="1084"/>
        <v>0.33529947729343501</v>
      </c>
      <c r="AA107" s="14">
        <f t="shared" si="1084"/>
        <v>0.328024787658173</v>
      </c>
      <c r="AB107" s="14">
        <f t="shared" si="1084"/>
        <v>0.35417172363572169</v>
      </c>
      <c r="AC107" s="14">
        <f t="shared" si="1084"/>
        <v>0.36620399010207239</v>
      </c>
      <c r="AD107" s="14">
        <f t="shared" si="1084"/>
        <v>0.36136547811993519</v>
      </c>
      <c r="AE107" s="14">
        <f t="shared" si="1084"/>
        <v>0.3048876891930975</v>
      </c>
      <c r="AF107" s="890">
        <f t="shared" si="1084"/>
        <v>0.35329795299469291</v>
      </c>
      <c r="AG107" s="890">
        <f t="shared" si="1084"/>
        <v>0.34917625646956224</v>
      </c>
      <c r="AH107" s="14">
        <f t="shared" si="1084"/>
        <v>0.34245227689804569</v>
      </c>
      <c r="AI107" s="14">
        <f t="shared" si="1084"/>
        <v>0.31016747050134363</v>
      </c>
      <c r="AJ107" s="14">
        <f t="shared" si="1084"/>
        <v>0.34708140913353502</v>
      </c>
      <c r="AK107" s="14">
        <f t="shared" si="1084"/>
        <v>0.35667526604321192</v>
      </c>
      <c r="AL107" s="14">
        <f t="shared" ref="AL107:AM107" si="1085">+AL88-AL106</f>
        <v>0.32134889585825599</v>
      </c>
      <c r="AM107" s="14">
        <f t="shared" si="1085"/>
        <v>0.2403170238076846</v>
      </c>
      <c r="AN107" s="14">
        <f t="shared" si="1084"/>
        <v>0.27513236888719034</v>
      </c>
      <c r="AO107" s="14">
        <f t="shared" si="1084"/>
        <v>0.28374694659680016</v>
      </c>
      <c r="AP107" s="14">
        <f t="shared" si="1084"/>
        <v>0.2973980593337785</v>
      </c>
      <c r="AQ107" s="14">
        <f t="shared" si="1084"/>
        <v>0.29570314931981356</v>
      </c>
      <c r="AS107" s="14">
        <f t="shared" ref="AS107:BE107" si="1086">+AS88-AS106</f>
        <v>0.36742233839348543</v>
      </c>
      <c r="AT107" s="14">
        <f t="shared" si="1086"/>
        <v>0.35465877783297955</v>
      </c>
      <c r="AU107" s="14">
        <f t="shared" si="1086"/>
        <v>0.3445483353546418</v>
      </c>
      <c r="AV107" s="14">
        <f t="shared" si="1086"/>
        <v>0.34996689837802047</v>
      </c>
      <c r="AW107" s="14">
        <f t="shared" si="1086"/>
        <v>0.33892910313671132</v>
      </c>
      <c r="AX107" s="14">
        <f t="shared" si="1086"/>
        <v>0.3968055822290506</v>
      </c>
      <c r="AY107" s="14">
        <f t="shared" si="1086"/>
        <v>0.394206711179103</v>
      </c>
      <c r="AZ107" s="14">
        <f t="shared" si="1086"/>
        <v>0.39263159312174301</v>
      </c>
      <c r="BA107" s="14">
        <f t="shared" si="1086"/>
        <v>0.34219819167237969</v>
      </c>
      <c r="BB107" s="14">
        <f t="shared" si="1086"/>
        <v>0.31800122073405274</v>
      </c>
      <c r="BC107" s="14">
        <f t="shared" si="1086"/>
        <v>0.30118615088694167</v>
      </c>
      <c r="BD107" s="14">
        <f t="shared" si="1086"/>
        <v>0.27899263834368171</v>
      </c>
      <c r="BE107" s="14">
        <f t="shared" si="1086"/>
        <v>0.28882543426756468</v>
      </c>
      <c r="BG107" s="14">
        <f t="shared" ref="BG107:BP107" si="1087">+BG88-BG106</f>
        <v>0.27327380038177151</v>
      </c>
      <c r="BH107" s="14">
        <f t="shared" si="1087"/>
        <v>0.28899980325356472</v>
      </c>
      <c r="BI107" s="14">
        <f t="shared" si="1087"/>
        <v>0.28741391808626315</v>
      </c>
      <c r="BJ107" s="14">
        <f t="shared" si="1087"/>
        <v>0.29990543772796263</v>
      </c>
      <c r="BK107" s="14">
        <f t="shared" si="1087"/>
        <v>0.32692374925707091</v>
      </c>
      <c r="BL107" s="14">
        <f t="shared" si="1087"/>
        <v>0.34149969063823715</v>
      </c>
      <c r="BM107" s="14">
        <f t="shared" si="1087"/>
        <v>0.34620971402632772</v>
      </c>
      <c r="BN107" s="14">
        <f t="shared" si="1087"/>
        <v>0.33813085435198076</v>
      </c>
      <c r="BO107" s="14">
        <f t="shared" si="1087"/>
        <v>0.31482282292083119</v>
      </c>
      <c r="BP107" s="14">
        <f t="shared" si="1087"/>
        <v>0.28837144020006428</v>
      </c>
    </row>
    <row r="108" spans="2:73" collapsed="1"/>
    <row r="109" spans="2:73" ht="10.5" hidden="1" outlineLevel="1">
      <c r="B109" s="45" t="s">
        <v>141</v>
      </c>
    </row>
    <row r="110" spans="2:73" hidden="1" outlineLevel="1">
      <c r="B110" t="s">
        <v>121</v>
      </c>
      <c r="D110" s="8">
        <f t="shared" ref="D110:AQ110" si="1088">+D86</f>
        <v>7777</v>
      </c>
      <c r="E110" s="8">
        <f t="shared" si="1088"/>
        <v>9033</v>
      </c>
      <c r="F110" s="8">
        <f t="shared" si="1088"/>
        <v>7984</v>
      </c>
      <c r="G110" s="8">
        <f t="shared" si="1088"/>
        <v>9016</v>
      </c>
      <c r="H110" s="8">
        <f t="shared" si="1088"/>
        <v>8531</v>
      </c>
      <c r="I110" s="8">
        <f t="shared" si="1088"/>
        <v>10071</v>
      </c>
      <c r="J110" s="8">
        <f t="shared" si="1088"/>
        <v>9176</v>
      </c>
      <c r="K110" s="8">
        <f t="shared" si="1088"/>
        <v>10331</v>
      </c>
      <c r="L110" s="8">
        <f t="shared" si="1088"/>
        <v>10207</v>
      </c>
      <c r="M110" s="8">
        <f t="shared" si="1088"/>
        <v>11215</v>
      </c>
      <c r="N110" s="8">
        <f t="shared" si="1088"/>
        <v>11002</v>
      </c>
      <c r="O110" s="8">
        <f t="shared" si="1088"/>
        <v>12895</v>
      </c>
      <c r="P110" s="8">
        <f t="shared" si="1088"/>
        <v>12792</v>
      </c>
      <c r="Q110" s="8">
        <f t="shared" si="1088"/>
        <v>13253</v>
      </c>
      <c r="R110" s="8">
        <f t="shared" si="1088"/>
        <v>13267</v>
      </c>
      <c r="S110" s="8">
        <f t="shared" si="1088"/>
        <v>15329</v>
      </c>
      <c r="T110" s="8">
        <f t="shared" si="1088"/>
        <v>15657</v>
      </c>
      <c r="U110" s="8">
        <f t="shared" si="1088"/>
        <v>17094</v>
      </c>
      <c r="V110" s="8">
        <f t="shared" si="1088"/>
        <v>16093</v>
      </c>
      <c r="W110" s="8">
        <f t="shared" si="1088"/>
        <v>16911</v>
      </c>
      <c r="X110" s="8">
        <f t="shared" si="1088"/>
        <v>18521</v>
      </c>
      <c r="Y110" s="8">
        <f t="shared" si="1088"/>
        <v>20658</v>
      </c>
      <c r="Z110" s="8">
        <f t="shared" si="1088"/>
        <v>19984</v>
      </c>
      <c r="AA110" s="8">
        <f t="shared" si="1088"/>
        <v>22439</v>
      </c>
      <c r="AB110" s="8">
        <f t="shared" si="1088"/>
        <v>23450</v>
      </c>
      <c r="AC110" s="8">
        <f t="shared" si="1088"/>
        <v>25743</v>
      </c>
      <c r="AD110" s="8">
        <f t="shared" si="1088"/>
        <v>24137</v>
      </c>
      <c r="AE110" s="8">
        <f t="shared" si="1088"/>
        <v>24513</v>
      </c>
      <c r="AF110" s="8">
        <f t="shared" si="1088"/>
        <v>24308</v>
      </c>
      <c r="AG110" s="8">
        <f t="shared" si="1088"/>
        <v>25218</v>
      </c>
      <c r="AH110" s="8">
        <f t="shared" si="1088"/>
        <v>25901</v>
      </c>
      <c r="AI110" s="8">
        <f t="shared" si="1088"/>
        <v>28128</v>
      </c>
      <c r="AJ110" s="8">
        <f t="shared" si="1088"/>
        <v>30816</v>
      </c>
      <c r="AK110" s="8">
        <f t="shared" si="1088"/>
        <v>33621</v>
      </c>
      <c r="AL110" s="8">
        <f t="shared" ref="AL110" si="1089">+AL86</f>
        <v>33878</v>
      </c>
      <c r="AM110" s="8">
        <f t="shared" si="1088"/>
        <v>34555</v>
      </c>
      <c r="AN110" s="8">
        <f t="shared" si="1088"/>
        <v>37967.97845535243</v>
      </c>
      <c r="AO110" s="8">
        <f t="shared" si="1088"/>
        <v>39906.263739078626</v>
      </c>
      <c r="AP110" s="8">
        <f t="shared" si="1088"/>
        <v>41131.814371149056</v>
      </c>
      <c r="AQ110" s="8">
        <f t="shared" si="1088"/>
        <v>42087.408672159065</v>
      </c>
      <c r="AS110" s="8">
        <f t="shared" ref="AS110:BE110" si="1090">+AS86</f>
        <v>15431</v>
      </c>
      <c r="AT110" s="8">
        <f t="shared" si="1090"/>
        <v>17283</v>
      </c>
      <c r="AU110" s="8">
        <f t="shared" si="1090"/>
        <v>19878</v>
      </c>
      <c r="AV110" s="8">
        <f t="shared" si="1090"/>
        <v>24327</v>
      </c>
      <c r="AW110" s="8">
        <f t="shared" si="1090"/>
        <v>22925</v>
      </c>
      <c r="AX110" s="8">
        <f t="shared" si="1090"/>
        <v>26771</v>
      </c>
      <c r="AY110" s="8">
        <f t="shared" si="1090"/>
        <v>29927</v>
      </c>
      <c r="AZ110" s="8">
        <f t="shared" si="1090"/>
        <v>31463</v>
      </c>
      <c r="BA110" s="8">
        <f t="shared" si="1090"/>
        <v>30712</v>
      </c>
      <c r="BB110" s="8">
        <f t="shared" si="1090"/>
        <v>33098</v>
      </c>
      <c r="BC110" s="8">
        <f t="shared" si="1090"/>
        <v>34129</v>
      </c>
      <c r="BD110" s="8">
        <f t="shared" si="1090"/>
        <v>34557</v>
      </c>
      <c r="BE110" s="8">
        <f t="shared" si="1090"/>
        <v>38117</v>
      </c>
      <c r="BG110" s="8">
        <f t="shared" ref="BG110:BN110" si="1091">+BG86</f>
        <v>33810</v>
      </c>
      <c r="BH110" s="8">
        <f t="shared" si="1091"/>
        <v>38109</v>
      </c>
      <c r="BI110" s="8">
        <f t="shared" si="1091"/>
        <v>45319</v>
      </c>
      <c r="BJ110" s="8">
        <f t="shared" si="1091"/>
        <v>54641</v>
      </c>
      <c r="BK110" s="8">
        <f t="shared" si="1091"/>
        <v>65755</v>
      </c>
      <c r="BL110" s="8">
        <f t="shared" si="1091"/>
        <v>81602</v>
      </c>
      <c r="BM110" s="8">
        <f t="shared" si="1091"/>
        <v>97843</v>
      </c>
      <c r="BN110" s="8">
        <f t="shared" si="1091"/>
        <v>103555</v>
      </c>
      <c r="BO110" s="8">
        <f t="shared" ref="BO110:BO115" si="1092">SUM(AJ110:AM110)</f>
        <v>132870</v>
      </c>
      <c r="BP110" s="8">
        <f>+SUM(AN110:AQ110)</f>
        <v>161093.46523773918</v>
      </c>
      <c r="BQ110" s="8"/>
    </row>
    <row r="111" spans="2:73" hidden="1" outlineLevel="1">
      <c r="B111" t="s">
        <v>131</v>
      </c>
      <c r="D111" s="8">
        <f t="shared" ref="D111:AF111" si="1093">-D873</f>
        <v>-1500</v>
      </c>
      <c r="E111" s="8">
        <f t="shared" si="1093"/>
        <v>-2000</v>
      </c>
      <c r="F111" s="8">
        <f t="shared" si="1093"/>
        <v>-2300</v>
      </c>
      <c r="G111" s="8">
        <f t="shared" si="1093"/>
        <v>-3100</v>
      </c>
      <c r="H111" s="8">
        <f t="shared" si="1093"/>
        <v>-2300</v>
      </c>
      <c r="I111" s="8">
        <f t="shared" si="1093"/>
        <v>-2500</v>
      </c>
      <c r="J111" s="8">
        <f t="shared" si="1093"/>
        <v>-2100</v>
      </c>
      <c r="K111" s="8">
        <f t="shared" si="1093"/>
        <v>-3300</v>
      </c>
      <c r="L111" s="8">
        <f t="shared" si="1093"/>
        <v>-2700</v>
      </c>
      <c r="M111" s="8">
        <f t="shared" si="1093"/>
        <v>-3300</v>
      </c>
      <c r="N111" s="8">
        <f t="shared" si="1093"/>
        <v>-3500</v>
      </c>
      <c r="O111" s="8">
        <f t="shared" si="1093"/>
        <v>-4100</v>
      </c>
      <c r="P111" s="8">
        <f t="shared" si="1093"/>
        <v>-4300</v>
      </c>
      <c r="Q111" s="8">
        <f t="shared" si="1093"/>
        <v>-3900</v>
      </c>
      <c r="R111" s="8">
        <f t="shared" si="1093"/>
        <v>-3400</v>
      </c>
      <c r="S111" s="8">
        <f t="shared" si="1093"/>
        <v>-5300</v>
      </c>
      <c r="T111" s="8">
        <f t="shared" si="1093"/>
        <v>-4800</v>
      </c>
      <c r="U111" s="8">
        <f t="shared" si="1093"/>
        <v>-4500</v>
      </c>
      <c r="V111" s="8">
        <f t="shared" si="1093"/>
        <v>-3900</v>
      </c>
      <c r="W111" s="8">
        <f t="shared" si="1093"/>
        <v>-5800</v>
      </c>
      <c r="X111" s="8">
        <f t="shared" si="1093"/>
        <v>-5500</v>
      </c>
      <c r="Y111" s="8">
        <f t="shared" si="1093"/>
        <v>-5400</v>
      </c>
      <c r="Z111" s="8">
        <f t="shared" si="1093"/>
        <v>-6000</v>
      </c>
      <c r="AA111" s="8">
        <f t="shared" si="1093"/>
        <v>-7300</v>
      </c>
      <c r="AB111" s="8">
        <f t="shared" si="1093"/>
        <v>-7400</v>
      </c>
      <c r="AC111" s="8">
        <f t="shared" si="1093"/>
        <v>-6800</v>
      </c>
      <c r="AD111" s="8">
        <f t="shared" si="1093"/>
        <v>-6300</v>
      </c>
      <c r="AE111" s="8">
        <f t="shared" si="1093"/>
        <v>-8700</v>
      </c>
      <c r="AF111" s="8">
        <f t="shared" si="1093"/>
        <v>-6600</v>
      </c>
      <c r="AG111" s="8">
        <f t="shared" ref="AG111:AH111" si="1094">-AG873</f>
        <v>-6800</v>
      </c>
      <c r="AH111" s="8">
        <f t="shared" si="1094"/>
        <v>-7800</v>
      </c>
      <c r="AI111" s="8">
        <f t="shared" ref="AI111:AJ111" si="1095">-AI873</f>
        <v>-10700</v>
      </c>
      <c r="AJ111" s="8">
        <f t="shared" si="1095"/>
        <v>-11200</v>
      </c>
      <c r="AK111" s="8">
        <f t="shared" ref="AK111:AM111" si="1096">-AK873</f>
        <v>-11500</v>
      </c>
      <c r="AL111" s="8">
        <f t="shared" si="1096"/>
        <v>-14000</v>
      </c>
      <c r="AM111" s="8">
        <f t="shared" si="1096"/>
        <v>-19000</v>
      </c>
      <c r="AN111" s="8">
        <f t="shared" ref="AN111:AQ111" si="1097">+AN97*-1</f>
        <v>-20000</v>
      </c>
      <c r="AO111" s="8">
        <f t="shared" si="1097"/>
        <v>-20000</v>
      </c>
      <c r="AP111" s="8">
        <f t="shared" si="1097"/>
        <v>-20000</v>
      </c>
      <c r="AQ111" s="8">
        <f t="shared" si="1097"/>
        <v>-20000</v>
      </c>
      <c r="AS111" s="8">
        <f t="shared" ref="AS111:BE111" si="1098">-AS873</f>
        <v>-812</v>
      </c>
      <c r="AT111" s="8">
        <f t="shared" si="1098"/>
        <v>-1578</v>
      </c>
      <c r="AU111" s="8">
        <f t="shared" si="1098"/>
        <v>-2264</v>
      </c>
      <c r="AV111" s="8">
        <f t="shared" si="1098"/>
        <v>-3182</v>
      </c>
      <c r="AW111" s="8">
        <f t="shared" si="1098"/>
        <v>-3119</v>
      </c>
      <c r="AX111" s="8">
        <f t="shared" si="1098"/>
        <v>-1977</v>
      </c>
      <c r="AY111" s="8">
        <f t="shared" si="1098"/>
        <v>-2355</v>
      </c>
      <c r="AZ111" s="8">
        <f t="shared" si="1098"/>
        <v>-2305</v>
      </c>
      <c r="BA111" s="8">
        <f t="shared" si="1098"/>
        <v>-4257</v>
      </c>
      <c r="BB111" s="8">
        <f t="shared" si="1098"/>
        <v>-5485</v>
      </c>
      <c r="BC111" s="8">
        <f t="shared" si="1098"/>
        <v>-5944</v>
      </c>
      <c r="BD111" s="8">
        <f t="shared" si="1098"/>
        <v>-8900</v>
      </c>
      <c r="BE111" s="8">
        <f t="shared" si="1098"/>
        <v>-10200</v>
      </c>
      <c r="BG111" s="8">
        <f>+SUM(D111:G111)</f>
        <v>-8900</v>
      </c>
      <c r="BH111" s="8">
        <f>-BH873</f>
        <v>-10200</v>
      </c>
      <c r="BI111" s="8">
        <f>-BI873</f>
        <v>-13600</v>
      </c>
      <c r="BJ111" s="8">
        <f>-BJ873</f>
        <v>-16900</v>
      </c>
      <c r="BK111" s="8">
        <f>SUM(T111:W111)</f>
        <v>-19000</v>
      </c>
      <c r="BL111" s="8">
        <f>+SUM(X111:AA111)</f>
        <v>-24200</v>
      </c>
      <c r="BM111" s="8">
        <f>SUM(AB111:AE111)</f>
        <v>-29200</v>
      </c>
      <c r="BN111" s="8">
        <f>SUM(AF111:AI111)</f>
        <v>-31900</v>
      </c>
      <c r="BO111" s="8">
        <f t="shared" si="1092"/>
        <v>-55700</v>
      </c>
      <c r="BP111" s="8">
        <f t="shared" ref="BP111:BP115" si="1099">+SUM(AN111:AQ111)</f>
        <v>-80000</v>
      </c>
      <c r="BQ111" s="9"/>
    </row>
    <row r="112" spans="2:73" hidden="1" outlineLevel="1">
      <c r="B112" t="str">
        <f>+B68</f>
        <v>Interest and other, net</v>
      </c>
      <c r="D112" s="8">
        <f t="shared" ref="D112:AQ112" si="1100">+D68</f>
        <v>-295</v>
      </c>
      <c r="E112" s="8">
        <f t="shared" si="1100"/>
        <v>-176</v>
      </c>
      <c r="F112" s="8">
        <f t="shared" si="1100"/>
        <v>-212</v>
      </c>
      <c r="G112" s="8">
        <f t="shared" si="1100"/>
        <v>244</v>
      </c>
      <c r="H112" s="8">
        <f t="shared" si="1100"/>
        <v>112</v>
      </c>
      <c r="I112" s="8">
        <f t="shared" si="1100"/>
        <v>117</v>
      </c>
      <c r="J112" s="8">
        <f t="shared" si="1100"/>
        <v>371</v>
      </c>
      <c r="K112" s="8">
        <f t="shared" si="1100"/>
        <v>276</v>
      </c>
      <c r="L112" s="8">
        <f t="shared" si="1100"/>
        <v>276</v>
      </c>
      <c r="M112" s="8">
        <f t="shared" si="1100"/>
        <v>490</v>
      </c>
      <c r="N112" s="8">
        <f t="shared" si="1100"/>
        <v>349</v>
      </c>
      <c r="O112" s="8">
        <f t="shared" si="1100"/>
        <v>301</v>
      </c>
      <c r="P112" s="8">
        <f t="shared" si="1100"/>
        <v>266</v>
      </c>
      <c r="Q112" s="8">
        <f t="shared" si="1100"/>
        <v>127</v>
      </c>
      <c r="R112" s="8">
        <f t="shared" si="1100"/>
        <v>145</v>
      </c>
      <c r="S112" s="8">
        <f t="shared" si="1100"/>
        <v>191</v>
      </c>
      <c r="T112" s="8">
        <f t="shared" si="1100"/>
        <v>0</v>
      </c>
      <c r="U112" s="8">
        <f t="shared" si="1100"/>
        <v>194</v>
      </c>
      <c r="V112" s="8">
        <f t="shared" si="1100"/>
        <v>-132</v>
      </c>
      <c r="W112" s="8">
        <f t="shared" si="1100"/>
        <v>15</v>
      </c>
      <c r="X112" s="8">
        <f t="shared" si="1100"/>
        <v>248</v>
      </c>
      <c r="Y112" s="8">
        <f t="shared" si="1100"/>
        <v>440</v>
      </c>
      <c r="Z112" s="8">
        <f t="shared" si="1100"/>
        <v>188</v>
      </c>
      <c r="AA112" s="8">
        <f t="shared" si="1100"/>
        <v>310</v>
      </c>
      <c r="AB112" s="8">
        <f t="shared" si="1100"/>
        <v>286</v>
      </c>
      <c r="AC112" s="8">
        <f t="shared" si="1100"/>
        <v>268</v>
      </c>
      <c r="AD112" s="8">
        <f t="shared" si="1100"/>
        <v>-174</v>
      </c>
      <c r="AE112" s="8">
        <f t="shared" si="1100"/>
        <v>-47</v>
      </c>
      <c r="AF112" s="8">
        <f t="shared" si="1100"/>
        <v>54</v>
      </c>
      <c r="AG112" s="8">
        <f t="shared" si="1100"/>
        <v>-60</v>
      </c>
      <c r="AH112" s="8">
        <f t="shared" si="1100"/>
        <v>321</v>
      </c>
      <c r="AI112" s="8">
        <f t="shared" si="1100"/>
        <v>473</v>
      </c>
      <c r="AJ112" s="8">
        <f t="shared" si="1100"/>
        <v>389</v>
      </c>
      <c r="AK112" s="8">
        <f t="shared" si="1100"/>
        <v>-506</v>
      </c>
      <c r="AL112" s="8">
        <f t="shared" si="1100"/>
        <v>-854</v>
      </c>
      <c r="AM112" s="8">
        <f t="shared" si="1100"/>
        <v>-675</v>
      </c>
      <c r="AN112" s="8">
        <f t="shared" si="1100"/>
        <v>-650</v>
      </c>
      <c r="AO112" s="8">
        <f t="shared" si="1100"/>
        <v>0</v>
      </c>
      <c r="AP112" s="8">
        <f t="shared" si="1100"/>
        <v>0</v>
      </c>
      <c r="AQ112" s="8">
        <f t="shared" si="1100"/>
        <v>0</v>
      </c>
      <c r="AS112" s="8">
        <f t="shared" ref="AS112:BE112" si="1101">+AS68</f>
        <v>2052</v>
      </c>
      <c r="AT112" s="8">
        <f t="shared" si="1101"/>
        <v>1882</v>
      </c>
      <c r="AU112" s="8">
        <f t="shared" si="1101"/>
        <v>1663</v>
      </c>
      <c r="AV112" s="8">
        <f t="shared" si="1101"/>
        <v>1543</v>
      </c>
      <c r="AW112" s="8">
        <f t="shared" si="1101"/>
        <v>-542</v>
      </c>
      <c r="AX112" s="8">
        <f t="shared" si="1101"/>
        <v>915</v>
      </c>
      <c r="AY112" s="8">
        <f t="shared" si="1101"/>
        <v>910</v>
      </c>
      <c r="AZ112" s="8">
        <f t="shared" si="1101"/>
        <v>504</v>
      </c>
      <c r="BA112" s="8">
        <f t="shared" si="1101"/>
        <v>288</v>
      </c>
      <c r="BB112" s="8">
        <f t="shared" si="1101"/>
        <v>61</v>
      </c>
      <c r="BC112" s="8">
        <f t="shared" si="1101"/>
        <v>346</v>
      </c>
      <c r="BD112" s="8">
        <f t="shared" si="1101"/>
        <v>431</v>
      </c>
      <c r="BE112" s="8">
        <f t="shared" si="1101"/>
        <v>-823</v>
      </c>
      <c r="BG112" s="8">
        <f t="shared" ref="BG112:BN112" si="1102">+BG68</f>
        <v>-439</v>
      </c>
      <c r="BH112" s="8">
        <f t="shared" si="1102"/>
        <v>876</v>
      </c>
      <c r="BI112" s="8">
        <f t="shared" si="1102"/>
        <v>1416</v>
      </c>
      <c r="BJ112" s="8">
        <f t="shared" si="1102"/>
        <v>729</v>
      </c>
      <c r="BK112" s="8">
        <f t="shared" si="1102"/>
        <v>77</v>
      </c>
      <c r="BL112" s="8">
        <f t="shared" si="1102"/>
        <v>1186</v>
      </c>
      <c r="BM112" s="8">
        <f t="shared" si="1102"/>
        <v>333</v>
      </c>
      <c r="BN112" s="8">
        <f t="shared" si="1102"/>
        <v>788</v>
      </c>
      <c r="BO112" s="8">
        <f t="shared" si="1092"/>
        <v>-1646</v>
      </c>
      <c r="BP112" s="8">
        <f t="shared" si="1099"/>
        <v>-650</v>
      </c>
      <c r="BQ112" s="8"/>
    </row>
    <row r="113" spans="2:70" s="852" customFormat="1" hidden="1" outlineLevel="1">
      <c r="B113" t="s">
        <v>310</v>
      </c>
      <c r="D113" s="853">
        <f t="shared" ref="D113:AQ113" si="1103">+D70</f>
        <v>-2107.35</v>
      </c>
      <c r="E113" s="853">
        <f t="shared" si="1103"/>
        <v>-2559.5499999999997</v>
      </c>
      <c r="F113" s="853">
        <f t="shared" si="1103"/>
        <v>-2122.75</v>
      </c>
      <c r="G113" s="853">
        <f t="shared" si="1103"/>
        <v>-2572.5</v>
      </c>
      <c r="H113" s="853">
        <f t="shared" si="1103"/>
        <v>-2389.4499999999998</v>
      </c>
      <c r="I113" s="853">
        <f t="shared" si="1103"/>
        <v>-2807.7</v>
      </c>
      <c r="J113" s="853">
        <f t="shared" si="1103"/>
        <v>-2482.8999999999996</v>
      </c>
      <c r="K113" s="853">
        <f t="shared" si="1103"/>
        <v>-2892.3999999999996</v>
      </c>
      <c r="L113" s="853">
        <f t="shared" si="1103"/>
        <v>-2794.3999999999996</v>
      </c>
      <c r="M113" s="853">
        <f t="shared" si="1103"/>
        <v>-3209.1499999999996</v>
      </c>
      <c r="N113" s="853">
        <f t="shared" si="1103"/>
        <v>-1814.61</v>
      </c>
      <c r="O113" s="853">
        <f t="shared" si="1103"/>
        <v>-2242.7999999999997</v>
      </c>
      <c r="P113" s="853">
        <f t="shared" si="1103"/>
        <v>-2146.41</v>
      </c>
      <c r="Q113" s="853">
        <f t="shared" si="1103"/>
        <v>-2180.85</v>
      </c>
      <c r="R113" s="853">
        <f t="shared" si="1103"/>
        <v>-2202.06</v>
      </c>
      <c r="S113" s="853">
        <f t="shared" si="1103"/>
        <v>-2645.16</v>
      </c>
      <c r="T113" s="853">
        <f t="shared" si="1103"/>
        <v>-2664.06</v>
      </c>
      <c r="U113" s="853">
        <f t="shared" si="1103"/>
        <v>-2957.85</v>
      </c>
      <c r="V113" s="853">
        <f t="shared" si="1103"/>
        <v>-2697.0299999999997</v>
      </c>
      <c r="W113" s="853">
        <f t="shared" si="1103"/>
        <v>-2818.62</v>
      </c>
      <c r="X113" s="853">
        <f t="shared" si="1103"/>
        <v>-3386.04</v>
      </c>
      <c r="Y113" s="853">
        <f t="shared" si="1103"/>
        <v>-3850.77</v>
      </c>
      <c r="Z113" s="853">
        <f t="shared" si="1103"/>
        <v>-3619.56</v>
      </c>
      <c r="AA113" s="853">
        <f t="shared" si="1103"/>
        <v>-4075.0499999999997</v>
      </c>
      <c r="AB113" s="853">
        <f t="shared" si="1103"/>
        <v>-4310.04</v>
      </c>
      <c r="AC113" s="853">
        <f t="shared" si="1103"/>
        <v>-4728.1499999999996</v>
      </c>
      <c r="AD113" s="853">
        <f t="shared" si="1103"/>
        <v>-4239.8999999999996</v>
      </c>
      <c r="AE113" s="853">
        <f t="shared" si="1103"/>
        <v>-4302.2699999999995</v>
      </c>
      <c r="AF113" s="853">
        <f t="shared" si="1103"/>
        <v>-4530.12</v>
      </c>
      <c r="AG113" s="853">
        <f t="shared" si="1103"/>
        <v>-4517.0999999999995</v>
      </c>
      <c r="AH113" s="853">
        <f t="shared" si="1103"/>
        <v>-4761.33</v>
      </c>
      <c r="AI113" s="853">
        <f t="shared" si="1103"/>
        <v>-5192.67</v>
      </c>
      <c r="AJ113" s="853">
        <f t="shared" si="1103"/>
        <v>-5729.6399999999994</v>
      </c>
      <c r="AK113" s="853">
        <f t="shared" si="1103"/>
        <v>-5702.76</v>
      </c>
      <c r="AL113" s="853">
        <f t="shared" si="1103"/>
        <v>-5669.37</v>
      </c>
      <c r="AM113" s="853">
        <f t="shared" si="1103"/>
        <v>-5789.5162499999997</v>
      </c>
      <c r="AN113" s="853">
        <f t="shared" si="1103"/>
        <v>-6419.7675670186663</v>
      </c>
      <c r="AO113" s="853">
        <f t="shared" si="1103"/>
        <v>-6848.6340407219895</v>
      </c>
      <c r="AP113" s="853">
        <f t="shared" si="1103"/>
        <v>-6994.1526955042027</v>
      </c>
      <c r="AQ113" s="853">
        <f t="shared" si="1103"/>
        <v>-7111.6488797335205</v>
      </c>
      <c r="AS113" s="853">
        <f t="shared" ref="AS113:BE113" si="1104">+AS70</f>
        <v>-5819.7999999999993</v>
      </c>
      <c r="AT113" s="853">
        <f t="shared" si="1104"/>
        <v>-6391.7</v>
      </c>
      <c r="AU113" s="853">
        <f t="shared" si="1104"/>
        <v>-7035.3499999999995</v>
      </c>
      <c r="AV113" s="853">
        <f t="shared" si="1104"/>
        <v>-8334.9</v>
      </c>
      <c r="AW113" s="853">
        <f t="shared" si="1104"/>
        <v>-6937.3499999999995</v>
      </c>
      <c r="AX113" s="853">
        <f t="shared" si="1104"/>
        <v>-8754.5499999999993</v>
      </c>
      <c r="AY113" s="853">
        <f t="shared" si="1104"/>
        <v>-9824.8499999999985</v>
      </c>
      <c r="AZ113" s="853">
        <f t="shared" si="1104"/>
        <v>-9961</v>
      </c>
      <c r="BA113" s="853">
        <f t="shared" si="1104"/>
        <v>-9724.75</v>
      </c>
      <c r="BB113" s="853">
        <f t="shared" si="1104"/>
        <v>-9781.4499999999989</v>
      </c>
      <c r="BC113" s="853">
        <f t="shared" si="1104"/>
        <v>-9981.2999999999993</v>
      </c>
      <c r="BD113" s="853">
        <f t="shared" si="1104"/>
        <v>-7603.0499999999993</v>
      </c>
      <c r="BE113" s="853">
        <f t="shared" si="1104"/>
        <v>-7633.15</v>
      </c>
      <c r="BG113" s="853">
        <f t="shared" ref="BG113:BN113" si="1105">+BG70</f>
        <v>-9362.15</v>
      </c>
      <c r="BH113" s="853">
        <f t="shared" si="1105"/>
        <v>-10572.449999999999</v>
      </c>
      <c r="BI113" s="853">
        <f t="shared" si="1105"/>
        <v>-10060.959999999999</v>
      </c>
      <c r="BJ113" s="853">
        <f t="shared" si="1105"/>
        <v>-9174.48</v>
      </c>
      <c r="BK113" s="853">
        <f t="shared" si="1105"/>
        <v>-11137.559999999998</v>
      </c>
      <c r="BL113" s="853">
        <f t="shared" si="1105"/>
        <v>-14931.419999999998</v>
      </c>
      <c r="BM113" s="853">
        <f t="shared" si="1105"/>
        <v>-17580.359999999997</v>
      </c>
      <c r="BN113" s="853">
        <f t="shared" si="1105"/>
        <v>-19001.22</v>
      </c>
      <c r="BO113" s="853">
        <f t="shared" si="1092"/>
        <v>-22891.286250000001</v>
      </c>
      <c r="BP113" s="853">
        <f t="shared" si="1099"/>
        <v>-27374.203182978381</v>
      </c>
    </row>
    <row r="114" spans="2:70" s="1" customFormat="1" ht="10.5" collapsed="1">
      <c r="B114" s="1038" t="s">
        <v>141</v>
      </c>
      <c r="D114" s="838">
        <f t="shared" ref="D114:V114" si="1106">SUM(D110:D113)</f>
        <v>3874.65</v>
      </c>
      <c r="E114" s="838">
        <f t="shared" si="1106"/>
        <v>4297.4500000000007</v>
      </c>
      <c r="F114" s="838">
        <f t="shared" si="1106"/>
        <v>3349.25</v>
      </c>
      <c r="G114" s="838">
        <f t="shared" si="1106"/>
        <v>3587.5</v>
      </c>
      <c r="H114" s="838">
        <f t="shared" si="1106"/>
        <v>3953.55</v>
      </c>
      <c r="I114" s="838">
        <f t="shared" si="1106"/>
        <v>4880.3</v>
      </c>
      <c r="J114" s="838">
        <f t="shared" si="1106"/>
        <v>4964.1000000000004</v>
      </c>
      <c r="K114" s="838">
        <f t="shared" si="1106"/>
        <v>4414.6000000000004</v>
      </c>
      <c r="L114" s="838">
        <f t="shared" si="1106"/>
        <v>4988.6000000000004</v>
      </c>
      <c r="M114" s="838">
        <f t="shared" si="1106"/>
        <v>5195.8500000000004</v>
      </c>
      <c r="N114" s="838">
        <f t="shared" si="1106"/>
        <v>6036.39</v>
      </c>
      <c r="O114" s="838">
        <f t="shared" si="1106"/>
        <v>6853.2000000000007</v>
      </c>
      <c r="P114" s="838">
        <f t="shared" si="1106"/>
        <v>6611.59</v>
      </c>
      <c r="Q114" s="838">
        <f t="shared" si="1106"/>
        <v>7299.15</v>
      </c>
      <c r="R114" s="838">
        <f t="shared" si="1106"/>
        <v>7809.9400000000005</v>
      </c>
      <c r="S114" s="838">
        <f t="shared" si="1106"/>
        <v>7574.84</v>
      </c>
      <c r="T114" s="838">
        <f t="shared" si="1106"/>
        <v>8192.94</v>
      </c>
      <c r="U114" s="838">
        <f t="shared" si="1106"/>
        <v>9830.15</v>
      </c>
      <c r="V114" s="838">
        <f t="shared" si="1106"/>
        <v>9363.9700000000012</v>
      </c>
      <c r="W114" s="838">
        <f t="shared" ref="W114:X114" si="1107">SUM(W110:W113)</f>
        <v>8307.380000000001</v>
      </c>
      <c r="X114" s="838">
        <f t="shared" si="1107"/>
        <v>9882.9599999999991</v>
      </c>
      <c r="Y114" s="838">
        <f t="shared" ref="Y114:Z114" si="1108">SUM(Y110:Y113)</f>
        <v>11847.23</v>
      </c>
      <c r="Z114" s="838">
        <f t="shared" si="1108"/>
        <v>10552.44</v>
      </c>
      <c r="AA114" s="838">
        <f t="shared" ref="AA114:AB114" si="1109">SUM(AA110:AA113)</f>
        <v>11373.95</v>
      </c>
      <c r="AB114" s="838">
        <f t="shared" si="1109"/>
        <v>12025.96</v>
      </c>
      <c r="AC114" s="838">
        <f t="shared" ref="AC114:AD114" si="1110">SUM(AC110:AC113)</f>
        <v>14482.85</v>
      </c>
      <c r="AD114" s="838">
        <f t="shared" si="1110"/>
        <v>13423.1</v>
      </c>
      <c r="AE114" s="838">
        <f t="shared" ref="AE114:AF114" si="1111">SUM(AE110:AE113)</f>
        <v>11463.73</v>
      </c>
      <c r="AF114" s="838">
        <f t="shared" si="1111"/>
        <v>13231.880000000001</v>
      </c>
      <c r="AG114" s="838">
        <f t="shared" ref="AG114:AH114" si="1112">SUM(AG110:AG113)</f>
        <v>13840.900000000001</v>
      </c>
      <c r="AH114" s="838">
        <f t="shared" si="1112"/>
        <v>13660.67</v>
      </c>
      <c r="AI114" s="838">
        <f t="shared" ref="AI114:AJ114" si="1113">SUM(AI110:AI113)</f>
        <v>12708.33</v>
      </c>
      <c r="AJ114" s="838">
        <f t="shared" si="1113"/>
        <v>14275.36</v>
      </c>
      <c r="AK114" s="838">
        <f t="shared" ref="AK114:AL114" si="1114">SUM(AK110:AK113)</f>
        <v>15912.24</v>
      </c>
      <c r="AL114" s="838">
        <f t="shared" si="1114"/>
        <v>13354.630000000001</v>
      </c>
      <c r="AM114" s="838">
        <f t="shared" ref="AM114" si="1115">SUM(AM110:AM113)</f>
        <v>9090.4837499999994</v>
      </c>
      <c r="AN114" s="838">
        <f t="shared" ref="AN114:AP114" si="1116">SUM(AN110:AN113)</f>
        <v>10898.210888333764</v>
      </c>
      <c r="AO114" s="838">
        <f t="shared" si="1116"/>
        <v>13057.629698356635</v>
      </c>
      <c r="AP114" s="838">
        <f t="shared" si="1116"/>
        <v>14137.661675644853</v>
      </c>
      <c r="AQ114" s="838">
        <f t="shared" ref="AQ114" si="1117">SUM(AQ110:AQ113)</f>
        <v>14975.759792425544</v>
      </c>
      <c r="AS114" s="838">
        <f t="shared" ref="AS114:BE114" si="1118">SUM(AS110:AS113)</f>
        <v>10851.2</v>
      </c>
      <c r="AT114" s="838">
        <f t="shared" si="1118"/>
        <v>11195.3</v>
      </c>
      <c r="AU114" s="838">
        <f t="shared" si="1118"/>
        <v>12241.650000000001</v>
      </c>
      <c r="AV114" s="838">
        <f t="shared" si="1118"/>
        <v>14353.1</v>
      </c>
      <c r="AW114" s="838">
        <f t="shared" si="1118"/>
        <v>12326.650000000001</v>
      </c>
      <c r="AX114" s="838">
        <f t="shared" si="1118"/>
        <v>16954.45</v>
      </c>
      <c r="AY114" s="838">
        <f t="shared" si="1118"/>
        <v>18657.150000000001</v>
      </c>
      <c r="AZ114" s="838">
        <f t="shared" si="1118"/>
        <v>19701</v>
      </c>
      <c r="BA114" s="838">
        <f t="shared" si="1118"/>
        <v>17018.25</v>
      </c>
      <c r="BB114" s="838">
        <f t="shared" si="1118"/>
        <v>17892.550000000003</v>
      </c>
      <c r="BC114" s="838">
        <f t="shared" si="1118"/>
        <v>18549.7</v>
      </c>
      <c r="BD114" s="838">
        <f t="shared" si="1118"/>
        <v>18484.95</v>
      </c>
      <c r="BE114" s="838">
        <f t="shared" si="1118"/>
        <v>19460.849999999999</v>
      </c>
      <c r="BG114" s="838">
        <f t="shared" ref="BG114:BL114" si="1119">SUM(BG110:BG113)</f>
        <v>15108.85</v>
      </c>
      <c r="BH114" s="838">
        <f t="shared" si="1119"/>
        <v>18212.550000000003</v>
      </c>
      <c r="BI114" s="838">
        <f t="shared" si="1119"/>
        <v>23074.04</v>
      </c>
      <c r="BJ114" s="838">
        <f t="shared" si="1119"/>
        <v>29295.52</v>
      </c>
      <c r="BK114" s="838">
        <f t="shared" si="1119"/>
        <v>35694.44</v>
      </c>
      <c r="BL114" s="838">
        <f t="shared" si="1119"/>
        <v>43656.58</v>
      </c>
      <c r="BM114" s="838">
        <f t="shared" ref="BM114:BN114" si="1120">SUM(BM110:BM113)</f>
        <v>51395.64</v>
      </c>
      <c r="BN114" s="838">
        <f t="shared" si="1120"/>
        <v>53441.78</v>
      </c>
      <c r="BO114" s="838">
        <f t="shared" si="1092"/>
        <v>52632.713749999995</v>
      </c>
      <c r="BP114" s="838">
        <f t="shared" si="1099"/>
        <v>53069.262054760802</v>
      </c>
    </row>
    <row r="115" spans="2:70" s="1" customFormat="1" ht="10.5">
      <c r="B115" s="1038" t="s">
        <v>311</v>
      </c>
      <c r="D115" s="854">
        <f t="shared" ref="D115:AQ115" si="1121">+D114/D72</f>
        <v>0.47929861454725387</v>
      </c>
      <c r="E115" s="854">
        <f t="shared" si="1121"/>
        <v>0.5337784126195505</v>
      </c>
      <c r="F115" s="854">
        <f t="shared" si="1121"/>
        <v>0.41944270507201004</v>
      </c>
      <c r="G115" s="854">
        <f t="shared" si="1121"/>
        <v>0.45245302055744735</v>
      </c>
      <c r="H115" s="854">
        <f t="shared" si="1121"/>
        <v>0.50197435246317934</v>
      </c>
      <c r="I115" s="854">
        <f t="shared" si="1121"/>
        <v>0.6232822477650064</v>
      </c>
      <c r="J115" s="854">
        <f t="shared" si="1121"/>
        <v>0.6353641366952516</v>
      </c>
      <c r="K115" s="854">
        <f t="shared" si="1121"/>
        <v>0.56553932872149637</v>
      </c>
      <c r="L115" s="854">
        <f t="shared" si="1121"/>
        <v>0.63964610847544556</v>
      </c>
      <c r="M115" s="854">
        <f t="shared" si="1121"/>
        <v>0.67391050583657597</v>
      </c>
      <c r="N115" s="854">
        <f t="shared" si="1121"/>
        <v>0.77449191685912244</v>
      </c>
      <c r="O115" s="854">
        <f t="shared" si="1121"/>
        <v>0.88144051446945348</v>
      </c>
      <c r="P115" s="854">
        <f t="shared" si="1121"/>
        <v>0.85135075972186458</v>
      </c>
      <c r="Q115" s="854">
        <f t="shared" si="1121"/>
        <v>0.93964340885684861</v>
      </c>
      <c r="R115" s="854">
        <f t="shared" si="1121"/>
        <v>1.008514979338843</v>
      </c>
      <c r="S115" s="854">
        <f t="shared" si="1121"/>
        <v>0.97942073959141451</v>
      </c>
      <c r="T115" s="854">
        <f t="shared" si="1121"/>
        <v>1.0626381322957199</v>
      </c>
      <c r="U115" s="854">
        <f t="shared" si="1121"/>
        <v>1.2742318224740321</v>
      </c>
      <c r="V115" s="854">
        <f t="shared" si="1121"/>
        <v>1.2200612377850164</v>
      </c>
      <c r="W115" s="854">
        <f t="shared" si="1121"/>
        <v>1.085932026143791</v>
      </c>
      <c r="X115" s="854">
        <f t="shared" si="1121"/>
        <v>1.2940893020819693</v>
      </c>
      <c r="Y115" s="854">
        <f t="shared" si="1121"/>
        <v>1.5555711659663864</v>
      </c>
      <c r="Z115" s="854">
        <f t="shared" si="1121"/>
        <v>1.3890272475977361</v>
      </c>
      <c r="AA115" s="854">
        <f t="shared" si="1121"/>
        <v>1.5003231763619576</v>
      </c>
      <c r="AB115" s="854">
        <f t="shared" si="1121"/>
        <v>1.5892639090788951</v>
      </c>
      <c r="AC115" s="854">
        <f t="shared" si="1121"/>
        <v>1.9169887491727333</v>
      </c>
      <c r="AD115" s="854">
        <f t="shared" si="1121"/>
        <v>1.7816697637377223</v>
      </c>
      <c r="AE115" s="854">
        <f t="shared" si="1121"/>
        <v>1.5272755129229949</v>
      </c>
      <c r="AF115" s="854">
        <f t="shared" si="1121"/>
        <v>1.7677862391449568</v>
      </c>
      <c r="AG115" s="854">
        <f t="shared" si="1121"/>
        <v>1.8521209688210893</v>
      </c>
      <c r="AH115" s="854">
        <f t="shared" si="1121"/>
        <v>1.8302076634512325</v>
      </c>
      <c r="AI115" s="854">
        <f t="shared" si="1121"/>
        <v>1.7019325030132584</v>
      </c>
      <c r="AJ115" s="854">
        <f t="shared" si="1121"/>
        <v>1.9130742428303404</v>
      </c>
      <c r="AK115" s="854">
        <f t="shared" si="1121"/>
        <v>2.1307230851633636</v>
      </c>
      <c r="AL115" s="854">
        <f t="shared" si="1121"/>
        <v>1.7872898822269809</v>
      </c>
      <c r="AM115" s="854">
        <f t="shared" si="1121"/>
        <v>1.2166064975910063</v>
      </c>
      <c r="AN115" s="854">
        <f t="shared" si="1121"/>
        <v>1.4585400011153324</v>
      </c>
      <c r="AO115" s="854">
        <f t="shared" si="1121"/>
        <v>1.7475414478528688</v>
      </c>
      <c r="AP115" s="854">
        <f t="shared" si="1121"/>
        <v>1.8920853420295574</v>
      </c>
      <c r="AQ115" s="854">
        <f t="shared" si="1121"/>
        <v>2.0042505075515984</v>
      </c>
      <c r="AS115" s="854">
        <f t="shared" ref="AS115:BE115" si="1122">+AS114/AS72</f>
        <v>1.3956527331189712</v>
      </c>
      <c r="AT115" s="854">
        <f t="shared" si="1122"/>
        <v>1.4399099678456591</v>
      </c>
      <c r="AU115" s="854">
        <f t="shared" si="1122"/>
        <v>1.5744887459807075</v>
      </c>
      <c r="AV115" s="854">
        <f t="shared" si="1122"/>
        <v>1.8460578778135048</v>
      </c>
      <c r="AW115" s="854">
        <f t="shared" si="1122"/>
        <v>1.5854212218649519</v>
      </c>
      <c r="AX115" s="854">
        <f t="shared" si="1122"/>
        <v>2.180636655948553</v>
      </c>
      <c r="AY115" s="854">
        <f t="shared" si="1122"/>
        <v>2.3996334405144695</v>
      </c>
      <c r="AZ115" s="854">
        <f t="shared" si="1122"/>
        <v>2.5338906752411576</v>
      </c>
      <c r="BA115" s="854">
        <f t="shared" si="1122"/>
        <v>2.1888424437299037</v>
      </c>
      <c r="BB115" s="854">
        <f t="shared" si="1122"/>
        <v>2.301292604501608</v>
      </c>
      <c r="BC115" s="854">
        <f t="shared" si="1122"/>
        <v>2.385813504823151</v>
      </c>
      <c r="BD115" s="854">
        <f t="shared" si="1122"/>
        <v>2.3601825842696629</v>
      </c>
      <c r="BE115" s="854">
        <f t="shared" si="1122"/>
        <v>2.4969014626635873</v>
      </c>
      <c r="BG115" s="854">
        <f t="shared" ref="BG115:BN115" si="1123">+BG114/BG72</f>
        <v>1.8857187431745142</v>
      </c>
      <c r="BH115" s="854">
        <f t="shared" si="1123"/>
        <v>2.3256249002394256</v>
      </c>
      <c r="BI115" s="854">
        <f t="shared" si="1123"/>
        <v>2.9698230259347449</v>
      </c>
      <c r="BJ115" s="854">
        <f t="shared" si="1123"/>
        <v>3.778604411195666</v>
      </c>
      <c r="BK115" s="854">
        <f t="shared" si="1123"/>
        <v>4.6432441869104935</v>
      </c>
      <c r="BL115" s="854">
        <f t="shared" si="1123"/>
        <v>5.7384351483684402</v>
      </c>
      <c r="BM115" s="854">
        <f t="shared" si="1123"/>
        <v>6.8159458921822162</v>
      </c>
      <c r="BN115" s="854">
        <f t="shared" si="1123"/>
        <v>7.1523131088016614</v>
      </c>
      <c r="BO115" s="854">
        <f t="shared" si="1092"/>
        <v>7.0476937078116908</v>
      </c>
      <c r="BP115" s="854">
        <f t="shared" si="1099"/>
        <v>7.1024172985493568</v>
      </c>
      <c r="BR115"/>
    </row>
    <row r="116" spans="2:70" s="1" customFormat="1" ht="10.5">
      <c r="B116" s="1139" t="s">
        <v>113</v>
      </c>
      <c r="C116" s="7"/>
      <c r="D116" s="7"/>
      <c r="E116" s="7"/>
      <c r="F116" s="7"/>
      <c r="G116" s="7"/>
      <c r="H116" s="855">
        <f>IFERROR(H115/D115-1,"n/a ")</f>
        <v>4.7310251329111486E-2</v>
      </c>
      <c r="I116" s="855">
        <f t="shared" ref="I116" si="1124">IFERROR(I115/E115-1,"n/a ")</f>
        <v>0.16767975817195446</v>
      </c>
      <c r="J116" s="855">
        <f t="shared" ref="J116" si="1125">IFERROR(J115/F115-1,"n/a ")</f>
        <v>0.51478170680348856</v>
      </c>
      <c r="K116" s="855">
        <f t="shared" ref="K116" si="1126">IFERROR(K115/G115-1,"n/a ")</f>
        <v>0.24994044248996361</v>
      </c>
      <c r="L116" s="855">
        <f t="shared" ref="L116" si="1127">IFERROR(L115/H115-1,"n/a ")</f>
        <v>0.27426053808668382</v>
      </c>
      <c r="M116" s="855">
        <f t="shared" ref="M116" si="1128">IFERROR(M115/I115-1,"n/a ")</f>
        <v>8.1228461508593641E-2</v>
      </c>
      <c r="N116" s="855">
        <f t="shared" ref="N116" si="1129">IFERROR(N115/J115-1,"n/a ")</f>
        <v>0.21897329756054917</v>
      </c>
      <c r="O116" s="855">
        <f t="shared" ref="O116" si="1130">IFERROR(O115/K115-1,"n/a ")</f>
        <v>0.55858393873704371</v>
      </c>
      <c r="P116" s="855">
        <f t="shared" ref="P116" si="1131">IFERROR(P115/L115-1,"n/a ")</f>
        <v>0.33097153010279867</v>
      </c>
      <c r="Q116" s="855">
        <f t="shared" ref="Q116" si="1132">IFERROR(Q115/M115-1,"n/a ")</f>
        <v>0.39431482477098112</v>
      </c>
      <c r="R116" s="855">
        <f t="shared" ref="R116" si="1133">IFERROR(R115/N115-1,"n/a ")</f>
        <v>0.30216333751910374</v>
      </c>
      <c r="S116" s="855">
        <f t="shared" ref="S116" si="1134">IFERROR(S115/O115-1,"n/a ")</f>
        <v>0.11115920304722571</v>
      </c>
      <c r="T116" s="855">
        <f t="shared" ref="T116" si="1135">IFERROR(T115/P115-1,"n/a ")</f>
        <v>0.24817899104580898</v>
      </c>
      <c r="U116" s="855">
        <f t="shared" ref="U116" si="1136">IFERROR(U115/Q115-1,"n/a ")</f>
        <v>0.35608020070532609</v>
      </c>
      <c r="V116" s="855">
        <f t="shared" ref="V116" si="1137">IFERROR(V115/R115-1,"n/a ")</f>
        <v>0.20976015505972723</v>
      </c>
      <c r="W116" s="855">
        <f t="shared" ref="W116:X116" si="1138">IFERROR(W115/S115-1,"n/a ")</f>
        <v>0.10874926601698243</v>
      </c>
      <c r="X116" s="855">
        <f t="shared" si="1138"/>
        <v>0.21780807854713724</v>
      </c>
      <c r="Y116" s="855">
        <f t="shared" ref="Y116" si="1139">IFERROR(Y115/U115-1,"n/a ")</f>
        <v>0.22079133367279247</v>
      </c>
      <c r="Z116" s="855">
        <f t="shared" ref="Z116" si="1140">IFERROR(Z115/V115-1,"n/a ")</f>
        <v>0.13848977787334049</v>
      </c>
      <c r="AA116" s="855">
        <f t="shared" ref="AA116" si="1141">IFERROR(AA115/W115-1,"n/a ")</f>
        <v>0.3815995294748733</v>
      </c>
      <c r="AB116" s="855">
        <f t="shared" ref="AB116" si="1142">IFERROR(AB115/X115-1,"n/a ")</f>
        <v>0.22809446498169805</v>
      </c>
      <c r="AC116" s="855">
        <f t="shared" ref="AC116" si="1143">IFERROR(AC115/Y115-1,"n/a ")</f>
        <v>0.23233754334975676</v>
      </c>
      <c r="AD116" s="855">
        <f t="shared" ref="AD116" si="1144">IFERROR(AD115/Z115-1,"n/a ")</f>
        <v>0.282674452080796</v>
      </c>
      <c r="AE116" s="855">
        <f t="shared" ref="AE116" si="1145">IFERROR(AE115/AA115-1,"n/a ")</f>
        <v>1.796435393765794E-2</v>
      </c>
      <c r="AF116" s="855">
        <f t="shared" ref="AF116" si="1146">IFERROR(AF115/AB115-1,"n/a ")</f>
        <v>0.11233019830515723</v>
      </c>
      <c r="AG116" s="855">
        <f t="shared" ref="AG116" si="1147">IFERROR(AG115/AC115-1,"n/a ")</f>
        <v>-3.3838373010606992E-2</v>
      </c>
      <c r="AH116" s="855">
        <f t="shared" ref="AH116" si="1148">IFERROR(AH115/AD115-1,"n/a ")</f>
        <v>2.7242927225572755E-2</v>
      </c>
      <c r="AI116" s="855">
        <f t="shared" ref="AI116" si="1149">IFERROR(AI115/AE115-1,"n/a ")</f>
        <v>0.11435853492864179</v>
      </c>
      <c r="AJ116" s="855">
        <f t="shared" ref="AJ116" si="1150">IFERROR(AJ115/AF115-1,"n/a ")</f>
        <v>8.2186409458451681E-2</v>
      </c>
      <c r="AK116" s="855">
        <f t="shared" ref="AK116" si="1151">IFERROR(AK115/AG115-1,"n/a ")</f>
        <v>0.15042328283751893</v>
      </c>
      <c r="AL116" s="855">
        <f t="shared" ref="AL116" si="1152">IFERROR(AL115/AH115-1,"n/a ")</f>
        <v>-2.3449678460706114E-2</v>
      </c>
      <c r="AM116" s="855">
        <f t="shared" ref="AM116" si="1153">IFERROR(AM115/AI115-1,"n/a ")</f>
        <v>-0.28516172325458633</v>
      </c>
      <c r="AN116" s="855">
        <f t="shared" ref="AN116" si="1154">IFERROR(AN115/AJ115-1,"n/a ")</f>
        <v>-0.23759362367585757</v>
      </c>
      <c r="AO116" s="855">
        <f t="shared" ref="AO116" si="1155">IFERROR(AO115/AK115-1,"n/a ")</f>
        <v>-0.17983643204443722</v>
      </c>
      <c r="AP116" s="855">
        <f t="shared" ref="AP116" si="1156">IFERROR(AP115/AL115-1,"n/a ")</f>
        <v>5.8633722959366974E-2</v>
      </c>
      <c r="AQ116" s="855">
        <f t="shared" ref="AQ116" si="1157">IFERROR(AQ115/AM115-1,"n/a ")</f>
        <v>0.64741065539284914</v>
      </c>
      <c r="AR116" s="7"/>
      <c r="AS116" s="7"/>
      <c r="AT116" s="855">
        <f>IFERROR(AT115/AS115-1,"n/a ")</f>
        <v>3.171077853140658E-2</v>
      </c>
      <c r="AU116" s="855">
        <f t="shared" ref="AU116" si="1158">IFERROR(AU115/AT115-1,"n/a ")</f>
        <v>9.3463328361008902E-2</v>
      </c>
      <c r="AV116" s="855">
        <f t="shared" ref="AV116" si="1159">IFERROR(AV115/AU115-1,"n/a ")</f>
        <v>0.17248083387451851</v>
      </c>
      <c r="AW116" s="855">
        <f t="shared" ref="AW116" si="1160">IFERROR(AW115/AV115-1,"n/a ")</f>
        <v>-0.14118552786506045</v>
      </c>
      <c r="AX116" s="855">
        <f t="shared" ref="AX116" si="1161">IFERROR(AX115/AW115-1,"n/a ")</f>
        <v>0.37543046975455607</v>
      </c>
      <c r="AY116" s="855">
        <f t="shared" ref="AY116" si="1162">IFERROR(AY115/AX115-1,"n/a ")</f>
        <v>0.10042791125633688</v>
      </c>
      <c r="AZ116" s="855">
        <f t="shared" ref="AZ116" si="1163">IFERROR(AZ115/AY115-1,"n/a ")</f>
        <v>5.594905974385167E-2</v>
      </c>
      <c r="BA116" s="855">
        <f t="shared" ref="BA116" si="1164">IFERROR(BA115/AZ115-1,"n/a ")</f>
        <v>-0.13617329069590378</v>
      </c>
      <c r="BB116" s="855">
        <f t="shared" ref="BB116" si="1165">IFERROR(BB115/BA115-1,"n/a ")</f>
        <v>5.1374259985603743E-2</v>
      </c>
      <c r="BC116" s="855">
        <f t="shared" ref="BC116" si="1166">IFERROR(BC115/BB115-1,"n/a ")</f>
        <v>3.6727576561194297E-2</v>
      </c>
      <c r="BD116" s="855">
        <f t="shared" ref="BD116" si="1167">IFERROR(BD115/BC115-1,"n/a ")</f>
        <v>-1.0743052842006606E-2</v>
      </c>
      <c r="BE116" s="855">
        <f t="shared" ref="BE116" si="1168">IFERROR(BE115/BD115-1,"n/a ")</f>
        <v>5.7927246521154441E-2</v>
      </c>
      <c r="BF116" s="7"/>
      <c r="BG116" s="1179">
        <f t="shared" ref="BG116" si="1169">+BD116</f>
        <v>-1.0743052842006606E-2</v>
      </c>
      <c r="BH116" s="855">
        <f t="shared" ref="BH116" si="1170">IFERROR(BH115/BG115-1,"n/a ")</f>
        <v>0.23328301670499973</v>
      </c>
      <c r="BI116" s="855">
        <f t="shared" ref="BI116" si="1171">IFERROR(BI115/BH115-1,"n/a ")</f>
        <v>0.27700001218124148</v>
      </c>
      <c r="BJ116" s="855">
        <f t="shared" ref="BJ116" si="1172">IFERROR(BJ115/BI115-1,"n/a ")</f>
        <v>0.27233319231416453</v>
      </c>
      <c r="BK116" s="855">
        <f t="shared" ref="BK116" si="1173">IFERROR(BK115/BJ115-1,"n/a ")</f>
        <v>0.22882516443186729</v>
      </c>
      <c r="BL116" s="855">
        <f t="shared" ref="BL116" si="1174">IFERROR(BL115/BK115-1,"n/a ")</f>
        <v>0.23586762129489935</v>
      </c>
      <c r="BM116" s="855">
        <f t="shared" ref="BM116" si="1175">IFERROR(BM115/BL115-1,"n/a ")</f>
        <v>0.18777083228345548</v>
      </c>
      <c r="BN116" s="855">
        <f t="shared" ref="BN116:BP116" si="1176">IFERROR(BN115/BM115-1,"n/a ")</f>
        <v>4.9350042083704526E-2</v>
      </c>
      <c r="BO116" s="855">
        <f t="shared" si="1176"/>
        <v>-1.4627351934750399E-2</v>
      </c>
      <c r="BP116" s="855">
        <f t="shared" si="1176"/>
        <v>7.7647515636227737E-3</v>
      </c>
    </row>
    <row r="118" spans="2:70">
      <c r="B118" t="s">
        <v>142</v>
      </c>
      <c r="D118" s="8">
        <f t="shared" ref="D118:N118" si="1177">+D819</f>
        <v>674</v>
      </c>
      <c r="E118" s="8">
        <f t="shared" si="1177"/>
        <v>658</v>
      </c>
      <c r="F118" s="8">
        <f t="shared" si="1177"/>
        <v>672</v>
      </c>
      <c r="G118" s="8">
        <f t="shared" si="1177"/>
        <v>664</v>
      </c>
      <c r="H118" s="8">
        <f t="shared" si="1177"/>
        <v>703</v>
      </c>
      <c r="I118" s="8">
        <f t="shared" si="1177"/>
        <v>767</v>
      </c>
      <c r="J118" s="8">
        <f t="shared" si="1177"/>
        <v>883</v>
      </c>
      <c r="K118" s="8">
        <f t="shared" si="1177"/>
        <v>913</v>
      </c>
      <c r="L118" s="8">
        <f t="shared" si="1177"/>
        <v>973</v>
      </c>
      <c r="M118" s="8">
        <f t="shared" si="1177"/>
        <v>986</v>
      </c>
      <c r="N118" s="8">
        <f t="shared" si="1177"/>
        <v>969</v>
      </c>
      <c r="O118" s="8">
        <f t="shared" ref="O118:V118" si="1178">+O819</f>
        <v>1012</v>
      </c>
      <c r="P118" s="8">
        <f t="shared" si="1178"/>
        <v>1107</v>
      </c>
      <c r="Q118" s="8">
        <f t="shared" si="1178"/>
        <v>1183</v>
      </c>
      <c r="R118" s="8">
        <f t="shared" si="1178"/>
        <v>1172</v>
      </c>
      <c r="S118" s="8">
        <f t="shared" si="1178"/>
        <v>1190</v>
      </c>
      <c r="T118" s="8">
        <f t="shared" si="1178"/>
        <v>1262</v>
      </c>
      <c r="U118" s="8">
        <f t="shared" si="1178"/>
        <v>1340</v>
      </c>
      <c r="V118" s="8">
        <f t="shared" si="1178"/>
        <v>1338</v>
      </c>
      <c r="W118" s="8">
        <f t="shared" ref="W118:X118" si="1179">+W819</f>
        <v>1349</v>
      </c>
      <c r="X118" s="8">
        <f t="shared" si="1179"/>
        <v>1456</v>
      </c>
      <c r="Y118" s="8">
        <f t="shared" ref="Y118:Z118" si="1180">+Y819</f>
        <v>1566</v>
      </c>
      <c r="Z118" s="8">
        <f t="shared" si="1180"/>
        <v>1525</v>
      </c>
      <c r="AA118" s="8">
        <f t="shared" ref="AA118:AB118" si="1181">+AA819</f>
        <v>1571</v>
      </c>
      <c r="AB118" s="8">
        <f t="shared" si="1181"/>
        <v>1702</v>
      </c>
      <c r="AC118" s="8">
        <f t="shared" ref="AC118:AD118" si="1182">+AC819</f>
        <v>1897</v>
      </c>
      <c r="AD118" s="8">
        <f t="shared" si="1182"/>
        <v>1906</v>
      </c>
      <c r="AE118" s="8">
        <f t="shared" ref="AE118:AF118" si="1183">+AE819</f>
        <v>1997</v>
      </c>
      <c r="AF118" s="8">
        <f t="shared" si="1183"/>
        <v>2192</v>
      </c>
      <c r="AG118" s="8">
        <f t="shared" ref="AG118" si="1184">+AG819</f>
        <v>2538</v>
      </c>
      <c r="AH118" s="8">
        <f t="shared" ref="AH118" si="1185">+AH819</f>
        <v>2465</v>
      </c>
      <c r="AI118" s="8">
        <f t="shared" ref="AI118:AJ118" si="1186">+AI819</f>
        <v>2416</v>
      </c>
      <c r="AJ118" s="8">
        <f t="shared" si="1186"/>
        <v>2507</v>
      </c>
      <c r="AK118" s="8">
        <f t="shared" ref="AK118:AM118" si="1187">+AK819</f>
        <v>2828</v>
      </c>
      <c r="AL118" s="8">
        <f t="shared" si="1187"/>
        <v>2703</v>
      </c>
      <c r="AM118" s="8">
        <f t="shared" si="1187"/>
        <v>2696</v>
      </c>
      <c r="AN118" s="61">
        <v>0</v>
      </c>
      <c r="AO118" s="61">
        <v>0</v>
      </c>
      <c r="AP118" s="61">
        <v>0</v>
      </c>
      <c r="AQ118" s="61">
        <v>0</v>
      </c>
      <c r="AS118" s="8">
        <f t="shared" ref="AS118:BE118" si="1188">+AS819</f>
        <v>2448</v>
      </c>
      <c r="AT118" s="8">
        <f t="shared" si="1188"/>
        <v>1715</v>
      </c>
      <c r="AU118" s="8">
        <f t="shared" si="1188"/>
        <v>1550</v>
      </c>
      <c r="AV118" s="8">
        <f t="shared" si="1188"/>
        <v>1479</v>
      </c>
      <c r="AW118" s="8">
        <f t="shared" si="1188"/>
        <v>1708</v>
      </c>
      <c r="AX118" s="8">
        <f t="shared" si="1188"/>
        <v>1891</v>
      </c>
      <c r="AY118" s="8">
        <f t="shared" si="1188"/>
        <v>2166</v>
      </c>
      <c r="AZ118" s="8">
        <f t="shared" si="1188"/>
        <v>2244</v>
      </c>
      <c r="BA118" s="8">
        <f t="shared" si="1188"/>
        <v>2406</v>
      </c>
      <c r="BB118" s="8">
        <f t="shared" si="1188"/>
        <v>2446</v>
      </c>
      <c r="BC118" s="8">
        <f t="shared" si="1188"/>
        <v>2574</v>
      </c>
      <c r="BD118" s="8">
        <f t="shared" si="1188"/>
        <v>2668</v>
      </c>
      <c r="BE118" s="8">
        <f t="shared" si="1188"/>
        <v>3266</v>
      </c>
      <c r="BG118" s="8">
        <f>+SUM(D118:G118)</f>
        <v>2668</v>
      </c>
      <c r="BH118" s="8">
        <f>+BH819</f>
        <v>3266</v>
      </c>
      <c r="BI118" s="8">
        <f>+BI819</f>
        <v>3940</v>
      </c>
      <c r="BJ118" s="8">
        <f t="shared" ref="BJ118:BK118" si="1189">+BJ819</f>
        <v>4652</v>
      </c>
      <c r="BK118" s="8">
        <f t="shared" si="1189"/>
        <v>5289</v>
      </c>
      <c r="BL118" s="8">
        <f>SUM(X118:AA118)</f>
        <v>6118</v>
      </c>
      <c r="BM118" s="8">
        <f t="shared" ref="BM118" si="1190">SUM(AB118:AE118)</f>
        <v>7502</v>
      </c>
      <c r="BN118" s="8">
        <f>SUM(AF118:AI118)</f>
        <v>9611</v>
      </c>
      <c r="BO118" s="8">
        <f t="shared" ref="BO118:BO122" si="1191">SUM(AJ118:AM118)</f>
        <v>10734</v>
      </c>
      <c r="BP118" s="8">
        <f t="shared" ref="BP118:BP122" si="1192">+SUM(AN118:AQ118)</f>
        <v>0</v>
      </c>
      <c r="BQ118" s="8"/>
    </row>
    <row r="119" spans="2:70" s="100" customFormat="1">
      <c r="B119" s="100" t="s">
        <v>312</v>
      </c>
      <c r="D119" s="856" t="s">
        <v>271</v>
      </c>
      <c r="E119" s="856" t="s">
        <v>271</v>
      </c>
      <c r="F119" s="856" t="s">
        <v>271</v>
      </c>
      <c r="G119" s="856" t="s">
        <v>271</v>
      </c>
      <c r="H119" s="856" t="s">
        <v>271</v>
      </c>
      <c r="I119" s="856" t="s">
        <v>271</v>
      </c>
      <c r="J119" s="856" t="s">
        <v>271</v>
      </c>
      <c r="K119" s="856" t="s">
        <v>271</v>
      </c>
      <c r="L119" s="856" t="s">
        <v>271</v>
      </c>
      <c r="M119" s="856" t="s">
        <v>271</v>
      </c>
      <c r="N119" s="856" t="s">
        <v>271</v>
      </c>
      <c r="O119" s="856" t="s">
        <v>271</v>
      </c>
      <c r="P119" s="856" t="s">
        <v>271</v>
      </c>
      <c r="Q119" s="856" t="s">
        <v>271</v>
      </c>
      <c r="R119" s="856" t="s">
        <v>271</v>
      </c>
      <c r="S119" s="856" t="s">
        <v>271</v>
      </c>
      <c r="T119" s="856" t="s">
        <v>271</v>
      </c>
      <c r="U119" s="856" t="s">
        <v>271</v>
      </c>
      <c r="V119" s="856" t="s">
        <v>271</v>
      </c>
      <c r="W119" s="856" t="s">
        <v>271</v>
      </c>
      <c r="X119" s="856" t="s">
        <v>271</v>
      </c>
      <c r="Y119" s="856" t="s">
        <v>271</v>
      </c>
      <c r="Z119" s="856" t="s">
        <v>271</v>
      </c>
      <c r="AA119" s="856" t="s">
        <v>271</v>
      </c>
      <c r="AB119" s="856" t="s">
        <v>271</v>
      </c>
      <c r="AC119" s="856" t="s">
        <v>271</v>
      </c>
      <c r="AD119" s="856" t="s">
        <v>271</v>
      </c>
      <c r="AE119" s="856" t="s">
        <v>271</v>
      </c>
      <c r="AF119" s="856" t="s">
        <v>271</v>
      </c>
      <c r="AG119" s="856" t="s">
        <v>271</v>
      </c>
      <c r="AH119" s="856" t="s">
        <v>271</v>
      </c>
      <c r="AI119" s="856" t="s">
        <v>271</v>
      </c>
      <c r="AJ119" s="856" t="s">
        <v>271</v>
      </c>
      <c r="AK119" s="856" t="s">
        <v>271</v>
      </c>
      <c r="AL119" s="856" t="s">
        <v>271</v>
      </c>
      <c r="AM119" s="856" t="s">
        <v>271</v>
      </c>
      <c r="AN119" s="11">
        <f>+$BP$119*0.25</f>
        <v>120.0675</v>
      </c>
      <c r="AO119" s="11">
        <f t="shared" ref="AO119:AQ119" si="1193">+$BP$119*0.25</f>
        <v>120.0675</v>
      </c>
      <c r="AP119" s="11">
        <f t="shared" si="1193"/>
        <v>120.0675</v>
      </c>
      <c r="AQ119" s="11">
        <f t="shared" si="1193"/>
        <v>120.0675</v>
      </c>
      <c r="AS119" s="11">
        <f t="shared" ref="AS119:BE119" si="1194">-AS861-AS113</f>
        <v>1489.7999999999993</v>
      </c>
      <c r="AT119" s="11">
        <f t="shared" si="1194"/>
        <v>1591.6999999999998</v>
      </c>
      <c r="AU119" s="11">
        <f t="shared" si="1194"/>
        <v>1835.3499999999995</v>
      </c>
      <c r="AV119" s="11">
        <f t="shared" si="1194"/>
        <v>2934.8999999999996</v>
      </c>
      <c r="AW119" s="11">
        <f t="shared" si="1194"/>
        <v>337.34999999999945</v>
      </c>
      <c r="AX119" s="11">
        <f t="shared" si="1194"/>
        <v>4654.5499999999993</v>
      </c>
      <c r="AY119" s="11">
        <f t="shared" si="1194"/>
        <v>4524.8499999999985</v>
      </c>
      <c r="AZ119" s="11">
        <f t="shared" si="1194"/>
        <v>6461</v>
      </c>
      <c r="BA119" s="11">
        <f t="shared" si="1194"/>
        <v>5824.75</v>
      </c>
      <c r="BB119" s="11">
        <f t="shared" si="1194"/>
        <v>4281.4499999999989</v>
      </c>
      <c r="BC119" s="11">
        <f t="shared" si="1194"/>
        <v>5581.2999999999993</v>
      </c>
      <c r="BD119" s="11">
        <f t="shared" si="1194"/>
        <v>3703.0499999999993</v>
      </c>
      <c r="BE119" s="11">
        <f t="shared" si="1194"/>
        <v>5233.1499999999996</v>
      </c>
      <c r="BG119" s="11">
        <f t="shared" ref="BG119:BO119" si="1195">-BG861-BG113</f>
        <v>5462.15</v>
      </c>
      <c r="BH119" s="11">
        <f t="shared" si="1195"/>
        <v>8172.4499999999989</v>
      </c>
      <c r="BI119" s="11">
        <f t="shared" si="1195"/>
        <v>4560.9599999999991</v>
      </c>
      <c r="BJ119" s="11">
        <f t="shared" si="1195"/>
        <v>774.47999999999956</v>
      </c>
      <c r="BK119" s="11">
        <f t="shared" si="1195"/>
        <v>-1362.4400000000023</v>
      </c>
      <c r="BL119" s="11">
        <f t="shared" si="1195"/>
        <v>1531.4199999999983</v>
      </c>
      <c r="BM119" s="11">
        <f t="shared" si="1195"/>
        <v>1580.3599999999969</v>
      </c>
      <c r="BN119" s="11">
        <f t="shared" si="1195"/>
        <v>-4098.7799999999988</v>
      </c>
      <c r="BO119" s="11">
        <f t="shared" si="1195"/>
        <v>-508.71374999999898</v>
      </c>
      <c r="BP119" s="1265">
        <f>+Base!K71</f>
        <v>480.27</v>
      </c>
    </row>
    <row r="120" spans="2:70" s="100" customFormat="1">
      <c r="B120" s="100" t="s">
        <v>313</v>
      </c>
      <c r="D120" s="856"/>
      <c r="E120" s="856"/>
      <c r="F120" s="856"/>
      <c r="G120" s="856"/>
      <c r="H120" s="856"/>
      <c r="I120" s="856"/>
      <c r="J120" s="856"/>
      <c r="K120" s="856"/>
      <c r="L120" s="856"/>
      <c r="M120" s="856"/>
      <c r="N120" s="856"/>
      <c r="O120" s="856"/>
      <c r="P120" s="856"/>
      <c r="Q120" s="856"/>
      <c r="R120" s="856"/>
      <c r="S120" s="856"/>
      <c r="T120" s="856">
        <v>0</v>
      </c>
      <c r="U120" s="856">
        <v>0</v>
      </c>
      <c r="V120" s="856">
        <v>0</v>
      </c>
      <c r="W120" s="856">
        <v>0</v>
      </c>
      <c r="X120" s="856">
        <v>0</v>
      </c>
      <c r="Y120" s="856">
        <v>0</v>
      </c>
      <c r="Z120" s="856">
        <v>0</v>
      </c>
      <c r="AA120" s="856">
        <v>0</v>
      </c>
      <c r="AB120" s="856">
        <v>0</v>
      </c>
      <c r="AC120" s="856">
        <v>0</v>
      </c>
      <c r="AD120" s="856">
        <v>0</v>
      </c>
      <c r="AE120" s="856">
        <v>0</v>
      </c>
      <c r="AF120" s="856">
        <v>0</v>
      </c>
      <c r="AG120" s="856">
        <v>0</v>
      </c>
      <c r="AH120" s="856">
        <v>0</v>
      </c>
      <c r="AI120" s="856">
        <v>0</v>
      </c>
      <c r="AJ120" s="856">
        <v>0</v>
      </c>
      <c r="AK120" s="29">
        <v>-550</v>
      </c>
      <c r="AL120" s="29">
        <v>-270</v>
      </c>
      <c r="AM120" s="29">
        <v>-250</v>
      </c>
      <c r="AN120" s="61">
        <v>0</v>
      </c>
      <c r="AO120" s="61">
        <v>0</v>
      </c>
      <c r="AP120" s="61">
        <v>0</v>
      </c>
      <c r="AQ120" s="61">
        <v>0</v>
      </c>
      <c r="AS120" s="11"/>
      <c r="AT120" s="11"/>
      <c r="AU120" s="11"/>
      <c r="AV120" s="11"/>
      <c r="AW120" s="11"/>
      <c r="AX120" s="11"/>
      <c r="AY120" s="11"/>
      <c r="AZ120" s="11"/>
      <c r="BA120" s="11"/>
      <c r="BB120" s="11"/>
      <c r="BC120" s="11"/>
      <c r="BD120" s="11"/>
      <c r="BE120" s="11"/>
      <c r="BG120" s="11"/>
      <c r="BH120" s="11">
        <v>0</v>
      </c>
      <c r="BI120" s="11">
        <v>0</v>
      </c>
      <c r="BJ120" s="11">
        <v>0</v>
      </c>
      <c r="BK120" s="11">
        <v>0</v>
      </c>
      <c r="BL120" s="11">
        <v>0</v>
      </c>
      <c r="BM120" s="11">
        <v>0</v>
      </c>
      <c r="BN120" s="11">
        <v>0</v>
      </c>
      <c r="BO120" s="8">
        <f t="shared" si="1191"/>
        <v>-1070</v>
      </c>
      <c r="BP120" s="857">
        <f t="shared" si="1192"/>
        <v>0</v>
      </c>
    </row>
    <row r="121" spans="2:70" ht="11.45">
      <c r="B121" t="s">
        <v>198</v>
      </c>
      <c r="D121" s="10">
        <f t="shared" ref="D121:N121" si="1196">+D122-SUM(D118:D119,D114)</f>
        <v>2827.3500000000004</v>
      </c>
      <c r="E121" s="10">
        <f t="shared" si="1196"/>
        <v>-1337.4500000000007</v>
      </c>
      <c r="F121" s="10">
        <f t="shared" si="1196"/>
        <v>4045.75</v>
      </c>
      <c r="G121" s="10">
        <f t="shared" si="1196"/>
        <v>1112.5</v>
      </c>
      <c r="H121" s="10">
        <f t="shared" si="1196"/>
        <v>4592.45</v>
      </c>
      <c r="I121" s="10">
        <f t="shared" si="1196"/>
        <v>-1854.3000000000002</v>
      </c>
      <c r="J121" s="10">
        <f t="shared" si="1196"/>
        <v>2712.8999999999996</v>
      </c>
      <c r="K121" s="10">
        <f t="shared" si="1196"/>
        <v>2377.3999999999996</v>
      </c>
      <c r="L121" s="10">
        <f t="shared" si="1196"/>
        <v>3778.3999999999996</v>
      </c>
      <c r="M121" s="10">
        <f t="shared" si="1196"/>
        <v>-1606.8500000000004</v>
      </c>
      <c r="N121" s="10">
        <f t="shared" si="1196"/>
        <v>1645.6099999999997</v>
      </c>
      <c r="O121" s="10">
        <f t="shared" ref="O121:V121" si="1197">+O122-SUM(O118:O119,O114)</f>
        <v>-547.20000000000073</v>
      </c>
      <c r="P121" s="10">
        <f t="shared" si="1197"/>
        <v>1638.4099999999999</v>
      </c>
      <c r="Q121" s="10">
        <f t="shared" si="1197"/>
        <v>-3482.1499999999996</v>
      </c>
      <c r="R121" s="10">
        <f t="shared" si="1197"/>
        <v>1138.0599999999995</v>
      </c>
      <c r="S121" s="10">
        <f t="shared" si="1197"/>
        <v>2043.1599999999999</v>
      </c>
      <c r="T121" s="10">
        <f t="shared" si="1197"/>
        <v>-436.94000000000051</v>
      </c>
      <c r="U121" s="10">
        <f t="shared" si="1197"/>
        <v>-4990.1499999999996</v>
      </c>
      <c r="V121" s="10">
        <f t="shared" si="1197"/>
        <v>2902.0299999999988</v>
      </c>
      <c r="W121" s="10">
        <f t="shared" ref="W121:X121" si="1198">+W122-SUM(W118:W119,W114)</f>
        <v>3216.619999999999</v>
      </c>
      <c r="X121" s="10">
        <f t="shared" si="1198"/>
        <v>2496.0400000000009</v>
      </c>
      <c r="Y121" s="10">
        <f t="shared" ref="Y121:Z121" si="1199">+Y122-SUM(Y118:Y119,Y114)</f>
        <v>-6297.23</v>
      </c>
      <c r="Z121" s="10">
        <f t="shared" si="1199"/>
        <v>4101.5599999999995</v>
      </c>
      <c r="AA121" s="10">
        <f t="shared" ref="AA121:AB121" si="1200">+AA122-SUM(AA118:AA119,AA114)</f>
        <v>2465.0499999999993</v>
      </c>
      <c r="AB121" s="10">
        <f t="shared" si="1200"/>
        <v>3412.0400000000009</v>
      </c>
      <c r="AC121" s="10">
        <f t="shared" ref="AC121:AD121" si="1201">+AC122-SUM(AC118:AC119,AC114)</f>
        <v>-8699.85</v>
      </c>
      <c r="AD121" s="10">
        <f t="shared" si="1201"/>
        <v>3756.8999999999996</v>
      </c>
      <c r="AE121" s="10">
        <f t="shared" ref="AE121:AF121" si="1202">+AE122-SUM(AE118:AE119,AE114)</f>
        <v>2468.2700000000004</v>
      </c>
      <c r="AF121" s="10">
        <f t="shared" si="1202"/>
        <v>1174.119999999999</v>
      </c>
      <c r="AG121" s="10">
        <f t="shared" ref="AG121" si="1203">+AG122-SUM(AG118:AG119,AG114)</f>
        <v>-12005.900000000001</v>
      </c>
      <c r="AH121" s="10">
        <f t="shared" ref="AH121" si="1204">+AH122-SUM(AH118:AH119,AH114)</f>
        <v>515.32999999999993</v>
      </c>
      <c r="AI121" s="10">
        <f t="shared" ref="AI121:AJ121" si="1205">+AI122-SUM(AI118:AI119,AI114)</f>
        <v>2945.67</v>
      </c>
      <c r="AJ121" s="10">
        <f t="shared" si="1205"/>
        <v>2600.6399999999994</v>
      </c>
      <c r="AK121" s="10">
        <f>+AK122-SUM(AK118:AK120,AK114)</f>
        <v>-10837.239999999998</v>
      </c>
      <c r="AL121" s="10">
        <f>+AL122-SUM(AL118:AL120,AL114)</f>
        <v>2129.369999999999</v>
      </c>
      <c r="AM121" s="10">
        <f t="shared" ref="AM121" si="1206">+AM122-SUM(AM118:AM120,AM114)</f>
        <v>6658.5162500000006</v>
      </c>
      <c r="AN121" s="58">
        <f>+AJ121-$BO$121/4</f>
        <v>2462.8184374999992</v>
      </c>
      <c r="AO121" s="58">
        <f t="shared" ref="AO121:AQ121" si="1207">+AK121-$BO$121/4</f>
        <v>-10975.061562499999</v>
      </c>
      <c r="AP121" s="58">
        <f t="shared" si="1207"/>
        <v>1991.5484374999987</v>
      </c>
      <c r="AQ121" s="58">
        <f t="shared" si="1207"/>
        <v>6520.6946875000003</v>
      </c>
      <c r="AS121" s="10">
        <f t="shared" ref="AS121:BE121" si="1208">+AS122-SUM(AS118:AS119,AS114)</f>
        <v>1004</v>
      </c>
      <c r="AT121" s="10">
        <f t="shared" si="1208"/>
        <v>-1676</v>
      </c>
      <c r="AU121" s="10">
        <f t="shared" si="1208"/>
        <v>-95</v>
      </c>
      <c r="AV121" s="10">
        <f t="shared" si="1208"/>
        <v>-337</v>
      </c>
      <c r="AW121" s="10">
        <f t="shared" si="1208"/>
        <v>1546</v>
      </c>
      <c r="AX121" s="10">
        <f t="shared" si="1208"/>
        <v>-1404</v>
      </c>
      <c r="AY121" s="10">
        <f t="shared" si="1208"/>
        <v>-709</v>
      </c>
      <c r="AZ121" s="10">
        <f t="shared" si="1208"/>
        <v>915</v>
      </c>
      <c r="BA121" s="10">
        <f t="shared" si="1208"/>
        <v>-673</v>
      </c>
      <c r="BB121" s="10">
        <f t="shared" si="1208"/>
        <v>2397</v>
      </c>
      <c r="BC121" s="10">
        <f t="shared" si="1208"/>
        <v>-2981</v>
      </c>
      <c r="BD121" s="10">
        <f t="shared" si="1208"/>
        <v>-431</v>
      </c>
      <c r="BE121" s="10">
        <f t="shared" si="1208"/>
        <v>1347</v>
      </c>
      <c r="BG121" s="10">
        <f>+BG122-SUM(BG118:BG119,BG114)</f>
        <v>1186</v>
      </c>
      <c r="BH121" s="10">
        <f>+BH122-SUM(BH118:BH119,BH114)</f>
        <v>-344</v>
      </c>
      <c r="BI121" s="10">
        <f>+BI122-SUM(BI118:BI119,BI114)</f>
        <v>-1291</v>
      </c>
      <c r="BJ121" s="10">
        <f t="shared" ref="BJ121" si="1209">+BJ122-SUM(BJ118:BJ119,BJ114)</f>
        <v>563</v>
      </c>
      <c r="BK121" s="10">
        <f>+BK122-SUM(BK118:BK119,BK114)</f>
        <v>2054</v>
      </c>
      <c r="BL121" s="10">
        <f t="shared" ref="BL121:BN121" si="1210">+BL122-SUM(BL118:BL119,BL114)</f>
        <v>1234</v>
      </c>
      <c r="BM121" s="10">
        <f t="shared" si="1210"/>
        <v>-643</v>
      </c>
      <c r="BN121" s="10">
        <f t="shared" si="1210"/>
        <v>-3272</v>
      </c>
      <c r="BO121" s="10">
        <f t="shared" si="1191"/>
        <v>551.28625000000102</v>
      </c>
      <c r="BP121" s="58">
        <f t="shared" si="1192"/>
        <v>0</v>
      </c>
    </row>
    <row r="122" spans="2:70" s="1" customFormat="1" ht="10.5">
      <c r="B122" s="837" t="s">
        <v>145</v>
      </c>
      <c r="D122" s="838">
        <f t="shared" ref="D122:V122" si="1211">+D125+D111</f>
        <v>7376</v>
      </c>
      <c r="E122" s="838">
        <f t="shared" si="1211"/>
        <v>3618</v>
      </c>
      <c r="F122" s="838">
        <f t="shared" si="1211"/>
        <v>8067</v>
      </c>
      <c r="G122" s="838">
        <f t="shared" si="1211"/>
        <v>5364</v>
      </c>
      <c r="H122" s="838">
        <f t="shared" si="1211"/>
        <v>9249</v>
      </c>
      <c r="I122" s="838">
        <f t="shared" si="1211"/>
        <v>3793</v>
      </c>
      <c r="J122" s="838">
        <f t="shared" si="1211"/>
        <v>8560</v>
      </c>
      <c r="K122" s="838">
        <f t="shared" si="1211"/>
        <v>7705</v>
      </c>
      <c r="L122" s="838">
        <f t="shared" si="1211"/>
        <v>9740</v>
      </c>
      <c r="M122" s="838">
        <f t="shared" si="1211"/>
        <v>4575</v>
      </c>
      <c r="N122" s="838">
        <f t="shared" si="1211"/>
        <v>8651</v>
      </c>
      <c r="O122" s="838">
        <f t="shared" si="1211"/>
        <v>7318</v>
      </c>
      <c r="P122" s="838">
        <f t="shared" si="1211"/>
        <v>9357</v>
      </c>
      <c r="Q122" s="838">
        <f t="shared" si="1211"/>
        <v>5000</v>
      </c>
      <c r="R122" s="838">
        <f t="shared" si="1211"/>
        <v>10120</v>
      </c>
      <c r="S122" s="838">
        <f t="shared" si="1211"/>
        <v>10808</v>
      </c>
      <c r="T122" s="838">
        <f t="shared" si="1211"/>
        <v>9018</v>
      </c>
      <c r="U122" s="838">
        <f t="shared" si="1211"/>
        <v>6180</v>
      </c>
      <c r="V122" s="838">
        <f t="shared" si="1211"/>
        <v>13604</v>
      </c>
      <c r="W122" s="838">
        <f t="shared" ref="W122:X122" si="1212">+W125+W111</f>
        <v>12873</v>
      </c>
      <c r="X122" s="838">
        <f t="shared" si="1212"/>
        <v>13835</v>
      </c>
      <c r="Y122" s="838">
        <f t="shared" ref="Y122:Z122" si="1213">+Y125+Y111</f>
        <v>7116</v>
      </c>
      <c r="Z122" s="838">
        <f t="shared" si="1213"/>
        <v>16179</v>
      </c>
      <c r="AA122" s="838">
        <f t="shared" ref="AA122:AB122" si="1214">+AA125+AA111</f>
        <v>15410</v>
      </c>
      <c r="AB122" s="838">
        <f t="shared" si="1214"/>
        <v>17140</v>
      </c>
      <c r="AC122" s="838">
        <f t="shared" ref="AC122:AD122" si="1215">+AC125+AC111</f>
        <v>7680</v>
      </c>
      <c r="AD122" s="838">
        <f t="shared" si="1215"/>
        <v>19086</v>
      </c>
      <c r="AE122" s="838">
        <f t="shared" ref="AE122:AF122" si="1216">+AE125+AE111</f>
        <v>15929</v>
      </c>
      <c r="AF122" s="838">
        <f t="shared" si="1216"/>
        <v>16598</v>
      </c>
      <c r="AG122" s="838">
        <f t="shared" ref="AG122" si="1217">+AG125+AG111</f>
        <v>4373</v>
      </c>
      <c r="AH122" s="838">
        <f t="shared" ref="AH122" si="1218">+AH125+AH111</f>
        <v>16641</v>
      </c>
      <c r="AI122" s="838">
        <f t="shared" ref="AI122:AJ122" si="1219">+AI125+AI111</f>
        <v>18070</v>
      </c>
      <c r="AJ122" s="838">
        <f t="shared" si="1219"/>
        <v>19383</v>
      </c>
      <c r="AK122" s="838">
        <f t="shared" ref="AK122:AL122" si="1220">+AK125+AK111</f>
        <v>7353</v>
      </c>
      <c r="AL122" s="838">
        <f t="shared" si="1220"/>
        <v>17917</v>
      </c>
      <c r="AM122" s="838">
        <f t="shared" ref="AM122" si="1221">+AM125+AM111</f>
        <v>18195</v>
      </c>
      <c r="AN122" s="838">
        <f>+AN121+AN119+AN118+AN114+AN120</f>
        <v>13481.096825833763</v>
      </c>
      <c r="AO122" s="838">
        <f t="shared" ref="AO122:AQ122" si="1222">+AO121+AO119+AO118+AO114+AO120</f>
        <v>2202.6356358566354</v>
      </c>
      <c r="AP122" s="838">
        <f t="shared" si="1222"/>
        <v>16249.277613144852</v>
      </c>
      <c r="AQ122" s="838">
        <f t="shared" si="1222"/>
        <v>21616.521979925543</v>
      </c>
      <c r="AS122" s="838">
        <f t="shared" ref="AS122:BE122" si="1223">+AS125+AS111</f>
        <v>15793</v>
      </c>
      <c r="AT122" s="838">
        <f t="shared" si="1223"/>
        <v>12826</v>
      </c>
      <c r="AU122" s="838">
        <f t="shared" si="1223"/>
        <v>15532</v>
      </c>
      <c r="AV122" s="838">
        <f t="shared" si="1223"/>
        <v>18430</v>
      </c>
      <c r="AW122" s="838">
        <f t="shared" si="1223"/>
        <v>15918</v>
      </c>
      <c r="AX122" s="838">
        <f t="shared" si="1223"/>
        <v>22096</v>
      </c>
      <c r="AY122" s="838">
        <f t="shared" si="1223"/>
        <v>24639</v>
      </c>
      <c r="AZ122" s="838">
        <f t="shared" si="1223"/>
        <v>29321</v>
      </c>
      <c r="BA122" s="838">
        <f t="shared" si="1223"/>
        <v>24576</v>
      </c>
      <c r="BB122" s="838">
        <f t="shared" si="1223"/>
        <v>27017</v>
      </c>
      <c r="BC122" s="838">
        <f t="shared" si="1223"/>
        <v>23724</v>
      </c>
      <c r="BD122" s="838">
        <f t="shared" si="1223"/>
        <v>24425</v>
      </c>
      <c r="BE122" s="838">
        <f t="shared" si="1223"/>
        <v>29307</v>
      </c>
      <c r="BG122" s="838">
        <f>+BG125+BG111</f>
        <v>24425</v>
      </c>
      <c r="BH122" s="838">
        <f>+BH125+BH111</f>
        <v>29307</v>
      </c>
      <c r="BI122" s="838">
        <f>+BI125+BI111</f>
        <v>30284</v>
      </c>
      <c r="BJ122" s="838">
        <f>+BJ125+BJ111</f>
        <v>35285</v>
      </c>
      <c r="BK122" s="838">
        <f t="shared" ref="BK122:BM122" si="1224">+BK125+BK111</f>
        <v>41675</v>
      </c>
      <c r="BL122" s="838">
        <f t="shared" si="1224"/>
        <v>52540</v>
      </c>
      <c r="BM122" s="838">
        <f t="shared" si="1224"/>
        <v>59835</v>
      </c>
      <c r="BN122" s="838">
        <f t="shared" ref="BN122" si="1225">SUM(AF122:AI122)</f>
        <v>55682</v>
      </c>
      <c r="BO122" s="838">
        <f t="shared" si="1191"/>
        <v>62848</v>
      </c>
      <c r="BP122" s="838">
        <f t="shared" si="1192"/>
        <v>53549.532054760792</v>
      </c>
    </row>
    <row r="123" spans="2:70">
      <c r="W123" s="824"/>
      <c r="X123" s="824"/>
      <c r="Y123" s="824"/>
      <c r="Z123" s="824"/>
      <c r="AA123" s="824"/>
      <c r="AG123" s="8"/>
    </row>
    <row r="124" spans="2:70" ht="10.5">
      <c r="B124" s="858" t="s">
        <v>314</v>
      </c>
      <c r="AH124" s="8"/>
    </row>
    <row r="125" spans="2:70">
      <c r="B125" s="843" t="s">
        <v>315</v>
      </c>
      <c r="D125" s="8">
        <f>+D832</f>
        <v>8876</v>
      </c>
      <c r="E125" s="8">
        <f t="shared" ref="E125:N125" si="1226">+E832</f>
        <v>5618</v>
      </c>
      <c r="F125" s="8">
        <f t="shared" si="1226"/>
        <v>10367</v>
      </c>
      <c r="G125" s="8">
        <f t="shared" si="1226"/>
        <v>8464</v>
      </c>
      <c r="H125" s="8">
        <f t="shared" si="1226"/>
        <v>11549</v>
      </c>
      <c r="I125" s="8">
        <f t="shared" si="1226"/>
        <v>6293</v>
      </c>
      <c r="J125" s="8">
        <f t="shared" si="1226"/>
        <v>10660</v>
      </c>
      <c r="K125" s="8">
        <f t="shared" si="1226"/>
        <v>11005</v>
      </c>
      <c r="L125" s="8">
        <f t="shared" si="1226"/>
        <v>12440</v>
      </c>
      <c r="M125" s="8">
        <f t="shared" si="1226"/>
        <v>7875</v>
      </c>
      <c r="N125" s="8">
        <f t="shared" si="1226"/>
        <v>12151</v>
      </c>
      <c r="O125" s="8">
        <f t="shared" ref="O125:V125" si="1227">+O832</f>
        <v>11418</v>
      </c>
      <c r="P125" s="8">
        <f t="shared" si="1227"/>
        <v>13657</v>
      </c>
      <c r="Q125" s="8">
        <f t="shared" si="1227"/>
        <v>8900</v>
      </c>
      <c r="R125" s="8">
        <f t="shared" si="1227"/>
        <v>13520</v>
      </c>
      <c r="S125" s="8">
        <f t="shared" si="1227"/>
        <v>16108</v>
      </c>
      <c r="T125" s="8">
        <f t="shared" si="1227"/>
        <v>13818</v>
      </c>
      <c r="U125" s="8">
        <f t="shared" si="1227"/>
        <v>10680</v>
      </c>
      <c r="V125" s="8">
        <f t="shared" si="1227"/>
        <v>17504</v>
      </c>
      <c r="W125" s="8">
        <f t="shared" ref="W125:X125" si="1228">+W832</f>
        <v>18673</v>
      </c>
      <c r="X125" s="8">
        <f t="shared" si="1228"/>
        <v>19335</v>
      </c>
      <c r="Y125" s="8">
        <f t="shared" ref="Y125:Z125" si="1229">+Y832</f>
        <v>12516</v>
      </c>
      <c r="Z125" s="8">
        <f t="shared" si="1229"/>
        <v>22179</v>
      </c>
      <c r="AA125" s="8">
        <f t="shared" ref="AA125:AB125" si="1230">+AA832</f>
        <v>22710</v>
      </c>
      <c r="AB125" s="8">
        <f t="shared" si="1230"/>
        <v>24540</v>
      </c>
      <c r="AC125" s="8">
        <f t="shared" ref="AC125:AD125" si="1231">+AC832</f>
        <v>14480</v>
      </c>
      <c r="AD125" s="8">
        <f t="shared" si="1231"/>
        <v>25386</v>
      </c>
      <c r="AE125" s="8">
        <f t="shared" ref="AE125:AF125" si="1232">+AE832</f>
        <v>24629</v>
      </c>
      <c r="AF125" s="8">
        <f t="shared" si="1232"/>
        <v>23198</v>
      </c>
      <c r="AG125" s="8">
        <f t="shared" ref="AG125:AH125" si="1233">+AG832</f>
        <v>11173</v>
      </c>
      <c r="AH125" s="8">
        <f t="shared" si="1233"/>
        <v>24441</v>
      </c>
      <c r="AI125" s="8">
        <f t="shared" ref="AI125:AK125" si="1234">+AI832</f>
        <v>28770</v>
      </c>
      <c r="AJ125" s="8">
        <f t="shared" si="1234"/>
        <v>30583</v>
      </c>
      <c r="AK125" s="8">
        <f t="shared" si="1234"/>
        <v>18853</v>
      </c>
      <c r="AL125" s="8">
        <f t="shared" ref="AL125:AM125" si="1235">+AL832</f>
        <v>31917</v>
      </c>
      <c r="AM125" s="8">
        <f t="shared" si="1235"/>
        <v>37195</v>
      </c>
      <c r="AN125" s="8"/>
      <c r="AO125" s="8"/>
      <c r="AP125" s="8"/>
      <c r="AQ125" s="8"/>
      <c r="AS125" s="8">
        <f t="shared" ref="AS125:BE125" si="1236">+AS832</f>
        <v>16605</v>
      </c>
      <c r="AT125" s="8">
        <f t="shared" si="1236"/>
        <v>14404</v>
      </c>
      <c r="AU125" s="8">
        <f t="shared" si="1236"/>
        <v>17796</v>
      </c>
      <c r="AV125" s="8">
        <f t="shared" si="1236"/>
        <v>21612</v>
      </c>
      <c r="AW125" s="8">
        <f t="shared" si="1236"/>
        <v>19037</v>
      </c>
      <c r="AX125" s="8">
        <f t="shared" si="1236"/>
        <v>24073</v>
      </c>
      <c r="AY125" s="8">
        <f t="shared" si="1236"/>
        <v>26994</v>
      </c>
      <c r="AZ125" s="8">
        <f t="shared" si="1236"/>
        <v>31626</v>
      </c>
      <c r="BA125" s="8">
        <f t="shared" si="1236"/>
        <v>28833</v>
      </c>
      <c r="BB125" s="8">
        <f t="shared" si="1236"/>
        <v>32502</v>
      </c>
      <c r="BC125" s="8">
        <f t="shared" si="1236"/>
        <v>29668</v>
      </c>
      <c r="BD125" s="8">
        <f t="shared" si="1236"/>
        <v>33325</v>
      </c>
      <c r="BE125" s="8">
        <f t="shared" si="1236"/>
        <v>39507</v>
      </c>
      <c r="BG125" s="8">
        <f>+BG832</f>
        <v>33325</v>
      </c>
      <c r="BH125" s="8">
        <f>+BH832</f>
        <v>39507</v>
      </c>
      <c r="BI125" s="8">
        <f>+BI832</f>
        <v>43884</v>
      </c>
      <c r="BJ125" s="8">
        <f>+BJ832</f>
        <v>52185</v>
      </c>
      <c r="BK125" s="8">
        <f t="shared" ref="BK125" si="1237">+BK832</f>
        <v>60675</v>
      </c>
      <c r="BL125" s="8">
        <f>SUM(X125:AA125)</f>
        <v>76740</v>
      </c>
      <c r="BM125" s="8">
        <f>SUM(AB125:AE125)</f>
        <v>89035</v>
      </c>
      <c r="BN125" s="8">
        <f t="shared" ref="BN125:BN131" si="1238">SUM(AF125:AI125)</f>
        <v>87582</v>
      </c>
      <c r="BO125" s="8">
        <f t="shared" ref="BO125:BO131" si="1239">SUM(AJ125:AM125)</f>
        <v>118548</v>
      </c>
      <c r="BP125" s="8"/>
    </row>
    <row r="126" spans="2:70">
      <c r="B126" s="843" t="s">
        <v>316</v>
      </c>
      <c r="D126" s="8">
        <f t="shared" ref="D126:N126" si="1240">+D836</f>
        <v>-390</v>
      </c>
      <c r="E126" s="8">
        <f t="shared" si="1240"/>
        <v>-381</v>
      </c>
      <c r="F126" s="8">
        <f t="shared" si="1240"/>
        <v>-559</v>
      </c>
      <c r="G126" s="8">
        <f t="shared" si="1240"/>
        <v>-63</v>
      </c>
      <c r="H126" s="8">
        <f t="shared" si="1240"/>
        <v>-24</v>
      </c>
      <c r="I126" s="8">
        <f t="shared" si="1240"/>
        <v>-24760</v>
      </c>
      <c r="J126" s="8">
        <f t="shared" si="1240"/>
        <v>-802</v>
      </c>
      <c r="K126" s="8">
        <f t="shared" si="1240"/>
        <v>-358</v>
      </c>
      <c r="L126" s="8">
        <f t="shared" si="1240"/>
        <v>-179</v>
      </c>
      <c r="M126" s="8">
        <f t="shared" si="1240"/>
        <v>-27</v>
      </c>
      <c r="N126" s="8">
        <f t="shared" si="1240"/>
        <v>-248</v>
      </c>
      <c r="O126" s="8">
        <f t="shared" ref="O126:V126" si="1241">+O836</f>
        <v>-434</v>
      </c>
      <c r="P126" s="8">
        <f t="shared" si="1241"/>
        <v>-245</v>
      </c>
      <c r="Q126" s="8">
        <f t="shared" si="1241"/>
        <v>-1593</v>
      </c>
      <c r="R126" s="8">
        <f t="shared" si="1241"/>
        <v>-269</v>
      </c>
      <c r="S126" s="8">
        <f t="shared" si="1241"/>
        <v>-281</v>
      </c>
      <c r="T126" s="8">
        <f t="shared" si="1241"/>
        <v>-462</v>
      </c>
      <c r="U126" s="8">
        <f t="shared" si="1241"/>
        <v>-80</v>
      </c>
      <c r="V126" s="8">
        <f t="shared" si="1241"/>
        <v>-329</v>
      </c>
      <c r="W126" s="8">
        <f t="shared" ref="W126:X126" si="1242">+W836</f>
        <v>-1650</v>
      </c>
      <c r="X126" s="8">
        <f t="shared" si="1242"/>
        <v>-481</v>
      </c>
      <c r="Y126" s="8">
        <f t="shared" ref="Y126:Z126" si="1243">+Y836</f>
        <v>-415</v>
      </c>
      <c r="Z126" s="8">
        <f t="shared" si="1243"/>
        <v>-7512</v>
      </c>
      <c r="AA126" s="8">
        <f t="shared" ref="AA126:AB126" si="1244">+AA836</f>
        <v>-501</v>
      </c>
      <c r="AB126" s="8">
        <f t="shared" si="1244"/>
        <v>-1206</v>
      </c>
      <c r="AC126" s="8">
        <f t="shared" ref="AC126:AD126" si="1245">+AC836</f>
        <v>-850</v>
      </c>
      <c r="AD126" s="8">
        <f t="shared" si="1245"/>
        <v>-18719</v>
      </c>
      <c r="AE126" s="8">
        <f t="shared" ref="AE126:AF126" si="1246">+AE836</f>
        <v>-1263</v>
      </c>
      <c r="AF126" s="8">
        <f t="shared" si="1246"/>
        <v>-349</v>
      </c>
      <c r="AG126" s="8">
        <f t="shared" ref="AG126:AH126" si="1247">+AG836</f>
        <v>-679</v>
      </c>
      <c r="AH126" s="8">
        <f t="shared" si="1247"/>
        <v>-301</v>
      </c>
      <c r="AI126" s="8">
        <f t="shared" ref="AI126:AK126" si="1248">+AI836</f>
        <v>-341</v>
      </c>
      <c r="AJ126" s="8">
        <f t="shared" si="1248"/>
        <v>-1186</v>
      </c>
      <c r="AK126" s="8">
        <f t="shared" si="1248"/>
        <v>-65029</v>
      </c>
      <c r="AL126" s="8">
        <f t="shared" ref="AL126:AM126" si="1249">+AL836</f>
        <v>-1575</v>
      </c>
      <c r="AM126" s="8">
        <f t="shared" si="1249"/>
        <v>-1342</v>
      </c>
      <c r="AN126" s="61"/>
      <c r="AO126" s="61"/>
      <c r="AP126" s="61"/>
      <c r="AQ126" s="61"/>
      <c r="AS126" s="8">
        <f t="shared" ref="AS126:BE126" si="1250">+AS836</f>
        <v>-207</v>
      </c>
      <c r="AT126" s="8">
        <f t="shared" si="1250"/>
        <v>-649</v>
      </c>
      <c r="AU126" s="8">
        <f t="shared" si="1250"/>
        <v>-1150</v>
      </c>
      <c r="AV126" s="8">
        <f t="shared" si="1250"/>
        <v>-8053</v>
      </c>
      <c r="AW126" s="8">
        <f t="shared" si="1250"/>
        <v>-868</v>
      </c>
      <c r="AX126" s="8">
        <f t="shared" si="1250"/>
        <v>-245</v>
      </c>
      <c r="AY126" s="8">
        <f t="shared" si="1250"/>
        <v>-71</v>
      </c>
      <c r="AZ126" s="8">
        <f t="shared" si="1250"/>
        <v>-10112</v>
      </c>
      <c r="BA126" s="8">
        <f t="shared" si="1250"/>
        <v>-1584</v>
      </c>
      <c r="BB126" s="8">
        <f t="shared" si="1250"/>
        <v>-5937</v>
      </c>
      <c r="BC126" s="8">
        <f t="shared" si="1250"/>
        <v>-3723</v>
      </c>
      <c r="BD126" s="8">
        <f t="shared" si="1250"/>
        <v>-1393</v>
      </c>
      <c r="BE126" s="8">
        <f t="shared" si="1250"/>
        <v>-25944</v>
      </c>
      <c r="BG126" s="8">
        <f>+SUM(D126:G126)</f>
        <v>-1393</v>
      </c>
      <c r="BH126" s="8">
        <f>+BH836</f>
        <v>-25944</v>
      </c>
      <c r="BI126" s="8">
        <f>+BI836</f>
        <v>-888</v>
      </c>
      <c r="BJ126" s="8">
        <f t="shared" ref="BJ126:BK126" si="1251">+BJ836</f>
        <v>-2388</v>
      </c>
      <c r="BK126" s="8">
        <f t="shared" si="1251"/>
        <v>-2521</v>
      </c>
      <c r="BL126" s="8">
        <f>SUM(X126:AA126)</f>
        <v>-8909</v>
      </c>
      <c r="BM126" s="8">
        <f t="shared" ref="BM126:BM131" si="1252">SUM(AB126:AE126)</f>
        <v>-22038</v>
      </c>
      <c r="BN126" s="8">
        <f t="shared" si="1238"/>
        <v>-1670</v>
      </c>
      <c r="BO126" s="8">
        <f t="shared" si="1239"/>
        <v>-69132</v>
      </c>
      <c r="BP126" s="8"/>
    </row>
    <row r="127" spans="2:70">
      <c r="B127" s="843" t="s">
        <v>317</v>
      </c>
      <c r="D127" s="8">
        <f>+CapIQ!DV238</f>
        <v>0</v>
      </c>
      <c r="E127" s="8">
        <f>+CapIQ!DW238</f>
        <v>0</v>
      </c>
      <c r="F127" s="8">
        <f>+CapIQ!DX238</f>
        <v>0</v>
      </c>
      <c r="G127" s="8">
        <f>+CapIQ!DY238</f>
        <v>0</v>
      </c>
      <c r="H127" s="8">
        <f>+CapIQ!DZ238</f>
        <v>0</v>
      </c>
      <c r="I127" s="8">
        <f>+CapIQ!EA238</f>
        <v>0</v>
      </c>
      <c r="J127" s="8">
        <f>+CapIQ!EB238</f>
        <v>0</v>
      </c>
      <c r="K127" s="8">
        <f>+CapIQ!EC238</f>
        <v>0</v>
      </c>
      <c r="L127" s="8">
        <f>+CapIQ!ED238</f>
        <v>0</v>
      </c>
      <c r="M127" s="8">
        <f>+CapIQ!EE238</f>
        <v>0</v>
      </c>
      <c r="N127" s="8">
        <f>+CapIQ!EF238</f>
        <v>0</v>
      </c>
      <c r="O127" s="8">
        <f>+CapIQ!EG238</f>
        <v>0</v>
      </c>
      <c r="P127" s="8">
        <f>+CapIQ!EH238</f>
        <v>0</v>
      </c>
      <c r="Q127" s="8">
        <f>+CapIQ!EI238</f>
        <v>0</v>
      </c>
      <c r="R127" s="8">
        <f>+CapIQ!EJ238</f>
        <v>0</v>
      </c>
      <c r="S127" s="8">
        <f>+CapIQ!EK238</f>
        <v>0</v>
      </c>
      <c r="T127" s="8">
        <f>+CapIQ!EL238</f>
        <v>0</v>
      </c>
      <c r="U127" s="8">
        <f>+CapIQ!EM238</f>
        <v>0</v>
      </c>
      <c r="V127" s="8">
        <f>+CapIQ!EN238</f>
        <v>0</v>
      </c>
      <c r="W127" s="8">
        <v>0</v>
      </c>
      <c r="X127" s="8">
        <v>0</v>
      </c>
      <c r="Y127" s="8">
        <v>0</v>
      </c>
      <c r="Z127" s="8">
        <v>0</v>
      </c>
      <c r="AA127" s="8">
        <v>0</v>
      </c>
      <c r="AB127" s="8">
        <v>0</v>
      </c>
      <c r="AC127" s="8">
        <v>0</v>
      </c>
      <c r="AD127" s="8">
        <v>0</v>
      </c>
      <c r="AE127" s="8">
        <v>0</v>
      </c>
      <c r="AF127" s="8">
        <v>0</v>
      </c>
      <c r="AG127" s="8">
        <v>0</v>
      </c>
      <c r="AH127" s="8">
        <v>0</v>
      </c>
      <c r="AI127" s="8">
        <v>0</v>
      </c>
      <c r="AJ127" s="8">
        <v>0</v>
      </c>
      <c r="AK127" s="8">
        <v>0</v>
      </c>
      <c r="AL127" s="8">
        <v>0</v>
      </c>
      <c r="AM127" s="8">
        <v>0</v>
      </c>
      <c r="AN127" s="61"/>
      <c r="AO127" s="61"/>
      <c r="AP127" s="61"/>
      <c r="AQ127" s="61"/>
      <c r="AS127" s="8">
        <f>+CapIQ!P238</f>
        <v>0</v>
      </c>
      <c r="AT127" s="8">
        <f>+CapIQ!Q238</f>
        <v>0</v>
      </c>
      <c r="AU127" s="8">
        <f>+CapIQ!R238</f>
        <v>0</v>
      </c>
      <c r="AV127" s="8">
        <f>+CapIQ!S238</f>
        <v>0</v>
      </c>
      <c r="AW127" s="8">
        <f>+CapIQ!T238</f>
        <v>0</v>
      </c>
      <c r="AX127" s="8">
        <f>+CapIQ!U238</f>
        <v>0</v>
      </c>
      <c r="AY127" s="8">
        <f>+CapIQ!V238</f>
        <v>0</v>
      </c>
      <c r="AZ127" s="8">
        <f>+CapIQ!W238</f>
        <v>0</v>
      </c>
      <c r="BA127" s="8">
        <f>+CapIQ!X238</f>
        <v>0</v>
      </c>
      <c r="BB127" s="8">
        <f>+CapIQ!Y238</f>
        <v>0</v>
      </c>
      <c r="BC127" s="8">
        <f>+CapIQ!Z238</f>
        <v>0</v>
      </c>
      <c r="BD127" s="8">
        <f>+CapIQ!AA238</f>
        <v>0</v>
      </c>
      <c r="BE127" s="8">
        <f>+CapIQ!AB238</f>
        <v>0</v>
      </c>
      <c r="BG127" s="8">
        <f>+CapIQ!AA238</f>
        <v>0</v>
      </c>
      <c r="BH127" s="8">
        <f>+CapIQ!AB238</f>
        <v>0</v>
      </c>
      <c r="BI127" s="8">
        <f>+CapIQ!AC238</f>
        <v>0</v>
      </c>
      <c r="BJ127" s="8">
        <f>+CapIQ!AD238</f>
        <v>0</v>
      </c>
      <c r="BK127" s="8">
        <f>+CapIQ!AE238</f>
        <v>0</v>
      </c>
      <c r="BL127" s="8">
        <f>SUM(X127:AA127)</f>
        <v>0</v>
      </c>
      <c r="BM127" s="8">
        <f t="shared" si="1252"/>
        <v>0</v>
      </c>
      <c r="BN127" s="8">
        <f t="shared" si="1238"/>
        <v>0</v>
      </c>
      <c r="BO127" s="8">
        <f t="shared" si="1239"/>
        <v>0</v>
      </c>
      <c r="BP127" s="8"/>
    </row>
    <row r="128" spans="2:70">
      <c r="B128" s="843" t="s">
        <v>318</v>
      </c>
      <c r="D128" s="859" t="s">
        <v>271</v>
      </c>
      <c r="E128" s="859" t="s">
        <v>271</v>
      </c>
      <c r="F128" s="859" t="s">
        <v>271</v>
      </c>
      <c r="G128" s="859" t="s">
        <v>271</v>
      </c>
      <c r="H128" s="859" t="s">
        <v>271</v>
      </c>
      <c r="I128" s="859" t="s">
        <v>271</v>
      </c>
      <c r="J128" s="859" t="s">
        <v>271</v>
      </c>
      <c r="K128" s="859" t="s">
        <v>271</v>
      </c>
      <c r="L128" s="859" t="s">
        <v>271</v>
      </c>
      <c r="M128" s="859" t="s">
        <v>271</v>
      </c>
      <c r="N128" s="859" t="s">
        <v>271</v>
      </c>
      <c r="O128" s="859" t="s">
        <v>271</v>
      </c>
      <c r="P128" s="859" t="s">
        <v>271</v>
      </c>
      <c r="Q128" s="859" t="s">
        <v>271</v>
      </c>
      <c r="R128" s="859" t="s">
        <v>271</v>
      </c>
      <c r="S128" s="859" t="s">
        <v>271</v>
      </c>
      <c r="T128" s="859" t="s">
        <v>271</v>
      </c>
      <c r="U128" s="859" t="s">
        <v>271</v>
      </c>
      <c r="V128" s="859" t="s">
        <v>271</v>
      </c>
      <c r="W128" s="859" t="s">
        <v>271</v>
      </c>
      <c r="X128" s="859" t="s">
        <v>271</v>
      </c>
      <c r="Y128" s="859" t="s">
        <v>271</v>
      </c>
      <c r="Z128" s="859" t="s">
        <v>271</v>
      </c>
      <c r="AA128" s="859" t="s">
        <v>271</v>
      </c>
      <c r="AB128" s="859" t="s">
        <v>271</v>
      </c>
      <c r="AC128" s="859" t="s">
        <v>271</v>
      </c>
      <c r="AD128" s="859" t="s">
        <v>271</v>
      </c>
      <c r="AE128" s="859" t="s">
        <v>271</v>
      </c>
      <c r="AF128" s="859" t="s">
        <v>271</v>
      </c>
      <c r="AG128" s="859" t="s">
        <v>271</v>
      </c>
      <c r="AH128" s="859" t="s">
        <v>271</v>
      </c>
      <c r="AI128" s="859" t="s">
        <v>271</v>
      </c>
      <c r="AJ128" s="859" t="s">
        <v>271</v>
      </c>
      <c r="AK128" s="859" t="s">
        <v>271</v>
      </c>
      <c r="AL128" s="859" t="s">
        <v>271</v>
      </c>
      <c r="AM128" s="859" t="s">
        <v>271</v>
      </c>
      <c r="AN128" s="860"/>
      <c r="AO128" s="860"/>
      <c r="AP128" s="860"/>
      <c r="AQ128" s="860"/>
      <c r="AS128" s="8">
        <f t="shared" ref="AS128:BI128" si="1253">+AS861</f>
        <v>4330</v>
      </c>
      <c r="AT128" s="8">
        <f t="shared" si="1253"/>
        <v>4800</v>
      </c>
      <c r="AU128" s="8">
        <f t="shared" si="1253"/>
        <v>5200</v>
      </c>
      <c r="AV128" s="8">
        <f t="shared" si="1253"/>
        <v>5400</v>
      </c>
      <c r="AW128" s="8">
        <f t="shared" si="1253"/>
        <v>6600</v>
      </c>
      <c r="AX128" s="8">
        <f t="shared" si="1253"/>
        <v>4100</v>
      </c>
      <c r="AY128" s="8">
        <f t="shared" si="1253"/>
        <v>5300</v>
      </c>
      <c r="AZ128" s="8">
        <f t="shared" si="1253"/>
        <v>3500</v>
      </c>
      <c r="BA128" s="8">
        <f t="shared" si="1253"/>
        <v>3900</v>
      </c>
      <c r="BB128" s="8">
        <f t="shared" si="1253"/>
        <v>5500</v>
      </c>
      <c r="BC128" s="8">
        <f t="shared" si="1253"/>
        <v>4400</v>
      </c>
      <c r="BD128" s="8">
        <f t="shared" si="1253"/>
        <v>3900</v>
      </c>
      <c r="BE128" s="8">
        <f t="shared" si="1253"/>
        <v>2400</v>
      </c>
      <c r="BG128" s="8">
        <f t="shared" si="1253"/>
        <v>3900</v>
      </c>
      <c r="BH128" s="8">
        <f t="shared" si="1253"/>
        <v>2400</v>
      </c>
      <c r="BI128" s="8">
        <f t="shared" si="1253"/>
        <v>5500</v>
      </c>
      <c r="BJ128" s="8">
        <f t="shared" ref="BJ128:BO128" si="1254">+BJ861</f>
        <v>8400</v>
      </c>
      <c r="BK128" s="8">
        <f t="shared" si="1254"/>
        <v>12500</v>
      </c>
      <c r="BL128" s="8">
        <f t="shared" si="1254"/>
        <v>13400</v>
      </c>
      <c r="BM128" s="8">
        <f t="shared" si="1254"/>
        <v>16000</v>
      </c>
      <c r="BN128" s="8">
        <f t="shared" si="1254"/>
        <v>23100</v>
      </c>
      <c r="BO128" s="8">
        <f t="shared" si="1254"/>
        <v>23400</v>
      </c>
      <c r="BP128" s="8"/>
    </row>
    <row r="129" spans="2:82">
      <c r="B129" s="843" t="s">
        <v>319</v>
      </c>
      <c r="D129" s="8">
        <f>+D849</f>
        <v>219</v>
      </c>
      <c r="E129" s="8">
        <f t="shared" ref="E129:N129" si="1255">+E849</f>
        <v>117</v>
      </c>
      <c r="F129" s="8">
        <f t="shared" si="1255"/>
        <v>159</v>
      </c>
      <c r="G129" s="8">
        <f t="shared" si="1255"/>
        <v>173</v>
      </c>
      <c r="H129" s="8">
        <f t="shared" si="1255"/>
        <v>241</v>
      </c>
      <c r="I129" s="8">
        <f t="shared" si="1255"/>
        <v>131</v>
      </c>
      <c r="J129" s="8">
        <f t="shared" si="1255"/>
        <v>179</v>
      </c>
      <c r="K129" s="8">
        <f t="shared" si="1255"/>
        <v>221</v>
      </c>
      <c r="L129" s="8">
        <f t="shared" si="1255"/>
        <v>307</v>
      </c>
      <c r="M129" s="8">
        <f t="shared" si="1255"/>
        <v>189</v>
      </c>
      <c r="N129" s="8">
        <f t="shared" si="1255"/>
        <v>251</v>
      </c>
      <c r="O129" s="8">
        <f t="shared" ref="O129:V129" si="1256">+O849</f>
        <v>255</v>
      </c>
      <c r="P129" s="8">
        <f t="shared" si="1256"/>
        <v>360</v>
      </c>
      <c r="Q129" s="8">
        <f t="shared" si="1256"/>
        <v>200</v>
      </c>
      <c r="R129" s="8">
        <f t="shared" si="1256"/>
        <v>274</v>
      </c>
      <c r="S129" s="8">
        <f t="shared" si="1256"/>
        <v>308</v>
      </c>
      <c r="T129" s="8">
        <f t="shared" si="1256"/>
        <v>427</v>
      </c>
      <c r="U129" s="8">
        <f t="shared" si="1256"/>
        <v>234</v>
      </c>
      <c r="V129" s="8">
        <f t="shared" si="1256"/>
        <v>342</v>
      </c>
      <c r="W129" s="8">
        <f t="shared" ref="W129:X129" si="1257">+W849</f>
        <v>340</v>
      </c>
      <c r="X129" s="8">
        <f t="shared" si="1257"/>
        <v>545</v>
      </c>
      <c r="Y129" s="8">
        <f t="shared" ref="Y129:Z129" si="1258">+Y849</f>
        <v>302</v>
      </c>
      <c r="Z129" s="8">
        <f t="shared" si="1258"/>
        <v>396</v>
      </c>
      <c r="AA129" s="8">
        <f t="shared" ref="AA129:AB129" si="1259">+AA849</f>
        <v>450</v>
      </c>
      <c r="AB129" s="8">
        <f t="shared" si="1259"/>
        <v>612</v>
      </c>
      <c r="AC129" s="8">
        <f t="shared" ref="AC129:AD129" si="1260">+AC849</f>
        <v>291</v>
      </c>
      <c r="AD129" s="8">
        <f t="shared" si="1260"/>
        <v>477</v>
      </c>
      <c r="AE129" s="8">
        <f t="shared" ref="AE129:AF129" si="1261">+AE849</f>
        <v>461</v>
      </c>
      <c r="AF129" s="8">
        <f t="shared" si="1261"/>
        <v>575</v>
      </c>
      <c r="AG129" s="8">
        <f t="shared" ref="AG129:AH129" si="1262">+AG849</f>
        <v>243</v>
      </c>
      <c r="AH129" s="8">
        <f t="shared" si="1262"/>
        <v>536</v>
      </c>
      <c r="AI129" s="8">
        <f t="shared" ref="AI129:AJ129" si="1263">+AI849</f>
        <v>512</v>
      </c>
      <c r="AJ129" s="8">
        <f t="shared" si="1263"/>
        <v>685</v>
      </c>
      <c r="AK129" s="8">
        <f t="shared" ref="AK129:AL129" si="1264">+AK849</f>
        <v>261</v>
      </c>
      <c r="AL129" s="8">
        <f t="shared" si="1264"/>
        <v>522</v>
      </c>
      <c r="AM129" s="8">
        <f t="shared" ref="AM129" si="1265">+AM849</f>
        <v>534</v>
      </c>
      <c r="AN129" s="61"/>
      <c r="AO129" s="61"/>
      <c r="AP129" s="61"/>
      <c r="AQ129" s="61"/>
      <c r="AS129" s="8">
        <f t="shared" ref="AS129:BE129" si="1266">+AS849</f>
        <v>3109</v>
      </c>
      <c r="AT129" s="8">
        <f t="shared" si="1266"/>
        <v>2101</v>
      </c>
      <c r="AU129" s="8">
        <f t="shared" si="1266"/>
        <v>6782</v>
      </c>
      <c r="AV129" s="8">
        <f t="shared" si="1266"/>
        <v>3494</v>
      </c>
      <c r="AW129" s="8">
        <f t="shared" si="1266"/>
        <v>579</v>
      </c>
      <c r="AX129" s="8">
        <f t="shared" si="1266"/>
        <v>2311</v>
      </c>
      <c r="AY129" s="8">
        <f t="shared" si="1266"/>
        <v>2422</v>
      </c>
      <c r="AZ129" s="8">
        <f t="shared" si="1266"/>
        <v>1913</v>
      </c>
      <c r="BA129" s="8">
        <f t="shared" si="1266"/>
        <v>931</v>
      </c>
      <c r="BB129" s="8">
        <f t="shared" si="1266"/>
        <v>607</v>
      </c>
      <c r="BC129" s="8">
        <f t="shared" si="1266"/>
        <v>634</v>
      </c>
      <c r="BD129" s="8">
        <f t="shared" si="1266"/>
        <v>668</v>
      </c>
      <c r="BE129" s="8">
        <f t="shared" si="1266"/>
        <v>772</v>
      </c>
      <c r="BG129" s="8">
        <f>+SUM(D129:G129)</f>
        <v>668</v>
      </c>
      <c r="BH129" s="8">
        <f t="shared" ref="BH129:BI131" si="1267">+BH849</f>
        <v>772</v>
      </c>
      <c r="BI129" s="8">
        <f t="shared" si="1267"/>
        <v>1002</v>
      </c>
      <c r="BJ129" s="8">
        <f t="shared" ref="BJ129:BK129" si="1268">+BJ849</f>
        <v>1142</v>
      </c>
      <c r="BK129" s="8">
        <f t="shared" si="1268"/>
        <v>1343</v>
      </c>
      <c r="BL129" s="8">
        <f>SUM(X129:AA129)</f>
        <v>1693</v>
      </c>
      <c r="BM129" s="8">
        <f t="shared" si="1252"/>
        <v>1841</v>
      </c>
      <c r="BN129" s="8">
        <f t="shared" si="1238"/>
        <v>1866</v>
      </c>
      <c r="BO129" s="8">
        <f t="shared" si="1239"/>
        <v>2002</v>
      </c>
      <c r="BP129" s="8"/>
    </row>
    <row r="130" spans="2:82">
      <c r="B130" s="843" t="s">
        <v>320</v>
      </c>
      <c r="D130" s="8">
        <f t="shared" ref="D130:N131" si="1269">+D850</f>
        <v>-4757</v>
      </c>
      <c r="E130" s="8">
        <f t="shared" si="1269"/>
        <v>-3678</v>
      </c>
      <c r="F130" s="8">
        <f t="shared" si="1269"/>
        <v>-3857</v>
      </c>
      <c r="G130" s="8">
        <f t="shared" si="1269"/>
        <v>-3677</v>
      </c>
      <c r="H130" s="8">
        <f t="shared" si="1269"/>
        <v>-4362</v>
      </c>
      <c r="I130" s="8">
        <f t="shared" si="1269"/>
        <v>-3599</v>
      </c>
      <c r="J130" s="8">
        <f t="shared" si="1269"/>
        <v>-2062</v>
      </c>
      <c r="K130" s="8">
        <f t="shared" si="1269"/>
        <v>-1765</v>
      </c>
      <c r="L130" s="8">
        <f t="shared" si="1269"/>
        <v>-2570</v>
      </c>
      <c r="M130" s="8">
        <f t="shared" si="1269"/>
        <v>-2008</v>
      </c>
      <c r="N130" s="8">
        <f t="shared" si="1269"/>
        <v>-3781</v>
      </c>
      <c r="O130" s="8">
        <f t="shared" ref="O130:V130" si="1270">+O850</f>
        <v>-2362</v>
      </c>
      <c r="P130" s="8">
        <f t="shared" si="1270"/>
        <v>-3744</v>
      </c>
      <c r="Q130" s="8">
        <f t="shared" si="1270"/>
        <v>-6413</v>
      </c>
      <c r="R130" s="8">
        <f t="shared" si="1270"/>
        <v>-4753</v>
      </c>
      <c r="S130" s="8">
        <f t="shared" si="1270"/>
        <v>-4633</v>
      </c>
      <c r="T130" s="8">
        <f t="shared" si="1270"/>
        <v>-4912</v>
      </c>
      <c r="U130" s="8">
        <f t="shared" si="1270"/>
        <v>-5206</v>
      </c>
      <c r="V130" s="8">
        <f t="shared" si="1270"/>
        <v>-7059</v>
      </c>
      <c r="W130" s="8">
        <f t="shared" ref="W130:X130" si="1271">+W850</f>
        <v>-5791</v>
      </c>
      <c r="X130" s="8">
        <f t="shared" si="1271"/>
        <v>-6743</v>
      </c>
      <c r="Y130" s="8">
        <f t="shared" ref="Y130:Z130" si="1272">+Y850</f>
        <v>-6535</v>
      </c>
      <c r="Z130" s="8">
        <f t="shared" si="1272"/>
        <v>-6930</v>
      </c>
      <c r="AA130" s="8">
        <f t="shared" ref="AA130:AB130" si="1273">+AA850</f>
        <v>-7177</v>
      </c>
      <c r="AB130" s="8">
        <f t="shared" si="1273"/>
        <v>-7684</v>
      </c>
      <c r="AC130" s="8">
        <f t="shared" ref="AC130:AD130" si="1274">+AC850</f>
        <v>-7433</v>
      </c>
      <c r="AD130" s="8">
        <f t="shared" si="1274"/>
        <v>-8822</v>
      </c>
      <c r="AE130" s="8">
        <f t="shared" ref="AE130:AF130" si="1275">+AE850</f>
        <v>-8757</v>
      </c>
      <c r="AF130" s="8">
        <f t="shared" si="1275"/>
        <v>-5573</v>
      </c>
      <c r="AG130" s="8">
        <f t="shared" ref="AG130:AH130" si="1276">+AG850</f>
        <v>-5459</v>
      </c>
      <c r="AH130" s="8">
        <f t="shared" si="1276"/>
        <v>-5509</v>
      </c>
      <c r="AI130" s="8">
        <f t="shared" ref="AI130:AJ130" si="1277">+AI850</f>
        <v>-5704</v>
      </c>
      <c r="AJ130" s="8">
        <f t="shared" si="1277"/>
        <v>-4831</v>
      </c>
      <c r="AK130" s="8">
        <f t="shared" ref="AK130:AL130" si="1278">+AK850</f>
        <v>-4000</v>
      </c>
      <c r="AL130" s="8">
        <f t="shared" si="1278"/>
        <v>-4213</v>
      </c>
      <c r="AM130" s="8">
        <f t="shared" ref="AM130" si="1279">+AM850</f>
        <v>-4210</v>
      </c>
      <c r="AN130" s="61"/>
      <c r="AO130" s="61"/>
      <c r="AP130" s="61"/>
      <c r="AQ130" s="61"/>
      <c r="AS130" s="8">
        <f t="shared" ref="AS130:BE130" si="1280">+AS850</f>
        <v>-8057</v>
      </c>
      <c r="AT130" s="8">
        <f t="shared" si="1280"/>
        <v>-19207</v>
      </c>
      <c r="AU130" s="8">
        <f t="shared" si="1280"/>
        <v>-27575</v>
      </c>
      <c r="AV130" s="8">
        <f t="shared" si="1280"/>
        <v>-12533</v>
      </c>
      <c r="AW130" s="8">
        <f t="shared" si="1280"/>
        <v>-9353</v>
      </c>
      <c r="AX130" s="8">
        <f t="shared" si="1280"/>
        <v>-11269</v>
      </c>
      <c r="AY130" s="8">
        <f t="shared" si="1280"/>
        <v>-11555</v>
      </c>
      <c r="AZ130" s="8">
        <f t="shared" si="1280"/>
        <v>-5029</v>
      </c>
      <c r="BA130" s="8">
        <f t="shared" si="1280"/>
        <v>-5360</v>
      </c>
      <c r="BB130" s="8">
        <f t="shared" si="1280"/>
        <v>-7316</v>
      </c>
      <c r="BC130" s="8">
        <f t="shared" si="1280"/>
        <v>-14443</v>
      </c>
      <c r="BD130" s="8">
        <f t="shared" si="1280"/>
        <v>-15969</v>
      </c>
      <c r="BE130" s="8">
        <f t="shared" si="1280"/>
        <v>-11788</v>
      </c>
      <c r="BG130" s="8">
        <f>+SUM(D130:G130)</f>
        <v>-15969</v>
      </c>
      <c r="BH130" s="8">
        <f t="shared" si="1267"/>
        <v>-11788</v>
      </c>
      <c r="BI130" s="8">
        <f t="shared" si="1267"/>
        <v>-10721</v>
      </c>
      <c r="BJ130" s="8">
        <f t="shared" ref="BJ130:BK130" si="1281">+BJ850</f>
        <v>-19543</v>
      </c>
      <c r="BK130" s="8">
        <f t="shared" si="1281"/>
        <v>-22968</v>
      </c>
      <c r="BL130" s="8">
        <f>SUM(X130:AA130)</f>
        <v>-27385</v>
      </c>
      <c r="BM130" s="8">
        <f t="shared" si="1252"/>
        <v>-32696</v>
      </c>
      <c r="BN130" s="8">
        <f t="shared" si="1238"/>
        <v>-22245</v>
      </c>
      <c r="BO130" s="8">
        <f t="shared" si="1239"/>
        <v>-17254</v>
      </c>
      <c r="BP130" s="8"/>
    </row>
    <row r="131" spans="2:82">
      <c r="B131" s="843" t="s">
        <v>321</v>
      </c>
      <c r="D131" s="8">
        <f t="shared" si="1269"/>
        <v>-2475</v>
      </c>
      <c r="E131" s="8">
        <f t="shared" si="1269"/>
        <v>-2868</v>
      </c>
      <c r="F131" s="8">
        <f t="shared" si="1269"/>
        <v>-2842</v>
      </c>
      <c r="G131" s="8">
        <f t="shared" si="1269"/>
        <v>-2821</v>
      </c>
      <c r="H131" s="8">
        <f t="shared" si="1269"/>
        <v>-2800</v>
      </c>
      <c r="I131" s="8">
        <f t="shared" si="1269"/>
        <v>-3024</v>
      </c>
      <c r="J131" s="8">
        <f t="shared" si="1269"/>
        <v>-3012</v>
      </c>
      <c r="K131" s="8">
        <f t="shared" si="1269"/>
        <v>-3009</v>
      </c>
      <c r="L131" s="8">
        <f t="shared" si="1269"/>
        <v>-3003</v>
      </c>
      <c r="M131" s="8">
        <f t="shared" si="1269"/>
        <v>-3238</v>
      </c>
      <c r="N131" s="8">
        <f t="shared" si="1269"/>
        <v>-3232</v>
      </c>
      <c r="O131" s="8">
        <f t="shared" ref="O131:V131" si="1282">+O851</f>
        <v>-3226</v>
      </c>
      <c r="P131" s="8">
        <f t="shared" si="1282"/>
        <v>-3220</v>
      </c>
      <c r="Q131" s="8">
        <f t="shared" si="1282"/>
        <v>-3544</v>
      </c>
      <c r="R131" s="8">
        <f t="shared" si="1282"/>
        <v>-3526</v>
      </c>
      <c r="S131" s="8">
        <f t="shared" si="1282"/>
        <v>-3521</v>
      </c>
      <c r="T131" s="8">
        <f t="shared" si="1282"/>
        <v>-3510</v>
      </c>
      <c r="U131" s="8">
        <f t="shared" si="1282"/>
        <v>-3886</v>
      </c>
      <c r="V131" s="8">
        <f t="shared" si="1282"/>
        <v>-3876</v>
      </c>
      <c r="W131" s="8">
        <f t="shared" ref="W131:X131" si="1283">+W851</f>
        <v>-3865</v>
      </c>
      <c r="X131" s="8">
        <f t="shared" si="1283"/>
        <v>-3856</v>
      </c>
      <c r="Y131" s="8">
        <f t="shared" ref="Y131:Z131" si="1284">+Y851</f>
        <v>-4230</v>
      </c>
      <c r="Z131" s="8">
        <f t="shared" si="1284"/>
        <v>-4221</v>
      </c>
      <c r="AA131" s="8">
        <f t="shared" ref="AA131:AB131" si="1285">+AA851</f>
        <v>-4214</v>
      </c>
      <c r="AB131" s="8">
        <f t="shared" si="1285"/>
        <v>-4206</v>
      </c>
      <c r="AC131" s="8">
        <f t="shared" ref="AC131:AD131" si="1286">+AC851</f>
        <v>-4652</v>
      </c>
      <c r="AD131" s="8">
        <f t="shared" si="1286"/>
        <v>-4645</v>
      </c>
      <c r="AE131" s="8">
        <f t="shared" ref="AE131:AF131" si="1287">+AE851</f>
        <v>-4632</v>
      </c>
      <c r="AF131" s="8">
        <f t="shared" si="1287"/>
        <v>-4621</v>
      </c>
      <c r="AG131" s="8">
        <f t="shared" ref="AG131:AH131" si="1288">+AG851</f>
        <v>-5066</v>
      </c>
      <c r="AH131" s="8">
        <f t="shared" si="1288"/>
        <v>-5059</v>
      </c>
      <c r="AI131" s="8">
        <f t="shared" ref="AI131:AJ131" si="1289">+AI851</f>
        <v>-5054</v>
      </c>
      <c r="AJ131" s="8">
        <f t="shared" si="1289"/>
        <v>-5051</v>
      </c>
      <c r="AK131" s="8">
        <f t="shared" ref="AK131:AL131" si="1290">+AK851</f>
        <v>-5574</v>
      </c>
      <c r="AL131" s="8">
        <f t="shared" si="1290"/>
        <v>-5572</v>
      </c>
      <c r="AM131" s="8">
        <f t="shared" ref="AM131" si="1291">+AM851</f>
        <v>-5574</v>
      </c>
      <c r="AN131" s="61"/>
      <c r="AO131" s="61"/>
      <c r="AP131" s="61"/>
      <c r="AQ131" s="61"/>
      <c r="AS131" s="8">
        <f t="shared" ref="AS131:BE131" si="1292">+AS851</f>
        <v>-36112</v>
      </c>
      <c r="AT131" s="8">
        <f t="shared" si="1292"/>
        <v>-3545</v>
      </c>
      <c r="AU131" s="8">
        <f t="shared" si="1292"/>
        <v>-3805</v>
      </c>
      <c r="AV131" s="8">
        <f t="shared" si="1292"/>
        <v>-4015</v>
      </c>
      <c r="AW131" s="8">
        <f t="shared" si="1292"/>
        <v>-4468</v>
      </c>
      <c r="AX131" s="8">
        <f t="shared" si="1292"/>
        <v>-4578</v>
      </c>
      <c r="AY131" s="8">
        <f t="shared" si="1292"/>
        <v>-5180</v>
      </c>
      <c r="AZ131" s="8">
        <f t="shared" si="1292"/>
        <v>-6385</v>
      </c>
      <c r="BA131" s="8">
        <f t="shared" si="1292"/>
        <v>-7455</v>
      </c>
      <c r="BB131" s="8">
        <f t="shared" si="1292"/>
        <v>-8879</v>
      </c>
      <c r="BC131" s="8">
        <f t="shared" si="1292"/>
        <v>-9882</v>
      </c>
      <c r="BD131" s="8">
        <f t="shared" si="1292"/>
        <v>-11006</v>
      </c>
      <c r="BE131" s="8">
        <f t="shared" si="1292"/>
        <v>-11845</v>
      </c>
      <c r="BG131" s="8">
        <f>+SUM(D131:G131)</f>
        <v>-11006</v>
      </c>
      <c r="BH131" s="8">
        <f t="shared" si="1267"/>
        <v>-11845</v>
      </c>
      <c r="BI131" s="8">
        <f t="shared" si="1267"/>
        <v>-12699</v>
      </c>
      <c r="BJ131" s="8">
        <f t="shared" ref="BJ131:BK131" si="1293">+BJ851</f>
        <v>-13811</v>
      </c>
      <c r="BK131" s="8">
        <f t="shared" si="1293"/>
        <v>-15137</v>
      </c>
      <c r="BL131" s="8">
        <f>SUM(X131:AA131)</f>
        <v>-16521</v>
      </c>
      <c r="BM131" s="8">
        <f t="shared" si="1252"/>
        <v>-18135</v>
      </c>
      <c r="BN131" s="8">
        <f t="shared" si="1238"/>
        <v>-19800</v>
      </c>
      <c r="BO131" s="8">
        <f t="shared" si="1239"/>
        <v>-21771</v>
      </c>
      <c r="BP131" s="8"/>
    </row>
    <row r="133" spans="2:82" ht="10.5">
      <c r="B133" s="45" t="s">
        <v>146</v>
      </c>
    </row>
    <row r="134" spans="2:82">
      <c r="B134" t="s">
        <v>322</v>
      </c>
      <c r="D134" s="8">
        <f t="shared" ref="D134:AK134" si="1294">+SUM(D902:D903,D909,D910,D927)</f>
        <v>38567</v>
      </c>
      <c r="E134" s="8">
        <f t="shared" si="1294"/>
        <v>44429</v>
      </c>
      <c r="F134" s="8">
        <f t="shared" si="1294"/>
        <v>46394</v>
      </c>
      <c r="G134" s="8">
        <f t="shared" si="1294"/>
        <v>53461</v>
      </c>
      <c r="H134" s="8">
        <f t="shared" si="1294"/>
        <v>74690</v>
      </c>
      <c r="I134" s="8">
        <f t="shared" si="1294"/>
        <v>84970</v>
      </c>
      <c r="J134" s="8">
        <f t="shared" si="1294"/>
        <v>84008</v>
      </c>
      <c r="K134" s="8">
        <f t="shared" si="1294"/>
        <v>94104</v>
      </c>
      <c r="L134" s="8">
        <f t="shared" si="1294"/>
        <v>91243</v>
      </c>
      <c r="M134" s="8">
        <f t="shared" si="1294"/>
        <v>98802</v>
      </c>
      <c r="N134" s="8">
        <f t="shared" si="1294"/>
        <v>87239</v>
      </c>
      <c r="O134" s="8">
        <f t="shared" si="1294"/>
        <v>86109</v>
      </c>
      <c r="P134" s="8">
        <f t="shared" si="1294"/>
        <v>86556</v>
      </c>
      <c r="Q134" s="8">
        <f t="shared" si="1294"/>
        <v>84062</v>
      </c>
      <c r="R134" s="8">
        <f t="shared" si="1294"/>
        <v>84882</v>
      </c>
      <c r="S134" s="8">
        <f t="shared" si="1294"/>
        <v>84940</v>
      </c>
      <c r="T134" s="8">
        <f t="shared" si="1294"/>
        <v>84019</v>
      </c>
      <c r="U134" s="8">
        <f t="shared" si="1294"/>
        <v>85531</v>
      </c>
      <c r="V134" s="8">
        <f t="shared" si="1294"/>
        <v>82468</v>
      </c>
      <c r="W134" s="8">
        <f t="shared" si="1294"/>
        <v>80494</v>
      </c>
      <c r="X134" s="8">
        <f t="shared" si="1294"/>
        <v>80689</v>
      </c>
      <c r="Y134" s="8">
        <f t="shared" si="1294"/>
        <v>80916</v>
      </c>
      <c r="Z134" s="8">
        <f t="shared" si="1294"/>
        <v>79384</v>
      </c>
      <c r="AA134" s="8">
        <f t="shared" si="1294"/>
        <v>80316</v>
      </c>
      <c r="AB134" s="8">
        <f t="shared" si="1294"/>
        <v>81182</v>
      </c>
      <c r="AC134" s="8">
        <f t="shared" si="1294"/>
        <v>96358</v>
      </c>
      <c r="AD134" s="8">
        <f t="shared" si="1294"/>
        <v>75822</v>
      </c>
      <c r="AE134" s="8">
        <f t="shared" si="1294"/>
        <v>76172</v>
      </c>
      <c r="AF134" s="8">
        <f t="shared" si="1294"/>
        <v>74912</v>
      </c>
      <c r="AG134" s="8">
        <f t="shared" si="1294"/>
        <v>75698</v>
      </c>
      <c r="AH134" s="8">
        <f t="shared" si="1294"/>
        <v>76985</v>
      </c>
      <c r="AI134" s="8">
        <f t="shared" si="1294"/>
        <v>77032</v>
      </c>
      <c r="AJ134" s="8">
        <f t="shared" si="1294"/>
        <v>103143</v>
      </c>
      <c r="AK134" s="8">
        <f t="shared" si="1294"/>
        <v>108571</v>
      </c>
      <c r="AL134" s="8">
        <f>+SUM(AL902:AL903,AL909,AL910,AL927)</f>
        <v>102816</v>
      </c>
      <c r="AM134" s="8">
        <f t="shared" ref="AM134" si="1295">+SUM(AM902:AM903,AM909,AM910,AM927)</f>
        <v>94272</v>
      </c>
      <c r="AN134" s="8"/>
      <c r="AO134" s="8"/>
      <c r="AP134" s="8"/>
      <c r="AQ134" s="8"/>
      <c r="AS134" s="8">
        <f t="shared" ref="AS134:BN134" si="1296">+SUM(AS902:AS903,AS909,AS910,AS927)</f>
        <v>0</v>
      </c>
      <c r="AT134" s="8">
        <f t="shared" si="1296"/>
        <v>0</v>
      </c>
      <c r="AU134" s="8">
        <f t="shared" si="1296"/>
        <v>0</v>
      </c>
      <c r="AV134" s="8">
        <f t="shared" si="1296"/>
        <v>0</v>
      </c>
      <c r="AW134" s="8">
        <f t="shared" si="1296"/>
        <v>5746</v>
      </c>
      <c r="AX134" s="8">
        <f t="shared" si="1296"/>
        <v>5939</v>
      </c>
      <c r="AY134" s="8">
        <f t="shared" si="1296"/>
        <v>11921</v>
      </c>
      <c r="AZ134" s="8">
        <f t="shared" si="1296"/>
        <v>11944</v>
      </c>
      <c r="BA134" s="8">
        <f t="shared" si="1296"/>
        <v>15600</v>
      </c>
      <c r="BB134" s="8">
        <f t="shared" si="1296"/>
        <v>22645</v>
      </c>
      <c r="BC134" s="8">
        <f t="shared" si="1296"/>
        <v>35292</v>
      </c>
      <c r="BD134" s="8">
        <f t="shared" si="1296"/>
        <v>53461</v>
      </c>
      <c r="BE134" s="8">
        <f t="shared" si="1296"/>
        <v>86194</v>
      </c>
      <c r="BF134">
        <f t="shared" si="1296"/>
        <v>0</v>
      </c>
      <c r="BG134" s="8">
        <f t="shared" si="1296"/>
        <v>53461</v>
      </c>
      <c r="BH134" s="8">
        <f t="shared" si="1296"/>
        <v>94104</v>
      </c>
      <c r="BI134" s="8">
        <f t="shared" si="1296"/>
        <v>86109</v>
      </c>
      <c r="BJ134" s="8">
        <f t="shared" si="1296"/>
        <v>84940</v>
      </c>
      <c r="BK134" s="8">
        <f t="shared" si="1296"/>
        <v>80494</v>
      </c>
      <c r="BL134" s="8">
        <f t="shared" si="1296"/>
        <v>80316</v>
      </c>
      <c r="BM134" s="8">
        <f t="shared" si="1296"/>
        <v>76172</v>
      </c>
      <c r="BN134" s="8">
        <f t="shared" si="1296"/>
        <v>77032</v>
      </c>
      <c r="BO134" s="8">
        <f t="shared" ref="BO134:BO135" si="1297">+AM134</f>
        <v>94272</v>
      </c>
      <c r="BP134" s="8"/>
      <c r="BQ134" s="8"/>
    </row>
    <row r="135" spans="2:82" ht="11.45">
      <c r="B135" t="s">
        <v>323</v>
      </c>
      <c r="D135" s="10">
        <f>+SUM(D883:D884)</f>
        <v>99355</v>
      </c>
      <c r="E135" s="10">
        <f t="shared" ref="E135:N135" si="1298">+SUM(E883:E884)</f>
        <v>102640</v>
      </c>
      <c r="F135" s="10">
        <f t="shared" si="1298"/>
        <v>105552</v>
      </c>
      <c r="G135" s="10">
        <f t="shared" si="1298"/>
        <v>113240</v>
      </c>
      <c r="H135" s="10">
        <f t="shared" si="1298"/>
        <v>136932</v>
      </c>
      <c r="I135" s="10">
        <f t="shared" si="1298"/>
        <v>122781</v>
      </c>
      <c r="J135" s="10">
        <f t="shared" si="1298"/>
        <v>126018</v>
      </c>
      <c r="K135" s="10">
        <f t="shared" si="1298"/>
        <v>132981</v>
      </c>
      <c r="L135" s="10">
        <f t="shared" si="1298"/>
        <v>138471</v>
      </c>
      <c r="M135" s="10">
        <f t="shared" si="1298"/>
        <v>142780</v>
      </c>
      <c r="N135" s="10">
        <f t="shared" si="1298"/>
        <v>132270</v>
      </c>
      <c r="O135" s="10">
        <f t="shared" ref="O135:V135" si="1299">+SUM(O883:O884)</f>
        <v>133768</v>
      </c>
      <c r="P135" s="10">
        <f t="shared" si="1299"/>
        <v>135880</v>
      </c>
      <c r="Q135" s="10">
        <f t="shared" si="1299"/>
        <v>127662</v>
      </c>
      <c r="R135" s="10">
        <f t="shared" si="1299"/>
        <v>131618</v>
      </c>
      <c r="S135" s="10">
        <f t="shared" si="1299"/>
        <v>133819</v>
      </c>
      <c r="T135" s="10">
        <f t="shared" si="1299"/>
        <v>136636</v>
      </c>
      <c r="U135" s="10">
        <f t="shared" si="1299"/>
        <v>134253</v>
      </c>
      <c r="V135" s="10">
        <f t="shared" si="1299"/>
        <v>137626</v>
      </c>
      <c r="W135" s="10">
        <f t="shared" ref="W135:X135" si="1300">+SUM(W883:W884)</f>
        <v>136527</v>
      </c>
      <c r="X135" s="10">
        <f t="shared" si="1300"/>
        <v>137977</v>
      </c>
      <c r="Y135" s="10">
        <f t="shared" ref="Y135:Z135" si="1301">+SUM(Y883:Y884)</f>
        <v>131968</v>
      </c>
      <c r="Z135" s="10">
        <f t="shared" si="1301"/>
        <v>125407</v>
      </c>
      <c r="AA135" s="10">
        <f t="shared" ref="AA135:AB135" si="1302">+SUM(AA883:AA884)</f>
        <v>130334</v>
      </c>
      <c r="AB135" s="10">
        <f t="shared" si="1302"/>
        <v>130615</v>
      </c>
      <c r="AC135" s="10">
        <f t="shared" ref="AC135:AD135" si="1303">+SUM(AC883:AC884)</f>
        <v>125369</v>
      </c>
      <c r="AD135" s="10">
        <f t="shared" si="1303"/>
        <v>104693</v>
      </c>
      <c r="AE135" s="10">
        <f t="shared" ref="AE135:AF135" si="1304">+SUM(AE883:AE884)</f>
        <v>104757</v>
      </c>
      <c r="AF135" s="10">
        <f t="shared" si="1304"/>
        <v>107262</v>
      </c>
      <c r="AG135" s="10">
        <f t="shared" ref="AG135:AH135" si="1305">+SUM(AG883:AG884)</f>
        <v>99508</v>
      </c>
      <c r="AH135" s="10">
        <f t="shared" si="1305"/>
        <v>104427</v>
      </c>
      <c r="AI135" s="10">
        <f t="shared" ref="AI135:AJ135" si="1306">+SUM(AI883:AI884)</f>
        <v>111262</v>
      </c>
      <c r="AJ135" s="10">
        <f t="shared" si="1306"/>
        <v>143951</v>
      </c>
      <c r="AK135" s="10">
        <f t="shared" ref="AK135:AL135" si="1307">+SUM(AK883:AK884)</f>
        <v>81017</v>
      </c>
      <c r="AL135" s="10">
        <f t="shared" si="1307"/>
        <v>80021</v>
      </c>
      <c r="AM135" s="10">
        <f t="shared" ref="AM135" si="1308">+SUM(AM883:AM884)</f>
        <v>75543</v>
      </c>
      <c r="AN135" s="10"/>
      <c r="AO135" s="10"/>
      <c r="AP135" s="10"/>
      <c r="AQ135" s="10"/>
      <c r="AS135" s="10">
        <f t="shared" ref="AS135:BE135" si="1309">+SUM(AS883:AS884)</f>
        <v>0</v>
      </c>
      <c r="AT135" s="10">
        <f t="shared" si="1309"/>
        <v>34161</v>
      </c>
      <c r="AU135" s="10">
        <f t="shared" si="1309"/>
        <v>23411</v>
      </c>
      <c r="AV135" s="10">
        <f t="shared" si="1309"/>
        <v>23662</v>
      </c>
      <c r="AW135" s="10">
        <f t="shared" si="1309"/>
        <v>31447</v>
      </c>
      <c r="AX135" s="10">
        <f t="shared" si="1309"/>
        <v>36788</v>
      </c>
      <c r="AY135" s="10">
        <f t="shared" si="1309"/>
        <v>52772</v>
      </c>
      <c r="AZ135" s="10">
        <f t="shared" si="1309"/>
        <v>63040</v>
      </c>
      <c r="BA135" s="10">
        <f t="shared" si="1309"/>
        <v>77022</v>
      </c>
      <c r="BB135" s="10">
        <f t="shared" si="1309"/>
        <v>85709</v>
      </c>
      <c r="BC135" s="10">
        <f t="shared" si="1309"/>
        <v>96526</v>
      </c>
      <c r="BD135" s="10">
        <f t="shared" si="1309"/>
        <v>113240</v>
      </c>
      <c r="BE135" s="10">
        <f t="shared" si="1309"/>
        <v>132981</v>
      </c>
      <c r="BG135" s="10">
        <f>+G135</f>
        <v>113240</v>
      </c>
      <c r="BH135" s="10">
        <f t="shared" ref="BH135:BI135" si="1310">+SUM(BH883:BH884)</f>
        <v>132981</v>
      </c>
      <c r="BI135" s="10">
        <f t="shared" si="1310"/>
        <v>133768</v>
      </c>
      <c r="BJ135" s="10">
        <f t="shared" ref="BJ135:BK135" si="1311">+SUM(BJ883:BJ884)</f>
        <v>133819</v>
      </c>
      <c r="BK135" s="10">
        <f t="shared" si="1311"/>
        <v>136527</v>
      </c>
      <c r="BL135" s="10">
        <f t="shared" ref="BL135:BM135" si="1312">+SUM(BL883:BL884)</f>
        <v>130334</v>
      </c>
      <c r="BM135" s="10">
        <f t="shared" si="1312"/>
        <v>104757</v>
      </c>
      <c r="BN135" s="10">
        <f t="shared" ref="BN135" si="1313">+SUM(BN883:BN884)</f>
        <v>111262</v>
      </c>
      <c r="BO135" s="10">
        <f t="shared" si="1297"/>
        <v>75543</v>
      </c>
      <c r="BP135" s="10"/>
    </row>
    <row r="136" spans="2:82" s="1" customFormat="1" ht="10.5">
      <c r="B136" s="837" t="s">
        <v>146</v>
      </c>
      <c r="D136" s="838">
        <f>+D134-D135</f>
        <v>-60788</v>
      </c>
      <c r="E136" s="838">
        <f t="shared" ref="E136:AS136" si="1314">+E134-E135</f>
        <v>-58211</v>
      </c>
      <c r="F136" s="838">
        <f t="shared" si="1314"/>
        <v>-59158</v>
      </c>
      <c r="G136" s="838">
        <f t="shared" si="1314"/>
        <v>-59779</v>
      </c>
      <c r="H136" s="838">
        <f t="shared" si="1314"/>
        <v>-62242</v>
      </c>
      <c r="I136" s="838">
        <f t="shared" si="1314"/>
        <v>-37811</v>
      </c>
      <c r="J136" s="838">
        <f t="shared" si="1314"/>
        <v>-42010</v>
      </c>
      <c r="K136" s="838">
        <f t="shared" si="1314"/>
        <v>-38877</v>
      </c>
      <c r="L136" s="838">
        <f t="shared" si="1314"/>
        <v>-47228</v>
      </c>
      <c r="M136" s="838">
        <f t="shared" si="1314"/>
        <v>-43978</v>
      </c>
      <c r="N136" s="838">
        <f t="shared" si="1314"/>
        <v>-45031</v>
      </c>
      <c r="O136" s="838">
        <f t="shared" ref="O136:V136" si="1315">+O134-O135</f>
        <v>-47659</v>
      </c>
      <c r="P136" s="838">
        <f t="shared" si="1315"/>
        <v>-49324</v>
      </c>
      <c r="Q136" s="838">
        <f t="shared" si="1315"/>
        <v>-43600</v>
      </c>
      <c r="R136" s="838">
        <f t="shared" si="1315"/>
        <v>-46736</v>
      </c>
      <c r="S136" s="838">
        <f t="shared" si="1315"/>
        <v>-48879</v>
      </c>
      <c r="T136" s="838">
        <f t="shared" si="1315"/>
        <v>-52617</v>
      </c>
      <c r="U136" s="838">
        <f t="shared" si="1315"/>
        <v>-48722</v>
      </c>
      <c r="V136" s="838">
        <f t="shared" si="1315"/>
        <v>-55158</v>
      </c>
      <c r="W136" s="838">
        <f t="shared" ref="W136:X136" si="1316">+W134-W135</f>
        <v>-56033</v>
      </c>
      <c r="X136" s="838">
        <f t="shared" si="1316"/>
        <v>-57288</v>
      </c>
      <c r="Y136" s="838">
        <f t="shared" ref="Y136:Z136" si="1317">+Y134-Y135</f>
        <v>-51052</v>
      </c>
      <c r="Z136" s="838">
        <f t="shared" si="1317"/>
        <v>-46023</v>
      </c>
      <c r="AA136" s="838">
        <f t="shared" ref="AA136:AB136" si="1318">+AA134-AA135</f>
        <v>-50018</v>
      </c>
      <c r="AB136" s="838">
        <f t="shared" si="1318"/>
        <v>-49433</v>
      </c>
      <c r="AC136" s="838">
        <f t="shared" ref="AC136:AD136" si="1319">+AC134-AC135</f>
        <v>-29011</v>
      </c>
      <c r="AD136" s="838">
        <f t="shared" si="1319"/>
        <v>-28871</v>
      </c>
      <c r="AE136" s="838">
        <f t="shared" ref="AE136:AF136" si="1320">+AE134-AE135</f>
        <v>-28585</v>
      </c>
      <c r="AF136" s="838">
        <f t="shared" si="1320"/>
        <v>-32350</v>
      </c>
      <c r="AG136" s="838">
        <f t="shared" ref="AG136:AH136" si="1321">+AG134-AG135</f>
        <v>-23810</v>
      </c>
      <c r="AH136" s="838">
        <f t="shared" si="1321"/>
        <v>-27442</v>
      </c>
      <c r="AI136" s="838">
        <f t="shared" ref="AI136:AJ136" si="1322">+AI134-AI135</f>
        <v>-34230</v>
      </c>
      <c r="AJ136" s="838">
        <f t="shared" si="1322"/>
        <v>-40808</v>
      </c>
      <c r="AK136" s="838">
        <f t="shared" ref="AK136:AL136" si="1323">+AK134-AK135</f>
        <v>27554</v>
      </c>
      <c r="AL136" s="838">
        <f t="shared" si="1323"/>
        <v>22795</v>
      </c>
      <c r="AM136" s="838">
        <f t="shared" ref="AM136" si="1324">+AM134-AM135</f>
        <v>18729</v>
      </c>
      <c r="AN136" s="838">
        <f>+AM136-AN122</f>
        <v>5247.9031741662366</v>
      </c>
      <c r="AO136" s="838">
        <f t="shared" ref="AO136:AQ136" si="1325">+AN136-AO122</f>
        <v>3045.2675383096012</v>
      </c>
      <c r="AP136" s="838">
        <f t="shared" si="1325"/>
        <v>-13204.010074835251</v>
      </c>
      <c r="AQ136" s="838">
        <f t="shared" si="1325"/>
        <v>-34820.532054760792</v>
      </c>
      <c r="AS136" s="838">
        <f t="shared" si="1314"/>
        <v>0</v>
      </c>
      <c r="AT136" s="838">
        <f t="shared" ref="AT136" si="1326">+AT134-AT135</f>
        <v>-34161</v>
      </c>
      <c r="AU136" s="838">
        <f t="shared" ref="AU136" si="1327">+AU134-AU135</f>
        <v>-23411</v>
      </c>
      <c r="AV136" s="838">
        <f t="shared" ref="AV136" si="1328">+AV134-AV135</f>
        <v>-23662</v>
      </c>
      <c r="AW136" s="838">
        <f t="shared" ref="AW136" si="1329">+AW134-AW135</f>
        <v>-25701</v>
      </c>
      <c r="AX136" s="838">
        <f t="shared" ref="AX136" si="1330">+AX134-AX135</f>
        <v>-30849</v>
      </c>
      <c r="AY136" s="838">
        <f t="shared" ref="AY136" si="1331">+AY134-AY135</f>
        <v>-40851</v>
      </c>
      <c r="AZ136" s="838">
        <f t="shared" ref="AZ136" si="1332">+AZ134-AZ135</f>
        <v>-51096</v>
      </c>
      <c r="BA136" s="838">
        <f t="shared" ref="BA136" si="1333">+BA134-BA135</f>
        <v>-61422</v>
      </c>
      <c r="BB136" s="838">
        <f t="shared" ref="BB136" si="1334">+BB134-BB135</f>
        <v>-63064</v>
      </c>
      <c r="BC136" s="838">
        <f t="shared" ref="BC136" si="1335">+BC134-BC135</f>
        <v>-61234</v>
      </c>
      <c r="BD136" s="838">
        <f t="shared" ref="BD136" si="1336">+BD134-BD135</f>
        <v>-59779</v>
      </c>
      <c r="BE136" s="838">
        <f t="shared" ref="BE136" si="1337">+BE134-BE135</f>
        <v>-46787</v>
      </c>
      <c r="BG136" s="838">
        <f>+G136</f>
        <v>-59779</v>
      </c>
      <c r="BH136" s="838">
        <f t="shared" ref="BH136" si="1338">+BH134-BH135</f>
        <v>-38877</v>
      </c>
      <c r="BI136" s="838">
        <f t="shared" ref="BI136:BJ136" si="1339">+BI134-BI135</f>
        <v>-47659</v>
      </c>
      <c r="BJ136" s="838">
        <f t="shared" si="1339"/>
        <v>-48879</v>
      </c>
      <c r="BK136" s="838">
        <f t="shared" ref="BK136:BL136" si="1340">+BK134-BK135</f>
        <v>-56033</v>
      </c>
      <c r="BL136" s="838">
        <f t="shared" si="1340"/>
        <v>-50018</v>
      </c>
      <c r="BM136" s="838">
        <f t="shared" ref="BM136:BN136" si="1341">+BM134-BM135</f>
        <v>-28585</v>
      </c>
      <c r="BN136" s="838">
        <f t="shared" si="1341"/>
        <v>-34230</v>
      </c>
      <c r="BO136" s="838">
        <f>+AM136</f>
        <v>18729</v>
      </c>
      <c r="BP136" s="838">
        <f>+AQ136</f>
        <v>-34820.532054760792</v>
      </c>
    </row>
    <row r="137" spans="2:82" s="7" customFormat="1">
      <c r="B137" s="841" t="s">
        <v>324</v>
      </c>
      <c r="C137" s="861"/>
      <c r="D137" s="861"/>
      <c r="E137" s="861"/>
      <c r="F137" s="861"/>
      <c r="G137" s="861">
        <f t="shared" ref="G137:AQ137" si="1342">+G136/SUM(D86:G86)</f>
        <v>-1.768086364980775</v>
      </c>
      <c r="H137" s="861">
        <f t="shared" si="1342"/>
        <v>-1.8007753732206921</v>
      </c>
      <c r="I137" s="861">
        <f t="shared" si="1342"/>
        <v>-1.0620470760069658</v>
      </c>
      <c r="J137" s="861">
        <f t="shared" si="1342"/>
        <v>-1.1417622438441051</v>
      </c>
      <c r="K137" s="861">
        <f t="shared" si="1342"/>
        <v>-1.0201527198299614</v>
      </c>
      <c r="L137" s="861">
        <f t="shared" si="1342"/>
        <v>-1.1870805579992461</v>
      </c>
      <c r="M137" s="861">
        <f t="shared" si="1342"/>
        <v>-1.0744948569473967</v>
      </c>
      <c r="N137" s="861">
        <f t="shared" si="1342"/>
        <v>-1.0532335399368495</v>
      </c>
      <c r="O137" s="861">
        <f t="shared" si="1342"/>
        <v>-1.0516339725060129</v>
      </c>
      <c r="P137" s="861">
        <f t="shared" si="1342"/>
        <v>-1.0296426185704743</v>
      </c>
      <c r="Q137" s="861">
        <f t="shared" si="1342"/>
        <v>-0.87301269472588205</v>
      </c>
      <c r="R137" s="861">
        <f t="shared" si="1342"/>
        <v>-0.8952056237669278</v>
      </c>
      <c r="S137" s="861">
        <f t="shared" si="1342"/>
        <v>-0.89454804999908488</v>
      </c>
      <c r="T137" s="861">
        <f t="shared" si="1342"/>
        <v>-0.91498278440510561</v>
      </c>
      <c r="U137" s="861">
        <f t="shared" si="1342"/>
        <v>-0.79420346553213683</v>
      </c>
      <c r="V137" s="861">
        <f t="shared" si="1342"/>
        <v>-0.85952035902949842</v>
      </c>
      <c r="W137" s="861">
        <f t="shared" si="1342"/>
        <v>-0.85214812561782372</v>
      </c>
      <c r="X137" s="861">
        <f t="shared" si="1342"/>
        <v>-0.8348708083766887</v>
      </c>
      <c r="Y137" s="861">
        <f t="shared" si="1342"/>
        <v>-0.70725794162060318</v>
      </c>
      <c r="Z137" s="861">
        <f t="shared" si="1342"/>
        <v>-0.60497673318085021</v>
      </c>
      <c r="AA137" s="861">
        <f t="shared" si="1342"/>
        <v>-0.61295066297394674</v>
      </c>
      <c r="AB137" s="861">
        <f t="shared" si="1342"/>
        <v>-0.57127503438074212</v>
      </c>
      <c r="AC137" s="861">
        <f t="shared" si="1342"/>
        <v>-0.31665866224240308</v>
      </c>
      <c r="AD137" s="861">
        <f t="shared" si="1342"/>
        <v>-0.30146498344975931</v>
      </c>
      <c r="AE137" s="861">
        <f t="shared" si="1342"/>
        <v>-0.29215171243727195</v>
      </c>
      <c r="AF137" s="861">
        <f t="shared" si="1342"/>
        <v>-0.32775757084528018</v>
      </c>
      <c r="AG137" s="861">
        <f t="shared" si="1342"/>
        <v>-0.24252363102998697</v>
      </c>
      <c r="AH137" s="861">
        <f t="shared" si="1342"/>
        <v>-0.27458475085051032</v>
      </c>
      <c r="AI137" s="861">
        <f t="shared" si="1342"/>
        <v>-0.33054898363188645</v>
      </c>
      <c r="AJ137" s="861">
        <f t="shared" si="1342"/>
        <v>-0.37076946839537356</v>
      </c>
      <c r="AK137" s="861">
        <f t="shared" si="1342"/>
        <v>0.23258994141779077</v>
      </c>
      <c r="AL137" s="861">
        <f t="shared" ref="AL137" si="1343">+AL136/SUM(AI86:AL86)</f>
        <v>0.18027886083057187</v>
      </c>
      <c r="AM137" s="861">
        <f t="shared" ref="AM137" si="1344">+AM136/SUM(AJ86:AM86)</f>
        <v>0.14095732671031835</v>
      </c>
      <c r="AN137" s="861">
        <f t="shared" si="1342"/>
        <v>3.7479138861329468E-2</v>
      </c>
      <c r="AO137" s="861">
        <f t="shared" si="1342"/>
        <v>2.0814195474087846E-2</v>
      </c>
      <c r="AP137" s="861">
        <f t="shared" si="1342"/>
        <v>-8.5985407825038759E-2</v>
      </c>
      <c r="AQ137" s="861">
        <f t="shared" si="1342"/>
        <v>-0.2161511145307676</v>
      </c>
      <c r="AR137" s="861"/>
      <c r="AS137" s="861">
        <f t="shared" ref="AS137:BE137" si="1345">+AS136/SUM(AS86)</f>
        <v>0</v>
      </c>
      <c r="AT137" s="861">
        <f t="shared" si="1345"/>
        <v>-1.9765665683041138</v>
      </c>
      <c r="AU137" s="861">
        <f t="shared" si="1345"/>
        <v>-1.1777341784887816</v>
      </c>
      <c r="AV137" s="861">
        <f t="shared" si="1345"/>
        <v>-0.97266411805812469</v>
      </c>
      <c r="AW137" s="861">
        <f t="shared" si="1345"/>
        <v>-1.1210905125408943</v>
      </c>
      <c r="AX137" s="861">
        <f t="shared" si="1345"/>
        <v>-1.152329012737664</v>
      </c>
      <c r="AY137" s="861">
        <f t="shared" si="1345"/>
        <v>-1.365021552444281</v>
      </c>
      <c r="AZ137" s="861">
        <f t="shared" si="1345"/>
        <v>-1.6240027969360837</v>
      </c>
      <c r="BA137" s="861">
        <f t="shared" si="1345"/>
        <v>-1.9999348788747069</v>
      </c>
      <c r="BB137" s="861">
        <f t="shared" si="1345"/>
        <v>-1.9053719257961206</v>
      </c>
      <c r="BC137" s="861">
        <f t="shared" si="1345"/>
        <v>-1.7941926221102289</v>
      </c>
      <c r="BD137" s="861">
        <f t="shared" si="1345"/>
        <v>-1.7298665972161935</v>
      </c>
      <c r="BE137" s="861">
        <f t="shared" si="1345"/>
        <v>-1.2274575648660702</v>
      </c>
      <c r="BF137" s="861"/>
      <c r="BG137" s="861">
        <f t="shared" ref="BG137:BP137" si="1346">+BG136/SUM(BG86)</f>
        <v>-1.768086364980775</v>
      </c>
      <c r="BH137" s="861">
        <f t="shared" si="1346"/>
        <v>-1.0201527198299614</v>
      </c>
      <c r="BI137" s="861">
        <f t="shared" si="1346"/>
        <v>-1.0516339725060129</v>
      </c>
      <c r="BJ137" s="861">
        <f t="shared" si="1346"/>
        <v>-0.89454804999908488</v>
      </c>
      <c r="BK137" s="861">
        <f t="shared" si="1346"/>
        <v>-0.85214812561782372</v>
      </c>
      <c r="BL137" s="861">
        <f t="shared" si="1346"/>
        <v>-0.61295066297394674</v>
      </c>
      <c r="BM137" s="861">
        <f t="shared" si="1346"/>
        <v>-0.29215171243727195</v>
      </c>
      <c r="BN137" s="861">
        <f t="shared" si="1346"/>
        <v>-0.33054898363188645</v>
      </c>
      <c r="BO137" s="861">
        <f t="shared" si="1346"/>
        <v>0.14095732671031835</v>
      </c>
      <c r="BP137" s="861">
        <f t="shared" si="1346"/>
        <v>-0.2161511145307676</v>
      </c>
      <c r="BQ137" s="862"/>
    </row>
    <row r="138" spans="2:82">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S138" s="8"/>
      <c r="AT138" s="8"/>
      <c r="AU138" s="8"/>
      <c r="AV138" s="8"/>
      <c r="AW138" s="8"/>
      <c r="AX138" s="8"/>
      <c r="AY138" s="8"/>
      <c r="AZ138" s="8"/>
      <c r="BA138" s="8"/>
      <c r="BB138" s="8"/>
      <c r="BC138" s="8"/>
      <c r="BD138" s="8"/>
      <c r="BE138" s="8"/>
      <c r="BG138" s="8"/>
      <c r="BH138" s="8"/>
      <c r="BI138" s="8"/>
      <c r="BJ138" s="8"/>
      <c r="BK138" s="8"/>
      <c r="BL138" s="8"/>
      <c r="BM138" s="8"/>
      <c r="BN138" s="8"/>
      <c r="BO138" s="8"/>
      <c r="BP138" s="8"/>
      <c r="BQ138" s="8"/>
    </row>
    <row r="139" spans="2:82" ht="10.5">
      <c r="B139" s="863" t="s">
        <v>162</v>
      </c>
      <c r="C139" s="864"/>
      <c r="D139" s="864"/>
      <c r="E139" s="864"/>
      <c r="F139" s="864"/>
      <c r="G139" s="864"/>
      <c r="H139" s="864"/>
      <c r="I139" s="864"/>
      <c r="J139" s="864"/>
      <c r="K139" s="864"/>
      <c r="L139" s="864"/>
      <c r="M139" s="864"/>
      <c r="N139" s="864"/>
      <c r="O139" s="864"/>
      <c r="P139" s="864"/>
      <c r="Q139" s="864"/>
      <c r="R139" s="864"/>
      <c r="S139" s="864"/>
      <c r="T139" s="864"/>
      <c r="U139" s="865"/>
      <c r="V139" s="8"/>
      <c r="W139" s="8"/>
      <c r="X139" s="8"/>
      <c r="Y139" s="8"/>
      <c r="Z139" s="8"/>
      <c r="AA139" s="8"/>
      <c r="AB139" s="8"/>
      <c r="AC139" s="8"/>
      <c r="AD139" s="8"/>
      <c r="AE139" s="8"/>
      <c r="AF139" s="8"/>
      <c r="AO139" s="8"/>
      <c r="AP139" s="8"/>
      <c r="AQ139" s="8"/>
      <c r="AS139" s="8"/>
      <c r="AT139" s="8"/>
      <c r="AU139" s="8"/>
      <c r="AV139" s="8"/>
      <c r="AW139" s="8"/>
      <c r="AX139" s="8"/>
      <c r="AY139" s="8"/>
      <c r="AZ139" s="8"/>
      <c r="BA139" s="8"/>
      <c r="BB139" s="8"/>
      <c r="BC139" s="8"/>
      <c r="BD139" s="8"/>
      <c r="BE139" s="8"/>
      <c r="BG139" s="8"/>
      <c r="BH139" s="8"/>
      <c r="BI139" s="8"/>
      <c r="BJ139" s="8"/>
      <c r="BK139" s="8"/>
      <c r="BL139" s="8"/>
      <c r="BM139" s="8"/>
      <c r="BN139" s="8"/>
      <c r="BO139" s="8"/>
      <c r="BP139" s="8"/>
      <c r="BQ139" s="8"/>
    </row>
    <row r="140" spans="2:82" ht="10.5">
      <c r="B140" s="100"/>
      <c r="C140" s="100"/>
      <c r="G140" s="866"/>
      <c r="K140" s="8"/>
      <c r="N140" s="866"/>
      <c r="T140" s="867" t="s">
        <v>163</v>
      </c>
      <c r="U140" s="867" t="s">
        <v>164</v>
      </c>
      <c r="V140" s="8"/>
      <c r="W140" s="8"/>
      <c r="X140" s="8"/>
      <c r="Y140" s="8"/>
      <c r="Z140" s="8"/>
      <c r="AA140" s="8"/>
      <c r="AB140" s="8"/>
      <c r="AC140" s="8"/>
      <c r="AD140" s="8"/>
      <c r="AE140" s="8"/>
      <c r="AF140" s="8"/>
      <c r="AO140" s="8"/>
      <c r="AP140" s="8"/>
      <c r="AQ140" s="8"/>
      <c r="AS140" s="8"/>
      <c r="AT140" s="8"/>
      <c r="AU140" s="8"/>
      <c r="AV140" s="8"/>
      <c r="AW140" s="8"/>
      <c r="AX140" s="8"/>
      <c r="AY140" s="8"/>
      <c r="AZ140" s="8"/>
      <c r="BA140" s="8"/>
      <c r="BB140" s="8"/>
      <c r="BC140" s="8"/>
      <c r="BD140" s="8"/>
      <c r="BE140" s="8"/>
      <c r="BG140" s="8"/>
      <c r="BH140" s="8"/>
      <c r="BI140" s="8"/>
      <c r="BJ140" s="8"/>
      <c r="BK140" s="8"/>
      <c r="BL140" s="8"/>
      <c r="BM140" s="8"/>
      <c r="BN140" s="8"/>
      <c r="BO140" s="8"/>
      <c r="BP140" s="8"/>
      <c r="BQ140" s="8"/>
    </row>
    <row r="141" spans="2:82">
      <c r="B141" s="100" t="s">
        <v>165</v>
      </c>
      <c r="C141" s="100"/>
      <c r="G141" s="866"/>
      <c r="K141" s="8"/>
      <c r="N141" s="866"/>
      <c r="T141" s="868">
        <f>+U141*U144</f>
        <v>3215201.6</v>
      </c>
      <c r="U141" s="869">
        <f>+Base!E100</f>
        <v>430.3</v>
      </c>
      <c r="V141" s="8"/>
      <c r="W141" s="8"/>
      <c r="X141" s="8"/>
      <c r="Y141" s="8"/>
      <c r="Z141" s="8"/>
      <c r="AA141" s="8"/>
      <c r="AB141" s="8"/>
      <c r="AC141" s="8"/>
      <c r="AD141" s="8"/>
      <c r="AE141" s="8"/>
      <c r="AF141" s="8"/>
      <c r="AO141" s="8"/>
      <c r="AP141" s="8"/>
      <c r="AQ141" s="8"/>
      <c r="AS141" s="8"/>
      <c r="AT141" s="8"/>
      <c r="AU141" s="8"/>
      <c r="AV141" s="8"/>
      <c r="AW141" s="8"/>
      <c r="AX141" s="8"/>
      <c r="AY141" s="8"/>
      <c r="AZ141" s="8"/>
      <c r="BA141" s="8"/>
      <c r="BB141" s="8"/>
      <c r="BC141" s="8"/>
      <c r="BD141" s="8"/>
      <c r="BE141" s="8"/>
      <c r="BG141" s="8"/>
      <c r="BH141" s="8"/>
      <c r="BI141" s="8"/>
      <c r="BJ141" s="8"/>
      <c r="BK141" s="8"/>
      <c r="BL141" s="8"/>
      <c r="BM141" s="8"/>
      <c r="BN141" s="8"/>
      <c r="BO141" s="8"/>
      <c r="BP141" s="8"/>
      <c r="BQ141" s="8"/>
      <c r="BT141" s="3"/>
      <c r="BU141" s="839"/>
      <c r="BV141" s="839" t="s">
        <v>90</v>
      </c>
      <c r="BW141" s="3"/>
      <c r="BX141" s="3"/>
      <c r="BY141" s="3"/>
      <c r="BZ141" s="3"/>
      <c r="CA141" s="3"/>
      <c r="CB141" s="3"/>
      <c r="CC141" s="3"/>
      <c r="CD141" s="3"/>
    </row>
    <row r="142" spans="2:82" ht="11.45">
      <c r="B142" s="100" t="s">
        <v>146</v>
      </c>
      <c r="C142" s="100"/>
      <c r="G142" s="866"/>
      <c r="K142" s="8"/>
      <c r="N142" s="872"/>
      <c r="T142" s="870">
        <f>+Base!D101</f>
        <v>18729</v>
      </c>
      <c r="U142" s="871">
        <f>+T142/U144</f>
        <v>2.5065578158458246</v>
      </c>
      <c r="V142" s="8"/>
      <c r="W142" s="8"/>
      <c r="X142" s="8"/>
      <c r="Y142" s="8"/>
      <c r="Z142" s="8"/>
      <c r="AA142" s="8"/>
      <c r="AB142" s="8"/>
      <c r="AC142" s="8"/>
      <c r="AD142" s="8"/>
      <c r="AE142" s="8"/>
      <c r="AF142" s="8"/>
      <c r="AO142" s="8"/>
      <c r="AP142" s="8"/>
      <c r="AQ142" s="8"/>
      <c r="AS142" s="8"/>
      <c r="AT142" s="8"/>
      <c r="AU142" s="8"/>
      <c r="AV142" s="8"/>
      <c r="AW142" s="8"/>
      <c r="AX142" s="8"/>
      <c r="AY142" s="8"/>
      <c r="AZ142" s="8"/>
      <c r="BA142" s="8"/>
      <c r="BB142" s="8"/>
      <c r="BC142" s="8"/>
      <c r="BD142" s="8"/>
      <c r="BE142" s="8"/>
      <c r="BG142" s="8"/>
      <c r="BH142" s="8"/>
      <c r="BI142" s="8"/>
      <c r="BJ142" s="8"/>
      <c r="BK142" s="8"/>
      <c r="BL142" s="8"/>
      <c r="BM142" s="8"/>
      <c r="BN142" s="8"/>
      <c r="BO142" s="8"/>
      <c r="BP142" s="8"/>
      <c r="BQ142" s="8"/>
      <c r="BT142" s="3"/>
      <c r="BU142" s="932" t="s">
        <v>325</v>
      </c>
      <c r="BV142" s="932" t="s">
        <v>326</v>
      </c>
      <c r="BW142" s="932"/>
      <c r="BX142" s="932" t="s">
        <v>327</v>
      </c>
      <c r="BY142" s="932"/>
      <c r="BZ142" s="932"/>
      <c r="CA142" s="932" t="s">
        <v>328</v>
      </c>
      <c r="CB142" s="932" t="s">
        <v>329</v>
      </c>
      <c r="CC142" s="932" t="s">
        <v>330</v>
      </c>
      <c r="CD142" s="932"/>
    </row>
    <row r="143" spans="2:82" ht="10.5">
      <c r="B143" s="873" t="s">
        <v>166</v>
      </c>
      <c r="C143" s="102"/>
      <c r="G143" s="866"/>
      <c r="K143" s="8"/>
      <c r="N143" s="866"/>
      <c r="T143" s="868">
        <f>+T142+T141</f>
        <v>3233930.6</v>
      </c>
      <c r="U143" s="869">
        <f>+U142+U141</f>
        <v>432.80655781584585</v>
      </c>
      <c r="V143" s="8"/>
      <c r="W143" s="8"/>
      <c r="X143" s="8"/>
      <c r="Y143" s="8"/>
      <c r="Z143" s="8"/>
      <c r="AA143" s="8"/>
      <c r="AB143" s="8"/>
      <c r="AC143" s="8"/>
      <c r="AD143" s="8"/>
      <c r="AE143" s="8"/>
      <c r="AF143" s="8"/>
      <c r="AO143" s="8"/>
      <c r="AP143" s="8"/>
      <c r="AQ143" s="8"/>
      <c r="AS143" s="8"/>
      <c r="AT143" s="8"/>
      <c r="AU143" s="8"/>
      <c r="AV143" s="8"/>
      <c r="AW143" s="8"/>
      <c r="AX143" s="8"/>
      <c r="AY143" s="8"/>
      <c r="AZ143" s="8"/>
      <c r="BA143" s="874"/>
      <c r="BB143" s="8"/>
      <c r="BC143" s="8"/>
      <c r="BD143" s="8"/>
      <c r="BE143" s="8"/>
      <c r="BG143" s="8"/>
      <c r="BH143" s="8"/>
      <c r="BI143" s="8"/>
      <c r="BJ143" s="8"/>
      <c r="BK143" s="8"/>
      <c r="BL143" s="8"/>
      <c r="BM143" s="8"/>
      <c r="BN143" s="8"/>
      <c r="BO143" s="8"/>
      <c r="BP143" s="8"/>
      <c r="BQ143" s="8"/>
      <c r="BT143" s="3" t="s">
        <v>331</v>
      </c>
      <c r="BU143" s="1217">
        <v>20.3</v>
      </c>
      <c r="BV143" s="1217">
        <v>20.6</v>
      </c>
      <c r="BW143" s="885"/>
      <c r="BX143" s="1217">
        <f>AVERAGE(BU143:BV143)</f>
        <v>20.450000000000003</v>
      </c>
      <c r="BY143" s="1024">
        <f>+BX143/AJ148*1000-1</f>
        <v>9.9935456110155085E-2</v>
      </c>
      <c r="BZ143" s="839"/>
      <c r="CA143" s="3"/>
      <c r="CB143" s="839"/>
      <c r="CC143" s="839"/>
      <c r="CD143" s="839"/>
    </row>
    <row r="144" spans="2:82">
      <c r="B144" s="875" t="s">
        <v>167</v>
      </c>
      <c r="C144" s="872"/>
      <c r="G144" s="872"/>
      <c r="K144" s="8"/>
      <c r="N144" s="872"/>
      <c r="T144" s="872"/>
      <c r="U144" s="845">
        <f>+Base!E103</f>
        <v>7472</v>
      </c>
      <c r="V144" s="8"/>
      <c r="W144" s="8"/>
      <c r="X144" s="8"/>
      <c r="Y144" s="8"/>
      <c r="Z144" s="8"/>
      <c r="AA144" s="8"/>
      <c r="AB144" s="8"/>
      <c r="AC144" s="8"/>
      <c r="AD144" s="8"/>
      <c r="AE144" s="8"/>
      <c r="AF144" s="8"/>
      <c r="AO144" s="8"/>
      <c r="AP144" s="8"/>
      <c r="AQ144" s="8"/>
      <c r="AS144" s="8"/>
      <c r="AT144" s="8"/>
      <c r="AU144" s="8"/>
      <c r="AV144" s="8"/>
      <c r="AW144" s="8"/>
      <c r="AX144" s="8"/>
      <c r="AY144" s="8"/>
      <c r="AZ144" s="8"/>
      <c r="BA144" s="8"/>
      <c r="BB144" s="8"/>
      <c r="BC144" s="8"/>
      <c r="BD144" s="8"/>
      <c r="BE144" s="8"/>
      <c r="BG144" s="8"/>
      <c r="BH144" s="8"/>
      <c r="BI144" s="8"/>
      <c r="BJ144" s="8"/>
      <c r="BK144" s="8"/>
      <c r="BL144" s="8"/>
      <c r="BM144" s="8"/>
      <c r="BN144" s="8"/>
      <c r="BO144" s="8"/>
      <c r="BP144" s="8"/>
      <c r="BQ144" s="8"/>
      <c r="BT144" s="3" t="s">
        <v>332</v>
      </c>
      <c r="BU144" s="1217">
        <v>28.6</v>
      </c>
      <c r="BV144" s="1217">
        <v>28.9</v>
      </c>
      <c r="BW144" s="885"/>
      <c r="BX144" s="1217">
        <f t="shared" ref="BX144:BX148" si="1347">AVERAGE(BU144:BV144)</f>
        <v>28.75</v>
      </c>
      <c r="BY144" s="1024">
        <f>+BX144/AJ149*1000-1</f>
        <v>0.18512716929799256</v>
      </c>
      <c r="BZ144" s="839"/>
      <c r="CA144" s="3"/>
      <c r="CB144" s="839"/>
      <c r="CC144" s="839"/>
      <c r="CD144" s="839"/>
    </row>
    <row r="145" spans="2:82" ht="10.5">
      <c r="B145" s="5" t="s">
        <v>333</v>
      </c>
      <c r="C145" s="4"/>
      <c r="I145" s="3"/>
      <c r="BT145" s="3" t="s">
        <v>334</v>
      </c>
      <c r="BU145" s="1215">
        <v>14.9</v>
      </c>
      <c r="BV145" s="1215">
        <v>15.3</v>
      </c>
      <c r="BW145" s="885"/>
      <c r="BX145" s="1217">
        <f t="shared" si="1347"/>
        <v>15.100000000000001</v>
      </c>
      <c r="BY145" s="1024">
        <f>+BX145/AJ150*1000-1</f>
        <v>0.10493194789989757</v>
      </c>
      <c r="BZ145" s="7"/>
      <c r="CA145" s="1215"/>
      <c r="CB145" s="7"/>
      <c r="CC145" s="7"/>
      <c r="CD145" s="7"/>
    </row>
    <row r="146" spans="2:82">
      <c r="X146" s="824"/>
      <c r="Y146" s="824"/>
      <c r="BC146" s="876" t="s">
        <v>262</v>
      </c>
      <c r="BD146" s="877"/>
      <c r="BT146" s="3"/>
      <c r="BU146" s="1216">
        <f>SUM(BU143:BU145)</f>
        <v>63.800000000000004</v>
      </c>
      <c r="BV146" s="1216">
        <f>SUM(BV143:BV145)</f>
        <v>64.8</v>
      </c>
      <c r="BW146" s="885"/>
      <c r="BX146" s="1216">
        <f t="shared" si="1347"/>
        <v>64.3</v>
      </c>
      <c r="BY146" s="1024">
        <f>+BX146/AJ152*1000-1</f>
        <v>0.13771077728824954</v>
      </c>
      <c r="BZ146" s="3"/>
      <c r="CA146" s="1216">
        <f>+(1+BY146-CB146)*AH12/1000</f>
        <v>60.135978555125</v>
      </c>
      <c r="CB146" s="1080">
        <v>0</v>
      </c>
      <c r="CC146" s="1080">
        <f>+CA146/AH152*1000-1</f>
        <v>0.13771077728824954</v>
      </c>
      <c r="CD146" s="3"/>
    </row>
    <row r="147" spans="2:82" ht="10.5">
      <c r="B147" s="45" t="s">
        <v>86</v>
      </c>
      <c r="AG147" s="824"/>
      <c r="AH147" s="824"/>
      <c r="BT147" s="3"/>
      <c r="BU147" s="1217"/>
      <c r="BV147" s="1217"/>
      <c r="BW147" s="3"/>
      <c r="BX147" s="1217"/>
      <c r="BY147" s="1024"/>
      <c r="BZ147" s="3"/>
      <c r="CA147" s="1217"/>
      <c r="CB147" s="3"/>
      <c r="CC147" s="3"/>
      <c r="CD147" s="3"/>
    </row>
    <row r="148" spans="2:82">
      <c r="B148" s="878" t="s">
        <v>335</v>
      </c>
      <c r="D148" s="879"/>
      <c r="E148" s="879"/>
      <c r="F148" s="879"/>
      <c r="G148" s="879"/>
      <c r="H148" s="879">
        <v>6436</v>
      </c>
      <c r="I148" s="879">
        <v>7179</v>
      </c>
      <c r="J148" s="879">
        <v>7707</v>
      </c>
      <c r="K148" s="879">
        <v>8548</v>
      </c>
      <c r="L148" s="879">
        <v>8238</v>
      </c>
      <c r="M148" s="879">
        <v>8953</v>
      </c>
      <c r="N148" s="879">
        <v>9006</v>
      </c>
      <c r="O148" s="879">
        <v>9668</v>
      </c>
      <c r="P148" s="879">
        <v>9771</v>
      </c>
      <c r="Q148" s="879">
        <v>10100</v>
      </c>
      <c r="R148" s="879">
        <v>10242</v>
      </c>
      <c r="S148" s="879">
        <f>+BJ148-SUM(P148:R148)</f>
        <v>11047</v>
      </c>
      <c r="T148" s="879">
        <v>11077</v>
      </c>
      <c r="U148" s="879">
        <v>11826</v>
      </c>
      <c r="V148" s="879">
        <v>11743</v>
      </c>
      <c r="W148" s="879">
        <v>11752</v>
      </c>
      <c r="X148" s="879">
        <v>12319</v>
      </c>
      <c r="Y148" s="879">
        <v>13353</v>
      </c>
      <c r="Z148" s="879">
        <v>13552</v>
      </c>
      <c r="AA148" s="879">
        <v>14691</v>
      </c>
      <c r="AB148" s="879">
        <v>15039</v>
      </c>
      <c r="AC148" s="879">
        <v>15936</v>
      </c>
      <c r="AD148" s="879">
        <v>15789</v>
      </c>
      <c r="AE148" s="879">
        <v>16600</v>
      </c>
      <c r="AF148" s="879">
        <v>16465</v>
      </c>
      <c r="AG148" s="879">
        <v>17002</v>
      </c>
      <c r="AH148" s="879">
        <v>17516</v>
      </c>
      <c r="AI148" s="879">
        <v>18291</v>
      </c>
      <c r="AJ148" s="879">
        <v>18592</v>
      </c>
      <c r="AK148" s="879">
        <v>19249</v>
      </c>
      <c r="AL148" s="879">
        <v>19570</v>
      </c>
      <c r="AM148" s="879">
        <v>20317</v>
      </c>
      <c r="AN148" s="880">
        <f t="shared" ref="AN148:AQ148" si="1348">+AN251</f>
        <v>20773.882033240687</v>
      </c>
      <c r="AO148" s="880">
        <f t="shared" si="1348"/>
        <v>21512.444276770904</v>
      </c>
      <c r="AP148" s="880">
        <f t="shared" si="1348"/>
        <v>21877.371992487504</v>
      </c>
      <c r="AQ148" s="880">
        <f t="shared" si="1348"/>
        <v>22704.936486930375</v>
      </c>
      <c r="AS148" s="879"/>
      <c r="AT148" s="879"/>
      <c r="AU148" s="879"/>
      <c r="AV148" s="879"/>
      <c r="AW148" s="879"/>
      <c r="AX148" s="879"/>
      <c r="AY148" s="879"/>
      <c r="AZ148" s="879"/>
      <c r="BA148" s="879"/>
      <c r="BB148" s="879">
        <v>26976</v>
      </c>
      <c r="BC148" s="879">
        <v>26430</v>
      </c>
      <c r="BD148" s="879">
        <v>26487</v>
      </c>
      <c r="BE148" s="879">
        <v>30444</v>
      </c>
      <c r="BG148" s="879">
        <v>25792</v>
      </c>
      <c r="BH148" s="879">
        <f>+SUM(H148:K148)</f>
        <v>29870</v>
      </c>
      <c r="BI148" s="879">
        <f>+SUM(L148:O148)</f>
        <v>35865</v>
      </c>
      <c r="BJ148" s="879">
        <v>41160</v>
      </c>
      <c r="BK148" s="880">
        <f>SUM(T148:W148)</f>
        <v>46398</v>
      </c>
      <c r="BL148" s="880">
        <f>SUM(X148:AA148)</f>
        <v>53915</v>
      </c>
      <c r="BM148" s="880">
        <f>SUM(AB148:AE148)</f>
        <v>63364</v>
      </c>
      <c r="BN148" s="880">
        <f>SUM(AF148:AI148)</f>
        <v>69274</v>
      </c>
      <c r="BO148" s="880">
        <f>SUM(AJ148:AM148)</f>
        <v>77728</v>
      </c>
      <c r="BP148" s="880">
        <f>+SUM(AN148:AQ148)</f>
        <v>86868.634789429459</v>
      </c>
      <c r="BT148" s="3" t="s">
        <v>336</v>
      </c>
      <c r="BU148" s="1218">
        <v>19.95</v>
      </c>
      <c r="BV148" s="1218">
        <v>20.149999999999999</v>
      </c>
      <c r="BW148" s="839"/>
      <c r="BX148" s="1218">
        <f t="shared" si="1347"/>
        <v>20.049999999999997</v>
      </c>
      <c r="BY148" s="1024">
        <f>+BX148/AJ742*1000-1</f>
        <v>0.22991044043675624</v>
      </c>
      <c r="BZ148" s="3"/>
      <c r="CA148" s="1218">
        <f>+(1+BY148-CB148)*AH742/1000</f>
        <v>19.835995583364006</v>
      </c>
      <c r="CB148" s="1080">
        <v>0</v>
      </c>
      <c r="CC148" s="1080">
        <f>+CA148*1000/AH742-1</f>
        <v>0.22991044043675624</v>
      </c>
      <c r="CD148" s="3"/>
    </row>
    <row r="149" spans="2:82">
      <c r="B149" s="878" t="s">
        <v>337</v>
      </c>
      <c r="D149" s="879"/>
      <c r="E149" s="879"/>
      <c r="F149" s="879"/>
      <c r="G149" s="879"/>
      <c r="H149" s="879">
        <v>6097</v>
      </c>
      <c r="I149" s="879">
        <v>6758</v>
      </c>
      <c r="J149" s="879">
        <v>6730</v>
      </c>
      <c r="K149" s="879">
        <v>7822</v>
      </c>
      <c r="L149" s="879">
        <v>6922</v>
      </c>
      <c r="M149" s="879">
        <v>7795</v>
      </c>
      <c r="N149" s="879">
        <v>7896</v>
      </c>
      <c r="O149" s="879">
        <v>9606</v>
      </c>
      <c r="P149" s="879">
        <v>8567</v>
      </c>
      <c r="Q149" s="879">
        <v>9378</v>
      </c>
      <c r="R149" s="879">
        <v>9649</v>
      </c>
      <c r="S149" s="879">
        <f>+BJ149-SUM(P149:R149)</f>
        <v>11391</v>
      </c>
      <c r="T149" s="879">
        <v>10845</v>
      </c>
      <c r="U149" s="879">
        <v>11869</v>
      </c>
      <c r="V149" s="879">
        <v>12281</v>
      </c>
      <c r="W149" s="879">
        <v>13371</v>
      </c>
      <c r="X149" s="879">
        <v>12986</v>
      </c>
      <c r="Y149" s="879">
        <v>14601</v>
      </c>
      <c r="Z149" s="879">
        <v>15118</v>
      </c>
      <c r="AA149" s="879">
        <v>17375</v>
      </c>
      <c r="AB149" s="879">
        <v>16964</v>
      </c>
      <c r="AC149" s="879">
        <v>18327</v>
      </c>
      <c r="AD149" s="879">
        <v>19051</v>
      </c>
      <c r="AE149" s="879">
        <v>20909</v>
      </c>
      <c r="AF149" s="879">
        <v>20325</v>
      </c>
      <c r="AG149" s="879">
        <v>21508</v>
      </c>
      <c r="AH149" s="879">
        <v>22081</v>
      </c>
      <c r="AI149" s="879">
        <v>23993</v>
      </c>
      <c r="AJ149" s="879">
        <v>24259</v>
      </c>
      <c r="AK149" s="879">
        <v>25880</v>
      </c>
      <c r="AL149" s="879">
        <v>26708</v>
      </c>
      <c r="AM149" s="879">
        <v>28515</v>
      </c>
      <c r="AN149" s="880">
        <f t="shared" ref="AN149:AQ149" si="1349">+AN449</f>
        <v>28929.545508438696</v>
      </c>
      <c r="AO149" s="880">
        <f t="shared" si="1349"/>
        <v>31262.804439553511</v>
      </c>
      <c r="AP149" s="880">
        <f t="shared" si="1349"/>
        <v>32387.163661203394</v>
      </c>
      <c r="AQ149" s="880">
        <f t="shared" si="1349"/>
        <v>34924.556290873123</v>
      </c>
      <c r="AS149" s="879"/>
      <c r="AT149" s="879"/>
      <c r="AU149" s="879"/>
      <c r="AV149" s="879"/>
      <c r="AW149" s="879"/>
      <c r="AX149" s="879"/>
      <c r="AY149" s="879"/>
      <c r="AZ149" s="879"/>
      <c r="BA149" s="879"/>
      <c r="BB149" s="879">
        <v>21735</v>
      </c>
      <c r="BC149" s="879">
        <v>23715</v>
      </c>
      <c r="BD149" s="879">
        <v>25042</v>
      </c>
      <c r="BE149" s="879">
        <v>27440</v>
      </c>
      <c r="BG149" s="879">
        <v>24952</v>
      </c>
      <c r="BH149" s="879">
        <f>+SUM(H149:K149)</f>
        <v>27407</v>
      </c>
      <c r="BI149" s="879">
        <f>+SUM(L149:O149)</f>
        <v>32219</v>
      </c>
      <c r="BJ149" s="879">
        <v>38985</v>
      </c>
      <c r="BK149" s="880">
        <f>SUM(T149:W149)</f>
        <v>48366</v>
      </c>
      <c r="BL149" s="880">
        <f>SUM(X149:AA149)</f>
        <v>60080</v>
      </c>
      <c r="BM149" s="880">
        <f t="shared" ref="BM149:BM151" si="1350">SUM(AB149:AE149)</f>
        <v>75251</v>
      </c>
      <c r="BN149" s="880">
        <f t="shared" ref="BN149:BN151" si="1351">SUM(AF149:AI149)</f>
        <v>87907</v>
      </c>
      <c r="BO149" s="880">
        <f t="shared" ref="BO149:BO152" si="1352">SUM(AJ149:AM149)</f>
        <v>105362</v>
      </c>
      <c r="BP149" s="880">
        <f t="shared" ref="BP149:BP152" si="1353">+SUM(AN149:AQ149)</f>
        <v>127504.06990006872</v>
      </c>
      <c r="BT149" s="3" t="s">
        <v>338</v>
      </c>
      <c r="BU149" s="1216">
        <f>+BU146-BU148</f>
        <v>43.850000000000009</v>
      </c>
      <c r="BV149" s="1216">
        <f>+BV146-BV148</f>
        <v>44.65</v>
      </c>
      <c r="BW149" s="3"/>
      <c r="BX149" s="1216">
        <f>+BX146-BX148</f>
        <v>44.25</v>
      </c>
      <c r="BY149" s="1024">
        <f>+BX149*1000/'Historical Financials'!AJ22-1</f>
        <v>0.10033569563595668</v>
      </c>
      <c r="BZ149" s="3"/>
      <c r="CA149" s="1216">
        <f>+CA146-CA148</f>
        <v>40.299982971760997</v>
      </c>
      <c r="CB149" s="1080">
        <f>+BY149-CC149</f>
        <v>3.1105337268113598E-3</v>
      </c>
      <c r="CC149" s="1080">
        <f>+CA149*1000/'Historical Financials'!AH22-1</f>
        <v>9.7225161909145319E-2</v>
      </c>
      <c r="CD149" s="3"/>
    </row>
    <row r="150" spans="2:82" s="852" customFormat="1">
      <c r="B150" s="878" t="s">
        <v>339</v>
      </c>
      <c r="D150" s="999"/>
      <c r="E150" s="999"/>
      <c r="F150" s="999"/>
      <c r="G150" s="999"/>
      <c r="H150" s="999">
        <v>9395</v>
      </c>
      <c r="I150" s="999">
        <v>11889</v>
      </c>
      <c r="J150" s="999">
        <v>8775</v>
      </c>
      <c r="K150" s="999">
        <v>9235</v>
      </c>
      <c r="L150" s="999">
        <v>9378</v>
      </c>
      <c r="M150" s="999">
        <v>12170</v>
      </c>
      <c r="N150" s="999">
        <v>9917</v>
      </c>
      <c r="O150" s="999">
        <v>10811</v>
      </c>
      <c r="P150" s="999">
        <v>10746</v>
      </c>
      <c r="Q150" s="999">
        <v>12993</v>
      </c>
      <c r="R150" s="999">
        <v>10680</v>
      </c>
      <c r="S150" s="999">
        <f>+BJ150-SUM(P150:R150)</f>
        <v>11279</v>
      </c>
      <c r="T150" s="999">
        <v>11133</v>
      </c>
      <c r="U150" s="999">
        <v>13211</v>
      </c>
      <c r="V150" s="999">
        <v>10997</v>
      </c>
      <c r="W150" s="999">
        <v>12910</v>
      </c>
      <c r="X150" s="999">
        <v>11849</v>
      </c>
      <c r="Y150" s="999">
        <v>15122</v>
      </c>
      <c r="Z150" s="999">
        <v>13036</v>
      </c>
      <c r="AA150" s="999">
        <v>14086</v>
      </c>
      <c r="AB150" s="999">
        <v>13314</v>
      </c>
      <c r="AC150" s="999">
        <v>17465</v>
      </c>
      <c r="AD150" s="999">
        <v>14520</v>
      </c>
      <c r="AE150" s="999">
        <v>14356</v>
      </c>
      <c r="AF150" s="999">
        <v>13332</v>
      </c>
      <c r="AG150" s="999">
        <v>14237</v>
      </c>
      <c r="AH150" s="999">
        <v>13260</v>
      </c>
      <c r="AI150" s="999">
        <v>13905</v>
      </c>
      <c r="AJ150" s="999">
        <v>13666</v>
      </c>
      <c r="AK150" s="999">
        <f>16891</f>
        <v>16891</v>
      </c>
      <c r="AL150" s="999">
        <v>15580</v>
      </c>
      <c r="AM150" s="999">
        <v>15895</v>
      </c>
      <c r="AN150" s="1000">
        <f t="shared" ref="AN150:AQ150" si="1354">+AN510</f>
        <v>15603.241128482263</v>
      </c>
      <c r="AO150" s="1000">
        <f t="shared" si="1354"/>
        <v>17379.739655638954</v>
      </c>
      <c r="AP150" s="1000">
        <f t="shared" si="1354"/>
        <v>16791.120924861974</v>
      </c>
      <c r="AQ150" s="1000">
        <f t="shared" si="1354"/>
        <v>17065.04031379622</v>
      </c>
      <c r="AS150" s="999"/>
      <c r="AT150" s="999"/>
      <c r="AU150" s="999"/>
      <c r="AV150" s="999"/>
      <c r="AW150" s="999"/>
      <c r="AX150" s="999"/>
      <c r="AY150" s="999"/>
      <c r="AZ150" s="999"/>
      <c r="BA150" s="999"/>
      <c r="BB150" s="999">
        <v>38460</v>
      </c>
      <c r="BC150" s="999">
        <v>43435</v>
      </c>
      <c r="BD150" s="999">
        <v>40434</v>
      </c>
      <c r="BE150" s="999">
        <v>38773</v>
      </c>
      <c r="BG150" s="999">
        <v>40410</v>
      </c>
      <c r="BH150" s="999">
        <f>+SUM(H150:K150)</f>
        <v>39294</v>
      </c>
      <c r="BI150" s="999">
        <f>+SUM(L150:O150)</f>
        <v>42276</v>
      </c>
      <c r="BJ150" s="999">
        <v>45698</v>
      </c>
      <c r="BK150" s="1000">
        <f>SUM(T150:W150)</f>
        <v>48251</v>
      </c>
      <c r="BL150" s="1000">
        <f>SUM(X150:AA150)</f>
        <v>54093</v>
      </c>
      <c r="BM150" s="1000">
        <f t="shared" si="1350"/>
        <v>59655</v>
      </c>
      <c r="BN150" s="1000">
        <f t="shared" si="1351"/>
        <v>54734</v>
      </c>
      <c r="BO150" s="1000">
        <f t="shared" si="1352"/>
        <v>62032</v>
      </c>
      <c r="BP150" s="1000">
        <f t="shared" si="1353"/>
        <v>66839.142022779415</v>
      </c>
      <c r="BR150"/>
      <c r="BS150"/>
      <c r="BT150"/>
      <c r="BU150" s="1216"/>
      <c r="BV150" s="1216"/>
      <c r="BW150"/>
      <c r="BX150" s="1216"/>
      <c r="BY150" s="1024"/>
      <c r="CA150" s="1216"/>
    </row>
    <row r="151" spans="2:82" ht="11.45" hidden="1" outlineLevel="1">
      <c r="B151" s="878" t="s">
        <v>340</v>
      </c>
      <c r="D151" s="10"/>
      <c r="E151" s="10"/>
      <c r="F151" s="10"/>
      <c r="G151" s="10"/>
      <c r="H151" s="10">
        <v>0</v>
      </c>
      <c r="I151" s="10">
        <v>0</v>
      </c>
      <c r="J151" s="10">
        <v>0</v>
      </c>
      <c r="K151" s="10">
        <v>0</v>
      </c>
      <c r="L151" s="10">
        <v>0</v>
      </c>
      <c r="M151" s="10">
        <v>0</v>
      </c>
      <c r="N151" s="10">
        <v>0</v>
      </c>
      <c r="O151" s="10">
        <v>0</v>
      </c>
      <c r="P151" s="10">
        <v>0</v>
      </c>
      <c r="Q151" s="10">
        <v>0</v>
      </c>
      <c r="R151" s="10">
        <v>0</v>
      </c>
      <c r="S151" s="10">
        <f>+BJ151-SUM(P151:R151)</f>
        <v>0</v>
      </c>
      <c r="T151" s="10">
        <v>0</v>
      </c>
      <c r="U151" s="10">
        <v>0</v>
      </c>
      <c r="V151" s="10">
        <v>0</v>
      </c>
      <c r="W151" s="10">
        <v>0</v>
      </c>
      <c r="X151" s="10">
        <v>0</v>
      </c>
      <c r="Y151" s="34">
        <v>0</v>
      </c>
      <c r="Z151" s="34">
        <v>0</v>
      </c>
      <c r="AA151" s="34">
        <v>0</v>
      </c>
      <c r="AB151" s="34">
        <v>0</v>
      </c>
      <c r="AC151" s="34">
        <v>0</v>
      </c>
      <c r="AD151" s="34">
        <v>0</v>
      </c>
      <c r="AE151" s="34">
        <v>0</v>
      </c>
      <c r="AF151" s="34">
        <v>0</v>
      </c>
      <c r="AG151" s="34">
        <v>0</v>
      </c>
      <c r="AH151" s="34">
        <v>0</v>
      </c>
      <c r="AI151" s="34">
        <v>0</v>
      </c>
      <c r="AJ151" s="34">
        <v>0</v>
      </c>
      <c r="AK151" s="34">
        <v>0</v>
      </c>
      <c r="AL151" s="34">
        <v>0</v>
      </c>
      <c r="AM151" s="34">
        <v>0</v>
      </c>
      <c r="AN151" s="34">
        <v>0</v>
      </c>
      <c r="AO151" s="34">
        <v>0</v>
      </c>
      <c r="AP151" s="34">
        <v>0</v>
      </c>
      <c r="AQ151" s="34">
        <v>0</v>
      </c>
      <c r="AS151" s="10"/>
      <c r="AT151" s="10"/>
      <c r="AU151" s="10"/>
      <c r="AV151" s="10"/>
      <c r="AW151" s="10"/>
      <c r="AX151" s="10"/>
      <c r="AY151" s="10"/>
      <c r="AZ151" s="10"/>
      <c r="BA151" s="10"/>
      <c r="BB151" s="10">
        <v>-338</v>
      </c>
      <c r="BC151" s="10">
        <v>0</v>
      </c>
      <c r="BD151" s="10">
        <v>-6643</v>
      </c>
      <c r="BE151" s="10">
        <v>-6707</v>
      </c>
      <c r="BG151" s="10">
        <v>0</v>
      </c>
      <c r="BH151" s="10">
        <f>+SUM(H151:K151)</f>
        <v>0</v>
      </c>
      <c r="BI151" s="10">
        <f>+SUM(L151:O151)</f>
        <v>0</v>
      </c>
      <c r="BJ151" s="10">
        <v>0</v>
      </c>
      <c r="BK151" s="10">
        <f>SUM(T151:W151)</f>
        <v>0</v>
      </c>
      <c r="BL151" s="10">
        <f>SUM(X151:AA151)</f>
        <v>0</v>
      </c>
      <c r="BM151" s="10">
        <f t="shared" si="1350"/>
        <v>0</v>
      </c>
      <c r="BN151" s="10">
        <f t="shared" si="1351"/>
        <v>0</v>
      </c>
      <c r="BO151" s="10">
        <f t="shared" si="1352"/>
        <v>0</v>
      </c>
      <c r="BP151" s="10">
        <f t="shared" si="1353"/>
        <v>0</v>
      </c>
      <c r="BU151" s="1216"/>
      <c r="BV151" s="1216"/>
      <c r="BX151" s="1216"/>
      <c r="BY151" s="1024"/>
      <c r="CA151" s="1216"/>
    </row>
    <row r="152" spans="2:82" s="1" customFormat="1" ht="10.5" collapsed="1">
      <c r="B152" s="882" t="s">
        <v>341</v>
      </c>
      <c r="D152" s="838"/>
      <c r="E152" s="838"/>
      <c r="F152" s="838"/>
      <c r="G152" s="838"/>
      <c r="H152" s="838">
        <f>SUM(H148:H151)</f>
        <v>21928</v>
      </c>
      <c r="I152" s="838">
        <f t="shared" ref="I152:BB152" si="1355">SUM(I148:I151)</f>
        <v>25826</v>
      </c>
      <c r="J152" s="838">
        <f t="shared" si="1355"/>
        <v>23212</v>
      </c>
      <c r="K152" s="838">
        <f t="shared" si="1355"/>
        <v>25605</v>
      </c>
      <c r="L152" s="838">
        <f t="shared" si="1355"/>
        <v>24538</v>
      </c>
      <c r="M152" s="838">
        <f t="shared" si="1355"/>
        <v>28918</v>
      </c>
      <c r="N152" s="838">
        <f t="shared" si="1355"/>
        <v>26819</v>
      </c>
      <c r="O152" s="838">
        <f t="shared" si="1355"/>
        <v>30085</v>
      </c>
      <c r="P152" s="838">
        <f t="shared" si="1355"/>
        <v>29084</v>
      </c>
      <c r="Q152" s="838">
        <f t="shared" si="1355"/>
        <v>32471</v>
      </c>
      <c r="R152" s="838">
        <f t="shared" si="1355"/>
        <v>30571</v>
      </c>
      <c r="S152" s="838">
        <f t="shared" si="1355"/>
        <v>33717</v>
      </c>
      <c r="T152" s="838">
        <f t="shared" si="1355"/>
        <v>33055</v>
      </c>
      <c r="U152" s="838">
        <f t="shared" si="1355"/>
        <v>36906</v>
      </c>
      <c r="V152" s="838">
        <f t="shared" si="1355"/>
        <v>35021</v>
      </c>
      <c r="W152" s="838">
        <f t="shared" si="1355"/>
        <v>38033</v>
      </c>
      <c r="X152" s="838">
        <f t="shared" si="1355"/>
        <v>37154</v>
      </c>
      <c r="Y152" s="838">
        <f t="shared" si="1355"/>
        <v>43076</v>
      </c>
      <c r="Z152" s="838">
        <f t="shared" si="1355"/>
        <v>41706</v>
      </c>
      <c r="AA152" s="838">
        <f t="shared" si="1355"/>
        <v>46152</v>
      </c>
      <c r="AB152" s="838">
        <f t="shared" ref="AB152:AE152" si="1356">SUM(AB148:AB151)</f>
        <v>45317</v>
      </c>
      <c r="AC152" s="838">
        <f t="shared" si="1356"/>
        <v>51728</v>
      </c>
      <c r="AD152" s="838">
        <f t="shared" ref="AD152" si="1357">SUM(AD148:AD151)</f>
        <v>49360</v>
      </c>
      <c r="AE152" s="838">
        <f t="shared" si="1356"/>
        <v>51865</v>
      </c>
      <c r="AF152" s="838">
        <f t="shared" ref="AF152:AH152" si="1358">SUM(AF148:AF151)</f>
        <v>50122</v>
      </c>
      <c r="AG152" s="838">
        <f t="shared" si="1358"/>
        <v>52747</v>
      </c>
      <c r="AH152" s="849">
        <f t="shared" si="1358"/>
        <v>52857</v>
      </c>
      <c r="AI152" s="849">
        <f t="shared" ref="AI152:AM152" si="1359">SUM(AI148:AI151)</f>
        <v>56189</v>
      </c>
      <c r="AJ152" s="849">
        <f t="shared" si="1359"/>
        <v>56517</v>
      </c>
      <c r="AK152" s="849">
        <f t="shared" si="1359"/>
        <v>62020</v>
      </c>
      <c r="AL152" s="849">
        <f t="shared" si="1359"/>
        <v>61858</v>
      </c>
      <c r="AM152" s="849">
        <f t="shared" si="1359"/>
        <v>64727</v>
      </c>
      <c r="AN152" s="849">
        <f t="shared" ref="AN152:AQ152" si="1360">SUM(AN148:AN151)</f>
        <v>65306.668670161642</v>
      </c>
      <c r="AO152" s="849">
        <f t="shared" si="1360"/>
        <v>70154.988371963365</v>
      </c>
      <c r="AP152" s="849">
        <f t="shared" si="1360"/>
        <v>71055.656578552866</v>
      </c>
      <c r="AQ152" s="849">
        <f t="shared" si="1360"/>
        <v>74694.533091599718</v>
      </c>
      <c r="AS152" s="838"/>
      <c r="AT152" s="838"/>
      <c r="AU152" s="838"/>
      <c r="AV152" s="838"/>
      <c r="AW152" s="838"/>
      <c r="AX152" s="838"/>
      <c r="AY152" s="838"/>
      <c r="AZ152" s="838"/>
      <c r="BA152" s="838"/>
      <c r="BB152" s="838">
        <f t="shared" si="1355"/>
        <v>86833</v>
      </c>
      <c r="BC152" s="838">
        <f t="shared" ref="BC152" si="1361">SUM(BC148:BC151)</f>
        <v>93580</v>
      </c>
      <c r="BD152" s="838">
        <f t="shared" ref="BD152:BE152" si="1362">SUM(BD148:BD151)</f>
        <v>85320</v>
      </c>
      <c r="BE152" s="838">
        <f t="shared" si="1362"/>
        <v>89950</v>
      </c>
      <c r="BG152" s="838">
        <f t="shared" ref="BG152" si="1363">SUM(BG148:BG151)</f>
        <v>91154</v>
      </c>
      <c r="BH152" s="838">
        <f>+SUM(H152:K152)</f>
        <v>96571</v>
      </c>
      <c r="BI152" s="838">
        <f>+SUM(L152:O152)</f>
        <v>110360</v>
      </c>
      <c r="BJ152" s="838">
        <f>SUM(BJ148:BJ151)</f>
        <v>125843</v>
      </c>
      <c r="BK152" s="838">
        <f t="shared" ref="BK152:BM152" si="1364">SUM(BK148:BK151)</f>
        <v>143015</v>
      </c>
      <c r="BL152" s="838">
        <f t="shared" si="1364"/>
        <v>168088</v>
      </c>
      <c r="BM152" s="838">
        <f t="shared" si="1364"/>
        <v>198270</v>
      </c>
      <c r="BN152" s="838">
        <f t="shared" ref="BN152" si="1365">SUM(BN148:BN151)</f>
        <v>211915</v>
      </c>
      <c r="BO152" s="838">
        <f t="shared" si="1352"/>
        <v>245122</v>
      </c>
      <c r="BP152" s="838">
        <f t="shared" si="1353"/>
        <v>281211.84671227756</v>
      </c>
      <c r="BR152"/>
      <c r="BS152"/>
      <c r="BT152" s="839" t="s">
        <v>342</v>
      </c>
      <c r="BU152" s="1216">
        <v>15.2</v>
      </c>
      <c r="BV152" s="1216">
        <v>15.3</v>
      </c>
      <c r="BW152" s="839"/>
      <c r="BX152" s="1216">
        <f t="shared" ref="BX152" si="1366">AVERAGE(BU152:BV152)</f>
        <v>15.25</v>
      </c>
      <c r="BY152" s="1024">
        <f>+BX152*1000/AJ32-1</f>
        <v>0.14489489489489493</v>
      </c>
      <c r="BZ152" s="839"/>
      <c r="CA152" s="1216">
        <f>+(1+BY152-CB152)*AH32/1000</f>
        <v>16.460153903903905</v>
      </c>
      <c r="CB152" s="1080">
        <v>0</v>
      </c>
      <c r="CC152" s="1080">
        <f>+CA152*1000/AH32-1</f>
        <v>0.14489489489489493</v>
      </c>
      <c r="CD152" s="839"/>
    </row>
    <row r="153" spans="2:82">
      <c r="X153" s="826"/>
      <c r="AH153" s="100"/>
      <c r="AI153" s="100"/>
      <c r="AJ153" s="100"/>
      <c r="AK153" s="100"/>
      <c r="AL153" s="100"/>
      <c r="AM153" s="100"/>
      <c r="AN153" s="100"/>
      <c r="AO153" s="100"/>
      <c r="AP153" s="100"/>
      <c r="AQ153" s="100"/>
      <c r="BT153" s="7"/>
      <c r="BU153" s="1219"/>
      <c r="BV153" s="1219"/>
      <c r="BW153" s="7"/>
      <c r="BX153" s="1219"/>
      <c r="BY153" s="1024"/>
      <c r="BZ153" s="7"/>
      <c r="CA153" s="1219"/>
      <c r="CB153" s="7"/>
      <c r="CC153" s="7"/>
      <c r="CD153" s="7"/>
    </row>
    <row r="154" spans="2:82" s="3" customFormat="1">
      <c r="B154" s="883" t="s">
        <v>113</v>
      </c>
      <c r="AE154" s="986"/>
      <c r="AF154" s="986"/>
      <c r="AG154" s="986"/>
      <c r="AH154" s="1114"/>
      <c r="AI154" s="1114"/>
      <c r="AJ154" s="1114"/>
      <c r="AK154" s="1114"/>
      <c r="AL154" s="1114"/>
      <c r="AM154" s="1114"/>
      <c r="AN154" s="1114"/>
      <c r="AO154" s="1114"/>
      <c r="AP154" s="1114"/>
      <c r="AQ154" s="1114"/>
      <c r="BS154"/>
      <c r="BT154" s="3" t="s">
        <v>343</v>
      </c>
      <c r="BU154" s="1216">
        <f>+BU146-BU148-BU152</f>
        <v>28.650000000000009</v>
      </c>
      <c r="BV154" s="1216">
        <f>+BV146-BV148-BV152</f>
        <v>29.349999999999998</v>
      </c>
      <c r="BW154"/>
      <c r="BX154" s="1216">
        <f>+BX146-BX148-BX152</f>
        <v>29</v>
      </c>
      <c r="BY154" s="1024">
        <f>+BX154*1000/AJ48-1</f>
        <v>7.8267335936047511E-2</v>
      </c>
      <c r="BZ154"/>
      <c r="CA154" s="1216">
        <f>+CA149-CA152</f>
        <v>23.839829067857092</v>
      </c>
      <c r="CB154" s="1080">
        <f>+BY154-CC154</f>
        <v>1.1703759170787587E-2</v>
      </c>
      <c r="CC154" s="1080">
        <f>+CA154*1000/AH184-1</f>
        <v>6.6563576765259924E-2</v>
      </c>
      <c r="CD154"/>
    </row>
    <row r="155" spans="2:82" s="3" customFormat="1">
      <c r="B155" s="884" t="str">
        <f>+B148</f>
        <v>Productivity and Business Processes</v>
      </c>
      <c r="L155" s="14">
        <f t="shared" ref="L155:O157" si="1367">+IFERROR(L148/H148-1,"n/a ")</f>
        <v>0.27998756991920448</v>
      </c>
      <c r="M155" s="14">
        <f t="shared" si="1367"/>
        <v>0.24710962529600233</v>
      </c>
      <c r="N155" s="14">
        <f t="shared" si="1367"/>
        <v>0.1685480731802258</v>
      </c>
      <c r="O155" s="14">
        <f t="shared" si="1367"/>
        <v>0.13102480112306969</v>
      </c>
      <c r="P155" s="14">
        <f t="shared" ref="P155:P157" si="1368">+IFERROR(P148/L148-1,"n/a ")</f>
        <v>0.18608885651857254</v>
      </c>
      <c r="Q155" s="14">
        <f t="shared" ref="Q155:Q157" si="1369">+IFERROR(Q148/M148-1,"n/a ")</f>
        <v>0.12811348151457613</v>
      </c>
      <c r="R155" s="14">
        <f t="shared" ref="R155:R157" si="1370">+IFERROR(R148/N148-1,"n/a ")</f>
        <v>0.13724183877415053</v>
      </c>
      <c r="S155" s="14">
        <f t="shared" ref="S155:S157" si="1371">+IFERROR(S148/O148-1,"n/a ")</f>
        <v>0.14263549855192381</v>
      </c>
      <c r="T155" s="14">
        <f t="shared" ref="T155:T157" si="1372">+IFERROR(T148/P148-1,"n/a ")</f>
        <v>0.13366083307747423</v>
      </c>
      <c r="U155" s="14">
        <f t="shared" ref="U155:U157" si="1373">+IFERROR(U148/Q148-1,"n/a ")</f>
        <v>0.17089108910891082</v>
      </c>
      <c r="V155" s="14">
        <f t="shared" ref="V155:V157" si="1374">+IFERROR(V148/R148-1,"n/a ")</f>
        <v>0.14655340753759027</v>
      </c>
      <c r="W155" s="14">
        <f t="shared" ref="W155:X157" si="1375">+IFERROR(W148/S148-1,"n/a ")</f>
        <v>6.3818231193989217E-2</v>
      </c>
      <c r="X155" s="14">
        <f t="shared" si="1375"/>
        <v>0.11212422135957389</v>
      </c>
      <c r="Y155" s="14">
        <f t="shared" ref="Y155:Y157" si="1376">+IFERROR(Y148/U148-1,"n/a ")</f>
        <v>0.12912227295788936</v>
      </c>
      <c r="Z155" s="14">
        <f t="shared" ref="Z155:Z157" si="1377">+IFERROR(Z148/V148-1,"n/a ")</f>
        <v>0.15404922081239891</v>
      </c>
      <c r="AA155" s="14">
        <f t="shared" ref="AA155:AA157" si="1378">+IFERROR(AA148/W148-1,"n/a ")</f>
        <v>0.25008509189925121</v>
      </c>
      <c r="AB155" s="14">
        <f t="shared" ref="AB155:AB157" si="1379">+IFERROR(AB148/X148-1,"n/a ")</f>
        <v>0.22079714262521311</v>
      </c>
      <c r="AC155" s="14">
        <f t="shared" ref="AC155:AC157" si="1380">+IFERROR(AC148/Y148-1,"n/a ")</f>
        <v>0.19343967647719618</v>
      </c>
      <c r="AD155" s="14">
        <f t="shared" ref="AD155:AD157" si="1381">+IFERROR(AD148/Z148-1,"n/a ")</f>
        <v>0.16506788665879579</v>
      </c>
      <c r="AE155" s="890">
        <f t="shared" ref="AE155:AE157" si="1382">+IFERROR(AE148/AA148-1,"n/a ")</f>
        <v>0.12994350282485878</v>
      </c>
      <c r="AF155" s="890">
        <f t="shared" ref="AF155:AF157" si="1383">+IFERROR(AF148/AB148-1,"n/a ")</f>
        <v>9.4820134317441296E-2</v>
      </c>
      <c r="AG155" s="890">
        <f t="shared" ref="AG155:AG157" si="1384">+IFERROR(AG148/AC148-1,"n/a ")</f>
        <v>6.6892570281124497E-2</v>
      </c>
      <c r="AH155" s="890">
        <f t="shared" ref="AH155:AH157" si="1385">+IFERROR(AH148/AD148-1,"n/a ")</f>
        <v>0.10937994806510853</v>
      </c>
      <c r="AI155" s="890">
        <f t="shared" ref="AI155:AI157" si="1386">+IFERROR(AI148/AE148-1,"n/a ")</f>
        <v>0.10186746987951811</v>
      </c>
      <c r="AJ155" s="228">
        <f t="shared" ref="AJ155:AJ157" si="1387">+IFERROR(AJ148/AF148-1,"n/a ")</f>
        <v>0.12918311569996965</v>
      </c>
      <c r="AK155" s="228">
        <f t="shared" ref="AK155:AK157" si="1388">+IFERROR(AK148/AG148-1,"n/a ")</f>
        <v>0.13216092224444176</v>
      </c>
      <c r="AL155" s="228">
        <f t="shared" ref="AL155:AL157" si="1389">+IFERROR(AL148/AH148-1,"n/a ")</f>
        <v>0.11726421557433198</v>
      </c>
      <c r="AM155" s="228">
        <f t="shared" ref="AM155:AM157" si="1390">+IFERROR(AM148/AI148-1,"n/a ")</f>
        <v>0.1107648570335138</v>
      </c>
      <c r="AN155" s="228">
        <f t="shared" ref="AN155:AN157" si="1391">+IFERROR(AN148/AJ148-1,"n/a ")</f>
        <v>0.11735596134039827</v>
      </c>
      <c r="AO155" s="228">
        <f t="shared" ref="AO155:AO157" si="1392">+IFERROR(AO148/AK148-1,"n/a ")</f>
        <v>0.11758762931949218</v>
      </c>
      <c r="AP155" s="228">
        <f t="shared" ref="AP155:AP157" si="1393">+IFERROR(AP148/AL148-1,"n/a ")</f>
        <v>0.11790352542092508</v>
      </c>
      <c r="AQ155" s="228">
        <f t="shared" ref="AQ155:AQ157" si="1394">+IFERROR(AQ148/AM148-1,"n/a ")</f>
        <v>0.11753391184379458</v>
      </c>
      <c r="BC155" s="14">
        <f t="shared" ref="BC155:BE159" si="1395">+IFERROR(BC148/BB148-1,"n/a ")</f>
        <v>-2.0240213523131656E-2</v>
      </c>
      <c r="BD155" s="14">
        <f t="shared" si="1395"/>
        <v>2.1566401816117686E-3</v>
      </c>
      <c r="BE155" s="14">
        <f t="shared" si="1395"/>
        <v>0.14939404236040321</v>
      </c>
      <c r="BF155" s="14"/>
      <c r="BG155" s="829">
        <f t="shared" ref="BG155:BG160" si="1396">+BD155</f>
        <v>2.1566401816117686E-3</v>
      </c>
      <c r="BH155" s="14">
        <f t="shared" ref="BH155:BJ159" si="1397">+IFERROR(BH148/BG148-1,"n/a ")</f>
        <v>0.15811104218362293</v>
      </c>
      <c r="BI155" s="14">
        <f t="shared" si="1397"/>
        <v>0.20070304653498483</v>
      </c>
      <c r="BJ155" s="14">
        <f t="shared" si="1397"/>
        <v>0.14763697197825176</v>
      </c>
      <c r="BK155" s="14">
        <f t="shared" ref="BK155:BK159" si="1398">+IFERROR(BK148/BJ148-1,"n/a ")</f>
        <v>0.12725947521865888</v>
      </c>
      <c r="BL155" s="14">
        <f t="shared" ref="BL155:BL159" si="1399">+IFERROR(BL148/BK148-1,"n/a ")</f>
        <v>0.16201129359024091</v>
      </c>
      <c r="BM155" s="14">
        <f t="shared" ref="BM155:BM157" si="1400">+IFERROR(BM148/BL148-1,"n/a ")</f>
        <v>0.17525734953167027</v>
      </c>
      <c r="BN155" s="14">
        <f t="shared" ref="BN155:BN157" si="1401">+IFERROR(BN148/BM148-1,"n/a ")</f>
        <v>9.3270626854365268E-2</v>
      </c>
      <c r="BO155" s="14">
        <f t="shared" ref="BO155:BO157" si="1402">+IFERROR(BO148/BN148-1,"n/a ")</f>
        <v>0.12203712792678356</v>
      </c>
      <c r="BP155" s="14">
        <f t="shared" ref="BP155:BP157" si="1403">+IFERROR(BP148/BO148-1,"n/a ")</f>
        <v>0.11759770982695383</v>
      </c>
      <c r="BT155"/>
      <c r="BU155" s="874">
        <f>+BU154/BU146</f>
        <v>0.44905956112852674</v>
      </c>
      <c r="BV155" s="874">
        <f>+BV154/BV146</f>
        <v>0.45293209876543211</v>
      </c>
      <c r="BW155"/>
      <c r="BX155" s="874">
        <f>+BX154/BX146</f>
        <v>0.45101088646967341</v>
      </c>
      <c r="BY155" s="1024"/>
      <c r="CA155" s="1027"/>
    </row>
    <row r="156" spans="2:82" s="3" customFormat="1">
      <c r="B156" s="884" t="str">
        <f t="shared" ref="B156:B159" si="1404">+B149</f>
        <v>Intelligent Cloud</v>
      </c>
      <c r="L156" s="14">
        <f t="shared" si="1367"/>
        <v>0.13531244874528459</v>
      </c>
      <c r="M156" s="14">
        <f t="shared" si="1367"/>
        <v>0.1534477656111275</v>
      </c>
      <c r="N156" s="14">
        <f t="shared" si="1367"/>
        <v>0.17325408618127791</v>
      </c>
      <c r="O156" s="14">
        <f t="shared" si="1367"/>
        <v>0.22807466121196618</v>
      </c>
      <c r="P156" s="14">
        <f t="shared" si="1368"/>
        <v>0.23764807859000281</v>
      </c>
      <c r="Q156" s="14">
        <f t="shared" si="1369"/>
        <v>0.2030788967286723</v>
      </c>
      <c r="R156" s="14">
        <f t="shared" si="1370"/>
        <v>0.22201114488348539</v>
      </c>
      <c r="S156" s="14">
        <f t="shared" si="1371"/>
        <v>0.18582136164896945</v>
      </c>
      <c r="T156" s="14">
        <f t="shared" si="1372"/>
        <v>0.26590405042605347</v>
      </c>
      <c r="U156" s="14">
        <f t="shared" si="1373"/>
        <v>0.26562166773299212</v>
      </c>
      <c r="V156" s="14">
        <f t="shared" si="1374"/>
        <v>0.27277438076484617</v>
      </c>
      <c r="W156" s="14">
        <f t="shared" si="1375"/>
        <v>0.17382143797735061</v>
      </c>
      <c r="X156" s="14">
        <f t="shared" si="1375"/>
        <v>0.19741816505301979</v>
      </c>
      <c r="Y156" s="14">
        <f t="shared" si="1376"/>
        <v>0.23017945909512183</v>
      </c>
      <c r="Z156" s="14">
        <f t="shared" si="1377"/>
        <v>0.23100724696685937</v>
      </c>
      <c r="AA156" s="14">
        <f t="shared" si="1378"/>
        <v>0.29945404233041661</v>
      </c>
      <c r="AB156" s="14">
        <f t="shared" si="1379"/>
        <v>0.30632989373171116</v>
      </c>
      <c r="AC156" s="14">
        <f t="shared" si="1380"/>
        <v>0.25518800082186144</v>
      </c>
      <c r="AD156" s="14">
        <f t="shared" si="1381"/>
        <v>0.2601534594523085</v>
      </c>
      <c r="AE156" s="890">
        <f t="shared" si="1382"/>
        <v>0.20339568345323733</v>
      </c>
      <c r="AF156" s="890">
        <f t="shared" si="1383"/>
        <v>0.19812544211270922</v>
      </c>
      <c r="AG156" s="890">
        <f t="shared" si="1384"/>
        <v>0.17356905112675292</v>
      </c>
      <c r="AH156" s="228">
        <f t="shared" si="1385"/>
        <v>0.15904676919846716</v>
      </c>
      <c r="AI156" s="228">
        <f t="shared" si="1386"/>
        <v>0.14749629346214554</v>
      </c>
      <c r="AJ156" s="228">
        <f t="shared" si="1387"/>
        <v>0.19355473554735547</v>
      </c>
      <c r="AK156" s="228">
        <f t="shared" si="1388"/>
        <v>0.20327320066951837</v>
      </c>
      <c r="AL156" s="228">
        <f t="shared" si="1389"/>
        <v>0.20954666908201625</v>
      </c>
      <c r="AM156" s="228">
        <f t="shared" si="1390"/>
        <v>0.1884716375609552</v>
      </c>
      <c r="AN156" s="228">
        <f t="shared" si="1391"/>
        <v>0.19252836095629244</v>
      </c>
      <c r="AO156" s="228">
        <f t="shared" si="1392"/>
        <v>0.20799089797347414</v>
      </c>
      <c r="AP156" s="228">
        <f t="shared" si="1393"/>
        <v>0.21263904677262979</v>
      </c>
      <c r="AQ156" s="228">
        <f t="shared" si="1394"/>
        <v>0.22477840753544176</v>
      </c>
      <c r="BC156" s="14">
        <f t="shared" si="1395"/>
        <v>9.109730848861286E-2</v>
      </c>
      <c r="BD156" s="14">
        <f t="shared" si="1395"/>
        <v>5.5956145899219933E-2</v>
      </c>
      <c r="BE156" s="14">
        <f t="shared" si="1395"/>
        <v>9.5759124670553364E-2</v>
      </c>
      <c r="BF156" s="14"/>
      <c r="BG156" s="829">
        <f t="shared" si="1396"/>
        <v>5.5956145899219933E-2</v>
      </c>
      <c r="BH156" s="14">
        <f t="shared" si="1397"/>
        <v>9.8388906700865641E-2</v>
      </c>
      <c r="BI156" s="14">
        <f t="shared" si="1397"/>
        <v>0.17557558288028607</v>
      </c>
      <c r="BJ156" s="14">
        <f t="shared" si="1397"/>
        <v>0.2100003103758652</v>
      </c>
      <c r="BK156" s="14">
        <f t="shared" si="1398"/>
        <v>0.24063101192766445</v>
      </c>
      <c r="BL156" s="14">
        <f t="shared" si="1399"/>
        <v>0.24219493032295425</v>
      </c>
      <c r="BM156" s="14">
        <f t="shared" si="1400"/>
        <v>0.25251331557922763</v>
      </c>
      <c r="BN156" s="14">
        <f t="shared" si="1401"/>
        <v>0.16818381151081052</v>
      </c>
      <c r="BO156" s="14">
        <f t="shared" si="1402"/>
        <v>0.19856211678250868</v>
      </c>
      <c r="BP156" s="14">
        <f t="shared" si="1403"/>
        <v>0.21015233101183273</v>
      </c>
      <c r="BY156" s="1024"/>
    </row>
    <row r="157" spans="2:82" s="839" customFormat="1" ht="11.45">
      <c r="B157" s="884" t="str">
        <f t="shared" si="1404"/>
        <v>More Personal Computing</v>
      </c>
      <c r="L157" s="840">
        <f t="shared" si="1367"/>
        <v>-1.8094731240021478E-3</v>
      </c>
      <c r="M157" s="840">
        <f t="shared" si="1367"/>
        <v>2.3635293128101642E-2</v>
      </c>
      <c r="N157" s="840">
        <f t="shared" si="1367"/>
        <v>0.13014245014245018</v>
      </c>
      <c r="O157" s="840">
        <f t="shared" si="1367"/>
        <v>0.17065511640498099</v>
      </c>
      <c r="P157" s="840">
        <f t="shared" si="1368"/>
        <v>0.14587332053742808</v>
      </c>
      <c r="Q157" s="840">
        <f t="shared" si="1369"/>
        <v>6.7625308134757534E-2</v>
      </c>
      <c r="R157" s="840">
        <f t="shared" si="1370"/>
        <v>7.6938590299485687E-2</v>
      </c>
      <c r="S157" s="840">
        <f t="shared" si="1371"/>
        <v>4.328924243825738E-2</v>
      </c>
      <c r="T157" s="840">
        <f t="shared" si="1372"/>
        <v>3.6013400335008328E-2</v>
      </c>
      <c r="U157" s="840">
        <f t="shared" si="1373"/>
        <v>1.677826521973369E-2</v>
      </c>
      <c r="V157" s="840">
        <f t="shared" si="1374"/>
        <v>2.9681647940074996E-2</v>
      </c>
      <c r="W157" s="840">
        <f t="shared" si="1375"/>
        <v>0.14460501817537019</v>
      </c>
      <c r="X157" s="840">
        <f t="shared" si="1375"/>
        <v>6.4313302793496785E-2</v>
      </c>
      <c r="Y157" s="840">
        <f t="shared" si="1376"/>
        <v>0.14465218378623868</v>
      </c>
      <c r="Z157" s="840">
        <f t="shared" si="1377"/>
        <v>0.18541420387378382</v>
      </c>
      <c r="AA157" s="840">
        <f t="shared" si="1378"/>
        <v>9.1092176607281194E-2</v>
      </c>
      <c r="AB157" s="840">
        <f t="shared" si="1379"/>
        <v>0.12363912566461299</v>
      </c>
      <c r="AC157" s="840">
        <f t="shared" si="1380"/>
        <v>0.15493982277476515</v>
      </c>
      <c r="AD157" s="840">
        <f t="shared" si="1381"/>
        <v>0.11383860079779073</v>
      </c>
      <c r="AE157" s="840">
        <f t="shared" si="1382"/>
        <v>1.9167968195371365E-2</v>
      </c>
      <c r="AF157" s="840">
        <f t="shared" si="1383"/>
        <v>1.3519603424965165E-3</v>
      </c>
      <c r="AG157" s="840">
        <f t="shared" si="1384"/>
        <v>-0.18482679645004296</v>
      </c>
      <c r="AH157" s="840">
        <f t="shared" si="1385"/>
        <v>-8.6776859504132275E-2</v>
      </c>
      <c r="AI157" s="840">
        <f t="shared" si="1386"/>
        <v>-3.1415436054611279E-2</v>
      </c>
      <c r="AJ157" s="840">
        <f t="shared" si="1387"/>
        <v>2.5052505250525048E-2</v>
      </c>
      <c r="AK157" s="840">
        <f t="shared" si="1388"/>
        <v>0.1864156774601391</v>
      </c>
      <c r="AL157" s="840">
        <f t="shared" si="1389"/>
        <v>0.17496229260935148</v>
      </c>
      <c r="AM157" s="840">
        <f t="shared" si="1390"/>
        <v>0.14311398777418205</v>
      </c>
      <c r="AN157" s="840">
        <f t="shared" si="1391"/>
        <v>0.14175626580435119</v>
      </c>
      <c r="AO157" s="840">
        <f t="shared" si="1392"/>
        <v>2.8934915377357928E-2</v>
      </c>
      <c r="AP157" s="840">
        <f t="shared" si="1393"/>
        <v>7.7735617770344989E-2</v>
      </c>
      <c r="AQ157" s="840">
        <f t="shared" si="1394"/>
        <v>7.3610589103253909E-2</v>
      </c>
      <c r="BC157" s="840">
        <f t="shared" si="1395"/>
        <v>0.12935517420696829</v>
      </c>
      <c r="BD157" s="840">
        <f t="shared" si="1395"/>
        <v>-6.9091746287556099E-2</v>
      </c>
      <c r="BE157" s="840">
        <f t="shared" si="1395"/>
        <v>-4.1079289706682509E-2</v>
      </c>
      <c r="BF157" s="886"/>
      <c r="BG157" s="908">
        <f t="shared" si="1396"/>
        <v>-6.9091746287556099E-2</v>
      </c>
      <c r="BH157" s="840">
        <f t="shared" si="1397"/>
        <v>-2.76169265033408E-2</v>
      </c>
      <c r="BI157" s="840">
        <f t="shared" si="1397"/>
        <v>7.5889448770804613E-2</v>
      </c>
      <c r="BJ157" s="840">
        <f t="shared" si="1397"/>
        <v>8.0944270981171407E-2</v>
      </c>
      <c r="BK157" s="840">
        <f t="shared" si="1398"/>
        <v>5.5866777539498536E-2</v>
      </c>
      <c r="BL157" s="840">
        <f t="shared" si="1399"/>
        <v>0.12107521087645856</v>
      </c>
      <c r="BM157" s="840">
        <f t="shared" si="1400"/>
        <v>0.10282291608895799</v>
      </c>
      <c r="BN157" s="840">
        <f t="shared" si="1401"/>
        <v>-8.2490989858352237E-2</v>
      </c>
      <c r="BO157" s="840">
        <f t="shared" si="1402"/>
        <v>0.133335769357255</v>
      </c>
      <c r="BP157" s="840">
        <f t="shared" si="1403"/>
        <v>7.7494551566601455E-2</v>
      </c>
      <c r="BR157"/>
      <c r="BS157"/>
    </row>
    <row r="158" spans="2:82" s="839" customFormat="1" ht="11.45" hidden="1" outlineLevel="1">
      <c r="B158" s="884" t="str">
        <f t="shared" si="1404"/>
        <v>Corporate and Other</v>
      </c>
      <c r="L158" s="840" t="str">
        <f t="shared" ref="L158:N158" si="1405">+IFERROR(L151/H151-1,"NA ")</f>
        <v xml:space="preserve">NA </v>
      </c>
      <c r="M158" s="840" t="str">
        <f t="shared" si="1405"/>
        <v xml:space="preserve">NA </v>
      </c>
      <c r="N158" s="840" t="str">
        <f t="shared" si="1405"/>
        <v xml:space="preserve">NA </v>
      </c>
      <c r="O158" s="840" t="str">
        <f>+IFERROR(O151/K151-1,"NA ")</f>
        <v xml:space="preserve">NA </v>
      </c>
      <c r="P158" s="840" t="str">
        <f t="shared" ref="P158" si="1406">+IFERROR(P151/L151-1,"NA ")</f>
        <v xml:space="preserve">NA </v>
      </c>
      <c r="Q158" s="840" t="str">
        <f t="shared" ref="Q158" si="1407">+IFERROR(Q151/M151-1,"NA ")</f>
        <v xml:space="preserve">NA </v>
      </c>
      <c r="R158" s="840" t="str">
        <f t="shared" ref="R158" si="1408">+IFERROR(R151/N151-1,"NA ")</f>
        <v xml:space="preserve">NA </v>
      </c>
      <c r="S158" s="840" t="str">
        <f t="shared" ref="S158" si="1409">+IFERROR(S151/O151-1,"NA ")</f>
        <v xml:space="preserve">NA </v>
      </c>
      <c r="T158" s="840" t="str">
        <f t="shared" ref="T158" si="1410">+IFERROR(T151/P151-1,"NA ")</f>
        <v xml:space="preserve">NA </v>
      </c>
      <c r="U158" s="840" t="str">
        <f t="shared" ref="U158" si="1411">+IFERROR(U151/Q151-1,"NA ")</f>
        <v xml:space="preserve">NA </v>
      </c>
      <c r="V158" s="840" t="str">
        <f t="shared" ref="V158" si="1412">+IFERROR(V151/R151-1,"NA ")</f>
        <v xml:space="preserve">NA </v>
      </c>
      <c r="W158" s="840" t="str">
        <f t="shared" ref="W158:X158" si="1413">+IFERROR(W151/S151-1,"NA ")</f>
        <v xml:space="preserve">NA </v>
      </c>
      <c r="X158" s="840" t="str">
        <f t="shared" si="1413"/>
        <v xml:space="preserve">NA </v>
      </c>
      <c r="Y158" s="840" t="str">
        <f t="shared" ref="Y158" si="1414">+IFERROR(Y151/U151-1,"NA ")</f>
        <v xml:space="preserve">NA </v>
      </c>
      <c r="Z158" s="840" t="str">
        <f t="shared" ref="Z158" si="1415">+IFERROR(Z151/V151-1,"NA ")</f>
        <v xml:space="preserve">NA </v>
      </c>
      <c r="AA158" s="840" t="str">
        <f t="shared" ref="AA158" si="1416">+IFERROR(AA151/W151-1,"NA ")</f>
        <v xml:space="preserve">NA </v>
      </c>
      <c r="AB158" s="840" t="str">
        <f t="shared" ref="AB158" si="1417">+IFERROR(AB151/X151-1,"NA ")</f>
        <v xml:space="preserve">NA </v>
      </c>
      <c r="AC158" s="840" t="str">
        <f t="shared" ref="AC158" si="1418">+IFERROR(AC151/Y151-1,"NA ")</f>
        <v xml:space="preserve">NA </v>
      </c>
      <c r="AD158" s="840" t="str">
        <f t="shared" ref="AD158" si="1419">+IFERROR(AD151/Z151-1,"NA ")</f>
        <v xml:space="preserve">NA </v>
      </c>
      <c r="AE158" s="840" t="str">
        <f t="shared" ref="AE158" si="1420">+IFERROR(AE151/AA151-1,"NA ")</f>
        <v xml:space="preserve">NA </v>
      </c>
      <c r="AF158" s="840" t="str">
        <f t="shared" ref="AF158" si="1421">+IFERROR(AF151/AB151-1,"NA ")</f>
        <v xml:space="preserve">NA </v>
      </c>
      <c r="AG158" s="840" t="str">
        <f t="shared" ref="AG158" si="1422">+IFERROR(AG151/AC151-1,"NA ")</f>
        <v xml:space="preserve">NA </v>
      </c>
      <c r="AH158" s="840" t="str">
        <f t="shared" ref="AH158" si="1423">+IFERROR(AH151/AD151-1,"NA ")</f>
        <v xml:space="preserve">NA </v>
      </c>
      <c r="AI158" s="840" t="str">
        <f t="shared" ref="AI158" si="1424">+IFERROR(AI151/AE151-1,"NA ")</f>
        <v xml:space="preserve">NA </v>
      </c>
      <c r="AJ158" s="840" t="str">
        <f t="shared" ref="AJ158" si="1425">+IFERROR(AJ151/AF151-1,"NA ")</f>
        <v xml:space="preserve">NA </v>
      </c>
      <c r="AK158" s="840" t="str">
        <f t="shared" ref="AK158" si="1426">+IFERROR(AK151/AG151-1,"NA ")</f>
        <v xml:space="preserve">NA </v>
      </c>
      <c r="AL158" s="840" t="str">
        <f t="shared" ref="AL158" si="1427">+IFERROR(AL151/AH151-1,"NA ")</f>
        <v xml:space="preserve">NA </v>
      </c>
      <c r="AM158" s="840" t="str">
        <f t="shared" ref="AM158" si="1428">+IFERROR(AM151/AI151-1,"NA ")</f>
        <v xml:space="preserve">NA </v>
      </c>
      <c r="AN158" s="840" t="str">
        <f t="shared" ref="AN158" si="1429">+IFERROR(AN151/AJ151-1,"NA ")</f>
        <v xml:space="preserve">NA </v>
      </c>
      <c r="AO158" s="840" t="str">
        <f t="shared" ref="AO158" si="1430">+IFERROR(AO151/AK151-1,"NA ")</f>
        <v xml:space="preserve">NA </v>
      </c>
      <c r="AP158" s="840" t="str">
        <f t="shared" ref="AP158" si="1431">+IFERROR(AP151/AL151-1,"NA ")</f>
        <v xml:space="preserve">NA </v>
      </c>
      <c r="AQ158" s="840" t="str">
        <f t="shared" ref="AQ158" si="1432">+IFERROR(AQ151/AM151-1,"NA ")</f>
        <v xml:space="preserve">NA </v>
      </c>
      <c r="BC158" s="840">
        <f t="shared" si="1395"/>
        <v>-1</v>
      </c>
      <c r="BD158" s="840" t="s">
        <v>271</v>
      </c>
      <c r="BE158" s="840">
        <f t="shared" si="1395"/>
        <v>9.6342014150232469E-3</v>
      </c>
      <c r="BF158" s="886"/>
      <c r="BG158" s="829" t="str">
        <f t="shared" si="1396"/>
        <v>NA</v>
      </c>
      <c r="BH158" s="840" t="s">
        <v>271</v>
      </c>
      <c r="BI158" s="840" t="s">
        <v>271</v>
      </c>
      <c r="BJ158" s="840" t="s">
        <v>271</v>
      </c>
      <c r="BK158" s="840" t="s">
        <v>271</v>
      </c>
      <c r="BL158" s="840" t="s">
        <v>271</v>
      </c>
      <c r="BM158" s="840" t="s">
        <v>271</v>
      </c>
      <c r="BN158" s="840" t="s">
        <v>271</v>
      </c>
      <c r="BO158" s="840" t="s">
        <v>271</v>
      </c>
      <c r="BP158" s="840" t="s">
        <v>271</v>
      </c>
      <c r="BR158"/>
      <c r="BS158"/>
    </row>
    <row r="159" spans="2:82" s="7" customFormat="1" collapsed="1">
      <c r="B159" s="887" t="str">
        <f t="shared" si="1404"/>
        <v>Total Revenue</v>
      </c>
      <c r="L159" s="855">
        <f>+IFERROR(L152/H152-1,"n/a ")</f>
        <v>0.11902590295512594</v>
      </c>
      <c r="M159" s="855">
        <f>+IFERROR(M152/I152-1,"n/a ")</f>
        <v>0.11972430883605667</v>
      </c>
      <c r="N159" s="855">
        <f>+IFERROR(N152/J152-1,"n/a ")</f>
        <v>0.15539376184732046</v>
      </c>
      <c r="O159" s="855">
        <f>+IFERROR(O152/K152-1,"n/a ")</f>
        <v>0.17496582698691654</v>
      </c>
      <c r="P159" s="855">
        <f t="shared" ref="P159" si="1433">+IFERROR(P152/L152-1,"n/a ")</f>
        <v>0.18526367267095933</v>
      </c>
      <c r="Q159" s="855">
        <f t="shared" ref="Q159" si="1434">+IFERROR(Q152/M152-1,"n/a ")</f>
        <v>0.12286465177398154</v>
      </c>
      <c r="R159" s="855">
        <f t="shared" ref="R159" si="1435">+IFERROR(R152/N152-1,"n/a ")</f>
        <v>0.13990081658525666</v>
      </c>
      <c r="S159" s="855">
        <f t="shared" ref="S159" si="1436">+IFERROR(S152/O152-1,"n/a ")</f>
        <v>0.12072461359481479</v>
      </c>
      <c r="T159" s="855">
        <f t="shared" ref="T159" si="1437">+IFERROR(T152/P152-1,"n/a ")</f>
        <v>0.13653555219364599</v>
      </c>
      <c r="U159" s="855">
        <f t="shared" ref="U159" si="1438">+IFERROR(U152/Q152-1,"n/a ")</f>
        <v>0.13658341289150311</v>
      </c>
      <c r="V159" s="855">
        <f t="shared" ref="V159" si="1439">+IFERROR(V152/R152-1,"n/a ")</f>
        <v>0.14556278826338698</v>
      </c>
      <c r="W159" s="855">
        <f t="shared" ref="W159:X159" si="1440">+IFERROR(W152/S152-1,"n/a ")</f>
        <v>0.12800664353293589</v>
      </c>
      <c r="X159" s="855">
        <f t="shared" si="1440"/>
        <v>0.12400544546967174</v>
      </c>
      <c r="Y159" s="855">
        <f t="shared" ref="Y159" si="1441">+IFERROR(Y152/U152-1,"n/a ")</f>
        <v>0.16718148810491518</v>
      </c>
      <c r="Z159" s="855">
        <f t="shared" ref="Z159" si="1442">+IFERROR(Z152/V152-1,"n/a ")</f>
        <v>0.19088546871876866</v>
      </c>
      <c r="AA159" s="855">
        <f t="shared" ref="AA159" si="1443">+IFERROR(AA152/W152-1,"n/a ")</f>
        <v>0.21347251071437956</v>
      </c>
      <c r="AB159" s="855">
        <f t="shared" ref="AB159" si="1444">+IFERROR(AB152/X152-1,"n/a ")</f>
        <v>0.21970716477364483</v>
      </c>
      <c r="AC159" s="855">
        <f t="shared" ref="AC159" si="1445">+IFERROR(AC152/Y152-1,"n/a ")</f>
        <v>0.2008543040208004</v>
      </c>
      <c r="AD159" s="855">
        <f t="shared" ref="AD159" si="1446">+IFERROR(AD152/Z152-1,"n/a ")</f>
        <v>0.18352275451973332</v>
      </c>
      <c r="AE159" s="902">
        <f t="shared" ref="AE159" si="1447">+IFERROR(AE152/AA152-1,"n/a ")</f>
        <v>0.12378661813139202</v>
      </c>
      <c r="AF159" s="902">
        <f t="shared" ref="AF159" si="1448">+IFERROR(AF152/AB152-1,"n/a ")</f>
        <v>0.1060308493501334</v>
      </c>
      <c r="AG159" s="855">
        <f t="shared" ref="AG159" si="1449">+IFERROR(AG152/AC152-1,"n/a ")</f>
        <v>1.9699195793380753E-2</v>
      </c>
      <c r="AH159" s="902">
        <f t="shared" ref="AH159" si="1450">+IFERROR(AH152/AD152-1,"n/a ")</f>
        <v>7.0846839546191198E-2</v>
      </c>
      <c r="AI159" s="902">
        <f t="shared" ref="AI159" si="1451">+IFERROR(AI152/AE152-1,"n/a ")</f>
        <v>8.3370288248336921E-2</v>
      </c>
      <c r="AJ159" s="902">
        <f t="shared" ref="AJ159" si="1452">+IFERROR(AJ152/AF152-1,"n/a ")</f>
        <v>0.12758868361198683</v>
      </c>
      <c r="AK159" s="902">
        <f t="shared" ref="AK159" si="1453">+IFERROR(AK152/AG152-1,"n/a ")</f>
        <v>0.17580146738203117</v>
      </c>
      <c r="AL159" s="902">
        <f t="shared" ref="AL159" si="1454">+IFERROR(AL152/AH152-1,"n/a ")</f>
        <v>0.17028964943148495</v>
      </c>
      <c r="AM159" s="902">
        <f t="shared" ref="AM159" si="1455">+IFERROR(AM152/AI152-1,"n/a ")</f>
        <v>0.15195144957198026</v>
      </c>
      <c r="AN159" s="902">
        <f t="shared" ref="AN159" si="1456">+IFERROR(AN152/AJ152-1,"n/a ")</f>
        <v>0.15552256259464659</v>
      </c>
      <c r="AO159" s="902">
        <f t="shared" ref="AO159" si="1457">+IFERROR(AO152/AK152-1,"n/a ")</f>
        <v>0.1311671778775132</v>
      </c>
      <c r="AP159" s="902">
        <f t="shared" ref="AP159" si="1458">+IFERROR(AP152/AL152-1,"n/a ")</f>
        <v>0.14868984736902036</v>
      </c>
      <c r="AQ159" s="902">
        <f t="shared" ref="AQ159" si="1459">+IFERROR(AQ152/AM152-1,"n/a ")</f>
        <v>0.1539934353762682</v>
      </c>
      <c r="BC159" s="855">
        <f t="shared" si="1395"/>
        <v>7.7700874091647165E-2</v>
      </c>
      <c r="BD159" s="855">
        <f t="shared" si="1395"/>
        <v>-8.8266723658901425E-2</v>
      </c>
      <c r="BE159" s="855">
        <f t="shared" si="1395"/>
        <v>5.4266291608063844E-2</v>
      </c>
      <c r="BF159" s="855"/>
      <c r="BG159" s="1179">
        <f t="shared" si="1396"/>
        <v>-8.8266723658901425E-2</v>
      </c>
      <c r="BH159" s="855">
        <f t="shared" si="1397"/>
        <v>5.9426903920837271E-2</v>
      </c>
      <c r="BI159" s="855">
        <f t="shared" si="1397"/>
        <v>0.14278613662486661</v>
      </c>
      <c r="BJ159" s="855">
        <f t="shared" si="1397"/>
        <v>0.14029539688292858</v>
      </c>
      <c r="BK159" s="855">
        <f t="shared" si="1398"/>
        <v>0.13645574247276371</v>
      </c>
      <c r="BL159" s="855">
        <f t="shared" si="1399"/>
        <v>0.17531727441177503</v>
      </c>
      <c r="BM159" s="855">
        <f t="shared" ref="BM159" si="1460">+IFERROR(BM152/BL152-1,"n/a ")</f>
        <v>0.17956070629670173</v>
      </c>
      <c r="BN159" s="855">
        <f t="shared" ref="BN159" si="1461">+IFERROR(BN152/BM152-1,"n/a ")</f>
        <v>6.8820295556564215E-2</v>
      </c>
      <c r="BO159" s="855">
        <f t="shared" ref="BO159" si="1462">+IFERROR(BO152/BN152-1,"n/a ")</f>
        <v>0.1566996201307127</v>
      </c>
      <c r="BP159" s="855">
        <f t="shared" ref="BP159" si="1463">+IFERROR(BP152/BO152-1,"n/a ")</f>
        <v>0.14723218116806147</v>
      </c>
      <c r="BR159"/>
      <c r="BS159"/>
    </row>
    <row r="160" spans="2:82" s="7" customFormat="1">
      <c r="B160" s="887" t="s">
        <v>344</v>
      </c>
      <c r="L160" s="855">
        <f>+L159</f>
        <v>0.11902590295512594</v>
      </c>
      <c r="M160" s="855">
        <f t="shared" ref="M160:AC160" si="1464">+M159</f>
        <v>0.11972430883605667</v>
      </c>
      <c r="N160" s="855">
        <f t="shared" si="1464"/>
        <v>0.15539376184732046</v>
      </c>
      <c r="O160" s="855">
        <f t="shared" si="1464"/>
        <v>0.17496582698691654</v>
      </c>
      <c r="P160" s="855">
        <f t="shared" si="1464"/>
        <v>0.18526367267095933</v>
      </c>
      <c r="Q160" s="855">
        <f t="shared" si="1464"/>
        <v>0.12286465177398154</v>
      </c>
      <c r="R160" s="855">
        <f t="shared" si="1464"/>
        <v>0.13990081658525666</v>
      </c>
      <c r="S160" s="855">
        <f t="shared" si="1464"/>
        <v>0.12072461359481479</v>
      </c>
      <c r="T160" s="855">
        <f t="shared" si="1464"/>
        <v>0.13653555219364599</v>
      </c>
      <c r="U160" s="855">
        <f t="shared" si="1464"/>
        <v>0.13658341289150311</v>
      </c>
      <c r="V160" s="855">
        <f t="shared" si="1464"/>
        <v>0.14556278826338698</v>
      </c>
      <c r="W160" s="855">
        <f t="shared" si="1464"/>
        <v>0.12800664353293589</v>
      </c>
      <c r="X160" s="855">
        <f t="shared" si="1464"/>
        <v>0.12400544546967174</v>
      </c>
      <c r="Y160" s="855">
        <f t="shared" si="1464"/>
        <v>0.16718148810491518</v>
      </c>
      <c r="Z160" s="855">
        <f t="shared" si="1464"/>
        <v>0.19088546871876866</v>
      </c>
      <c r="AA160" s="855">
        <f t="shared" si="1464"/>
        <v>0.21347251071437956</v>
      </c>
      <c r="AB160" s="855">
        <f t="shared" si="1464"/>
        <v>0.21970716477364483</v>
      </c>
      <c r="AC160" s="855">
        <f t="shared" si="1464"/>
        <v>0.2008543040208004</v>
      </c>
      <c r="AD160" s="855">
        <f>(AD152-110)/Z152-1</f>
        <v>0.18088524432935316</v>
      </c>
      <c r="AE160" s="902">
        <f>(AE152-350)/AA152-1</f>
        <v>0.11620298145259134</v>
      </c>
      <c r="AF160" s="902">
        <f t="shared" ref="AF160" si="1465">(AF152-350)/AB152-1</f>
        <v>9.8307478429728423E-2</v>
      </c>
      <c r="AG160" s="855">
        <f t="shared" ref="AG160" si="1466">(AG152-350)/AC152-1</f>
        <v>1.29330343334364E-2</v>
      </c>
      <c r="AH160" s="855">
        <f>(AH152-350/3*2)/AD152-1</f>
        <v>6.6119665045921039E-2</v>
      </c>
      <c r="AI160" s="855">
        <f>+AI159</f>
        <v>8.3370288248336921E-2</v>
      </c>
      <c r="AJ160" s="855">
        <f t="shared" ref="AJ160" si="1467">+AJ159</f>
        <v>0.12758868361198683</v>
      </c>
      <c r="AK160" s="855">
        <f t="shared" ref="AK160:AQ160" si="1468">+AK15-AK14+AK159</f>
        <v>0.13636794509640349</v>
      </c>
      <c r="AL160" s="855">
        <f t="shared" si="1468"/>
        <v>0.13301927843048222</v>
      </c>
      <c r="AM160" s="855">
        <f t="shared" si="1468"/>
        <v>0.12205235900265166</v>
      </c>
      <c r="AN160" s="855">
        <f t="shared" si="1468"/>
        <v>0.12767324292092019</v>
      </c>
      <c r="AO160" s="855">
        <f t="shared" si="1468"/>
        <v>0.13294274894833791</v>
      </c>
      <c r="AP160" s="855">
        <f t="shared" si="1468"/>
        <v>0.15094938182194872</v>
      </c>
      <c r="AQ160" s="855">
        <f t="shared" si="1468"/>
        <v>0.15596512271162344</v>
      </c>
      <c r="BC160" s="855">
        <f t="shared" ref="BC160" si="1469">+BC159</f>
        <v>7.7700874091647165E-2</v>
      </c>
      <c r="BD160" s="855">
        <f t="shared" ref="BD160" si="1470">+BD159</f>
        <v>-8.8266723658901425E-2</v>
      </c>
      <c r="BE160" s="855">
        <f t="shared" ref="BE160" si="1471">+BE159</f>
        <v>5.4266291608063844E-2</v>
      </c>
      <c r="BF160" s="855"/>
      <c r="BG160" s="1179">
        <f t="shared" si="1396"/>
        <v>-8.8266723658901425E-2</v>
      </c>
      <c r="BH160" s="855">
        <f t="shared" ref="BH160" si="1472">+BH159</f>
        <v>5.9426903920837271E-2</v>
      </c>
      <c r="BI160" s="855">
        <f t="shared" ref="BI160" si="1473">+BI159</f>
        <v>0.14278613662486661</v>
      </c>
      <c r="BJ160" s="855">
        <f t="shared" ref="BJ160" si="1474">+BJ159</f>
        <v>0.14029539688292858</v>
      </c>
      <c r="BK160" s="855">
        <f t="shared" ref="BK160" si="1475">+BK159</f>
        <v>0.13645574247276371</v>
      </c>
      <c r="BL160" s="855">
        <f t="shared" ref="BL160" si="1476">+BL159</f>
        <v>0.17531727441177503</v>
      </c>
      <c r="BM160" s="855">
        <f>(BM152-350/3*4)/BL152-1</f>
        <v>0.1767843827836213</v>
      </c>
      <c r="BN160" s="855">
        <f>(BN152-350/3*8)/BM152-1</f>
        <v>6.4112910004875401E-2</v>
      </c>
      <c r="BO160" s="855">
        <f>+BO15-BO14+BO159</f>
        <v>0.12966047707807368</v>
      </c>
      <c r="BP160" s="855">
        <f>+BP15-BP14+BP159</f>
        <v>0.14226660336300956</v>
      </c>
      <c r="BR160"/>
      <c r="BS160"/>
    </row>
    <row r="161" spans="2:81" s="3" customFormat="1">
      <c r="B161" s="888"/>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BC161" s="14"/>
      <c r="BD161" s="14"/>
      <c r="BE161" s="14"/>
      <c r="BF161" s="14"/>
      <c r="BG161" s="14"/>
      <c r="BH161" s="14"/>
      <c r="BI161" s="14"/>
      <c r="BJ161" s="14"/>
      <c r="BK161" s="14"/>
      <c r="BL161" s="14"/>
      <c r="BM161" s="14"/>
      <c r="BN161" s="14"/>
      <c r="BO161" s="14"/>
      <c r="BP161" s="14"/>
      <c r="BR161"/>
      <c r="BS161"/>
    </row>
    <row r="162" spans="2:81" s="3" customFormat="1" ht="10.5">
      <c r="B162" s="883" t="s">
        <v>270</v>
      </c>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BC162" s="890"/>
      <c r="BD162" s="890"/>
      <c r="BE162" s="890"/>
      <c r="BF162" s="890"/>
      <c r="BG162" s="890"/>
      <c r="BH162" s="14"/>
      <c r="BI162" s="14"/>
      <c r="BJ162" s="14"/>
      <c r="BK162" s="14"/>
      <c r="BL162" s="14"/>
      <c r="BM162" s="14"/>
      <c r="BN162" s="14"/>
      <c r="BO162" s="14"/>
      <c r="BP162" s="14"/>
      <c r="BR162" s="1"/>
      <c r="BS162" s="1"/>
    </row>
    <row r="163" spans="2:81" s="3" customFormat="1">
      <c r="B163" s="884" t="s">
        <v>335</v>
      </c>
      <c r="L163" s="23">
        <f>+L253</f>
        <v>0.28000000000000003</v>
      </c>
      <c r="M163" s="23">
        <f>+M253</f>
        <v>0.24</v>
      </c>
      <c r="N163" s="23">
        <f>+N253</f>
        <v>0.14000000000000001</v>
      </c>
      <c r="O163" s="23">
        <f>+O253</f>
        <v>0.1</v>
      </c>
      <c r="P163" s="23">
        <f t="shared" ref="P163:Q163" si="1477">+P253</f>
        <v>0.18</v>
      </c>
      <c r="Q163" s="23">
        <f t="shared" si="1477"/>
        <v>0.13</v>
      </c>
      <c r="R163" s="23">
        <f t="shared" ref="R163:V163" si="1478">+R253</f>
        <v>0.15</v>
      </c>
      <c r="S163" s="23">
        <f t="shared" si="1478"/>
        <v>0.17</v>
      </c>
      <c r="T163" s="23">
        <f t="shared" si="1478"/>
        <v>0.15</v>
      </c>
      <c r="U163" s="23">
        <f t="shared" si="1478"/>
        <v>0.19</v>
      </c>
      <c r="V163" s="23">
        <f t="shared" si="1478"/>
        <v>0.16</v>
      </c>
      <c r="W163" s="23">
        <f t="shared" ref="W163:X163" si="1479">+W253</f>
        <v>0.08</v>
      </c>
      <c r="X163" s="23">
        <f t="shared" si="1479"/>
        <v>0.11</v>
      </c>
      <c r="Y163" s="23">
        <f t="shared" ref="Y163:Z163" si="1480">+Y253</f>
        <v>0.11</v>
      </c>
      <c r="Z163" s="23">
        <f t="shared" si="1480"/>
        <v>0.12</v>
      </c>
      <c r="AA163" s="23">
        <f t="shared" ref="AA163" si="1481">+AA253</f>
        <v>0.20499999999999999</v>
      </c>
      <c r="AB163" s="23">
        <v>0.2</v>
      </c>
      <c r="AC163" s="23">
        <v>0.19</v>
      </c>
      <c r="AD163" s="23">
        <f>+AD155+2%</f>
        <v>0.18506788665879578</v>
      </c>
      <c r="AE163" s="23">
        <v>0.17</v>
      </c>
      <c r="AF163" s="23">
        <v>0.15</v>
      </c>
      <c r="AG163" s="23">
        <v>0.13</v>
      </c>
      <c r="AH163" s="23">
        <f>+AH253</f>
        <v>0.14937994806510854</v>
      </c>
      <c r="AI163" s="23">
        <f t="shared" ref="AI163:AM163" si="1482">+AI253</f>
        <v>0.12</v>
      </c>
      <c r="AJ163" s="23">
        <f t="shared" si="1482"/>
        <v>0.12</v>
      </c>
      <c r="AK163" s="23">
        <f t="shared" si="1482"/>
        <v>0.12</v>
      </c>
      <c r="AL163" s="23">
        <f t="shared" si="1482"/>
        <v>0.11</v>
      </c>
      <c r="AM163" s="23">
        <f t="shared" si="1482"/>
        <v>0.12</v>
      </c>
      <c r="AN163" s="23">
        <f t="shared" ref="AN163:AQ163" si="1483">+AN253</f>
        <v>0.11124165420980003</v>
      </c>
      <c r="AO163" s="23">
        <f t="shared" si="1483"/>
        <v>9.2314140768712916E-2</v>
      </c>
      <c r="AP163" s="23">
        <f t="shared" si="1483"/>
        <v>9.8887990323865083E-2</v>
      </c>
      <c r="AQ163" s="23">
        <f t="shared" si="1483"/>
        <v>9.4508116853993629E-2</v>
      </c>
      <c r="AR163" s="21"/>
      <c r="AS163" s="21"/>
      <c r="AT163" s="21"/>
      <c r="AU163" s="21"/>
      <c r="AV163" s="21"/>
      <c r="AW163" s="21"/>
      <c r="AX163" s="21"/>
      <c r="AY163" s="21"/>
      <c r="AZ163" s="21"/>
      <c r="BA163" s="21"/>
      <c r="BB163" s="21"/>
      <c r="BC163" s="891">
        <f>+BC155+2%</f>
        <v>-2.4021352313165559E-4</v>
      </c>
      <c r="BD163" s="891">
        <f>+BD155+6%</f>
        <v>6.2156640181611766E-2</v>
      </c>
      <c r="BE163" s="891">
        <f>+BE155+2%</f>
        <v>0.1693940423604032</v>
      </c>
      <c r="BF163" s="891"/>
      <c r="BG163" s="829">
        <f t="shared" ref="BG163:BG167" si="1484">+BD163</f>
        <v>6.2156640181611766E-2</v>
      </c>
      <c r="BH163" s="23">
        <f>+BE163-BE155+BH155</f>
        <v>0.17811104218362292</v>
      </c>
      <c r="BI163" s="23">
        <f>+BI253</f>
        <v>0.18275259457649817</v>
      </c>
      <c r="BJ163" s="23">
        <f t="shared" ref="BJ163" si="1485">+BJ253</f>
        <v>0.15728955806496586</v>
      </c>
      <c r="BK163" s="23">
        <f t="shared" ref="BK163" si="1486">+BK253</f>
        <v>0.14351627793974733</v>
      </c>
      <c r="BL163" s="23">
        <f t="shared" ref="BL163:BM163" si="1487">+BL253</f>
        <v>0.1365931721194879</v>
      </c>
      <c r="BM163" s="23">
        <f t="shared" si="1487"/>
        <v>0.1868352035611611</v>
      </c>
      <c r="BN163" s="23">
        <f t="shared" ref="BN163:BO163" si="1488">+BN253</f>
        <v>0.13695615807082887</v>
      </c>
      <c r="BO163" s="23">
        <f t="shared" si="1488"/>
        <v>0.11747149002511766</v>
      </c>
      <c r="BP163" s="23">
        <f t="shared" ref="BP163" si="1489">+BP253</f>
        <v>9.9070079141187026E-2</v>
      </c>
    </row>
    <row r="164" spans="2:81" s="3" customFormat="1">
      <c r="B164" s="884" t="s">
        <v>337</v>
      </c>
      <c r="L164" s="23">
        <f>+L451</f>
        <v>0.13</v>
      </c>
      <c r="M164" s="23">
        <f>+M451</f>
        <v>0.15</v>
      </c>
      <c r="N164" s="23">
        <f>+N451</f>
        <v>0.15</v>
      </c>
      <c r="O164" s="23">
        <f>+O451</f>
        <v>0.2</v>
      </c>
      <c r="P164" s="23">
        <f t="shared" ref="P164:Q164" si="1490">+P451</f>
        <v>0.24</v>
      </c>
      <c r="Q164" s="23">
        <f t="shared" si="1490"/>
        <v>0.21</v>
      </c>
      <c r="R164" s="23">
        <f t="shared" ref="R164:V164" si="1491">+R451</f>
        <v>0.24</v>
      </c>
      <c r="S164" s="23">
        <f t="shared" si="1491"/>
        <v>0.21</v>
      </c>
      <c r="T164" s="23">
        <f t="shared" si="1491"/>
        <v>0.28999999999999998</v>
      </c>
      <c r="U164" s="23">
        <f t="shared" si="1491"/>
        <v>0.28000000000000003</v>
      </c>
      <c r="V164" s="23">
        <f t="shared" si="1491"/>
        <v>0.28999999999999998</v>
      </c>
      <c r="W164" s="23">
        <f>+W451</f>
        <v>0.19</v>
      </c>
      <c r="X164" s="23">
        <f>+X451</f>
        <v>0.19</v>
      </c>
      <c r="Y164" s="23">
        <f t="shared" ref="Y164:Z164" si="1492">+Y451</f>
        <v>0.22</v>
      </c>
      <c r="Z164" s="23">
        <f t="shared" si="1492"/>
        <v>0.2</v>
      </c>
      <c r="AA164" s="23">
        <f t="shared" ref="AA164" si="1493">+AA451</f>
        <v>0.255</v>
      </c>
      <c r="AB164" s="23">
        <v>0.28999999999999998</v>
      </c>
      <c r="AC164" s="23">
        <v>0.26</v>
      </c>
      <c r="AD164" s="23">
        <f>+AD156+2%</f>
        <v>0.28015345945230852</v>
      </c>
      <c r="AE164" s="23">
        <v>0.25</v>
      </c>
      <c r="AF164" s="23">
        <v>0.26</v>
      </c>
      <c r="AG164" s="23">
        <v>0.24</v>
      </c>
      <c r="AH164" s="23">
        <f>+AH451</f>
        <v>0.19</v>
      </c>
      <c r="AI164" s="23">
        <f t="shared" ref="AI164:AM164" si="1494">+AI451</f>
        <v>0.17</v>
      </c>
      <c r="AJ164" s="23">
        <f t="shared" si="1494"/>
        <v>0.19</v>
      </c>
      <c r="AK164" s="23">
        <f t="shared" si="1494"/>
        <v>0.19</v>
      </c>
      <c r="AL164" s="23">
        <f t="shared" si="1494"/>
        <v>0.21</v>
      </c>
      <c r="AM164" s="23">
        <f t="shared" si="1494"/>
        <v>0.2</v>
      </c>
      <c r="AN164" s="23">
        <f t="shared" ref="AN164:AQ164" si="1495">+AN451</f>
        <v>0.1864140538256942</v>
      </c>
      <c r="AO164" s="23">
        <f t="shared" si="1495"/>
        <v>0.18271740942269488</v>
      </c>
      <c r="AP164" s="23">
        <f t="shared" si="1495"/>
        <v>0.19362351167556979</v>
      </c>
      <c r="AQ164" s="23">
        <f t="shared" si="1495"/>
        <v>0.20175261254564081</v>
      </c>
      <c r="AR164" s="21"/>
      <c r="AS164" s="21"/>
      <c r="AT164" s="21"/>
      <c r="AU164" s="21"/>
      <c r="AV164" s="21"/>
      <c r="AW164" s="21"/>
      <c r="AX164" s="21"/>
      <c r="AY164" s="21"/>
      <c r="AZ164" s="21"/>
      <c r="BA164" s="21"/>
      <c r="BB164" s="21"/>
      <c r="BC164" s="891">
        <f>+BC156+2%</f>
        <v>0.11109730848861286</v>
      </c>
      <c r="BD164" s="891">
        <f>+BD156+5%</f>
        <v>0.10595614589921994</v>
      </c>
      <c r="BE164" s="891">
        <f>+BE156+1%</f>
        <v>0.10575912467055336</v>
      </c>
      <c r="BF164" s="891"/>
      <c r="BG164" s="829">
        <f t="shared" si="1484"/>
        <v>0.10595614589921994</v>
      </c>
      <c r="BH164" s="23">
        <f>+BE164-BE156+BH156</f>
        <v>0.10838890670086564</v>
      </c>
      <c r="BI164" s="23">
        <f>+BI451</f>
        <v>0.1598208486882913</v>
      </c>
      <c r="BJ164" s="23">
        <f t="shared" ref="BJ164" si="1496">+BJ451</f>
        <v>0.22379744871038831</v>
      </c>
      <c r="BK164" s="23">
        <f t="shared" ref="BK164" si="1497">+BK451</f>
        <v>0.25837552904963451</v>
      </c>
      <c r="BL164" s="23">
        <f t="shared" ref="BL164:BM164" si="1498">+BL451</f>
        <v>0.21787071496505808</v>
      </c>
      <c r="BM164" s="23">
        <f t="shared" si="1498"/>
        <v>0.2711413115845539</v>
      </c>
      <c r="BN164" s="23">
        <f t="shared" ref="BN164:BO164" si="1499">+BN451</f>
        <v>0.2124003667725346</v>
      </c>
      <c r="BO164" s="23">
        <f t="shared" si="1499"/>
        <v>0.19775307995950267</v>
      </c>
      <c r="BP164" s="23">
        <f t="shared" ref="BP164" si="1500">+BP451</f>
        <v>0.19148476285745264</v>
      </c>
    </row>
    <row r="165" spans="2:81" s="3" customFormat="1" ht="11.45">
      <c r="B165" s="884" t="s">
        <v>339</v>
      </c>
      <c r="C165" s="1083"/>
      <c r="D165" s="1083"/>
      <c r="E165" s="1083"/>
      <c r="F165" s="1083"/>
      <c r="G165" s="1083"/>
      <c r="H165" s="1083"/>
      <c r="I165" s="1083"/>
      <c r="J165" s="1083"/>
      <c r="K165" s="1083"/>
      <c r="L165" s="1083">
        <f>+L512</f>
        <v>-0.01</v>
      </c>
      <c r="M165" s="1083">
        <f>+M512</f>
        <v>0.02</v>
      </c>
      <c r="N165" s="1083">
        <f>+N512</f>
        <v>0.11</v>
      </c>
      <c r="O165" s="1083">
        <f>+O512</f>
        <v>0.16</v>
      </c>
      <c r="P165" s="1083">
        <f t="shared" ref="P165:Q165" si="1501">+P512</f>
        <v>0.15</v>
      </c>
      <c r="Q165" s="1083">
        <f t="shared" si="1501"/>
        <v>7.0000000000000007E-2</v>
      </c>
      <c r="R165" s="1083">
        <f t="shared" ref="R165:V165" si="1502">+R512</f>
        <v>0.09</v>
      </c>
      <c r="S165" s="1083">
        <f t="shared" si="1502"/>
        <v>0.06</v>
      </c>
      <c r="T165" s="1083">
        <f t="shared" si="1502"/>
        <v>0.05</v>
      </c>
      <c r="U165" s="1083">
        <f t="shared" si="1502"/>
        <v>0.03</v>
      </c>
      <c r="V165" s="1083">
        <f t="shared" si="1502"/>
        <v>0.04</v>
      </c>
      <c r="W165" s="1083">
        <f t="shared" ref="W165:X165" si="1503">+W512</f>
        <v>0.16</v>
      </c>
      <c r="X165" s="1083">
        <f t="shared" si="1503"/>
        <v>0.06</v>
      </c>
      <c r="Y165" s="1083">
        <f t="shared" ref="Y165:Z165" si="1504">+Y512</f>
        <v>0.13</v>
      </c>
      <c r="Z165" s="1083">
        <f t="shared" si="1504"/>
        <v>0.16</v>
      </c>
      <c r="AA165" s="1083">
        <f t="shared" ref="AA165" si="1505">+AA512</f>
        <v>0.06</v>
      </c>
      <c r="AB165" s="1083">
        <v>0.11</v>
      </c>
      <c r="AC165" s="1083">
        <v>0.15</v>
      </c>
      <c r="AD165" s="1083">
        <f>+AD157+1%</f>
        <v>0.12383860079779073</v>
      </c>
      <c r="AE165" s="1083">
        <v>0.05</v>
      </c>
      <c r="AF165" s="1083">
        <v>0.03</v>
      </c>
      <c r="AG165" s="1083">
        <v>-0.16</v>
      </c>
      <c r="AH165" s="1083">
        <f>+AH512</f>
        <v>-7.0000000000000007E-2</v>
      </c>
      <c r="AI165" s="1083">
        <f t="shared" ref="AI165:AM165" si="1506">+AI512</f>
        <v>-0.03</v>
      </c>
      <c r="AJ165" s="1083">
        <f t="shared" si="1506"/>
        <v>0.02</v>
      </c>
      <c r="AK165" s="1083">
        <f t="shared" si="1506"/>
        <v>0.18</v>
      </c>
      <c r="AL165" s="1083">
        <f t="shared" si="1506"/>
        <v>0.17</v>
      </c>
      <c r="AM165" s="1083">
        <f t="shared" si="1506"/>
        <v>0.15</v>
      </c>
      <c r="AN165" s="1083">
        <f t="shared" ref="AN165:AQ165" si="1507">+AN512</f>
        <v>0.13564195867375295</v>
      </c>
      <c r="AO165" s="1083">
        <f t="shared" si="1507"/>
        <v>3.661426826578662E-3</v>
      </c>
      <c r="AP165" s="1083">
        <f t="shared" si="1507"/>
        <v>5.872008267328499E-2</v>
      </c>
      <c r="AQ165" s="1083">
        <f t="shared" si="1507"/>
        <v>5.0584794113452958E-2</v>
      </c>
      <c r="AR165" s="1083"/>
      <c r="AS165" s="1083"/>
      <c r="AT165" s="1083"/>
      <c r="AU165" s="1083"/>
      <c r="AV165" s="1083"/>
      <c r="AW165" s="1083"/>
      <c r="AX165" s="1083"/>
      <c r="AY165" s="1083"/>
      <c r="AZ165" s="1083"/>
      <c r="BA165" s="1083"/>
      <c r="BB165" s="1083"/>
      <c r="BC165" s="1083">
        <f>+BC157+0%</f>
        <v>0.12935517420696829</v>
      </c>
      <c r="BD165" s="1083">
        <f>+BD157+2%</f>
        <v>-4.9091746287556096E-2</v>
      </c>
      <c r="BE165" s="1083">
        <f>+BE157+2%</f>
        <v>-2.1079289706682509E-2</v>
      </c>
      <c r="BF165" s="1083"/>
      <c r="BG165" s="908">
        <f t="shared" si="1484"/>
        <v>-4.9091746287556096E-2</v>
      </c>
      <c r="BH165" s="1083">
        <f>+BE165-BE157+BH157</f>
        <v>-7.6169265033407992E-3</v>
      </c>
      <c r="BI165" s="1083">
        <f>+BI512</f>
        <v>6.5828879727184819E-2</v>
      </c>
      <c r="BJ165" s="1083">
        <f t="shared" ref="BJ165" si="1508">+BJ512</f>
        <v>8.9880546882391901E-2</v>
      </c>
      <c r="BK165" s="1083">
        <f t="shared" ref="BK165" si="1509">+BK512</f>
        <v>6.9126219965862851E-2</v>
      </c>
      <c r="BL165" s="1083">
        <f t="shared" ref="BL165:BM165" si="1510">+BL512</f>
        <v>0.10195705788481069</v>
      </c>
      <c r="BM165" s="1083">
        <f t="shared" si="1510"/>
        <v>0.1103778677462888</v>
      </c>
      <c r="BN165" s="1083">
        <f t="shared" ref="BN165:BO165" si="1511">+BN512</f>
        <v>-6.4404660129075517E-2</v>
      </c>
      <c r="BO165" s="1083">
        <f t="shared" si="1511"/>
        <v>0.13098348375781049</v>
      </c>
      <c r="BP165" s="1083">
        <f t="shared" ref="BP165" si="1512">+BP512</f>
        <v>5.8589636933298342E-2</v>
      </c>
      <c r="BU165"/>
      <c r="BV165"/>
      <c r="BX165" s="892"/>
      <c r="BY165" s="885"/>
      <c r="CA165" s="1081"/>
      <c r="CB165" s="1080"/>
      <c r="CC165" s="885"/>
    </row>
    <row r="166" spans="2:81" s="839" customFormat="1" ht="11.45" hidden="1" outlineLevel="1">
      <c r="B166" s="884" t="s">
        <v>340</v>
      </c>
      <c r="L166" s="840" t="s">
        <v>271</v>
      </c>
      <c r="M166" s="840" t="s">
        <v>271</v>
      </c>
      <c r="N166" s="840" t="s">
        <v>271</v>
      </c>
      <c r="O166" s="840" t="s">
        <v>271</v>
      </c>
      <c r="P166" s="840" t="s">
        <v>271</v>
      </c>
      <c r="Q166" s="840" t="s">
        <v>271</v>
      </c>
      <c r="R166" s="840" t="s">
        <v>271</v>
      </c>
      <c r="S166" s="840" t="s">
        <v>271</v>
      </c>
      <c r="T166" s="840" t="s">
        <v>271</v>
      </c>
      <c r="U166" s="840" t="s">
        <v>271</v>
      </c>
      <c r="V166" s="840" t="s">
        <v>271</v>
      </c>
      <c r="W166" s="840" t="s">
        <v>271</v>
      </c>
      <c r="X166" s="840" t="s">
        <v>271</v>
      </c>
      <c r="Y166" s="840" t="s">
        <v>271</v>
      </c>
      <c r="Z166" s="840" t="s">
        <v>271</v>
      </c>
      <c r="AA166" s="840" t="s">
        <v>271</v>
      </c>
      <c r="AB166" s="840" t="s">
        <v>271</v>
      </c>
      <c r="AC166" s="840" t="s">
        <v>271</v>
      </c>
      <c r="AD166" s="840" t="s">
        <v>271</v>
      </c>
      <c r="AE166" s="840" t="s">
        <v>271</v>
      </c>
      <c r="AF166" s="840" t="s">
        <v>271</v>
      </c>
      <c r="AG166" s="840" t="s">
        <v>271</v>
      </c>
      <c r="AH166" s="14"/>
      <c r="AI166" s="14"/>
      <c r="AJ166" s="14"/>
      <c r="AK166" s="14"/>
      <c r="AL166" s="14"/>
      <c r="AM166" s="14"/>
      <c r="AN166" s="14"/>
      <c r="AO166" s="14"/>
      <c r="AP166" s="14"/>
      <c r="AQ166" s="14"/>
      <c r="BC166" s="840" t="s">
        <v>271</v>
      </c>
      <c r="BD166" s="840" t="s">
        <v>271</v>
      </c>
      <c r="BE166" s="840" t="s">
        <v>271</v>
      </c>
      <c r="BF166" s="893"/>
      <c r="BG166" s="829" t="str">
        <f t="shared" si="1484"/>
        <v>NA</v>
      </c>
      <c r="BH166" s="840" t="s">
        <v>271</v>
      </c>
      <c r="BI166" s="840" t="s">
        <v>271</v>
      </c>
      <c r="BJ166" s="840" t="s">
        <v>271</v>
      </c>
      <c r="BK166" s="840" t="s">
        <v>271</v>
      </c>
      <c r="BL166" s="840" t="s">
        <v>271</v>
      </c>
      <c r="BM166" s="840" t="s">
        <v>271</v>
      </c>
      <c r="BN166" s="840" t="s">
        <v>271</v>
      </c>
      <c r="BO166" s="840" t="s">
        <v>271</v>
      </c>
      <c r="BP166" s="840" t="s">
        <v>271</v>
      </c>
    </row>
    <row r="167" spans="2:81" s="7" customFormat="1" collapsed="1">
      <c r="B167" s="887" t="str">
        <f>+B159</f>
        <v>Total Revenue</v>
      </c>
      <c r="L167" s="895">
        <f t="shared" ref="L167:Q167" si="1513">+SUMPRODUCT(L163:L165,H148:H150)/H152</f>
        <v>0.11404323239693544</v>
      </c>
      <c r="M167" s="895">
        <f t="shared" si="1513"/>
        <v>0.11517230697746457</v>
      </c>
      <c r="N167" s="895">
        <f t="shared" si="1513"/>
        <v>0.13155824573496466</v>
      </c>
      <c r="O167" s="895">
        <f t="shared" si="1513"/>
        <v>0.15218902558094122</v>
      </c>
      <c r="P167" s="895">
        <f t="shared" si="1513"/>
        <v>0.18546010269785637</v>
      </c>
      <c r="Q167" s="895">
        <f t="shared" si="1513"/>
        <v>0.12631371464139982</v>
      </c>
      <c r="R167" s="895">
        <v>0.16</v>
      </c>
      <c r="S167" s="895">
        <f>+SUMPRODUCT(S163:S165,O148:O150)/O152</f>
        <v>0.14324347681568889</v>
      </c>
      <c r="T167" s="895">
        <f>+SUMPRODUCT(T163:T165,P148:P150)/P152</f>
        <v>0.15429033145372026</v>
      </c>
      <c r="U167" s="895">
        <f>+SUMPRODUCT(U163:U165,Q148:Q150)/Q152</f>
        <v>0.15197037356410337</v>
      </c>
      <c r="V167" s="895">
        <f>+SUMPRODUCT(V163:V165,R148:R150)/R152</f>
        <v>0.15910928657878379</v>
      </c>
      <c r="W167" s="895">
        <f t="shared" ref="W167:AH167" si="1514">+SUMPRODUCT(W163:W165,S148:S150)/S152+0.11%</f>
        <v>0.14502413322656227</v>
      </c>
      <c r="X167" s="895">
        <f t="shared" si="1514"/>
        <v>0.12050704885796401</v>
      </c>
      <c r="Y167" s="895">
        <f t="shared" si="1514"/>
        <v>0.15363536010404813</v>
      </c>
      <c r="Z167" s="895">
        <f t="shared" si="1514"/>
        <v>0.16171448844978725</v>
      </c>
      <c r="AA167" s="895">
        <f t="shared" si="1514"/>
        <v>0.17445905660873451</v>
      </c>
      <c r="AB167" s="895">
        <f t="shared" si="1514"/>
        <v>0.20385421219787908</v>
      </c>
      <c r="AC167" s="895">
        <f t="shared" si="1514"/>
        <v>0.20078497539232981</v>
      </c>
      <c r="AD167" s="895">
        <f t="shared" si="1514"/>
        <v>0.20149706517047911</v>
      </c>
      <c r="AE167" s="895">
        <f t="shared" si="1514"/>
        <v>0.16459280637892182</v>
      </c>
      <c r="AF167" s="895">
        <f t="shared" si="1514"/>
        <v>0.15702183948628548</v>
      </c>
      <c r="AG167" s="895">
        <f t="shared" si="1514"/>
        <v>7.2159387565728428E-2</v>
      </c>
      <c r="AH167" s="895">
        <f t="shared" si="1514"/>
        <v>0.10162370340356562</v>
      </c>
      <c r="AI167" s="895">
        <f>+SUMPRODUCT(AI163:AI165,AE148:AE150)/AE152</f>
        <v>9.8637809698255086E-2</v>
      </c>
      <c r="AJ167" s="895">
        <f>+SUMPRODUCT(AJ163:AJ165,AF148:AF150)/AF152+0.11%</f>
        <v>0.12288664059694347</v>
      </c>
      <c r="AK167" s="895">
        <f>+SUMPRODUCT(AK163:AK165,AG148:AG150)/AG152</f>
        <v>0.16473771020152805</v>
      </c>
      <c r="AL167" s="895">
        <f t="shared" ref="AL167:AQ167" si="1515">+SUMPRODUCT(AL163:AL165,AH148:AH150)/AH152+0.11%</f>
        <v>0.16792691034300095</v>
      </c>
      <c r="AM167" s="895">
        <f t="shared" si="1515"/>
        <v>0.16268447382939721</v>
      </c>
      <c r="AN167" s="895">
        <f t="shared" si="1515"/>
        <v>0.15050825546404845</v>
      </c>
      <c r="AO167" s="895">
        <f t="shared" si="1515"/>
        <v>0.10699368932673395</v>
      </c>
      <c r="AP167" s="895">
        <f t="shared" si="1515"/>
        <v>0.13077431227196057</v>
      </c>
      <c r="AQ167" s="895">
        <f t="shared" si="1515"/>
        <v>0.13206764038646732</v>
      </c>
      <c r="AR167" s="896"/>
      <c r="AS167" s="896"/>
      <c r="AT167" s="896"/>
      <c r="AU167" s="896"/>
      <c r="AV167" s="896"/>
      <c r="AW167" s="896"/>
      <c r="AX167" s="896"/>
      <c r="AY167" s="896"/>
      <c r="AZ167" s="896"/>
      <c r="BA167" s="896"/>
      <c r="BB167" s="896"/>
      <c r="BC167" s="897">
        <f>+BC159+2%</f>
        <v>9.7700874091647169E-2</v>
      </c>
      <c r="BD167" s="897">
        <f>+BD159+4%</f>
        <v>-4.8266723658901424E-2</v>
      </c>
      <c r="BE167" s="897">
        <f>+BE159+2%</f>
        <v>7.4266291608063847E-2</v>
      </c>
      <c r="BF167" s="897"/>
      <c r="BG167" s="1179">
        <f t="shared" si="1484"/>
        <v>-4.8266723658901424E-2</v>
      </c>
      <c r="BH167" s="895">
        <f>+BE167-BE159+BH159</f>
        <v>7.9426903920837275E-2</v>
      </c>
      <c r="BI167" s="895">
        <f t="shared" ref="BI167:BP167" si="1516">+SUMPRODUCT(BI163:BI165,BH148:BH150)/BH152</f>
        <v>0.12866916569156372</v>
      </c>
      <c r="BJ167" s="895">
        <f t="shared" si="1516"/>
        <v>0.15088356288510332</v>
      </c>
      <c r="BK167" s="895">
        <f t="shared" si="1516"/>
        <v>0.15208497890228301</v>
      </c>
      <c r="BL167" s="895">
        <f t="shared" si="1516"/>
        <v>0.15239460895710238</v>
      </c>
      <c r="BM167" s="895">
        <f t="shared" si="1516"/>
        <v>0.19236388082433009</v>
      </c>
      <c r="BN167" s="895">
        <f t="shared" si="1516"/>
        <v>0.10500514449992435</v>
      </c>
      <c r="BO167" s="895">
        <f t="shared" si="1516"/>
        <v>0.15426397376306539</v>
      </c>
      <c r="BP167" s="895">
        <f t="shared" si="1516"/>
        <v>0.12854892279729879</v>
      </c>
    </row>
    <row r="168" spans="2:81" hidden="1" outlineLevel="1">
      <c r="AK168" s="895"/>
      <c r="AL168" s="895"/>
      <c r="AM168" s="895"/>
      <c r="AN168" s="895"/>
      <c r="AO168" s="895"/>
      <c r="AP168" s="895"/>
      <c r="AQ168" s="895"/>
    </row>
    <row r="169" spans="2:81" s="3" customFormat="1" ht="13.5" hidden="1" outlineLevel="1">
      <c r="B169" s="883" t="s">
        <v>345</v>
      </c>
      <c r="L169" s="6" t="s">
        <v>220</v>
      </c>
      <c r="M169" s="6" t="s">
        <v>221</v>
      </c>
      <c r="N169" s="6" t="s">
        <v>222</v>
      </c>
      <c r="O169" s="6" t="s">
        <v>223</v>
      </c>
      <c r="X169" s="6" t="s">
        <v>224</v>
      </c>
      <c r="Y169" s="6" t="s">
        <v>225</v>
      </c>
      <c r="Z169" s="6" t="s">
        <v>226</v>
      </c>
      <c r="AA169" s="6" t="s">
        <v>227</v>
      </c>
      <c r="AB169" s="6" t="s">
        <v>228</v>
      </c>
      <c r="AC169" s="6" t="s">
        <v>229</v>
      </c>
      <c r="AD169" s="6" t="s">
        <v>230</v>
      </c>
      <c r="AE169" s="6" t="s">
        <v>346</v>
      </c>
      <c r="AF169" s="6" t="s">
        <v>232</v>
      </c>
      <c r="AG169" s="6" t="s">
        <v>347</v>
      </c>
      <c r="AH169" s="6" t="s">
        <v>348</v>
      </c>
      <c r="AI169" s="6" t="s">
        <v>349</v>
      </c>
      <c r="AJ169" s="6"/>
      <c r="AK169" s="895"/>
      <c r="AL169" s="895"/>
      <c r="AM169" s="895"/>
      <c r="AN169" s="895"/>
      <c r="AO169" s="895"/>
      <c r="AP169" s="895"/>
      <c r="AQ169" s="895"/>
      <c r="BS169"/>
    </row>
    <row r="170" spans="2:81" s="3" customFormat="1" hidden="1" outlineLevel="1">
      <c r="B170" s="884" t="str">
        <f>+B163</f>
        <v>Productivity and Business Processes</v>
      </c>
      <c r="L170" s="890">
        <f t="shared" ref="L170:O172" si="1517">+T155+P155+L155</f>
        <v>0.59973725951525125</v>
      </c>
      <c r="M170" s="890">
        <f t="shared" si="1517"/>
        <v>0.54611419591948929</v>
      </c>
      <c r="N170" s="890">
        <f t="shared" si="1517"/>
        <v>0.4523433194919666</v>
      </c>
      <c r="O170" s="890">
        <f t="shared" si="1517"/>
        <v>0.33747853086898272</v>
      </c>
      <c r="X170" s="890">
        <f t="shared" ref="X170:AI172" si="1518">+X155+T155+P155</f>
        <v>0.43187391095562067</v>
      </c>
      <c r="Y170" s="890">
        <f t="shared" si="1518"/>
        <v>0.42812684358137632</v>
      </c>
      <c r="Z170" s="890">
        <f t="shared" si="1518"/>
        <v>0.43784446712413971</v>
      </c>
      <c r="AA170" s="890">
        <f t="shared" si="1518"/>
        <v>0.45653882164516424</v>
      </c>
      <c r="AB170" s="890">
        <f t="shared" si="1518"/>
        <v>0.46658219706226123</v>
      </c>
      <c r="AC170" s="890">
        <f t="shared" si="1518"/>
        <v>0.49345303854399636</v>
      </c>
      <c r="AD170" s="890">
        <f t="shared" si="1518"/>
        <v>0.46567051500878498</v>
      </c>
      <c r="AE170" s="890">
        <f t="shared" si="1518"/>
        <v>0.44384682591809921</v>
      </c>
      <c r="AF170" s="890">
        <f t="shared" si="1518"/>
        <v>0.4277414983022283</v>
      </c>
      <c r="AG170" s="890">
        <f t="shared" si="1518"/>
        <v>0.38945451971621003</v>
      </c>
      <c r="AH170" s="890">
        <f t="shared" si="1518"/>
        <v>0.42849705553630324</v>
      </c>
      <c r="AI170" s="890">
        <f t="shared" si="1518"/>
        <v>0.4818960646036281</v>
      </c>
      <c r="AJ170" s="890"/>
      <c r="AK170" s="895"/>
      <c r="AL170" s="895"/>
      <c r="AM170" s="895"/>
      <c r="AN170" s="895"/>
      <c r="AO170" s="895"/>
      <c r="AP170" s="895"/>
      <c r="AQ170" s="895"/>
      <c r="BC170" s="14"/>
      <c r="BD170" s="14"/>
      <c r="BE170" s="890">
        <f>+BE155+BD155+BC155</f>
        <v>0.13131046901888332</v>
      </c>
      <c r="BF170" s="14"/>
      <c r="BG170" s="14"/>
      <c r="BH170" s="14"/>
      <c r="BI170" s="14"/>
      <c r="BJ170" s="890">
        <f t="shared" ref="BJ170:BM172" si="1519">+BJ155+BI155+BH155</f>
        <v>0.50645106069685952</v>
      </c>
      <c r="BK170" s="890">
        <f t="shared" si="1519"/>
        <v>0.47559949373189547</v>
      </c>
      <c r="BL170" s="890">
        <f t="shared" si="1519"/>
        <v>0.43690774078715156</v>
      </c>
      <c r="BM170" s="890">
        <f t="shared" si="1519"/>
        <v>0.46452811834057006</v>
      </c>
      <c r="BN170" s="890"/>
      <c r="BO170" s="890"/>
      <c r="BP170" s="890"/>
      <c r="BU170" s="839"/>
    </row>
    <row r="171" spans="2:81" s="3" customFormat="1" hidden="1" outlineLevel="1">
      <c r="B171" s="884" t="str">
        <f>+B164</f>
        <v>Intelligent Cloud</v>
      </c>
      <c r="L171" s="890">
        <f t="shared" si="1517"/>
        <v>0.63886457776134087</v>
      </c>
      <c r="M171" s="890">
        <f t="shared" si="1517"/>
        <v>0.62214833007279191</v>
      </c>
      <c r="N171" s="890">
        <f t="shared" si="1517"/>
        <v>0.66803961182960947</v>
      </c>
      <c r="O171" s="890">
        <f t="shared" si="1517"/>
        <v>0.58771746083828624</v>
      </c>
      <c r="X171" s="890">
        <f t="shared" si="1518"/>
        <v>0.70097029406907607</v>
      </c>
      <c r="Y171" s="890">
        <f t="shared" si="1518"/>
        <v>0.69888002355678625</v>
      </c>
      <c r="Z171" s="890">
        <f t="shared" si="1518"/>
        <v>0.72579277261519093</v>
      </c>
      <c r="AA171" s="890">
        <f t="shared" si="1518"/>
        <v>0.65909684195673668</v>
      </c>
      <c r="AB171" s="890">
        <f t="shared" si="1518"/>
        <v>0.76965210921078442</v>
      </c>
      <c r="AC171" s="890">
        <f t="shared" si="1518"/>
        <v>0.75098912764997539</v>
      </c>
      <c r="AD171" s="890">
        <f t="shared" si="1518"/>
        <v>0.76393508718401404</v>
      </c>
      <c r="AE171" s="890">
        <f t="shared" si="1518"/>
        <v>0.67667116376100456</v>
      </c>
      <c r="AF171" s="890">
        <f t="shared" si="1518"/>
        <v>0.70187350089744016</v>
      </c>
      <c r="AG171" s="890">
        <f t="shared" si="1518"/>
        <v>0.65893651104373618</v>
      </c>
      <c r="AH171" s="890">
        <f t="shared" si="1518"/>
        <v>0.65020747561763503</v>
      </c>
      <c r="AI171" s="890">
        <f t="shared" si="1518"/>
        <v>0.65034601924579949</v>
      </c>
      <c r="AJ171" s="890"/>
      <c r="AK171" s="895"/>
      <c r="AL171" s="895"/>
      <c r="AM171" s="895"/>
      <c r="AN171" s="895"/>
      <c r="AO171" s="895"/>
      <c r="AP171" s="895"/>
      <c r="AQ171" s="895"/>
      <c r="BC171" s="14"/>
      <c r="BD171" s="14"/>
      <c r="BE171" s="890">
        <f>+BE156+BD156+BC156</f>
        <v>0.24281257905838616</v>
      </c>
      <c r="BF171" s="14"/>
      <c r="BG171" s="14"/>
      <c r="BH171" s="14"/>
      <c r="BI171" s="14"/>
      <c r="BJ171" s="890">
        <f t="shared" si="1519"/>
        <v>0.48396479995701691</v>
      </c>
      <c r="BK171" s="890">
        <f t="shared" si="1519"/>
        <v>0.62620690518381572</v>
      </c>
      <c r="BL171" s="890">
        <f t="shared" si="1519"/>
        <v>0.6928262526264839</v>
      </c>
      <c r="BM171" s="890">
        <f t="shared" si="1519"/>
        <v>0.73533925782984633</v>
      </c>
      <c r="BN171" s="890"/>
      <c r="BO171" s="890"/>
      <c r="BP171" s="890"/>
    </row>
    <row r="172" spans="2:81" s="839" customFormat="1" ht="11.45" hidden="1" outlineLevel="1">
      <c r="B172" s="884" t="str">
        <f>+B165</f>
        <v>More Personal Computing</v>
      </c>
      <c r="L172" s="840">
        <f t="shared" si="1517"/>
        <v>0.18007724774843425</v>
      </c>
      <c r="M172" s="840">
        <f t="shared" si="1517"/>
        <v>0.10803886648259287</v>
      </c>
      <c r="N172" s="840">
        <f t="shared" si="1517"/>
        <v>0.23676268838201087</v>
      </c>
      <c r="O172" s="840">
        <f t="shared" si="1517"/>
        <v>0.35854937701860856</v>
      </c>
      <c r="X172" s="840">
        <f t="shared" si="1518"/>
        <v>0.24620002366593319</v>
      </c>
      <c r="Y172" s="840">
        <f t="shared" si="1518"/>
        <v>0.2290557571407299</v>
      </c>
      <c r="Z172" s="840">
        <f t="shared" si="1518"/>
        <v>0.29203444211334451</v>
      </c>
      <c r="AA172" s="840">
        <f t="shared" si="1518"/>
        <v>0.27898643722090877</v>
      </c>
      <c r="AB172" s="840">
        <f t="shared" si="1518"/>
        <v>0.2239658287931181</v>
      </c>
      <c r="AC172" s="840">
        <f t="shared" si="1518"/>
        <v>0.31637027178073751</v>
      </c>
      <c r="AD172" s="840">
        <f t="shared" si="1518"/>
        <v>0.32893445261164955</v>
      </c>
      <c r="AE172" s="840">
        <f t="shared" si="1518"/>
        <v>0.25486516297802275</v>
      </c>
      <c r="AF172" s="840">
        <f t="shared" si="1518"/>
        <v>0.18930438880060629</v>
      </c>
      <c r="AG172" s="840">
        <f t="shared" si="1518"/>
        <v>0.11476521011096086</v>
      </c>
      <c r="AH172" s="840">
        <f t="shared" si="1518"/>
        <v>0.21247594516744228</v>
      </c>
      <c r="AI172" s="840">
        <f t="shared" si="1518"/>
        <v>7.8844708748041281E-2</v>
      </c>
      <c r="AJ172" s="840"/>
      <c r="AK172" s="895"/>
      <c r="AL172" s="895"/>
      <c r="AM172" s="895"/>
      <c r="AN172" s="895"/>
      <c r="AO172" s="895"/>
      <c r="AP172" s="895"/>
      <c r="AQ172" s="895"/>
      <c r="AR172" s="840"/>
      <c r="AS172" s="840"/>
      <c r="AT172" s="840"/>
      <c r="AU172" s="840"/>
      <c r="AV172" s="840"/>
      <c r="AW172" s="840"/>
      <c r="AX172" s="840"/>
      <c r="AY172" s="840"/>
      <c r="AZ172" s="840"/>
      <c r="BA172" s="840"/>
      <c r="BB172" s="840"/>
      <c r="BC172" s="840"/>
      <c r="BD172" s="840"/>
      <c r="BE172" s="840">
        <f>+BE157+BD157+BC157</f>
        <v>1.9184138212729684E-2</v>
      </c>
      <c r="BF172" s="840"/>
      <c r="BG172" s="840"/>
      <c r="BH172" s="840"/>
      <c r="BI172" s="840"/>
      <c r="BJ172" s="840">
        <f t="shared" si="1519"/>
        <v>0.12921679324863522</v>
      </c>
      <c r="BK172" s="840">
        <f t="shared" si="1519"/>
        <v>0.21270049729147456</v>
      </c>
      <c r="BL172" s="840">
        <f t="shared" si="1519"/>
        <v>0.2578862593971285</v>
      </c>
      <c r="BM172" s="840">
        <f t="shared" si="1519"/>
        <v>0.27976490450491509</v>
      </c>
      <c r="BN172" s="840"/>
      <c r="BO172" s="840"/>
      <c r="BP172" s="840"/>
      <c r="BR172" s="852"/>
      <c r="BS172" s="852"/>
      <c r="BU172" s="852"/>
      <c r="BV172" s="852"/>
      <c r="BW172" s="901"/>
      <c r="BY172" s="901"/>
    </row>
    <row r="173" spans="2:81" s="7" customFormat="1" hidden="1" outlineLevel="1">
      <c r="B173" s="887" t="str">
        <f>+B167</f>
        <v>Total Revenue</v>
      </c>
      <c r="L173" s="902">
        <f>+T159+P159+L159</f>
        <v>0.44082512781973127</v>
      </c>
      <c r="M173" s="902">
        <f>+U159+Q159+M159</f>
        <v>0.37917237350154132</v>
      </c>
      <c r="N173" s="902">
        <f>+V159+R159+N159</f>
        <v>0.44085736669596409</v>
      </c>
      <c r="O173" s="902">
        <f>+W159+S159+O159</f>
        <v>0.42369708411466722</v>
      </c>
      <c r="X173" s="902">
        <f t="shared" ref="X173:AI173" si="1520">+X159+T159+P159</f>
        <v>0.44580467033427706</v>
      </c>
      <c r="Y173" s="902">
        <f t="shared" si="1520"/>
        <v>0.42662955277039982</v>
      </c>
      <c r="Z173" s="902">
        <f t="shared" si="1520"/>
        <v>0.4763490735674123</v>
      </c>
      <c r="AA173" s="902">
        <f t="shared" si="1520"/>
        <v>0.46220376784213024</v>
      </c>
      <c r="AB173" s="902">
        <f t="shared" si="1520"/>
        <v>0.48024816243696256</v>
      </c>
      <c r="AC173" s="902">
        <f t="shared" si="1520"/>
        <v>0.50461920501721869</v>
      </c>
      <c r="AD173" s="902">
        <f t="shared" si="1520"/>
        <v>0.51997101150188896</v>
      </c>
      <c r="AE173" s="902">
        <f t="shared" si="1520"/>
        <v>0.46526577237870748</v>
      </c>
      <c r="AF173" s="902">
        <f t="shared" si="1520"/>
        <v>0.44974345959344997</v>
      </c>
      <c r="AG173" s="902">
        <f t="shared" si="1520"/>
        <v>0.38773498791909633</v>
      </c>
      <c r="AH173" s="902">
        <f t="shared" si="1520"/>
        <v>0.44525506278469318</v>
      </c>
      <c r="AI173" s="902">
        <f t="shared" si="1520"/>
        <v>0.4206294170941085</v>
      </c>
      <c r="AJ173" s="902"/>
      <c r="AK173" s="895"/>
      <c r="AL173" s="895"/>
      <c r="AM173" s="895"/>
      <c r="AN173" s="895"/>
      <c r="AO173" s="895"/>
      <c r="AP173" s="895"/>
      <c r="AQ173" s="895"/>
      <c r="BC173" s="855"/>
      <c r="BD173" s="855"/>
      <c r="BE173" s="902">
        <f>+BE159+BD159+BC159</f>
        <v>4.3700442040809584E-2</v>
      </c>
      <c r="BF173" s="855"/>
      <c r="BG173" s="855"/>
      <c r="BH173" s="855"/>
      <c r="BI173" s="855"/>
      <c r="BJ173" s="902">
        <f>+BJ159+BI159+BH159</f>
        <v>0.34250843742863246</v>
      </c>
      <c r="BK173" s="902">
        <f>+BK159+BJ159+BI159</f>
        <v>0.4195372759805589</v>
      </c>
      <c r="BL173" s="902">
        <f>+BL159+BK159+BJ159</f>
        <v>0.45206841376746731</v>
      </c>
      <c r="BM173" s="902">
        <f>+BM159+BL159+BK159</f>
        <v>0.49133372318124047</v>
      </c>
      <c r="BN173" s="902"/>
      <c r="BO173" s="902"/>
      <c r="BP173" s="902"/>
      <c r="BR173"/>
      <c r="BS173"/>
      <c r="BT173" s="3"/>
      <c r="BU173" s="839"/>
      <c r="BV173" s="839"/>
      <c r="BW173" s="885"/>
      <c r="BX173" s="839"/>
      <c r="BY173" s="885"/>
    </row>
    <row r="174" spans="2:81" s="7" customFormat="1" outlineLevel="1">
      <c r="B174" s="887" t="s">
        <v>344</v>
      </c>
      <c r="L174" s="902"/>
      <c r="M174" s="902"/>
      <c r="N174" s="902"/>
      <c r="O174" s="902"/>
      <c r="X174" s="902"/>
      <c r="Y174" s="902"/>
      <c r="Z174" s="902"/>
      <c r="AA174" s="902"/>
      <c r="AB174" s="895">
        <f t="shared" ref="AB174:AI174" si="1521">+AB167+AB160-AB159</f>
        <v>0.20385421219787908</v>
      </c>
      <c r="AC174" s="895">
        <f t="shared" si="1521"/>
        <v>0.20078497539232981</v>
      </c>
      <c r="AD174" s="895">
        <f t="shared" si="1521"/>
        <v>0.19885955498009894</v>
      </c>
      <c r="AE174" s="895">
        <f t="shared" si="1521"/>
        <v>0.15700916970012113</v>
      </c>
      <c r="AF174" s="895">
        <f t="shared" si="1521"/>
        <v>0.14929846856588047</v>
      </c>
      <c r="AG174" s="895">
        <f t="shared" si="1521"/>
        <v>6.5393226105784075E-2</v>
      </c>
      <c r="AH174" s="895">
        <f t="shared" si="1521"/>
        <v>9.6896528903295476E-2</v>
      </c>
      <c r="AI174" s="895">
        <f t="shared" si="1521"/>
        <v>9.8637809698255086E-2</v>
      </c>
      <c r="AJ174" s="895">
        <f>+AJ167</f>
        <v>0.12288664059694347</v>
      </c>
      <c r="AK174" s="895">
        <f t="shared" ref="AK174:AQ174" si="1522">+AK15</f>
        <v>0.12530418791590037</v>
      </c>
      <c r="AL174" s="895">
        <f t="shared" si="1522"/>
        <v>0.13065653934199822</v>
      </c>
      <c r="AM174" s="895">
        <f t="shared" si="1522"/>
        <v>0.12542116381387358</v>
      </c>
      <c r="AN174" s="895">
        <f t="shared" si="1522"/>
        <v>0.12155893579032195</v>
      </c>
      <c r="AO174" s="895">
        <f t="shared" si="1522"/>
        <v>0.10766926039755864</v>
      </c>
      <c r="AP174" s="895">
        <f t="shared" si="1522"/>
        <v>0.13193384672488873</v>
      </c>
      <c r="AQ174" s="895">
        <f t="shared" si="1522"/>
        <v>0.13293932772182249</v>
      </c>
      <c r="BC174" s="895">
        <f t="shared" ref="BC174:BN174" si="1523">+BC167+BC160-BC159</f>
        <v>9.7700874091647183E-2</v>
      </c>
      <c r="BD174" s="895">
        <f t="shared" si="1523"/>
        <v>-4.8266723658901417E-2</v>
      </c>
      <c r="BE174" s="895">
        <f t="shared" si="1523"/>
        <v>7.4266291608063861E-2</v>
      </c>
      <c r="BF174" s="895">
        <f t="shared" si="1523"/>
        <v>0</v>
      </c>
      <c r="BG174" s="895">
        <f t="shared" si="1523"/>
        <v>-4.8266723658901417E-2</v>
      </c>
      <c r="BH174" s="895">
        <f t="shared" si="1523"/>
        <v>7.9426903920837288E-2</v>
      </c>
      <c r="BI174" s="895">
        <f t="shared" si="1523"/>
        <v>0.12866916569156372</v>
      </c>
      <c r="BJ174" s="895">
        <f t="shared" si="1523"/>
        <v>0.1508835628851033</v>
      </c>
      <c r="BK174" s="895">
        <f t="shared" si="1523"/>
        <v>0.15208497890228301</v>
      </c>
      <c r="BL174" s="895">
        <f t="shared" si="1523"/>
        <v>0.15239460895710238</v>
      </c>
      <c r="BM174" s="895">
        <f t="shared" si="1523"/>
        <v>0.18958755731124965</v>
      </c>
      <c r="BN174" s="895">
        <f t="shared" si="1523"/>
        <v>0.10029775894823553</v>
      </c>
      <c r="BO174" s="895">
        <f>+BO15</f>
        <v>0.12609841999640306</v>
      </c>
      <c r="BP174" s="895">
        <f>+BP15</f>
        <v>0.12358334499224677</v>
      </c>
      <c r="BR174"/>
      <c r="BS174"/>
      <c r="BT174" s="3"/>
      <c r="BU174" s="839"/>
      <c r="BV174" s="839"/>
      <c r="BW174" s="885"/>
      <c r="BX174" s="839"/>
      <c r="BY174" s="885"/>
    </row>
    <row r="175" spans="2:81" ht="10.5">
      <c r="AG175" s="838"/>
      <c r="AH175" s="1078"/>
      <c r="AI175" s="838"/>
      <c r="AJ175" s="838"/>
      <c r="AK175" s="838"/>
      <c r="AL175" s="838"/>
      <c r="AM175" s="838"/>
      <c r="AN175" s="838"/>
      <c r="AO175" s="838"/>
      <c r="AP175" s="838"/>
      <c r="AQ175" s="838"/>
      <c r="BT175" s="3"/>
      <c r="BU175" s="899"/>
      <c r="BV175" s="899"/>
      <c r="BX175" s="899"/>
      <c r="BY175" s="900"/>
    </row>
    <row r="176" spans="2:81" s="3" customFormat="1">
      <c r="B176" s="1239" t="s">
        <v>126</v>
      </c>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BC176" s="14"/>
      <c r="BD176" s="14"/>
      <c r="BE176" s="14"/>
      <c r="BF176" s="14"/>
      <c r="BG176" s="14"/>
      <c r="BH176" s="14"/>
      <c r="BI176" s="14"/>
      <c r="BJ176" s="14"/>
      <c r="BK176" s="14"/>
      <c r="BL176" s="14"/>
      <c r="BM176" s="14"/>
      <c r="BN176" s="14"/>
      <c r="BO176" s="14"/>
      <c r="BP176" s="14"/>
      <c r="BR176"/>
      <c r="BS176"/>
    </row>
    <row r="177" spans="2:75" s="3" customFormat="1">
      <c r="B177" s="1240" t="s">
        <v>350</v>
      </c>
      <c r="L177" s="23"/>
      <c r="M177" s="23"/>
      <c r="N177" s="23"/>
      <c r="O177" s="23"/>
      <c r="P177" s="23"/>
      <c r="Q177" s="23"/>
      <c r="R177" s="23"/>
      <c r="S177" s="23"/>
      <c r="T177" s="23"/>
      <c r="U177" s="23"/>
      <c r="V177" s="23"/>
      <c r="W177" s="23"/>
      <c r="X177" s="23"/>
      <c r="Y177" s="23"/>
      <c r="Z177" s="23"/>
      <c r="AA177" s="23"/>
      <c r="AB177" s="23">
        <f t="shared" ref="AB177:AM177" si="1524">+AB513</f>
        <v>0.11</v>
      </c>
      <c r="AC177" s="23">
        <f t="shared" si="1524"/>
        <v>0.15</v>
      </c>
      <c r="AD177" s="23">
        <f t="shared" si="1524"/>
        <v>0.13</v>
      </c>
      <c r="AE177" s="23">
        <f t="shared" si="1524"/>
        <v>0.05</v>
      </c>
      <c r="AF177" s="23">
        <f t="shared" si="1524"/>
        <v>0.03</v>
      </c>
      <c r="AG177" s="23">
        <f t="shared" si="1524"/>
        <v>-0.16</v>
      </c>
      <c r="AH177" s="23">
        <f t="shared" si="1524"/>
        <v>-7.0000000000000007E-2</v>
      </c>
      <c r="AI177" s="23">
        <f t="shared" si="1524"/>
        <v>-0.03</v>
      </c>
      <c r="AJ177" s="23">
        <f t="shared" si="1524"/>
        <v>0.02</v>
      </c>
      <c r="AK177" s="23">
        <f t="shared" si="1524"/>
        <v>3.3901805155580528E-2</v>
      </c>
      <c r="AL177" s="23">
        <f t="shared" si="1524"/>
        <v>2.1432880844645563E-2</v>
      </c>
      <c r="AM177" s="23">
        <f t="shared" si="1524"/>
        <v>2.918015102481121E-2</v>
      </c>
      <c r="AN177" s="23">
        <f t="shared" ref="AN177:AQ177" si="1525">+AN513</f>
        <v>2.6582842710541676E-2</v>
      </c>
      <c r="AO177" s="23">
        <f t="shared" si="1525"/>
        <v>2.1763530864827185E-2</v>
      </c>
      <c r="AP177" s="23">
        <f t="shared" si="1525"/>
        <v>7.740785634547942E-2</v>
      </c>
      <c r="AQ177" s="23">
        <f t="shared" si="1525"/>
        <v>7.2855456475288127E-2</v>
      </c>
      <c r="AR177" s="21"/>
      <c r="AS177" s="21"/>
      <c r="AT177" s="21"/>
      <c r="AU177" s="21"/>
      <c r="AV177" s="21"/>
      <c r="AW177" s="21"/>
      <c r="AX177" s="21"/>
      <c r="AY177" s="21"/>
      <c r="AZ177" s="21"/>
      <c r="BA177" s="21"/>
      <c r="BB177" s="21"/>
      <c r="BC177" s="891"/>
      <c r="BD177" s="891"/>
      <c r="BE177" s="891"/>
      <c r="BF177" s="891"/>
      <c r="BG177" s="829"/>
      <c r="BH177" s="23"/>
      <c r="BI177" s="23">
        <f t="shared" ref="BI177:BP177" si="1526">+BI513</f>
        <v>6.5828879727184819E-2</v>
      </c>
      <c r="BJ177" s="23">
        <f t="shared" si="1526"/>
        <v>8.9880546882391901E-2</v>
      </c>
      <c r="BK177" s="23">
        <f t="shared" si="1526"/>
        <v>6.9126219965862851E-2</v>
      </c>
      <c r="BL177" s="23">
        <f t="shared" si="1526"/>
        <v>0.10195705788481069</v>
      </c>
      <c r="BM177" s="23">
        <f t="shared" si="1526"/>
        <v>0.1103778677462888</v>
      </c>
      <c r="BN177" s="23">
        <f t="shared" si="1526"/>
        <v>-6.4404660129075517E-2</v>
      </c>
      <c r="BO177" s="23">
        <f t="shared" si="1526"/>
        <v>2.6295355720393265E-2</v>
      </c>
      <c r="BP177" s="23">
        <f t="shared" si="1526"/>
        <v>3.037898332377488E-2</v>
      </c>
    </row>
    <row r="178" spans="2:75" s="3" customFormat="1">
      <c r="B178" s="888"/>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BC178" s="14"/>
      <c r="BD178" s="14"/>
      <c r="BE178" s="14"/>
      <c r="BF178" s="14"/>
      <c r="BG178" s="14"/>
      <c r="BH178" s="14"/>
      <c r="BI178" s="14"/>
      <c r="BJ178" s="14"/>
      <c r="BK178" s="14"/>
      <c r="BL178" s="14"/>
      <c r="BM178" s="14"/>
      <c r="BN178" s="14"/>
      <c r="BO178" s="14"/>
      <c r="BP178" s="14"/>
      <c r="BR178"/>
      <c r="BS178"/>
    </row>
    <row r="179" spans="2:75" ht="10.5">
      <c r="B179" s="45" t="s">
        <v>351</v>
      </c>
      <c r="AG179" s="880"/>
      <c r="AH179" s="880"/>
      <c r="AI179" s="880"/>
      <c r="AJ179" s="880"/>
      <c r="AK179" s="880"/>
      <c r="AL179" s="880"/>
      <c r="AM179" s="880"/>
      <c r="AN179" s="880"/>
      <c r="AO179" s="880"/>
      <c r="AP179" s="880"/>
      <c r="AQ179" s="880"/>
    </row>
    <row r="180" spans="2:75">
      <c r="B180" t="s">
        <v>335</v>
      </c>
      <c r="H180" s="879">
        <v>2905</v>
      </c>
      <c r="I180" s="879">
        <v>3053</v>
      </c>
      <c r="J180" s="879">
        <v>2540</v>
      </c>
      <c r="K180" s="879">
        <v>2891</v>
      </c>
      <c r="L180" s="879">
        <v>3006</v>
      </c>
      <c r="M180" s="879">
        <v>3337</v>
      </c>
      <c r="N180" s="879">
        <v>3115</v>
      </c>
      <c r="O180" s="879">
        <v>3466</v>
      </c>
      <c r="P180" s="879">
        <v>3881</v>
      </c>
      <c r="Q180" s="879">
        <v>4015</v>
      </c>
      <c r="R180" s="879">
        <v>3979</v>
      </c>
      <c r="S180" s="879">
        <f>+BJ180-SUM(P180:R180)</f>
        <v>4344</v>
      </c>
      <c r="T180" s="879">
        <v>4782</v>
      </c>
      <c r="U180" s="879">
        <v>5182</v>
      </c>
      <c r="V180" s="879">
        <v>4788</v>
      </c>
      <c r="W180" s="879">
        <v>3972</v>
      </c>
      <c r="X180" s="879">
        <v>5706</v>
      </c>
      <c r="Y180" s="879">
        <v>6181</v>
      </c>
      <c r="Z180" s="879">
        <v>6029</v>
      </c>
      <c r="AA180" s="879">
        <v>6435</v>
      </c>
      <c r="AB180" s="879">
        <v>7581</v>
      </c>
      <c r="AC180" s="879">
        <v>7688</v>
      </c>
      <c r="AD180" s="879">
        <v>7184</v>
      </c>
      <c r="AE180" s="879">
        <v>7234</v>
      </c>
      <c r="AF180" s="879">
        <v>8323</v>
      </c>
      <c r="AG180" s="1220">
        <f>8175+2.8%*AC180</f>
        <v>8390.2639999999992</v>
      </c>
      <c r="AH180" s="879">
        <v>8639</v>
      </c>
      <c r="AI180" s="879">
        <v>9052</v>
      </c>
      <c r="AJ180" s="879">
        <v>9970</v>
      </c>
      <c r="AK180" s="879">
        <v>10284</v>
      </c>
      <c r="AL180" s="879">
        <v>10143</v>
      </c>
      <c r="AM180" s="879">
        <v>10143</v>
      </c>
      <c r="AN180" s="880">
        <f t="shared" ref="AN180:AQ181" si="1527">+AN204*AN148</f>
        <v>11243.908344729976</v>
      </c>
      <c r="AO180" s="880">
        <f t="shared" si="1527"/>
        <v>11600.833401305512</v>
      </c>
      <c r="AP180" s="880">
        <f t="shared" si="1527"/>
        <v>11448.282318306881</v>
      </c>
      <c r="AQ180" s="880">
        <f t="shared" si="1527"/>
        <v>11448.671150266258</v>
      </c>
      <c r="BB180" s="879">
        <v>14173</v>
      </c>
      <c r="BC180" s="879">
        <v>13274</v>
      </c>
      <c r="BD180" s="879">
        <v>12418</v>
      </c>
      <c r="BE180" s="879">
        <v>11913</v>
      </c>
      <c r="BF180" s="879"/>
      <c r="BG180" s="879">
        <v>11756</v>
      </c>
      <c r="BH180" s="880">
        <f>+SUM(H180:K180)</f>
        <v>11389</v>
      </c>
      <c r="BI180" s="880">
        <f>+SUM(L180:O180)</f>
        <v>12924</v>
      </c>
      <c r="BJ180" s="880">
        <v>16219</v>
      </c>
      <c r="BK180" s="880">
        <f>SUM(T180:W180)</f>
        <v>18724</v>
      </c>
      <c r="BL180" s="880">
        <f>SUM(X180:AA180)</f>
        <v>24351</v>
      </c>
      <c r="BM180" s="880">
        <f>SUM(AB180:AE180)</f>
        <v>29687</v>
      </c>
      <c r="BN180" s="880">
        <f>SUM(AF180:AI180)</f>
        <v>34404.263999999996</v>
      </c>
      <c r="BO180" s="880">
        <f t="shared" ref="BO180:BO184" si="1528">SUM(AJ180:AM180)</f>
        <v>40540</v>
      </c>
      <c r="BP180" s="880">
        <f>+SUM(AN180:AQ180)</f>
        <v>45741.695214608626</v>
      </c>
    </row>
    <row r="181" spans="2:75">
      <c r="B181" t="s">
        <v>337</v>
      </c>
      <c r="H181" s="879">
        <v>1777</v>
      </c>
      <c r="I181" s="879">
        <v>2291</v>
      </c>
      <c r="J181" s="879">
        <v>2148</v>
      </c>
      <c r="K181" s="879">
        <v>2911</v>
      </c>
      <c r="L181" s="879">
        <v>2137</v>
      </c>
      <c r="M181" s="879">
        <v>2832</v>
      </c>
      <c r="N181" s="879">
        <v>2654</v>
      </c>
      <c r="O181" s="879">
        <v>3901</v>
      </c>
      <c r="P181" s="879">
        <v>2931</v>
      </c>
      <c r="Q181" s="879">
        <v>3279</v>
      </c>
      <c r="R181" s="879">
        <v>3208</v>
      </c>
      <c r="S181" s="879">
        <f>+BJ181-SUM(P181:R181)</f>
        <v>4502</v>
      </c>
      <c r="T181" s="879">
        <v>3889</v>
      </c>
      <c r="U181" s="879">
        <v>4531</v>
      </c>
      <c r="V181" s="879">
        <v>4560</v>
      </c>
      <c r="W181" s="879">
        <v>5344</v>
      </c>
      <c r="X181" s="879">
        <v>5422</v>
      </c>
      <c r="Y181" s="879">
        <v>6492</v>
      </c>
      <c r="Z181" s="879">
        <v>6425</v>
      </c>
      <c r="AA181" s="879">
        <v>7787</v>
      </c>
      <c r="AB181" s="879">
        <v>7562</v>
      </c>
      <c r="AC181" s="879">
        <v>8197</v>
      </c>
      <c r="AD181" s="879">
        <v>8281</v>
      </c>
      <c r="AE181" s="879">
        <v>8681</v>
      </c>
      <c r="AF181" s="879">
        <v>8978</v>
      </c>
      <c r="AG181" s="1220">
        <f>8904+7%*AC181</f>
        <v>9477.7900000000009</v>
      </c>
      <c r="AH181" s="879">
        <v>9476</v>
      </c>
      <c r="AI181" s="879">
        <v>10526</v>
      </c>
      <c r="AJ181" s="879">
        <v>11751</v>
      </c>
      <c r="AK181" s="879">
        <v>12461</v>
      </c>
      <c r="AL181" s="879">
        <v>12513</v>
      </c>
      <c r="AM181" s="879">
        <v>12859</v>
      </c>
      <c r="AN181" s="880">
        <f t="shared" si="1527"/>
        <v>14447.343952223973</v>
      </c>
      <c r="AO181" s="880">
        <f t="shared" si="1527"/>
        <v>15521.716646240764</v>
      </c>
      <c r="AP181" s="880">
        <f t="shared" si="1527"/>
        <v>15659.559847183966</v>
      </c>
      <c r="AQ181" s="880">
        <f t="shared" si="1527"/>
        <v>16273.293886861344</v>
      </c>
      <c r="BB181" s="879">
        <v>8446</v>
      </c>
      <c r="BC181" s="879">
        <v>9803</v>
      </c>
      <c r="BD181" s="879">
        <v>9315</v>
      </c>
      <c r="BE181" s="879">
        <v>9138</v>
      </c>
      <c r="BF181" s="879"/>
      <c r="BG181" s="879">
        <v>9249</v>
      </c>
      <c r="BH181" s="880">
        <f>+SUM(H181:K181)</f>
        <v>9127</v>
      </c>
      <c r="BI181" s="880">
        <f>+SUM(L181:O181)</f>
        <v>11524</v>
      </c>
      <c r="BJ181" s="880">
        <v>13920</v>
      </c>
      <c r="BK181" s="880">
        <f>SUM(T181:W181)</f>
        <v>18324</v>
      </c>
      <c r="BL181" s="880">
        <f>SUM(X181:AA181)</f>
        <v>26126</v>
      </c>
      <c r="BM181" s="880">
        <f t="shared" ref="BM181:BM183" si="1529">SUM(AB181:AE181)</f>
        <v>32721</v>
      </c>
      <c r="BN181" s="880">
        <f t="shared" ref="BN181:BN183" si="1530">SUM(AF181:AI181)</f>
        <v>38457.79</v>
      </c>
      <c r="BO181" s="880">
        <f t="shared" si="1528"/>
        <v>49584</v>
      </c>
      <c r="BP181" s="880">
        <f t="shared" ref="BP181:BP184" si="1531">+SUM(AN181:AQ181)</f>
        <v>61901.914332510045</v>
      </c>
    </row>
    <row r="182" spans="2:75">
      <c r="B182" t="s">
        <v>339</v>
      </c>
      <c r="H182" s="879">
        <v>2033</v>
      </c>
      <c r="I182" s="879">
        <v>2561</v>
      </c>
      <c r="J182" s="879">
        <v>2035</v>
      </c>
      <c r="K182" s="879">
        <v>2186</v>
      </c>
      <c r="L182" s="879">
        <v>2565</v>
      </c>
      <c r="M182" s="879">
        <v>2510</v>
      </c>
      <c r="N182" s="879">
        <v>2523</v>
      </c>
      <c r="O182" s="879">
        <v>3012</v>
      </c>
      <c r="P182" s="879">
        <v>3143</v>
      </c>
      <c r="Q182" s="879">
        <v>2964</v>
      </c>
      <c r="R182" s="879">
        <v>3154</v>
      </c>
      <c r="S182" s="879">
        <f>+BJ182-SUM(P182:R182)</f>
        <v>3559</v>
      </c>
      <c r="T182" s="879">
        <v>4015</v>
      </c>
      <c r="U182" s="879">
        <v>4178</v>
      </c>
      <c r="V182" s="879">
        <v>3627</v>
      </c>
      <c r="W182" s="879">
        <v>4091</v>
      </c>
      <c r="X182" s="879">
        <v>4748</v>
      </c>
      <c r="Y182" s="879">
        <v>5224</v>
      </c>
      <c r="Z182" s="879">
        <v>4594</v>
      </c>
      <c r="AA182" s="879">
        <v>4873</v>
      </c>
      <c r="AB182" s="879">
        <v>5095</v>
      </c>
      <c r="AC182" s="879">
        <v>6362</v>
      </c>
      <c r="AD182" s="879">
        <v>4899</v>
      </c>
      <c r="AE182" s="879">
        <v>4619</v>
      </c>
      <c r="AF182" s="879">
        <v>4217</v>
      </c>
      <c r="AG182" s="1220">
        <f>3320+6%*AC182</f>
        <v>3701.72</v>
      </c>
      <c r="AH182" s="879">
        <v>4237</v>
      </c>
      <c r="AI182" s="879">
        <v>4676</v>
      </c>
      <c r="AJ182" s="879">
        <v>5174</v>
      </c>
      <c r="AK182" s="1220">
        <f>4287+580+550</f>
        <v>5417</v>
      </c>
      <c r="AL182" s="1220">
        <f>4925+670+270</f>
        <v>5865</v>
      </c>
      <c r="AM182" s="1220">
        <f>4923+690+250</f>
        <v>5863</v>
      </c>
      <c r="AN182" s="880">
        <f t="shared" ref="AN182:AQ182" si="1532">+AN537</f>
        <v>6100.8194507539883</v>
      </c>
      <c r="AO182" s="880">
        <f t="shared" si="1532"/>
        <v>6061.7430035108173</v>
      </c>
      <c r="AP182" s="880">
        <f t="shared" si="1532"/>
        <v>6769.3968607196439</v>
      </c>
      <c r="AQ182" s="880">
        <f t="shared" si="1532"/>
        <v>6714.7796282701192</v>
      </c>
      <c r="BB182" s="879">
        <v>5605</v>
      </c>
      <c r="BC182" s="879">
        <v>5095</v>
      </c>
      <c r="BD182" s="879">
        <v>6202</v>
      </c>
      <c r="BE182" s="879">
        <v>8288</v>
      </c>
      <c r="BF182" s="879"/>
      <c r="BG182" s="879">
        <v>6183</v>
      </c>
      <c r="BH182" s="880">
        <f>+SUM(H182:K182)</f>
        <v>8815</v>
      </c>
      <c r="BI182" s="880">
        <f>+SUM(L182:O182)</f>
        <v>10610</v>
      </c>
      <c r="BJ182" s="880">
        <v>12820</v>
      </c>
      <c r="BK182" s="880">
        <f>SUM(T182:W182)</f>
        <v>15911</v>
      </c>
      <c r="BL182" s="880">
        <f>SUM(X182:AA182)</f>
        <v>19439</v>
      </c>
      <c r="BM182" s="880">
        <f t="shared" si="1529"/>
        <v>20975</v>
      </c>
      <c r="BN182" s="880">
        <f t="shared" si="1530"/>
        <v>16831.72</v>
      </c>
      <c r="BO182" s="880">
        <f t="shared" si="1528"/>
        <v>22319</v>
      </c>
      <c r="BP182" s="880">
        <f t="shared" si="1531"/>
        <v>25646.738943254571</v>
      </c>
    </row>
    <row r="183" spans="2:75" ht="11.45">
      <c r="B183" t="s">
        <v>340</v>
      </c>
      <c r="H183" s="905">
        <v>0</v>
      </c>
      <c r="I183" s="905">
        <v>0</v>
      </c>
      <c r="J183" s="905">
        <v>0</v>
      </c>
      <c r="K183" s="905">
        <v>-306</v>
      </c>
      <c r="L183" s="905">
        <v>0</v>
      </c>
      <c r="M183" s="905">
        <v>0</v>
      </c>
      <c r="N183" s="905">
        <v>0</v>
      </c>
      <c r="O183" s="905">
        <v>0</v>
      </c>
      <c r="P183" s="905">
        <v>0</v>
      </c>
      <c r="Q183" s="905">
        <v>0</v>
      </c>
      <c r="R183" s="905">
        <v>0</v>
      </c>
      <c r="S183" s="905">
        <f>+BJ183-SUM(P183:R183)</f>
        <v>0</v>
      </c>
      <c r="T183" s="905">
        <v>0</v>
      </c>
      <c r="U183" s="905">
        <v>0</v>
      </c>
      <c r="V183" s="905">
        <v>0</v>
      </c>
      <c r="W183" s="905">
        <v>0</v>
      </c>
      <c r="X183" s="905">
        <v>0</v>
      </c>
      <c r="Y183" s="905">
        <v>0</v>
      </c>
      <c r="Z183" s="905">
        <v>0</v>
      </c>
      <c r="AA183" s="906">
        <v>0</v>
      </c>
      <c r="AB183" s="906">
        <v>0</v>
      </c>
      <c r="AC183" s="906">
        <v>0</v>
      </c>
      <c r="AD183" s="906">
        <v>0</v>
      </c>
      <c r="AE183" s="906">
        <v>0</v>
      </c>
      <c r="AF183" s="906">
        <v>0</v>
      </c>
      <c r="AG183" s="906">
        <v>0</v>
      </c>
      <c r="AH183" s="906">
        <v>0</v>
      </c>
      <c r="AI183" s="906">
        <v>0</v>
      </c>
      <c r="AJ183" s="906">
        <v>0</v>
      </c>
      <c r="AK183" s="906">
        <v>0</v>
      </c>
      <c r="AL183" s="906">
        <v>0</v>
      </c>
      <c r="AM183" s="906">
        <v>0</v>
      </c>
      <c r="AN183" s="906">
        <f>+AN207*AN151</f>
        <v>0</v>
      </c>
      <c r="AO183" s="906">
        <f>+AO207*AO151</f>
        <v>0</v>
      </c>
      <c r="AP183" s="906">
        <f>+AP207*AP151</f>
        <v>0</v>
      </c>
      <c r="AQ183" s="906">
        <f>+AQ207*AQ151</f>
        <v>0</v>
      </c>
      <c r="BB183" s="905">
        <v>-338</v>
      </c>
      <c r="BC183" s="905">
        <v>0</v>
      </c>
      <c r="BD183" s="905">
        <v>-6643</v>
      </c>
      <c r="BE183" s="905">
        <v>-6707</v>
      </c>
      <c r="BF183" s="905"/>
      <c r="BG183" s="905">
        <v>-1110</v>
      </c>
      <c r="BH183" s="906">
        <f>+SUM(H183:K183)</f>
        <v>-306</v>
      </c>
      <c r="BI183" s="906">
        <f>+SUM(L183:O183)</f>
        <v>0</v>
      </c>
      <c r="BJ183" s="906">
        <v>0</v>
      </c>
      <c r="BK183" s="906">
        <f>SUM(T183:W183)</f>
        <v>0</v>
      </c>
      <c r="BL183" s="906">
        <f>SUM(X183:AA183)</f>
        <v>0</v>
      </c>
      <c r="BM183" s="906">
        <f t="shared" si="1529"/>
        <v>0</v>
      </c>
      <c r="BN183" s="10">
        <f t="shared" si="1530"/>
        <v>0</v>
      </c>
      <c r="BO183" s="10">
        <f t="shared" si="1528"/>
        <v>0</v>
      </c>
      <c r="BP183" s="10">
        <f t="shared" si="1531"/>
        <v>0</v>
      </c>
    </row>
    <row r="184" spans="2:75" s="1" customFormat="1" ht="10.5">
      <c r="B184" s="882" t="s">
        <v>352</v>
      </c>
      <c r="H184" s="838">
        <f>SUM(H180:H183)</f>
        <v>6715</v>
      </c>
      <c r="I184" s="838">
        <f t="shared" ref="I184" si="1533">SUM(I180:I183)</f>
        <v>7905</v>
      </c>
      <c r="J184" s="838">
        <f t="shared" ref="J184" si="1534">SUM(J180:J183)</f>
        <v>6723</v>
      </c>
      <c r="K184" s="838">
        <f t="shared" ref="K184" si="1535">SUM(K180:K183)</f>
        <v>7682</v>
      </c>
      <c r="L184" s="838">
        <f t="shared" ref="L184" si="1536">SUM(L180:L183)</f>
        <v>7708</v>
      </c>
      <c r="M184" s="838">
        <f t="shared" ref="M184" si="1537">SUM(M180:M183)</f>
        <v>8679</v>
      </c>
      <c r="N184" s="838">
        <f t="shared" ref="N184" si="1538">SUM(N180:N183)</f>
        <v>8292</v>
      </c>
      <c r="O184" s="838">
        <f t="shared" ref="O184:P184" si="1539">SUM(O180:O183)</f>
        <v>10379</v>
      </c>
      <c r="P184" s="838">
        <f t="shared" si="1539"/>
        <v>9955</v>
      </c>
      <c r="Q184" s="838">
        <f t="shared" ref="Q184:V184" si="1540">SUM(Q180:Q183)</f>
        <v>10258</v>
      </c>
      <c r="R184" s="838">
        <f t="shared" si="1540"/>
        <v>10341</v>
      </c>
      <c r="S184" s="838">
        <f t="shared" si="1540"/>
        <v>12405</v>
      </c>
      <c r="T184" s="838">
        <f t="shared" si="1540"/>
        <v>12686</v>
      </c>
      <c r="U184" s="838">
        <f t="shared" si="1540"/>
        <v>13891</v>
      </c>
      <c r="V184" s="838">
        <f t="shared" si="1540"/>
        <v>12975</v>
      </c>
      <c r="W184" s="838">
        <f t="shared" ref="W184" si="1541">SUM(W180:W183)</f>
        <v>13407</v>
      </c>
      <c r="X184" s="838">
        <f>SUM(X180:X183)</f>
        <v>15876</v>
      </c>
      <c r="Y184" s="838">
        <f t="shared" ref="Y184:AB184" si="1542">SUM(Y180:Y183)</f>
        <v>17897</v>
      </c>
      <c r="Z184" s="838">
        <f t="shared" si="1542"/>
        <v>17048</v>
      </c>
      <c r="AA184" s="838">
        <f t="shared" si="1542"/>
        <v>19095</v>
      </c>
      <c r="AB184" s="838">
        <f t="shared" si="1542"/>
        <v>20238</v>
      </c>
      <c r="AC184" s="838">
        <f t="shared" ref="AC184" si="1543">SUM(AC180:AC183)</f>
        <v>22247</v>
      </c>
      <c r="AD184" s="838">
        <f t="shared" ref="AD184:AE184" si="1544">SUM(AD180:AD183)</f>
        <v>20364</v>
      </c>
      <c r="AE184" s="838">
        <f t="shared" si="1544"/>
        <v>20534</v>
      </c>
      <c r="AF184" s="838">
        <f t="shared" ref="AF184:AI184" si="1545">SUM(AF180:AF183)</f>
        <v>21518</v>
      </c>
      <c r="AG184" s="838">
        <f t="shared" si="1545"/>
        <v>21569.774000000001</v>
      </c>
      <c r="AH184" s="838">
        <f t="shared" si="1545"/>
        <v>22352</v>
      </c>
      <c r="AI184" s="838">
        <f t="shared" si="1545"/>
        <v>24254</v>
      </c>
      <c r="AJ184" s="838">
        <f t="shared" ref="AJ184:AM184" si="1546">SUM(AJ180:AJ183)</f>
        <v>26895</v>
      </c>
      <c r="AK184" s="838">
        <f t="shared" si="1546"/>
        <v>28162</v>
      </c>
      <c r="AL184" s="838">
        <f t="shared" si="1546"/>
        <v>28521</v>
      </c>
      <c r="AM184" s="838">
        <f t="shared" si="1546"/>
        <v>28865</v>
      </c>
      <c r="AN184" s="838">
        <f t="shared" ref="AN184:AQ184" si="1547">SUM(AN180:AN183)</f>
        <v>31792.071747707938</v>
      </c>
      <c r="AO184" s="838">
        <f t="shared" si="1547"/>
        <v>33184.293051057095</v>
      </c>
      <c r="AP184" s="838">
        <f t="shared" si="1547"/>
        <v>33877.239026210489</v>
      </c>
      <c r="AQ184" s="838">
        <f t="shared" si="1547"/>
        <v>34436.744665397717</v>
      </c>
      <c r="BB184" s="838">
        <f t="shared" ref="BB184:BC184" si="1548">SUM(BB180:BB183)</f>
        <v>27886</v>
      </c>
      <c r="BC184" s="838">
        <f t="shared" si="1548"/>
        <v>28172</v>
      </c>
      <c r="BD184" s="838">
        <f>SUM(BD180:BD183)</f>
        <v>21292</v>
      </c>
      <c r="BE184" s="838">
        <f>SUM(BE180:BE183)</f>
        <v>22632</v>
      </c>
      <c r="BF184" s="838"/>
      <c r="BG184" s="838">
        <f>SUM(BG180:BG183)</f>
        <v>26078</v>
      </c>
      <c r="BH184" s="907">
        <f>+SUM(H184:K184)</f>
        <v>29025</v>
      </c>
      <c r="BI184" s="907">
        <f>+SUM(L184:O184)</f>
        <v>35058</v>
      </c>
      <c r="BJ184" s="907">
        <f>+SUM(BJ180:BJ183)</f>
        <v>42959</v>
      </c>
      <c r="BK184" s="907">
        <f t="shared" ref="BK184:BL184" si="1549">+SUM(BK180:BK183)</f>
        <v>52959</v>
      </c>
      <c r="BL184" s="907">
        <f t="shared" si="1549"/>
        <v>69916</v>
      </c>
      <c r="BM184" s="907">
        <f t="shared" ref="BM184" si="1550">+SUM(BM180:BM183)</f>
        <v>83383</v>
      </c>
      <c r="BN184" s="838">
        <f t="shared" ref="BN184" si="1551">SUM(BN180:BN183)</f>
        <v>89693.774000000005</v>
      </c>
      <c r="BO184" s="838">
        <f t="shared" si="1528"/>
        <v>112443</v>
      </c>
      <c r="BP184" s="838">
        <f t="shared" si="1531"/>
        <v>133290.34849037323</v>
      </c>
      <c r="BR184" s="1" t="s">
        <v>353</v>
      </c>
    </row>
    <row r="185" spans="2:75" ht="10.5">
      <c r="X185" s="826"/>
      <c r="AE185" s="987"/>
      <c r="AF185" s="987"/>
      <c r="AG185" s="987"/>
      <c r="AH185" s="987"/>
      <c r="AI185" s="987"/>
      <c r="BR185" s="838">
        <v>23717.8</v>
      </c>
      <c r="BS185" s="838">
        <v>24341.3</v>
      </c>
      <c r="BT185" s="838">
        <v>23850</v>
      </c>
      <c r="BU185" s="838">
        <v>25901.7</v>
      </c>
      <c r="BW185" s="874"/>
    </row>
    <row r="186" spans="2:75" s="3" customFormat="1">
      <c r="B186" s="883" t="s">
        <v>113</v>
      </c>
    </row>
    <row r="187" spans="2:75" s="3" customFormat="1">
      <c r="B187" s="884" t="str">
        <f>+B180</f>
        <v>Productivity and Business Processes</v>
      </c>
      <c r="L187" s="228">
        <f t="shared" ref="L187:O189" si="1552">+IFERROR(L180/H180-1,"n/a ")</f>
        <v>3.4767641996557686E-2</v>
      </c>
      <c r="M187" s="228">
        <f t="shared" si="1552"/>
        <v>9.3023255813953432E-2</v>
      </c>
      <c r="N187" s="228">
        <f t="shared" si="1552"/>
        <v>0.22637795275590555</v>
      </c>
      <c r="O187" s="228">
        <f t="shared" si="1552"/>
        <v>0.19889311656866138</v>
      </c>
      <c r="P187" s="228">
        <f t="shared" ref="P187:P191" si="1553">+IFERROR(P180/L180-1,"n/a ")</f>
        <v>0.29108449767132405</v>
      </c>
      <c r="Q187" s="228">
        <f t="shared" ref="Q187:Q191" si="1554">+IFERROR(Q180/M180-1,"n/a ")</f>
        <v>0.20317650584357216</v>
      </c>
      <c r="R187" s="228">
        <f t="shared" ref="R187:R189" si="1555">+IFERROR(R180/N180-1,"n/a ")</f>
        <v>0.27736757624398067</v>
      </c>
      <c r="S187" s="228">
        <f t="shared" ref="S187:S189" si="1556">+IFERROR(S180/O180-1,"n/a ")</f>
        <v>0.25331794575879973</v>
      </c>
      <c r="T187" s="228">
        <f t="shared" ref="T187:T189" si="1557">+IFERROR(T180/P180-1,"n/a ")</f>
        <v>0.23215666065447049</v>
      </c>
      <c r="U187" s="228">
        <f t="shared" ref="U187:U189" si="1558">+IFERROR(U180/Q180-1,"n/a ")</f>
        <v>0.29066002490660026</v>
      </c>
      <c r="V187" s="228">
        <f t="shared" ref="V187:V189" si="1559">+IFERROR(V180/R180-1,"n/a ")</f>
        <v>0.20331741643629053</v>
      </c>
      <c r="W187" s="228">
        <f t="shared" ref="W187:W189" si="1560">+IFERROR(W180/S180-1,"n/a ")</f>
        <v>-8.5635359116022047E-2</v>
      </c>
      <c r="X187" s="228">
        <f t="shared" ref="X187:X189" si="1561">+IFERROR(X180/T180-1,"n/a ")</f>
        <v>0.193224592220828</v>
      </c>
      <c r="Y187" s="228">
        <f t="shared" ref="Y187:Y189" si="1562">+IFERROR(Y180/U180-1,"n/a ")</f>
        <v>0.1927827093786183</v>
      </c>
      <c r="Z187" s="228">
        <f t="shared" ref="Z187:Z189" si="1563">+IFERROR(Z180/V180-1,"n/a ")</f>
        <v>0.25918964076858808</v>
      </c>
      <c r="AA187" s="228">
        <f t="shared" ref="AA187:AA189" si="1564">+IFERROR(AA180/W180-1,"n/a ")</f>
        <v>0.6200906344410877</v>
      </c>
      <c r="AB187" s="228">
        <f t="shared" ref="AB187:AB189" si="1565">+IFERROR(AB180/X180-1,"n/a ")</f>
        <v>0.32860147213459512</v>
      </c>
      <c r="AC187" s="228">
        <f t="shared" ref="AC187:AC189" si="1566">+IFERROR(AC180/Y180-1,"n/a ")</f>
        <v>0.24381168095777372</v>
      </c>
      <c r="AD187" s="228">
        <f t="shared" ref="AD187:AD189" si="1567">+IFERROR(AD180/Z180-1,"n/a ")</f>
        <v>0.19157405871620492</v>
      </c>
      <c r="AE187" s="228">
        <f t="shared" ref="AE187:AE189" si="1568">+IFERROR(AE180/AA180-1,"n/a ")</f>
        <v>0.12416472416472413</v>
      </c>
      <c r="AF187" s="228">
        <f t="shared" ref="AF187:AF189" si="1569">+IFERROR(AF180/AB180-1,"n/a ")</f>
        <v>9.787626962142193E-2</v>
      </c>
      <c r="AG187" s="228">
        <f t="shared" ref="AG187:AG189" si="1570">+IFERROR(AG180/AC180-1,"n/a ")</f>
        <v>9.1345473465140437E-2</v>
      </c>
      <c r="AH187" s="228">
        <f t="shared" ref="AH187:AH189" si="1571">+IFERROR(AH180/AD180-1,"n/a ")</f>
        <v>0.20253340757238303</v>
      </c>
      <c r="AI187" s="228">
        <f t="shared" ref="AI187:AJ189" si="1572">+IFERROR(AI180/AE180-1,"n/a ")</f>
        <v>0.25131324301907654</v>
      </c>
      <c r="AJ187" s="228">
        <f t="shared" si="1572"/>
        <v>0.19788537786855698</v>
      </c>
      <c r="AK187" s="228">
        <f t="shared" ref="AK187:AK189" si="1573">+IFERROR(AK180/AG180-1,"n/a ")</f>
        <v>0.22570636633126218</v>
      </c>
      <c r="AL187" s="228">
        <f t="shared" ref="AL187:AL189" si="1574">+IFERROR(AL180/AH180-1,"n/a ")</f>
        <v>0.17409422386850326</v>
      </c>
      <c r="AM187" s="228">
        <f t="shared" ref="AM187:AM189" si="1575">+IFERROR(AM180/AI180-1,"n/a ")</f>
        <v>0.12052585064074228</v>
      </c>
      <c r="AN187" s="228">
        <f t="shared" ref="AN187:AN189" si="1576">+IFERROR(AN180/AJ180-1,"n/a ")</f>
        <v>0.1277741569438291</v>
      </c>
      <c r="AO187" s="228">
        <f t="shared" ref="AO187:AO189" si="1577">+IFERROR(AO180/AK180-1,"n/a ")</f>
        <v>0.12804681070648694</v>
      </c>
      <c r="AP187" s="228">
        <f t="shared" ref="AP187:AP189" si="1578">+IFERROR(AP180/AL180-1,"n/a ")</f>
        <v>0.12868799352330496</v>
      </c>
      <c r="AQ187" s="228">
        <f t="shared" ref="AQ187:AQ189" si="1579">+IFERROR(AQ180/AM180-1,"n/a ")</f>
        <v>0.12872632852866595</v>
      </c>
      <c r="AR187" s="228"/>
      <c r="AS187" s="228"/>
      <c r="AT187" s="228"/>
      <c r="AU187" s="228"/>
      <c r="AV187" s="228"/>
      <c r="AW187" s="228"/>
      <c r="AX187" s="228"/>
      <c r="AY187" s="228"/>
      <c r="AZ187" s="228"/>
      <c r="BA187" s="228"/>
      <c r="BB187" s="228"/>
      <c r="BC187" s="228">
        <f t="shared" ref="BC187:BE191" si="1580">+IFERROR(BC180/BB180-1,"n/a ")</f>
        <v>-6.343046637973615E-2</v>
      </c>
      <c r="BD187" s="228">
        <f t="shared" si="1580"/>
        <v>-6.4486967003164031E-2</v>
      </c>
      <c r="BE187" s="228">
        <f t="shared" si="1580"/>
        <v>-4.0666774037687259E-2</v>
      </c>
      <c r="BF187" s="228"/>
      <c r="BG187" s="829">
        <f t="shared" ref="BG187:BG191" si="1581">+BD187</f>
        <v>-6.4486967003164031E-2</v>
      </c>
      <c r="BH187" s="228">
        <f t="shared" ref="BH187:BJ191" si="1582">+IFERROR(BH180/BG180-1,"n/a ")</f>
        <v>-3.1218101395032338E-2</v>
      </c>
      <c r="BI187" s="228">
        <f t="shared" si="1582"/>
        <v>0.13477917288611829</v>
      </c>
      <c r="BJ187" s="228">
        <f t="shared" si="1582"/>
        <v>0.25495202723614985</v>
      </c>
      <c r="BK187" s="228">
        <f t="shared" ref="BK187:BK189" si="1583">+IFERROR(BK180/BJ180-1,"n/a ")</f>
        <v>0.15444848634317765</v>
      </c>
      <c r="BL187" s="228">
        <f t="shared" ref="BL187:BL189" si="1584">+IFERROR(BL180/BK180-1,"n/a ")</f>
        <v>0.30052339243751325</v>
      </c>
      <c r="BM187" s="228">
        <f t="shared" ref="BM187:BM189" si="1585">+IFERROR(BM180/BL180-1,"n/a ")</f>
        <v>0.21912857788181173</v>
      </c>
      <c r="BN187" s="228">
        <f t="shared" ref="BN187:BN189" si="1586">+IFERROR(BN180/BM180-1,"n/a ")</f>
        <v>0.15889998989456644</v>
      </c>
      <c r="BO187" s="228">
        <f t="shared" ref="BO187:BO189" si="1587">+IFERROR(BO180/BN180-1,"n/a ")</f>
        <v>0.17834231245289844</v>
      </c>
      <c r="BP187" s="228">
        <f t="shared" ref="BP187:BP189" si="1588">+IFERROR(BP180/BO180-1,"n/a ")</f>
        <v>0.12831019276291622</v>
      </c>
    </row>
    <row r="188" spans="2:75" s="3" customFormat="1">
      <c r="B188" s="884" t="str">
        <f>+B181</f>
        <v>Intelligent Cloud</v>
      </c>
      <c r="L188" s="228">
        <f t="shared" si="1552"/>
        <v>0.20258863252673054</v>
      </c>
      <c r="M188" s="228">
        <f t="shared" si="1552"/>
        <v>0.23614142295940632</v>
      </c>
      <c r="N188" s="228">
        <f t="shared" si="1552"/>
        <v>0.23556797020484166</v>
      </c>
      <c r="O188" s="228">
        <f t="shared" si="1552"/>
        <v>0.34008931638612161</v>
      </c>
      <c r="P188" s="228">
        <f t="shared" si="1553"/>
        <v>0.37154890032756205</v>
      </c>
      <c r="Q188" s="228">
        <f t="shared" si="1554"/>
        <v>0.15783898305084754</v>
      </c>
      <c r="R188" s="228">
        <f t="shared" si="1555"/>
        <v>0.20874152223059528</v>
      </c>
      <c r="S188" s="228">
        <f t="shared" si="1556"/>
        <v>0.15406306075365284</v>
      </c>
      <c r="T188" s="228">
        <f t="shared" si="1557"/>
        <v>0.32685090412828388</v>
      </c>
      <c r="U188" s="228">
        <f t="shared" si="1558"/>
        <v>0.38182372674595921</v>
      </c>
      <c r="V188" s="228">
        <f t="shared" si="1559"/>
        <v>0.42144638403990031</v>
      </c>
      <c r="W188" s="228">
        <f t="shared" si="1560"/>
        <v>0.18702798756108385</v>
      </c>
      <c r="X188" s="228">
        <f t="shared" si="1561"/>
        <v>0.39418873746464378</v>
      </c>
      <c r="Y188" s="228">
        <f t="shared" si="1562"/>
        <v>0.43279629220922544</v>
      </c>
      <c r="Z188" s="228">
        <f t="shared" si="1563"/>
        <v>0.40899122807017552</v>
      </c>
      <c r="AA188" s="228">
        <f t="shared" si="1564"/>
        <v>0.45714820359281427</v>
      </c>
      <c r="AB188" s="228">
        <f t="shared" si="1565"/>
        <v>0.39468830689782375</v>
      </c>
      <c r="AC188" s="228">
        <f t="shared" si="1566"/>
        <v>0.26263093037584717</v>
      </c>
      <c r="AD188" s="228">
        <f t="shared" si="1567"/>
        <v>0.28887159533073925</v>
      </c>
      <c r="AE188" s="228">
        <f t="shared" si="1568"/>
        <v>0.11480672916399137</v>
      </c>
      <c r="AF188" s="228">
        <f t="shared" si="1569"/>
        <v>0.18725204972229559</v>
      </c>
      <c r="AG188" s="228">
        <f t="shared" si="1570"/>
        <v>0.15625106746370632</v>
      </c>
      <c r="AH188" s="228">
        <f t="shared" si="1571"/>
        <v>0.14430624320734209</v>
      </c>
      <c r="AI188" s="228">
        <f t="shared" si="1572"/>
        <v>0.21253311830434285</v>
      </c>
      <c r="AJ188" s="228">
        <f t="shared" si="1572"/>
        <v>0.30886611717531753</v>
      </c>
      <c r="AK188" s="228">
        <f t="shared" si="1573"/>
        <v>0.31475797627928026</v>
      </c>
      <c r="AL188" s="228">
        <f t="shared" si="1574"/>
        <v>0.32049387927395534</v>
      </c>
      <c r="AM188" s="228">
        <f t="shared" si="1575"/>
        <v>0.22164164924947749</v>
      </c>
      <c r="AN188" s="228">
        <f t="shared" si="1576"/>
        <v>0.22945655282307653</v>
      </c>
      <c r="AO188" s="228">
        <f t="shared" si="1577"/>
        <v>0.24562367757328984</v>
      </c>
      <c r="AP188" s="228">
        <f t="shared" si="1578"/>
        <v>0.25146326597809998</v>
      </c>
      <c r="AQ188" s="228">
        <f t="shared" si="1579"/>
        <v>0.26551783862363676</v>
      </c>
      <c r="AR188" s="228"/>
      <c r="AS188" s="228"/>
      <c r="AT188" s="228"/>
      <c r="AU188" s="228"/>
      <c r="AV188" s="228"/>
      <c r="AW188" s="228"/>
      <c r="AX188" s="228"/>
      <c r="AY188" s="228"/>
      <c r="AZ188" s="228"/>
      <c r="BA188" s="228"/>
      <c r="BB188" s="228"/>
      <c r="BC188" s="228">
        <f t="shared" si="1580"/>
        <v>0.16066777172626101</v>
      </c>
      <c r="BD188" s="228">
        <f t="shared" si="1580"/>
        <v>-4.9780679383862103E-2</v>
      </c>
      <c r="BE188" s="228">
        <f t="shared" si="1580"/>
        <v>-1.900161030595815E-2</v>
      </c>
      <c r="BF188" s="228"/>
      <c r="BG188" s="829">
        <f t="shared" si="1581"/>
        <v>-4.9780679383862103E-2</v>
      </c>
      <c r="BH188" s="228">
        <f t="shared" si="1582"/>
        <v>-1.3190615201643441E-2</v>
      </c>
      <c r="BI188" s="228">
        <f t="shared" si="1582"/>
        <v>0.26262736934370556</v>
      </c>
      <c r="BJ188" s="228">
        <f t="shared" si="1582"/>
        <v>0.20791391877820198</v>
      </c>
      <c r="BK188" s="228">
        <f t="shared" si="1583"/>
        <v>0.31637931034482758</v>
      </c>
      <c r="BL188" s="228">
        <f t="shared" si="1584"/>
        <v>0.42578039729316752</v>
      </c>
      <c r="BM188" s="228">
        <f t="shared" si="1585"/>
        <v>0.25243052897496754</v>
      </c>
      <c r="BN188" s="228">
        <f t="shared" si="1586"/>
        <v>0.17532440940069072</v>
      </c>
      <c r="BO188" s="228">
        <f t="shared" si="1587"/>
        <v>0.28930965611908532</v>
      </c>
      <c r="BP188" s="228">
        <f t="shared" si="1588"/>
        <v>0.24842518418260018</v>
      </c>
    </row>
    <row r="189" spans="2:75" s="3" customFormat="1">
      <c r="B189" s="884" t="str">
        <f>+B182</f>
        <v>More Personal Computing</v>
      </c>
      <c r="L189" s="228">
        <f t="shared" si="1552"/>
        <v>0.26168224299065423</v>
      </c>
      <c r="M189" s="228">
        <f t="shared" si="1552"/>
        <v>-1.991409605622807E-2</v>
      </c>
      <c r="N189" s="228">
        <f t="shared" si="1552"/>
        <v>0.23980343980343988</v>
      </c>
      <c r="O189" s="228">
        <f t="shared" si="1552"/>
        <v>0.37785910338517836</v>
      </c>
      <c r="P189" s="228">
        <f t="shared" si="1553"/>
        <v>0.22534113060428851</v>
      </c>
      <c r="Q189" s="228">
        <f t="shared" si="1554"/>
        <v>0.18087649402390449</v>
      </c>
      <c r="R189" s="228">
        <f t="shared" si="1555"/>
        <v>0.25009908838684103</v>
      </c>
      <c r="S189" s="228">
        <f t="shared" si="1556"/>
        <v>0.18160690571049143</v>
      </c>
      <c r="T189" s="228">
        <f t="shared" si="1557"/>
        <v>0.27744193445752474</v>
      </c>
      <c r="U189" s="228">
        <f t="shared" si="1558"/>
        <v>0.40958164642375161</v>
      </c>
      <c r="V189" s="228">
        <f t="shared" si="1559"/>
        <v>0.14996829422954971</v>
      </c>
      <c r="W189" s="228">
        <f t="shared" si="1560"/>
        <v>0.14948019106490595</v>
      </c>
      <c r="X189" s="228">
        <f t="shared" si="1561"/>
        <v>0.18256537982565391</v>
      </c>
      <c r="Y189" s="228">
        <f t="shared" si="1562"/>
        <v>0.2503590234561992</v>
      </c>
      <c r="Z189" s="228">
        <f t="shared" si="1563"/>
        <v>0.26661152467604077</v>
      </c>
      <c r="AA189" s="228">
        <f t="shared" si="1564"/>
        <v>0.1911513077487168</v>
      </c>
      <c r="AB189" s="228">
        <f t="shared" si="1565"/>
        <v>7.308340353833187E-2</v>
      </c>
      <c r="AC189" s="228">
        <f t="shared" si="1566"/>
        <v>0.21784073506891266</v>
      </c>
      <c r="AD189" s="228">
        <f t="shared" si="1567"/>
        <v>6.6390944710492006E-2</v>
      </c>
      <c r="AE189" s="228">
        <f t="shared" si="1568"/>
        <v>-5.2123948286476485E-2</v>
      </c>
      <c r="AF189" s="228">
        <f t="shared" si="1569"/>
        <v>-0.17232580961727184</v>
      </c>
      <c r="AG189" s="228">
        <f t="shared" si="1570"/>
        <v>-0.41815152467777428</v>
      </c>
      <c r="AH189" s="228">
        <f t="shared" si="1571"/>
        <v>-0.13512961828944681</v>
      </c>
      <c r="AI189" s="228">
        <f t="shared" si="1572"/>
        <v>1.2340333405499004E-2</v>
      </c>
      <c r="AJ189" s="228">
        <f t="shared" si="1572"/>
        <v>0.22693858193028227</v>
      </c>
      <c r="AK189" s="228">
        <f t="shared" si="1573"/>
        <v>0.46337378299817389</v>
      </c>
      <c r="AL189" s="228">
        <f t="shared" si="1574"/>
        <v>0.38423412792069866</v>
      </c>
      <c r="AM189" s="228">
        <f t="shared" si="1575"/>
        <v>0.2538494439692045</v>
      </c>
      <c r="AN189" s="228">
        <f t="shared" si="1576"/>
        <v>0.1791301605631983</v>
      </c>
      <c r="AO189" s="228">
        <f t="shared" si="1577"/>
        <v>0.11902215313103515</v>
      </c>
      <c r="AP189" s="228">
        <f t="shared" si="1578"/>
        <v>0.15420236329405701</v>
      </c>
      <c r="AQ189" s="228">
        <f t="shared" si="1579"/>
        <v>0.1452805096827765</v>
      </c>
      <c r="AR189" s="228"/>
      <c r="AS189" s="228"/>
      <c r="AT189" s="228"/>
      <c r="AU189" s="228"/>
      <c r="AV189" s="228"/>
      <c r="AW189" s="228"/>
      <c r="AX189" s="228"/>
      <c r="AY189" s="228"/>
      <c r="AZ189" s="228"/>
      <c r="BA189" s="228"/>
      <c r="BB189" s="228"/>
      <c r="BC189" s="228">
        <f t="shared" si="1580"/>
        <v>-9.099018733273867E-2</v>
      </c>
      <c r="BD189" s="228">
        <f t="shared" si="1580"/>
        <v>0.21727183513248272</v>
      </c>
      <c r="BE189" s="228">
        <f t="shared" si="1580"/>
        <v>0.3363431151241536</v>
      </c>
      <c r="BF189" s="228"/>
      <c r="BG189" s="829">
        <f t="shared" si="1581"/>
        <v>0.21727183513248272</v>
      </c>
      <c r="BH189" s="228">
        <f t="shared" si="1582"/>
        <v>0.4256833252466441</v>
      </c>
      <c r="BI189" s="228">
        <f t="shared" si="1582"/>
        <v>0.20363017583664211</v>
      </c>
      <c r="BJ189" s="228">
        <f t="shared" si="1582"/>
        <v>0.20829406220546653</v>
      </c>
      <c r="BK189" s="228">
        <f t="shared" si="1583"/>
        <v>0.24110764430577225</v>
      </c>
      <c r="BL189" s="228">
        <f t="shared" si="1584"/>
        <v>0.22173339199296094</v>
      </c>
      <c r="BM189" s="228">
        <f t="shared" si="1585"/>
        <v>7.9016410309172391E-2</v>
      </c>
      <c r="BN189" s="228">
        <f t="shared" si="1586"/>
        <v>-0.19753420738974969</v>
      </c>
      <c r="BO189" s="228">
        <f t="shared" si="1587"/>
        <v>0.32600827485248085</v>
      </c>
      <c r="BP189" s="228">
        <f t="shared" si="1588"/>
        <v>0.1490989266210212</v>
      </c>
    </row>
    <row r="190" spans="2:75" s="3" customFormat="1" ht="11.45">
      <c r="B190" s="884" t="str">
        <f>+B183</f>
        <v>Corporate and Other</v>
      </c>
      <c r="L190" s="840" t="str">
        <f>+IFERROR(L183/H183-1,"NA ")</f>
        <v xml:space="preserve">NA </v>
      </c>
      <c r="M190" s="840" t="str">
        <f t="shared" ref="M190:Q190" si="1589">+IFERROR(M183/I183-1,"NA ")</f>
        <v xml:space="preserve">NA </v>
      </c>
      <c r="N190" s="840" t="str">
        <f t="shared" si="1589"/>
        <v xml:space="preserve">NA </v>
      </c>
      <c r="O190" s="840">
        <f t="shared" si="1589"/>
        <v>-1</v>
      </c>
      <c r="P190" s="840" t="str">
        <f t="shared" si="1589"/>
        <v xml:space="preserve">NA </v>
      </c>
      <c r="Q190" s="840" t="str">
        <f t="shared" si="1589"/>
        <v xml:space="preserve">NA </v>
      </c>
      <c r="R190" s="840" t="str">
        <f t="shared" ref="R190" si="1590">+IFERROR(R183/N183-1,"NA ")</f>
        <v xml:space="preserve">NA </v>
      </c>
      <c r="S190" s="840" t="str">
        <f t="shared" ref="S190" si="1591">+IFERROR(S183/O183-1,"NA ")</f>
        <v xml:space="preserve">NA </v>
      </c>
      <c r="T190" s="840" t="str">
        <f t="shared" ref="T190" si="1592">+IFERROR(T183/P183-1,"NA ")</f>
        <v xml:space="preserve">NA </v>
      </c>
      <c r="U190" s="840" t="str">
        <f t="shared" ref="U190" si="1593">+IFERROR(U183/Q183-1,"NA ")</f>
        <v xml:space="preserve">NA </v>
      </c>
      <c r="V190" s="840" t="str">
        <f t="shared" ref="V190" si="1594">+IFERROR(V183/R183-1,"NA ")</f>
        <v xml:space="preserve">NA </v>
      </c>
      <c r="W190" s="840" t="str">
        <f t="shared" ref="W190" si="1595">+IFERROR(W183/S183-1,"NA ")</f>
        <v xml:space="preserve">NA </v>
      </c>
      <c r="X190" s="840" t="str">
        <f t="shared" ref="X190" si="1596">+IFERROR(X183/T183-1,"NA ")</f>
        <v xml:space="preserve">NA </v>
      </c>
      <c r="Y190" s="840" t="str">
        <f t="shared" ref="Y190" si="1597">+IFERROR(Y183/U183-1,"NA ")</f>
        <v xml:space="preserve">NA </v>
      </c>
      <c r="Z190" s="840" t="str">
        <f t="shared" ref="Z190" si="1598">+IFERROR(Z183/V183-1,"NA ")</f>
        <v xml:space="preserve">NA </v>
      </c>
      <c r="AA190" s="840" t="str">
        <f t="shared" ref="AA190" si="1599">+IFERROR(AA183/W183-1,"NA ")</f>
        <v xml:space="preserve">NA </v>
      </c>
      <c r="AB190" s="840" t="str">
        <f t="shared" ref="AB190" si="1600">+IFERROR(AB183/X183-1,"NA ")</f>
        <v xml:space="preserve">NA </v>
      </c>
      <c r="AC190" s="840" t="str">
        <f t="shared" ref="AC190" si="1601">+IFERROR(AC183/Y183-1,"NA ")</f>
        <v xml:space="preserve">NA </v>
      </c>
      <c r="AD190" s="840" t="str">
        <f t="shared" ref="AD190" si="1602">+IFERROR(AD183/Z183-1,"NA ")</f>
        <v xml:space="preserve">NA </v>
      </c>
      <c r="AE190" s="840" t="str">
        <f t="shared" ref="AE190" si="1603">+IFERROR(AE183/AA183-1,"NA ")</f>
        <v xml:space="preserve">NA </v>
      </c>
      <c r="AF190" s="840" t="str">
        <f t="shared" ref="AF190" si="1604">+IFERROR(AF183/AB183-1,"NA ")</f>
        <v xml:space="preserve">NA </v>
      </c>
      <c r="AG190" s="840" t="str">
        <f t="shared" ref="AG190" si="1605">+IFERROR(AG183/AC183-1,"NA ")</f>
        <v xml:space="preserve">NA </v>
      </c>
      <c r="AH190" s="840" t="str">
        <f t="shared" ref="AH190" si="1606">+IFERROR(AH183/AD183-1,"NA ")</f>
        <v xml:space="preserve">NA </v>
      </c>
      <c r="AI190" s="840" t="str">
        <f t="shared" ref="AI190:AJ190" si="1607">+IFERROR(AI183/AE183-1,"NA ")</f>
        <v xml:space="preserve">NA </v>
      </c>
      <c r="AJ190" s="840" t="str">
        <f t="shared" si="1607"/>
        <v xml:space="preserve">NA </v>
      </c>
      <c r="AK190" s="840" t="str">
        <f t="shared" ref="AK190" si="1608">+IFERROR(AK183/AG183-1,"NA ")</f>
        <v xml:space="preserve">NA </v>
      </c>
      <c r="AL190" s="840" t="str">
        <f t="shared" ref="AL190" si="1609">+IFERROR(AL183/AH183-1,"NA ")</f>
        <v xml:space="preserve">NA </v>
      </c>
      <c r="AM190" s="840" t="str">
        <f t="shared" ref="AM190" si="1610">+IFERROR(AM183/AI183-1,"NA ")</f>
        <v xml:space="preserve">NA </v>
      </c>
      <c r="AN190" s="840" t="str">
        <f t="shared" ref="AN190" si="1611">+IFERROR(AN183/AJ183-1,"NA ")</f>
        <v xml:space="preserve">NA </v>
      </c>
      <c r="AO190" s="840" t="str">
        <f t="shared" ref="AO190" si="1612">+IFERROR(AO183/AK183-1,"NA ")</f>
        <v xml:space="preserve">NA </v>
      </c>
      <c r="AP190" s="840" t="str">
        <f t="shared" ref="AP190" si="1613">+IFERROR(AP183/AL183-1,"NA ")</f>
        <v xml:space="preserve">NA </v>
      </c>
      <c r="AQ190" s="840" t="str">
        <f t="shared" ref="AQ190" si="1614">+IFERROR(AQ183/AM183-1,"NA ")</f>
        <v xml:space="preserve">NA </v>
      </c>
      <c r="AR190" s="840"/>
      <c r="AS190" s="840"/>
      <c r="AT190" s="840"/>
      <c r="AU190" s="840"/>
      <c r="AV190" s="840"/>
      <c r="AW190" s="840"/>
      <c r="AX190" s="840"/>
      <c r="AY190" s="840"/>
      <c r="AZ190" s="840"/>
      <c r="BA190" s="840"/>
      <c r="BB190" s="840"/>
      <c r="BC190" s="840">
        <f t="shared" si="1580"/>
        <v>-1</v>
      </c>
      <c r="BD190" s="840" t="str">
        <f>+IFERROR(BD183/BC183-1,"NA ")</f>
        <v xml:space="preserve">NA </v>
      </c>
      <c r="BE190" s="840">
        <f t="shared" si="1580"/>
        <v>9.6342014150232469E-3</v>
      </c>
      <c r="BF190" s="840"/>
      <c r="BG190" s="908" t="str">
        <f t="shared" si="1581"/>
        <v xml:space="preserve">NA </v>
      </c>
      <c r="BH190" s="840">
        <f t="shared" si="1582"/>
        <v>-0.72432432432432425</v>
      </c>
      <c r="BI190" s="840">
        <f t="shared" si="1582"/>
        <v>-1</v>
      </c>
      <c r="BJ190" s="840" t="str">
        <f>+IFERROR(BJ183/BI183-1,"NA ")</f>
        <v xml:space="preserve">NA </v>
      </c>
      <c r="BK190" s="840" t="str">
        <f t="shared" ref="BK190:BL190" si="1615">+IFERROR(BK183/BJ183-1,"NA ")</f>
        <v xml:space="preserve">NA </v>
      </c>
      <c r="BL190" s="840" t="str">
        <f t="shared" si="1615"/>
        <v xml:space="preserve">NA </v>
      </c>
      <c r="BM190" s="840" t="str">
        <f t="shared" ref="BM190" si="1616">+IFERROR(BM183/BL183-1,"NA ")</f>
        <v xml:space="preserve">NA </v>
      </c>
      <c r="BN190" s="840" t="str">
        <f t="shared" ref="BN190" si="1617">+IFERROR(BN183/BM183-1,"NA ")</f>
        <v xml:space="preserve">NA </v>
      </c>
      <c r="BO190" s="840" t="str">
        <f t="shared" ref="BO190" si="1618">+IFERROR(BO183/BN183-1,"NA ")</f>
        <v xml:space="preserve">NA </v>
      </c>
      <c r="BP190" s="840" t="str">
        <f t="shared" ref="BP190" si="1619">+IFERROR(BP183/BO183-1,"NA ")</f>
        <v xml:space="preserve">NA </v>
      </c>
    </row>
    <row r="191" spans="2:75" s="7" customFormat="1">
      <c r="B191" s="887" t="str">
        <f>+B184</f>
        <v>Total operating income</v>
      </c>
      <c r="L191" s="842">
        <f>+IFERROR(L184/H184-1,"n/a ")</f>
        <v>0.14787788533134782</v>
      </c>
      <c r="M191" s="842">
        <f>+IFERROR(M184/I184-1,"n/a ")</f>
        <v>9.7912713472485757E-2</v>
      </c>
      <c r="N191" s="842">
        <f>+IFERROR(N184/J184-1,"n/a ")</f>
        <v>0.23337795626952262</v>
      </c>
      <c r="O191" s="842">
        <f>+IFERROR(O184/K184-1,"n/a ")</f>
        <v>0.35108044780005199</v>
      </c>
      <c r="P191" s="842">
        <f t="shared" si="1553"/>
        <v>0.29151530877010901</v>
      </c>
      <c r="Q191" s="842">
        <f t="shared" si="1554"/>
        <v>0.18193340246572176</v>
      </c>
      <c r="R191" s="842">
        <f t="shared" ref="R191" si="1620">+IFERROR(R184/N184-1,"n/a ")</f>
        <v>0.2471056439942112</v>
      </c>
      <c r="S191" s="842">
        <f t="shared" ref="S191" si="1621">+IFERROR(S184/O184-1,"n/a ")</f>
        <v>0.19520184988919942</v>
      </c>
      <c r="T191" s="842">
        <f t="shared" ref="T191" si="1622">+IFERROR(T184/P184-1,"n/a ")</f>
        <v>0.27433450527373182</v>
      </c>
      <c r="U191" s="842">
        <f t="shared" ref="U191" si="1623">+IFERROR(U184/Q184-1,"n/a ")</f>
        <v>0.3541626047962565</v>
      </c>
      <c r="V191" s="842">
        <f t="shared" ref="V191" si="1624">+IFERROR(V184/R184-1,"n/a ")</f>
        <v>0.25471424427038003</v>
      </c>
      <c r="W191" s="842">
        <f t="shared" ref="W191" si="1625">+IFERROR(W184/S184-1,"n/a ")</f>
        <v>8.0773881499395461E-2</v>
      </c>
      <c r="X191" s="842">
        <f t="shared" ref="X191" si="1626">+IFERROR(X184/T184-1,"n/a ")</f>
        <v>0.25145830048872764</v>
      </c>
      <c r="Y191" s="842">
        <f t="shared" ref="Y191" si="1627">+IFERROR(Y184/U184-1,"n/a ")</f>
        <v>0.28838816499892017</v>
      </c>
      <c r="Z191" s="842">
        <f t="shared" ref="Z191" si="1628">+IFERROR(Z184/V184-1,"n/a ")</f>
        <v>0.31391136801541419</v>
      </c>
      <c r="AA191" s="842">
        <f t="shared" ref="AA191" si="1629">+IFERROR(AA184/W184-1,"n/a ")</f>
        <v>0.42425598567912282</v>
      </c>
      <c r="AB191" s="842">
        <f t="shared" ref="AB191" si="1630">+IFERROR(AB184/X184-1,"n/a ")</f>
        <v>0.27475434618291761</v>
      </c>
      <c r="AC191" s="842">
        <f t="shared" ref="AC191" si="1631">+IFERROR(AC184/Y184-1,"n/a ")</f>
        <v>0.24305749566966539</v>
      </c>
      <c r="AD191" s="842">
        <f t="shared" ref="AD191" si="1632">+IFERROR(AD184/Z184-1,"n/a ")</f>
        <v>0.19450961989676219</v>
      </c>
      <c r="AE191" s="842">
        <f t="shared" ref="AE191" si="1633">+IFERROR(AE184/AA184-1,"n/a ")</f>
        <v>7.5360041895784269E-2</v>
      </c>
      <c r="AF191" s="842">
        <f t="shared" ref="AF191" si="1634">+IFERROR(AF184/AB184-1,"n/a ")</f>
        <v>6.3247356458147941E-2</v>
      </c>
      <c r="AG191" s="842">
        <f t="shared" ref="AG191" si="1635">+IFERROR(AG184/AC184-1,"n/a ")</f>
        <v>-3.0441228030745671E-2</v>
      </c>
      <c r="AH191" s="842">
        <f t="shared" ref="AH191" si="1636">+IFERROR(AH184/AD184-1,"n/a ")</f>
        <v>9.7623256727558338E-2</v>
      </c>
      <c r="AI191" s="842">
        <f t="shared" ref="AI191:AJ191" si="1637">+IFERROR(AI184/AE184-1,"n/a ")</f>
        <v>0.18116294925489429</v>
      </c>
      <c r="AJ191" s="842">
        <f t="shared" si="1637"/>
        <v>0.2498838181987173</v>
      </c>
      <c r="AK191" s="842">
        <f t="shared" ref="AK191" si="1638">+IFERROR(AK184/AG184-1,"n/a ")</f>
        <v>0.30562332271075254</v>
      </c>
      <c r="AL191" s="842">
        <f t="shared" ref="AL191" si="1639">+IFERROR(AL184/AH184-1,"n/a ")</f>
        <v>0.2759931997136722</v>
      </c>
      <c r="AM191" s="842">
        <f t="shared" ref="AM191" si="1640">+IFERROR(AM184/AI184-1,"n/a ")</f>
        <v>0.19011297105632052</v>
      </c>
      <c r="AN191" s="842">
        <f t="shared" ref="AN191" si="1641">+IFERROR(AN184/AJ184-1,"n/a ")</f>
        <v>0.18208112094099049</v>
      </c>
      <c r="AO191" s="842">
        <f t="shared" ref="AO191" si="1642">+IFERROR(AO184/AK184-1,"n/a ")</f>
        <v>0.17833580892895018</v>
      </c>
      <c r="AP191" s="842">
        <f t="shared" ref="AP191" si="1643">+IFERROR(AP184/AL184-1,"n/a ")</f>
        <v>0.18779983262194477</v>
      </c>
      <c r="AQ191" s="842">
        <f t="shared" ref="AQ191" si="1644">+IFERROR(AQ184/AM184-1,"n/a ")</f>
        <v>0.19302770363407995</v>
      </c>
      <c r="AR191" s="842"/>
      <c r="AS191" s="842"/>
      <c r="AT191" s="842"/>
      <c r="AU191" s="842"/>
      <c r="AV191" s="842"/>
      <c r="AW191" s="842"/>
      <c r="AX191" s="842"/>
      <c r="AY191" s="842"/>
      <c r="AZ191" s="842"/>
      <c r="BA191" s="842"/>
      <c r="BB191" s="842"/>
      <c r="BC191" s="842">
        <f t="shared" si="1580"/>
        <v>1.025604245858136E-2</v>
      </c>
      <c r="BD191" s="842">
        <f t="shared" si="1580"/>
        <v>-0.24421411330398979</v>
      </c>
      <c r="BE191" s="842">
        <f t="shared" si="1580"/>
        <v>6.2934435468720684E-2</v>
      </c>
      <c r="BF191" s="842"/>
      <c r="BG191" s="1179">
        <f t="shared" si="1581"/>
        <v>-0.24421411330398979</v>
      </c>
      <c r="BH191" s="842">
        <f t="shared" si="1582"/>
        <v>0.11300713244880733</v>
      </c>
      <c r="BI191" s="842">
        <f t="shared" si="1582"/>
        <v>0.20785529715762263</v>
      </c>
      <c r="BJ191" s="842">
        <f t="shared" si="1582"/>
        <v>0.22536938787152727</v>
      </c>
      <c r="BK191" s="842">
        <f t="shared" ref="BK191" si="1645">+IFERROR(BK184/BJ184-1,"n/a ")</f>
        <v>0.23278009264647692</v>
      </c>
      <c r="BL191" s="842">
        <f t="shared" ref="BL191" si="1646">+IFERROR(BL184/BK184-1,"n/a ")</f>
        <v>0.3201910912215109</v>
      </c>
      <c r="BM191" s="842">
        <f t="shared" ref="BM191" si="1647">+IFERROR(BM184/BL184-1,"n/a ")</f>
        <v>0.19261685451112753</v>
      </c>
      <c r="BN191" s="842">
        <f t="shared" ref="BN191" si="1648">+IFERROR(BN184/BM184-1,"n/a ")</f>
        <v>7.5684180228583919E-2</v>
      </c>
      <c r="BO191" s="842">
        <f t="shared" ref="BO191" si="1649">+IFERROR(BO184/BN184-1,"n/a ")</f>
        <v>0.25363216403403865</v>
      </c>
      <c r="BP191" s="842">
        <f t="shared" ref="BP191" si="1650">+IFERROR(BP184/BO184-1,"n/a ")</f>
        <v>0.18540370223467217</v>
      </c>
    </row>
    <row r="192" spans="2:75" s="3" customFormat="1"/>
    <row r="193" spans="2:71" s="3" customFormat="1">
      <c r="B193" s="883" t="s">
        <v>354</v>
      </c>
    </row>
    <row r="194" spans="2:71" s="3" customFormat="1">
      <c r="B194" s="884" t="str">
        <f>+B187</f>
        <v>Productivity and Business Processes</v>
      </c>
      <c r="L194" s="228">
        <f t="shared" ref="L194:AK194" si="1651">+L272</f>
        <v>0.04</v>
      </c>
      <c r="M194" s="228">
        <f t="shared" si="1651"/>
        <v>0.1</v>
      </c>
      <c r="N194" s="228">
        <f t="shared" si="1651"/>
        <v>0.19</v>
      </c>
      <c r="O194" s="228">
        <f t="shared" si="1651"/>
        <v>0.13</v>
      </c>
      <c r="P194" s="228">
        <f t="shared" si="1651"/>
        <v>0.27</v>
      </c>
      <c r="Q194" s="228">
        <f t="shared" si="1651"/>
        <v>0.19</v>
      </c>
      <c r="R194" s="228">
        <f t="shared" si="1651"/>
        <v>0.3</v>
      </c>
      <c r="S194" s="228">
        <f t="shared" si="1651"/>
        <v>0.31</v>
      </c>
      <c r="T194" s="228">
        <f t="shared" si="1651"/>
        <v>0.27</v>
      </c>
      <c r="U194" s="228">
        <f t="shared" si="1651"/>
        <v>0.33</v>
      </c>
      <c r="V194" s="228">
        <f t="shared" si="1651"/>
        <v>0.23</v>
      </c>
      <c r="W194" s="228">
        <f t="shared" si="1651"/>
        <v>-0.05</v>
      </c>
      <c r="X194" s="228">
        <f t="shared" si="1651"/>
        <v>0.19</v>
      </c>
      <c r="Y194" s="228">
        <f t="shared" si="1651"/>
        <v>0.17</v>
      </c>
      <c r="Z194" s="228">
        <f t="shared" si="1651"/>
        <v>0.2</v>
      </c>
      <c r="AA194" s="228">
        <f t="shared" si="1651"/>
        <v>0.53</v>
      </c>
      <c r="AB194" s="228">
        <f t="shared" si="1651"/>
        <v>0.28999999999999998</v>
      </c>
      <c r="AC194" s="228">
        <f t="shared" si="1651"/>
        <v>0.24</v>
      </c>
      <c r="AD194" s="228">
        <f t="shared" si="1651"/>
        <v>0.23</v>
      </c>
      <c r="AE194" s="228">
        <f t="shared" si="1651"/>
        <v>0.19</v>
      </c>
      <c r="AF194" s="228">
        <f t="shared" si="1651"/>
        <v>0.19</v>
      </c>
      <c r="AG194" s="228">
        <f t="shared" si="1651"/>
        <v>0.20134547346514042</v>
      </c>
      <c r="AH194" s="228">
        <f t="shared" si="1651"/>
        <v>0.27</v>
      </c>
      <c r="AI194" s="228">
        <f t="shared" si="1651"/>
        <v>0.28999999999999998</v>
      </c>
      <c r="AJ194" s="228">
        <f t="shared" si="1651"/>
        <v>0.19</v>
      </c>
      <c r="AK194" s="228">
        <f t="shared" si="1651"/>
        <v>0.19570636633126218</v>
      </c>
      <c r="AL194" s="228">
        <f>+AL272</f>
        <v>0.16409422386850325</v>
      </c>
      <c r="AM194" s="228">
        <f t="shared" ref="AM194" si="1652">+AM272</f>
        <v>0.13052585064074229</v>
      </c>
      <c r="AN194" s="228"/>
      <c r="AO194" s="228"/>
      <c r="AP194" s="228"/>
      <c r="AQ194" s="228"/>
      <c r="AR194" s="228"/>
      <c r="AS194" s="228"/>
      <c r="AT194" s="228"/>
      <c r="AU194" s="228"/>
      <c r="AV194" s="228"/>
      <c r="AW194" s="228"/>
      <c r="AX194" s="228"/>
      <c r="AY194" s="228"/>
      <c r="AZ194" s="228"/>
      <c r="BA194" s="228"/>
      <c r="BB194" s="228"/>
      <c r="BC194" s="228"/>
      <c r="BD194" s="228"/>
      <c r="BE194" s="228"/>
      <c r="BF194" s="228"/>
      <c r="BG194" s="829"/>
      <c r="BH194" s="228"/>
      <c r="BI194" s="228">
        <f t="shared" ref="BI194:BM194" si="1653">+BI272</f>
        <v>0.11238300114145229</v>
      </c>
      <c r="BJ194" s="228">
        <f t="shared" si="1653"/>
        <v>0.26730191891055399</v>
      </c>
      <c r="BK194" s="228">
        <f t="shared" si="1653"/>
        <v>0.18933288118872929</v>
      </c>
      <c r="BL194" s="228">
        <f t="shared" si="1653"/>
        <v>0.25914761803033542</v>
      </c>
      <c r="BM194" s="228">
        <f t="shared" si="1653"/>
        <v>0.23602726787400929</v>
      </c>
      <c r="BN194" s="228">
        <f t="shared" ref="BN194:BO194" si="1654">+BN272</f>
        <v>0.49682725854319137</v>
      </c>
      <c r="BO194" s="228">
        <f t="shared" si="1654"/>
        <v>0.52151825959607245</v>
      </c>
      <c r="BP194" s="228"/>
    </row>
    <row r="195" spans="2:71" s="3" customFormat="1">
      <c r="B195" s="884" t="str">
        <f>+B188</f>
        <v>Intelligent Cloud</v>
      </c>
      <c r="L195" s="228">
        <f t="shared" ref="L195:AK195" si="1655">+L465</f>
        <v>0.2</v>
      </c>
      <c r="M195" s="228">
        <f t="shared" si="1655"/>
        <v>0.24</v>
      </c>
      <c r="N195" s="228">
        <f t="shared" si="1655"/>
        <v>0.21</v>
      </c>
      <c r="O195" s="228">
        <f t="shared" si="1655"/>
        <v>0.3</v>
      </c>
      <c r="P195" s="228">
        <f t="shared" si="1655"/>
        <v>0.35</v>
      </c>
      <c r="Q195" s="228">
        <f t="shared" si="1655"/>
        <v>0.15</v>
      </c>
      <c r="R195" s="228">
        <f t="shared" si="1655"/>
        <v>0.23</v>
      </c>
      <c r="S195" s="228">
        <f t="shared" si="1655"/>
        <v>0.19</v>
      </c>
      <c r="T195" s="228">
        <f t="shared" si="1655"/>
        <v>0.38</v>
      </c>
      <c r="U195" s="228">
        <f t="shared" si="1655"/>
        <v>0.42</v>
      </c>
      <c r="V195" s="228">
        <f t="shared" si="1655"/>
        <v>0.46</v>
      </c>
      <c r="W195" s="228">
        <f t="shared" si="1655"/>
        <v>0.22</v>
      </c>
      <c r="X195" s="228">
        <f t="shared" si="1655"/>
        <v>0.38</v>
      </c>
      <c r="Y195" s="228">
        <f t="shared" si="1655"/>
        <v>0.41</v>
      </c>
      <c r="Z195" s="228">
        <f t="shared" si="1655"/>
        <v>0.36</v>
      </c>
      <c r="AA195" s="228">
        <f t="shared" si="1655"/>
        <v>0.39</v>
      </c>
      <c r="AB195" s="228">
        <f t="shared" si="1655"/>
        <v>0.37</v>
      </c>
      <c r="AC195" s="228">
        <f t="shared" si="1655"/>
        <v>0.26</v>
      </c>
      <c r="AD195" s="228">
        <f t="shared" si="1655"/>
        <v>0.33</v>
      </c>
      <c r="AE195" s="228">
        <f t="shared" si="1655"/>
        <v>0.18</v>
      </c>
      <c r="AF195" s="228">
        <f t="shared" si="1655"/>
        <v>0.25</v>
      </c>
      <c r="AG195" s="228">
        <f t="shared" si="1655"/>
        <v>0.23625106746370633</v>
      </c>
      <c r="AH195" s="228">
        <f t="shared" si="1655"/>
        <v>0.17</v>
      </c>
      <c r="AI195" s="228">
        <f t="shared" si="1655"/>
        <v>0.22</v>
      </c>
      <c r="AJ195" s="228">
        <f t="shared" si="1655"/>
        <v>0.3</v>
      </c>
      <c r="AK195" s="228">
        <f t="shared" si="1655"/>
        <v>0.28475797627928023</v>
      </c>
      <c r="AL195" s="228">
        <f>+AL465</f>
        <v>0.32049387927395534</v>
      </c>
      <c r="AM195" s="228">
        <f t="shared" ref="AM195" si="1656">+AM465</f>
        <v>0.23</v>
      </c>
      <c r="AN195" s="228"/>
      <c r="AO195" s="228"/>
      <c r="AP195" s="228"/>
      <c r="AQ195" s="228"/>
      <c r="AR195" s="228"/>
      <c r="AS195" s="228"/>
      <c r="AT195" s="228"/>
      <c r="AU195" s="228"/>
      <c r="AV195" s="228"/>
      <c r="AW195" s="228"/>
      <c r="AX195" s="228"/>
      <c r="AY195" s="228"/>
      <c r="AZ195" s="228"/>
      <c r="BA195" s="228"/>
      <c r="BB195" s="228"/>
      <c r="BC195" s="228"/>
      <c r="BD195" s="228"/>
      <c r="BE195" s="228"/>
      <c r="BF195" s="228"/>
      <c r="BG195" s="829"/>
      <c r="BH195" s="228"/>
      <c r="BI195" s="228">
        <f t="shared" ref="BI195:BM195" si="1657">+BI465</f>
        <v>0.24428837515065191</v>
      </c>
      <c r="BJ195" s="228">
        <f t="shared" si="1657"/>
        <v>0.21905241235682055</v>
      </c>
      <c r="BK195" s="228">
        <f t="shared" si="1657"/>
        <v>0.35611206896551723</v>
      </c>
      <c r="BL195" s="228">
        <f t="shared" si="1657"/>
        <v>0.38535745470421301</v>
      </c>
      <c r="BM195" s="228">
        <f t="shared" si="1657"/>
        <v>0.27619880578733824</v>
      </c>
      <c r="BN195" s="228">
        <f t="shared" ref="BN195:BO195" si="1658">+BN465</f>
        <v>0.21835029491763702</v>
      </c>
      <c r="BO195" s="228">
        <f t="shared" si="1658"/>
        <v>0.28213416059529162</v>
      </c>
      <c r="BP195" s="228"/>
    </row>
    <row r="196" spans="2:71" s="3" customFormat="1">
      <c r="B196" s="884" t="str">
        <f>+B189</f>
        <v>More Personal Computing</v>
      </c>
      <c r="L196" s="228">
        <f t="shared" ref="L196:AK196" si="1659">+L539</f>
        <v>0.2</v>
      </c>
      <c r="M196" s="228">
        <f t="shared" si="1659"/>
        <v>0.24</v>
      </c>
      <c r="N196" s="228">
        <f t="shared" si="1659"/>
        <v>0.21</v>
      </c>
      <c r="O196" s="228">
        <f t="shared" si="1659"/>
        <v>0.3</v>
      </c>
      <c r="P196" s="228">
        <f t="shared" si="1659"/>
        <v>0.23</v>
      </c>
      <c r="Q196" s="228">
        <f t="shared" si="1659"/>
        <v>0.19</v>
      </c>
      <c r="R196" s="228">
        <f t="shared" si="1659"/>
        <v>0.28000000000000003</v>
      </c>
      <c r="S196" s="228">
        <f t="shared" si="1659"/>
        <v>0.22</v>
      </c>
      <c r="T196" s="228">
        <f t="shared" si="1659"/>
        <v>0.31</v>
      </c>
      <c r="U196" s="228">
        <f t="shared" si="1659"/>
        <v>0.45</v>
      </c>
      <c r="V196" s="228">
        <f t="shared" si="1659"/>
        <v>0.17</v>
      </c>
      <c r="W196" s="228">
        <f t="shared" si="1659"/>
        <v>0.19</v>
      </c>
      <c r="X196" s="228">
        <f t="shared" si="1659"/>
        <v>0.18</v>
      </c>
      <c r="Y196" s="228">
        <f t="shared" si="1659"/>
        <v>0.22</v>
      </c>
      <c r="Z196" s="228">
        <f t="shared" si="1659"/>
        <v>0.22</v>
      </c>
      <c r="AA196" s="228">
        <f t="shared" si="1659"/>
        <v>0.13</v>
      </c>
      <c r="AB196" s="228">
        <f t="shared" si="1659"/>
        <v>0.05</v>
      </c>
      <c r="AC196" s="228">
        <f t="shared" si="1659"/>
        <v>0.21</v>
      </c>
      <c r="AD196" s="228">
        <f t="shared" si="1659"/>
        <v>0.1</v>
      </c>
      <c r="AE196" s="228">
        <f t="shared" si="1659"/>
        <v>0</v>
      </c>
      <c r="AF196" s="228">
        <f t="shared" si="1659"/>
        <v>-0.09</v>
      </c>
      <c r="AG196" s="228">
        <f t="shared" si="1659"/>
        <v>-0.34815152467777427</v>
      </c>
      <c r="AH196" s="228">
        <f t="shared" si="1659"/>
        <v>-7.0000000000000007E-2</v>
      </c>
      <c r="AI196" s="228">
        <f t="shared" si="1659"/>
        <v>0.06</v>
      </c>
      <c r="AJ196" s="228">
        <f t="shared" si="1659"/>
        <v>0.22</v>
      </c>
      <c r="AK196" s="228">
        <f t="shared" si="1659"/>
        <v>0.43337378299817386</v>
      </c>
      <c r="AL196" s="228">
        <f>+AL539</f>
        <v>0.37423412792069866</v>
      </c>
      <c r="AM196" s="228">
        <f t="shared" ref="AM196" si="1660">+AM539</f>
        <v>0.26384944396920451</v>
      </c>
      <c r="AN196" s="228"/>
      <c r="AO196" s="228"/>
      <c r="AP196" s="228"/>
      <c r="AQ196" s="228"/>
      <c r="AR196" s="228"/>
      <c r="AS196" s="228"/>
      <c r="AT196" s="228"/>
      <c r="AU196" s="228"/>
      <c r="AV196" s="228"/>
      <c r="AW196" s="228"/>
      <c r="AX196" s="228"/>
      <c r="AY196" s="228"/>
      <c r="AZ196" s="228"/>
      <c r="BA196" s="228"/>
      <c r="BB196" s="228"/>
      <c r="BC196" s="228"/>
      <c r="BD196" s="228"/>
      <c r="BE196" s="228"/>
      <c r="BF196" s="228"/>
      <c r="BG196" s="829"/>
      <c r="BH196" s="228"/>
      <c r="BI196" s="228">
        <f t="shared" ref="BI196:BM196" si="1661">+BI539</f>
        <v>0.23872830402722631</v>
      </c>
      <c r="BJ196" s="228">
        <f t="shared" si="1661"/>
        <v>0.22958812441093307</v>
      </c>
      <c r="BK196" s="228">
        <f t="shared" si="1661"/>
        <v>0.27461154446177849</v>
      </c>
      <c r="BL196" s="228">
        <f t="shared" si="1661"/>
        <v>0.18676575953742694</v>
      </c>
      <c r="BM196" s="228">
        <f t="shared" si="1661"/>
        <v>9.2280467102217198E-2</v>
      </c>
      <c r="BN196" s="228">
        <f t="shared" ref="BN196:BO196" si="1662">+BN539</f>
        <v>-0.1305973778307509</v>
      </c>
      <c r="BO196" s="228">
        <f t="shared" si="1662"/>
        <v>0.31793295040554381</v>
      </c>
      <c r="BP196" s="228"/>
    </row>
    <row r="197" spans="2:71" s="3" customFormat="1" ht="11.45">
      <c r="B197" s="884" t="str">
        <f>+B190</f>
        <v>Corporate and Other</v>
      </c>
      <c r="L197" s="840">
        <v>0</v>
      </c>
      <c r="M197" s="840">
        <v>0</v>
      </c>
      <c r="N197" s="840">
        <v>0</v>
      </c>
      <c r="O197" s="840">
        <v>0</v>
      </c>
      <c r="P197" s="840">
        <v>0</v>
      </c>
      <c r="Q197" s="840">
        <v>0</v>
      </c>
      <c r="R197" s="840">
        <v>0</v>
      </c>
      <c r="S197" s="840">
        <v>0</v>
      </c>
      <c r="T197" s="840">
        <v>0</v>
      </c>
      <c r="U197" s="840">
        <v>0</v>
      </c>
      <c r="V197" s="840">
        <v>0</v>
      </c>
      <c r="W197" s="840">
        <v>0</v>
      </c>
      <c r="X197" s="840">
        <v>0</v>
      </c>
      <c r="Y197" s="840">
        <v>0</v>
      </c>
      <c r="Z197" s="840">
        <v>0</v>
      </c>
      <c r="AA197" s="840">
        <v>0</v>
      </c>
      <c r="AB197" s="840">
        <v>0</v>
      </c>
      <c r="AC197" s="840">
        <v>0</v>
      </c>
      <c r="AD197" s="840">
        <v>0</v>
      </c>
      <c r="AE197" s="840">
        <v>0</v>
      </c>
      <c r="AF197" s="840">
        <v>0</v>
      </c>
      <c r="AG197" s="840">
        <v>0</v>
      </c>
      <c r="AH197" s="840">
        <v>0</v>
      </c>
      <c r="AI197" s="840">
        <v>0</v>
      </c>
      <c r="AJ197" s="840">
        <v>0</v>
      </c>
      <c r="AK197" s="840">
        <v>0</v>
      </c>
      <c r="AL197" s="840">
        <v>0</v>
      </c>
      <c r="AM197" s="840">
        <v>0</v>
      </c>
      <c r="AN197" s="840"/>
      <c r="AO197" s="840"/>
      <c r="AP197" s="840"/>
      <c r="AQ197" s="840"/>
      <c r="AR197" s="840"/>
      <c r="AS197" s="840"/>
      <c r="AT197" s="840"/>
      <c r="AU197" s="840"/>
      <c r="AV197" s="840"/>
      <c r="AW197" s="840"/>
      <c r="AX197" s="840"/>
      <c r="AY197" s="840"/>
      <c r="AZ197" s="840"/>
      <c r="BA197" s="840"/>
      <c r="BB197" s="840"/>
      <c r="BC197" s="840"/>
      <c r="BD197" s="840"/>
      <c r="BE197" s="840"/>
      <c r="BF197" s="840"/>
      <c r="BG197" s="908"/>
      <c r="BH197" s="840"/>
      <c r="BI197" s="840">
        <v>0</v>
      </c>
      <c r="BJ197" s="840">
        <v>0</v>
      </c>
      <c r="BK197" s="840">
        <v>0</v>
      </c>
      <c r="BL197" s="840">
        <v>0</v>
      </c>
      <c r="BM197" s="840">
        <v>0</v>
      </c>
      <c r="BN197" s="840">
        <v>0</v>
      </c>
      <c r="BO197" s="840">
        <v>0</v>
      </c>
      <c r="BP197" s="840"/>
    </row>
    <row r="198" spans="2:71" s="7" customFormat="1">
      <c r="B198" s="887" t="str">
        <f>+B191</f>
        <v>Total operating income</v>
      </c>
      <c r="L198" s="842">
        <f t="shared" ref="L198:AM198" si="1663">+L50</f>
        <v>0.15</v>
      </c>
      <c r="M198" s="842">
        <f t="shared" si="1663"/>
        <v>0.1</v>
      </c>
      <c r="N198" s="842">
        <f t="shared" si="1663"/>
        <v>0.2</v>
      </c>
      <c r="O198" s="842">
        <f t="shared" si="1663"/>
        <v>0.24</v>
      </c>
      <c r="P198" s="842">
        <f t="shared" si="1663"/>
        <v>0.28000000000000003</v>
      </c>
      <c r="Q198" s="842">
        <f t="shared" si="1663"/>
        <v>0.18</v>
      </c>
      <c r="R198" s="842">
        <f t="shared" si="1663"/>
        <v>0.27</v>
      </c>
      <c r="S198" s="842">
        <f t="shared" si="1663"/>
        <v>0.24</v>
      </c>
      <c r="T198" s="842">
        <f t="shared" si="1663"/>
        <v>0.32</v>
      </c>
      <c r="U198" s="842">
        <f t="shared" si="1663"/>
        <v>0.39</v>
      </c>
      <c r="V198" s="842">
        <f t="shared" si="1663"/>
        <v>0.28000000000000003</v>
      </c>
      <c r="W198" s="842">
        <f t="shared" si="1663"/>
        <v>0.19332527206771474</v>
      </c>
      <c r="X198" s="842">
        <f t="shared" si="1663"/>
        <v>0.25</v>
      </c>
      <c r="Y198" s="842">
        <f t="shared" si="1663"/>
        <v>0.26</v>
      </c>
      <c r="Z198" s="842">
        <f t="shared" si="1663"/>
        <v>0.27</v>
      </c>
      <c r="AA198" s="842">
        <f t="shared" si="1663"/>
        <v>0.35</v>
      </c>
      <c r="AB198" s="842">
        <f t="shared" si="1663"/>
        <v>0.24</v>
      </c>
      <c r="AC198" s="842">
        <f t="shared" si="1663"/>
        <v>0.24</v>
      </c>
      <c r="AD198" s="842">
        <f t="shared" si="1663"/>
        <v>0.23</v>
      </c>
      <c r="AE198" s="842">
        <f t="shared" si="1663"/>
        <v>0.14000000000000001</v>
      </c>
      <c r="AF198" s="842">
        <f t="shared" si="1663"/>
        <v>0.15</v>
      </c>
      <c r="AG198" s="842">
        <f t="shared" si="1663"/>
        <v>0.06</v>
      </c>
      <c r="AH198" s="842">
        <f t="shared" si="1663"/>
        <v>0.15</v>
      </c>
      <c r="AI198" s="842">
        <f t="shared" si="1663"/>
        <v>0.21</v>
      </c>
      <c r="AJ198" s="842">
        <f t="shared" si="1663"/>
        <v>0.24</v>
      </c>
      <c r="AK198" s="842">
        <f t="shared" si="1663"/>
        <v>0.27560964302271662</v>
      </c>
      <c r="AL198" s="842">
        <f t="shared" si="1663"/>
        <v>0.2759931997136722</v>
      </c>
      <c r="AM198" s="842">
        <f t="shared" si="1663"/>
        <v>0.20011297105632053</v>
      </c>
      <c r="AN198" s="842"/>
      <c r="AO198" s="842"/>
      <c r="AP198" s="842"/>
      <c r="AQ198" s="842"/>
      <c r="AR198" s="842"/>
      <c r="AS198" s="842"/>
      <c r="AT198" s="842"/>
      <c r="AU198" s="842"/>
      <c r="AV198" s="842"/>
      <c r="AW198" s="842"/>
      <c r="AX198" s="842"/>
      <c r="AY198" s="842"/>
      <c r="AZ198" s="842"/>
      <c r="BA198" s="842"/>
      <c r="BB198" s="842"/>
      <c r="BC198" s="842"/>
      <c r="BD198" s="842"/>
      <c r="BE198" s="842"/>
      <c r="BF198" s="842"/>
      <c r="BG198" s="1179"/>
      <c r="BH198" s="842"/>
      <c r="BI198" s="842">
        <f t="shared" ref="BI198:BO198" si="1664">+BI50</f>
        <v>0.17249565306331185</v>
      </c>
      <c r="BJ198" s="842">
        <f t="shared" si="1664"/>
        <v>0.24103656797307321</v>
      </c>
      <c r="BK198" s="842">
        <f t="shared" si="1664"/>
        <v>0.29050722782187671</v>
      </c>
      <c r="BL198" s="842">
        <f t="shared" si="1664"/>
        <v>0.28283879982628074</v>
      </c>
      <c r="BM198" s="842">
        <f t="shared" si="1664"/>
        <v>0.21025030036043252</v>
      </c>
      <c r="BN198" s="842">
        <f t="shared" si="1664"/>
        <v>0.14076322511782977</v>
      </c>
      <c r="BO198" s="842">
        <f t="shared" si="1664"/>
        <v>0.24674738555533252</v>
      </c>
      <c r="BP198" s="842"/>
    </row>
    <row r="199" spans="2:71" s="3" customFormat="1"/>
    <row r="200" spans="2:71" s="3" customFormat="1">
      <c r="B200" s="1239" t="s">
        <v>126</v>
      </c>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BC200" s="14"/>
      <c r="BD200" s="14"/>
      <c r="BE200" s="14"/>
      <c r="BF200" s="14"/>
      <c r="BG200" s="14"/>
      <c r="BH200" s="14"/>
      <c r="BI200" s="14"/>
      <c r="BJ200" s="14"/>
      <c r="BK200" s="14"/>
      <c r="BL200" s="14"/>
      <c r="BM200" s="14"/>
      <c r="BN200" s="14"/>
      <c r="BO200" s="14"/>
      <c r="BP200" s="14"/>
      <c r="BR200"/>
      <c r="BS200"/>
    </row>
    <row r="201" spans="2:71" s="3" customFormat="1">
      <c r="B201" s="1240" t="s">
        <v>350</v>
      </c>
      <c r="L201" s="23"/>
      <c r="M201" s="23"/>
      <c r="N201" s="23"/>
      <c r="O201" s="23"/>
      <c r="P201" s="23"/>
      <c r="Q201" s="23"/>
      <c r="R201" s="23"/>
      <c r="S201" s="23"/>
      <c r="T201" s="23"/>
      <c r="U201" s="23"/>
      <c r="V201" s="23"/>
      <c r="W201" s="23"/>
      <c r="X201" s="23"/>
      <c r="Y201" s="23"/>
      <c r="Z201" s="23"/>
      <c r="AA201" s="23"/>
      <c r="AB201" s="23">
        <f t="shared" ref="AB201:AK201" si="1665">+AB540</f>
        <v>0.05</v>
      </c>
      <c r="AC201" s="23">
        <f t="shared" si="1665"/>
        <v>0.21</v>
      </c>
      <c r="AD201" s="23">
        <f t="shared" si="1665"/>
        <v>0.1</v>
      </c>
      <c r="AE201" s="23">
        <f t="shared" si="1665"/>
        <v>0</v>
      </c>
      <c r="AF201" s="23">
        <f t="shared" si="1665"/>
        <v>-0.09</v>
      </c>
      <c r="AG201" s="23">
        <f t="shared" si="1665"/>
        <v>-0.34815152467777427</v>
      </c>
      <c r="AH201" s="23">
        <f t="shared" si="1665"/>
        <v>-7.0000000000000007E-2</v>
      </c>
      <c r="AI201" s="23">
        <f t="shared" si="1665"/>
        <v>0.06</v>
      </c>
      <c r="AJ201" s="23">
        <f t="shared" si="1665"/>
        <v>0.22</v>
      </c>
      <c r="AK201" s="23">
        <f t="shared" si="1665"/>
        <v>0.24697394724614508</v>
      </c>
      <c r="AL201" s="23">
        <f>+AL540</f>
        <v>0.23498465895680912</v>
      </c>
      <c r="AM201" s="23">
        <f t="shared" ref="AM201" si="1666">+AM540</f>
        <v>0.13767322497861426</v>
      </c>
      <c r="AN201" s="23"/>
      <c r="AO201" s="23"/>
      <c r="AP201" s="23"/>
      <c r="AQ201" s="23"/>
      <c r="AR201" s="21"/>
      <c r="AS201" s="21"/>
      <c r="AT201" s="21"/>
      <c r="AU201" s="21"/>
      <c r="AV201" s="21"/>
      <c r="AW201" s="21"/>
      <c r="AX201" s="21"/>
      <c r="AY201" s="21"/>
      <c r="AZ201" s="21"/>
      <c r="BA201" s="21"/>
      <c r="BB201" s="21"/>
      <c r="BC201" s="891"/>
      <c r="BD201" s="891"/>
      <c r="BE201" s="891"/>
      <c r="BF201" s="891"/>
      <c r="BG201" s="829"/>
      <c r="BH201" s="23"/>
      <c r="BI201" s="23">
        <f t="shared" ref="BI201:BN201" si="1667">+BI540</f>
        <v>0.23872830402722631</v>
      </c>
      <c r="BJ201" s="23">
        <f t="shared" si="1667"/>
        <v>0.22958812441093307</v>
      </c>
      <c r="BK201" s="23">
        <f t="shared" si="1667"/>
        <v>0.27461154446177849</v>
      </c>
      <c r="BL201" s="23">
        <f t="shared" si="1667"/>
        <v>0.18676575953742694</v>
      </c>
      <c r="BM201" s="23">
        <f t="shared" si="1667"/>
        <v>9.2280467102217198E-2</v>
      </c>
      <c r="BN201" s="23">
        <f t="shared" si="1667"/>
        <v>-0.1305973778307509</v>
      </c>
      <c r="BO201" s="23">
        <f t="shared" ref="BO201" si="1668">+BO540</f>
        <v>0.20683319351795301</v>
      </c>
      <c r="BP201" s="23"/>
    </row>
    <row r="202" spans="2:71" s="3" customFormat="1"/>
    <row r="203" spans="2:71" s="3" customFormat="1">
      <c r="B203" s="883" t="s">
        <v>115</v>
      </c>
    </row>
    <row r="204" spans="2:71" s="3" customFormat="1">
      <c r="B204" s="884" t="str">
        <f>+B180</f>
        <v>Productivity and Business Processes</v>
      </c>
      <c r="H204" s="228">
        <f t="shared" ref="H204:AL204" si="1669">+IFERROR(H180/H148,"n/a ")</f>
        <v>0.45136730888750776</v>
      </c>
      <c r="I204" s="228">
        <f t="shared" si="1669"/>
        <v>0.4252681431954311</v>
      </c>
      <c r="J204" s="228">
        <f t="shared" si="1669"/>
        <v>0.32957052030621514</v>
      </c>
      <c r="K204" s="228">
        <f t="shared" si="1669"/>
        <v>0.33820776789892371</v>
      </c>
      <c r="L204" s="228">
        <f t="shared" si="1669"/>
        <v>0.36489439184268024</v>
      </c>
      <c r="M204" s="228">
        <f t="shared" si="1669"/>
        <v>0.37272422651625153</v>
      </c>
      <c r="N204" s="228">
        <f t="shared" si="1669"/>
        <v>0.34588052409504777</v>
      </c>
      <c r="O204" s="228">
        <f t="shared" si="1669"/>
        <v>0.35850227554820024</v>
      </c>
      <c r="P204" s="228">
        <f t="shared" si="1669"/>
        <v>0.3971957834407942</v>
      </c>
      <c r="Q204" s="228">
        <f t="shared" si="1669"/>
        <v>0.39752475247524754</v>
      </c>
      <c r="R204" s="228">
        <f t="shared" si="1669"/>
        <v>0.38849834016793594</v>
      </c>
      <c r="S204" s="228">
        <f t="shared" si="1669"/>
        <v>0.3932289309314746</v>
      </c>
      <c r="T204" s="228">
        <f t="shared" si="1669"/>
        <v>0.43170533537961542</v>
      </c>
      <c r="U204" s="228">
        <f t="shared" si="1669"/>
        <v>0.43818704549298154</v>
      </c>
      <c r="V204" s="228">
        <f t="shared" si="1669"/>
        <v>0.40773226603082685</v>
      </c>
      <c r="W204" s="228">
        <f t="shared" si="1669"/>
        <v>0.33798502382573181</v>
      </c>
      <c r="X204" s="228">
        <f t="shared" si="1669"/>
        <v>0.46318694699245067</v>
      </c>
      <c r="Y204" s="228">
        <f t="shared" si="1669"/>
        <v>0.46289223395491652</v>
      </c>
      <c r="Z204" s="228">
        <f t="shared" si="1669"/>
        <v>0.44487898465171194</v>
      </c>
      <c r="AA204" s="228">
        <f t="shared" si="1669"/>
        <v>0.43802327955891363</v>
      </c>
      <c r="AB204" s="228">
        <f t="shared" si="1669"/>
        <v>0.50408936764412526</v>
      </c>
      <c r="AC204" s="228">
        <f t="shared" si="1669"/>
        <v>0.48242971887550201</v>
      </c>
      <c r="AD204" s="228">
        <f t="shared" si="1669"/>
        <v>0.45500031667616697</v>
      </c>
      <c r="AE204" s="228">
        <f t="shared" si="1669"/>
        <v>0.43578313253012047</v>
      </c>
      <c r="AF204" s="228">
        <f t="shared" si="1669"/>
        <v>0.50549650774369881</v>
      </c>
      <c r="AG204" s="228">
        <f t="shared" si="1669"/>
        <v>0.4934868838960122</v>
      </c>
      <c r="AH204" s="228">
        <f t="shared" si="1669"/>
        <v>0.4932062114638045</v>
      </c>
      <c r="AI204" s="228">
        <f t="shared" si="1669"/>
        <v>0.49488819638073367</v>
      </c>
      <c r="AJ204" s="228">
        <f t="shared" si="1669"/>
        <v>0.53625215146299487</v>
      </c>
      <c r="AK204" s="228">
        <f t="shared" si="1669"/>
        <v>0.5342615200789651</v>
      </c>
      <c r="AL204" s="228">
        <f t="shared" si="1669"/>
        <v>0.51829330608073587</v>
      </c>
      <c r="AM204" s="228">
        <f t="shared" ref="AM204" si="1670">+IFERROR(AM180/AM148,"n/a ")</f>
        <v>0.49923709209036765</v>
      </c>
      <c r="AN204" s="829">
        <f>+AJ204+0.5%</f>
        <v>0.54125215146299488</v>
      </c>
      <c r="AO204" s="829">
        <f t="shared" ref="AO204:AQ204" si="1671">+AK204+0.5%</f>
        <v>0.53926152007896511</v>
      </c>
      <c r="AP204" s="829">
        <f t="shared" si="1671"/>
        <v>0.52329330608073588</v>
      </c>
      <c r="AQ204" s="829">
        <f t="shared" si="1671"/>
        <v>0.5042370920903676</v>
      </c>
      <c r="AR204" s="228"/>
      <c r="AS204" s="228"/>
      <c r="AT204" s="228"/>
      <c r="AU204" s="228"/>
      <c r="AV204" s="228"/>
      <c r="AW204" s="228"/>
      <c r="AX204" s="228"/>
      <c r="AY204" s="228"/>
      <c r="AZ204" s="228"/>
      <c r="BA204" s="228"/>
      <c r="BB204" s="228">
        <f t="shared" ref="BB204:BE206" si="1672">+IFERROR(BB180/BB148,"n/a ")</f>
        <v>0.52539294187425856</v>
      </c>
      <c r="BC204" s="228">
        <f t="shared" si="1672"/>
        <v>0.50223231176693151</v>
      </c>
      <c r="BD204" s="228">
        <f t="shared" si="1672"/>
        <v>0.46883376750858913</v>
      </c>
      <c r="BE204" s="228">
        <f t="shared" si="1672"/>
        <v>0.39130863224280649</v>
      </c>
      <c r="BF204" s="228"/>
      <c r="BG204" s="228">
        <f t="shared" ref="BG204:BP204" si="1673">+IFERROR(BG180/BG148,"n/a ")</f>
        <v>0.45580024813895781</v>
      </c>
      <c r="BH204" s="228">
        <f t="shared" si="1673"/>
        <v>0.38128557080682962</v>
      </c>
      <c r="BI204" s="228">
        <f t="shared" si="1673"/>
        <v>0.3603513174404015</v>
      </c>
      <c r="BJ204" s="228">
        <f t="shared" si="1673"/>
        <v>0.39404761904761904</v>
      </c>
      <c r="BK204" s="228">
        <f t="shared" si="1673"/>
        <v>0.40355187723608776</v>
      </c>
      <c r="BL204" s="228">
        <f t="shared" si="1673"/>
        <v>0.45165538347398682</v>
      </c>
      <c r="BM204" s="228">
        <f t="shared" si="1673"/>
        <v>0.46851524524966859</v>
      </c>
      <c r="BN204" s="228">
        <f t="shared" si="1673"/>
        <v>0.496640355689003</v>
      </c>
      <c r="BO204" s="228">
        <f t="shared" si="1673"/>
        <v>0.52156237134623307</v>
      </c>
      <c r="BP204" s="228">
        <f t="shared" si="1673"/>
        <v>0.52656169082761584</v>
      </c>
    </row>
    <row r="205" spans="2:71" s="3" customFormat="1">
      <c r="B205" s="884" t="str">
        <f>+B181</f>
        <v>Intelligent Cloud</v>
      </c>
      <c r="H205" s="228">
        <f t="shared" ref="H205:AL205" si="1674">+IFERROR(H181/H149,"n/a ")</f>
        <v>0.29145481384287353</v>
      </c>
      <c r="I205" s="228">
        <f t="shared" si="1674"/>
        <v>0.3390056229653744</v>
      </c>
      <c r="J205" s="228">
        <f t="shared" si="1674"/>
        <v>0.31916790490341751</v>
      </c>
      <c r="K205" s="228">
        <f t="shared" si="1674"/>
        <v>0.37215545896190233</v>
      </c>
      <c r="L205" s="228">
        <f t="shared" si="1674"/>
        <v>0.30872580179138975</v>
      </c>
      <c r="M205" s="228">
        <f t="shared" si="1674"/>
        <v>0.36330981398332263</v>
      </c>
      <c r="N205" s="228">
        <f t="shared" si="1674"/>
        <v>0.33611955420466061</v>
      </c>
      <c r="O205" s="228">
        <f t="shared" si="1674"/>
        <v>0.40610035394545074</v>
      </c>
      <c r="P205" s="228">
        <f t="shared" si="1674"/>
        <v>0.34212676549550602</v>
      </c>
      <c r="Q205" s="228">
        <f t="shared" si="1674"/>
        <v>0.34964811260396672</v>
      </c>
      <c r="R205" s="228">
        <f t="shared" si="1674"/>
        <v>0.33246968597782156</v>
      </c>
      <c r="S205" s="228">
        <f t="shared" si="1674"/>
        <v>0.39522429988587482</v>
      </c>
      <c r="T205" s="228">
        <f t="shared" si="1674"/>
        <v>0.35859843245735362</v>
      </c>
      <c r="U205" s="228">
        <f t="shared" si="1674"/>
        <v>0.38175077934114077</v>
      </c>
      <c r="V205" s="228">
        <f t="shared" si="1674"/>
        <v>0.37130526830062699</v>
      </c>
      <c r="W205" s="228">
        <f t="shared" si="1674"/>
        <v>0.39967092962381273</v>
      </c>
      <c r="X205" s="228">
        <f t="shared" si="1674"/>
        <v>0.41752656707223162</v>
      </c>
      <c r="Y205" s="228">
        <f t="shared" si="1674"/>
        <v>0.44462708033696324</v>
      </c>
      <c r="Z205" s="228">
        <f t="shared" si="1674"/>
        <v>0.42499007805265249</v>
      </c>
      <c r="AA205" s="228">
        <f t="shared" si="1674"/>
        <v>0.44817266187050359</v>
      </c>
      <c r="AB205" s="228">
        <f t="shared" si="1674"/>
        <v>0.44576750766328699</v>
      </c>
      <c r="AC205" s="228">
        <f t="shared" si="1674"/>
        <v>0.44726360015278005</v>
      </c>
      <c r="AD205" s="228">
        <f t="shared" si="1674"/>
        <v>0.43467534512624006</v>
      </c>
      <c r="AE205" s="228">
        <f t="shared" si="1674"/>
        <v>0.41518006600028695</v>
      </c>
      <c r="AF205" s="228">
        <f t="shared" si="1674"/>
        <v>0.44172201722017218</v>
      </c>
      <c r="AG205" s="228">
        <f t="shared" si="1674"/>
        <v>0.44066347405616518</v>
      </c>
      <c r="AH205" s="228">
        <f t="shared" si="1674"/>
        <v>0.42914723065078575</v>
      </c>
      <c r="AI205" s="228">
        <f t="shared" si="1674"/>
        <v>0.43871129079314802</v>
      </c>
      <c r="AJ205" s="228">
        <f t="shared" si="1674"/>
        <v>0.48439754317985079</v>
      </c>
      <c r="AK205" s="228">
        <f t="shared" si="1674"/>
        <v>0.48149149922720247</v>
      </c>
      <c r="AL205" s="228">
        <f t="shared" si="1674"/>
        <v>0.46851130747341618</v>
      </c>
      <c r="AM205" s="228">
        <f t="shared" ref="AM205" si="1675">+IFERROR(AM181/AM149,"n/a ")</f>
        <v>0.4509556373838331</v>
      </c>
      <c r="AN205" s="829">
        <f>+AJ205+1.5%</f>
        <v>0.4993975431798508</v>
      </c>
      <c r="AO205" s="829">
        <f t="shared" ref="AO205:AQ205" si="1676">+AK205+1.5%</f>
        <v>0.49649149922720248</v>
      </c>
      <c r="AP205" s="829">
        <f t="shared" si="1676"/>
        <v>0.4835113074734162</v>
      </c>
      <c r="AQ205" s="829">
        <f t="shared" si="1676"/>
        <v>0.46595563738383311</v>
      </c>
      <c r="AR205" s="228"/>
      <c r="AS205" s="228"/>
      <c r="AT205" s="228"/>
      <c r="AU205" s="228"/>
      <c r="AV205" s="228"/>
      <c r="AW205" s="228"/>
      <c r="AX205" s="228"/>
      <c r="AY205" s="228"/>
      <c r="AZ205" s="228"/>
      <c r="BA205" s="228"/>
      <c r="BB205" s="228">
        <f t="shared" si="1672"/>
        <v>0.38858983206809294</v>
      </c>
      <c r="BC205" s="228">
        <f t="shared" si="1672"/>
        <v>0.41336706725701033</v>
      </c>
      <c r="BD205" s="228">
        <f t="shared" si="1672"/>
        <v>0.37197508186247102</v>
      </c>
      <c r="BE205" s="228">
        <f t="shared" si="1672"/>
        <v>0.33301749271137027</v>
      </c>
      <c r="BF205" s="228"/>
      <c r="BG205" s="228">
        <f t="shared" ref="BG205:BP205" si="1677">+IFERROR(BG181/BG149,"n/a ")</f>
        <v>0.37067168964411673</v>
      </c>
      <c r="BH205" s="228">
        <f t="shared" si="1677"/>
        <v>0.33301711241653592</v>
      </c>
      <c r="BI205" s="228">
        <f t="shared" si="1677"/>
        <v>0.35767714702504733</v>
      </c>
      <c r="BJ205" s="228">
        <f t="shared" si="1677"/>
        <v>0.35706040784917276</v>
      </c>
      <c r="BK205" s="228">
        <f t="shared" si="1677"/>
        <v>0.37886118347599551</v>
      </c>
      <c r="BL205" s="228">
        <f t="shared" si="1677"/>
        <v>0.43485352862849536</v>
      </c>
      <c r="BM205" s="228">
        <f t="shared" si="1677"/>
        <v>0.43482478638157634</v>
      </c>
      <c r="BN205" s="228">
        <f t="shared" si="1677"/>
        <v>0.43748268056013745</v>
      </c>
      <c r="BO205" s="228">
        <f t="shared" si="1677"/>
        <v>0.47060610087128185</v>
      </c>
      <c r="BP205" s="228">
        <f t="shared" si="1677"/>
        <v>0.4854897132383747</v>
      </c>
    </row>
    <row r="206" spans="2:71" s="3" customFormat="1">
      <c r="B206" s="884" t="str">
        <f>+B182</f>
        <v>More Personal Computing</v>
      </c>
      <c r="H206" s="228">
        <f t="shared" ref="H206:AL206" si="1678">+IFERROR(H182/H150,"n/a ")</f>
        <v>0.2163916977115487</v>
      </c>
      <c r="I206" s="228">
        <f t="shared" si="1678"/>
        <v>0.21540920178316089</v>
      </c>
      <c r="J206" s="228">
        <f t="shared" si="1678"/>
        <v>0.23190883190883191</v>
      </c>
      <c r="K206" s="228">
        <f t="shared" si="1678"/>
        <v>0.23670817541959935</v>
      </c>
      <c r="L206" s="228">
        <f t="shared" si="1678"/>
        <v>0.27351247600767753</v>
      </c>
      <c r="M206" s="228">
        <f t="shared" si="1678"/>
        <v>0.20624486442070666</v>
      </c>
      <c r="N206" s="228">
        <f t="shared" si="1678"/>
        <v>0.25441161641625493</v>
      </c>
      <c r="O206" s="228">
        <f t="shared" si="1678"/>
        <v>0.27860512441032281</v>
      </c>
      <c r="P206" s="228">
        <f t="shared" si="1678"/>
        <v>0.29248092313418944</v>
      </c>
      <c r="Q206" s="228">
        <f t="shared" si="1678"/>
        <v>0.2281228353728931</v>
      </c>
      <c r="R206" s="228">
        <f t="shared" si="1678"/>
        <v>0.29531835205992507</v>
      </c>
      <c r="S206" s="228">
        <f t="shared" si="1678"/>
        <v>0.31554215799272983</v>
      </c>
      <c r="T206" s="228">
        <f t="shared" si="1678"/>
        <v>0.3606395401059912</v>
      </c>
      <c r="U206" s="228">
        <f t="shared" si="1678"/>
        <v>0.31625160850806144</v>
      </c>
      <c r="V206" s="228">
        <f t="shared" si="1678"/>
        <v>0.32981722287896698</v>
      </c>
      <c r="W206" s="228">
        <f t="shared" si="1678"/>
        <v>0.31688613477924088</v>
      </c>
      <c r="X206" s="228">
        <f t="shared" si="1678"/>
        <v>0.40070892058401553</v>
      </c>
      <c r="Y206" s="228">
        <f t="shared" si="1678"/>
        <v>0.34545695013887051</v>
      </c>
      <c r="Z206" s="228">
        <f t="shared" si="1678"/>
        <v>0.35240871432954896</v>
      </c>
      <c r="AA206" s="228">
        <f t="shared" si="1678"/>
        <v>0.34594632968905298</v>
      </c>
      <c r="AB206" s="228">
        <f t="shared" si="1678"/>
        <v>0.38267988583445994</v>
      </c>
      <c r="AC206" s="228">
        <f t="shared" si="1678"/>
        <v>0.3642713999427426</v>
      </c>
      <c r="AD206" s="228">
        <f t="shared" si="1678"/>
        <v>0.33739669421487606</v>
      </c>
      <c r="AE206" s="228">
        <f t="shared" si="1678"/>
        <v>0.32174700473669549</v>
      </c>
      <c r="AF206" s="228">
        <f t="shared" si="1678"/>
        <v>0.3163066306630663</v>
      </c>
      <c r="AG206" s="228">
        <f t="shared" si="1678"/>
        <v>0.26000702395167519</v>
      </c>
      <c r="AH206" s="228">
        <f t="shared" si="1678"/>
        <v>0.31953242835595774</v>
      </c>
      <c r="AI206" s="228">
        <f t="shared" si="1678"/>
        <v>0.33628191298094212</v>
      </c>
      <c r="AJ206" s="228">
        <f t="shared" si="1678"/>
        <v>0.37860383433338213</v>
      </c>
      <c r="AK206" s="228">
        <f t="shared" si="1678"/>
        <v>0.32070333313598959</v>
      </c>
      <c r="AL206" s="228">
        <f t="shared" si="1678"/>
        <v>0.37644415917843388</v>
      </c>
      <c r="AM206" s="228">
        <f t="shared" ref="AM206" si="1679">+IFERROR(AM182/AM150,"n/a ")</f>
        <v>0.36885813148788926</v>
      </c>
      <c r="AN206" s="228">
        <f>+IFERROR(AN182/AN150,"n/a ")</f>
        <v>0.39099693458031043</v>
      </c>
      <c r="AO206" s="228">
        <f>+IFERROR(AO182/AO150,"n/a ")</f>
        <v>0.34878215230019577</v>
      </c>
      <c r="AP206" s="228">
        <f>+IFERROR(AP182/AP150,"n/a ")</f>
        <v>0.40315336248317141</v>
      </c>
      <c r="AQ206" s="228">
        <f>+IFERROR(AQ182/AQ150,"n/a ")</f>
        <v>0.39348161532566439</v>
      </c>
      <c r="AR206" s="228"/>
      <c r="AS206" s="228"/>
      <c r="AT206" s="228"/>
      <c r="AU206" s="228"/>
      <c r="AV206" s="228"/>
      <c r="AW206" s="228"/>
      <c r="AX206" s="228"/>
      <c r="AY206" s="228"/>
      <c r="AZ206" s="228"/>
      <c r="BA206" s="228"/>
      <c r="BB206" s="228">
        <f t="shared" si="1672"/>
        <v>0.14573582943317734</v>
      </c>
      <c r="BC206" s="228">
        <f t="shared" si="1672"/>
        <v>0.1173017152066306</v>
      </c>
      <c r="BD206" s="228">
        <f t="shared" si="1672"/>
        <v>0.15338576445565613</v>
      </c>
      <c r="BE206" s="228">
        <f t="shared" si="1672"/>
        <v>0.21375699584762592</v>
      </c>
      <c r="BF206" s="228"/>
      <c r="BG206" s="228">
        <f t="shared" ref="BG206:BP206" si="1680">+IFERROR(BG182/BG150,"n/a ")</f>
        <v>0.15300668151447661</v>
      </c>
      <c r="BH206" s="228">
        <f t="shared" si="1680"/>
        <v>0.22433450399552093</v>
      </c>
      <c r="BI206" s="228">
        <f t="shared" si="1680"/>
        <v>0.25096981739048158</v>
      </c>
      <c r="BJ206" s="228">
        <f t="shared" si="1680"/>
        <v>0.28053744146352139</v>
      </c>
      <c r="BK206" s="228">
        <f t="shared" si="1680"/>
        <v>0.3297548237342231</v>
      </c>
      <c r="BL206" s="228">
        <f t="shared" si="1680"/>
        <v>0.359362579261642</v>
      </c>
      <c r="BM206" s="228">
        <f t="shared" si="1680"/>
        <v>0.35160506244237699</v>
      </c>
      <c r="BN206" s="228">
        <f t="shared" si="1680"/>
        <v>0.3075185442321044</v>
      </c>
      <c r="BO206" s="228">
        <f t="shared" si="1680"/>
        <v>0.35979816868712922</v>
      </c>
      <c r="BP206" s="228">
        <f t="shared" si="1680"/>
        <v>0.38370838055512319</v>
      </c>
    </row>
    <row r="207" spans="2:71" s="3" customFormat="1" ht="11.45">
      <c r="B207" s="884" t="str">
        <f>+B183</f>
        <v>Corporate and Other</v>
      </c>
      <c r="H207" s="840">
        <f t="shared" ref="H207:AL207" si="1681">+IFERROR(H183/H152,"n/a ")</f>
        <v>0</v>
      </c>
      <c r="I207" s="840">
        <f t="shared" si="1681"/>
        <v>0</v>
      </c>
      <c r="J207" s="840">
        <f t="shared" si="1681"/>
        <v>0</v>
      </c>
      <c r="K207" s="840">
        <f t="shared" si="1681"/>
        <v>-1.1950790861159929E-2</v>
      </c>
      <c r="L207" s="840">
        <f t="shared" si="1681"/>
        <v>0</v>
      </c>
      <c r="M207" s="840">
        <f t="shared" si="1681"/>
        <v>0</v>
      </c>
      <c r="N207" s="840">
        <f t="shared" si="1681"/>
        <v>0</v>
      </c>
      <c r="O207" s="840">
        <f t="shared" si="1681"/>
        <v>0</v>
      </c>
      <c r="P207" s="840">
        <f t="shared" si="1681"/>
        <v>0</v>
      </c>
      <c r="Q207" s="840">
        <f t="shared" si="1681"/>
        <v>0</v>
      </c>
      <c r="R207" s="840">
        <f t="shared" si="1681"/>
        <v>0</v>
      </c>
      <c r="S207" s="840">
        <f t="shared" si="1681"/>
        <v>0</v>
      </c>
      <c r="T207" s="840">
        <f t="shared" si="1681"/>
        <v>0</v>
      </c>
      <c r="U207" s="840">
        <f t="shared" si="1681"/>
        <v>0</v>
      </c>
      <c r="V207" s="840">
        <f t="shared" si="1681"/>
        <v>0</v>
      </c>
      <c r="W207" s="840">
        <f t="shared" si="1681"/>
        <v>0</v>
      </c>
      <c r="X207" s="840">
        <f t="shared" si="1681"/>
        <v>0</v>
      </c>
      <c r="Y207" s="840">
        <f t="shared" si="1681"/>
        <v>0</v>
      </c>
      <c r="Z207" s="840">
        <f t="shared" si="1681"/>
        <v>0</v>
      </c>
      <c r="AA207" s="840">
        <f t="shared" si="1681"/>
        <v>0</v>
      </c>
      <c r="AB207" s="840">
        <f t="shared" si="1681"/>
        <v>0</v>
      </c>
      <c r="AC207" s="840">
        <f t="shared" si="1681"/>
        <v>0</v>
      </c>
      <c r="AD207" s="840">
        <f t="shared" si="1681"/>
        <v>0</v>
      </c>
      <c r="AE207" s="840">
        <f t="shared" si="1681"/>
        <v>0</v>
      </c>
      <c r="AF207" s="840">
        <f t="shared" si="1681"/>
        <v>0</v>
      </c>
      <c r="AG207" s="840">
        <f t="shared" si="1681"/>
        <v>0</v>
      </c>
      <c r="AH207" s="840">
        <f t="shared" si="1681"/>
        <v>0</v>
      </c>
      <c r="AI207" s="840">
        <f t="shared" si="1681"/>
        <v>0</v>
      </c>
      <c r="AJ207" s="840">
        <f t="shared" si="1681"/>
        <v>0</v>
      </c>
      <c r="AK207" s="840">
        <f t="shared" si="1681"/>
        <v>0</v>
      </c>
      <c r="AL207" s="840">
        <f t="shared" si="1681"/>
        <v>0</v>
      </c>
      <c r="AM207" s="840">
        <f t="shared" ref="AM207" si="1682">+IFERROR(AM183/AM152,"n/a ")</f>
        <v>0</v>
      </c>
      <c r="AN207" s="908">
        <f t="shared" ref="AN207" si="1683">+AJ207</f>
        <v>0</v>
      </c>
      <c r="AO207" s="908">
        <f t="shared" ref="AO207" si="1684">+AK207</f>
        <v>0</v>
      </c>
      <c r="AP207" s="908">
        <f t="shared" ref="AP207" si="1685">+AL207</f>
        <v>0</v>
      </c>
      <c r="AQ207" s="908">
        <f t="shared" ref="AQ207" si="1686">+AM207</f>
        <v>0</v>
      </c>
      <c r="AR207" s="840"/>
      <c r="AS207" s="840"/>
      <c r="AT207" s="840"/>
      <c r="AU207" s="840"/>
      <c r="AV207" s="840"/>
      <c r="AW207" s="840"/>
      <c r="AX207" s="840"/>
      <c r="AY207" s="840"/>
      <c r="AZ207" s="840"/>
      <c r="BA207" s="840"/>
      <c r="BB207" s="840">
        <f>+IFERROR(BB183/BB152,"n/a ")</f>
        <v>-3.8925293379245217E-3</v>
      </c>
      <c r="BC207" s="840">
        <f>+IFERROR(BC183/BC152,"n/a ")</f>
        <v>0</v>
      </c>
      <c r="BD207" s="840">
        <f>+IFERROR(BD183/BD152,"n/a ")</f>
        <v>-7.7859821847163613E-2</v>
      </c>
      <c r="BE207" s="840">
        <f>+IFERROR(BE183/BE152,"n/a ")</f>
        <v>-7.4563646470261258E-2</v>
      </c>
      <c r="BF207" s="840"/>
      <c r="BG207" s="840">
        <f t="shared" ref="BG207:BP207" si="1687">+IFERROR(BG183/BG152,"n/a ")</f>
        <v>-1.2177194637646181E-2</v>
      </c>
      <c r="BH207" s="840">
        <f t="shared" si="1687"/>
        <v>-3.1686531153244761E-3</v>
      </c>
      <c r="BI207" s="840">
        <f t="shared" si="1687"/>
        <v>0</v>
      </c>
      <c r="BJ207" s="840">
        <f t="shared" si="1687"/>
        <v>0</v>
      </c>
      <c r="BK207" s="840">
        <f t="shared" si="1687"/>
        <v>0</v>
      </c>
      <c r="BL207" s="840">
        <f t="shared" si="1687"/>
        <v>0</v>
      </c>
      <c r="BM207" s="840">
        <f t="shared" si="1687"/>
        <v>0</v>
      </c>
      <c r="BN207" s="840">
        <f t="shared" si="1687"/>
        <v>0</v>
      </c>
      <c r="BO207" s="840">
        <f t="shared" si="1687"/>
        <v>0</v>
      </c>
      <c r="BP207" s="840">
        <f t="shared" si="1687"/>
        <v>0</v>
      </c>
    </row>
    <row r="208" spans="2:71" s="7" customFormat="1">
      <c r="B208" s="887" t="str">
        <f>+B184</f>
        <v>Total operating income</v>
      </c>
      <c r="H208" s="842">
        <f t="shared" ref="H208:AQ208" si="1688">+IFERROR(H184/H152,"n/a ")</f>
        <v>0.30622947829259395</v>
      </c>
      <c r="I208" s="842">
        <f t="shared" si="1688"/>
        <v>0.30608688918144505</v>
      </c>
      <c r="J208" s="842">
        <f t="shared" si="1688"/>
        <v>0.28963467172152335</v>
      </c>
      <c r="K208" s="842">
        <f t="shared" si="1688"/>
        <v>0.30001952743604765</v>
      </c>
      <c r="L208" s="842">
        <f t="shared" si="1688"/>
        <v>0.3141250305648382</v>
      </c>
      <c r="M208" s="842">
        <f t="shared" si="1688"/>
        <v>0.30012448993706342</v>
      </c>
      <c r="N208" s="842">
        <f t="shared" si="1688"/>
        <v>0.30918378761325926</v>
      </c>
      <c r="O208" s="842">
        <f t="shared" si="1688"/>
        <v>0.3449891972743892</v>
      </c>
      <c r="P208" s="842">
        <f t="shared" si="1688"/>
        <v>0.34228441754916794</v>
      </c>
      <c r="Q208" s="842">
        <f t="shared" si="1688"/>
        <v>0.3159126605278556</v>
      </c>
      <c r="R208" s="842">
        <f t="shared" si="1688"/>
        <v>0.3382617513329626</v>
      </c>
      <c r="S208" s="842">
        <f t="shared" si="1688"/>
        <v>0.3679152949550672</v>
      </c>
      <c r="T208" s="842">
        <f t="shared" si="1688"/>
        <v>0.38378460142187265</v>
      </c>
      <c r="U208" s="842">
        <f t="shared" si="1688"/>
        <v>0.37638866309001245</v>
      </c>
      <c r="V208" s="842">
        <f t="shared" si="1688"/>
        <v>0.37049199051997372</v>
      </c>
      <c r="W208" s="842">
        <f t="shared" si="1688"/>
        <v>0.35250966266137301</v>
      </c>
      <c r="X208" s="842">
        <f t="shared" si="1688"/>
        <v>0.42730257845723207</v>
      </c>
      <c r="Y208" s="842">
        <f t="shared" si="1688"/>
        <v>0.41547497446373849</v>
      </c>
      <c r="Z208" s="842">
        <f t="shared" si="1688"/>
        <v>0.40876612477820939</v>
      </c>
      <c r="AA208" s="842">
        <f t="shared" si="1688"/>
        <v>0.41374154966198645</v>
      </c>
      <c r="AB208" s="842">
        <f t="shared" si="1688"/>
        <v>0.44658737339188381</v>
      </c>
      <c r="AC208" s="842">
        <f t="shared" si="1688"/>
        <v>0.43007655428394681</v>
      </c>
      <c r="AD208" s="842">
        <f t="shared" si="1688"/>
        <v>0.41256077795786061</v>
      </c>
      <c r="AE208" s="842">
        <f t="shared" si="1688"/>
        <v>0.3959124650535043</v>
      </c>
      <c r="AF208" s="842">
        <f t="shared" si="1688"/>
        <v>0.42931247755476637</v>
      </c>
      <c r="AG208" s="842">
        <f t="shared" si="1688"/>
        <v>0.408928924867765</v>
      </c>
      <c r="AH208" s="842">
        <f t="shared" si="1688"/>
        <v>0.42287681858599618</v>
      </c>
      <c r="AI208" s="842">
        <f t="shared" si="1688"/>
        <v>0.4316503230169606</v>
      </c>
      <c r="AJ208" s="842">
        <f t="shared" si="1688"/>
        <v>0.47587451563246458</v>
      </c>
      <c r="AK208" s="842">
        <f t="shared" si="1688"/>
        <v>0.45407932924862948</v>
      </c>
      <c r="AL208" s="842">
        <f t="shared" si="1688"/>
        <v>0.46107213294965887</v>
      </c>
      <c r="AM208" s="842">
        <f t="shared" ref="AM208" si="1689">+IFERROR(AM184/AM152,"n/a ")</f>
        <v>0.44594991271030637</v>
      </c>
      <c r="AN208" s="842">
        <f t="shared" si="1688"/>
        <v>0.48681202693521575</v>
      </c>
      <c r="AO208" s="842">
        <f t="shared" si="1688"/>
        <v>0.47301401968899498</v>
      </c>
      <c r="AP208" s="842">
        <f t="shared" si="1688"/>
        <v>0.47677047342119488</v>
      </c>
      <c r="AQ208" s="842">
        <f t="shared" si="1688"/>
        <v>0.4610343386599271</v>
      </c>
      <c r="AR208" s="842"/>
      <c r="AS208" s="842"/>
      <c r="AT208" s="842"/>
      <c r="AU208" s="842"/>
      <c r="AV208" s="842"/>
      <c r="AW208" s="842"/>
      <c r="AX208" s="842"/>
      <c r="AY208" s="842"/>
      <c r="AZ208" s="842"/>
      <c r="BA208" s="842"/>
      <c r="BB208" s="842">
        <f>+IFERROR(BB184/BB152,"n/a ")</f>
        <v>0.32114518673776099</v>
      </c>
      <c r="BC208" s="842">
        <f>+IFERROR(BC184/BC152,"n/a ")</f>
        <v>0.30104723231459712</v>
      </c>
      <c r="BD208" s="842">
        <f>+IFERROR(BD184/BD152,"n/a ")</f>
        <v>0.24955461790904829</v>
      </c>
      <c r="BE208" s="842">
        <f>+IFERROR(BE184/BE152,"n/a ")</f>
        <v>0.25160644802668147</v>
      </c>
      <c r="BF208" s="842"/>
      <c r="BG208" s="842">
        <f t="shared" ref="BG208:BP208" si="1690">+IFERROR(BG184/BG152,"n/a ")</f>
        <v>0.28608728086534874</v>
      </c>
      <c r="BH208" s="842">
        <f t="shared" si="1690"/>
        <v>0.30055606755651282</v>
      </c>
      <c r="BI208" s="842">
        <f t="shared" si="1690"/>
        <v>0.31766944545125048</v>
      </c>
      <c r="BJ208" s="842">
        <f t="shared" si="1690"/>
        <v>0.3413698020549415</v>
      </c>
      <c r="BK208" s="842">
        <f t="shared" si="1690"/>
        <v>0.37030381428521486</v>
      </c>
      <c r="BL208" s="842">
        <f t="shared" si="1690"/>
        <v>0.41594878872971303</v>
      </c>
      <c r="BM208" s="842">
        <f t="shared" si="1690"/>
        <v>0.4205527815604983</v>
      </c>
      <c r="BN208" s="842">
        <f t="shared" si="1690"/>
        <v>0.42325354033456813</v>
      </c>
      <c r="BO208" s="842">
        <f t="shared" si="1690"/>
        <v>0.45872259527908554</v>
      </c>
      <c r="BP208" s="842">
        <f t="shared" si="1690"/>
        <v>0.47398553812261512</v>
      </c>
    </row>
    <row r="209" spans="2:70">
      <c r="AC209" s="909"/>
      <c r="AD209" s="909"/>
      <c r="AE209" s="909"/>
      <c r="AF209" s="909"/>
      <c r="AG209" s="909"/>
      <c r="AH209" s="909"/>
      <c r="AI209" s="909"/>
      <c r="AJ209" s="909"/>
      <c r="AK209" s="909"/>
      <c r="AL209" s="909"/>
      <c r="AM209" s="909"/>
      <c r="AN209" s="909"/>
      <c r="AO209" s="909"/>
      <c r="AP209" s="909"/>
      <c r="AQ209" s="909"/>
    </row>
    <row r="210" spans="2:70" ht="10.5">
      <c r="B210" s="5" t="s">
        <v>355</v>
      </c>
      <c r="C210" s="4"/>
      <c r="AG210" s="838"/>
      <c r="AH210" s="838"/>
      <c r="AI210" s="838"/>
      <c r="AJ210" s="838"/>
      <c r="AK210" s="838"/>
      <c r="AL210" s="838"/>
      <c r="AM210" s="838"/>
      <c r="AN210" s="838"/>
      <c r="AO210" s="838"/>
      <c r="AP210" s="838"/>
      <c r="AQ210" s="838"/>
    </row>
    <row r="211" spans="2:70">
      <c r="B211" s="19"/>
    </row>
    <row r="212" spans="2:70" ht="10.5">
      <c r="B212" s="45" t="s">
        <v>86</v>
      </c>
    </row>
    <row r="213" spans="2:70" ht="13.5">
      <c r="B213" t="s">
        <v>356</v>
      </c>
      <c r="H213" s="903"/>
      <c r="I213" s="821"/>
      <c r="J213" s="31"/>
      <c r="K213" s="31"/>
      <c r="L213" s="879">
        <v>5800</v>
      </c>
      <c r="M213" s="879">
        <v>6100</v>
      </c>
      <c r="N213" s="879">
        <v>6800</v>
      </c>
      <c r="O213" s="879">
        <v>7900</v>
      </c>
      <c r="P213" s="879">
        <v>8500</v>
      </c>
      <c r="Q213" s="879">
        <v>9000</v>
      </c>
      <c r="R213" s="879">
        <v>9600</v>
      </c>
      <c r="S213" s="879">
        <v>11000</v>
      </c>
      <c r="T213" s="879">
        <v>11600</v>
      </c>
      <c r="U213" s="879">
        <v>12500</v>
      </c>
      <c r="V213" s="879">
        <v>13300</v>
      </c>
      <c r="W213" s="879">
        <v>14300</v>
      </c>
      <c r="X213" s="879">
        <v>15200</v>
      </c>
      <c r="Y213" s="879">
        <v>16700</v>
      </c>
      <c r="Z213" s="879">
        <v>17700</v>
      </c>
      <c r="AA213" s="879">
        <v>19500</v>
      </c>
      <c r="AB213" s="879">
        <v>20700</v>
      </c>
      <c r="AC213" s="879">
        <v>22100</v>
      </c>
      <c r="AD213" s="879">
        <v>23400</v>
      </c>
      <c r="AE213" s="879">
        <v>25100</v>
      </c>
      <c r="AF213" s="879">
        <v>25700</v>
      </c>
      <c r="AG213" s="879">
        <v>27100</v>
      </c>
      <c r="AH213" s="879">
        <v>28500</v>
      </c>
      <c r="AI213" s="879">
        <v>30300</v>
      </c>
      <c r="AJ213" s="879">
        <v>31800</v>
      </c>
      <c r="AK213" s="879">
        <v>33700</v>
      </c>
      <c r="AL213" s="879">
        <v>35100</v>
      </c>
      <c r="AM213" s="879">
        <v>36800</v>
      </c>
      <c r="AN213" s="879"/>
      <c r="AO213" s="879"/>
      <c r="AP213" s="879"/>
      <c r="AQ213" s="879"/>
      <c r="BB213" s="879">
        <v>2800</v>
      </c>
      <c r="BC213" s="879">
        <v>5800</v>
      </c>
      <c r="BD213" s="879">
        <v>9500</v>
      </c>
      <c r="BE213" s="879">
        <v>14900</v>
      </c>
      <c r="BF213" s="879"/>
      <c r="BG213" s="856"/>
      <c r="BH213" s="856"/>
      <c r="BI213" s="880">
        <f>+SUM(L213:O213)</f>
        <v>26600</v>
      </c>
      <c r="BJ213" s="880">
        <v>38100</v>
      </c>
      <c r="BK213" s="880">
        <f>SUM(T213:W213)</f>
        <v>51700</v>
      </c>
      <c r="BL213" s="880">
        <f>SUM(X213:AA213)</f>
        <v>69100</v>
      </c>
      <c r="BM213" s="880">
        <f>SUM(AB213:AE213)</f>
        <v>91300</v>
      </c>
      <c r="BN213" s="8">
        <f>SUM(AF213:AI213)</f>
        <v>111600</v>
      </c>
      <c r="BO213" s="8">
        <f>SUM(AJ213:AM213)</f>
        <v>137400</v>
      </c>
      <c r="BP213" s="8"/>
      <c r="BQ213" s="8"/>
      <c r="BR213" s="8"/>
    </row>
    <row r="214" spans="2:70" s="852" customFormat="1">
      <c r="B214" t="s">
        <v>357</v>
      </c>
      <c r="H214" s="853"/>
      <c r="I214" s="853"/>
      <c r="J214" s="853"/>
      <c r="K214" s="853"/>
      <c r="L214" s="853">
        <f t="shared" ref="L214:O214" si="1691">+L215-L213</f>
        <v>18738</v>
      </c>
      <c r="M214" s="853">
        <f t="shared" si="1691"/>
        <v>22818</v>
      </c>
      <c r="N214" s="853">
        <f t="shared" si="1691"/>
        <v>20019</v>
      </c>
      <c r="O214" s="853">
        <f t="shared" si="1691"/>
        <v>22185</v>
      </c>
      <c r="P214" s="853">
        <f>+P215-P213</f>
        <v>20584</v>
      </c>
      <c r="Q214" s="853">
        <f t="shared" ref="Q214:AF214" si="1692">+Q215-Q213</f>
        <v>23471</v>
      </c>
      <c r="R214" s="853">
        <f t="shared" si="1692"/>
        <v>20971</v>
      </c>
      <c r="S214" s="853">
        <f t="shared" si="1692"/>
        <v>22717</v>
      </c>
      <c r="T214" s="853">
        <f t="shared" si="1692"/>
        <v>21455</v>
      </c>
      <c r="U214" s="853">
        <f t="shared" si="1692"/>
        <v>24406</v>
      </c>
      <c r="V214" s="853">
        <f t="shared" si="1692"/>
        <v>21721</v>
      </c>
      <c r="W214" s="853">
        <f t="shared" si="1692"/>
        <v>23733</v>
      </c>
      <c r="X214" s="853">
        <f t="shared" si="1692"/>
        <v>21954</v>
      </c>
      <c r="Y214" s="853">
        <f t="shared" si="1692"/>
        <v>26376</v>
      </c>
      <c r="Z214" s="853">
        <f t="shared" si="1692"/>
        <v>24006</v>
      </c>
      <c r="AA214" s="853">
        <f t="shared" si="1692"/>
        <v>26652</v>
      </c>
      <c r="AB214" s="853">
        <f t="shared" si="1692"/>
        <v>24617</v>
      </c>
      <c r="AC214" s="853">
        <f t="shared" si="1692"/>
        <v>29628</v>
      </c>
      <c r="AD214" s="853">
        <f t="shared" si="1692"/>
        <v>25960</v>
      </c>
      <c r="AE214" s="853">
        <f t="shared" si="1692"/>
        <v>26765</v>
      </c>
      <c r="AF214" s="853">
        <f t="shared" si="1692"/>
        <v>24422</v>
      </c>
      <c r="AG214" s="853">
        <f t="shared" ref="AG214:AH214" si="1693">+AG215-AG213</f>
        <v>25647</v>
      </c>
      <c r="AH214" s="853">
        <f t="shared" si="1693"/>
        <v>24357</v>
      </c>
      <c r="AI214" s="853">
        <f t="shared" ref="AI214:AJ214" si="1694">+AI215-AI213</f>
        <v>25889</v>
      </c>
      <c r="AJ214" s="853">
        <f t="shared" si="1694"/>
        <v>24717</v>
      </c>
      <c r="AK214" s="853">
        <f t="shared" ref="AK214:AL214" si="1695">+AK215-AK213</f>
        <v>28320</v>
      </c>
      <c r="AL214" s="853">
        <f t="shared" si="1695"/>
        <v>26758</v>
      </c>
      <c r="AM214" s="853">
        <f t="shared" ref="AM214" si="1696">+AM215-AM213</f>
        <v>27927</v>
      </c>
      <c r="AN214" s="853"/>
      <c r="AO214" s="853"/>
      <c r="AP214" s="853"/>
      <c r="AQ214" s="853"/>
      <c r="AR214" s="1001"/>
      <c r="AS214" s="1001"/>
      <c r="AT214" s="1001"/>
      <c r="AU214" s="1001"/>
      <c r="AV214" s="1001"/>
      <c r="AW214" s="1001"/>
      <c r="AX214" s="1001"/>
      <c r="AY214" s="1001"/>
      <c r="AZ214" s="1001"/>
      <c r="BA214" s="1001"/>
      <c r="BB214" s="1001">
        <f t="shared" ref="BB214" si="1697">+BB215-BB213</f>
        <v>84033</v>
      </c>
      <c r="BC214" s="1001">
        <f t="shared" ref="BC214" si="1698">+BC215-BC213</f>
        <v>87780</v>
      </c>
      <c r="BD214" s="1001">
        <f t="shared" ref="BD214" si="1699">+BD215-BD213</f>
        <v>75820</v>
      </c>
      <c r="BE214" s="1001">
        <f t="shared" ref="BE214" si="1700">+BE215-BE213</f>
        <v>75050</v>
      </c>
      <c r="BF214" s="1001"/>
      <c r="BG214" s="1001"/>
      <c r="BH214" s="1001"/>
      <c r="BI214" s="853">
        <f>+BI215-BI213</f>
        <v>83760</v>
      </c>
      <c r="BJ214" s="853">
        <f t="shared" ref="BJ214:BM214" si="1701">+BJ215-BJ213</f>
        <v>87743</v>
      </c>
      <c r="BK214" s="1000">
        <f t="shared" si="1701"/>
        <v>91315</v>
      </c>
      <c r="BL214" s="1000">
        <f t="shared" si="1701"/>
        <v>98988</v>
      </c>
      <c r="BM214" s="1000">
        <f t="shared" si="1701"/>
        <v>106970</v>
      </c>
      <c r="BN214" s="853">
        <f t="shared" ref="BN214:BN215" si="1702">SUM(AF214:AI214)</f>
        <v>100315</v>
      </c>
      <c r="BO214" s="853">
        <f t="shared" ref="BO214:BO215" si="1703">SUM(AJ214:AM214)</f>
        <v>107722</v>
      </c>
      <c r="BP214" s="853"/>
      <c r="BR214" s="853"/>
    </row>
    <row r="215" spans="2:70" s="1" customFormat="1" ht="10.5">
      <c r="B215" s="837" t="s">
        <v>341</v>
      </c>
      <c r="D215" s="838"/>
      <c r="E215" s="838"/>
      <c r="F215" s="838"/>
      <c r="G215" s="838"/>
      <c r="H215" s="838"/>
      <c r="I215" s="838"/>
      <c r="J215" s="838"/>
      <c r="K215" s="838"/>
      <c r="L215" s="838">
        <f t="shared" ref="L215:AL215" si="1704">+L152</f>
        <v>24538</v>
      </c>
      <c r="M215" s="838">
        <f t="shared" si="1704"/>
        <v>28918</v>
      </c>
      <c r="N215" s="838">
        <f t="shared" si="1704"/>
        <v>26819</v>
      </c>
      <c r="O215" s="838">
        <f t="shared" si="1704"/>
        <v>30085</v>
      </c>
      <c r="P215" s="838">
        <f t="shared" si="1704"/>
        <v>29084</v>
      </c>
      <c r="Q215" s="838">
        <f t="shared" si="1704"/>
        <v>32471</v>
      </c>
      <c r="R215" s="838">
        <f t="shared" si="1704"/>
        <v>30571</v>
      </c>
      <c r="S215" s="838">
        <f t="shared" si="1704"/>
        <v>33717</v>
      </c>
      <c r="T215" s="838">
        <f t="shared" si="1704"/>
        <v>33055</v>
      </c>
      <c r="U215" s="838">
        <f t="shared" si="1704"/>
        <v>36906</v>
      </c>
      <c r="V215" s="838">
        <f t="shared" si="1704"/>
        <v>35021</v>
      </c>
      <c r="W215" s="838">
        <f t="shared" si="1704"/>
        <v>38033</v>
      </c>
      <c r="X215" s="838">
        <f t="shared" si="1704"/>
        <v>37154</v>
      </c>
      <c r="Y215" s="838">
        <f t="shared" si="1704"/>
        <v>43076</v>
      </c>
      <c r="Z215" s="838">
        <f t="shared" si="1704"/>
        <v>41706</v>
      </c>
      <c r="AA215" s="838">
        <f t="shared" si="1704"/>
        <v>46152</v>
      </c>
      <c r="AB215" s="838">
        <f t="shared" si="1704"/>
        <v>45317</v>
      </c>
      <c r="AC215" s="838">
        <f t="shared" si="1704"/>
        <v>51728</v>
      </c>
      <c r="AD215" s="838">
        <f t="shared" si="1704"/>
        <v>49360</v>
      </c>
      <c r="AE215" s="838">
        <f t="shared" si="1704"/>
        <v>51865</v>
      </c>
      <c r="AF215" s="838">
        <f t="shared" si="1704"/>
        <v>50122</v>
      </c>
      <c r="AG215" s="838">
        <f t="shared" si="1704"/>
        <v>52747</v>
      </c>
      <c r="AH215" s="838">
        <f t="shared" si="1704"/>
        <v>52857</v>
      </c>
      <c r="AI215" s="838">
        <f t="shared" si="1704"/>
        <v>56189</v>
      </c>
      <c r="AJ215" s="838">
        <f t="shared" si="1704"/>
        <v>56517</v>
      </c>
      <c r="AK215" s="838">
        <f t="shared" si="1704"/>
        <v>62020</v>
      </c>
      <c r="AL215" s="838">
        <f t="shared" si="1704"/>
        <v>61858</v>
      </c>
      <c r="AM215" s="838">
        <f t="shared" ref="AM215" si="1705">+AM152</f>
        <v>64727</v>
      </c>
      <c r="AN215" s="838"/>
      <c r="AO215" s="838"/>
      <c r="AP215" s="838"/>
      <c r="AQ215" s="838"/>
      <c r="AR215" s="838"/>
      <c r="AS215" s="838"/>
      <c r="AT215" s="838"/>
      <c r="AU215" s="838"/>
      <c r="AV215" s="838"/>
      <c r="AW215" s="838"/>
      <c r="AX215" s="838"/>
      <c r="AY215" s="838"/>
      <c r="AZ215" s="838"/>
      <c r="BA215" s="838"/>
      <c r="BB215" s="838">
        <f>+BB152</f>
        <v>86833</v>
      </c>
      <c r="BC215" s="838">
        <f>+BC152</f>
        <v>93580</v>
      </c>
      <c r="BD215" s="838">
        <f>+BD152</f>
        <v>85320</v>
      </c>
      <c r="BE215" s="838">
        <f>+BE152</f>
        <v>89950</v>
      </c>
      <c r="BF215" s="838"/>
      <c r="BG215" s="838">
        <f t="shared" ref="BG215:BM215" si="1706">+BG152</f>
        <v>91154</v>
      </c>
      <c r="BH215" s="838">
        <f t="shared" si="1706"/>
        <v>96571</v>
      </c>
      <c r="BI215" s="838">
        <f t="shared" si="1706"/>
        <v>110360</v>
      </c>
      <c r="BJ215" s="838">
        <f t="shared" si="1706"/>
        <v>125843</v>
      </c>
      <c r="BK215" s="838">
        <f t="shared" si="1706"/>
        <v>143015</v>
      </c>
      <c r="BL215" s="838">
        <f t="shared" si="1706"/>
        <v>168088</v>
      </c>
      <c r="BM215" s="838">
        <f t="shared" si="1706"/>
        <v>198270</v>
      </c>
      <c r="BN215" s="838">
        <f t="shared" si="1702"/>
        <v>211915</v>
      </c>
      <c r="BO215" s="838">
        <f t="shared" si="1703"/>
        <v>245122</v>
      </c>
      <c r="BP215" s="838"/>
      <c r="BR215" s="838"/>
    </row>
    <row r="216" spans="2:70">
      <c r="B216" s="19"/>
    </row>
    <row r="217" spans="2:70" s="3" customFormat="1">
      <c r="B217" s="883" t="s">
        <v>113</v>
      </c>
    </row>
    <row r="218" spans="2:70" s="3" customFormat="1">
      <c r="B218" s="884" t="str">
        <f>+B213</f>
        <v>Cloud</v>
      </c>
      <c r="L218" s="228"/>
      <c r="M218" s="228"/>
      <c r="N218" s="228"/>
      <c r="O218" s="228"/>
      <c r="P218" s="228">
        <f t="shared" ref="P218:P220" si="1707">+IFERROR(P213/L213-1,"NA ")</f>
        <v>0.46551724137931028</v>
      </c>
      <c r="Q218" s="228">
        <f t="shared" ref="Q218:Q220" si="1708">+IFERROR(Q213/M213-1,"NA ")</f>
        <v>0.47540983606557385</v>
      </c>
      <c r="R218" s="228">
        <f t="shared" ref="R218:R220" si="1709">+IFERROR(R213/N213-1,"NA ")</f>
        <v>0.41176470588235303</v>
      </c>
      <c r="S218" s="228">
        <f t="shared" ref="S218:S220" si="1710">+IFERROR(S213/O213-1,"NA ")</f>
        <v>0.39240506329113933</v>
      </c>
      <c r="T218" s="228">
        <f t="shared" ref="T218:T220" si="1711">+IFERROR(T213/P213-1,"NA ")</f>
        <v>0.36470588235294121</v>
      </c>
      <c r="U218" s="228">
        <f t="shared" ref="U218:U220" si="1712">+IFERROR(U213/Q213-1,"NA ")</f>
        <v>0.38888888888888884</v>
      </c>
      <c r="V218" s="228">
        <f t="shared" ref="V218:V220" si="1713">+IFERROR(V213/R213-1,"NA ")</f>
        <v>0.38541666666666674</v>
      </c>
      <c r="W218" s="228">
        <f t="shared" ref="W218:W220" si="1714">+IFERROR(W213/S213-1,"NA ")</f>
        <v>0.30000000000000004</v>
      </c>
      <c r="X218" s="228">
        <f t="shared" ref="X218:X220" si="1715">+IFERROR(X213/T213-1,"NA ")</f>
        <v>0.31034482758620685</v>
      </c>
      <c r="Y218" s="228">
        <f t="shared" ref="Y218:Y220" si="1716">+IFERROR(Y213/U213-1,"NA ")</f>
        <v>0.33600000000000008</v>
      </c>
      <c r="Z218" s="228">
        <f t="shared" ref="Z218:Z220" si="1717">+IFERROR(Z213/V213-1,"NA ")</f>
        <v>0.33082706766917291</v>
      </c>
      <c r="AA218" s="228">
        <f t="shared" ref="AA218:AA220" si="1718">+IFERROR(AA213/W213-1,"NA ")</f>
        <v>0.36363636363636354</v>
      </c>
      <c r="AB218" s="228">
        <f t="shared" ref="AB218:AB220" si="1719">+IFERROR(AB213/X213-1,"NA ")</f>
        <v>0.36184210526315796</v>
      </c>
      <c r="AC218" s="228">
        <f t="shared" ref="AC218:AC220" si="1720">+IFERROR(AC213/Y213-1,"NA ")</f>
        <v>0.32335329341317376</v>
      </c>
      <c r="AD218" s="228">
        <f t="shared" ref="AD218:AD220" si="1721">+IFERROR(AD213/Z213-1,"NA ")</f>
        <v>0.32203389830508478</v>
      </c>
      <c r="AE218" s="228">
        <f t="shared" ref="AE218:AE220" si="1722">+IFERROR(AE213/AA213-1,"NA ")</f>
        <v>0.28717948717948727</v>
      </c>
      <c r="AF218" s="228">
        <f t="shared" ref="AF218:AF220" si="1723">+IFERROR(AF213/AB213-1,"NA ")</f>
        <v>0.24154589371980673</v>
      </c>
      <c r="AG218" s="228">
        <f t="shared" ref="AG218:AG220" si="1724">+IFERROR(AG213/AC213-1,"NA ")</f>
        <v>0.2262443438914028</v>
      </c>
      <c r="AH218" s="228">
        <f t="shared" ref="AH218:AH220" si="1725">+IFERROR(AH213/AD213-1,"NA ")</f>
        <v>0.21794871794871784</v>
      </c>
      <c r="AI218" s="228">
        <f t="shared" ref="AI218:AK220" si="1726">+IFERROR(AI213/AE213-1,"NA ")</f>
        <v>0.20717131474103589</v>
      </c>
      <c r="AJ218" s="228">
        <f t="shared" si="1726"/>
        <v>0.23735408560311289</v>
      </c>
      <c r="AK218" s="228">
        <f t="shared" si="1726"/>
        <v>0.24354243542435428</v>
      </c>
      <c r="AL218" s="228">
        <f t="shared" ref="AL218:AL220" si="1727">+IFERROR(AL213/AH213-1,"NA ")</f>
        <v>0.23157894736842111</v>
      </c>
      <c r="AM218" s="228">
        <f t="shared" ref="AM218:AM220" si="1728">+IFERROR(AM213/AI213-1,"NA ")</f>
        <v>0.21452145214521456</v>
      </c>
      <c r="AN218" s="228"/>
      <c r="AO218" s="228"/>
      <c r="AP218" s="228"/>
      <c r="AQ218" s="228"/>
      <c r="AR218" s="228"/>
      <c r="AS218" s="228"/>
      <c r="AT218" s="228"/>
      <c r="AU218" s="228"/>
      <c r="AV218" s="228"/>
      <c r="AW218" s="228"/>
      <c r="AX218" s="228"/>
      <c r="AY218" s="228"/>
      <c r="AZ218" s="228"/>
      <c r="BA218" s="228"/>
      <c r="BB218" s="228"/>
      <c r="BC218" s="228">
        <f t="shared" ref="BC218:BE218" si="1729">+IFERROR(BC213/BB213-1,"NA ")</f>
        <v>1.0714285714285716</v>
      </c>
      <c r="BD218" s="228">
        <f t="shared" si="1729"/>
        <v>0.63793103448275867</v>
      </c>
      <c r="BE218" s="228">
        <f t="shared" si="1729"/>
        <v>0.56842105263157894</v>
      </c>
      <c r="BF218" s="228"/>
      <c r="BG218" s="228"/>
      <c r="BH218" s="228"/>
      <c r="BI218" s="228" t="str">
        <f t="shared" ref="BI218:BK218" si="1730">+IFERROR(BI213/BH213-1,"NA ")</f>
        <v xml:space="preserve">NA </v>
      </c>
      <c r="BJ218" s="228">
        <f t="shared" si="1730"/>
        <v>0.43233082706766912</v>
      </c>
      <c r="BK218" s="228">
        <f t="shared" si="1730"/>
        <v>0.35695538057742793</v>
      </c>
      <c r="BL218" s="228">
        <f t="shared" ref="BL218:BM218" si="1731">+IFERROR(BL213/BK213-1,"NA ")</f>
        <v>0.33655705996131524</v>
      </c>
      <c r="BM218" s="228">
        <f t="shared" si="1731"/>
        <v>0.32127351664254711</v>
      </c>
      <c r="BN218" s="228">
        <f t="shared" ref="BN218:BN220" si="1732">+IFERROR(BN213/BM213-1,"NA ")</f>
        <v>0.22234392113910184</v>
      </c>
      <c r="BO218" s="228">
        <f t="shared" ref="BO218:BO220" si="1733">+IFERROR(BO213/BN213-1,"NA ")</f>
        <v>0.23118279569892475</v>
      </c>
      <c r="BP218" s="228"/>
    </row>
    <row r="219" spans="2:70" s="3" customFormat="1" ht="11.45">
      <c r="B219" s="884" t="str">
        <f t="shared" ref="B219:B220" si="1734">+B214</f>
        <v>Non-Cloud</v>
      </c>
      <c r="L219" s="840"/>
      <c r="M219" s="840"/>
      <c r="N219" s="840"/>
      <c r="O219" s="840"/>
      <c r="P219" s="840">
        <f t="shared" si="1707"/>
        <v>9.8516383818977538E-2</v>
      </c>
      <c r="Q219" s="840">
        <f t="shared" si="1708"/>
        <v>2.8617757910421648E-2</v>
      </c>
      <c r="R219" s="840">
        <f t="shared" si="1709"/>
        <v>4.7554822918227657E-2</v>
      </c>
      <c r="S219" s="840">
        <f t="shared" si="1710"/>
        <v>2.3980166779355327E-2</v>
      </c>
      <c r="T219" s="840">
        <f t="shared" si="1711"/>
        <v>4.2314418966187262E-2</v>
      </c>
      <c r="U219" s="840">
        <f t="shared" si="1712"/>
        <v>3.9836393847727081E-2</v>
      </c>
      <c r="V219" s="840">
        <f t="shared" si="1713"/>
        <v>3.5763673644556793E-2</v>
      </c>
      <c r="W219" s="840">
        <f t="shared" si="1714"/>
        <v>4.4724215345335994E-2</v>
      </c>
      <c r="X219" s="840">
        <f t="shared" si="1715"/>
        <v>2.3257981822419005E-2</v>
      </c>
      <c r="Y219" s="840">
        <f t="shared" si="1716"/>
        <v>8.071785626485295E-2</v>
      </c>
      <c r="Z219" s="840">
        <f t="shared" si="1717"/>
        <v>0.10519773491091566</v>
      </c>
      <c r="AA219" s="840">
        <f t="shared" si="1718"/>
        <v>0.12299330046770329</v>
      </c>
      <c r="AB219" s="840">
        <f t="shared" si="1719"/>
        <v>0.12129907989432454</v>
      </c>
      <c r="AC219" s="840">
        <f t="shared" si="1720"/>
        <v>0.12329390354868064</v>
      </c>
      <c r="AD219" s="840">
        <f t="shared" si="1721"/>
        <v>8.139631758726984E-2</v>
      </c>
      <c r="AE219" s="840">
        <f t="shared" si="1722"/>
        <v>4.2398319075491742E-3</v>
      </c>
      <c r="AF219" s="840">
        <f t="shared" si="1723"/>
        <v>-7.9213551610675115E-3</v>
      </c>
      <c r="AG219" s="840">
        <f t="shared" si="1724"/>
        <v>-0.13436614013770753</v>
      </c>
      <c r="AH219" s="840">
        <f t="shared" si="1725"/>
        <v>-6.1748844375963063E-2</v>
      </c>
      <c r="AI219" s="840">
        <f t="shared" si="1726"/>
        <v>-3.2729310666915756E-2</v>
      </c>
      <c r="AJ219" s="840">
        <f t="shared" si="1726"/>
        <v>1.2079272786831519E-2</v>
      </c>
      <c r="AK219" s="840">
        <f t="shared" si="1726"/>
        <v>0.10422271610714695</v>
      </c>
      <c r="AL219" s="840">
        <f t="shared" si="1727"/>
        <v>9.8575358213244701E-2</v>
      </c>
      <c r="AM219" s="840">
        <f t="shared" si="1728"/>
        <v>7.8720692185870522E-2</v>
      </c>
      <c r="AN219" s="840"/>
      <c r="AO219" s="840"/>
      <c r="AP219" s="840"/>
      <c r="AQ219" s="840"/>
      <c r="AR219" s="840"/>
      <c r="AS219" s="840"/>
      <c r="AT219" s="840"/>
      <c r="AU219" s="840"/>
      <c r="AV219" s="840"/>
      <c r="AW219" s="840"/>
      <c r="AX219" s="840"/>
      <c r="AY219" s="840"/>
      <c r="AZ219" s="840"/>
      <c r="BA219" s="840"/>
      <c r="BB219" s="840"/>
      <c r="BC219" s="840">
        <f t="shared" ref="BC219:BE219" si="1735">+IFERROR(BC214/BB214-1,"NA ")</f>
        <v>4.458962550426615E-2</v>
      </c>
      <c r="BD219" s="840">
        <f t="shared" si="1735"/>
        <v>-0.13624971519708362</v>
      </c>
      <c r="BE219" s="840">
        <f t="shared" si="1735"/>
        <v>-1.0155631759430239E-2</v>
      </c>
      <c r="BF219" s="840"/>
      <c r="BG219" s="840"/>
      <c r="BH219" s="840"/>
      <c r="BI219" s="840" t="str">
        <f t="shared" ref="BH219:BK220" si="1736">+IFERROR(BI214/BH214-1,"NA ")</f>
        <v xml:space="preserve">NA </v>
      </c>
      <c r="BJ219" s="840">
        <f t="shared" si="1736"/>
        <v>4.7552531041069823E-2</v>
      </c>
      <c r="BK219" s="840">
        <f t="shared" si="1736"/>
        <v>4.0709800211982783E-2</v>
      </c>
      <c r="BL219" s="840">
        <f t="shared" ref="BL219:BM219" si="1737">+IFERROR(BL214/BK214-1,"NA ")</f>
        <v>8.4027815802442118E-2</v>
      </c>
      <c r="BM219" s="840">
        <f t="shared" si="1737"/>
        <v>8.0636036691316137E-2</v>
      </c>
      <c r="BN219" s="840">
        <f t="shared" si="1732"/>
        <v>-6.2213704777040246E-2</v>
      </c>
      <c r="BO219" s="840">
        <f t="shared" si="1733"/>
        <v>7.3837412151722015E-2</v>
      </c>
      <c r="BP219" s="840"/>
    </row>
    <row r="220" spans="2:70" s="7" customFormat="1">
      <c r="B220" s="887" t="str">
        <f t="shared" si="1734"/>
        <v>Total Revenue</v>
      </c>
      <c r="L220" s="842"/>
      <c r="M220" s="842"/>
      <c r="N220" s="842"/>
      <c r="O220" s="842"/>
      <c r="P220" s="842">
        <f t="shared" si="1707"/>
        <v>0.18526367267095933</v>
      </c>
      <c r="Q220" s="842">
        <f t="shared" si="1708"/>
        <v>0.12286465177398154</v>
      </c>
      <c r="R220" s="842">
        <f t="shared" si="1709"/>
        <v>0.13990081658525666</v>
      </c>
      <c r="S220" s="842">
        <f t="shared" si="1710"/>
        <v>0.12072461359481479</v>
      </c>
      <c r="T220" s="842">
        <f t="shared" si="1711"/>
        <v>0.13653555219364599</v>
      </c>
      <c r="U220" s="842">
        <f t="shared" si="1712"/>
        <v>0.13658341289150311</v>
      </c>
      <c r="V220" s="842">
        <f t="shared" si="1713"/>
        <v>0.14556278826338698</v>
      </c>
      <c r="W220" s="842">
        <f t="shared" si="1714"/>
        <v>0.12800664353293589</v>
      </c>
      <c r="X220" s="842">
        <f t="shared" si="1715"/>
        <v>0.12400544546967174</v>
      </c>
      <c r="Y220" s="842">
        <f t="shared" si="1716"/>
        <v>0.16718148810491518</v>
      </c>
      <c r="Z220" s="842">
        <f t="shared" si="1717"/>
        <v>0.19088546871876866</v>
      </c>
      <c r="AA220" s="842">
        <f t="shared" si="1718"/>
        <v>0.21347251071437956</v>
      </c>
      <c r="AB220" s="842">
        <f t="shared" si="1719"/>
        <v>0.21970716477364483</v>
      </c>
      <c r="AC220" s="842">
        <f t="shared" si="1720"/>
        <v>0.2008543040208004</v>
      </c>
      <c r="AD220" s="842">
        <f t="shared" si="1721"/>
        <v>0.18352275451973332</v>
      </c>
      <c r="AE220" s="842">
        <f t="shared" si="1722"/>
        <v>0.12378661813139202</v>
      </c>
      <c r="AF220" s="842">
        <f t="shared" si="1723"/>
        <v>0.1060308493501334</v>
      </c>
      <c r="AG220" s="842">
        <f t="shared" si="1724"/>
        <v>1.9699195793380753E-2</v>
      </c>
      <c r="AH220" s="842">
        <f t="shared" si="1725"/>
        <v>7.0846839546191198E-2</v>
      </c>
      <c r="AI220" s="842">
        <f t="shared" si="1726"/>
        <v>8.3370288248336921E-2</v>
      </c>
      <c r="AJ220" s="842">
        <f t="shared" si="1726"/>
        <v>0.12758868361198683</v>
      </c>
      <c r="AK220" s="842">
        <f t="shared" si="1726"/>
        <v>0.17580146738203117</v>
      </c>
      <c r="AL220" s="842">
        <f t="shared" si="1727"/>
        <v>0.17028964943148495</v>
      </c>
      <c r="AM220" s="842">
        <f t="shared" si="1728"/>
        <v>0.15195144957198026</v>
      </c>
      <c r="AN220" s="842"/>
      <c r="AO220" s="842"/>
      <c r="AP220" s="842"/>
      <c r="AQ220" s="842"/>
      <c r="AR220" s="842"/>
      <c r="AS220" s="842"/>
      <c r="AT220" s="842"/>
      <c r="AU220" s="842"/>
      <c r="AV220" s="842"/>
      <c r="AW220" s="842"/>
      <c r="AX220" s="842"/>
      <c r="AY220" s="842"/>
      <c r="AZ220" s="842"/>
      <c r="BA220" s="842"/>
      <c r="BB220" s="842"/>
      <c r="BC220" s="842">
        <f t="shared" ref="BC220:BE220" si="1738">+IFERROR(BC215/BB215-1,"NA ")</f>
        <v>7.7700874091647165E-2</v>
      </c>
      <c r="BD220" s="842">
        <f t="shared" si="1738"/>
        <v>-8.8266723658901425E-2</v>
      </c>
      <c r="BE220" s="842">
        <f t="shared" si="1738"/>
        <v>5.4266291608063844E-2</v>
      </c>
      <c r="BF220" s="842"/>
      <c r="BG220" s="1179">
        <f t="shared" ref="BG220" si="1739">+BD220</f>
        <v>-8.8266723658901425E-2</v>
      </c>
      <c r="BH220" s="842">
        <f t="shared" si="1736"/>
        <v>5.9426903920837271E-2</v>
      </c>
      <c r="BI220" s="842">
        <f t="shared" si="1736"/>
        <v>0.14278613662486661</v>
      </c>
      <c r="BJ220" s="842">
        <f t="shared" si="1736"/>
        <v>0.14029539688292858</v>
      </c>
      <c r="BK220" s="842">
        <f t="shared" si="1736"/>
        <v>0.13645574247276371</v>
      </c>
      <c r="BL220" s="842">
        <f t="shared" ref="BL220:BM220" si="1740">+IFERROR(BL215/BK215-1,"NA ")</f>
        <v>0.17531727441177503</v>
      </c>
      <c r="BM220" s="842">
        <f t="shared" si="1740"/>
        <v>0.17956070629670173</v>
      </c>
      <c r="BN220" s="842">
        <f t="shared" si="1732"/>
        <v>6.8820295556564215E-2</v>
      </c>
      <c r="BO220" s="842">
        <f t="shared" si="1733"/>
        <v>0.1566996201307127</v>
      </c>
      <c r="BP220" s="842"/>
    </row>
    <row r="221" spans="2:70">
      <c r="B221" s="19"/>
    </row>
    <row r="222" spans="2:70" s="3" customFormat="1">
      <c r="B222" s="883" t="str">
        <f>+B162</f>
        <v>Constant-FX %</v>
      </c>
    </row>
    <row r="223" spans="2:70" s="3" customFormat="1">
      <c r="B223" s="884" t="str">
        <f>+B218</f>
        <v>Cloud</v>
      </c>
      <c r="L223" s="228"/>
      <c r="M223" s="228"/>
      <c r="N223" s="228"/>
      <c r="O223" s="228"/>
      <c r="P223" s="904">
        <v>0.46</v>
      </c>
      <c r="Q223" s="904">
        <v>0.47</v>
      </c>
      <c r="R223" s="904">
        <v>0.13</v>
      </c>
      <c r="S223" s="904">
        <v>0.42</v>
      </c>
      <c r="T223" s="904">
        <v>0.39</v>
      </c>
      <c r="U223" s="904">
        <v>0.41</v>
      </c>
      <c r="V223" s="904">
        <v>0.4</v>
      </c>
      <c r="W223" s="904">
        <v>0.32</v>
      </c>
      <c r="X223" s="904">
        <v>0.31</v>
      </c>
      <c r="Y223" s="904">
        <v>0.32</v>
      </c>
      <c r="Z223" s="904">
        <v>0.28999999999999998</v>
      </c>
      <c r="AA223" s="904">
        <v>0.31</v>
      </c>
      <c r="AB223" s="904">
        <v>0.34</v>
      </c>
      <c r="AC223" s="904">
        <v>0.32</v>
      </c>
      <c r="AD223" s="904">
        <v>0.35</v>
      </c>
      <c r="AE223" s="904">
        <v>0.33</v>
      </c>
      <c r="AF223" s="904">
        <v>0.31</v>
      </c>
      <c r="AG223" s="904">
        <v>0.28999999999999998</v>
      </c>
      <c r="AH223" s="904">
        <v>0.25</v>
      </c>
      <c r="AI223" s="904">
        <v>0.23</v>
      </c>
      <c r="AJ223" s="904">
        <v>0.23</v>
      </c>
      <c r="AK223" s="904">
        <v>0.22</v>
      </c>
      <c r="AL223" s="904">
        <v>0.23</v>
      </c>
      <c r="AM223" s="904">
        <v>0.22</v>
      </c>
      <c r="AN223" s="904"/>
      <c r="AO223" s="904"/>
      <c r="AP223" s="904"/>
      <c r="AQ223" s="904"/>
      <c r="BI223" s="14" t="s">
        <v>271</v>
      </c>
      <c r="BJ223" s="14">
        <f>+SUMPRODUCT(P223:S223,L213:O213)/BI213</f>
        <v>0.36605263157894735</v>
      </c>
      <c r="BK223" s="14">
        <f>+SUMPRODUCT(T223:W223,P213:S213)/BJ213</f>
        <v>0.37703412073490816</v>
      </c>
      <c r="BL223" s="14">
        <f>+SUMPRODUCT(X223:AA223,T213:W213)/BK213</f>
        <v>0.30727272727272725</v>
      </c>
      <c r="BM223" s="14">
        <f>+SUMPRODUCT(AB223:AE223,X213:AA213)/BL213</f>
        <v>0.33490593342981184</v>
      </c>
      <c r="BN223" s="14">
        <f>+SUMPRODUCT(AG223:AJ223,AB213:AE213)/BM213</f>
        <v>0.24844468784227822</v>
      </c>
      <c r="BO223" s="14">
        <f>+SUMPRODUCT(AJ223:AM223,AF213:AI213)/BN213</f>
        <v>0.22485663082437277</v>
      </c>
      <c r="BP223" s="228"/>
    </row>
    <row r="224" spans="2:70" s="3" customFormat="1" ht="11.45">
      <c r="B224" s="884" t="str">
        <f t="shared" ref="B224:B225" si="1741">+B219</f>
        <v>Non-Cloud</v>
      </c>
      <c r="L224" s="840"/>
      <c r="M224" s="840"/>
      <c r="N224" s="840"/>
      <c r="O224" s="840"/>
      <c r="P224" s="840">
        <f t="shared" ref="P224:AL224" si="1742">+(P167*L152-P223*L213)/L214</f>
        <v>0.10048137474650441</v>
      </c>
      <c r="Q224" s="840">
        <f t="shared" si="1742"/>
        <v>3.4435095100359359E-2</v>
      </c>
      <c r="R224" s="840">
        <f t="shared" si="1742"/>
        <v>0.17019031919676308</v>
      </c>
      <c r="S224" s="840">
        <f t="shared" si="1742"/>
        <v>4.4691458192472409E-2</v>
      </c>
      <c r="T224" s="840">
        <f t="shared" si="1742"/>
        <v>5.6955888068402648E-2</v>
      </c>
      <c r="U224" s="840">
        <f t="shared" si="1742"/>
        <v>5.3028418047803678E-2</v>
      </c>
      <c r="V224" s="840">
        <f t="shared" si="1742"/>
        <v>4.8835534786133193E-2</v>
      </c>
      <c r="W224" s="840">
        <f t="shared" si="1742"/>
        <v>6.0297517277809562E-2</v>
      </c>
      <c r="X224" s="840">
        <f t="shared" si="1742"/>
        <v>1.8054556047541376E-2</v>
      </c>
      <c r="Y224" s="840">
        <f t="shared" si="1742"/>
        <v>6.8428525772351062E-2</v>
      </c>
      <c r="Z224" s="840">
        <f t="shared" si="1742"/>
        <v>8.3163901293678927E-2</v>
      </c>
      <c r="AA224" s="840">
        <f t="shared" si="1742"/>
        <v>9.2790683857919345E-2</v>
      </c>
      <c r="AB224" s="840">
        <f t="shared" si="1742"/>
        <v>0.10959275758403934</v>
      </c>
      <c r="AC224" s="840">
        <f t="shared" si="1742"/>
        <v>0.12530382165605089</v>
      </c>
      <c r="AD224" s="840">
        <f t="shared" si="1742"/>
        <v>9.2003524118970323E-2</v>
      </c>
      <c r="AE224" s="840">
        <f t="shared" si="1742"/>
        <v>4.3572234729100996E-2</v>
      </c>
      <c r="AF224" s="840">
        <f t="shared" si="1742"/>
        <v>2.8385209408132567E-2</v>
      </c>
      <c r="AG224" s="840">
        <f t="shared" si="1742"/>
        <v>-9.0331416227892536E-2</v>
      </c>
      <c r="AH224" s="840">
        <f t="shared" si="1742"/>
        <v>-3.2120724191063217E-2</v>
      </c>
      <c r="AI224" s="840">
        <f t="shared" si="1742"/>
        <v>-2.4552587334205105E-2</v>
      </c>
      <c r="AJ224" s="840">
        <f t="shared" si="1742"/>
        <v>1.0168053394480424E-2</v>
      </c>
      <c r="AK224" s="840">
        <f t="shared" si="1742"/>
        <v>0.10634460170780209</v>
      </c>
      <c r="AL224" s="840">
        <f t="shared" si="1742"/>
        <v>9.5295508478055652E-2</v>
      </c>
      <c r="AM224" s="840">
        <f t="shared" ref="AM224" si="1743">+(AM167*AI152-AM223*AI213)/AI214</f>
        <v>9.5603457066707878E-2</v>
      </c>
      <c r="AN224" s="840"/>
      <c r="AO224" s="840"/>
      <c r="AP224" s="840"/>
      <c r="AQ224" s="840"/>
      <c r="AR224" s="840"/>
      <c r="AS224" s="840"/>
      <c r="AT224" s="840"/>
      <c r="AU224" s="840"/>
      <c r="AV224" s="840"/>
      <c r="AW224" s="840"/>
      <c r="AX224" s="840"/>
      <c r="AY224" s="840"/>
      <c r="AZ224" s="840"/>
      <c r="BA224" s="840"/>
      <c r="BB224" s="840"/>
      <c r="BC224" s="840"/>
      <c r="BD224" s="840"/>
      <c r="BE224" s="840"/>
      <c r="BF224" s="840"/>
      <c r="BG224" s="840"/>
      <c r="BH224" s="840"/>
      <c r="BI224" s="840" t="s">
        <v>271</v>
      </c>
      <c r="BJ224" s="840">
        <f>+SUMPRODUCT(P224:S224,L214:O214)/BI214</f>
        <v>8.4372970391595026E-2</v>
      </c>
      <c r="BK224" s="840">
        <f>+SUMPRODUCT(T224:W224,P214:S214)/BJ214</f>
        <v>5.4829658206352633E-2</v>
      </c>
      <c r="BL224" s="840">
        <f>+SUMPRODUCT(X224:AA224,T214:W214)/BK214</f>
        <v>6.6429737721075396E-2</v>
      </c>
      <c r="BM224" s="840">
        <f>+SUMPRODUCT(AB224:AE224,X214:AA214)/BL214</f>
        <v>9.173775407120055E-2</v>
      </c>
      <c r="BN224" s="840">
        <f>+SUMPRODUCT(AF224:AI224,AB214:AE214)/BM214</f>
        <v>-3.2425768907170249E-2</v>
      </c>
      <c r="BO224" s="840">
        <f t="shared" ref="BO224:BO225" si="1744">+SUMPRODUCT(AJ224:AM224,AF214:AI214)/BN214</f>
        <v>7.7475300802472238E-2</v>
      </c>
      <c r="BP224" s="840"/>
    </row>
    <row r="225" spans="2:69" s="7" customFormat="1">
      <c r="B225" s="887" t="str">
        <f t="shared" si="1741"/>
        <v>Total Revenue</v>
      </c>
      <c r="L225" s="842"/>
      <c r="M225" s="842"/>
      <c r="N225" s="842"/>
      <c r="O225" s="842"/>
      <c r="P225" s="842">
        <f t="shared" ref="P225:AM225" si="1745">+P14</f>
        <v>0.18546010269785637</v>
      </c>
      <c r="Q225" s="842">
        <f t="shared" si="1745"/>
        <v>0.12631371464139982</v>
      </c>
      <c r="R225" s="842">
        <f t="shared" si="1745"/>
        <v>0.16</v>
      </c>
      <c r="S225" s="842">
        <f t="shared" si="1745"/>
        <v>0.14324347681568889</v>
      </c>
      <c r="T225" s="842">
        <f t="shared" si="1745"/>
        <v>0.15429033145372026</v>
      </c>
      <c r="U225" s="842">
        <f t="shared" si="1745"/>
        <v>0.15197037356410337</v>
      </c>
      <c r="V225" s="842">
        <f t="shared" si="1745"/>
        <v>0.15910928657878379</v>
      </c>
      <c r="W225" s="842">
        <f t="shared" si="1745"/>
        <v>0.14502413322656227</v>
      </c>
      <c r="X225" s="842">
        <f t="shared" si="1745"/>
        <v>0.12050704885796401</v>
      </c>
      <c r="Y225" s="842">
        <f t="shared" si="1745"/>
        <v>0.15363536010404813</v>
      </c>
      <c r="Z225" s="842">
        <f t="shared" si="1745"/>
        <v>0.16171448844978725</v>
      </c>
      <c r="AA225" s="842">
        <f t="shared" si="1745"/>
        <v>0.17445905660873451</v>
      </c>
      <c r="AB225" s="842">
        <f t="shared" si="1745"/>
        <v>0.20385421219787908</v>
      </c>
      <c r="AC225" s="842">
        <f t="shared" si="1745"/>
        <v>0.20078497539232981</v>
      </c>
      <c r="AD225" s="842">
        <f t="shared" si="1745"/>
        <v>0.20149706517047911</v>
      </c>
      <c r="AE225" s="842">
        <f t="shared" si="1745"/>
        <v>0.16459280637892182</v>
      </c>
      <c r="AF225" s="842">
        <f t="shared" si="1745"/>
        <v>0.15702183948628548</v>
      </c>
      <c r="AG225" s="842">
        <f t="shared" si="1745"/>
        <v>7.2159387565728428E-2</v>
      </c>
      <c r="AH225" s="842">
        <f t="shared" si="1745"/>
        <v>0.10162370340356562</v>
      </c>
      <c r="AI225" s="842">
        <f t="shared" si="1745"/>
        <v>9.8637809698255086E-2</v>
      </c>
      <c r="AJ225" s="842">
        <f t="shared" si="1745"/>
        <v>0.12288664059694347</v>
      </c>
      <c r="AK225" s="842">
        <f t="shared" si="1745"/>
        <v>0.16473771020152805</v>
      </c>
      <c r="AL225" s="842">
        <f t="shared" si="1745"/>
        <v>0.16792691034300095</v>
      </c>
      <c r="AM225" s="842">
        <f t="shared" si="1745"/>
        <v>0.15532025438320218</v>
      </c>
      <c r="AN225" s="842"/>
      <c r="AO225" s="842"/>
      <c r="AP225" s="842"/>
      <c r="AQ225" s="842"/>
      <c r="AR225" s="842"/>
      <c r="AS225" s="842"/>
      <c r="AT225" s="842"/>
      <c r="AU225" s="842"/>
      <c r="AV225" s="842"/>
      <c r="AW225" s="842"/>
      <c r="AX225" s="842"/>
      <c r="AY225" s="842"/>
      <c r="AZ225" s="842"/>
      <c r="BA225" s="842"/>
      <c r="BB225" s="842"/>
      <c r="BC225" s="842">
        <f>+BC14</f>
        <v>9.7700874091647169E-2</v>
      </c>
      <c r="BD225" s="842">
        <f>+BD14</f>
        <v>-4.8266723658901424E-2</v>
      </c>
      <c r="BE225" s="842">
        <f>+BE14</f>
        <v>7.4266291608063847E-2</v>
      </c>
      <c r="BF225" s="842"/>
      <c r="BG225" s="1179">
        <f t="shared" ref="BG225" si="1746">+BD225</f>
        <v>-4.8266723658901424E-2</v>
      </c>
      <c r="BH225" s="842" t="s">
        <v>271</v>
      </c>
      <c r="BI225" s="842">
        <f t="shared" ref="BI225:BN225" si="1747">+BI14</f>
        <v>0.12866916569156372</v>
      </c>
      <c r="BJ225" s="842">
        <f t="shared" si="1747"/>
        <v>0.15088356288510332</v>
      </c>
      <c r="BK225" s="842">
        <f t="shared" si="1747"/>
        <v>0.15238217445818814</v>
      </c>
      <c r="BL225" s="842">
        <f t="shared" si="1747"/>
        <v>0.1534946089571024</v>
      </c>
      <c r="BM225" s="842">
        <f t="shared" si="1747"/>
        <v>0.19170277949645423</v>
      </c>
      <c r="BN225" s="842">
        <f t="shared" si="1747"/>
        <v>0.1058173979926363</v>
      </c>
      <c r="BO225" s="842">
        <f t="shared" si="1744"/>
        <v>0.15313756304904208</v>
      </c>
      <c r="BP225" s="842"/>
    </row>
    <row r="226" spans="2:69">
      <c r="B226" s="19"/>
    </row>
    <row r="227" spans="2:69" ht="10.5">
      <c r="B227" s="45" t="s">
        <v>276</v>
      </c>
    </row>
    <row r="228" spans="2:69" ht="13.5">
      <c r="B228" t="s">
        <v>356</v>
      </c>
      <c r="H228" s="903"/>
      <c r="I228" s="821"/>
      <c r="J228" s="31"/>
      <c r="K228" s="31"/>
      <c r="L228" s="8">
        <f t="shared" ref="L228:AF228" si="1748">+L238*L213</f>
        <v>3363.9999999999995</v>
      </c>
      <c r="M228" s="8">
        <f t="shared" si="1748"/>
        <v>3476.9999999999995</v>
      </c>
      <c r="N228" s="8">
        <f t="shared" si="1748"/>
        <v>3943.9999999999995</v>
      </c>
      <c r="O228" s="8">
        <f t="shared" si="1748"/>
        <v>4661</v>
      </c>
      <c r="P228" s="8">
        <f t="shared" si="1748"/>
        <v>5270</v>
      </c>
      <c r="Q228" s="8">
        <f t="shared" si="1748"/>
        <v>5580</v>
      </c>
      <c r="R228" s="8">
        <f t="shared" si="1748"/>
        <v>6048</v>
      </c>
      <c r="S228" s="8">
        <f t="shared" si="1748"/>
        <v>7150</v>
      </c>
      <c r="T228" s="8">
        <f t="shared" si="1748"/>
        <v>7656</v>
      </c>
      <c r="U228" s="8">
        <f t="shared" si="1748"/>
        <v>8375</v>
      </c>
      <c r="V228" s="8">
        <f t="shared" si="1748"/>
        <v>8911</v>
      </c>
      <c r="W228" s="8">
        <f t="shared" si="1748"/>
        <v>9438</v>
      </c>
      <c r="X228" s="8">
        <f t="shared" si="1748"/>
        <v>10792</v>
      </c>
      <c r="Y228" s="8">
        <f t="shared" si="1748"/>
        <v>11857</v>
      </c>
      <c r="Z228" s="8">
        <f t="shared" si="1748"/>
        <v>12390</v>
      </c>
      <c r="AA228" s="8">
        <f t="shared" si="1748"/>
        <v>13650</v>
      </c>
      <c r="AB228" s="8">
        <f t="shared" si="1748"/>
        <v>14697</v>
      </c>
      <c r="AC228" s="8">
        <f t="shared" si="1748"/>
        <v>15469.999999999998</v>
      </c>
      <c r="AD228" s="8">
        <f t="shared" si="1748"/>
        <v>16379.999999999998</v>
      </c>
      <c r="AE228" s="8">
        <f t="shared" si="1748"/>
        <v>17319</v>
      </c>
      <c r="AF228" s="8">
        <f t="shared" si="1748"/>
        <v>18761</v>
      </c>
      <c r="AG228" s="8">
        <f t="shared" ref="AG228:AH228" si="1749">+AG238*AG213</f>
        <v>19512</v>
      </c>
      <c r="AH228" s="8">
        <f t="shared" si="1749"/>
        <v>20520</v>
      </c>
      <c r="AI228" s="8">
        <f t="shared" ref="AI228:AJ228" si="1750">+AI238*AI213</f>
        <v>21816</v>
      </c>
      <c r="AJ228" s="8">
        <f t="shared" si="1750"/>
        <v>23214</v>
      </c>
      <c r="AK228" s="8">
        <f t="shared" ref="AK228:AL228" si="1751">+AK238*AK213</f>
        <v>24264</v>
      </c>
      <c r="AL228" s="8">
        <f t="shared" si="1751"/>
        <v>25623</v>
      </c>
      <c r="AM228" s="8">
        <f t="shared" ref="AM228" si="1752">+AM238*AM213</f>
        <v>25391.999999999996</v>
      </c>
      <c r="AN228" s="8"/>
      <c r="AO228" s="8"/>
      <c r="AP228" s="8"/>
      <c r="AQ228" s="8"/>
      <c r="BB228" s="8">
        <f>+BB238*BB213</f>
        <v>420</v>
      </c>
      <c r="BC228" s="8">
        <f>+BC238*BC213</f>
        <v>2552</v>
      </c>
      <c r="BD228" s="8">
        <f>+BD238*BD213</f>
        <v>4275</v>
      </c>
      <c r="BE228" s="8">
        <f>+BE238*BE213</f>
        <v>7152</v>
      </c>
      <c r="BG228" s="856"/>
      <c r="BH228" s="856"/>
      <c r="BI228" s="880">
        <f>+SUM(L228:O228)</f>
        <v>15445.999999999998</v>
      </c>
      <c r="BJ228" s="880">
        <f>SUM(P228:S228)</f>
        <v>24048</v>
      </c>
      <c r="BK228" s="880">
        <f>SUM(T228:W228)</f>
        <v>34380</v>
      </c>
      <c r="BL228" s="880">
        <f>SUM(X228:AA228)</f>
        <v>48689</v>
      </c>
      <c r="BM228" s="880">
        <f>SUM(AB228:AE228)</f>
        <v>63866</v>
      </c>
      <c r="BN228" s="8">
        <f t="shared" ref="BN228:BN230" si="1753">SUM(AF228:AI228)</f>
        <v>80609</v>
      </c>
      <c r="BO228" s="8">
        <f t="shared" ref="BO228:BO230" si="1754">SUM(AJ228:AM228)</f>
        <v>98493</v>
      </c>
      <c r="BP228" s="8"/>
      <c r="BQ228" s="8"/>
    </row>
    <row r="229" spans="2:69" s="953" customFormat="1" ht="11.45">
      <c r="B229" t="s">
        <v>357</v>
      </c>
      <c r="H229" s="10"/>
      <c r="I229" s="10"/>
      <c r="J229" s="10"/>
      <c r="K229" s="10"/>
      <c r="L229" s="10">
        <f t="shared" ref="L229:AM229" si="1755">+L746-L228</f>
        <v>12896</v>
      </c>
      <c r="M229" s="10">
        <f t="shared" si="1755"/>
        <v>14377</v>
      </c>
      <c r="N229" s="10">
        <f t="shared" si="1755"/>
        <v>13606</v>
      </c>
      <c r="O229" s="10">
        <f t="shared" si="1755"/>
        <v>15682</v>
      </c>
      <c r="P229" s="10">
        <f t="shared" si="1755"/>
        <v>13909</v>
      </c>
      <c r="Q229" s="10">
        <f t="shared" si="1755"/>
        <v>14468</v>
      </c>
      <c r="R229" s="10">
        <f t="shared" si="1755"/>
        <v>14353</v>
      </c>
      <c r="S229" s="10">
        <f t="shared" si="1755"/>
        <v>16155</v>
      </c>
      <c r="T229" s="10">
        <f t="shared" si="1755"/>
        <v>14993</v>
      </c>
      <c r="U229" s="10">
        <f t="shared" si="1755"/>
        <v>16173</v>
      </c>
      <c r="V229" s="10">
        <f t="shared" si="1755"/>
        <v>15135</v>
      </c>
      <c r="W229" s="10">
        <f t="shared" si="1755"/>
        <v>16256</v>
      </c>
      <c r="X229" s="10">
        <f t="shared" si="1755"/>
        <v>15360</v>
      </c>
      <c r="Y229" s="10">
        <f t="shared" si="1755"/>
        <v>17025</v>
      </c>
      <c r="Z229" s="10">
        <f t="shared" si="1755"/>
        <v>16271</v>
      </c>
      <c r="AA229" s="10">
        <f t="shared" si="1755"/>
        <v>18511</v>
      </c>
      <c r="AB229" s="10">
        <f t="shared" si="1755"/>
        <v>16974</v>
      </c>
      <c r="AC229" s="10">
        <f t="shared" si="1755"/>
        <v>19298</v>
      </c>
      <c r="AD229" s="10">
        <f t="shared" si="1755"/>
        <v>17365</v>
      </c>
      <c r="AE229" s="10">
        <f t="shared" si="1755"/>
        <v>18117</v>
      </c>
      <c r="AF229" s="10">
        <f t="shared" si="1755"/>
        <v>15909</v>
      </c>
      <c r="AG229" s="10">
        <f t="shared" si="1755"/>
        <v>15747</v>
      </c>
      <c r="AH229" s="10">
        <f t="shared" si="1755"/>
        <v>16209</v>
      </c>
      <c r="AI229" s="10">
        <f t="shared" si="1755"/>
        <v>17578</v>
      </c>
      <c r="AJ229" s="10">
        <f t="shared" si="1755"/>
        <v>17001</v>
      </c>
      <c r="AK229" s="10">
        <f t="shared" si="1755"/>
        <v>18133</v>
      </c>
      <c r="AL229" s="10">
        <f t="shared" si="1755"/>
        <v>17730</v>
      </c>
      <c r="AM229" s="10">
        <f t="shared" si="1755"/>
        <v>19651.000000000004</v>
      </c>
      <c r="AN229" s="10"/>
      <c r="AO229" s="10"/>
      <c r="AP229" s="10"/>
      <c r="AQ229" s="10"/>
      <c r="AR229" s="942"/>
      <c r="AS229" s="942"/>
      <c r="AT229" s="942"/>
      <c r="AU229" s="942"/>
      <c r="AV229" s="942"/>
      <c r="AW229" s="942"/>
      <c r="AX229" s="942"/>
      <c r="AY229" s="942"/>
      <c r="AZ229" s="942"/>
      <c r="BA229" s="942"/>
      <c r="BB229" s="10">
        <f>+BB746-BB228</f>
        <v>59335</v>
      </c>
      <c r="BC229" s="10">
        <f>+BC746-BC228</f>
        <v>57990</v>
      </c>
      <c r="BD229" s="10">
        <f>+BD746-BD228</f>
        <v>48265</v>
      </c>
      <c r="BE229" s="10">
        <f>+BE746-BE228</f>
        <v>48537</v>
      </c>
      <c r="BF229" s="942"/>
      <c r="BG229" s="1002"/>
      <c r="BH229" s="1002"/>
      <c r="BI229" s="10">
        <f>+BI746-BI228</f>
        <v>56561</v>
      </c>
      <c r="BJ229" s="10">
        <f>+BJ746-BJ228</f>
        <v>58885</v>
      </c>
      <c r="BK229" s="10">
        <f>+BK746-BK228</f>
        <v>62557</v>
      </c>
      <c r="BL229" s="10">
        <f>+BL746-BL228</f>
        <v>67167</v>
      </c>
      <c r="BM229" s="10">
        <f>+BM746-BM228</f>
        <v>71754</v>
      </c>
      <c r="BN229" s="10">
        <f t="shared" si="1753"/>
        <v>65443</v>
      </c>
      <c r="BO229" s="10">
        <f t="shared" si="1754"/>
        <v>72515</v>
      </c>
      <c r="BP229" s="10"/>
    </row>
    <row r="230" spans="2:69" s="1" customFormat="1" ht="10.5">
      <c r="B230" s="837" t="s">
        <v>358</v>
      </c>
      <c r="D230" s="838"/>
      <c r="E230" s="838"/>
      <c r="F230" s="838"/>
      <c r="G230" s="838"/>
      <c r="H230" s="838"/>
      <c r="I230" s="838"/>
      <c r="J230" s="838"/>
      <c r="K230" s="838"/>
      <c r="L230" s="838">
        <f>+SUM(L228:L229)</f>
        <v>16260</v>
      </c>
      <c r="M230" s="838">
        <f t="shared" ref="M230:AF230" si="1756">+SUM(M228:M229)</f>
        <v>17854</v>
      </c>
      <c r="N230" s="838">
        <f t="shared" si="1756"/>
        <v>17550</v>
      </c>
      <c r="O230" s="838">
        <f t="shared" si="1756"/>
        <v>20343</v>
      </c>
      <c r="P230" s="838">
        <f t="shared" si="1756"/>
        <v>19179</v>
      </c>
      <c r="Q230" s="838">
        <f t="shared" si="1756"/>
        <v>20048</v>
      </c>
      <c r="R230" s="838">
        <f t="shared" si="1756"/>
        <v>20401</v>
      </c>
      <c r="S230" s="838">
        <f t="shared" si="1756"/>
        <v>23305</v>
      </c>
      <c r="T230" s="838">
        <f t="shared" si="1756"/>
        <v>22649</v>
      </c>
      <c r="U230" s="838">
        <f t="shared" si="1756"/>
        <v>24548</v>
      </c>
      <c r="V230" s="838">
        <f t="shared" si="1756"/>
        <v>24046</v>
      </c>
      <c r="W230" s="838">
        <f t="shared" si="1756"/>
        <v>25694</v>
      </c>
      <c r="X230" s="838">
        <f t="shared" si="1756"/>
        <v>26152</v>
      </c>
      <c r="Y230" s="838">
        <f t="shared" si="1756"/>
        <v>28882</v>
      </c>
      <c r="Z230" s="838">
        <f t="shared" si="1756"/>
        <v>28661</v>
      </c>
      <c r="AA230" s="838">
        <f t="shared" si="1756"/>
        <v>32161</v>
      </c>
      <c r="AB230" s="838">
        <f t="shared" si="1756"/>
        <v>31671</v>
      </c>
      <c r="AC230" s="838">
        <f t="shared" si="1756"/>
        <v>34768</v>
      </c>
      <c r="AD230" s="838">
        <f t="shared" si="1756"/>
        <v>33745</v>
      </c>
      <c r="AE230" s="838">
        <f t="shared" si="1756"/>
        <v>35436</v>
      </c>
      <c r="AF230" s="838">
        <f t="shared" si="1756"/>
        <v>34670</v>
      </c>
      <c r="AG230" s="838">
        <f t="shared" ref="AG230:AH230" si="1757">+SUM(AG228:AG229)</f>
        <v>35259</v>
      </c>
      <c r="AH230" s="838">
        <f t="shared" si="1757"/>
        <v>36729</v>
      </c>
      <c r="AI230" s="838">
        <f t="shared" ref="AI230:AJ230" si="1758">+SUM(AI228:AI229)</f>
        <v>39394</v>
      </c>
      <c r="AJ230" s="838">
        <f t="shared" si="1758"/>
        <v>40215</v>
      </c>
      <c r="AK230" s="838">
        <f t="shared" ref="AK230:AL230" si="1759">+SUM(AK228:AK229)</f>
        <v>42397</v>
      </c>
      <c r="AL230" s="838">
        <f t="shared" si="1759"/>
        <v>43353</v>
      </c>
      <c r="AM230" s="838">
        <f t="shared" ref="AM230" si="1760">+SUM(AM228:AM229)</f>
        <v>45043</v>
      </c>
      <c r="AN230" s="838"/>
      <c r="AO230" s="838"/>
      <c r="AP230" s="838"/>
      <c r="AQ230" s="838"/>
      <c r="AR230" s="838"/>
      <c r="AS230" s="838">
        <f t="shared" ref="AS230:BH230" si="1761">+AS746</f>
        <v>33757</v>
      </c>
      <c r="AT230" s="838">
        <f t="shared" si="1761"/>
        <v>36632</v>
      </c>
      <c r="AU230" s="838">
        <f t="shared" si="1761"/>
        <v>40429</v>
      </c>
      <c r="AV230" s="838">
        <f t="shared" si="1761"/>
        <v>48822</v>
      </c>
      <c r="AW230" s="838">
        <f t="shared" si="1761"/>
        <v>46282</v>
      </c>
      <c r="AX230" s="838">
        <f t="shared" si="1761"/>
        <v>50089</v>
      </c>
      <c r="AY230" s="838">
        <f t="shared" si="1761"/>
        <v>54366</v>
      </c>
      <c r="AZ230" s="838">
        <f t="shared" si="1761"/>
        <v>56193</v>
      </c>
      <c r="BA230" s="838">
        <f t="shared" si="1761"/>
        <v>57464</v>
      </c>
      <c r="BB230" s="838">
        <f t="shared" si="1761"/>
        <v>59755</v>
      </c>
      <c r="BC230" s="838">
        <f t="shared" si="1761"/>
        <v>60542</v>
      </c>
      <c r="BD230" s="838">
        <f t="shared" si="1761"/>
        <v>52540</v>
      </c>
      <c r="BE230" s="838">
        <f t="shared" si="1761"/>
        <v>55689</v>
      </c>
      <c r="BF230" s="838">
        <f t="shared" si="1761"/>
        <v>0</v>
      </c>
      <c r="BG230" s="838">
        <f t="shared" si="1761"/>
        <v>58374</v>
      </c>
      <c r="BH230" s="838">
        <f t="shared" si="1761"/>
        <v>62310</v>
      </c>
      <c r="BI230" s="838">
        <f t="shared" ref="BI230:BM230" si="1762">+SUM(BI228:BI229)</f>
        <v>72007</v>
      </c>
      <c r="BJ230" s="838">
        <f t="shared" si="1762"/>
        <v>82933</v>
      </c>
      <c r="BK230" s="838">
        <f t="shared" si="1762"/>
        <v>96937</v>
      </c>
      <c r="BL230" s="838">
        <f t="shared" si="1762"/>
        <v>115856</v>
      </c>
      <c r="BM230" s="838">
        <f t="shared" si="1762"/>
        <v>135620</v>
      </c>
      <c r="BN230" s="838">
        <f t="shared" si="1753"/>
        <v>146052</v>
      </c>
      <c r="BO230" s="838">
        <f t="shared" si="1754"/>
        <v>171008</v>
      </c>
      <c r="BP230" s="838"/>
    </row>
    <row r="231" spans="2:69">
      <c r="B231" s="19"/>
    </row>
    <row r="232" spans="2:69" s="3" customFormat="1">
      <c r="B232" s="883" t="s">
        <v>113</v>
      </c>
    </row>
    <row r="233" spans="2:69" s="3" customFormat="1">
      <c r="B233" s="884" t="str">
        <f>+B228</f>
        <v>Cloud</v>
      </c>
      <c r="L233" s="228"/>
      <c r="M233" s="228"/>
      <c r="N233" s="228"/>
      <c r="O233" s="228"/>
      <c r="P233" s="228">
        <f t="shared" ref="P233:P235" si="1763">+IFERROR(P228/L228-1,"NA ")</f>
        <v>0.5665873959571941</v>
      </c>
      <c r="Q233" s="228">
        <f t="shared" ref="Q233:Q235" si="1764">+IFERROR(Q228/M228-1,"NA ")</f>
        <v>0.60483175150992263</v>
      </c>
      <c r="R233" s="228">
        <f t="shared" ref="R233:R235" si="1765">+IFERROR(R228/N228-1,"NA ")</f>
        <v>0.53346855983772845</v>
      </c>
      <c r="S233" s="228">
        <f t="shared" ref="S233:S235" si="1766">+IFERROR(S228/O228-1,"NA ")</f>
        <v>0.53400557820210248</v>
      </c>
      <c r="T233" s="228">
        <f t="shared" ref="T233:T235" si="1767">+IFERROR(T228/P228-1,"NA ")</f>
        <v>0.45275142314990502</v>
      </c>
      <c r="U233" s="228">
        <f t="shared" ref="U233:U235" si="1768">+IFERROR(U228/Q228-1,"NA ")</f>
        <v>0.50089605734767018</v>
      </c>
      <c r="V233" s="228">
        <f t="shared" ref="V233:V235" si="1769">+IFERROR(V228/R228-1,"NA ")</f>
        <v>0.47337962962962954</v>
      </c>
      <c r="W233" s="228">
        <f t="shared" ref="W233:W235" si="1770">+IFERROR(W228/S228-1,"NA ")</f>
        <v>0.32000000000000006</v>
      </c>
      <c r="X233" s="228">
        <f t="shared" ref="X233:X235" si="1771">+IFERROR(X228/T228-1,"NA ")</f>
        <v>0.40961337513061657</v>
      </c>
      <c r="Y233" s="228">
        <f t="shared" ref="Y233:Y235" si="1772">+IFERROR(Y228/U228-1,"NA ")</f>
        <v>0.41576119402985068</v>
      </c>
      <c r="Z233" s="228">
        <f t="shared" ref="Z233:Z235" si="1773">+IFERROR(Z228/V228-1,"NA ")</f>
        <v>0.3904163393558524</v>
      </c>
      <c r="AA233" s="228">
        <f t="shared" ref="AA233:AA235" si="1774">+IFERROR(AA228/W228-1,"NA ")</f>
        <v>0.44628099173553726</v>
      </c>
      <c r="AB233" s="228">
        <f t="shared" ref="AB233:AB235" si="1775">+IFERROR(AB228/X228-1,"NA ")</f>
        <v>0.36184210526315796</v>
      </c>
      <c r="AC233" s="228">
        <f t="shared" ref="AC233:AC235" si="1776">+IFERROR(AC228/Y228-1,"NA ")</f>
        <v>0.30471451463270616</v>
      </c>
      <c r="AD233" s="228">
        <f t="shared" ref="AD233:AD235" si="1777">+IFERROR(AD228/Z228-1,"NA ")</f>
        <v>0.32203389830508455</v>
      </c>
      <c r="AE233" s="228">
        <f t="shared" ref="AE233:AE235" si="1778">+IFERROR(AE228/AA228-1,"NA ")</f>
        <v>0.26879120879120877</v>
      </c>
      <c r="AF233" s="228">
        <f t="shared" ref="AF233:AF234" si="1779">+IFERROR(AF228/AB228-1,"NA ")</f>
        <v>0.27651901748656194</v>
      </c>
      <c r="AG233" s="228">
        <f t="shared" ref="AG233:AG235" si="1780">+IFERROR(AG228/AC228-1,"NA ")</f>
        <v>0.2612798965740144</v>
      </c>
      <c r="AH233" s="228">
        <f t="shared" ref="AH233:AH235" si="1781">+IFERROR(AH228/AD228-1,"NA ")</f>
        <v>0.25274725274725296</v>
      </c>
      <c r="AI233" s="228">
        <f t="shared" ref="AI233:AJ235" si="1782">+IFERROR(AI228/AE228-1,"NA ")</f>
        <v>0.25965702407760261</v>
      </c>
      <c r="AJ233" s="228">
        <f t="shared" si="1782"/>
        <v>0.23735408560311289</v>
      </c>
      <c r="AK233" s="228">
        <f t="shared" ref="AK233:AK235" si="1783">+IFERROR(AK228/AG228-1,"NA ")</f>
        <v>0.24354243542435428</v>
      </c>
      <c r="AL233" s="228">
        <f t="shared" ref="AL233:AL235" si="1784">+IFERROR(AL228/AH228-1,"NA ")</f>
        <v>0.24868421052631584</v>
      </c>
      <c r="AM233" s="228">
        <f t="shared" ref="AM233:AM235" si="1785">+IFERROR(AM228/AI228-1,"NA ")</f>
        <v>0.16391639163916372</v>
      </c>
      <c r="AN233" s="228"/>
      <c r="AO233" s="228"/>
      <c r="AP233" s="228"/>
      <c r="AQ233" s="228"/>
      <c r="AR233" s="228"/>
      <c r="AS233" s="228"/>
      <c r="AT233" s="228"/>
      <c r="AU233" s="228"/>
      <c r="AV233" s="228"/>
      <c r="AW233" s="228"/>
      <c r="AX233" s="228"/>
      <c r="AY233" s="228"/>
      <c r="AZ233" s="228"/>
      <c r="BA233" s="228"/>
      <c r="BB233" s="228"/>
      <c r="BC233" s="228"/>
      <c r="BD233" s="228" t="str">
        <f t="shared" ref="BD233" si="1786">+IFERROR(BD226/BC226-1,"n/a ")</f>
        <v xml:space="preserve">n/a </v>
      </c>
      <c r="BE233" s="228" t="str">
        <f t="shared" ref="BE233" si="1787">+IFERROR(BE226/BD226-1,"n/a ")</f>
        <v xml:space="preserve">n/a </v>
      </c>
      <c r="BF233" s="228"/>
      <c r="BG233" s="228"/>
      <c r="BH233" s="228"/>
      <c r="BI233" s="228" t="str">
        <f>+IFERROR(#REF!/#REF!-1,"NA ")</f>
        <v xml:space="preserve">NA </v>
      </c>
      <c r="BJ233" s="228">
        <f t="shared" ref="BJ233:BM233" si="1788">+IFERROR(BJ228/BI228-1,"NA ")</f>
        <v>0.55690793733005317</v>
      </c>
      <c r="BK233" s="228">
        <f t="shared" si="1788"/>
        <v>0.42964071856287434</v>
      </c>
      <c r="BL233" s="228">
        <f t="shared" si="1788"/>
        <v>0.41620127981384525</v>
      </c>
      <c r="BM233" s="228">
        <f t="shared" si="1788"/>
        <v>0.31171311795272039</v>
      </c>
      <c r="BN233" s="228">
        <f t="shared" ref="BN233:BN235" si="1789">+IFERROR(BN228/BM228-1,"NA ")</f>
        <v>0.26215826887545801</v>
      </c>
      <c r="BO233" s="228">
        <f t="shared" ref="BO233:BO235" si="1790">+IFERROR(BO228/BN228-1,"NA ")</f>
        <v>0.22186108250939718</v>
      </c>
      <c r="BP233" s="228"/>
    </row>
    <row r="234" spans="2:69" s="3" customFormat="1" ht="11.45">
      <c r="B234" s="884" t="str">
        <f t="shared" ref="B234:B235" si="1791">+B229</f>
        <v>Non-Cloud</v>
      </c>
      <c r="L234" s="840"/>
      <c r="M234" s="840"/>
      <c r="N234" s="840"/>
      <c r="O234" s="840"/>
      <c r="P234" s="840">
        <f t="shared" si="1763"/>
        <v>7.8551488833746852E-2</v>
      </c>
      <c r="Q234" s="840">
        <f t="shared" si="1764"/>
        <v>6.3295541489880591E-3</v>
      </c>
      <c r="R234" s="840">
        <f t="shared" si="1765"/>
        <v>5.4902249007790616E-2</v>
      </c>
      <c r="S234" s="840">
        <f t="shared" si="1766"/>
        <v>3.016196913658975E-2</v>
      </c>
      <c r="T234" s="840">
        <f t="shared" si="1767"/>
        <v>7.7935149902940593E-2</v>
      </c>
      <c r="U234" s="840">
        <f t="shared" si="1768"/>
        <v>0.11784628144871445</v>
      </c>
      <c r="V234" s="840">
        <f t="shared" si="1769"/>
        <v>5.4483383264822605E-2</v>
      </c>
      <c r="W234" s="840">
        <f t="shared" si="1770"/>
        <v>6.2519343856390908E-3</v>
      </c>
      <c r="X234" s="840">
        <f t="shared" si="1771"/>
        <v>2.4478089775228362E-2</v>
      </c>
      <c r="Y234" s="840">
        <f t="shared" si="1772"/>
        <v>5.2680393248005997E-2</v>
      </c>
      <c r="Z234" s="840">
        <f t="shared" si="1773"/>
        <v>7.5057813016187636E-2</v>
      </c>
      <c r="AA234" s="840">
        <f t="shared" si="1774"/>
        <v>0.13871801181102361</v>
      </c>
      <c r="AB234" s="840">
        <f t="shared" si="1775"/>
        <v>0.10507812499999991</v>
      </c>
      <c r="AC234" s="840">
        <f t="shared" si="1776"/>
        <v>0.13350954478707777</v>
      </c>
      <c r="AD234" s="840">
        <f t="shared" si="1777"/>
        <v>6.7236187081310295E-2</v>
      </c>
      <c r="AE234" s="840">
        <f t="shared" si="1778"/>
        <v>-2.1284641564475182E-2</v>
      </c>
      <c r="AF234" s="840">
        <f t="shared" si="1779"/>
        <v>-6.2743018734535139E-2</v>
      </c>
      <c r="AG234" s="840">
        <f t="shared" si="1780"/>
        <v>-0.18400870556534354</v>
      </c>
      <c r="AH234" s="840">
        <f t="shared" si="1781"/>
        <v>-6.6570688165850878E-2</v>
      </c>
      <c r="AI234" s="840">
        <f t="shared" si="1782"/>
        <v>-2.9751062537947792E-2</v>
      </c>
      <c r="AJ234" s="840">
        <f t="shared" si="1782"/>
        <v>6.8640392230812752E-2</v>
      </c>
      <c r="AK234" s="840">
        <f t="shared" si="1783"/>
        <v>0.15152092462056266</v>
      </c>
      <c r="AL234" s="840">
        <f t="shared" si="1784"/>
        <v>9.3836757357023792E-2</v>
      </c>
      <c r="AM234" s="840">
        <f t="shared" si="1785"/>
        <v>0.1179315052907044</v>
      </c>
      <c r="AN234" s="840"/>
      <c r="AO234" s="840"/>
      <c r="AP234" s="840"/>
      <c r="AQ234" s="840"/>
      <c r="AR234" s="840"/>
      <c r="AS234" s="840"/>
      <c r="AT234" s="840"/>
      <c r="AU234" s="840"/>
      <c r="AV234" s="840"/>
      <c r="AW234" s="840"/>
      <c r="AX234" s="840"/>
      <c r="AY234" s="840"/>
      <c r="AZ234" s="840"/>
      <c r="BA234" s="840"/>
      <c r="BB234" s="840"/>
      <c r="BC234" s="840"/>
      <c r="BD234" s="840" t="str">
        <f>+IFERROR(#REF!/#REF!-1,"NA ")</f>
        <v xml:space="preserve">NA </v>
      </c>
      <c r="BE234" s="840" t="str">
        <f>+IFERROR(#REF!/#REF!-1,"n/a ")</f>
        <v xml:space="preserve">n/a </v>
      </c>
      <c r="BF234" s="840"/>
      <c r="BG234" s="840"/>
      <c r="BH234" s="840"/>
      <c r="BI234" s="840" t="str">
        <f>+IFERROR(#REF!/#REF!-1,"NA ")</f>
        <v xml:space="preserve">NA </v>
      </c>
      <c r="BJ234" s="840">
        <f t="shared" ref="BJ234:BM234" si="1792">+IFERROR(BJ229/BI229-1,"NA ")</f>
        <v>4.1088382454341321E-2</v>
      </c>
      <c r="BK234" s="840">
        <f t="shared" si="1792"/>
        <v>6.2358835017406911E-2</v>
      </c>
      <c r="BL234" s="840">
        <f t="shared" si="1792"/>
        <v>7.3692792173537747E-2</v>
      </c>
      <c r="BM234" s="840">
        <f t="shared" si="1792"/>
        <v>6.8292465049801132E-2</v>
      </c>
      <c r="BN234" s="840">
        <f t="shared" si="1789"/>
        <v>-8.7953284834294987E-2</v>
      </c>
      <c r="BO234" s="840">
        <f t="shared" si="1790"/>
        <v>0.10806350564613476</v>
      </c>
      <c r="BP234" s="840"/>
    </row>
    <row r="235" spans="2:69" s="7" customFormat="1">
      <c r="B235" s="887" t="str">
        <f t="shared" si="1791"/>
        <v>Total Gross Profit</v>
      </c>
      <c r="L235" s="842"/>
      <c r="M235" s="842"/>
      <c r="N235" s="842"/>
      <c r="O235" s="842"/>
      <c r="P235" s="842">
        <f t="shared" si="1763"/>
        <v>0.17952029520295198</v>
      </c>
      <c r="Q235" s="842">
        <f t="shared" si="1764"/>
        <v>0.12288562787050528</v>
      </c>
      <c r="R235" s="842">
        <f t="shared" si="1765"/>
        <v>0.16245014245014255</v>
      </c>
      <c r="S235" s="842">
        <f t="shared" si="1766"/>
        <v>0.14560291009192361</v>
      </c>
      <c r="T235" s="842">
        <f t="shared" si="1767"/>
        <v>0.1809270556337661</v>
      </c>
      <c r="U235" s="842">
        <f t="shared" si="1768"/>
        <v>0.22446129289704708</v>
      </c>
      <c r="V235" s="842">
        <f t="shared" si="1769"/>
        <v>0.17866771236704082</v>
      </c>
      <c r="W235" s="842">
        <f t="shared" si="1770"/>
        <v>0.10251019094614899</v>
      </c>
      <c r="X235" s="842">
        <f t="shared" si="1771"/>
        <v>0.15466466510662724</v>
      </c>
      <c r="Y235" s="842">
        <f t="shared" si="1772"/>
        <v>0.17655206126772049</v>
      </c>
      <c r="Z235" s="842">
        <f t="shared" si="1773"/>
        <v>0.19192381269233971</v>
      </c>
      <c r="AA235" s="842">
        <f t="shared" si="1774"/>
        <v>0.25169300225733626</v>
      </c>
      <c r="AB235" s="842">
        <f t="shared" si="1775"/>
        <v>0.2110354848577547</v>
      </c>
      <c r="AC235" s="842">
        <f t="shared" si="1776"/>
        <v>0.20379475105602096</v>
      </c>
      <c r="AD235" s="842">
        <f t="shared" si="1777"/>
        <v>0.17738390146889493</v>
      </c>
      <c r="AE235" s="842">
        <f t="shared" si="1778"/>
        <v>0.10183141071484103</v>
      </c>
      <c r="AF235" s="842">
        <f t="shared" ref="AF235" si="1793">+IFERROR(AF230/AB230-1,"NA ")</f>
        <v>9.4692305263490262E-2</v>
      </c>
      <c r="AG235" s="842">
        <f t="shared" si="1780"/>
        <v>1.4122181316152727E-2</v>
      </c>
      <c r="AH235" s="842">
        <f t="shared" si="1781"/>
        <v>8.8427915246703126E-2</v>
      </c>
      <c r="AI235" s="842">
        <f t="shared" si="1782"/>
        <v>0.11169432215825714</v>
      </c>
      <c r="AJ235" s="842">
        <f t="shared" si="1782"/>
        <v>0.15993654456302275</v>
      </c>
      <c r="AK235" s="842">
        <f t="shared" si="1783"/>
        <v>0.20244476587537941</v>
      </c>
      <c r="AL235" s="842">
        <f t="shared" si="1784"/>
        <v>0.18034795393285963</v>
      </c>
      <c r="AM235" s="842">
        <f t="shared" si="1785"/>
        <v>0.14339747169619743</v>
      </c>
      <c r="AN235" s="842"/>
      <c r="AO235" s="842"/>
      <c r="AP235" s="842"/>
      <c r="AQ235" s="842"/>
      <c r="AR235" s="842"/>
      <c r="AS235" s="842"/>
      <c r="AT235" s="842"/>
      <c r="AU235" s="842"/>
      <c r="AV235" s="842"/>
      <c r="AW235" s="842"/>
      <c r="AX235" s="842"/>
      <c r="AY235" s="842"/>
      <c r="AZ235" s="842"/>
      <c r="BA235" s="842"/>
      <c r="BB235" s="842"/>
      <c r="BC235" s="842">
        <f>+IFERROR(BC230/BB230-1,"n/a ")</f>
        <v>1.3170445987783497E-2</v>
      </c>
      <c r="BD235" s="842">
        <f>+IFERROR(BD230/BC230-1,"n/a ")</f>
        <v>-0.13217270655082425</v>
      </c>
      <c r="BE235" s="842">
        <f>+IFERROR(BE230/BD230-1,"n/a ")</f>
        <v>5.9935287400076032E-2</v>
      </c>
      <c r="BF235" s="842"/>
      <c r="BG235" s="1179">
        <f t="shared" ref="BG235" si="1794">+BD235</f>
        <v>-0.13217270655082425</v>
      </c>
      <c r="BH235" s="842">
        <f t="shared" ref="BH235:BM235" si="1795">+IFERROR(BH230/BG230-1,"NA ")</f>
        <v>6.7427279268167384E-2</v>
      </c>
      <c r="BI235" s="842">
        <f t="shared" si="1795"/>
        <v>0.15562510030492693</v>
      </c>
      <c r="BJ235" s="842">
        <f t="shared" si="1795"/>
        <v>0.15173524796200377</v>
      </c>
      <c r="BK235" s="842">
        <f t="shared" si="1795"/>
        <v>0.16885919959485363</v>
      </c>
      <c r="BL235" s="842">
        <f t="shared" si="1795"/>
        <v>0.19516799570855303</v>
      </c>
      <c r="BM235" s="842">
        <f t="shared" si="1795"/>
        <v>0.17059107858030664</v>
      </c>
      <c r="BN235" s="842">
        <f t="shared" si="1789"/>
        <v>7.6920808140392261E-2</v>
      </c>
      <c r="BO235" s="842">
        <f t="shared" si="1790"/>
        <v>0.1708706488100129</v>
      </c>
      <c r="BP235" s="842"/>
    </row>
    <row r="236" spans="2:69">
      <c r="B236" s="19"/>
    </row>
    <row r="237" spans="2:69" s="3" customFormat="1">
      <c r="B237" s="883" t="s">
        <v>115</v>
      </c>
    </row>
    <row r="238" spans="2:69" s="3" customFormat="1">
      <c r="B238" s="884" t="str">
        <f>+B233</f>
        <v>Cloud</v>
      </c>
      <c r="L238" s="904">
        <v>0.57999999999999996</v>
      </c>
      <c r="M238" s="904">
        <v>0.56999999999999995</v>
      </c>
      <c r="N238" s="904">
        <v>0.57999999999999996</v>
      </c>
      <c r="O238" s="904">
        <v>0.59</v>
      </c>
      <c r="P238" s="904">
        <v>0.62</v>
      </c>
      <c r="Q238" s="904">
        <v>0.62</v>
      </c>
      <c r="R238" s="904">
        <v>0.63</v>
      </c>
      <c r="S238" s="904">
        <v>0.65</v>
      </c>
      <c r="T238" s="904">
        <v>0.66</v>
      </c>
      <c r="U238" s="904">
        <v>0.67</v>
      </c>
      <c r="V238" s="904">
        <v>0.67</v>
      </c>
      <c r="W238" s="904">
        <v>0.66</v>
      </c>
      <c r="X238" s="904">
        <v>0.71</v>
      </c>
      <c r="Y238" s="904">
        <v>0.71</v>
      </c>
      <c r="Z238" s="904">
        <v>0.7</v>
      </c>
      <c r="AA238" s="904">
        <v>0.7</v>
      </c>
      <c r="AB238" s="904">
        <v>0.71</v>
      </c>
      <c r="AC238" s="904">
        <v>0.7</v>
      </c>
      <c r="AD238" s="904">
        <v>0.7</v>
      </c>
      <c r="AE238" s="904">
        <v>0.69</v>
      </c>
      <c r="AF238" s="904">
        <v>0.73</v>
      </c>
      <c r="AG238" s="904">
        <v>0.72</v>
      </c>
      <c r="AH238" s="904">
        <v>0.72</v>
      </c>
      <c r="AI238" s="904">
        <v>0.72</v>
      </c>
      <c r="AJ238" s="904">
        <v>0.73</v>
      </c>
      <c r="AK238" s="904">
        <v>0.72</v>
      </c>
      <c r="AL238" s="904">
        <v>0.73</v>
      </c>
      <c r="AM238" s="904">
        <v>0.69</v>
      </c>
      <c r="AN238" s="904"/>
      <c r="AO238" s="904"/>
      <c r="AP238" s="904"/>
      <c r="AQ238" s="904"/>
      <c r="BB238" s="904">
        <v>0.15</v>
      </c>
      <c r="BC238" s="904">
        <v>0.44</v>
      </c>
      <c r="BD238" s="904">
        <v>0.45</v>
      </c>
      <c r="BE238" s="851">
        <v>0.48</v>
      </c>
      <c r="BG238" s="33"/>
      <c r="BH238" s="33"/>
      <c r="BI238" s="33">
        <f t="shared" ref="BI238:BM239" si="1796">+BI228/BI213</f>
        <v>0.58067669172932324</v>
      </c>
      <c r="BJ238" s="33">
        <f t="shared" si="1796"/>
        <v>0.6311811023622047</v>
      </c>
      <c r="BK238" s="33">
        <f t="shared" si="1796"/>
        <v>0.66499032882011611</v>
      </c>
      <c r="BL238" s="33">
        <f t="shared" si="1796"/>
        <v>0.70461649782923297</v>
      </c>
      <c r="BM238" s="33">
        <f t="shared" si="1796"/>
        <v>0.69951807228915663</v>
      </c>
      <c r="BN238" s="33">
        <f t="shared" ref="BN238:BO238" si="1797">+BN228/BN213</f>
        <v>0.72230286738351257</v>
      </c>
      <c r="BO238" s="33">
        <f t="shared" si="1797"/>
        <v>0.71683406113537118</v>
      </c>
      <c r="BP238" s="228"/>
    </row>
    <row r="239" spans="2:69" s="3" customFormat="1" ht="11.45">
      <c r="B239" s="884" t="str">
        <f t="shared" ref="B239:B240" si="1798">+B234</f>
        <v>Non-Cloud</v>
      </c>
      <c r="L239" s="840">
        <f t="shared" ref="L239:AF239" si="1799">+L229/L214</f>
        <v>0.68822713203116659</v>
      </c>
      <c r="M239" s="840">
        <f t="shared" si="1799"/>
        <v>0.630072749583662</v>
      </c>
      <c r="N239" s="840">
        <f t="shared" si="1799"/>
        <v>0.67965432838803141</v>
      </c>
      <c r="O239" s="840">
        <f t="shared" si="1799"/>
        <v>0.70687401397340544</v>
      </c>
      <c r="P239" s="840">
        <f t="shared" si="1799"/>
        <v>0.67571900505246796</v>
      </c>
      <c r="Q239" s="840">
        <f t="shared" si="1799"/>
        <v>0.61642026330365129</v>
      </c>
      <c r="R239" s="840">
        <f t="shared" si="1799"/>
        <v>0.68442134376043107</v>
      </c>
      <c r="S239" s="840">
        <f t="shared" si="1799"/>
        <v>0.71114143592903989</v>
      </c>
      <c r="T239" s="840">
        <f t="shared" si="1799"/>
        <v>0.69881146585877418</v>
      </c>
      <c r="U239" s="840">
        <f t="shared" si="1799"/>
        <v>0.66266491846267306</v>
      </c>
      <c r="V239" s="840">
        <f t="shared" si="1799"/>
        <v>0.69679112379724695</v>
      </c>
      <c r="W239" s="840">
        <f t="shared" si="1799"/>
        <v>0.68495344035730843</v>
      </c>
      <c r="X239" s="840">
        <f t="shared" si="1799"/>
        <v>0.6996447116698552</v>
      </c>
      <c r="Y239" s="840">
        <f t="shared" si="1799"/>
        <v>0.64547315741583255</v>
      </c>
      <c r="Z239" s="840">
        <f t="shared" si="1799"/>
        <v>0.67778888611180543</v>
      </c>
      <c r="AA239" s="840">
        <f t="shared" si="1799"/>
        <v>0.69454449947471109</v>
      </c>
      <c r="AB239" s="840">
        <f t="shared" si="1799"/>
        <v>0.68952350002031115</v>
      </c>
      <c r="AC239" s="840">
        <f t="shared" si="1799"/>
        <v>0.65134332388281357</v>
      </c>
      <c r="AD239" s="840">
        <f t="shared" si="1799"/>
        <v>0.66891371340523886</v>
      </c>
      <c r="AE239" s="840">
        <f t="shared" si="1799"/>
        <v>0.67689146273117873</v>
      </c>
      <c r="AF239" s="840">
        <f t="shared" si="1799"/>
        <v>0.65142085005323069</v>
      </c>
      <c r="AG239" s="840">
        <f t="shared" ref="AG239:AH239" si="1800">+AG229/AG214</f>
        <v>0.61398994034389986</v>
      </c>
      <c r="AH239" s="840">
        <f t="shared" si="1800"/>
        <v>0.66547604384776449</v>
      </c>
      <c r="AI239" s="840">
        <f t="shared" ref="AI239:AJ239" si="1801">+AI229/AI214</f>
        <v>0.67897562671404843</v>
      </c>
      <c r="AJ239" s="840">
        <f t="shared" si="1801"/>
        <v>0.68782619249908972</v>
      </c>
      <c r="AK239" s="840">
        <f t="shared" ref="AK239:AL239" si="1802">+AK229/AK214</f>
        <v>0.64028954802259885</v>
      </c>
      <c r="AL239" s="840">
        <f t="shared" si="1802"/>
        <v>0.66260557590253377</v>
      </c>
      <c r="AM239" s="840">
        <f t="shared" ref="AM239" si="1803">+AM229/AM214</f>
        <v>0.70365596018190291</v>
      </c>
      <c r="AN239" s="840"/>
      <c r="AO239" s="840"/>
      <c r="AP239" s="840"/>
      <c r="AQ239" s="840"/>
      <c r="AR239" s="840"/>
      <c r="AS239" s="840"/>
      <c r="AT239" s="840"/>
      <c r="AU239" s="840"/>
      <c r="AV239" s="840"/>
      <c r="AW239" s="840"/>
      <c r="AX239" s="840"/>
      <c r="AY239" s="840"/>
      <c r="AZ239" s="840"/>
      <c r="BA239" s="840"/>
      <c r="BB239" s="840">
        <f>+BB229/BB214</f>
        <v>0.70609165446907762</v>
      </c>
      <c r="BC239" s="840">
        <f>+BC229/BC214</f>
        <v>0.66062884483937112</v>
      </c>
      <c r="BD239" s="840">
        <f>+BD229/BD214</f>
        <v>0.63657346346610388</v>
      </c>
      <c r="BE239" s="840">
        <f>+BE229/BE214</f>
        <v>0.64672884743504333</v>
      </c>
      <c r="BF239" s="840"/>
      <c r="BG239" s="840"/>
      <c r="BH239" s="840"/>
      <c r="BI239" s="840">
        <f t="shared" si="1796"/>
        <v>0.67527459407831902</v>
      </c>
      <c r="BJ239" s="840">
        <f t="shared" si="1796"/>
        <v>0.67110766670845534</v>
      </c>
      <c r="BK239" s="840">
        <f t="shared" si="1796"/>
        <v>0.68506817061818981</v>
      </c>
      <c r="BL239" s="840">
        <f t="shared" si="1796"/>
        <v>0.67853679233846531</v>
      </c>
      <c r="BM239" s="840">
        <f t="shared" si="1796"/>
        <v>0.67078620173880532</v>
      </c>
      <c r="BN239" s="840">
        <f t="shared" ref="BN239:BO239" si="1804">+BN229/BN214</f>
        <v>0.65237501869112291</v>
      </c>
      <c r="BO239" s="840">
        <f t="shared" si="1804"/>
        <v>0.67316796940272183</v>
      </c>
      <c r="BP239" s="840"/>
    </row>
    <row r="240" spans="2:69" s="7" customFormat="1">
      <c r="B240" s="887" t="str">
        <f t="shared" si="1798"/>
        <v>Total Gross Profit</v>
      </c>
      <c r="L240" s="842">
        <f t="shared" ref="L240:AF240" si="1805">+L230/L215</f>
        <v>0.66264569239546822</v>
      </c>
      <c r="M240" s="842">
        <f t="shared" si="1805"/>
        <v>0.6174009267584204</v>
      </c>
      <c r="N240" s="842">
        <f t="shared" si="1805"/>
        <v>0.65438681531749876</v>
      </c>
      <c r="O240" s="842">
        <f t="shared" si="1805"/>
        <v>0.67618414492271894</v>
      </c>
      <c r="P240" s="842">
        <f t="shared" si="1805"/>
        <v>0.65943474075092834</v>
      </c>
      <c r="Q240" s="842">
        <f t="shared" si="1805"/>
        <v>0.61741246034923469</v>
      </c>
      <c r="R240" s="842">
        <f t="shared" si="1805"/>
        <v>0.66733178502502366</v>
      </c>
      <c r="S240" s="842">
        <f t="shared" si="1805"/>
        <v>0.69119435299700449</v>
      </c>
      <c r="T240" s="842">
        <f t="shared" si="1805"/>
        <v>0.6851913477537438</v>
      </c>
      <c r="U240" s="842">
        <f t="shared" si="1805"/>
        <v>0.66514929821709212</v>
      </c>
      <c r="V240" s="842">
        <f t="shared" si="1805"/>
        <v>0.68661660146769077</v>
      </c>
      <c r="W240" s="842">
        <f t="shared" si="1805"/>
        <v>0.67557121447164303</v>
      </c>
      <c r="X240" s="842">
        <f t="shared" si="1805"/>
        <v>0.70388114334930285</v>
      </c>
      <c r="Y240" s="842">
        <f t="shared" si="1805"/>
        <v>0.67048936762930633</v>
      </c>
      <c r="Z240" s="842">
        <f t="shared" si="1805"/>
        <v>0.68721526878626582</v>
      </c>
      <c r="AA240" s="842">
        <f t="shared" si="1805"/>
        <v>0.69684954064829263</v>
      </c>
      <c r="AB240" s="842">
        <f t="shared" si="1805"/>
        <v>0.6988768012004325</v>
      </c>
      <c r="AC240" s="842">
        <f t="shared" si="1805"/>
        <v>0.67213114754098358</v>
      </c>
      <c r="AD240" s="842">
        <f t="shared" si="1805"/>
        <v>0.68365072933549431</v>
      </c>
      <c r="AE240" s="842">
        <f t="shared" si="1805"/>
        <v>0.68323532247180174</v>
      </c>
      <c r="AF240" s="842">
        <f t="shared" si="1805"/>
        <v>0.69171222217788597</v>
      </c>
      <c r="AG240" s="842">
        <f t="shared" ref="AG240:AH240" si="1806">+AG230/AG215</f>
        <v>0.66845507801391546</v>
      </c>
      <c r="AH240" s="842">
        <f t="shared" si="1806"/>
        <v>0.69487485101311086</v>
      </c>
      <c r="AI240" s="842">
        <f t="shared" ref="AI240:AJ240" si="1807">+AI230/AI215</f>
        <v>0.70109807969531401</v>
      </c>
      <c r="AJ240" s="842">
        <f t="shared" si="1807"/>
        <v>0.71155581506449384</v>
      </c>
      <c r="AK240" s="842">
        <f t="shared" ref="AK240:AL240" si="1808">+AK230/AK215</f>
        <v>0.68360206385037081</v>
      </c>
      <c r="AL240" s="842">
        <f t="shared" si="1808"/>
        <v>0.70084710142584628</v>
      </c>
      <c r="AM240" s="842">
        <f t="shared" ref="AM240" si="1809">+AM230/AM215</f>
        <v>0.69589197707293715</v>
      </c>
      <c r="AN240" s="842"/>
      <c r="AO240" s="842"/>
      <c r="AP240" s="842"/>
      <c r="AQ240" s="842"/>
      <c r="AR240" s="842"/>
      <c r="AS240" s="842"/>
      <c r="AT240" s="842"/>
      <c r="AU240" s="842"/>
      <c r="AV240" s="842"/>
      <c r="AW240" s="842"/>
      <c r="AX240" s="842"/>
      <c r="AY240" s="842"/>
      <c r="AZ240" s="842"/>
      <c r="BA240" s="842"/>
      <c r="BB240" s="842">
        <f t="shared" ref="BB240:BE240" si="1810">+BB230/BB215</f>
        <v>0.68816003132449644</v>
      </c>
      <c r="BC240" s="842">
        <f t="shared" si="1810"/>
        <v>0.64695447745244705</v>
      </c>
      <c r="BD240" s="842">
        <f t="shared" si="1810"/>
        <v>0.61579934364744493</v>
      </c>
      <c r="BE240" s="842">
        <f t="shared" si="1810"/>
        <v>0.61911061700944969</v>
      </c>
      <c r="BF240" s="842"/>
      <c r="BG240" s="1179">
        <f t="shared" ref="BG240" si="1811">+BD240</f>
        <v>0.61579934364744493</v>
      </c>
      <c r="BH240" s="842">
        <f t="shared" ref="BH240:BM240" si="1812">+BH230/BH215</f>
        <v>0.64522475691460168</v>
      </c>
      <c r="BI240" s="842">
        <f t="shared" si="1812"/>
        <v>0.65247372236317502</v>
      </c>
      <c r="BJ240" s="842">
        <f t="shared" si="1812"/>
        <v>0.65901957200638894</v>
      </c>
      <c r="BK240" s="842">
        <f t="shared" si="1812"/>
        <v>0.67781001992797962</v>
      </c>
      <c r="BL240" s="842">
        <f t="shared" si="1812"/>
        <v>0.68925800771024703</v>
      </c>
      <c r="BM240" s="842">
        <f t="shared" si="1812"/>
        <v>0.68401674484289099</v>
      </c>
      <c r="BN240" s="842">
        <f t="shared" ref="BN240:BO240" si="1813">+BN230/BN215</f>
        <v>0.68920085883491022</v>
      </c>
      <c r="BO240" s="842">
        <f t="shared" si="1813"/>
        <v>0.69764443827971379</v>
      </c>
      <c r="BP240" s="842"/>
    </row>
    <row r="241" spans="2:68">
      <c r="B241" s="19"/>
    </row>
    <row r="242" spans="2:68" ht="10.5" outlineLevel="1">
      <c r="B242" s="5" t="s">
        <v>359</v>
      </c>
      <c r="C242" s="4"/>
    </row>
    <row r="243" spans="2:68" outlineLevel="1"/>
    <row r="244" spans="2:68" outlineLevel="1">
      <c r="B244" t="s">
        <v>360</v>
      </c>
      <c r="H244" s="911">
        <v>0.18</v>
      </c>
      <c r="I244" s="911">
        <v>7.0000000000000007E-2</v>
      </c>
      <c r="J244" s="911">
        <v>0.12</v>
      </c>
      <c r="K244" s="911">
        <v>0.3</v>
      </c>
      <c r="L244" s="911">
        <v>0.14000000000000001</v>
      </c>
      <c r="M244" s="911">
        <v>7.0000000000000007E-2</v>
      </c>
      <c r="N244" s="911">
        <v>0.26</v>
      </c>
      <c r="O244" s="911">
        <v>0.18</v>
      </c>
      <c r="P244" s="911">
        <v>0.15</v>
      </c>
      <c r="Q244" s="911">
        <v>0.18</v>
      </c>
      <c r="R244" s="911">
        <v>0.3</v>
      </c>
      <c r="S244" s="911">
        <v>0.22</v>
      </c>
      <c r="T244" s="911">
        <v>0.3</v>
      </c>
      <c r="U244" s="911">
        <v>0.31</v>
      </c>
      <c r="V244" s="911">
        <v>7.0000000000000007E-2</v>
      </c>
      <c r="W244" s="911">
        <v>0.12</v>
      </c>
      <c r="X244" s="911">
        <v>0.23</v>
      </c>
      <c r="Y244" s="911">
        <v>0.19</v>
      </c>
      <c r="Z244" s="911">
        <v>0.39</v>
      </c>
      <c r="AA244" s="911">
        <v>0.3</v>
      </c>
      <c r="AB244" s="911">
        <v>0.11</v>
      </c>
      <c r="AC244" s="911">
        <v>0.32</v>
      </c>
      <c r="AD244" s="911">
        <v>0.28000000000000003</v>
      </c>
      <c r="AE244" s="911">
        <v>0.25</v>
      </c>
      <c r="AF244" s="911">
        <v>-0.03</v>
      </c>
      <c r="AG244" s="911">
        <v>7.0000000000000007E-2</v>
      </c>
      <c r="AH244" s="911">
        <v>0.11</v>
      </c>
      <c r="AI244" s="911">
        <v>-0.02</v>
      </c>
      <c r="AJ244" s="911">
        <v>0.14000000000000001</v>
      </c>
      <c r="AK244" s="911">
        <v>0.17</v>
      </c>
      <c r="AL244" s="911">
        <v>0.28999999999999998</v>
      </c>
      <c r="AM244" s="911">
        <v>0.17</v>
      </c>
      <c r="AN244" s="911"/>
      <c r="AO244" s="911"/>
      <c r="AP244" s="911"/>
      <c r="AQ244" s="911"/>
      <c r="BH244" s="912">
        <f>+AVERAGE(H244:K244)</f>
        <v>0.16749999999999998</v>
      </c>
      <c r="BI244" s="912">
        <f>+AVERAGE(L244:O244)</f>
        <v>0.16250000000000001</v>
      </c>
      <c r="BJ244" s="912">
        <f>+AVERAGE(P244:S244)</f>
        <v>0.21249999999999997</v>
      </c>
      <c r="BK244" s="912">
        <f>AVERAGE(T244:W244)</f>
        <v>0.19999999999999998</v>
      </c>
      <c r="BL244" s="912">
        <f>AVERAGE(X244:AA244)</f>
        <v>0.27750000000000002</v>
      </c>
      <c r="BM244" s="912">
        <f>AVERAGE(AB244:AE244)</f>
        <v>0.24</v>
      </c>
      <c r="BN244" s="912">
        <f>AVERAGE(AF244:AI244)</f>
        <v>3.2500000000000008E-2</v>
      </c>
      <c r="BO244" s="912">
        <f>AVERAGE(AJ244:AM244)</f>
        <v>0.19250000000000003</v>
      </c>
      <c r="BP244" s="912"/>
    </row>
    <row r="245" spans="2:68" outlineLevel="1">
      <c r="B245" s="12" t="s">
        <v>361</v>
      </c>
      <c r="H245" s="911">
        <v>0.18</v>
      </c>
      <c r="I245" s="911">
        <v>0.12</v>
      </c>
      <c r="J245" s="911">
        <v>0.11</v>
      </c>
      <c r="K245" s="911">
        <v>0.3</v>
      </c>
      <c r="L245" s="911">
        <v>0.09</v>
      </c>
      <c r="M245" s="911">
        <v>0.04</v>
      </c>
      <c r="N245" s="911">
        <v>0.18</v>
      </c>
      <c r="O245" s="911">
        <v>0.18</v>
      </c>
      <c r="P245" s="911">
        <v>0.16</v>
      </c>
      <c r="Q245" s="911">
        <v>0.22</v>
      </c>
      <c r="R245" s="911">
        <v>0.34</v>
      </c>
      <c r="S245" s="911">
        <v>0.25</v>
      </c>
      <c r="T245" s="911">
        <v>0.35</v>
      </c>
      <c r="U245" s="911">
        <v>0.3</v>
      </c>
      <c r="V245" s="911">
        <v>0.12</v>
      </c>
      <c r="W245" s="911">
        <v>0.14000000000000001</v>
      </c>
      <c r="X245" s="911">
        <v>0.18</v>
      </c>
      <c r="Y245" s="911">
        <v>0.11</v>
      </c>
      <c r="Z245" s="911">
        <v>0.38</v>
      </c>
      <c r="AA245" s="911">
        <v>0.25</v>
      </c>
      <c r="AB245" s="911">
        <v>0.14000000000000001</v>
      </c>
      <c r="AC245" s="911">
        <v>0.37</v>
      </c>
      <c r="AD245" s="911">
        <v>0.35</v>
      </c>
      <c r="AE245" s="911">
        <v>0.35</v>
      </c>
      <c r="AF245" s="911">
        <v>0.16</v>
      </c>
      <c r="AG245" s="911">
        <v>0.04</v>
      </c>
      <c r="AH245" s="911">
        <v>0.12</v>
      </c>
      <c r="AI245" s="911">
        <v>-0.01</v>
      </c>
      <c r="AJ245" s="911">
        <v>0.17</v>
      </c>
      <c r="AK245" s="911">
        <v>0.09</v>
      </c>
      <c r="AL245" s="911">
        <v>0.31</v>
      </c>
      <c r="AM245" s="911">
        <v>0.19</v>
      </c>
      <c r="AN245" s="911"/>
      <c r="AO245" s="911"/>
      <c r="AP245" s="911"/>
      <c r="AQ245" s="911"/>
      <c r="BH245" s="912">
        <f>+AVERAGE(H245:K245)</f>
        <v>0.17749999999999999</v>
      </c>
      <c r="BI245" s="912">
        <f>+AVERAGE(L245:O245)</f>
        <v>0.1225</v>
      </c>
      <c r="BJ245" s="912">
        <f>+AVERAGE(P245:S245)</f>
        <v>0.24249999999999999</v>
      </c>
      <c r="BK245" s="912">
        <f>AVERAGE(T245:W245)</f>
        <v>0.22749999999999998</v>
      </c>
      <c r="BL245" s="912">
        <f>AVERAGE(X245:AA245)</f>
        <v>0.22999999999999998</v>
      </c>
      <c r="BM245" s="912">
        <f>AVERAGE(AB245:AE245)</f>
        <v>0.30249999999999999</v>
      </c>
      <c r="BN245" s="912">
        <f>AVERAGE(AF245:AI245)</f>
        <v>7.7499999999999999E-2</v>
      </c>
      <c r="BO245" s="912">
        <f t="shared" ref="BO245:BO247" si="1814">AVERAGE(AJ245:AM245)</f>
        <v>0.19</v>
      </c>
      <c r="BP245" s="912"/>
    </row>
    <row r="246" spans="2:68" outlineLevel="1">
      <c r="B246" s="13"/>
      <c r="H246" s="879"/>
      <c r="I246" s="879"/>
      <c r="J246" s="879"/>
      <c r="K246" s="879"/>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33"/>
      <c r="AN246" s="33"/>
      <c r="AO246" s="33"/>
      <c r="AP246" s="33"/>
      <c r="AQ246" s="33"/>
      <c r="BH246" s="8"/>
      <c r="BI246" s="33"/>
      <c r="BJ246" s="33"/>
      <c r="BK246" s="33"/>
      <c r="BL246" s="33"/>
      <c r="BM246" s="33"/>
      <c r="BN246" s="33"/>
      <c r="BO246" s="33"/>
      <c r="BP246" s="33"/>
    </row>
    <row r="247" spans="2:68" outlineLevel="1">
      <c r="B247" t="s">
        <v>362</v>
      </c>
      <c r="H247" s="911">
        <v>0.87</v>
      </c>
      <c r="I247" s="911">
        <v>0.83</v>
      </c>
      <c r="J247" s="911">
        <v>0.87</v>
      </c>
      <c r="K247" s="911">
        <v>0.86</v>
      </c>
      <c r="L247" s="911">
        <v>0.89</v>
      </c>
      <c r="M247" s="911">
        <v>0.86</v>
      </c>
      <c r="N247" s="911">
        <v>0.89</v>
      </c>
      <c r="O247" s="911">
        <v>0.89</v>
      </c>
      <c r="P247" s="911">
        <v>0.9</v>
      </c>
      <c r="Q247" s="911">
        <v>0.89</v>
      </c>
      <c r="R247" s="911">
        <v>0.9</v>
      </c>
      <c r="S247" s="911">
        <v>0.9</v>
      </c>
      <c r="T247" s="911">
        <v>0.91</v>
      </c>
      <c r="U247" s="911">
        <v>0.89</v>
      </c>
      <c r="V247" s="911">
        <v>0.92</v>
      </c>
      <c r="W247" s="911">
        <v>0.94</v>
      </c>
      <c r="X247" s="911">
        <v>0.93</v>
      </c>
      <c r="Y247" s="911">
        <v>0.93</v>
      </c>
      <c r="Z247" s="911">
        <v>0.94</v>
      </c>
      <c r="AA247" s="911">
        <v>0.95</v>
      </c>
      <c r="AB247" s="911">
        <v>0.95</v>
      </c>
      <c r="AC247" s="911">
        <v>0.94</v>
      </c>
      <c r="AD247" s="911">
        <v>0.96</v>
      </c>
      <c r="AE247" s="911">
        <v>0.96</v>
      </c>
      <c r="AF247" s="911">
        <v>0.96</v>
      </c>
      <c r="AG247" s="911">
        <v>0.96</v>
      </c>
      <c r="AH247" s="911">
        <v>0.96</v>
      </c>
      <c r="AI247" s="911">
        <v>0.97</v>
      </c>
      <c r="AJ247" s="911">
        <v>0.96</v>
      </c>
      <c r="AK247" s="911">
        <v>0.96</v>
      </c>
      <c r="AL247" s="911">
        <v>0.97</v>
      </c>
      <c r="AM247" s="911">
        <v>0.97</v>
      </c>
      <c r="AN247" s="911"/>
      <c r="AO247" s="911"/>
      <c r="AP247" s="911"/>
      <c r="AQ247" s="911"/>
      <c r="BH247" s="912">
        <f>+AVERAGE(H247:K247)</f>
        <v>0.85749999999999993</v>
      </c>
      <c r="BI247" s="912">
        <f>+AVERAGE(L247:O247)</f>
        <v>0.88250000000000006</v>
      </c>
      <c r="BJ247" s="912">
        <f>+AVERAGE(P247:S247)</f>
        <v>0.89749999999999996</v>
      </c>
      <c r="BK247" s="913">
        <f>+AVERAGE(T247:W247)</f>
        <v>0.91500000000000004</v>
      </c>
      <c r="BL247" s="913">
        <f>+AVERAGE(X247:AA247)</f>
        <v>0.9375</v>
      </c>
      <c r="BM247" s="912">
        <f>AVERAGE(AB247:AE247)</f>
        <v>0.9524999999999999</v>
      </c>
      <c r="BN247" s="912">
        <f>AVERAGE(AF247:AI247)</f>
        <v>0.96249999999999991</v>
      </c>
      <c r="BO247" s="912">
        <f t="shared" si="1814"/>
        <v>0.96499999999999986</v>
      </c>
      <c r="BP247" s="912"/>
    </row>
    <row r="248" spans="2:68">
      <c r="H248" s="911"/>
      <c r="I248" s="911"/>
      <c r="J248" s="911"/>
      <c r="K248" s="911"/>
      <c r="L248" s="911"/>
      <c r="M248" s="911"/>
      <c r="N248" s="911"/>
      <c r="O248" s="911"/>
      <c r="P248" s="911"/>
      <c r="Q248" s="911"/>
      <c r="R248" s="911"/>
      <c r="S248" s="911"/>
      <c r="T248" s="911"/>
      <c r="U248" s="911"/>
      <c r="V248" s="911"/>
      <c r="W248" s="911"/>
      <c r="X248" s="911"/>
      <c r="Y248" s="911"/>
      <c r="Z248" s="911"/>
      <c r="AA248" s="911"/>
      <c r="AB248" s="911"/>
      <c r="AC248" s="911"/>
      <c r="AD248" s="911"/>
      <c r="AE248" s="911"/>
      <c r="AF248" s="911"/>
      <c r="AG248" s="911"/>
      <c r="AH248" s="911"/>
      <c r="AI248" s="911"/>
      <c r="AJ248" s="911"/>
      <c r="AK248" s="911"/>
      <c r="AL248" s="911"/>
      <c r="AM248" s="911"/>
      <c r="AN248" s="911"/>
      <c r="AO248" s="911"/>
      <c r="AP248" s="911"/>
      <c r="AQ248" s="911"/>
      <c r="BH248" s="912"/>
      <c r="BI248" s="912"/>
      <c r="BJ248" s="912"/>
      <c r="BK248" s="912"/>
      <c r="BL248" s="912"/>
      <c r="BM248" s="912"/>
      <c r="BN248" s="912"/>
      <c r="BO248" s="912"/>
      <c r="BP248" s="912"/>
    </row>
    <row r="249" spans="2:68" ht="10.5">
      <c r="B249" s="5" t="s">
        <v>363</v>
      </c>
      <c r="C249" s="4"/>
    </row>
    <row r="250" spans="2:68" ht="10.5">
      <c r="B250" s="1"/>
    </row>
    <row r="251" spans="2:68">
      <c r="B251" t="s">
        <v>86</v>
      </c>
      <c r="H251" s="8">
        <f t="shared" ref="H251:AL251" si="1815">+H148</f>
        <v>6436</v>
      </c>
      <c r="I251" s="8">
        <f t="shared" si="1815"/>
        <v>7179</v>
      </c>
      <c r="J251" s="8">
        <f t="shared" si="1815"/>
        <v>7707</v>
      </c>
      <c r="K251" s="8">
        <f t="shared" si="1815"/>
        <v>8548</v>
      </c>
      <c r="L251" s="8">
        <f t="shared" si="1815"/>
        <v>8238</v>
      </c>
      <c r="M251" s="8">
        <f t="shared" si="1815"/>
        <v>8953</v>
      </c>
      <c r="N251" s="8">
        <f t="shared" si="1815"/>
        <v>9006</v>
      </c>
      <c r="O251" s="8">
        <f t="shared" si="1815"/>
        <v>9668</v>
      </c>
      <c r="P251" s="8">
        <f t="shared" si="1815"/>
        <v>9771</v>
      </c>
      <c r="Q251" s="8">
        <f t="shared" si="1815"/>
        <v>10100</v>
      </c>
      <c r="R251" s="8">
        <f t="shared" si="1815"/>
        <v>10242</v>
      </c>
      <c r="S251" s="8">
        <f t="shared" si="1815"/>
        <v>11047</v>
      </c>
      <c r="T251" s="8">
        <f t="shared" si="1815"/>
        <v>11077</v>
      </c>
      <c r="U251" s="8">
        <f t="shared" si="1815"/>
        <v>11826</v>
      </c>
      <c r="V251" s="8">
        <f t="shared" si="1815"/>
        <v>11743</v>
      </c>
      <c r="W251" s="8">
        <f t="shared" si="1815"/>
        <v>11752</v>
      </c>
      <c r="X251" s="8">
        <f t="shared" si="1815"/>
        <v>12319</v>
      </c>
      <c r="Y251" s="8">
        <f t="shared" si="1815"/>
        <v>13353</v>
      </c>
      <c r="Z251" s="8">
        <f t="shared" si="1815"/>
        <v>13552</v>
      </c>
      <c r="AA251" s="8">
        <f t="shared" si="1815"/>
        <v>14691</v>
      </c>
      <c r="AB251" s="8">
        <f t="shared" si="1815"/>
        <v>15039</v>
      </c>
      <c r="AC251" s="8">
        <f t="shared" si="1815"/>
        <v>15936</v>
      </c>
      <c r="AD251" s="8">
        <f t="shared" si="1815"/>
        <v>15789</v>
      </c>
      <c r="AE251" s="8">
        <f t="shared" si="1815"/>
        <v>16600</v>
      </c>
      <c r="AF251" s="8">
        <f t="shared" si="1815"/>
        <v>16465</v>
      </c>
      <c r="AG251" s="8">
        <f t="shared" si="1815"/>
        <v>17002</v>
      </c>
      <c r="AH251" s="8">
        <f t="shared" si="1815"/>
        <v>17516</v>
      </c>
      <c r="AI251" s="8">
        <f t="shared" si="1815"/>
        <v>18291</v>
      </c>
      <c r="AJ251" s="8">
        <f t="shared" si="1815"/>
        <v>18592</v>
      </c>
      <c r="AK251" s="8">
        <f t="shared" si="1815"/>
        <v>19249</v>
      </c>
      <c r="AL251" s="8">
        <f t="shared" si="1815"/>
        <v>19570</v>
      </c>
      <c r="AM251" s="8">
        <f t="shared" ref="AM251" si="1816">+AM148</f>
        <v>20317</v>
      </c>
      <c r="AN251" s="8">
        <f t="shared" ref="AN251:AQ251" si="1817">+AN343</f>
        <v>20773.882033240687</v>
      </c>
      <c r="AO251" s="8">
        <f t="shared" si="1817"/>
        <v>21512.444276770904</v>
      </c>
      <c r="AP251" s="8">
        <f t="shared" si="1817"/>
        <v>21877.371992487504</v>
      </c>
      <c r="AQ251" s="8">
        <f t="shared" si="1817"/>
        <v>22704.936486930375</v>
      </c>
      <c r="BB251" s="8">
        <f>+BB148</f>
        <v>26976</v>
      </c>
      <c r="BC251" s="8">
        <f>+BC148</f>
        <v>26430</v>
      </c>
      <c r="BD251" s="8">
        <f>+BD148</f>
        <v>26487</v>
      </c>
      <c r="BE251" s="8">
        <f>+BE148</f>
        <v>30444</v>
      </c>
      <c r="BG251" s="8">
        <f>+SUM('VA segmentation'!Y279:AB279)</f>
        <v>25792</v>
      </c>
      <c r="BH251" s="8">
        <f t="shared" ref="BH251:BM251" si="1818">+BH148</f>
        <v>29870</v>
      </c>
      <c r="BI251" s="8">
        <f t="shared" si="1818"/>
        <v>35865</v>
      </c>
      <c r="BJ251" s="8">
        <f t="shared" si="1818"/>
        <v>41160</v>
      </c>
      <c r="BK251" s="8">
        <f t="shared" si="1818"/>
        <v>46398</v>
      </c>
      <c r="BL251" s="8">
        <f t="shared" si="1818"/>
        <v>53915</v>
      </c>
      <c r="BM251" s="8">
        <f t="shared" si="1818"/>
        <v>63364</v>
      </c>
      <c r="BN251" s="8">
        <f>SUM(AF251:AI251)</f>
        <v>69274</v>
      </c>
      <c r="BO251" s="8">
        <f>SUM(AJ251:AM251)</f>
        <v>77728</v>
      </c>
      <c r="BP251" s="8">
        <f>+SUM(AN251:AQ251)</f>
        <v>86868.634789429459</v>
      </c>
    </row>
    <row r="252" spans="2:68" s="3" customFormat="1">
      <c r="B252" s="13" t="s">
        <v>113</v>
      </c>
      <c r="L252" s="14">
        <f>+IFERROR(L251/H251-1,"n/a ")</f>
        <v>0.27998756991920448</v>
      </c>
      <c r="M252" s="14">
        <f t="shared" ref="M252:O252" si="1819">+IFERROR(M251/I251-1,"n/a ")</f>
        <v>0.24710962529600233</v>
      </c>
      <c r="N252" s="14">
        <f t="shared" si="1819"/>
        <v>0.1685480731802258</v>
      </c>
      <c r="O252" s="14">
        <f t="shared" si="1819"/>
        <v>0.13102480112306969</v>
      </c>
      <c r="P252" s="14">
        <f t="shared" ref="P252" si="1820">+IFERROR(P251/L251-1,"n/a ")</f>
        <v>0.18608885651857254</v>
      </c>
      <c r="Q252" s="14">
        <f t="shared" ref="Q252" si="1821">+IFERROR(Q251/M251-1,"n/a ")</f>
        <v>0.12811348151457613</v>
      </c>
      <c r="R252" s="14">
        <f t="shared" ref="R252" si="1822">+IFERROR(R251/N251-1,"n/a ")</f>
        <v>0.13724183877415053</v>
      </c>
      <c r="S252" s="14">
        <f t="shared" ref="S252" si="1823">+IFERROR(S251/O251-1,"n/a ")</f>
        <v>0.14263549855192381</v>
      </c>
      <c r="T252" s="14">
        <f t="shared" ref="T252" si="1824">+IFERROR(T251/P251-1,"n/a ")</f>
        <v>0.13366083307747423</v>
      </c>
      <c r="U252" s="14">
        <f t="shared" ref="U252" si="1825">+IFERROR(U251/Q251-1,"n/a ")</f>
        <v>0.17089108910891082</v>
      </c>
      <c r="V252" s="14">
        <f t="shared" ref="V252" si="1826">+IFERROR(V251/R251-1,"n/a ")</f>
        <v>0.14655340753759027</v>
      </c>
      <c r="W252" s="14">
        <f t="shared" ref="W252:X252" si="1827">+IFERROR(W251/S251-1,"n/a ")</f>
        <v>6.3818231193989217E-2</v>
      </c>
      <c r="X252" s="14">
        <f t="shared" si="1827"/>
        <v>0.11212422135957389</v>
      </c>
      <c r="Y252" s="14">
        <f t="shared" ref="Y252" si="1828">+IFERROR(Y251/U251-1,"n/a ")</f>
        <v>0.12912227295788936</v>
      </c>
      <c r="Z252" s="14">
        <f t="shared" ref="Z252" si="1829">+IFERROR(Z251/V251-1,"n/a ")</f>
        <v>0.15404922081239891</v>
      </c>
      <c r="AA252" s="14">
        <f t="shared" ref="AA252" si="1830">+IFERROR(AA251/W251-1,"n/a ")</f>
        <v>0.25008509189925121</v>
      </c>
      <c r="AB252" s="14">
        <f t="shared" ref="AB252" si="1831">+IFERROR(AB251/X251-1,"n/a ")</f>
        <v>0.22079714262521311</v>
      </c>
      <c r="AC252" s="14">
        <f t="shared" ref="AC252:AF252" si="1832">+IFERROR(AC251/Y251-1,"n/a ")</f>
        <v>0.19343967647719618</v>
      </c>
      <c r="AD252" s="14">
        <f t="shared" si="1832"/>
        <v>0.16506788665879579</v>
      </c>
      <c r="AE252" s="14">
        <f t="shared" si="1832"/>
        <v>0.12994350282485878</v>
      </c>
      <c r="AF252" s="14">
        <f t="shared" si="1832"/>
        <v>9.4820134317441296E-2</v>
      </c>
      <c r="AG252" s="14">
        <f t="shared" ref="AG252" si="1833">+IFERROR(AG251/AC251-1,"n/a ")</f>
        <v>6.6892570281124497E-2</v>
      </c>
      <c r="AH252" s="14">
        <f t="shared" ref="AH252" si="1834">+IFERROR(AH251/AD251-1,"n/a ")</f>
        <v>0.10937994806510853</v>
      </c>
      <c r="AI252" s="14">
        <f t="shared" ref="AI252:AK252" si="1835">+IFERROR(AI251/AE251-1,"n/a ")</f>
        <v>0.10186746987951811</v>
      </c>
      <c r="AJ252" s="14">
        <f t="shared" si="1835"/>
        <v>0.12918311569996965</v>
      </c>
      <c r="AK252" s="14">
        <f t="shared" si="1835"/>
        <v>0.13216092224444176</v>
      </c>
      <c r="AL252" s="14">
        <f t="shared" ref="AL252" si="1836">+IFERROR(AL251/AH251-1,"n/a ")</f>
        <v>0.11726421557433198</v>
      </c>
      <c r="AM252" s="14">
        <f t="shared" ref="AM252" si="1837">+IFERROR(AM251/AI251-1,"n/a ")</f>
        <v>0.1107648570335138</v>
      </c>
      <c r="AN252" s="14">
        <f t="shared" ref="AN252" si="1838">+IFERROR(AN251/AJ251-1,"n/a ")</f>
        <v>0.11735596134039827</v>
      </c>
      <c r="AO252" s="14">
        <f t="shared" ref="AO252" si="1839">+IFERROR(AO251/AK251-1,"n/a ")</f>
        <v>0.11758762931949218</v>
      </c>
      <c r="AP252" s="14">
        <f t="shared" ref="AP252" si="1840">+IFERROR(AP251/AL251-1,"n/a ")</f>
        <v>0.11790352542092508</v>
      </c>
      <c r="AQ252" s="14">
        <f t="shared" ref="AQ252" si="1841">+IFERROR(AQ251/AM251-1,"n/a ")</f>
        <v>0.11753391184379458</v>
      </c>
      <c r="BC252" s="14">
        <f t="shared" ref="BC252:BE252" si="1842">+IFERROR(BC251/BB251-1,"n/a ")</f>
        <v>-2.0240213523131656E-2</v>
      </c>
      <c r="BD252" s="14">
        <f t="shared" si="1842"/>
        <v>2.1566401816117686E-3</v>
      </c>
      <c r="BE252" s="14">
        <f t="shared" si="1842"/>
        <v>0.14939404236040321</v>
      </c>
      <c r="BG252" s="829">
        <f t="shared" ref="BG252" si="1843">+BD252</f>
        <v>2.1566401816117686E-3</v>
      </c>
      <c r="BH252" s="14">
        <f>+IFERROR(BH251/BG251-1,"n/a ")</f>
        <v>0.15811104218362293</v>
      </c>
      <c r="BI252" s="14">
        <f>+IFERROR(BI251/BH251-1,"n/a ")</f>
        <v>0.20070304653498483</v>
      </c>
      <c r="BJ252" s="14">
        <f>+IFERROR(BJ251/BI251-1,"n/a ")</f>
        <v>0.14763697197825176</v>
      </c>
      <c r="BK252" s="14">
        <f t="shared" ref="BK252" si="1844">+IFERROR(BK251/BJ251-1,"n/a ")</f>
        <v>0.12725947521865888</v>
      </c>
      <c r="BL252" s="14">
        <f t="shared" ref="BL252:BM252" si="1845">+IFERROR(BL251/BK251-1,"n/a ")</f>
        <v>0.16201129359024091</v>
      </c>
      <c r="BM252" s="14">
        <f t="shared" si="1845"/>
        <v>0.17525734953167027</v>
      </c>
      <c r="BN252" s="14">
        <f t="shared" ref="BN252" si="1846">+IFERROR(BN251/BM251-1,"n/a ")</f>
        <v>9.3270626854365268E-2</v>
      </c>
      <c r="BO252" s="14">
        <f t="shared" ref="BO252" si="1847">+IFERROR(BO251/BN251-1,"n/a ")</f>
        <v>0.12203712792678356</v>
      </c>
      <c r="BP252" s="14">
        <f t="shared" ref="BP252" si="1848">+IFERROR(BP251/BO251-1,"n/a ")</f>
        <v>0.11759770982695383</v>
      </c>
    </row>
    <row r="253" spans="2:68" s="3" customFormat="1">
      <c r="B253" s="13" t="s">
        <v>270</v>
      </c>
      <c r="L253" s="22">
        <v>0.28000000000000003</v>
      </c>
      <c r="M253" s="22">
        <v>0.24</v>
      </c>
      <c r="N253" s="22">
        <v>0.14000000000000001</v>
      </c>
      <c r="O253" s="22">
        <v>0.1</v>
      </c>
      <c r="P253" s="22">
        <v>0.18</v>
      </c>
      <c r="Q253" s="22">
        <v>0.13</v>
      </c>
      <c r="R253" s="22">
        <v>0.15</v>
      </c>
      <c r="S253" s="22">
        <v>0.17</v>
      </c>
      <c r="T253" s="22">
        <v>0.15</v>
      </c>
      <c r="U253" s="22">
        <v>0.19</v>
      </c>
      <c r="V253" s="22">
        <v>0.16</v>
      </c>
      <c r="W253" s="22">
        <v>0.08</v>
      </c>
      <c r="X253" s="22">
        <v>0.11</v>
      </c>
      <c r="Y253" s="22">
        <v>0.11</v>
      </c>
      <c r="Z253" s="22">
        <v>0.12</v>
      </c>
      <c r="AA253" s="22">
        <v>0.20499999999999999</v>
      </c>
      <c r="AB253" s="22">
        <v>0.2</v>
      </c>
      <c r="AC253" s="22">
        <v>0.19</v>
      </c>
      <c r="AD253" s="22">
        <v>0.19</v>
      </c>
      <c r="AE253" s="22">
        <v>0.17</v>
      </c>
      <c r="AF253" s="22">
        <v>0.15</v>
      </c>
      <c r="AG253" s="22">
        <v>0.13</v>
      </c>
      <c r="AH253" s="22">
        <f>+AH252+4%</f>
        <v>0.14937994806510854</v>
      </c>
      <c r="AI253" s="22">
        <v>0.12</v>
      </c>
      <c r="AJ253" s="22">
        <v>0.12</v>
      </c>
      <c r="AK253" s="22">
        <v>0.12</v>
      </c>
      <c r="AL253" s="22">
        <v>0.11</v>
      </c>
      <c r="AM253" s="22">
        <v>0.12</v>
      </c>
      <c r="AN253" s="891">
        <f t="shared" ref="AN253:AQ253" si="1849">+AN$14-AN$13+AN252</f>
        <v>0.11124165420980003</v>
      </c>
      <c r="AO253" s="891">
        <f t="shared" si="1849"/>
        <v>9.2314140768712916E-2</v>
      </c>
      <c r="AP253" s="891">
        <f t="shared" si="1849"/>
        <v>9.8887990323865083E-2</v>
      </c>
      <c r="AQ253" s="891">
        <f t="shared" si="1849"/>
        <v>9.4508116853993629E-2</v>
      </c>
      <c r="BI253" s="23">
        <f>+SUMPRODUCT(L253:O253,H251:K251)/BH251</f>
        <v>0.18275259457649817</v>
      </c>
      <c r="BJ253" s="23">
        <f>+SUMPRODUCT(P253:S253,L251:O251)/BI251</f>
        <v>0.15728955806496586</v>
      </c>
      <c r="BK253" s="23">
        <f>+SUMPRODUCT(T253:W253,P251:S251)/BJ251</f>
        <v>0.14351627793974733</v>
      </c>
      <c r="BL253" s="23">
        <f>+SUMPRODUCT(X253:AA253,T251:W251)/BK251</f>
        <v>0.1365931721194879</v>
      </c>
      <c r="BM253" s="23">
        <f>+SUMPRODUCT(AB253:AE253,X251:AA251)/BL251</f>
        <v>0.1868352035611611</v>
      </c>
      <c r="BN253" s="23">
        <f>+SUMPRODUCT(AF253:AI253,AB251:AE251)/BM251</f>
        <v>0.13695615807082887</v>
      </c>
      <c r="BO253" s="23">
        <f>+SUMPRODUCT(AJ253:AM253,AF251:AI251)/BN251</f>
        <v>0.11747149002511766</v>
      </c>
      <c r="BP253" s="23">
        <f>+SUMPRODUCT(AN253:AQ253,AJ251:AM251)/BO251</f>
        <v>9.9070079141187026E-2</v>
      </c>
    </row>
    <row r="254" spans="2:68" s="3" customFormat="1">
      <c r="B254" s="921"/>
      <c r="L254" s="14"/>
      <c r="M254" s="14"/>
      <c r="N254" s="90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BI254" s="14"/>
      <c r="BJ254" s="14"/>
      <c r="BK254" s="14"/>
      <c r="BL254" s="14"/>
      <c r="BM254" s="14"/>
      <c r="BN254" s="14"/>
      <c r="BO254" s="14"/>
      <c r="BP254" s="14"/>
    </row>
    <row r="255" spans="2:68" s="3" customFormat="1">
      <c r="B255" s="922" t="s">
        <v>126</v>
      </c>
      <c r="L255" s="14"/>
      <c r="M255" s="14"/>
      <c r="N255" s="90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BI255" s="14"/>
      <c r="BJ255" s="14"/>
      <c r="BK255" s="14"/>
      <c r="BL255" s="14"/>
      <c r="BM255" s="14"/>
      <c r="BN255" s="14"/>
      <c r="BO255" s="14"/>
      <c r="BP255" s="14"/>
    </row>
    <row r="256" spans="2:68" s="3" customFormat="1">
      <c r="B256" s="12" t="s">
        <v>364</v>
      </c>
      <c r="H256" s="8">
        <f t="shared" ref="H256:AH256" si="1850">+H251-H311</f>
        <v>6436</v>
      </c>
      <c r="I256" s="8">
        <f t="shared" si="1850"/>
        <v>6951</v>
      </c>
      <c r="J256" s="8">
        <f t="shared" si="1850"/>
        <v>6731</v>
      </c>
      <c r="K256" s="8">
        <f t="shared" si="1850"/>
        <v>7481</v>
      </c>
      <c r="L256" s="8">
        <f t="shared" si="1850"/>
        <v>7090</v>
      </c>
      <c r="M256" s="8">
        <f t="shared" si="1850"/>
        <v>7641</v>
      </c>
      <c r="N256" s="8">
        <f t="shared" si="1850"/>
        <v>7671</v>
      </c>
      <c r="O256" s="8">
        <f t="shared" si="1850"/>
        <v>8204</v>
      </c>
      <c r="P256" s="8">
        <f t="shared" si="1850"/>
        <v>8241</v>
      </c>
      <c r="Q256" s="8">
        <f t="shared" si="1850"/>
        <v>8407</v>
      </c>
      <c r="R256" s="8">
        <f t="shared" si="1850"/>
        <v>8546</v>
      </c>
      <c r="S256" s="8">
        <f t="shared" si="1850"/>
        <v>9212</v>
      </c>
      <c r="T256" s="8">
        <f t="shared" si="1850"/>
        <v>9168</v>
      </c>
      <c r="U256" s="8">
        <f t="shared" si="1850"/>
        <v>9724</v>
      </c>
      <c r="V256" s="8">
        <f t="shared" si="1850"/>
        <v>9693</v>
      </c>
      <c r="W256" s="8">
        <f t="shared" si="1850"/>
        <v>9736</v>
      </c>
      <c r="X256" s="8">
        <f t="shared" si="1850"/>
        <v>10113</v>
      </c>
      <c r="Y256" s="8">
        <f t="shared" si="1850"/>
        <v>10776</v>
      </c>
      <c r="Z256" s="8">
        <f t="shared" si="1850"/>
        <v>10990</v>
      </c>
      <c r="AA256" s="8">
        <f t="shared" si="1850"/>
        <v>11747</v>
      </c>
      <c r="AB256" s="8">
        <f t="shared" si="1850"/>
        <v>11903</v>
      </c>
      <c r="AC256" s="8">
        <f t="shared" si="1850"/>
        <v>12405</v>
      </c>
      <c r="AD256" s="8">
        <f t="shared" si="1850"/>
        <v>12352</v>
      </c>
      <c r="AE256" s="8">
        <f t="shared" si="1850"/>
        <v>12888</v>
      </c>
      <c r="AF256" s="8">
        <f t="shared" si="1850"/>
        <v>12802</v>
      </c>
      <c r="AG256" s="8">
        <f t="shared" si="1850"/>
        <v>13126</v>
      </c>
      <c r="AH256" s="8">
        <f t="shared" si="1850"/>
        <v>13804.04</v>
      </c>
      <c r="AI256" s="8">
        <f t="shared" ref="AI256:AJ256" si="1851">+AI251-AI311</f>
        <v>14393.4</v>
      </c>
      <c r="AJ256" s="8">
        <f t="shared" si="1851"/>
        <v>14635.96</v>
      </c>
      <c r="AK256" s="8">
        <f t="shared" ref="AK256:AL256" si="1852">+AK251-AK311</f>
        <v>15024.16</v>
      </c>
      <c r="AL256" s="8">
        <f t="shared" si="1852"/>
        <v>15486.843999999999</v>
      </c>
      <c r="AM256" s="8">
        <f t="shared" ref="AM256" si="1853">+AM251-AM311</f>
        <v>16029.64</v>
      </c>
      <c r="AN256" s="8"/>
      <c r="AO256" s="8"/>
      <c r="AP256" s="8"/>
      <c r="AQ256" s="8"/>
      <c r="BG256" s="8"/>
      <c r="BH256" s="8">
        <f t="shared" ref="BH256:BM256" si="1854">+BH251-BH311</f>
        <v>27599</v>
      </c>
      <c r="BI256" s="8">
        <f t="shared" si="1854"/>
        <v>30606</v>
      </c>
      <c r="BJ256" s="8">
        <f t="shared" si="1854"/>
        <v>34406</v>
      </c>
      <c r="BK256" s="8">
        <f t="shared" si="1854"/>
        <v>38321</v>
      </c>
      <c r="BL256" s="8">
        <f t="shared" si="1854"/>
        <v>43626</v>
      </c>
      <c r="BM256" s="8">
        <f t="shared" si="1854"/>
        <v>49548</v>
      </c>
      <c r="BN256" s="8">
        <f t="shared" ref="BN256:BO256" si="1855">+BN251-BN311</f>
        <v>54125.440000000002</v>
      </c>
      <c r="BO256" s="8">
        <f t="shared" si="1855"/>
        <v>61176.603999999999</v>
      </c>
      <c r="BP256" s="8"/>
    </row>
    <row r="257" spans="2:71" s="3" customFormat="1">
      <c r="B257" s="15" t="s">
        <v>113</v>
      </c>
      <c r="L257" s="14">
        <f>+IFERROR(L256/H256-1,"n/a ")</f>
        <v>0.10161591050341823</v>
      </c>
      <c r="M257" s="14">
        <f t="shared" ref="M257" si="1856">+IFERROR(M256/I256-1,"n/a ")</f>
        <v>9.9266292619766938E-2</v>
      </c>
      <c r="N257" s="14">
        <f t="shared" ref="N257" si="1857">+IFERROR(N256/J256-1,"n/a ")</f>
        <v>0.13965235477640769</v>
      </c>
      <c r="O257" s="14">
        <f t="shared" ref="O257" si="1858">+IFERROR(O256/K256-1,"n/a ")</f>
        <v>9.6644833578398703E-2</v>
      </c>
      <c r="P257" s="14">
        <f t="shared" ref="P257" si="1859">+IFERROR(P256/L256-1,"n/a ")</f>
        <v>0.16234132581100136</v>
      </c>
      <c r="Q257" s="14">
        <f t="shared" ref="Q257" si="1860">+IFERROR(Q256/M256-1,"n/a ")</f>
        <v>0.1002486585525455</v>
      </c>
      <c r="R257" s="14">
        <f t="shared" ref="R257" si="1861">+IFERROR(R256/N256-1,"n/a ")</f>
        <v>0.11406596271672531</v>
      </c>
      <c r="S257" s="14">
        <f t="shared" ref="S257" si="1862">+IFERROR(S256/O256-1,"n/a ")</f>
        <v>0.12286689419795227</v>
      </c>
      <c r="T257" s="14">
        <f t="shared" ref="T257" si="1863">+IFERROR(T256/P256-1,"n/a ")</f>
        <v>0.11248634874408436</v>
      </c>
      <c r="U257" s="14">
        <f t="shared" ref="U257" si="1864">+IFERROR(U256/Q256-1,"n/a ")</f>
        <v>0.1566551683121209</v>
      </c>
      <c r="V257" s="14">
        <f t="shared" ref="V257" si="1865">+IFERROR(V256/R256-1,"n/a ")</f>
        <v>0.13421483735080741</v>
      </c>
      <c r="W257" s="14">
        <f t="shared" ref="W257:X257" si="1866">+IFERROR(W256/S256-1,"n/a ")</f>
        <v>5.6882327399044641E-2</v>
      </c>
      <c r="X257" s="14">
        <f t="shared" si="1866"/>
        <v>0.10307591623036649</v>
      </c>
      <c r="Y257" s="14">
        <f t="shared" ref="Y257" si="1867">+IFERROR(Y256/U256-1,"n/a ")</f>
        <v>0.10818593171534352</v>
      </c>
      <c r="Z257" s="14">
        <f t="shared" ref="Z257" si="1868">+IFERROR(Z256/V256-1,"n/a ")</f>
        <v>0.13380790261013109</v>
      </c>
      <c r="AA257" s="14">
        <f t="shared" ref="AA257" si="1869">+IFERROR(AA256/W256-1,"n/a ")</f>
        <v>0.20655299917830727</v>
      </c>
      <c r="AB257" s="14">
        <f t="shared" ref="AB257" si="1870">+IFERROR(AB256/X256-1,"n/a ")</f>
        <v>0.17699990111737374</v>
      </c>
      <c r="AC257" s="14">
        <f t="shared" ref="AC257:AE257" si="1871">+IFERROR(AC256/Y256-1,"n/a ")</f>
        <v>0.15116926503340755</v>
      </c>
      <c r="AD257" s="14">
        <f t="shared" si="1871"/>
        <v>0.12393084622383976</v>
      </c>
      <c r="AE257" s="14">
        <f t="shared" si="1871"/>
        <v>9.7131182429556429E-2</v>
      </c>
      <c r="AF257" s="14">
        <f t="shared" ref="AF257" si="1872">+IFERROR(AF256/AB256-1,"n/a ")</f>
        <v>7.5527178022347208E-2</v>
      </c>
      <c r="AG257" s="14">
        <f t="shared" ref="AG257" si="1873">+IFERROR(AG256/AC256-1,"n/a ")</f>
        <v>5.8121725110842348E-2</v>
      </c>
      <c r="AH257" s="14">
        <f t="shared" ref="AH257" si="1874">+IFERROR(AH256/AD256-1,"n/a ")</f>
        <v>0.11755505181347159</v>
      </c>
      <c r="AI257" s="14">
        <f t="shared" ref="AI257:AJ257" si="1875">+IFERROR(AI256/AE256-1,"n/a ")</f>
        <v>0.11680633147113584</v>
      </c>
      <c r="AJ257" s="14">
        <f t="shared" si="1875"/>
        <v>0.1432557412904234</v>
      </c>
      <c r="AK257" s="14">
        <f t="shared" ref="AK257" si="1876">+IFERROR(AK256/AG256-1,"n/a ")</f>
        <v>0.1446106963278988</v>
      </c>
      <c r="AL257" s="14">
        <f t="shared" ref="AL257" si="1877">+IFERROR(AL256/AH256-1,"n/a ")</f>
        <v>0.12190663023288817</v>
      </c>
      <c r="AM257" s="14">
        <f t="shared" ref="AM257" si="1878">+IFERROR(AM256/AI256-1,"n/a ")</f>
        <v>0.11367988105659532</v>
      </c>
      <c r="AN257" s="14"/>
      <c r="AO257" s="14"/>
      <c r="AP257" s="14"/>
      <c r="AQ257" s="14"/>
      <c r="BI257" s="14">
        <f>+IFERROR(BI256/BH256-1,"n/a ")</f>
        <v>0.10895322294286025</v>
      </c>
      <c r="BJ257" s="14">
        <f t="shared" ref="BJ257" si="1879">+IFERROR(BJ256/BI256-1,"n/a ")</f>
        <v>0.12415866170032031</v>
      </c>
      <c r="BK257" s="14">
        <f t="shared" ref="BK257:BL257" si="1880">+IFERROR(BK256/BJ256-1,"n/a ")</f>
        <v>0.11378829273963853</v>
      </c>
      <c r="BL257" s="14">
        <f t="shared" si="1880"/>
        <v>0.13843584457608094</v>
      </c>
      <c r="BM257" s="14">
        <f t="shared" ref="BM257" si="1881">+IFERROR(BM256/BL256-1,"n/a ")</f>
        <v>0.13574473937560172</v>
      </c>
      <c r="BN257" s="14">
        <f t="shared" ref="BN257" si="1882">+IFERROR(BN256/BM256-1,"n/a ")</f>
        <v>9.2383950916283153E-2</v>
      </c>
      <c r="BO257" s="14">
        <f t="shared" ref="BO257" si="1883">+IFERROR(BO256/BN256-1,"n/a ")</f>
        <v>0.13027448829977173</v>
      </c>
      <c r="BP257" s="14"/>
    </row>
    <row r="258" spans="2:71" s="3" customFormat="1">
      <c r="B258" s="15" t="s">
        <v>270</v>
      </c>
      <c r="L258" s="14">
        <f>+(H251*(1+L253)-L311)/H256-1</f>
        <v>0.10162834058421377</v>
      </c>
      <c r="M258" s="14">
        <f>+(I251*(1+M253)-M311)/I256-1</f>
        <v>9.1923464249748177E-2</v>
      </c>
      <c r="N258" s="14">
        <f t="shared" ref="N258:AH258" si="1884">+(J251*(1+N253)-J311*(1+N313))/J256-1</f>
        <v>0.112449858861982</v>
      </c>
      <c r="O258" s="14">
        <f t="shared" si="1884"/>
        <v>6.5769282181526778E-2</v>
      </c>
      <c r="P258" s="14">
        <f t="shared" si="1884"/>
        <v>0.15571227080394912</v>
      </c>
      <c r="Q258" s="14">
        <f t="shared" si="1884"/>
        <v>0.1008101033896085</v>
      </c>
      <c r="R258" s="14">
        <f t="shared" si="1884"/>
        <v>0.12563551036370746</v>
      </c>
      <c r="S258" s="14">
        <f t="shared" si="1884"/>
        <v>0.15037055095075558</v>
      </c>
      <c r="T258" s="14">
        <f t="shared" si="1884"/>
        <v>0.12957772115034594</v>
      </c>
      <c r="U258" s="14">
        <f t="shared" si="1884"/>
        <v>0.17590341382181518</v>
      </c>
      <c r="V258" s="14">
        <f t="shared" si="1884"/>
        <v>0.14809267493564215</v>
      </c>
      <c r="W258" s="14">
        <f t="shared" si="1884"/>
        <v>7.4024099001302579E-2</v>
      </c>
      <c r="X258" s="14">
        <f t="shared" si="1884"/>
        <v>9.9588787085514996E-2</v>
      </c>
      <c r="Y258" s="14">
        <f t="shared" si="1884"/>
        <v>8.6221719457013624E-2</v>
      </c>
      <c r="Z258" s="14">
        <f t="shared" si="1884"/>
        <v>9.6735788713504745E-2</v>
      </c>
      <c r="AA258" s="14">
        <f t="shared" si="1884"/>
        <v>0.16048069022185718</v>
      </c>
      <c r="AB258" s="14">
        <f t="shared" si="1884"/>
        <v>0.15855433600316426</v>
      </c>
      <c r="AC258" s="14">
        <f t="shared" si="1884"/>
        <v>0.1493457683741648</v>
      </c>
      <c r="AD258" s="14">
        <f t="shared" si="1884"/>
        <v>0.15270063694267511</v>
      </c>
      <c r="AE258" s="14">
        <f t="shared" si="1884"/>
        <v>0.13992593853749868</v>
      </c>
      <c r="AF258" s="14">
        <f t="shared" si="1884"/>
        <v>0.13419222044862633</v>
      </c>
      <c r="AG258" s="14">
        <f t="shared" si="1884"/>
        <v>0.12715356711003589</v>
      </c>
      <c r="AH258" s="14">
        <f t="shared" si="1884"/>
        <v>0.16312014248704632</v>
      </c>
      <c r="AI258" s="14">
        <f t="shared" ref="AI258:AJ258" si="1885">+(AE251*(1+AI253)-AE311*(1+AI313))/AE256-1</f>
        <v>0.13440099317194298</v>
      </c>
      <c r="AJ258" s="14">
        <f t="shared" si="1885"/>
        <v>0.13144508670520239</v>
      </c>
      <c r="AK258" s="14">
        <f t="shared" ref="AK258" si="1886">+(AG251*(1+AK253)-AG311*(1+AK313))/AG256-1</f>
        <v>0.13181167149169593</v>
      </c>
      <c r="AL258" s="14">
        <f t="shared" ref="AL258" si="1887">+(AH251*(1+AL253)-AH311*(1+AL313))/AH256-1</f>
        <v>0.11537807772217401</v>
      </c>
      <c r="AM258" s="14">
        <f t="shared" ref="AM258" si="1888">+(AI251*(1+AM253)-AI311*(1+AM313))/AI256-1</f>
        <v>0.12812372337321265</v>
      </c>
      <c r="AN258" s="14"/>
      <c r="AO258" s="14"/>
      <c r="AP258" s="14"/>
      <c r="AQ258" s="14"/>
      <c r="BI258" s="14">
        <f>+SUMPRODUCT(L258:O258,H256:K256)/BH256</f>
        <v>9.2103337077430431E-2</v>
      </c>
      <c r="BJ258" s="14">
        <f>+SUMPRODUCT(P258:S258,L256:O256)/BI256</f>
        <v>0.13303535254525245</v>
      </c>
      <c r="BK258" s="14">
        <f>+SUMPRODUCT(T258:W258,P256:S256)/BJ256</f>
        <v>0.13062198453758062</v>
      </c>
      <c r="BL258" s="23">
        <f>+SUMPRODUCT(X258:AA258,T256:W256)/BK256</f>
        <v>0.11094569557161882</v>
      </c>
      <c r="BM258" s="23">
        <f>+SUMPRODUCT(AB258:AE258,X256:AA256)/BL256</f>
        <v>0.14978911658185479</v>
      </c>
      <c r="BN258" s="23">
        <f t="shared" ref="BN258" si="1889">+SUMPRODUCT(AC258:AF258,Y256:AB256)/BM256</f>
        <v>0.13176172600306763</v>
      </c>
      <c r="BO258" s="23">
        <f t="shared" ref="BO258" si="1890">+SUMPRODUCT(AD258:AG258,Z256:AC256)/BN256</f>
        <v>0.12002710740088193</v>
      </c>
      <c r="BP258" s="14"/>
    </row>
    <row r="260" spans="2:71" s="3" customFormat="1">
      <c r="B260" t="s">
        <v>365</v>
      </c>
      <c r="D260" s="3">
        <f>+'VA segmentation'!Y285</f>
        <v>5110.2877814694921</v>
      </c>
      <c r="E260" s="3">
        <f>+'VA segmentation'!Z285</f>
        <v>5312.0175906655322</v>
      </c>
      <c r="F260" s="3">
        <f>+'VA segmentation'!AA285</f>
        <v>5140.2594831778451</v>
      </c>
      <c r="G260" s="3">
        <f>+'VA segmentation'!AB285</f>
        <v>5736.5121263171732</v>
      </c>
      <c r="H260" s="8">
        <f>+'VA segmentation'!AC285</f>
        <v>5053.1028182280052</v>
      </c>
      <c r="I260" s="8">
        <f>+'VA segmentation'!AD285</f>
        <v>5626.7985602681092</v>
      </c>
      <c r="J260" s="8">
        <f>+'VA segmentation'!AE285</f>
        <v>5882.9764099393187</v>
      </c>
      <c r="K260" s="8">
        <f>+'VA segmentation'!AF285</f>
        <v>6608.6758518496572</v>
      </c>
      <c r="L260" s="8">
        <f>+'VA segmentation'!AG285</f>
        <v>6289.4685779504734</v>
      </c>
      <c r="M260" s="8">
        <f>+'VA segmentation'!AH285</f>
        <v>6931.7359110158923</v>
      </c>
      <c r="N260" s="8">
        <f>+'VA segmentation'!AI285</f>
        <v>6909.3872250898921</v>
      </c>
      <c r="O260" s="8">
        <f>+'VA segmentation'!AJ285</f>
        <v>7443.1620240430702</v>
      </c>
      <c r="P260" s="8">
        <f>+'VA segmentation'!AK285</f>
        <v>7394.1272690421874</v>
      </c>
      <c r="Q260" s="8">
        <f>+'VA segmentation'!AL285</f>
        <v>7715.4680690680789</v>
      </c>
      <c r="R260" s="8">
        <f>+'VA segmentation'!AM285</f>
        <v>7914.2132840257718</v>
      </c>
      <c r="S260" s="8">
        <f>+'VA segmentation'!AN285</f>
        <v>8607.2174633387167</v>
      </c>
      <c r="T260" s="8">
        <f>+'VA segmentation'!AO285</f>
        <v>8557.767908924885</v>
      </c>
      <c r="U260" s="8">
        <f>+'VA segmentation'!AP285</f>
        <v>9290.186833659387</v>
      </c>
      <c r="V260" s="8">
        <f>+'VA segmentation'!AQ285</f>
        <v>9175.619587857067</v>
      </c>
      <c r="W260" s="8">
        <f>+'VA segmentation'!AR285</f>
        <v>8739.0368383353161</v>
      </c>
      <c r="X260" s="8">
        <f>+'VA segmentation'!AS285</f>
        <v>9640.7039661185991</v>
      </c>
      <c r="Y260" s="8">
        <f>+'VA segmentation'!AT285</f>
        <v>10490.087656077136</v>
      </c>
      <c r="Z260" s="8">
        <f>+'VA segmentation'!AU285</f>
        <v>10582.113715690992</v>
      </c>
      <c r="AA260" s="8">
        <f>+'VA segmentation'!AV285</f>
        <v>11483.769222972391</v>
      </c>
      <c r="AB260" s="8">
        <f>+'VA segmentation'!AW285</f>
        <v>11785.627684895009</v>
      </c>
      <c r="AC260" s="8">
        <f>+'VA segmentation'!AX285</f>
        <v>12540.352311118064</v>
      </c>
      <c r="AD260" s="8">
        <f>+'VA segmentation'!AY285</f>
        <v>12309.4641074433</v>
      </c>
      <c r="AE260" s="8">
        <f>+'VA segmentation'!AZ285</f>
        <v>12887.096965745019</v>
      </c>
      <c r="AF260" s="8">
        <f>+AB260*(1+AF261)</f>
        <v>13082.046730233462</v>
      </c>
      <c r="AG260" s="8">
        <f>+AC260*(1+AG261)</f>
        <v>13543.580496007509</v>
      </c>
      <c r="AH260" s="8">
        <f>+AD260*(1+AH261)</f>
        <v>14032.789082485364</v>
      </c>
      <c r="AI260" s="8">
        <f t="shared" ref="AI260:AK260" si="1891">+AE260*(1+AI261)</f>
        <v>14691.290540949323</v>
      </c>
      <c r="AJ260" s="8">
        <f t="shared" si="1891"/>
        <v>14782.71280516381</v>
      </c>
      <c r="AK260" s="8">
        <f t="shared" si="1891"/>
        <v>15439.681765448562</v>
      </c>
      <c r="AL260" s="8">
        <f t="shared" ref="AL260" si="1892">+AH260*(1+AL261)</f>
        <v>15576.395881558756</v>
      </c>
      <c r="AM260" s="8">
        <f t="shared" ref="AM260" si="1893">+AI260*(1+AM261)</f>
        <v>16013.506689634763</v>
      </c>
      <c r="AN260" s="8"/>
      <c r="AO260" s="8"/>
      <c r="AP260" s="8"/>
      <c r="AQ260" s="8"/>
      <c r="BG260" s="8">
        <f>+SUM('VA segmentation'!Y285:AB285)</f>
        <v>21299.076981630045</v>
      </c>
      <c r="BH260" s="8">
        <f>+SUM('VA segmentation'!AC285:AF285)</f>
        <v>23171.553640285088</v>
      </c>
      <c r="BI260" s="8">
        <f>SUM('VA segmentation'!AG285:AJ285)</f>
        <v>27573.753738099331</v>
      </c>
      <c r="BJ260" s="8">
        <f>SUM(P260:S260)</f>
        <v>31631.026085474754</v>
      </c>
      <c r="BK260" s="8">
        <f>SUM(T260:W260)</f>
        <v>35762.611168776653</v>
      </c>
      <c r="BL260" s="8">
        <f>SUM(X260:AA260)</f>
        <v>42196.674560859115</v>
      </c>
      <c r="BM260" s="8">
        <f>+SUM(AB260:AE260)</f>
        <v>49522.54106920139</v>
      </c>
      <c r="BN260" s="8">
        <f>SUM(AF260:AI260)</f>
        <v>55349.706849675655</v>
      </c>
      <c r="BO260" s="8">
        <f>+SUM(AJ260:AM260)</f>
        <v>61812.297141805888</v>
      </c>
      <c r="BP260" s="8"/>
    </row>
    <row r="261" spans="2:71" s="3" customFormat="1">
      <c r="B261" s="13" t="s">
        <v>113</v>
      </c>
      <c r="H261" s="22"/>
      <c r="I261" s="22"/>
      <c r="J261" s="22"/>
      <c r="K261" s="22"/>
      <c r="L261" s="22">
        <v>0.25</v>
      </c>
      <c r="M261" s="22">
        <v>0.24</v>
      </c>
      <c r="N261" s="22">
        <v>0.18</v>
      </c>
      <c r="O261" s="22">
        <v>0.13</v>
      </c>
      <c r="P261" s="22">
        <v>0.18</v>
      </c>
      <c r="Q261" s="22">
        <v>0.11</v>
      </c>
      <c r="R261" s="22">
        <v>0.15</v>
      </c>
      <c r="S261" s="22">
        <v>0.16</v>
      </c>
      <c r="T261" s="22">
        <v>0.16</v>
      </c>
      <c r="U261" s="22">
        <v>0.21</v>
      </c>
      <c r="V261" s="22">
        <v>0.16</v>
      </c>
      <c r="W261" s="22">
        <v>0</v>
      </c>
      <c r="X261" s="22">
        <v>0.13</v>
      </c>
      <c r="Y261" s="22">
        <v>0.13</v>
      </c>
      <c r="Z261" s="22">
        <v>0.15</v>
      </c>
      <c r="AA261" s="22">
        <v>0.33</v>
      </c>
      <c r="AB261" s="22">
        <v>0.22</v>
      </c>
      <c r="AC261" s="22">
        <v>0.2</v>
      </c>
      <c r="AD261" s="22">
        <v>0.16</v>
      </c>
      <c r="AE261" s="22">
        <v>0.12</v>
      </c>
      <c r="AF261" s="22">
        <v>0.11</v>
      </c>
      <c r="AG261" s="22">
        <v>0.08</v>
      </c>
      <c r="AH261" s="22">
        <v>0.14000000000000001</v>
      </c>
      <c r="AI261" s="22">
        <v>0.14000000000000001</v>
      </c>
      <c r="AJ261" s="22">
        <v>0.13</v>
      </c>
      <c r="AK261" s="22">
        <v>0.14000000000000001</v>
      </c>
      <c r="AL261" s="22">
        <v>0.11</v>
      </c>
      <c r="AM261" s="22">
        <v>0.09</v>
      </c>
      <c r="AN261" s="22"/>
      <c r="AO261" s="22"/>
      <c r="AP261" s="22"/>
      <c r="AQ261" s="22"/>
      <c r="BG261" s="21"/>
      <c r="BH261" s="21">
        <f>+BH260/BG260-1</f>
        <v>8.7913511945612033E-2</v>
      </c>
      <c r="BI261" s="21">
        <f t="shared" ref="BI261:BL261" si="1894">+BI260/BH260-1</f>
        <v>0.18998294918648706</v>
      </c>
      <c r="BJ261" s="21">
        <f t="shared" si="1894"/>
        <v>0.14714254670989502</v>
      </c>
      <c r="BK261" s="21">
        <f t="shared" si="1894"/>
        <v>0.13061811754501251</v>
      </c>
      <c r="BL261" s="21">
        <f t="shared" si="1894"/>
        <v>0.1799103360131562</v>
      </c>
      <c r="BM261" s="21">
        <f>+BM260/BL260-1</f>
        <v>0.17361241340893763</v>
      </c>
      <c r="BN261" s="21">
        <f t="shared" ref="BN261" si="1895">+BN260/BM260-1</f>
        <v>0.11766693821974017</v>
      </c>
      <c r="BO261" s="21">
        <f t="shared" ref="BO261" si="1896">+BO260/BN260-1</f>
        <v>0.11675925058974546</v>
      </c>
      <c r="BP261" s="21"/>
      <c r="BS261" s="21"/>
    </row>
    <row r="262" spans="2:71" s="3" customFormat="1">
      <c r="B262" s="13" t="s">
        <v>270</v>
      </c>
      <c r="H262" s="22"/>
      <c r="I262" s="22"/>
      <c r="J262" s="22"/>
      <c r="K262" s="22"/>
      <c r="L262" s="22">
        <v>0.24</v>
      </c>
      <c r="M262" s="22">
        <v>0.23</v>
      </c>
      <c r="N262" s="22">
        <v>0.15</v>
      </c>
      <c r="O262" s="22">
        <v>0.1</v>
      </c>
      <c r="P262" s="22">
        <v>0.17</v>
      </c>
      <c r="Q262" s="22">
        <v>0.11</v>
      </c>
      <c r="R262" s="22">
        <v>0.17</v>
      </c>
      <c r="S262" s="22">
        <v>0.2</v>
      </c>
      <c r="T262" s="22">
        <v>0.19</v>
      </c>
      <c r="U262" s="22">
        <v>0.23</v>
      </c>
      <c r="V262" s="22">
        <v>0.18</v>
      </c>
      <c r="W262" s="22">
        <v>0.03</v>
      </c>
      <c r="X262" s="22">
        <v>0.12</v>
      </c>
      <c r="Y262" s="22">
        <v>0.11</v>
      </c>
      <c r="Z262" s="22">
        <v>0.12</v>
      </c>
      <c r="AA262" s="22">
        <v>0.27</v>
      </c>
      <c r="AB262" s="22">
        <v>0.2</v>
      </c>
      <c r="AC262" s="22">
        <v>0.19</v>
      </c>
      <c r="AD262" s="22">
        <v>0.19</v>
      </c>
      <c r="AE262" s="22">
        <v>0.17</v>
      </c>
      <c r="AF262" s="22">
        <v>0.18</v>
      </c>
      <c r="AG262" s="22">
        <v>0.16</v>
      </c>
      <c r="AH262" s="22">
        <v>0.18</v>
      </c>
      <c r="AI262" s="22">
        <v>0.16</v>
      </c>
      <c r="AJ262" s="22">
        <v>0.13</v>
      </c>
      <c r="AK262" s="22">
        <v>0.12</v>
      </c>
      <c r="AL262" s="22">
        <v>0.1</v>
      </c>
      <c r="AM262" s="22">
        <v>0.1</v>
      </c>
      <c r="AN262" s="22"/>
      <c r="AO262" s="22"/>
      <c r="AP262" s="22"/>
      <c r="AQ262" s="22"/>
      <c r="BG262" s="21"/>
      <c r="BH262" s="21"/>
      <c r="BI262" s="21">
        <f>+SUMPRODUCT(L262:O262,H260:K260)/BH260</f>
        <v>0.17479287124151674</v>
      </c>
      <c r="BJ262" s="21">
        <f>+SUMPRODUCT(P262:S262,L260:O260)/BI260</f>
        <v>0.16301475976868798</v>
      </c>
      <c r="BK262" s="21">
        <f>+SUMPRODUCT(T262:W262,P260:S260)/BJ260</f>
        <v>0.15371669382111022</v>
      </c>
      <c r="BL262" s="21">
        <f>+SUMPRODUCT(X262:AA262,T260:W260)/BK260</f>
        <v>0.1540566199617176</v>
      </c>
      <c r="BM262" s="21">
        <f>+SUMPRODUCT(AB262:AE262,X260:AA260)/BL260</f>
        <v>0.18684173347342686</v>
      </c>
      <c r="BN262" s="21">
        <f>+SUMPRODUCT(AF262:AI262,AB260:AE260)/BM260</f>
        <v>0.16973095938621915</v>
      </c>
      <c r="BO262" s="21">
        <f>+SUMPRODUCT(AJ262:AM262,AF260:AI260)/BN260</f>
        <v>0.11198439973004194</v>
      </c>
      <c r="BP262" s="21"/>
      <c r="BS262" s="21"/>
    </row>
    <row r="263" spans="2:71" s="3" customFormat="1">
      <c r="B263" s="13" t="s">
        <v>115</v>
      </c>
      <c r="C263" s="14"/>
      <c r="D263" s="14"/>
      <c r="E263" s="14"/>
      <c r="F263" s="14"/>
      <c r="G263" s="14"/>
      <c r="H263" s="14"/>
      <c r="I263" s="14"/>
      <c r="J263" s="14"/>
      <c r="K263" s="14"/>
      <c r="L263" s="14"/>
      <c r="M263" s="14"/>
      <c r="N263" s="14"/>
      <c r="O263" s="14"/>
      <c r="P263" s="14">
        <f>+P260/P251</f>
        <v>0.75674212148625397</v>
      </c>
      <c r="Q263" s="14">
        <f t="shared" ref="Q263:BM263" si="1897">+Q260/Q251</f>
        <v>0.76390772961070086</v>
      </c>
      <c r="R263" s="14">
        <f t="shared" si="1897"/>
        <v>0.77272146885625581</v>
      </c>
      <c r="S263" s="14">
        <f t="shared" si="1897"/>
        <v>0.77914523973374827</v>
      </c>
      <c r="T263" s="14">
        <f t="shared" si="1897"/>
        <v>0.77257090447999321</v>
      </c>
      <c r="U263" s="14">
        <f t="shared" si="1897"/>
        <v>0.78557304529506067</v>
      </c>
      <c r="V263" s="14">
        <f t="shared" si="1897"/>
        <v>0.78136929131031818</v>
      </c>
      <c r="W263" s="14">
        <f t="shared" si="1897"/>
        <v>0.74362124220007797</v>
      </c>
      <c r="X263" s="14">
        <f t="shared" si="1897"/>
        <v>0.78258819434358295</v>
      </c>
      <c r="Y263" s="14">
        <f t="shared" si="1897"/>
        <v>0.78559781742508317</v>
      </c>
      <c r="Z263" s="14">
        <f t="shared" si="1897"/>
        <v>0.78085254690754069</v>
      </c>
      <c r="AA263" s="14">
        <f t="shared" si="1897"/>
        <v>0.7816873747854054</v>
      </c>
      <c r="AB263" s="14">
        <f t="shared" si="1897"/>
        <v>0.78367096781002787</v>
      </c>
      <c r="AC263" s="14">
        <f t="shared" si="1897"/>
        <v>0.78691969823783037</v>
      </c>
      <c r="AD263" s="14">
        <f t="shared" si="1897"/>
        <v>0.77962278215487368</v>
      </c>
      <c r="AE263" s="14">
        <f t="shared" si="1897"/>
        <v>0.77633114251476021</v>
      </c>
      <c r="AF263" s="14">
        <f t="shared" si="1897"/>
        <v>0.79453669785809056</v>
      </c>
      <c r="AG263" s="14">
        <f t="shared" si="1897"/>
        <v>0.79658748947226854</v>
      </c>
      <c r="AH263" s="14">
        <f t="shared" si="1897"/>
        <v>0.80114118991124483</v>
      </c>
      <c r="AI263" s="14">
        <f t="shared" ref="AI263:AJ263" si="1898">+AI260/AI251</f>
        <v>0.80319777710072293</v>
      </c>
      <c r="AJ263" s="14">
        <f t="shared" si="1898"/>
        <v>0.79511148909013607</v>
      </c>
      <c r="AK263" s="14">
        <f t="shared" ref="AK263:AL263" si="1899">+AK260/AK251</f>
        <v>0.80210305810424243</v>
      </c>
      <c r="AL263" s="14">
        <f t="shared" si="1899"/>
        <v>0.79593233937448926</v>
      </c>
      <c r="AM263" s="14">
        <f t="shared" ref="AM263" si="1900">+AM260/AM251</f>
        <v>0.78818263964339041</v>
      </c>
      <c r="AN263" s="14"/>
      <c r="AO263" s="14"/>
      <c r="AP263" s="14"/>
      <c r="AQ263" s="14"/>
      <c r="BB263" s="14"/>
      <c r="BC263" s="14"/>
      <c r="BD263" s="14"/>
      <c r="BE263" s="14"/>
      <c r="BG263" s="14">
        <f t="shared" si="1897"/>
        <v>0.82580168198007309</v>
      </c>
      <c r="BH263" s="14">
        <f t="shared" si="1897"/>
        <v>0.77574669033428489</v>
      </c>
      <c r="BI263" s="14">
        <f t="shared" si="1897"/>
        <v>0.76882068139130988</v>
      </c>
      <c r="BJ263" s="14">
        <f t="shared" si="1897"/>
        <v>0.76848945785895906</v>
      </c>
      <c r="BK263" s="14">
        <f t="shared" si="1897"/>
        <v>0.77077915360094518</v>
      </c>
      <c r="BL263" s="14">
        <f t="shared" si="1897"/>
        <v>0.78265185126326842</v>
      </c>
      <c r="BM263" s="14">
        <f t="shared" si="1897"/>
        <v>0.78155642114136403</v>
      </c>
      <c r="BN263" s="14">
        <f t="shared" ref="BN263:BO263" si="1901">+BN260/BN251</f>
        <v>0.79899683647076325</v>
      </c>
      <c r="BO263" s="14">
        <f t="shared" si="1901"/>
        <v>0.79523848731224123</v>
      </c>
      <c r="BP263" s="14"/>
    </row>
    <row r="264" spans="2:71">
      <c r="B264" s="921"/>
      <c r="M264" t="s">
        <v>366</v>
      </c>
    </row>
    <row r="265" spans="2:71">
      <c r="B265" t="s">
        <v>367</v>
      </c>
      <c r="D265">
        <f t="shared" ref="D265:AH265" si="1902">+D260-D270</f>
        <v>5110.2877814694921</v>
      </c>
      <c r="E265">
        <f t="shared" si="1902"/>
        <v>5312.0175906655322</v>
      </c>
      <c r="F265">
        <f t="shared" si="1902"/>
        <v>5140.2594831778451</v>
      </c>
      <c r="G265">
        <f t="shared" si="1902"/>
        <v>5736.5121263171732</v>
      </c>
      <c r="H265" s="8">
        <f t="shared" si="1902"/>
        <v>2148.1028182280052</v>
      </c>
      <c r="I265" s="8">
        <f t="shared" si="1902"/>
        <v>2573.7985602681092</v>
      </c>
      <c r="J265" s="8">
        <f t="shared" si="1902"/>
        <v>3342.9764099393187</v>
      </c>
      <c r="K265" s="8">
        <f t="shared" si="1902"/>
        <v>3717.6758518496572</v>
      </c>
      <c r="L265" s="8">
        <f t="shared" si="1902"/>
        <v>3283.4685779504734</v>
      </c>
      <c r="M265" s="8">
        <f t="shared" si="1902"/>
        <v>3594.7359110158923</v>
      </c>
      <c r="N265" s="8">
        <f t="shared" si="1902"/>
        <v>3794.3872250898921</v>
      </c>
      <c r="O265" s="8">
        <f t="shared" si="1902"/>
        <v>3977.1620240430702</v>
      </c>
      <c r="P265" s="8">
        <f t="shared" si="1902"/>
        <v>3513.1272690421874</v>
      </c>
      <c r="Q265" s="8">
        <f t="shared" si="1902"/>
        <v>3700.4680690680789</v>
      </c>
      <c r="R265" s="8">
        <f t="shared" si="1902"/>
        <v>3935.2132840257718</v>
      </c>
      <c r="S265" s="8">
        <f t="shared" si="1902"/>
        <v>4263.2174633387167</v>
      </c>
      <c r="T265" s="8">
        <f t="shared" si="1902"/>
        <v>3775.767908924885</v>
      </c>
      <c r="U265" s="8">
        <f t="shared" si="1902"/>
        <v>4108.186833659387</v>
      </c>
      <c r="V265" s="8">
        <f t="shared" si="1902"/>
        <v>4387.619587857067</v>
      </c>
      <c r="W265" s="8">
        <f t="shared" si="1902"/>
        <v>4767.0368383353161</v>
      </c>
      <c r="X265" s="8">
        <f t="shared" si="1902"/>
        <v>3934.7039661185991</v>
      </c>
      <c r="Y265" s="8">
        <f t="shared" si="1902"/>
        <v>4309.0876560771358</v>
      </c>
      <c r="Z265" s="8">
        <f t="shared" si="1902"/>
        <v>4553.1137156909917</v>
      </c>
      <c r="AA265" s="8">
        <f t="shared" si="1902"/>
        <v>5048.7692229723907</v>
      </c>
      <c r="AB265" s="8">
        <f t="shared" si="1902"/>
        <v>4204.6276848950092</v>
      </c>
      <c r="AC265" s="8">
        <f t="shared" si="1902"/>
        <v>4852.3523111180639</v>
      </c>
      <c r="AD265" s="8">
        <f t="shared" si="1902"/>
        <v>5125.4641074433002</v>
      </c>
      <c r="AE265" s="8">
        <f t="shared" si="1902"/>
        <v>5653.0969657450187</v>
      </c>
      <c r="AF265" s="8">
        <f t="shared" si="1902"/>
        <v>4759.0467302334619</v>
      </c>
      <c r="AG265" s="8">
        <f t="shared" si="1902"/>
        <v>5153.3164960075101</v>
      </c>
      <c r="AH265" s="8">
        <f t="shared" si="1902"/>
        <v>5393.7890824853639</v>
      </c>
      <c r="AI265" s="8">
        <f t="shared" ref="AI265:AJ265" si="1903">+AI260-AI270</f>
        <v>5639.2905409493233</v>
      </c>
      <c r="AJ265" s="8">
        <f t="shared" si="1903"/>
        <v>4812.7128051638101</v>
      </c>
      <c r="AK265" s="8">
        <f t="shared" ref="AK265:AL265" si="1904">+AK260-AK270</f>
        <v>5155.6817654485621</v>
      </c>
      <c r="AL265" s="8">
        <f t="shared" si="1904"/>
        <v>5433.3958815587557</v>
      </c>
      <c r="AM265" s="8">
        <f t="shared" ref="AM265" si="1905">+AM260-AM270</f>
        <v>5870.5066896347635</v>
      </c>
      <c r="AN265" s="8"/>
      <c r="AO265" s="8"/>
      <c r="AP265" s="8"/>
      <c r="AQ265" s="8"/>
      <c r="AS265">
        <f t="shared" ref="AS265:BM265" si="1906">+AS260-AS270</f>
        <v>0</v>
      </c>
      <c r="AT265">
        <f t="shared" si="1906"/>
        <v>0</v>
      </c>
      <c r="AU265">
        <f t="shared" si="1906"/>
        <v>0</v>
      </c>
      <c r="AV265">
        <f t="shared" si="1906"/>
        <v>0</v>
      </c>
      <c r="AW265">
        <f t="shared" si="1906"/>
        <v>0</v>
      </c>
      <c r="BB265" s="8"/>
      <c r="BC265" s="8"/>
      <c r="BD265" s="8"/>
      <c r="BE265" s="8"/>
      <c r="BG265" s="8">
        <f t="shared" si="1906"/>
        <v>9386.0769816300453</v>
      </c>
      <c r="BH265" s="8">
        <f t="shared" si="1906"/>
        <v>11782.553640285088</v>
      </c>
      <c r="BI265" s="8">
        <f t="shared" si="1906"/>
        <v>14649.753738099331</v>
      </c>
      <c r="BJ265" s="8">
        <f t="shared" si="1906"/>
        <v>15412.026085474754</v>
      </c>
      <c r="BK265" s="8">
        <f t="shared" si="1906"/>
        <v>17038.611168776653</v>
      </c>
      <c r="BL265" s="8">
        <f t="shared" si="1906"/>
        <v>17845.674560859115</v>
      </c>
      <c r="BM265" s="8">
        <f t="shared" si="1906"/>
        <v>19835.54106920139</v>
      </c>
      <c r="BN265" s="8">
        <f t="shared" ref="BN265:BO265" si="1907">+BN260-BN270</f>
        <v>20945.442849675659</v>
      </c>
      <c r="BO265" s="8">
        <f t="shared" si="1907"/>
        <v>21272.297141805888</v>
      </c>
      <c r="BP265" s="8"/>
    </row>
    <row r="266" spans="2:71">
      <c r="B266" s="13" t="s">
        <v>113</v>
      </c>
      <c r="L266" s="14">
        <f>+IFERROR(L265/H265-1,"n/a ")</f>
        <v>0.52854348967292197</v>
      </c>
      <c r="M266" s="14">
        <f t="shared" ref="M266" si="1908">+IFERROR(M265/I265-1,"n/a ")</f>
        <v>0.39666560021753727</v>
      </c>
      <c r="N266" s="14">
        <f t="shared" ref="N266" si="1909">+IFERROR(N265/J265-1,"n/a ")</f>
        <v>0.13503260561709052</v>
      </c>
      <c r="O266" s="14">
        <f t="shared" ref="O266" si="1910">+IFERROR(O265/K265-1,"n/a ")</f>
        <v>6.9797955102597342E-2</v>
      </c>
      <c r="P266" s="14">
        <f t="shared" ref="P266" si="1911">+IFERROR(P265/L265-1,"n/a ")</f>
        <v>6.9943928391440924E-2</v>
      </c>
      <c r="Q266" s="14">
        <f t="shared" ref="Q266" si="1912">+IFERROR(Q265/M265-1,"n/a ")</f>
        <v>2.9413053050204807E-2</v>
      </c>
      <c r="R266" s="14">
        <f t="shared" ref="R266" si="1913">+IFERROR(R265/N265-1,"n/a ")</f>
        <v>3.711430873598931E-2</v>
      </c>
      <c r="S266" s="14">
        <f t="shared" ref="S266" si="1914">+IFERROR(S265/O265-1,"n/a ")</f>
        <v>7.1924512395109996E-2</v>
      </c>
      <c r="T266" s="14">
        <f t="shared" ref="T266" si="1915">+IFERROR(T265/P265-1,"n/a ")</f>
        <v>7.4759785162666015E-2</v>
      </c>
      <c r="U266" s="14">
        <f t="shared" ref="U266" si="1916">+IFERROR(U265/Q265-1,"n/a ")</f>
        <v>0.11018032232176167</v>
      </c>
      <c r="V266" s="14">
        <f t="shared" ref="V266" si="1917">+IFERROR(V265/R265-1,"n/a ")</f>
        <v>0.11496360455677213</v>
      </c>
      <c r="W266" s="14">
        <f t="shared" ref="W266" si="1918">+IFERROR(W265/S265-1,"n/a ")</f>
        <v>0.11817820210420038</v>
      </c>
      <c r="X266" s="14">
        <f t="shared" ref="X266" si="1919">+IFERROR(X265/T265-1,"n/a ")</f>
        <v>4.2093704122552866E-2</v>
      </c>
      <c r="Y266" s="14">
        <f t="shared" ref="Y266" si="1920">+IFERROR(Y265/U265-1,"n/a ")</f>
        <v>4.8902552525537324E-2</v>
      </c>
      <c r="Z266" s="14">
        <f t="shared" ref="Z266" si="1921">+IFERROR(Z265/V265-1,"n/a ")</f>
        <v>3.7718431263261021E-2</v>
      </c>
      <c r="AA266" s="14">
        <f t="shared" ref="AA266" si="1922">+IFERROR(AA265/W265-1,"n/a ")</f>
        <v>5.9100106458471968E-2</v>
      </c>
      <c r="AB266" s="14">
        <f t="shared" ref="AB266" si="1923">+IFERROR(AB265/X265-1,"n/a ")</f>
        <v>6.8600769232120218E-2</v>
      </c>
      <c r="AC266" s="14">
        <f t="shared" ref="AC266" si="1924">+IFERROR(AC265/Y265-1,"n/a ")</f>
        <v>0.12607417124011344</v>
      </c>
      <c r="AD266" s="14">
        <f t="shared" ref="AD266" si="1925">+IFERROR(AD265/Z265-1,"n/a ")</f>
        <v>0.12570527061071823</v>
      </c>
      <c r="AE266" s="14">
        <f t="shared" ref="AE266" si="1926">+IFERROR(AE265/AA265-1,"n/a ")</f>
        <v>0.11969803254679934</v>
      </c>
      <c r="AF266" s="14">
        <f t="shared" ref="AF266" si="1927">+IFERROR(AF265/AB265-1,"n/a ")</f>
        <v>0.13185924816368044</v>
      </c>
      <c r="AG266" s="14">
        <f t="shared" ref="AG266" si="1928">+IFERROR(AG265/AC265-1,"n/a ")</f>
        <v>6.2024388501192629E-2</v>
      </c>
      <c r="AH266" s="14">
        <f t="shared" ref="AH266" si="1929">+IFERROR(AH265/AD265-1,"n/a ")</f>
        <v>5.2351351880973507E-2</v>
      </c>
      <c r="AI266" s="14">
        <f t="shared" ref="AI266:AJ266" si="1930">+IFERROR(AI265/AE265-1,"n/a ")</f>
        <v>-2.44227630966809E-3</v>
      </c>
      <c r="AJ266" s="14">
        <f t="shared" si="1930"/>
        <v>1.1276643826465538E-2</v>
      </c>
      <c r="AK266" s="14">
        <f t="shared" ref="AK266" si="1931">+IFERROR(AK265/AG265-1,"n/a ")</f>
        <v>4.5898004574040918E-4</v>
      </c>
      <c r="AL266" s="14">
        <f t="shared" ref="AL266" si="1932">+IFERROR(AL265/AH265-1,"n/a ")</f>
        <v>7.3430381625418928E-3</v>
      </c>
      <c r="AM266" s="14">
        <f t="shared" ref="AM266" si="1933">+IFERROR(AM265/AI265-1,"n/a ")</f>
        <v>4.1000928575408491E-2</v>
      </c>
      <c r="AN266" s="14"/>
      <c r="AO266" s="14"/>
      <c r="AP266" s="14"/>
      <c r="AQ266" s="14"/>
      <c r="BC266" s="14"/>
      <c r="BD266" s="14"/>
      <c r="BE266" s="14"/>
      <c r="BG266" s="14"/>
      <c r="BH266" s="14"/>
      <c r="BI266" s="14">
        <f>+IFERROR(BI265/BH265-1,"n/a ")</f>
        <v>0.24334284276128004</v>
      </c>
      <c r="BJ266" s="14">
        <f>+IFERROR(BJ265/BI265-1,"n/a ")</f>
        <v>5.2033116802024937E-2</v>
      </c>
      <c r="BK266" s="14">
        <f>+IFERROR(BK265/BJ265-1,"n/a ")</f>
        <v>0.10553999028297079</v>
      </c>
      <c r="BL266" s="14">
        <f t="shared" ref="BL266" si="1934">+IFERROR(BL265/BK265-1,"n/a ")</f>
        <v>4.736673570915273E-2</v>
      </c>
      <c r="BM266" s="14">
        <f t="shared" ref="BM266" si="1935">+IFERROR(BM265/BL265-1,"n/a ")</f>
        <v>0.11150413516486757</v>
      </c>
      <c r="BN266" s="14">
        <f t="shared" ref="BN266" si="1936">+IFERROR(BN265/BM265-1,"n/a ")</f>
        <v>5.5955205688722698E-2</v>
      </c>
      <c r="BO266" s="14">
        <f t="shared" ref="BO266" si="1937">+IFERROR(BO265/BN265-1,"n/a ")</f>
        <v>1.5605031341473508E-2</v>
      </c>
      <c r="BP266" s="14"/>
    </row>
    <row r="267" spans="2:71">
      <c r="B267" s="13" t="s">
        <v>270</v>
      </c>
      <c r="L267" s="14">
        <f t="shared" ref="L267:O267" si="1938">(H260*(1+L262)-H270*(1+L272))/H265-1</f>
        <v>0.51047122468712791</v>
      </c>
      <c r="M267" s="14">
        <f t="shared" si="1938"/>
        <v>0.38420398710560177</v>
      </c>
      <c r="N267" s="14">
        <f t="shared" si="1938"/>
        <v>0.11960792194108105</v>
      </c>
      <c r="O267" s="14">
        <f t="shared" si="1938"/>
        <v>7.6670908530971582E-2</v>
      </c>
      <c r="P267" s="14">
        <f t="shared" ref="P267:AH267" si="1939">(L260*(1+P262)-L270*(1+P272))/L265-1</f>
        <v>7.8450471547489631E-2</v>
      </c>
      <c r="Q267" s="14">
        <f t="shared" si="1939"/>
        <v>3.5735851921162576E-2</v>
      </c>
      <c r="R267" s="14">
        <f t="shared" si="1939"/>
        <v>6.3276575115391198E-2</v>
      </c>
      <c r="S267" s="14">
        <f t="shared" si="1939"/>
        <v>0.1041376746295033</v>
      </c>
      <c r="T267" s="14">
        <f t="shared" si="1939"/>
        <v>0.10162289999113816</v>
      </c>
      <c r="U267" s="14">
        <f t="shared" si="1939"/>
        <v>0.12150021226879182</v>
      </c>
      <c r="V267" s="14">
        <f t="shared" si="1939"/>
        <v>0.12944365511074096</v>
      </c>
      <c r="W267" s="14">
        <f t="shared" si="1939"/>
        <v>0.11151589802501949</v>
      </c>
      <c r="X267" s="14">
        <f t="shared" si="1939"/>
        <v>3.1345186443063389E-2</v>
      </c>
      <c r="Y267" s="14">
        <f t="shared" si="1939"/>
        <v>3.4316976664119814E-2</v>
      </c>
      <c r="Z267" s="14">
        <f t="shared" si="1939"/>
        <v>3.2699815394187981E-2</v>
      </c>
      <c r="AA267" s="14">
        <f t="shared" si="1939"/>
        <v>5.3362278282575115E-2</v>
      </c>
      <c r="AB267" s="14">
        <f t="shared" si="1939"/>
        <v>6.9484463272955432E-2</v>
      </c>
      <c r="AC267" s="14">
        <f t="shared" si="1939"/>
        <v>0.11827948172181069</v>
      </c>
      <c r="AD267" s="14">
        <f t="shared" si="1939"/>
        <v>0.13703404855255163</v>
      </c>
      <c r="AE267" s="14">
        <f t="shared" si="1939"/>
        <v>0.1445086387758816</v>
      </c>
      <c r="AF267" s="14">
        <f t="shared" si="1939"/>
        <v>0.16196986613765008</v>
      </c>
      <c r="AG267" s="14">
        <f t="shared" si="1939"/>
        <v>9.4492802744003734E-2</v>
      </c>
      <c r="AH267" s="14">
        <f t="shared" si="1939"/>
        <v>5.3853374748824345E-2</v>
      </c>
      <c r="AI267" s="14">
        <f t="shared" ref="AI267:AJ267" si="1940">(AE260*(1+AI262)-AE270*(1+AI272))/AE265-1</f>
        <v>-6.3548327047073805E-3</v>
      </c>
      <c r="AJ267" s="14">
        <f t="shared" si="1940"/>
        <v>2.5067220746642471E-2</v>
      </c>
      <c r="AK267" s="14">
        <f t="shared" ref="AK267" si="1941">(AG260*(1+AK262)-AG270*(1+AK272))/AG265-1</f>
        <v>-3.2597300189327605E-3</v>
      </c>
      <c r="AL267" s="14">
        <f t="shared" ref="AL267" si="1942">(AH260*(1+AL262)-AH270*(1+AL272))/AH265-1</f>
        <v>-2.656961837457894E-3</v>
      </c>
      <c r="AM267" s="14">
        <f t="shared" ref="AM267" si="1943">(AI260*(1+AM262)-AI270*(1+AM272))/AI265-1</f>
        <v>5.1000928575408944E-2</v>
      </c>
      <c r="AN267" s="14"/>
      <c r="AO267" s="14"/>
      <c r="AP267" s="14"/>
      <c r="AQ267" s="14"/>
      <c r="BC267" s="14"/>
      <c r="BD267" s="14"/>
      <c r="BE267" s="14"/>
      <c r="BG267" s="14"/>
      <c r="BH267" s="14"/>
      <c r="BI267" s="14">
        <f>(BH260*(1+BI262)-BH270*(1+BI272))/BH265-1</f>
        <v>0.23511816508439165</v>
      </c>
      <c r="BJ267" s="14">
        <f>(BI260*(1+BJ262)-BI270*(1+BJ272))/BI265-1</f>
        <v>7.1012718721113144E-2</v>
      </c>
      <c r="BK267" s="14">
        <f>(BJ260*(1+BK262)-BJ270*(1+BK272))/BJ265-1</f>
        <v>0.11623564235443573</v>
      </c>
      <c r="BL267" s="14">
        <f>(BK260*(1+BL262)-BK270*(1+BL272))/BK265-1</f>
        <v>3.8570455723011099E-2</v>
      </c>
      <c r="BM267" s="14">
        <f>(BL260*(1+BM262)-BL270*(1+BM272))/BL265-1</f>
        <v>0.11972648130943608</v>
      </c>
      <c r="BN267" s="14">
        <f t="shared" ref="BN267" si="1944">(BM260*(1+BN262)-BM270*(1+BN272))/BM265-1</f>
        <v>-0.31981998349935314</v>
      </c>
      <c r="BO267" s="14">
        <f t="shared" ref="BO267" si="1945">(BN260*(1+BO262)-BN270*(1+BO272))/BN265-1</f>
        <v>-0.56070183244423233</v>
      </c>
      <c r="BP267" s="14"/>
    </row>
    <row r="268" spans="2:71">
      <c r="B268" s="13" t="s">
        <v>115</v>
      </c>
      <c r="C268" s="14"/>
      <c r="D268" s="14" t="str">
        <f t="shared" ref="D268:AH268" si="1946">+IFERROR(D265/D251,"n/a ")</f>
        <v xml:space="preserve">n/a </v>
      </c>
      <c r="E268" s="14" t="str">
        <f t="shared" si="1946"/>
        <v xml:space="preserve">n/a </v>
      </c>
      <c r="F268" s="14" t="str">
        <f t="shared" si="1946"/>
        <v xml:space="preserve">n/a </v>
      </c>
      <c r="G268" s="14" t="str">
        <f t="shared" si="1946"/>
        <v xml:space="preserve">n/a </v>
      </c>
      <c r="H268" s="14">
        <f t="shared" si="1946"/>
        <v>0.33376364484586779</v>
      </c>
      <c r="I268" s="14">
        <f t="shared" si="1946"/>
        <v>0.35851769888119644</v>
      </c>
      <c r="J268" s="14">
        <f t="shared" si="1946"/>
        <v>0.43375845464374191</v>
      </c>
      <c r="K268" s="14">
        <f t="shared" si="1946"/>
        <v>0.43491762422200014</v>
      </c>
      <c r="L268" s="14">
        <f t="shared" si="1946"/>
        <v>0.39857593808575786</v>
      </c>
      <c r="M268" s="14">
        <f t="shared" si="1946"/>
        <v>0.40151188551501088</v>
      </c>
      <c r="N268" s="14">
        <f t="shared" si="1946"/>
        <v>0.4213177020974786</v>
      </c>
      <c r="O268" s="14">
        <f t="shared" si="1946"/>
        <v>0.41137381299576647</v>
      </c>
      <c r="P268" s="14">
        <f t="shared" si="1946"/>
        <v>0.35954633804545977</v>
      </c>
      <c r="Q268" s="14">
        <f t="shared" si="1946"/>
        <v>0.36638297713545337</v>
      </c>
      <c r="R268" s="14">
        <f t="shared" si="1946"/>
        <v>0.38422312868831981</v>
      </c>
      <c r="S268" s="14">
        <f t="shared" si="1946"/>
        <v>0.38591630880227362</v>
      </c>
      <c r="T268" s="14">
        <f t="shared" si="1946"/>
        <v>0.3408655691003778</v>
      </c>
      <c r="U268" s="14">
        <f t="shared" si="1946"/>
        <v>0.34738599980207907</v>
      </c>
      <c r="V268" s="14">
        <f t="shared" si="1946"/>
        <v>0.37363702527949133</v>
      </c>
      <c r="W268" s="14">
        <f t="shared" si="1946"/>
        <v>0.40563621837434616</v>
      </c>
      <c r="X268" s="14">
        <f t="shared" si="1946"/>
        <v>0.31940124735113234</v>
      </c>
      <c r="Y268" s="14">
        <f t="shared" si="1946"/>
        <v>0.3227055834701667</v>
      </c>
      <c r="Z268" s="14">
        <f t="shared" si="1946"/>
        <v>0.33597356225582881</v>
      </c>
      <c r="AA268" s="14">
        <f t="shared" si="1946"/>
        <v>0.34366409522649177</v>
      </c>
      <c r="AB268" s="14">
        <f t="shared" si="1946"/>
        <v>0.27958160016590261</v>
      </c>
      <c r="AC268" s="14">
        <f t="shared" si="1946"/>
        <v>0.3044899793623283</v>
      </c>
      <c r="AD268" s="14">
        <f t="shared" si="1946"/>
        <v>0.32462246547870671</v>
      </c>
      <c r="AE268" s="14">
        <f t="shared" si="1946"/>
        <v>0.34054800998463969</v>
      </c>
      <c r="AF268" s="14">
        <f t="shared" si="1946"/>
        <v>0.28904019011439186</v>
      </c>
      <c r="AG268" s="14">
        <f t="shared" si="1946"/>
        <v>0.30310060557625634</v>
      </c>
      <c r="AH268" s="14">
        <f t="shared" si="1946"/>
        <v>0.30793497844744028</v>
      </c>
      <c r="AI268" s="14">
        <f t="shared" ref="AI268:AJ268" si="1947">+IFERROR(AI265/AI251,"n/a ")</f>
        <v>0.30830958071998926</v>
      </c>
      <c r="AJ268" s="14">
        <f t="shared" si="1947"/>
        <v>0.25885933762714125</v>
      </c>
      <c r="AK268" s="14">
        <f t="shared" ref="AK268:AL268" si="1948">+IFERROR(AK265/AK251,"n/a ")</f>
        <v>0.26784153802527727</v>
      </c>
      <c r="AL268" s="14">
        <f t="shared" si="1948"/>
        <v>0.2776390332937535</v>
      </c>
      <c r="AM268" s="14">
        <f t="shared" ref="AM268" si="1949">+IFERROR(AM265/AM251,"n/a ")</f>
        <v>0.28894554755302276</v>
      </c>
      <c r="AN268" s="14"/>
      <c r="AO268" s="14"/>
      <c r="AP268" s="14"/>
      <c r="AQ268" s="14"/>
      <c r="AS268" t="str">
        <f t="shared" ref="AS268:BM268" si="1950">+IFERROR(AS265/AS251,"n/a ")</f>
        <v xml:space="preserve">n/a </v>
      </c>
      <c r="AT268" t="str">
        <f t="shared" si="1950"/>
        <v xml:space="preserve">n/a </v>
      </c>
      <c r="AU268" t="str">
        <f t="shared" si="1950"/>
        <v xml:space="preserve">n/a </v>
      </c>
      <c r="AV268" t="str">
        <f t="shared" si="1950"/>
        <v xml:space="preserve">n/a </v>
      </c>
      <c r="AW268" t="str">
        <f t="shared" si="1950"/>
        <v xml:space="preserve">n/a </v>
      </c>
      <c r="BB268" s="14"/>
      <c r="BC268" s="14"/>
      <c r="BD268" s="14"/>
      <c r="BE268" s="14"/>
      <c r="BG268" s="14">
        <f t="shared" si="1950"/>
        <v>0.36391427503218227</v>
      </c>
      <c r="BH268" s="14">
        <f t="shared" si="1950"/>
        <v>0.39446111952745527</v>
      </c>
      <c r="BI268" s="14">
        <f t="shared" si="1950"/>
        <v>0.40846936395090844</v>
      </c>
      <c r="BJ268" s="14">
        <f t="shared" si="1950"/>
        <v>0.37444183881133997</v>
      </c>
      <c r="BK268" s="14">
        <f t="shared" si="1950"/>
        <v>0.36722727636485741</v>
      </c>
      <c r="BL268" s="14">
        <f t="shared" si="1950"/>
        <v>0.33099646778928155</v>
      </c>
      <c r="BM268" s="14">
        <f t="shared" si="1950"/>
        <v>0.31304117589169544</v>
      </c>
      <c r="BN268" s="14">
        <f t="shared" ref="BN268:BO268" si="1951">+IFERROR(BN265/BN251,"n/a ")</f>
        <v>0.30235648078176025</v>
      </c>
      <c r="BO268" s="14">
        <f t="shared" si="1951"/>
        <v>0.27367611596600822</v>
      </c>
      <c r="BP268" s="14"/>
    </row>
    <row r="269" spans="2:71">
      <c r="B269" s="13"/>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BB269" s="14"/>
      <c r="BC269" s="14"/>
      <c r="BD269" s="14"/>
      <c r="BE269" s="14"/>
      <c r="BG269" s="14"/>
      <c r="BH269" s="14"/>
      <c r="BI269" s="14"/>
      <c r="BJ269" s="14"/>
      <c r="BK269" s="14"/>
      <c r="BL269" s="14"/>
      <c r="BM269" s="14"/>
      <c r="BN269" s="14"/>
      <c r="BO269" s="14"/>
      <c r="BP269" s="14"/>
    </row>
    <row r="270" spans="2:71">
      <c r="B270" t="s">
        <v>351</v>
      </c>
      <c r="H270" s="8">
        <f t="shared" ref="H270:AQ270" si="1952">+H180</f>
        <v>2905</v>
      </c>
      <c r="I270" s="8">
        <f t="shared" si="1952"/>
        <v>3053</v>
      </c>
      <c r="J270" s="8">
        <f t="shared" si="1952"/>
        <v>2540</v>
      </c>
      <c r="K270" s="8">
        <f t="shared" si="1952"/>
        <v>2891</v>
      </c>
      <c r="L270" s="8">
        <f t="shared" si="1952"/>
        <v>3006</v>
      </c>
      <c r="M270" s="8">
        <f t="shared" si="1952"/>
        <v>3337</v>
      </c>
      <c r="N270" s="8">
        <f t="shared" si="1952"/>
        <v>3115</v>
      </c>
      <c r="O270" s="8">
        <f t="shared" si="1952"/>
        <v>3466</v>
      </c>
      <c r="P270" s="8">
        <f t="shared" si="1952"/>
        <v>3881</v>
      </c>
      <c r="Q270" s="8">
        <f t="shared" si="1952"/>
        <v>4015</v>
      </c>
      <c r="R270" s="8">
        <f t="shared" si="1952"/>
        <v>3979</v>
      </c>
      <c r="S270" s="8">
        <f t="shared" si="1952"/>
        <v>4344</v>
      </c>
      <c r="T270" s="8">
        <f t="shared" si="1952"/>
        <v>4782</v>
      </c>
      <c r="U270" s="8">
        <f t="shared" si="1952"/>
        <v>5182</v>
      </c>
      <c r="V270" s="8">
        <f t="shared" si="1952"/>
        <v>4788</v>
      </c>
      <c r="W270" s="8">
        <f t="shared" si="1952"/>
        <v>3972</v>
      </c>
      <c r="X270" s="8">
        <f t="shared" si="1952"/>
        <v>5706</v>
      </c>
      <c r="Y270" s="8">
        <f t="shared" si="1952"/>
        <v>6181</v>
      </c>
      <c r="Z270" s="8">
        <f t="shared" si="1952"/>
        <v>6029</v>
      </c>
      <c r="AA270" s="8">
        <f t="shared" si="1952"/>
        <v>6435</v>
      </c>
      <c r="AB270" s="8">
        <f t="shared" si="1952"/>
        <v>7581</v>
      </c>
      <c r="AC270" s="8">
        <f t="shared" si="1952"/>
        <v>7688</v>
      </c>
      <c r="AD270" s="8">
        <f t="shared" si="1952"/>
        <v>7184</v>
      </c>
      <c r="AE270" s="8">
        <f t="shared" si="1952"/>
        <v>7234</v>
      </c>
      <c r="AF270" s="8">
        <f t="shared" si="1952"/>
        <v>8323</v>
      </c>
      <c r="AG270" s="8">
        <f t="shared" si="1952"/>
        <v>8390.2639999999992</v>
      </c>
      <c r="AH270" s="8">
        <f t="shared" si="1952"/>
        <v>8639</v>
      </c>
      <c r="AI270" s="8">
        <f t="shared" si="1952"/>
        <v>9052</v>
      </c>
      <c r="AJ270" s="8">
        <f t="shared" si="1952"/>
        <v>9970</v>
      </c>
      <c r="AK270" s="8">
        <f t="shared" si="1952"/>
        <v>10284</v>
      </c>
      <c r="AL270" s="8">
        <f t="shared" si="1952"/>
        <v>10143</v>
      </c>
      <c r="AM270" s="8">
        <f t="shared" ref="AM270" si="1953">+AM180</f>
        <v>10143</v>
      </c>
      <c r="AN270" s="8">
        <f t="shared" si="1952"/>
        <v>11243.908344729976</v>
      </c>
      <c r="AO270" s="8">
        <f t="shared" si="1952"/>
        <v>11600.833401305512</v>
      </c>
      <c r="AP270" s="8">
        <f t="shared" si="1952"/>
        <v>11448.282318306881</v>
      </c>
      <c r="AQ270" s="8">
        <f t="shared" si="1952"/>
        <v>11448.671150266258</v>
      </c>
      <c r="BB270" s="8">
        <f>+BB180</f>
        <v>14173</v>
      </c>
      <c r="BC270" s="8">
        <f>+BC180</f>
        <v>13274</v>
      </c>
      <c r="BD270" s="8">
        <f>+BD180</f>
        <v>12418</v>
      </c>
      <c r="BE270" s="8">
        <f>+BE180</f>
        <v>11913</v>
      </c>
      <c r="BG270" s="61">
        <f>+BE270</f>
        <v>11913</v>
      </c>
      <c r="BH270" s="8">
        <f t="shared" ref="BH270:BM270" si="1954">+BH180</f>
        <v>11389</v>
      </c>
      <c r="BI270" s="8">
        <f t="shared" si="1954"/>
        <v>12924</v>
      </c>
      <c r="BJ270" s="8">
        <f t="shared" si="1954"/>
        <v>16219</v>
      </c>
      <c r="BK270" s="8">
        <f t="shared" si="1954"/>
        <v>18724</v>
      </c>
      <c r="BL270" s="8">
        <f t="shared" si="1954"/>
        <v>24351</v>
      </c>
      <c r="BM270" s="8">
        <f t="shared" si="1954"/>
        <v>29687</v>
      </c>
      <c r="BN270" s="8">
        <f>SUM(AF270:AI270)</f>
        <v>34404.263999999996</v>
      </c>
      <c r="BO270" s="8">
        <f>SUM(AJ270:AM270)</f>
        <v>40540</v>
      </c>
      <c r="BP270" s="8">
        <f>+SUM(AN270:AQ270)</f>
        <v>45741.695214608626</v>
      </c>
    </row>
    <row r="271" spans="2:71">
      <c r="B271" s="13" t="s">
        <v>113</v>
      </c>
      <c r="L271" s="14">
        <f>+IFERROR(L270/H270-1,"n/a ")</f>
        <v>3.4767641996557686E-2</v>
      </c>
      <c r="M271" s="14">
        <f t="shared" ref="M271" si="1955">+IFERROR(M270/I270-1,"n/a ")</f>
        <v>9.3023255813953432E-2</v>
      </c>
      <c r="N271" s="14">
        <f t="shared" ref="N271" si="1956">+IFERROR(N270/J270-1,"n/a ")</f>
        <v>0.22637795275590555</v>
      </c>
      <c r="O271" s="14">
        <f t="shared" ref="O271" si="1957">+IFERROR(O270/K270-1,"n/a ")</f>
        <v>0.19889311656866138</v>
      </c>
      <c r="P271" s="14">
        <f t="shared" ref="P271" si="1958">+IFERROR(P270/L270-1,"n/a ")</f>
        <v>0.29108449767132405</v>
      </c>
      <c r="Q271" s="14">
        <f t="shared" ref="Q271" si="1959">+IFERROR(Q270/M270-1,"n/a ")</f>
        <v>0.20317650584357216</v>
      </c>
      <c r="R271" s="14">
        <f t="shared" ref="R271" si="1960">+IFERROR(R270/N270-1,"n/a ")</f>
        <v>0.27736757624398067</v>
      </c>
      <c r="S271" s="14">
        <f t="shared" ref="S271" si="1961">+IFERROR(S270/O270-1,"n/a ")</f>
        <v>0.25331794575879973</v>
      </c>
      <c r="T271" s="14">
        <f t="shared" ref="T271" si="1962">+IFERROR(T270/P270-1,"n/a ")</f>
        <v>0.23215666065447049</v>
      </c>
      <c r="U271" s="14">
        <f t="shared" ref="U271" si="1963">+IFERROR(U270/Q270-1,"n/a ")</f>
        <v>0.29066002490660026</v>
      </c>
      <c r="V271" s="14">
        <f t="shared" ref="V271" si="1964">+IFERROR(V270/R270-1,"n/a ")</f>
        <v>0.20331741643629053</v>
      </c>
      <c r="W271" s="14">
        <f t="shared" ref="W271:X271" si="1965">+IFERROR(W270/S270-1,"n/a ")</f>
        <v>-8.5635359116022047E-2</v>
      </c>
      <c r="X271" s="14">
        <f t="shared" si="1965"/>
        <v>0.193224592220828</v>
      </c>
      <c r="Y271" s="14">
        <f t="shared" ref="Y271" si="1966">+IFERROR(Y270/U270-1,"n/a ")</f>
        <v>0.1927827093786183</v>
      </c>
      <c r="Z271" s="14">
        <f t="shared" ref="Z271" si="1967">+IFERROR(Z270/V270-1,"n/a ")</f>
        <v>0.25918964076858808</v>
      </c>
      <c r="AA271" s="14">
        <f t="shared" ref="AA271" si="1968">+IFERROR(AA270/W270-1,"n/a ")</f>
        <v>0.6200906344410877</v>
      </c>
      <c r="AB271" s="14">
        <f t="shared" ref="AB271" si="1969">+IFERROR(AB270/X270-1,"n/a ")</f>
        <v>0.32860147213459512</v>
      </c>
      <c r="AC271" s="14">
        <f t="shared" ref="AC271" si="1970">+IFERROR(AC270/Y270-1,"n/a ")</f>
        <v>0.24381168095777372</v>
      </c>
      <c r="AD271" s="14">
        <f t="shared" ref="AD271:AF271" si="1971">+IFERROR(AD270/Z270-1,"n/a ")</f>
        <v>0.19157405871620492</v>
      </c>
      <c r="AE271" s="14">
        <f t="shared" si="1971"/>
        <v>0.12416472416472413</v>
      </c>
      <c r="AF271" s="14">
        <f t="shared" si="1971"/>
        <v>9.787626962142193E-2</v>
      </c>
      <c r="AG271" s="14">
        <f t="shared" ref="AG271" si="1972">+IFERROR(AG270/AC270-1,"n/a ")</f>
        <v>9.1345473465140437E-2</v>
      </c>
      <c r="AH271" s="14">
        <f t="shared" ref="AH271" si="1973">+IFERROR(AH270/AD270-1,"n/a ")</f>
        <v>0.20253340757238303</v>
      </c>
      <c r="AI271" s="14">
        <f t="shared" ref="AI271:AK271" si="1974">+IFERROR(AI270/AE270-1,"n/a ")</f>
        <v>0.25131324301907654</v>
      </c>
      <c r="AJ271" s="14">
        <f t="shared" si="1974"/>
        <v>0.19788537786855698</v>
      </c>
      <c r="AK271" s="14">
        <f t="shared" si="1974"/>
        <v>0.22570636633126218</v>
      </c>
      <c r="AL271" s="14">
        <f t="shared" ref="AL271" si="1975">+IFERROR(AL270/AH270-1,"n/a ")</f>
        <v>0.17409422386850326</v>
      </c>
      <c r="AM271" s="14">
        <f t="shared" ref="AM271" si="1976">+IFERROR(AM270/AI270-1,"n/a ")</f>
        <v>0.12052585064074228</v>
      </c>
      <c r="AN271" s="14">
        <f t="shared" ref="AN271" si="1977">+IFERROR(AN270/AJ270-1,"n/a ")</f>
        <v>0.1277741569438291</v>
      </c>
      <c r="AO271" s="14">
        <f t="shared" ref="AO271" si="1978">+IFERROR(AO270/AK270-1,"n/a ")</f>
        <v>0.12804681070648694</v>
      </c>
      <c r="AP271" s="14">
        <f t="shared" ref="AP271" si="1979">+IFERROR(AP270/AL270-1,"n/a ")</f>
        <v>0.12868799352330496</v>
      </c>
      <c r="AQ271" s="14">
        <f t="shared" ref="AQ271" si="1980">+IFERROR(AQ270/AM270-1,"n/a ")</f>
        <v>0.12872632852866595</v>
      </c>
      <c r="BC271" s="14">
        <f t="shared" ref="BC271" si="1981">+IFERROR(BC270/BB270-1,"n/a ")</f>
        <v>-6.343046637973615E-2</v>
      </c>
      <c r="BD271" s="14">
        <f t="shared" ref="BD271" si="1982">+IFERROR(BD270/BC270-1,"n/a ")</f>
        <v>-6.4486967003164031E-2</v>
      </c>
      <c r="BE271" s="14">
        <f t="shared" ref="BE271" si="1983">+IFERROR(BE270/BD270-1,"n/a ")</f>
        <v>-4.0666774037687259E-2</v>
      </c>
      <c r="BG271" s="829">
        <f>+BE271</f>
        <v>-4.0666774037687259E-2</v>
      </c>
      <c r="BH271" s="829">
        <f>+BE271</f>
        <v>-4.0666774037687259E-2</v>
      </c>
      <c r="BI271" s="14">
        <f>+IFERROR(BI270/BH270-1,"n/a ")</f>
        <v>0.13477917288611829</v>
      </c>
      <c r="BJ271" s="14">
        <f>+IFERROR(BJ270/BI270-1,"n/a ")</f>
        <v>0.25495202723614985</v>
      </c>
      <c r="BK271" s="14">
        <f>+IFERROR(BK270/BJ270-1,"n/a ")</f>
        <v>0.15444848634317765</v>
      </c>
      <c r="BL271" s="14">
        <f t="shared" ref="BL271" si="1984">+IFERROR(BL270/BK270-1,"n/a ")</f>
        <v>0.30052339243751325</v>
      </c>
      <c r="BM271" s="14">
        <f t="shared" ref="BM271:BN271" si="1985">+IFERROR(BM270/BL270-1,"n/a ")</f>
        <v>0.21912857788181173</v>
      </c>
      <c r="BN271" s="14">
        <f t="shared" si="1985"/>
        <v>0.15889998989456644</v>
      </c>
      <c r="BO271" s="14">
        <f t="shared" ref="BO271:BP271" si="1986">+IFERROR(BO270/BN270-1,"n/a ")</f>
        <v>0.17834231245289844</v>
      </c>
      <c r="BP271" s="14">
        <f t="shared" si="1986"/>
        <v>0.12831019276291622</v>
      </c>
    </row>
    <row r="272" spans="2:71">
      <c r="B272" s="13" t="s">
        <v>270</v>
      </c>
      <c r="L272" s="22">
        <v>0.04</v>
      </c>
      <c r="M272" s="22">
        <v>0.1</v>
      </c>
      <c r="N272" s="22">
        <v>0.19</v>
      </c>
      <c r="O272" s="22">
        <v>0.13</v>
      </c>
      <c r="P272" s="22">
        <v>0.27</v>
      </c>
      <c r="Q272" s="22">
        <v>0.19</v>
      </c>
      <c r="R272" s="22">
        <v>0.3</v>
      </c>
      <c r="S272" s="22">
        <v>0.31</v>
      </c>
      <c r="T272" s="22">
        <v>0.27</v>
      </c>
      <c r="U272" s="22">
        <v>0.33</v>
      </c>
      <c r="V272" s="22">
        <v>0.23</v>
      </c>
      <c r="W272" s="22">
        <v>-0.05</v>
      </c>
      <c r="X272" s="22">
        <v>0.19</v>
      </c>
      <c r="Y272" s="22">
        <v>0.17</v>
      </c>
      <c r="Z272" s="22">
        <v>0.2</v>
      </c>
      <c r="AA272" s="22">
        <v>0.53</v>
      </c>
      <c r="AB272" s="22">
        <v>0.28999999999999998</v>
      </c>
      <c r="AC272" s="22">
        <v>0.24</v>
      </c>
      <c r="AD272" s="22">
        <v>0.23</v>
      </c>
      <c r="AE272" s="22">
        <v>0.19</v>
      </c>
      <c r="AF272" s="22">
        <v>0.19</v>
      </c>
      <c r="AG272" s="93">
        <f>+AG271+11%</f>
        <v>0.20134547346514042</v>
      </c>
      <c r="AH272" s="22">
        <v>0.27</v>
      </c>
      <c r="AI272" s="22">
        <v>0.28999999999999998</v>
      </c>
      <c r="AJ272" s="22">
        <v>0.19</v>
      </c>
      <c r="AK272" s="93">
        <f>+AK271-3%</f>
        <v>0.19570636633126218</v>
      </c>
      <c r="AL272" s="93">
        <f>+AL271-1%</f>
        <v>0.16409422386850325</v>
      </c>
      <c r="AM272" s="93">
        <f>+AM271+1%</f>
        <v>0.13052585064074229</v>
      </c>
      <c r="AN272" s="22"/>
      <c r="AO272" s="22"/>
      <c r="AP272" s="22"/>
      <c r="AQ272" s="22"/>
      <c r="BB272" s="932" t="s">
        <v>271</v>
      </c>
      <c r="BC272" s="932" t="s">
        <v>271</v>
      </c>
      <c r="BD272" s="932" t="s">
        <v>271</v>
      </c>
      <c r="BE272" s="932" t="s">
        <v>271</v>
      </c>
      <c r="BG272" s="829" t="s">
        <v>271</v>
      </c>
      <c r="BH272" s="829" t="s">
        <v>271</v>
      </c>
      <c r="BI272" s="23">
        <f>+SUMPRODUCT(L272:O272,H270:K270)/BH270</f>
        <v>0.11238300114145229</v>
      </c>
      <c r="BJ272" s="23">
        <f>+SUMPRODUCT(P272:S272,L270:O270)/BI270</f>
        <v>0.26730191891055399</v>
      </c>
      <c r="BK272" s="23">
        <f>+SUMPRODUCT(T272:W272,P270:S270)/BJ270</f>
        <v>0.18933288118872929</v>
      </c>
      <c r="BL272" s="23">
        <f>+SUMPRODUCT(X272:AA272,T270:W270)/BK270</f>
        <v>0.25914761803033542</v>
      </c>
      <c r="BM272" s="23">
        <f>+SUMPRODUCT(AB272:AE272,X270:AA270)/BL270</f>
        <v>0.23602726787400929</v>
      </c>
      <c r="BN272" s="23">
        <f>+SUMPRODUCT(AF273:AI273,AB270:AE270)/BM270</f>
        <v>0.49682725854319137</v>
      </c>
      <c r="BO272" s="23">
        <f>+SUMPRODUCT(AJ273:AM273,AF270:AI270)/BN270</f>
        <v>0.52151825959607245</v>
      </c>
      <c r="BP272" s="23"/>
    </row>
    <row r="273" spans="2:68">
      <c r="B273" s="13" t="s">
        <v>115</v>
      </c>
      <c r="H273" s="14">
        <f t="shared" ref="H273:AH273" si="1987">+IFERROR(H270/H251,"n/a ")</f>
        <v>0.45136730888750776</v>
      </c>
      <c r="I273" s="14">
        <f t="shared" si="1987"/>
        <v>0.4252681431954311</v>
      </c>
      <c r="J273" s="14">
        <f t="shared" si="1987"/>
        <v>0.32957052030621514</v>
      </c>
      <c r="K273" s="14">
        <f t="shared" si="1987"/>
        <v>0.33820776789892371</v>
      </c>
      <c r="L273" s="14">
        <f t="shared" si="1987"/>
        <v>0.36489439184268024</v>
      </c>
      <c r="M273" s="14">
        <f t="shared" si="1987"/>
        <v>0.37272422651625153</v>
      </c>
      <c r="N273" s="14">
        <f t="shared" si="1987"/>
        <v>0.34588052409504777</v>
      </c>
      <c r="O273" s="14">
        <f t="shared" si="1987"/>
        <v>0.35850227554820024</v>
      </c>
      <c r="P273" s="14">
        <f t="shared" si="1987"/>
        <v>0.3971957834407942</v>
      </c>
      <c r="Q273" s="14">
        <f t="shared" si="1987"/>
        <v>0.39752475247524754</v>
      </c>
      <c r="R273" s="14">
        <f t="shared" si="1987"/>
        <v>0.38849834016793594</v>
      </c>
      <c r="S273" s="14">
        <f t="shared" si="1987"/>
        <v>0.3932289309314746</v>
      </c>
      <c r="T273" s="14">
        <f t="shared" si="1987"/>
        <v>0.43170533537961542</v>
      </c>
      <c r="U273" s="14">
        <f t="shared" si="1987"/>
        <v>0.43818704549298154</v>
      </c>
      <c r="V273" s="14">
        <f t="shared" si="1987"/>
        <v>0.40773226603082685</v>
      </c>
      <c r="W273" s="14">
        <f t="shared" si="1987"/>
        <v>0.33798502382573181</v>
      </c>
      <c r="X273" s="14">
        <f t="shared" si="1987"/>
        <v>0.46318694699245067</v>
      </c>
      <c r="Y273" s="14">
        <f t="shared" si="1987"/>
        <v>0.46289223395491652</v>
      </c>
      <c r="Z273" s="14">
        <f t="shared" si="1987"/>
        <v>0.44487898465171194</v>
      </c>
      <c r="AA273" s="14">
        <f t="shared" si="1987"/>
        <v>0.43802327955891363</v>
      </c>
      <c r="AB273" s="14">
        <f t="shared" si="1987"/>
        <v>0.50408936764412526</v>
      </c>
      <c r="AC273" s="14">
        <f t="shared" si="1987"/>
        <v>0.48242971887550201</v>
      </c>
      <c r="AD273" s="14">
        <f t="shared" si="1987"/>
        <v>0.45500031667616697</v>
      </c>
      <c r="AE273" s="14">
        <f t="shared" si="1987"/>
        <v>0.43578313253012047</v>
      </c>
      <c r="AF273" s="14">
        <f t="shared" si="1987"/>
        <v>0.50549650774369881</v>
      </c>
      <c r="AG273" s="14">
        <f t="shared" si="1987"/>
        <v>0.4934868838960122</v>
      </c>
      <c r="AH273" s="14">
        <f t="shared" si="1987"/>
        <v>0.4932062114638045</v>
      </c>
      <c r="AI273" s="14">
        <f t="shared" ref="AI273:AJ273" si="1988">+IFERROR(AI270/AI251,"n/a ")</f>
        <v>0.49488819638073367</v>
      </c>
      <c r="AJ273" s="14">
        <f t="shared" si="1988"/>
        <v>0.53625215146299487</v>
      </c>
      <c r="AK273" s="14">
        <f t="shared" ref="AK273:AL273" si="1989">+IFERROR(AK270/AK251,"n/a ")</f>
        <v>0.5342615200789651</v>
      </c>
      <c r="AL273" s="14">
        <f t="shared" si="1989"/>
        <v>0.51829330608073587</v>
      </c>
      <c r="AM273" s="14">
        <f t="shared" ref="AM273" si="1990">+IFERROR(AM270/AM251,"n/a ")</f>
        <v>0.49923709209036765</v>
      </c>
      <c r="AN273" s="14">
        <f t="shared" ref="AN273:AQ273" si="1991">+IFERROR(AN270/AN251,"n/a ")</f>
        <v>0.54125215146299488</v>
      </c>
      <c r="AO273" s="14">
        <f t="shared" si="1991"/>
        <v>0.53926152007896511</v>
      </c>
      <c r="AP273" s="14">
        <f t="shared" si="1991"/>
        <v>0.52329330608073588</v>
      </c>
      <c r="AQ273" s="14">
        <f t="shared" si="1991"/>
        <v>0.5042370920903676</v>
      </c>
      <c r="BB273" s="14">
        <f>+IFERROR(BB270/BB251,"n/a ")</f>
        <v>0.52539294187425856</v>
      </c>
      <c r="BC273" s="14">
        <f>+IFERROR(BC270/BC251,"n/a ")</f>
        <v>0.50223231176693151</v>
      </c>
      <c r="BD273" s="14">
        <f>+IFERROR(BD270/BD251,"n/a ")</f>
        <v>0.46883376750858913</v>
      </c>
      <c r="BE273" s="14">
        <f>+IFERROR(BE270/BE251,"n/a ")</f>
        <v>0.39130863224280649</v>
      </c>
      <c r="BG273" s="829">
        <f>+BE273</f>
        <v>0.39130863224280649</v>
      </c>
      <c r="BH273" s="14">
        <f t="shared" ref="BH273:BN273" si="1992">+IFERROR(BH270/BH251,"n/a ")</f>
        <v>0.38128557080682962</v>
      </c>
      <c r="BI273" s="14">
        <f t="shared" si="1992"/>
        <v>0.3603513174404015</v>
      </c>
      <c r="BJ273" s="14">
        <f t="shared" si="1992"/>
        <v>0.39404761904761904</v>
      </c>
      <c r="BK273" s="14">
        <f t="shared" si="1992"/>
        <v>0.40355187723608776</v>
      </c>
      <c r="BL273" s="14">
        <f t="shared" si="1992"/>
        <v>0.45165538347398682</v>
      </c>
      <c r="BM273" s="14">
        <f t="shared" si="1992"/>
        <v>0.46851524524966859</v>
      </c>
      <c r="BN273" s="14">
        <f t="shared" si="1992"/>
        <v>0.496640355689003</v>
      </c>
      <c r="BO273" s="14">
        <f t="shared" ref="BO273:BP273" si="1993">+IFERROR(BO270/BO251,"n/a ")</f>
        <v>0.52156237134623307</v>
      </c>
      <c r="BP273" s="14">
        <f t="shared" si="1993"/>
        <v>0.52656169082761584</v>
      </c>
    </row>
    <row r="274" spans="2:68">
      <c r="B274" s="921"/>
    </row>
    <row r="275" spans="2:68" hidden="1" outlineLevel="1">
      <c r="B275" s="24" t="s">
        <v>126</v>
      </c>
    </row>
    <row r="276" spans="2:68" hidden="1" outlineLevel="1">
      <c r="B276" s="12" t="s">
        <v>368</v>
      </c>
      <c r="H276" s="8">
        <f t="shared" ref="H276:O276" si="1994">+H270-H331</f>
        <v>2905</v>
      </c>
      <c r="I276" s="8">
        <f t="shared" si="1994"/>
        <v>3249</v>
      </c>
      <c r="J276" s="8">
        <f t="shared" si="1994"/>
        <v>2915</v>
      </c>
      <c r="K276" s="8">
        <f t="shared" si="1994"/>
        <v>3244</v>
      </c>
      <c r="L276" s="8">
        <f t="shared" si="1994"/>
        <v>3300</v>
      </c>
      <c r="M276" s="8">
        <f t="shared" si="1994"/>
        <v>3602</v>
      </c>
      <c r="N276" s="8">
        <f t="shared" si="1994"/>
        <v>3361</v>
      </c>
      <c r="O276" s="8">
        <f t="shared" si="1994"/>
        <v>3648</v>
      </c>
      <c r="P276" s="925"/>
      <c r="Q276" s="925"/>
      <c r="R276" s="925"/>
      <c r="S276" s="925"/>
      <c r="T276" s="925"/>
      <c r="U276" s="925"/>
      <c r="V276" s="925"/>
      <c r="W276" s="925"/>
      <c r="X276" s="925"/>
      <c r="Y276" s="925"/>
      <c r="Z276" s="925"/>
      <c r="AA276" s="925"/>
      <c r="AB276" s="925"/>
      <c r="AC276" s="925"/>
      <c r="AD276" s="925"/>
      <c r="AE276" s="925"/>
      <c r="AF276" s="925"/>
      <c r="AG276" s="8"/>
      <c r="AH276" s="8"/>
      <c r="AI276" s="8"/>
      <c r="AJ276" s="8"/>
      <c r="AK276" s="8"/>
      <c r="AL276" s="8"/>
      <c r="AM276" s="8"/>
      <c r="AN276" s="8"/>
      <c r="AO276" s="8"/>
      <c r="AP276" s="8"/>
      <c r="AQ276" s="8"/>
      <c r="BG276" s="8"/>
      <c r="BH276" s="8">
        <f>+BH270-BH331</f>
        <v>12313</v>
      </c>
      <c r="BI276" s="8">
        <f>+BI270-BI331</f>
        <v>13911</v>
      </c>
      <c r="BJ276" s="926"/>
      <c r="BK276" s="926"/>
      <c r="BL276" s="926"/>
      <c r="BM276" s="926"/>
    </row>
    <row r="277" spans="2:68" ht="11.45" hidden="1" outlineLevel="1">
      <c r="B277" s="15" t="s">
        <v>113</v>
      </c>
      <c r="L277" s="14">
        <f>+IFERROR(L276/H276-1,"n/a ")</f>
        <v>0.13597246127366613</v>
      </c>
      <c r="M277" s="14">
        <f t="shared" ref="M277" si="1995">+IFERROR(M276/I276-1,"n/a ")</f>
        <v>0.10864881502000623</v>
      </c>
      <c r="N277" s="14">
        <f t="shared" ref="N277" si="1996">+IFERROR(N276/J276-1,"n/a ")</f>
        <v>0.15300171526586626</v>
      </c>
      <c r="O277" s="14">
        <f t="shared" ref="O277" si="1997">+IFERROR(O276/K276-1,"n/a ")</f>
        <v>0.12453760789149193</v>
      </c>
      <c r="P277" s="927"/>
      <c r="Q277" s="928"/>
      <c r="R277" s="928" t="s">
        <v>369</v>
      </c>
      <c r="S277" s="927"/>
      <c r="T277" s="927"/>
      <c r="U277" s="927"/>
      <c r="V277" s="927"/>
      <c r="W277" s="927"/>
      <c r="X277" s="927"/>
      <c r="Y277" s="927"/>
      <c r="Z277" s="927"/>
      <c r="AA277" s="927"/>
      <c r="AB277" s="927"/>
      <c r="AC277" s="927"/>
      <c r="AD277" s="927"/>
      <c r="AE277" s="927"/>
      <c r="AF277" s="927"/>
      <c r="AG277" s="14"/>
      <c r="AH277" s="14"/>
      <c r="AI277" s="14"/>
      <c r="AJ277" s="14"/>
      <c r="AK277" s="14"/>
      <c r="AL277" s="14"/>
      <c r="AM277" s="14"/>
      <c r="AN277" s="14"/>
      <c r="AO277" s="14"/>
      <c r="AP277" s="14"/>
      <c r="AQ277" s="14"/>
      <c r="BI277" s="14">
        <f>+IFERROR(BI276/BH276-1,"n/a ")</f>
        <v>0.12978153171444817</v>
      </c>
      <c r="BJ277" s="926"/>
      <c r="BK277" s="926"/>
      <c r="BL277" s="926"/>
      <c r="BM277" s="926"/>
    </row>
    <row r="278" spans="2:68" hidden="1" outlineLevel="1">
      <c r="B278" s="15" t="s">
        <v>270</v>
      </c>
      <c r="L278" s="14">
        <f>+(H270*(L272)-(L331-H331))/H276</f>
        <v>0.14120481927710843</v>
      </c>
      <c r="M278" s="14">
        <f>+(I270*(M272)-(M331-I331))/I276</f>
        <v>0.1152046783625731</v>
      </c>
      <c r="N278" s="14">
        <f>+(J270*(N272)-(N331-J331))/J276</f>
        <v>0.12130360205831904</v>
      </c>
      <c r="O278" s="14">
        <f>+(K270*(O272)-(O331-K331))/K276</f>
        <v>6.3141183723797789E-2</v>
      </c>
      <c r="P278" s="926"/>
      <c r="Q278" s="926"/>
      <c r="R278" s="926"/>
      <c r="S278" s="926"/>
      <c r="T278" s="926"/>
      <c r="U278" s="926"/>
      <c r="V278" s="926"/>
      <c r="W278" s="926"/>
      <c r="X278" s="926"/>
      <c r="Y278" s="926"/>
      <c r="Z278" s="926"/>
      <c r="AA278" s="926"/>
      <c r="AB278" s="926"/>
      <c r="AC278" s="926"/>
      <c r="AD278" s="926"/>
      <c r="AE278" s="926"/>
      <c r="AF278" s="926"/>
      <c r="AG278" s="14"/>
      <c r="AH278" s="14"/>
      <c r="AI278" s="14"/>
      <c r="AJ278" s="14"/>
      <c r="AK278" s="14"/>
      <c r="AL278" s="14"/>
      <c r="AM278" s="14"/>
      <c r="AN278" s="14"/>
      <c r="AO278" s="14"/>
      <c r="AP278" s="14"/>
      <c r="AQ278" s="14"/>
      <c r="BI278" s="14">
        <f>+SUMPRODUCT(L278:O278,H276:K276)/BH276</f>
        <v>0.1090660277755218</v>
      </c>
      <c r="BJ278" s="926"/>
      <c r="BK278" s="926"/>
      <c r="BL278" s="926"/>
      <c r="BM278" s="926"/>
    </row>
    <row r="279" spans="2:68" hidden="1" outlineLevel="1">
      <c r="B279" s="15" t="s">
        <v>115</v>
      </c>
      <c r="H279" s="14">
        <f t="shared" ref="H279:O279" si="1998">+IFERROR(H276/H256,"n/a ")</f>
        <v>0.45136730888750776</v>
      </c>
      <c r="I279" s="14">
        <f t="shared" si="1998"/>
        <v>0.46741476046611996</v>
      </c>
      <c r="J279" s="14">
        <f t="shared" si="1998"/>
        <v>0.43307086614173229</v>
      </c>
      <c r="K279" s="14">
        <f t="shared" si="1998"/>
        <v>0.43363186739740678</v>
      </c>
      <c r="L279" s="14">
        <f t="shared" si="1998"/>
        <v>0.46544428772919605</v>
      </c>
      <c r="M279" s="14">
        <f t="shared" si="1998"/>
        <v>0.47140426645727002</v>
      </c>
      <c r="N279" s="14">
        <f t="shared" si="1998"/>
        <v>0.43814365793247295</v>
      </c>
      <c r="O279" s="14">
        <f t="shared" si="1998"/>
        <v>0.4446611409068747</v>
      </c>
      <c r="P279" s="926"/>
      <c r="Q279" s="926"/>
      <c r="R279" s="926"/>
      <c r="S279" s="926"/>
      <c r="T279" s="926"/>
      <c r="U279" s="926"/>
      <c r="V279" s="926"/>
      <c r="W279" s="926"/>
      <c r="X279" s="926"/>
      <c r="Y279" s="926"/>
      <c r="Z279" s="926"/>
      <c r="AA279" s="926"/>
      <c r="AB279" s="926"/>
      <c r="AC279" s="926"/>
      <c r="AD279" s="926"/>
      <c r="AE279" s="926"/>
      <c r="AF279" s="926"/>
      <c r="AG279" s="14"/>
      <c r="AH279" s="14"/>
      <c r="AI279" s="14"/>
      <c r="AJ279" s="14"/>
      <c r="AK279" s="14"/>
      <c r="AL279" s="14"/>
      <c r="AM279" s="14"/>
      <c r="AN279" s="14"/>
      <c r="AO279" s="14"/>
      <c r="AP279" s="14"/>
      <c r="AQ279" s="14"/>
      <c r="BG279" s="14"/>
      <c r="BH279" s="14">
        <f>+IFERROR(BH276/BH256,"n/a ")</f>
        <v>0.44613935287510414</v>
      </c>
      <c r="BI279" s="14">
        <f>+IFERROR(BI276/BI256,"n/a ")</f>
        <v>0.45451872181925113</v>
      </c>
      <c r="BJ279" s="926"/>
      <c r="BK279" s="926"/>
      <c r="BL279" s="926"/>
      <c r="BM279" s="926"/>
    </row>
    <row r="280" spans="2:68" hidden="1" outlineLevel="1">
      <c r="B280" s="921"/>
    </row>
    <row r="281" spans="2:68" ht="10.5" collapsed="1">
      <c r="B281" s="45" t="s">
        <v>370</v>
      </c>
    </row>
    <row r="282" spans="2:68" ht="10.5">
      <c r="B282" s="45"/>
      <c r="D282" s="876" t="s">
        <v>371</v>
      </c>
      <c r="E282" s="876"/>
      <c r="F282" s="876"/>
      <c r="G282" s="876"/>
    </row>
    <row r="283" spans="2:68">
      <c r="B283" s="852" t="s">
        <v>372</v>
      </c>
      <c r="D283" s="31"/>
      <c r="E283" s="31"/>
      <c r="F283" s="31"/>
      <c r="G283" s="31"/>
    </row>
    <row r="284" spans="2:68">
      <c r="B284" t="s">
        <v>373</v>
      </c>
      <c r="D284" s="911">
        <v>-0.02</v>
      </c>
      <c r="E284" s="911">
        <v>-0.01</v>
      </c>
      <c r="F284" s="911">
        <v>0</v>
      </c>
      <c r="G284" s="911">
        <v>0.05</v>
      </c>
      <c r="H284" s="911">
        <v>0.09</v>
      </c>
      <c r="I284" s="911">
        <v>7.0000000000000007E-2</v>
      </c>
      <c r="J284" s="911">
        <v>0.09</v>
      </c>
      <c r="K284" s="911">
        <v>0.05</v>
      </c>
      <c r="L284" s="911">
        <v>0.1</v>
      </c>
      <c r="M284" s="911">
        <v>0.1</v>
      </c>
      <c r="N284" s="911">
        <v>0.14000000000000001</v>
      </c>
      <c r="O284" s="911">
        <v>0.1</v>
      </c>
      <c r="P284" s="911">
        <v>0.17</v>
      </c>
      <c r="Q284" s="911">
        <v>0.11</v>
      </c>
      <c r="R284" s="911">
        <v>0.12</v>
      </c>
      <c r="S284" s="911">
        <v>0.14000000000000001</v>
      </c>
      <c r="T284" s="911">
        <v>0.13</v>
      </c>
      <c r="U284" s="911">
        <v>0.16</v>
      </c>
      <c r="V284" s="911">
        <v>0.13</v>
      </c>
      <c r="W284" s="911">
        <v>0.05</v>
      </c>
      <c r="X284" s="911">
        <v>0.09</v>
      </c>
      <c r="Y284" s="911">
        <v>0.11</v>
      </c>
      <c r="Z284" s="911">
        <v>0.14000000000000001</v>
      </c>
      <c r="AA284" s="911">
        <v>0.2</v>
      </c>
      <c r="AB284" s="911">
        <v>0.18</v>
      </c>
      <c r="AC284" s="911">
        <v>0.14000000000000001</v>
      </c>
      <c r="AD284" s="911">
        <v>0.12</v>
      </c>
      <c r="AE284" s="911">
        <v>0.09</v>
      </c>
      <c r="AF284" s="911">
        <v>7.0000000000000007E-2</v>
      </c>
      <c r="AG284" s="911">
        <v>7.0000000000000007E-2</v>
      </c>
      <c r="AH284" s="911">
        <v>0.13</v>
      </c>
      <c r="AI284" s="911">
        <v>0.12</v>
      </c>
      <c r="AJ284" s="911">
        <v>0.15</v>
      </c>
      <c r="AK284" s="911">
        <v>0.15</v>
      </c>
      <c r="AL284" s="911">
        <v>0.13</v>
      </c>
      <c r="AM284" s="911">
        <v>0.12</v>
      </c>
      <c r="AN284" s="911"/>
      <c r="AO284" s="911"/>
      <c r="AP284" s="911"/>
      <c r="AQ284" s="911"/>
      <c r="BG284" s="912"/>
      <c r="BH284" s="912">
        <f>+AVERAGE(H284:K284)</f>
        <v>7.4999999999999997E-2</v>
      </c>
      <c r="BI284" s="912">
        <f>+AVERAGE(L284:O284)</f>
        <v>0.11000000000000001</v>
      </c>
      <c r="BJ284" s="912">
        <f>+AVERAGE(P284:S284)</f>
        <v>0.13500000000000001</v>
      </c>
      <c r="BK284" s="912">
        <f t="shared" ref="BK284:BK289" si="1999">+AVERAGE(T284:W284)</f>
        <v>0.11750000000000001</v>
      </c>
      <c r="BL284" s="912">
        <f t="shared" ref="BL284:BL289" si="2000">+AVERAGE(X284:AA284)</f>
        <v>0.13500000000000001</v>
      </c>
      <c r="BM284" s="912">
        <f>+AVERAGE(AB284:AE284)</f>
        <v>0.13250000000000001</v>
      </c>
      <c r="BN284" s="912">
        <f>AVERAGE(AF284:AI284)</f>
        <v>9.7500000000000003E-2</v>
      </c>
      <c r="BO284" s="912">
        <f>AVERAGE(AJ284:AM284)</f>
        <v>0.13750000000000001</v>
      </c>
      <c r="BP284" s="912"/>
    </row>
    <row r="285" spans="2:68">
      <c r="B285" t="s">
        <v>374</v>
      </c>
      <c r="D285" s="911"/>
      <c r="E285" s="911"/>
      <c r="F285" s="911"/>
      <c r="G285" s="911">
        <v>0.54</v>
      </c>
      <c r="H285" s="911">
        <v>0.51</v>
      </c>
      <c r="I285" s="911">
        <v>0.47</v>
      </c>
      <c r="J285" s="911">
        <v>0.45</v>
      </c>
      <c r="K285" s="911">
        <v>0.43</v>
      </c>
      <c r="L285" s="911">
        <v>0.42</v>
      </c>
      <c r="M285" s="911">
        <v>0.41</v>
      </c>
      <c r="N285" s="911">
        <v>0.42</v>
      </c>
      <c r="O285" s="911">
        <v>0.38</v>
      </c>
      <c r="P285" s="911">
        <v>0.36</v>
      </c>
      <c r="Q285" s="911">
        <v>0.34</v>
      </c>
      <c r="R285" s="911">
        <v>0.3</v>
      </c>
      <c r="S285" s="911">
        <v>0.31</v>
      </c>
      <c r="T285" s="911">
        <v>0.25</v>
      </c>
      <c r="U285" s="911">
        <v>0.16</v>
      </c>
      <c r="V285" s="911">
        <v>0.25</v>
      </c>
      <c r="W285" s="911">
        <v>0.19</v>
      </c>
      <c r="X285" s="911">
        <v>0.21</v>
      </c>
      <c r="Y285" s="911">
        <v>0.21</v>
      </c>
      <c r="Z285" s="911">
        <v>0.22</v>
      </c>
      <c r="AA285" s="911">
        <v>0.25</v>
      </c>
      <c r="AB285" s="911">
        <v>0.23</v>
      </c>
      <c r="AC285" s="911">
        <v>0.19</v>
      </c>
      <c r="AD285" s="911">
        <v>0.11</v>
      </c>
      <c r="AE285" s="911">
        <v>0.09</v>
      </c>
      <c r="AF285" s="911">
        <v>7.0000000000000007E-2</v>
      </c>
      <c r="AG285" s="911">
        <v>0.11</v>
      </c>
      <c r="AH285" s="911">
        <v>0.14000000000000001</v>
      </c>
      <c r="AI285" s="911">
        <v>0.15</v>
      </c>
      <c r="AJ285" s="911">
        <v>0.18</v>
      </c>
      <c r="AK285" s="911">
        <v>0.17</v>
      </c>
      <c r="AL285" s="911">
        <v>0.15</v>
      </c>
      <c r="AM285" s="911">
        <v>0.13</v>
      </c>
      <c r="AN285" s="911"/>
      <c r="AO285" s="911"/>
      <c r="AP285" s="911"/>
      <c r="AQ285" s="911"/>
      <c r="BG285" s="912"/>
      <c r="BH285" s="912">
        <f>+AVERAGE(H285:K285)</f>
        <v>0.46499999999999997</v>
      </c>
      <c r="BI285" s="912">
        <f>+AVERAGE(L285:O285)</f>
        <v>0.40749999999999997</v>
      </c>
      <c r="BJ285" s="912">
        <f>+AVERAGE(P285:S285)</f>
        <v>0.32750000000000001</v>
      </c>
      <c r="BK285" s="912">
        <f t="shared" si="1999"/>
        <v>0.21250000000000002</v>
      </c>
      <c r="BL285" s="912">
        <f t="shared" si="2000"/>
        <v>0.2225</v>
      </c>
      <c r="BM285" s="912">
        <f>+AVERAGE(AB285:AE285)</f>
        <v>0.155</v>
      </c>
      <c r="BN285" s="912">
        <f t="shared" ref="BN285:BN289" si="2001">AVERAGE(AF285:AI285)</f>
        <v>0.11749999999999999</v>
      </c>
      <c r="BO285" s="912">
        <f t="shared" ref="BO285:BO297" si="2002">AVERAGE(AJ285:AM285)</f>
        <v>0.1575</v>
      </c>
      <c r="BP285" s="912"/>
    </row>
    <row r="286" spans="2:68">
      <c r="B286" t="s">
        <v>375</v>
      </c>
      <c r="D286" s="911">
        <v>-0.13</v>
      </c>
      <c r="E286" s="911">
        <v>-0.14000000000000001</v>
      </c>
      <c r="F286" s="911">
        <v>0.03</v>
      </c>
      <c r="G286" s="911">
        <v>0.19</v>
      </c>
      <c r="H286" s="911">
        <v>0.03</v>
      </c>
      <c r="I286" s="911">
        <v>0.2</v>
      </c>
      <c r="J286" s="911">
        <v>0.11</v>
      </c>
      <c r="K286" s="911">
        <v>0.11</v>
      </c>
      <c r="L286" s="911">
        <v>0.12</v>
      </c>
      <c r="M286" s="911">
        <v>0.12</v>
      </c>
      <c r="N286" s="911">
        <v>0.12</v>
      </c>
      <c r="O286" s="911">
        <v>0.08</v>
      </c>
      <c r="P286" s="911">
        <v>0.16</v>
      </c>
      <c r="Q286" s="911">
        <v>0.01</v>
      </c>
      <c r="R286" s="911">
        <v>0.08</v>
      </c>
      <c r="S286" s="911">
        <v>0.06</v>
      </c>
      <c r="T286" s="911">
        <v>0.05</v>
      </c>
      <c r="U286" s="911">
        <v>0.19</v>
      </c>
      <c r="V286" s="911">
        <v>0.15</v>
      </c>
      <c r="W286" s="911">
        <v>0.06</v>
      </c>
      <c r="X286" s="911">
        <v>0.11</v>
      </c>
      <c r="Y286" s="911">
        <v>7.0000000000000007E-2</v>
      </c>
      <c r="Z286" s="911">
        <v>0.05</v>
      </c>
      <c r="AA286" s="911">
        <v>0.18</v>
      </c>
      <c r="AB286" s="911">
        <v>0.1</v>
      </c>
      <c r="AC286" s="911">
        <v>0.15</v>
      </c>
      <c r="AD286" s="911">
        <v>0.12</v>
      </c>
      <c r="AE286" s="911">
        <v>0.09</v>
      </c>
      <c r="AF286" s="911">
        <v>7.0000000000000007E-2</v>
      </c>
      <c r="AG286" s="911">
        <v>-0.02</v>
      </c>
      <c r="AH286" s="911">
        <v>0.01</v>
      </c>
      <c r="AI286" s="911">
        <v>0.03</v>
      </c>
      <c r="AJ286" s="911">
        <v>0.03</v>
      </c>
      <c r="AK286" s="911">
        <v>0.05</v>
      </c>
      <c r="AL286" s="911">
        <v>0.04</v>
      </c>
      <c r="AM286" s="911">
        <v>0.03</v>
      </c>
      <c r="AN286" s="911"/>
      <c r="AO286" s="911"/>
      <c r="AP286" s="911"/>
      <c r="AQ286" s="911"/>
      <c r="BG286" s="912"/>
      <c r="BH286" s="912">
        <f>+AVERAGE(H286:K286)</f>
        <v>0.1125</v>
      </c>
      <c r="BI286" s="912">
        <f>+AVERAGE(L286:O286)</f>
        <v>0.11</v>
      </c>
      <c r="BJ286" s="912">
        <f>AVERAGE(P286:S286)</f>
        <v>7.7499999999999999E-2</v>
      </c>
      <c r="BK286" s="912">
        <f t="shared" si="1999"/>
        <v>0.1125</v>
      </c>
      <c r="BL286" s="912">
        <f t="shared" si="2000"/>
        <v>0.10249999999999999</v>
      </c>
      <c r="BM286" s="912">
        <f>+AVERAGE(AB286:AE286)</f>
        <v>0.11499999999999999</v>
      </c>
      <c r="BN286" s="912">
        <f t="shared" si="2001"/>
        <v>2.2499999999999999E-2</v>
      </c>
      <c r="BO286" s="912">
        <f t="shared" si="2002"/>
        <v>3.7499999999999999E-2</v>
      </c>
      <c r="BP286" s="912"/>
    </row>
    <row r="287" spans="2:68" hidden="1" outlineLevel="1">
      <c r="B287" t="s">
        <v>376</v>
      </c>
      <c r="H287" s="911"/>
      <c r="I287" s="911"/>
      <c r="J287" s="911"/>
      <c r="K287" s="911"/>
      <c r="L287" s="911"/>
      <c r="M287" s="911"/>
      <c r="N287" s="911">
        <v>0.37</v>
      </c>
      <c r="O287" s="911">
        <v>0.37</v>
      </c>
      <c r="P287" s="911">
        <v>0.33</v>
      </c>
      <c r="Q287" s="911">
        <v>0.28999999999999998</v>
      </c>
      <c r="R287" s="911">
        <v>0.27</v>
      </c>
      <c r="S287" s="911">
        <v>0.25</v>
      </c>
      <c r="T287" s="911">
        <v>0.25</v>
      </c>
      <c r="U287" s="911">
        <v>0.24</v>
      </c>
      <c r="V287" s="911">
        <v>0.21</v>
      </c>
      <c r="W287" s="911">
        <v>0.1</v>
      </c>
      <c r="X287" s="911">
        <v>0.16</v>
      </c>
      <c r="Y287" s="911">
        <v>0.23</v>
      </c>
      <c r="Z287" s="911">
        <v>0.25</v>
      </c>
      <c r="AA287" s="911">
        <v>0.46</v>
      </c>
      <c r="AB287" s="911">
        <v>0.42</v>
      </c>
      <c r="AC287" s="911">
        <v>0.37</v>
      </c>
      <c r="AD287" s="911">
        <v>0.34</v>
      </c>
      <c r="AE287" s="911">
        <v>0.26</v>
      </c>
      <c r="AF287" s="911">
        <v>0.17</v>
      </c>
      <c r="AG287" s="911">
        <v>0.1</v>
      </c>
      <c r="AH287" s="911"/>
      <c r="AI287" s="911"/>
      <c r="AJ287" s="911"/>
      <c r="AK287" s="911"/>
      <c r="AL287" s="911"/>
      <c r="AM287" s="911"/>
      <c r="AN287" s="911"/>
      <c r="AO287" s="911"/>
      <c r="AP287" s="911"/>
      <c r="AQ287" s="911"/>
      <c r="BG287" s="912"/>
      <c r="BH287" s="912"/>
      <c r="BI287" s="25" t="s">
        <v>271</v>
      </c>
      <c r="BJ287" s="912">
        <f>AVERAGE(P287:S287)</f>
        <v>0.28500000000000003</v>
      </c>
      <c r="BK287" s="912">
        <f t="shared" si="1999"/>
        <v>0.19999999999999998</v>
      </c>
      <c r="BL287" s="912">
        <f t="shared" si="2000"/>
        <v>0.27500000000000002</v>
      </c>
      <c r="BM287" s="912">
        <f>+AVERAGE(AB287:AE287)</f>
        <v>0.34750000000000003</v>
      </c>
      <c r="BN287" s="912">
        <f t="shared" si="2001"/>
        <v>0.13500000000000001</v>
      </c>
      <c r="BO287" s="912" t="e">
        <f t="shared" si="2002"/>
        <v>#DIV/0!</v>
      </c>
      <c r="BP287" s="912"/>
    </row>
    <row r="288" spans="2:68" collapsed="1">
      <c r="B288" t="s">
        <v>377</v>
      </c>
      <c r="D288">
        <v>0.03</v>
      </c>
      <c r="E288">
        <v>0.03</v>
      </c>
      <c r="F288">
        <v>0.04</v>
      </c>
      <c r="G288">
        <v>0.06</v>
      </c>
      <c r="H288" s="911">
        <v>0.1</v>
      </c>
      <c r="I288" s="911">
        <v>0.01</v>
      </c>
      <c r="J288" s="911">
        <v>0.1</v>
      </c>
      <c r="K288" s="911">
        <v>0.02</v>
      </c>
      <c r="L288" s="911">
        <v>0.13</v>
      </c>
      <c r="M288" s="911">
        <v>0.1</v>
      </c>
      <c r="N288" s="911">
        <v>0.17</v>
      </c>
      <c r="O288" s="911">
        <v>0.11</v>
      </c>
      <c r="P288" s="911">
        <v>0.2</v>
      </c>
      <c r="Q288" s="911">
        <v>0.17</v>
      </c>
      <c r="R288" s="911">
        <v>0.13</v>
      </c>
      <c r="S288" s="911">
        <v>0.12</v>
      </c>
      <c r="T288" s="911">
        <v>0.14000000000000001</v>
      </c>
      <c r="U288" s="911">
        <v>0.12</v>
      </c>
      <c r="V288" s="911">
        <v>0.17</v>
      </c>
      <c r="W288" s="911">
        <v>0.13</v>
      </c>
      <c r="X288" s="911">
        <v>0.19</v>
      </c>
      <c r="Y288" s="911">
        <v>0.21</v>
      </c>
      <c r="Z288" s="911">
        <v>0.26</v>
      </c>
      <c r="AA288" s="911">
        <v>0.33</v>
      </c>
      <c r="AB288" s="911">
        <v>0.31</v>
      </c>
      <c r="AC288" s="911">
        <v>0.28999999999999998</v>
      </c>
      <c r="AD288" s="911">
        <v>0.22</v>
      </c>
      <c r="AE288" s="911">
        <v>0.19</v>
      </c>
      <c r="AF288" s="911">
        <v>0.15</v>
      </c>
      <c r="AG288" s="911">
        <v>0.13</v>
      </c>
      <c r="AH288" s="911">
        <v>0.17</v>
      </c>
      <c r="AI288" s="911">
        <v>0.19</v>
      </c>
      <c r="AJ288" s="911">
        <v>0.22</v>
      </c>
      <c r="AK288" s="911">
        <v>0.21</v>
      </c>
      <c r="AL288" s="911">
        <v>0.17</v>
      </c>
      <c r="AM288" s="911">
        <v>0.16</v>
      </c>
      <c r="AN288" s="911"/>
      <c r="AO288" s="911"/>
      <c r="AP288" s="911"/>
      <c r="AQ288" s="911"/>
      <c r="BG288" s="912"/>
      <c r="BH288" s="912">
        <f>+AVERAGE(H288:K288)</f>
        <v>5.7500000000000002E-2</v>
      </c>
      <c r="BI288" s="912">
        <f>+AVERAGE(L288:O288)</f>
        <v>0.1275</v>
      </c>
      <c r="BJ288" s="912">
        <f>AVERAGE(P288:S288)</f>
        <v>0.155</v>
      </c>
      <c r="BK288" s="912">
        <f t="shared" si="1999"/>
        <v>0.14000000000000001</v>
      </c>
      <c r="BL288" s="912">
        <f t="shared" si="2000"/>
        <v>0.2475</v>
      </c>
      <c r="BM288" s="912">
        <f>+AVERAGE(AB288:AE288)</f>
        <v>0.2525</v>
      </c>
      <c r="BN288" s="912">
        <f t="shared" si="2001"/>
        <v>0.16000000000000003</v>
      </c>
      <c r="BO288" s="912">
        <f t="shared" si="2002"/>
        <v>0.19</v>
      </c>
      <c r="BP288" s="912"/>
    </row>
    <row r="289" spans="2:68" collapsed="1">
      <c r="B289" t="s">
        <v>378</v>
      </c>
      <c r="H289" s="911"/>
      <c r="I289" s="911"/>
      <c r="J289" s="911"/>
      <c r="K289" s="911"/>
      <c r="L289" s="911">
        <v>0.69</v>
      </c>
      <c r="M289" s="911">
        <v>0.67</v>
      </c>
      <c r="N289" s="911">
        <v>0.65</v>
      </c>
      <c r="O289" s="911">
        <v>0.61</v>
      </c>
      <c r="P289" s="911">
        <v>0.51</v>
      </c>
      <c r="Q289" s="911">
        <v>0.51</v>
      </c>
      <c r="R289" s="911">
        <v>0.43</v>
      </c>
      <c r="S289" s="911">
        <v>0.45</v>
      </c>
      <c r="T289" s="911">
        <v>0.41</v>
      </c>
      <c r="U289" s="911">
        <v>0.42</v>
      </c>
      <c r="V289" s="911">
        <v>0.47</v>
      </c>
      <c r="W289" s="911">
        <v>0.38</v>
      </c>
      <c r="X289" s="911">
        <v>0.38</v>
      </c>
      <c r="Y289" s="911">
        <v>0.39</v>
      </c>
      <c r="Z289" s="911">
        <v>0.45</v>
      </c>
      <c r="AA289" s="911">
        <v>0.49</v>
      </c>
      <c r="AB289" s="911">
        <v>0.48</v>
      </c>
      <c r="AC289" s="911">
        <v>0.45</v>
      </c>
      <c r="AD289" s="911">
        <v>0.35</v>
      </c>
      <c r="AE289" s="911">
        <v>0.31</v>
      </c>
      <c r="AF289" s="911">
        <v>0.24</v>
      </c>
      <c r="AG289" s="911">
        <v>0.21</v>
      </c>
      <c r="AH289" s="911">
        <v>0.25</v>
      </c>
      <c r="AI289" s="911">
        <v>0.26</v>
      </c>
      <c r="AJ289" s="911">
        <v>0.28000000000000003</v>
      </c>
      <c r="AK289" s="911">
        <v>0.27</v>
      </c>
      <c r="AL289" s="911">
        <v>0.23</v>
      </c>
      <c r="AM289" s="911">
        <v>0.19</v>
      </c>
      <c r="AN289" s="911"/>
      <c r="AO289" s="911"/>
      <c r="AP289" s="911"/>
      <c r="AQ289" s="911"/>
      <c r="BG289" s="912"/>
      <c r="BH289" s="912"/>
      <c r="BI289" s="912">
        <f>+AVERAGE(L289:O289)</f>
        <v>0.65499999999999992</v>
      </c>
      <c r="BJ289" s="912">
        <f>AVERAGE(P289:S289)</f>
        <v>0.47499999999999998</v>
      </c>
      <c r="BK289" s="912">
        <f t="shared" si="1999"/>
        <v>0.41999999999999993</v>
      </c>
      <c r="BL289" s="912">
        <f t="shared" si="2000"/>
        <v>0.42749999999999999</v>
      </c>
      <c r="BM289" s="912">
        <f t="shared" ref="BM289" si="2003">+AVERAGE(AB289:AE289)</f>
        <v>0.39749999999999996</v>
      </c>
      <c r="BN289" s="912">
        <f t="shared" si="2001"/>
        <v>0.24</v>
      </c>
      <c r="BO289" s="912">
        <f t="shared" si="2002"/>
        <v>0.24249999999999999</v>
      </c>
      <c r="BP289" s="912"/>
    </row>
    <row r="290" spans="2:68" ht="10.5">
      <c r="B290" s="45"/>
      <c r="D290" s="31"/>
      <c r="E290" s="31"/>
      <c r="F290" s="31"/>
      <c r="G290" s="31"/>
      <c r="BO290" s="912"/>
    </row>
    <row r="291" spans="2:68">
      <c r="B291" s="852" t="s">
        <v>379</v>
      </c>
      <c r="D291" s="31"/>
      <c r="E291" s="31"/>
      <c r="F291" s="31"/>
      <c r="G291" s="31"/>
      <c r="BO291" s="912"/>
    </row>
    <row r="292" spans="2:68">
      <c r="B292" t="s">
        <v>373</v>
      </c>
      <c r="D292" s="911">
        <v>0.05</v>
      </c>
      <c r="E292" s="911">
        <v>0.05</v>
      </c>
      <c r="F292" s="911">
        <v>7.0000000000000007E-2</v>
      </c>
      <c r="G292" s="911">
        <v>0.09</v>
      </c>
      <c r="H292" s="911">
        <v>0.11</v>
      </c>
      <c r="I292" s="911">
        <v>0.08</v>
      </c>
      <c r="J292" s="911">
        <v>0.1</v>
      </c>
      <c r="K292" s="911">
        <v>0.06</v>
      </c>
      <c r="L292" s="911">
        <v>0.1</v>
      </c>
      <c r="M292" s="911">
        <v>0.1</v>
      </c>
      <c r="N292" s="911">
        <v>0.12</v>
      </c>
      <c r="O292" s="911">
        <v>0.08</v>
      </c>
      <c r="P292" s="911">
        <v>0.16</v>
      </c>
      <c r="Q292" s="911">
        <v>0.11</v>
      </c>
      <c r="R292" s="911">
        <v>0.14000000000000001</v>
      </c>
      <c r="S292" s="911">
        <v>0.16</v>
      </c>
      <c r="T292" s="911">
        <v>0.15</v>
      </c>
      <c r="U292" s="911">
        <v>0.18</v>
      </c>
      <c r="V292" s="911">
        <v>0.15</v>
      </c>
      <c r="W292" s="911">
        <v>7.0000000000000007E-2</v>
      </c>
      <c r="X292" s="911">
        <v>0.09</v>
      </c>
      <c r="Y292" s="911">
        <v>0.09</v>
      </c>
      <c r="Z292" s="911">
        <v>0.1</v>
      </c>
      <c r="AA292" s="911">
        <v>0.15</v>
      </c>
      <c r="AB292" s="911">
        <v>0.16</v>
      </c>
      <c r="AC292" s="911">
        <v>0.14000000000000001</v>
      </c>
      <c r="AD292" s="911">
        <v>0.14000000000000001</v>
      </c>
      <c r="AE292" s="911">
        <v>0.13</v>
      </c>
      <c r="AF292" s="911">
        <v>0.13</v>
      </c>
      <c r="AG292" s="911">
        <v>0.14000000000000001</v>
      </c>
      <c r="AH292" s="911">
        <v>0.17</v>
      </c>
      <c r="AI292" s="911">
        <v>0.14000000000000001</v>
      </c>
      <c r="AJ292" s="911">
        <v>0.14000000000000001</v>
      </c>
      <c r="AK292" s="911">
        <v>0.13</v>
      </c>
      <c r="AL292" s="911">
        <v>0.12</v>
      </c>
      <c r="AM292" s="911">
        <v>0.13</v>
      </c>
      <c r="AN292" s="911"/>
      <c r="AO292" s="911"/>
      <c r="AP292" s="911"/>
      <c r="AQ292" s="911"/>
      <c r="BG292" s="912"/>
      <c r="BH292" s="912">
        <f>+AVERAGE(H292:K292)</f>
        <v>8.7500000000000008E-2</v>
      </c>
      <c r="BI292" s="912">
        <f>+AVERAGE(L292:O292)</f>
        <v>0.1</v>
      </c>
      <c r="BJ292" s="912">
        <f>+AVERAGE(P292:S292)</f>
        <v>0.14250000000000002</v>
      </c>
      <c r="BK292" s="912">
        <f t="shared" ref="BK292:BK297" si="2004">+AVERAGE(T292:W292)</f>
        <v>0.13750000000000001</v>
      </c>
      <c r="BL292" s="912">
        <f t="shared" ref="BL292:BL297" si="2005">+AVERAGE(X292:AA292)</f>
        <v>0.10750000000000001</v>
      </c>
      <c r="BM292" s="912">
        <f>+AVERAGE(AB292:AE292)</f>
        <v>0.14250000000000002</v>
      </c>
      <c r="BN292" s="912">
        <f t="shared" ref="BN292:BN297" si="2006">AVERAGE(AF292:AI292)</f>
        <v>0.14500000000000002</v>
      </c>
      <c r="BO292" s="912">
        <f t="shared" si="2002"/>
        <v>0.13</v>
      </c>
      <c r="BP292" s="912"/>
    </row>
    <row r="293" spans="2:68">
      <c r="B293" t="s">
        <v>374</v>
      </c>
      <c r="D293" s="911">
        <v>0.7</v>
      </c>
      <c r="E293" s="911">
        <v>0.7</v>
      </c>
      <c r="F293" s="911">
        <v>0.63</v>
      </c>
      <c r="G293" s="911">
        <v>0.59</v>
      </c>
      <c r="H293" s="911">
        <v>0.54</v>
      </c>
      <c r="I293" s="911">
        <v>0.49</v>
      </c>
      <c r="J293" s="911">
        <v>0.45</v>
      </c>
      <c r="K293" s="911">
        <v>0.44</v>
      </c>
      <c r="L293" s="911">
        <v>0.42</v>
      </c>
      <c r="M293" s="911">
        <v>0.41</v>
      </c>
      <c r="N293" s="911">
        <v>0.4</v>
      </c>
      <c r="O293" s="911">
        <v>0.35</v>
      </c>
      <c r="P293" s="911">
        <v>0.35</v>
      </c>
      <c r="Q293" s="911">
        <v>0.33</v>
      </c>
      <c r="R293" s="911">
        <v>0.31</v>
      </c>
      <c r="S293" s="911">
        <v>0.34</v>
      </c>
      <c r="T293" s="911">
        <v>0.28000000000000003</v>
      </c>
      <c r="U293" s="911">
        <v>0.18</v>
      </c>
      <c r="V293" s="911">
        <v>0.27</v>
      </c>
      <c r="W293" s="911">
        <v>0.22</v>
      </c>
      <c r="X293" s="911">
        <v>0.2</v>
      </c>
      <c r="Y293" s="911">
        <v>0.2</v>
      </c>
      <c r="Z293" s="911">
        <v>0.19</v>
      </c>
      <c r="AA293" s="911">
        <v>0.2</v>
      </c>
      <c r="AB293" s="911">
        <v>0.21</v>
      </c>
      <c r="AC293" s="911">
        <v>0.19</v>
      </c>
      <c r="AD293" s="911">
        <v>0.12</v>
      </c>
      <c r="AE293" s="911">
        <v>0.12</v>
      </c>
      <c r="AF293" s="911">
        <v>0.11</v>
      </c>
      <c r="AG293" s="911">
        <v>0.18</v>
      </c>
      <c r="AH293" s="911">
        <v>0.18</v>
      </c>
      <c r="AI293" s="911">
        <v>0.17</v>
      </c>
      <c r="AJ293" s="911">
        <v>0.17</v>
      </c>
      <c r="AK293" s="911">
        <v>0.16</v>
      </c>
      <c r="AL293" s="911">
        <v>0.15</v>
      </c>
      <c r="AM293" s="911">
        <v>0.14000000000000001</v>
      </c>
      <c r="AN293" s="911"/>
      <c r="AO293" s="911"/>
      <c r="AP293" s="911"/>
      <c r="AQ293" s="911"/>
      <c r="BG293" s="912"/>
      <c r="BH293" s="912">
        <f>+AVERAGE(H293:K293)</f>
        <v>0.48</v>
      </c>
      <c r="BI293" s="912">
        <f>+AVERAGE(L293:O293)</f>
        <v>0.39500000000000002</v>
      </c>
      <c r="BJ293" s="912">
        <f>+AVERAGE(P293:S293)</f>
        <v>0.33250000000000002</v>
      </c>
      <c r="BK293" s="912">
        <f t="shared" si="2004"/>
        <v>0.23749999999999999</v>
      </c>
      <c r="BL293" s="912">
        <f t="shared" si="2005"/>
        <v>0.19750000000000001</v>
      </c>
      <c r="BM293" s="912">
        <f>+AVERAGE(AB293:AE293)</f>
        <v>0.16</v>
      </c>
      <c r="BN293" s="912">
        <f t="shared" si="2006"/>
        <v>0.16</v>
      </c>
      <c r="BO293" s="912">
        <f t="shared" si="2002"/>
        <v>0.155</v>
      </c>
      <c r="BP293" s="912"/>
    </row>
    <row r="294" spans="2:68">
      <c r="B294" t="s">
        <v>375</v>
      </c>
      <c r="D294" s="911">
        <v>-0.04</v>
      </c>
      <c r="E294" s="911">
        <v>-0.08</v>
      </c>
      <c r="F294" s="911">
        <v>0.06</v>
      </c>
      <c r="G294" s="911">
        <v>0.18</v>
      </c>
      <c r="H294" s="911">
        <v>0.03</v>
      </c>
      <c r="I294" s="911">
        <v>0.19</v>
      </c>
      <c r="J294" s="911">
        <v>0.11</v>
      </c>
      <c r="K294" s="911">
        <v>0.11</v>
      </c>
      <c r="L294" s="911">
        <v>0.1</v>
      </c>
      <c r="M294" s="911">
        <v>0.11</v>
      </c>
      <c r="N294" s="911">
        <v>0.09</v>
      </c>
      <c r="O294" s="911">
        <v>0.06</v>
      </c>
      <c r="P294" s="911">
        <v>0.17</v>
      </c>
      <c r="Q294" s="911">
        <v>0.02</v>
      </c>
      <c r="R294" s="911">
        <v>0.1</v>
      </c>
      <c r="S294" s="911">
        <v>0.08</v>
      </c>
      <c r="T294" s="911">
        <v>0.06</v>
      </c>
      <c r="U294" s="911">
        <v>0.2</v>
      </c>
      <c r="V294" s="911">
        <v>0.17</v>
      </c>
      <c r="W294" s="911">
        <v>7.0000000000000007E-2</v>
      </c>
      <c r="X294" s="911">
        <v>0.12</v>
      </c>
      <c r="Y294" s="911">
        <v>0.06</v>
      </c>
      <c r="Z294" s="911">
        <v>0.03</v>
      </c>
      <c r="AA294" s="911">
        <v>0.15</v>
      </c>
      <c r="AB294" s="911">
        <v>0.08</v>
      </c>
      <c r="AC294" s="911">
        <v>0.15</v>
      </c>
      <c r="AD294" s="911">
        <v>0.14000000000000001</v>
      </c>
      <c r="AE294" s="911">
        <v>0.12</v>
      </c>
      <c r="AF294" s="911">
        <v>0.11</v>
      </c>
      <c r="AG294" s="911">
        <v>0.03</v>
      </c>
      <c r="AH294" s="911">
        <v>0.04</v>
      </c>
      <c r="AI294" s="911">
        <v>0.06</v>
      </c>
      <c r="AJ294" s="911">
        <v>0.04</v>
      </c>
      <c r="AK294" s="911">
        <v>0.04</v>
      </c>
      <c r="AL294" s="911">
        <v>0.04</v>
      </c>
      <c r="AM294" s="911">
        <v>0.04</v>
      </c>
      <c r="AN294" s="911"/>
      <c r="AO294" s="911"/>
      <c r="AP294" s="911"/>
      <c r="AQ294" s="911"/>
      <c r="BG294" s="912"/>
      <c r="BH294" s="912">
        <f>+AVERAGE(H294:K294)</f>
        <v>0.11</v>
      </c>
      <c r="BI294" s="912">
        <f>+AVERAGE(L294:O294)</f>
        <v>9.0000000000000011E-2</v>
      </c>
      <c r="BJ294" s="912">
        <f>AVERAGE(P294:S294)</f>
        <v>9.2500000000000013E-2</v>
      </c>
      <c r="BK294" s="912">
        <f t="shared" si="2004"/>
        <v>0.125</v>
      </c>
      <c r="BL294" s="912">
        <f t="shared" si="2005"/>
        <v>0.09</v>
      </c>
      <c r="BM294" s="912">
        <f t="shared" ref="BM294" si="2007">+AVERAGE(AB294:AE294)</f>
        <v>0.1225</v>
      </c>
      <c r="BN294" s="912">
        <f t="shared" si="2006"/>
        <v>6.0000000000000005E-2</v>
      </c>
      <c r="BO294" s="912">
        <f t="shared" si="2002"/>
        <v>0.04</v>
      </c>
      <c r="BP294" s="912"/>
    </row>
    <row r="295" spans="2:68" hidden="1" outlineLevel="1">
      <c r="B295" t="s">
        <v>376</v>
      </c>
      <c r="H295" s="911"/>
      <c r="I295" s="911"/>
      <c r="J295" s="911"/>
      <c r="K295" s="911"/>
      <c r="L295" s="911"/>
      <c r="M295" s="911"/>
      <c r="N295" s="911">
        <v>0.33</v>
      </c>
      <c r="O295" s="911">
        <v>0.34</v>
      </c>
      <c r="P295" s="911">
        <v>0.33</v>
      </c>
      <c r="Q295" s="911">
        <v>0.3</v>
      </c>
      <c r="R295" s="911">
        <v>0.28999999999999998</v>
      </c>
      <c r="S295" s="911">
        <v>0.28000000000000003</v>
      </c>
      <c r="T295" s="911">
        <v>0.26</v>
      </c>
      <c r="U295" s="911">
        <v>0.26</v>
      </c>
      <c r="V295" s="911">
        <v>0.22</v>
      </c>
      <c r="W295" s="911">
        <v>0.11</v>
      </c>
      <c r="X295" s="911">
        <v>0.16</v>
      </c>
      <c r="Y295" s="911">
        <v>0.22</v>
      </c>
      <c r="Z295" s="911">
        <v>0.23</v>
      </c>
      <c r="AA295" s="911">
        <v>0.42</v>
      </c>
      <c r="AB295" s="911">
        <v>0.39</v>
      </c>
      <c r="AC295" s="911">
        <v>0.36</v>
      </c>
      <c r="AD295" s="911">
        <v>0.35</v>
      </c>
      <c r="AE295" s="911">
        <v>0.28999999999999998</v>
      </c>
      <c r="AF295" s="911">
        <v>0.21</v>
      </c>
      <c r="AG295" s="911">
        <v>0.14000000000000001</v>
      </c>
      <c r="AH295" s="911"/>
      <c r="AI295" s="911"/>
      <c r="AJ295" s="911"/>
      <c r="AK295" s="911"/>
      <c r="AL295" s="911"/>
      <c r="AM295" s="911"/>
      <c r="AN295" s="911"/>
      <c r="AO295" s="911"/>
      <c r="AP295" s="911"/>
      <c r="AQ295" s="911"/>
      <c r="BG295" s="912"/>
      <c r="BH295" s="912"/>
      <c r="BI295" s="25" t="s">
        <v>271</v>
      </c>
      <c r="BJ295" s="912">
        <f>AVERAGE(P295:S295)</f>
        <v>0.3</v>
      </c>
      <c r="BK295" s="912">
        <f t="shared" si="2004"/>
        <v>0.21249999999999999</v>
      </c>
      <c r="BL295" s="912">
        <f t="shared" si="2005"/>
        <v>0.25750000000000001</v>
      </c>
      <c r="BM295" s="912">
        <f t="shared" ref="BM295" si="2008">+AVERAGE(AB295:AE295)</f>
        <v>0.34750000000000003</v>
      </c>
      <c r="BN295" s="912">
        <f t="shared" si="2006"/>
        <v>0.17499999999999999</v>
      </c>
      <c r="BO295" s="912" t="e">
        <f t="shared" si="2002"/>
        <v>#DIV/0!</v>
      </c>
      <c r="BP295" s="912"/>
    </row>
    <row r="296" spans="2:68" collapsed="1">
      <c r="B296" t="s">
        <v>377</v>
      </c>
      <c r="D296">
        <v>0.12</v>
      </c>
      <c r="E296">
        <v>0.11</v>
      </c>
      <c r="F296">
        <v>0.09</v>
      </c>
      <c r="G296">
        <v>7.0000000000000007E-2</v>
      </c>
      <c r="H296" s="911">
        <v>0.12</v>
      </c>
      <c r="I296" s="911">
        <v>0.02</v>
      </c>
      <c r="J296" s="911">
        <v>0.12</v>
      </c>
      <c r="K296" s="911">
        <v>0.04</v>
      </c>
      <c r="L296" s="911">
        <v>0.12</v>
      </c>
      <c r="M296" s="911">
        <v>0.09</v>
      </c>
      <c r="N296" s="911">
        <v>0.14000000000000001</v>
      </c>
      <c r="O296" s="911">
        <v>0.08</v>
      </c>
      <c r="P296" s="911">
        <v>0.2</v>
      </c>
      <c r="Q296" s="911">
        <v>0.17</v>
      </c>
      <c r="R296" s="911">
        <v>0.15</v>
      </c>
      <c r="S296" s="911">
        <v>0.15</v>
      </c>
      <c r="T296" s="911">
        <v>0.16</v>
      </c>
      <c r="U296" s="911">
        <v>0.15</v>
      </c>
      <c r="V296" s="911">
        <v>0.2</v>
      </c>
      <c r="W296" s="911">
        <v>0.15</v>
      </c>
      <c r="X296" s="911">
        <v>0.18</v>
      </c>
      <c r="Y296" s="911">
        <v>0.18</v>
      </c>
      <c r="Z296" s="911">
        <v>0.22</v>
      </c>
      <c r="AA296" s="911">
        <v>0.26</v>
      </c>
      <c r="AB296" s="911">
        <v>0.28999999999999998</v>
      </c>
      <c r="AC296" s="911">
        <v>0.28999999999999998</v>
      </c>
      <c r="AD296" s="911">
        <v>0.25</v>
      </c>
      <c r="AE296" s="911">
        <v>0.24</v>
      </c>
      <c r="AF296" s="911">
        <v>0.22</v>
      </c>
      <c r="AG296" s="911">
        <v>0.2</v>
      </c>
      <c r="AH296" s="911">
        <v>0.21</v>
      </c>
      <c r="AI296" s="911">
        <v>0.21</v>
      </c>
      <c r="AJ296" s="911">
        <v>0.21</v>
      </c>
      <c r="AK296" s="911">
        <v>0.19</v>
      </c>
      <c r="AL296" s="911">
        <v>0.17</v>
      </c>
      <c r="AM296" s="911">
        <v>0.16</v>
      </c>
      <c r="AN296" s="911"/>
      <c r="AO296" s="911"/>
      <c r="AP296" s="911"/>
      <c r="AQ296" s="911"/>
      <c r="BG296" s="912"/>
      <c r="BH296" s="912">
        <f>+AVERAGE(H296:K296)</f>
        <v>7.4999999999999997E-2</v>
      </c>
      <c r="BI296" s="912">
        <f>+AVERAGE(L296:O296)</f>
        <v>0.1075</v>
      </c>
      <c r="BJ296" s="912">
        <f>AVERAGE(P296:S296)</f>
        <v>0.16750000000000001</v>
      </c>
      <c r="BK296" s="912">
        <f t="shared" si="2004"/>
        <v>0.16500000000000001</v>
      </c>
      <c r="BL296" s="912">
        <f t="shared" si="2005"/>
        <v>0.21</v>
      </c>
      <c r="BM296" s="912">
        <f t="shared" ref="BM296" si="2009">+AVERAGE(AB296:AE296)</f>
        <v>0.26749999999999996</v>
      </c>
      <c r="BN296" s="912">
        <f t="shared" si="2006"/>
        <v>0.21</v>
      </c>
      <c r="BO296" s="912">
        <f t="shared" si="2002"/>
        <v>0.18250000000000002</v>
      </c>
      <c r="BP296" s="912"/>
    </row>
    <row r="297" spans="2:68">
      <c r="B297" t="s">
        <v>378</v>
      </c>
      <c r="H297" s="911"/>
      <c r="I297" s="911"/>
      <c r="J297" s="911"/>
      <c r="K297" s="911"/>
      <c r="L297" s="911">
        <v>0.69</v>
      </c>
      <c r="M297" s="911">
        <v>0.68</v>
      </c>
      <c r="N297" s="911">
        <v>0.62</v>
      </c>
      <c r="O297" s="911">
        <v>0.56000000000000005</v>
      </c>
      <c r="P297" s="911">
        <v>0.49</v>
      </c>
      <c r="Q297" s="911">
        <v>0.5</v>
      </c>
      <c r="R297" s="911">
        <v>0.44</v>
      </c>
      <c r="S297" s="911">
        <v>0.48</v>
      </c>
      <c r="T297" s="911">
        <v>0.44</v>
      </c>
      <c r="U297" s="911">
        <v>0.45</v>
      </c>
      <c r="V297" s="911">
        <v>0.49</v>
      </c>
      <c r="W297" s="911">
        <v>0.4</v>
      </c>
      <c r="X297" s="911">
        <v>0.37</v>
      </c>
      <c r="Y297" s="911">
        <v>0.37</v>
      </c>
      <c r="Z297" s="911">
        <v>0.4</v>
      </c>
      <c r="AA297" s="911">
        <v>0.42</v>
      </c>
      <c r="AB297" s="911">
        <v>0.45</v>
      </c>
      <c r="AC297" s="911">
        <v>0.44</v>
      </c>
      <c r="AD297" s="911">
        <v>0.38</v>
      </c>
      <c r="AE297" s="911">
        <v>0.36</v>
      </c>
      <c r="AF297" s="911">
        <v>0.32</v>
      </c>
      <c r="AG297" s="911">
        <v>0.28999999999999998</v>
      </c>
      <c r="AH297" s="911">
        <v>0.28999999999999998</v>
      </c>
      <c r="AI297" s="911">
        <v>0.28000000000000003</v>
      </c>
      <c r="AJ297" s="911">
        <v>0.26</v>
      </c>
      <c r="AK297" s="911">
        <v>0.24</v>
      </c>
      <c r="AL297" s="911">
        <v>0.22</v>
      </c>
      <c r="AM297" s="911">
        <v>0.2</v>
      </c>
      <c r="AN297" s="911"/>
      <c r="AO297" s="911"/>
      <c r="AP297" s="911"/>
      <c r="AQ297" s="911"/>
      <c r="BG297" s="912"/>
      <c r="BH297" s="912"/>
      <c r="BI297" s="912">
        <f>+AVERAGE(L297:O297)</f>
        <v>0.63750000000000007</v>
      </c>
      <c r="BJ297" s="912">
        <f>AVERAGE(P297:S297)</f>
        <v>0.47749999999999998</v>
      </c>
      <c r="BK297" s="912">
        <f t="shared" si="2004"/>
        <v>0.44499999999999995</v>
      </c>
      <c r="BL297" s="912">
        <f t="shared" si="2005"/>
        <v>0.39</v>
      </c>
      <c r="BM297" s="912">
        <f>+AVERAGE(AB297:AE297)</f>
        <v>0.40749999999999997</v>
      </c>
      <c r="BN297" s="912">
        <f t="shared" si="2006"/>
        <v>0.29499999999999998</v>
      </c>
      <c r="BO297" s="912">
        <f t="shared" si="2002"/>
        <v>0.22999999999999998</v>
      </c>
      <c r="BP297" s="912"/>
    </row>
    <row r="298" spans="2:68" ht="10.5">
      <c r="B298" s="45"/>
      <c r="D298" s="31"/>
      <c r="E298" s="31"/>
      <c r="F298" s="31"/>
      <c r="G298" s="31"/>
    </row>
    <row r="299" spans="2:68">
      <c r="B299" s="852" t="s">
        <v>380</v>
      </c>
      <c r="D299" s="31"/>
      <c r="E299" s="31"/>
      <c r="F299" s="31"/>
      <c r="G299" s="31"/>
    </row>
    <row r="300" spans="2:68" collapsed="1">
      <c r="B300" t="s">
        <v>381</v>
      </c>
      <c r="D300" s="911">
        <v>0.66</v>
      </c>
      <c r="E300" s="911">
        <v>0.59</v>
      </c>
      <c r="F300" s="911">
        <v>0.56999999999999995</v>
      </c>
      <c r="G300" s="911">
        <v>0.45</v>
      </c>
      <c r="H300" s="911">
        <v>0.4</v>
      </c>
      <c r="I300" s="911">
        <v>0.37</v>
      </c>
      <c r="J300" s="911">
        <v>0.35</v>
      </c>
      <c r="K300" s="911">
        <v>0.31</v>
      </c>
      <c r="L300" s="911">
        <v>0.32</v>
      </c>
      <c r="M300" s="911">
        <v>0.3</v>
      </c>
      <c r="N300" s="911">
        <v>0.28000000000000003</v>
      </c>
      <c r="O300" s="911">
        <v>0.28999999999999998</v>
      </c>
      <c r="P300" s="911">
        <v>0.28999999999999998</v>
      </c>
      <c r="Q300" s="911">
        <v>0.27</v>
      </c>
      <c r="R300" s="911" t="s">
        <v>271</v>
      </c>
      <c r="S300" s="911">
        <v>0.23</v>
      </c>
      <c r="T300" s="911">
        <v>0.21</v>
      </c>
      <c r="U300" s="911">
        <v>0.21</v>
      </c>
      <c r="V300" s="911">
        <v>0.2</v>
      </c>
      <c r="W300" s="911">
        <v>0.15</v>
      </c>
      <c r="X300" s="911">
        <v>0.15</v>
      </c>
      <c r="Y300" s="911">
        <v>0.15</v>
      </c>
      <c r="Z300" s="911">
        <v>0.15</v>
      </c>
      <c r="AA300" s="911">
        <v>0.17</v>
      </c>
      <c r="AB300" s="911">
        <v>0.17</v>
      </c>
      <c r="AC300" s="911">
        <v>0.16</v>
      </c>
      <c r="AD300" s="911">
        <v>0.16</v>
      </c>
      <c r="AE300" s="911">
        <v>0.14000000000000001</v>
      </c>
      <c r="AF300" s="911">
        <v>0.14000000000000001</v>
      </c>
      <c r="AG300" s="911">
        <v>0.12</v>
      </c>
      <c r="AH300" s="911">
        <v>0.11</v>
      </c>
      <c r="AI300" s="911">
        <v>0.11</v>
      </c>
      <c r="AJ300" s="911">
        <v>0.1</v>
      </c>
      <c r="AK300" s="911">
        <v>0.09</v>
      </c>
      <c r="AL300" s="911">
        <v>0.08</v>
      </c>
      <c r="AM300" s="911">
        <v>7.0000000000000007E-2</v>
      </c>
      <c r="AN300" s="911"/>
      <c r="AO300" s="911"/>
      <c r="AP300" s="911"/>
      <c r="AQ300" s="911"/>
      <c r="BG300" s="912"/>
      <c r="BH300" s="912">
        <f>+AVERAGE(H300:K300)</f>
        <v>0.35750000000000004</v>
      </c>
      <c r="BI300" s="912">
        <f>+AVERAGE(L300:O300)</f>
        <v>0.29749999999999999</v>
      </c>
      <c r="BJ300" s="912">
        <f>AVERAGE(P300:S300)</f>
        <v>0.26333333333333336</v>
      </c>
      <c r="BK300" s="912">
        <f>+AVERAGE(T300:W300)</f>
        <v>0.1925</v>
      </c>
      <c r="BL300" s="912">
        <f>+AVERAGE(X300:AA300)</f>
        <v>0.155</v>
      </c>
      <c r="BM300" s="912">
        <f>+AVERAGE(AB300:AE300)</f>
        <v>0.1575</v>
      </c>
      <c r="BN300" s="912">
        <f t="shared" ref="BN300" si="2010">AVERAGE(AF300:AI300)</f>
        <v>0.12</v>
      </c>
      <c r="BO300" s="912">
        <f t="shared" ref="BO300" si="2011">AVERAGE(AJ300:AM300)</f>
        <v>8.5000000000000006E-2</v>
      </c>
      <c r="BP300" s="912"/>
    </row>
    <row r="301" spans="2:68">
      <c r="B301" t="s">
        <v>382</v>
      </c>
      <c r="D301" s="879">
        <v>18.2</v>
      </c>
      <c r="E301" s="879">
        <v>20.6</v>
      </c>
      <c r="F301" s="879">
        <v>22.2</v>
      </c>
      <c r="G301" s="879">
        <v>23.1</v>
      </c>
      <c r="H301" s="879">
        <v>24</v>
      </c>
      <c r="I301" s="879">
        <v>24.9</v>
      </c>
      <c r="J301" s="879">
        <v>26.2</v>
      </c>
      <c r="K301" s="879">
        <v>27</v>
      </c>
      <c r="L301" s="879">
        <v>28</v>
      </c>
      <c r="M301" s="879">
        <v>29.2</v>
      </c>
      <c r="N301" s="879">
        <v>30.6</v>
      </c>
      <c r="O301" s="879">
        <v>31.4</v>
      </c>
      <c r="P301" s="879">
        <v>32.5</v>
      </c>
      <c r="Q301" s="879">
        <v>33.299999999999997</v>
      </c>
      <c r="R301" s="879">
        <v>34.200000000000003</v>
      </c>
      <c r="S301" s="879">
        <v>34.799999999999997</v>
      </c>
      <c r="T301" s="879">
        <v>35.6</v>
      </c>
      <c r="U301" s="879">
        <v>37.200000000000003</v>
      </c>
      <c r="V301" s="879">
        <v>39.6</v>
      </c>
      <c r="W301" s="879">
        <v>42.7</v>
      </c>
      <c r="X301" s="879">
        <v>45.3</v>
      </c>
      <c r="Y301" s="879">
        <v>47.5</v>
      </c>
      <c r="Z301" s="879">
        <v>50.2</v>
      </c>
      <c r="AA301" s="879">
        <v>51.9</v>
      </c>
      <c r="AB301" s="879">
        <v>54.1</v>
      </c>
      <c r="AC301" s="879">
        <v>56.4</v>
      </c>
      <c r="AD301" s="879">
        <v>58.4</v>
      </c>
      <c r="AE301" s="879">
        <v>59.7</v>
      </c>
      <c r="AF301" s="879">
        <v>61.3</v>
      </c>
      <c r="AG301" s="879">
        <v>63.2</v>
      </c>
      <c r="AH301" s="879">
        <v>65.400000000000006</v>
      </c>
      <c r="AI301" s="879">
        <v>67</v>
      </c>
      <c r="AJ301" s="880">
        <f>+AF301*(1+AJ302)</f>
        <v>72.333999999999989</v>
      </c>
      <c r="AK301" s="880">
        <f>+AG301*(1+AK302)</f>
        <v>73.188774002954204</v>
      </c>
      <c r="AL301" s="880">
        <f t="shared" ref="AL301" si="2012">+AH301*(1+AL302)</f>
        <v>74.556000000000012</v>
      </c>
      <c r="AM301" s="880">
        <f t="shared" ref="AM301" si="2013">+AI301*(1+AM302)</f>
        <v>73.7</v>
      </c>
      <c r="AN301" s="879"/>
      <c r="AO301" s="879"/>
      <c r="AP301" s="879"/>
      <c r="AQ301" s="879"/>
      <c r="BG301" s="8">
        <f>+G301</f>
        <v>23.1</v>
      </c>
      <c r="BH301" s="8">
        <f>+K301</f>
        <v>27</v>
      </c>
      <c r="BI301" s="8">
        <f>+O301</f>
        <v>31.4</v>
      </c>
      <c r="BJ301" s="8">
        <f>+S301</f>
        <v>34.799999999999997</v>
      </c>
      <c r="BK301" s="8">
        <f>+W301</f>
        <v>42.7</v>
      </c>
      <c r="BL301" s="8">
        <f t="shared" ref="BL301" si="2014">+X301</f>
        <v>45.3</v>
      </c>
      <c r="BM301" s="8">
        <f>+AE301</f>
        <v>59.7</v>
      </c>
      <c r="BN301" s="8">
        <f>+AI301</f>
        <v>67</v>
      </c>
      <c r="BO301" s="8">
        <f>+AM301</f>
        <v>73.7</v>
      </c>
      <c r="BP301" s="8"/>
    </row>
    <row r="302" spans="2:68" s="3" customFormat="1">
      <c r="B302" s="13" t="s">
        <v>113</v>
      </c>
      <c r="H302" s="891">
        <f>+H301/D301-1</f>
        <v>0.31868131868131866</v>
      </c>
      <c r="I302" s="891">
        <f t="shared" ref="I302:L302" si="2015">+I301/E301-1</f>
        <v>0.20873786407766981</v>
      </c>
      <c r="J302" s="891">
        <f t="shared" si="2015"/>
        <v>0.18018018018018012</v>
      </c>
      <c r="K302" s="891">
        <f t="shared" si="2015"/>
        <v>0.16883116883116878</v>
      </c>
      <c r="L302" s="891">
        <f t="shared" si="2015"/>
        <v>0.16666666666666674</v>
      </c>
      <c r="M302" s="891">
        <f>+M301/I301-1</f>
        <v>0.17269076305220898</v>
      </c>
      <c r="N302" s="891">
        <f>+N301/J301-1</f>
        <v>0.16793893129770998</v>
      </c>
      <c r="O302" s="891">
        <f t="shared" ref="O302:AG302" si="2016">+O301/K301-1</f>
        <v>0.16296296296296298</v>
      </c>
      <c r="P302" s="891">
        <f t="shared" si="2016"/>
        <v>0.16071428571428581</v>
      </c>
      <c r="Q302" s="891">
        <f t="shared" si="2016"/>
        <v>0.1404109589041096</v>
      </c>
      <c r="R302" s="891">
        <f t="shared" si="2016"/>
        <v>0.11764705882352944</v>
      </c>
      <c r="S302" s="891">
        <f t="shared" si="2016"/>
        <v>0.10828025477707004</v>
      </c>
      <c r="T302" s="891">
        <f t="shared" si="2016"/>
        <v>9.5384615384615401E-2</v>
      </c>
      <c r="U302" s="891">
        <f t="shared" si="2016"/>
        <v>0.11711711711711725</v>
      </c>
      <c r="V302" s="891">
        <f t="shared" si="2016"/>
        <v>0.15789473684210531</v>
      </c>
      <c r="W302" s="891">
        <f t="shared" si="2016"/>
        <v>0.22701149425287381</v>
      </c>
      <c r="X302" s="891">
        <f t="shared" si="2016"/>
        <v>0.27247191011235938</v>
      </c>
      <c r="Y302" s="891">
        <f t="shared" si="2016"/>
        <v>0.2768817204301075</v>
      </c>
      <c r="Z302" s="891">
        <f t="shared" si="2016"/>
        <v>0.26767676767676774</v>
      </c>
      <c r="AA302" s="891">
        <f t="shared" si="2016"/>
        <v>0.21545667447306771</v>
      </c>
      <c r="AB302" s="891">
        <f t="shared" si="2016"/>
        <v>0.19426048565121423</v>
      </c>
      <c r="AC302" s="891">
        <f t="shared" si="2016"/>
        <v>0.18736842105263163</v>
      </c>
      <c r="AD302" s="891">
        <f t="shared" si="2016"/>
        <v>0.16334661354581659</v>
      </c>
      <c r="AE302" s="891">
        <f t="shared" si="2016"/>
        <v>0.1502890173410405</v>
      </c>
      <c r="AF302" s="891">
        <f t="shared" si="2016"/>
        <v>0.13308687615526793</v>
      </c>
      <c r="AG302" s="891">
        <f t="shared" si="2016"/>
        <v>0.12056737588652489</v>
      </c>
      <c r="AH302" s="891">
        <f t="shared" ref="AH302:AI302" si="2017">+AH301/AD301-1</f>
        <v>0.11986301369863028</v>
      </c>
      <c r="AI302" s="891">
        <f t="shared" si="2017"/>
        <v>0.12227805695142369</v>
      </c>
      <c r="AJ302" s="93">
        <v>0.18</v>
      </c>
      <c r="AK302" s="93">
        <f>78.4/67.7-1</f>
        <v>0.15805022156573112</v>
      </c>
      <c r="AL302" s="93">
        <v>0.14000000000000001</v>
      </c>
      <c r="AM302" s="93">
        <v>0.1</v>
      </c>
      <c r="AN302" s="891"/>
      <c r="AO302" s="891"/>
      <c r="AP302" s="891"/>
      <c r="AQ302" s="891"/>
      <c r="BG302" s="885"/>
      <c r="BH302" s="885">
        <f>+BH301/BG301-1</f>
        <v>0.16883116883116878</v>
      </c>
      <c r="BI302" s="885">
        <f t="shared" ref="BI302:BK302" si="2018">+BI301/BH301-1</f>
        <v>0.16296296296296298</v>
      </c>
      <c r="BJ302" s="885">
        <f t="shared" si="2018"/>
        <v>0.10828025477707004</v>
      </c>
      <c r="BK302" s="885">
        <f t="shared" si="2018"/>
        <v>0.22701149425287381</v>
      </c>
      <c r="BL302" s="885">
        <f t="shared" ref="BL302:BO302" si="2019">+BL301/BK301-1</f>
        <v>6.0889929742388604E-2</v>
      </c>
      <c r="BM302" s="885">
        <f t="shared" si="2019"/>
        <v>0.31788079470198682</v>
      </c>
      <c r="BN302" s="885">
        <f t="shared" si="2019"/>
        <v>0.12227805695142369</v>
      </c>
      <c r="BO302" s="885">
        <f t="shared" si="2019"/>
        <v>0.10000000000000009</v>
      </c>
      <c r="BP302" s="885"/>
    </row>
    <row r="303" spans="2:68" hidden="1" outlineLevel="1">
      <c r="B303" t="s">
        <v>383</v>
      </c>
      <c r="D303" s="911"/>
      <c r="E303" s="911"/>
      <c r="F303" s="911"/>
      <c r="G303" s="911">
        <v>-0.12</v>
      </c>
      <c r="H303" s="911">
        <v>-0.14000000000000001</v>
      </c>
      <c r="I303" s="911">
        <v>-0.13</v>
      </c>
      <c r="J303" s="911">
        <v>-0.13</v>
      </c>
      <c r="K303" s="911">
        <v>-0.17</v>
      </c>
      <c r="L303" s="911">
        <v>-0.17</v>
      </c>
      <c r="M303" s="911">
        <v>-0.16</v>
      </c>
      <c r="N303" s="911">
        <v>-0.15</v>
      </c>
      <c r="O303" s="911">
        <v>-0.19</v>
      </c>
      <c r="P303" s="911">
        <v>-0.12</v>
      </c>
      <c r="Q303" s="911">
        <v>-0.21</v>
      </c>
      <c r="R303" s="911">
        <v>-0.19</v>
      </c>
      <c r="S303" s="911">
        <v>-0.17</v>
      </c>
      <c r="T303" s="911">
        <v>-0.17</v>
      </c>
      <c r="U303" s="911">
        <v>-0.11</v>
      </c>
      <c r="V303" s="911">
        <v>-0.21</v>
      </c>
      <c r="W303" s="911">
        <v>-0.34</v>
      </c>
      <c r="X303" s="911">
        <v>-0.3</v>
      </c>
      <c r="Y303" s="911">
        <v>-0.26</v>
      </c>
      <c r="Z303" s="911">
        <v>-0.25</v>
      </c>
      <c r="AA303" s="911">
        <v>-0.08</v>
      </c>
      <c r="AB303" s="911">
        <v>-0.13</v>
      </c>
      <c r="AC303" s="911">
        <v>0.17</v>
      </c>
      <c r="AD303" s="911">
        <v>0.17</v>
      </c>
      <c r="AE303" s="911">
        <v>0.15</v>
      </c>
      <c r="AF303" s="926"/>
      <c r="AG303" s="911"/>
      <c r="AH303" s="911"/>
      <c r="AI303" s="911"/>
      <c r="AJ303" s="911"/>
      <c r="AK303" s="911"/>
      <c r="AL303" s="911"/>
      <c r="AM303" s="911"/>
      <c r="AN303" s="911"/>
      <c r="AO303" s="911"/>
      <c r="AP303" s="911"/>
      <c r="AQ303" s="911"/>
      <c r="BG303" s="912"/>
      <c r="BH303" s="912">
        <f>+AVERAGE(H303:K303)</f>
        <v>-0.14250000000000002</v>
      </c>
      <c r="BI303" s="912">
        <f>+AVERAGE(L303:O303)</f>
        <v>-0.16749999999999998</v>
      </c>
      <c r="BJ303" s="912">
        <f>+AVERAGE(P303:S303)</f>
        <v>-0.17250000000000001</v>
      </c>
      <c r="BK303" s="912">
        <f>+AVERAGE(T303:W303)</f>
        <v>-0.20750000000000002</v>
      </c>
      <c r="BL303" s="912">
        <f>+AVERAGE(X303:AA303)</f>
        <v>-0.2225</v>
      </c>
      <c r="BM303" s="912">
        <f>+AVERAGE(AB303:AE303)</f>
        <v>0.09</v>
      </c>
      <c r="BN303" s="912"/>
      <c r="BO303" s="912"/>
      <c r="BP303" s="912"/>
    </row>
    <row r="304" spans="2:68" hidden="1" outlineLevel="1">
      <c r="B304" s="12" t="s">
        <v>270</v>
      </c>
      <c r="D304" s="911">
        <v>-0.08</v>
      </c>
      <c r="E304" s="911">
        <v>-0.08</v>
      </c>
      <c r="F304" s="911">
        <v>-0.11</v>
      </c>
      <c r="G304" s="911">
        <v>-0.09</v>
      </c>
      <c r="H304" s="911">
        <v>-0.13</v>
      </c>
      <c r="I304" s="911">
        <v>-0.12</v>
      </c>
      <c r="J304" s="911">
        <v>-0.13</v>
      </c>
      <c r="K304" s="911">
        <v>-0.16</v>
      </c>
      <c r="L304" s="911">
        <v>-0.17</v>
      </c>
      <c r="M304" s="911">
        <v>-0.16</v>
      </c>
      <c r="N304" s="911">
        <v>-0.16</v>
      </c>
      <c r="O304" s="911">
        <v>-0.2</v>
      </c>
      <c r="P304" s="911">
        <v>-0.13</v>
      </c>
      <c r="Q304" s="911">
        <v>-0.21</v>
      </c>
      <c r="R304" s="911">
        <v>-0.18</v>
      </c>
      <c r="S304" s="911">
        <f>--15%</f>
        <v>0.15</v>
      </c>
      <c r="T304" s="911">
        <v>-0.15</v>
      </c>
      <c r="U304" s="911">
        <v>-0.1</v>
      </c>
      <c r="V304" s="911">
        <v>-0.2</v>
      </c>
      <c r="W304" s="911">
        <v>-0.33</v>
      </c>
      <c r="X304" s="911">
        <v>-0.3</v>
      </c>
      <c r="Y304" s="911">
        <v>-0.27</v>
      </c>
      <c r="Z304" s="911">
        <v>-0.27</v>
      </c>
      <c r="AA304" s="911">
        <v>-0.11</v>
      </c>
      <c r="AB304" s="911">
        <v>-0.14000000000000001</v>
      </c>
      <c r="AC304" s="911">
        <v>0.17</v>
      </c>
      <c r="AD304" s="911">
        <v>0.2</v>
      </c>
      <c r="AE304" s="911">
        <v>0.19</v>
      </c>
      <c r="AF304" s="926"/>
      <c r="AG304" s="911"/>
      <c r="AH304" s="911"/>
      <c r="AI304" s="911"/>
      <c r="AJ304" s="911"/>
      <c r="AK304" s="911"/>
      <c r="AL304" s="911"/>
      <c r="AM304" s="911"/>
      <c r="AN304" s="911"/>
      <c r="AO304" s="911"/>
      <c r="AP304" s="911"/>
      <c r="AQ304" s="911"/>
      <c r="BG304" s="912"/>
      <c r="BH304" s="912">
        <f>+AVERAGE(H304:K304)</f>
        <v>-0.13500000000000001</v>
      </c>
      <c r="BI304" s="912">
        <f>+AVERAGE(L304:O304)</f>
        <v>-0.17249999999999999</v>
      </c>
      <c r="BJ304" s="912">
        <f>+AVERAGE(P304:S304)</f>
        <v>-9.2499999999999999E-2</v>
      </c>
      <c r="BK304" s="912">
        <f>+AVERAGE(T304:W304)</f>
        <v>-0.19500000000000001</v>
      </c>
      <c r="BL304" s="912">
        <f>+AVERAGE(X304:AA304)</f>
        <v>-0.23750000000000002</v>
      </c>
      <c r="BM304" s="912">
        <f>+AVERAGE(AB304:AE304)</f>
        <v>0.10500000000000001</v>
      </c>
      <c r="BN304" s="912"/>
      <c r="BO304" s="912"/>
      <c r="BP304" s="912"/>
    </row>
    <row r="305" spans="2:68" hidden="1" outlineLevel="1">
      <c r="B305" s="843"/>
      <c r="J305" s="929"/>
      <c r="K305" s="929"/>
      <c r="L305" s="929"/>
      <c r="M305" s="929"/>
      <c r="N305" s="929"/>
      <c r="AE305" s="911"/>
      <c r="BG305" s="912"/>
      <c r="BH305" s="912"/>
      <c r="BI305" s="912"/>
      <c r="BJ305" s="912"/>
      <c r="BK305" s="912"/>
      <c r="BL305" s="912"/>
      <c r="BM305" s="912"/>
      <c r="BN305" s="912"/>
      <c r="BO305" s="912"/>
      <c r="BP305" s="912"/>
    </row>
    <row r="306" spans="2:68" hidden="1" outlineLevel="1">
      <c r="B306" t="s">
        <v>384</v>
      </c>
      <c r="J306" s="929"/>
      <c r="K306" s="929"/>
      <c r="L306" s="929"/>
      <c r="M306" s="929"/>
      <c r="N306" s="929"/>
      <c r="R306">
        <f>+V306/(1+V300)</f>
        <v>215</v>
      </c>
      <c r="V306">
        <v>258</v>
      </c>
      <c r="BG306" s="912"/>
      <c r="BH306" s="912"/>
      <c r="BI306" s="912"/>
      <c r="BJ306" s="912"/>
      <c r="BK306" s="912"/>
      <c r="BL306" s="912"/>
      <c r="BM306" s="912"/>
      <c r="BN306" s="912"/>
      <c r="BO306" s="912"/>
      <c r="BP306" s="912"/>
    </row>
    <row r="307" spans="2:68" collapsed="1"/>
    <row r="308" spans="2:68" ht="10.5">
      <c r="B308" s="45" t="s">
        <v>385</v>
      </c>
    </row>
    <row r="309" spans="2:68">
      <c r="B309" s="3" t="s">
        <v>386</v>
      </c>
    </row>
    <row r="310" spans="2:68">
      <c r="B310" s="3"/>
    </row>
    <row r="311" spans="2:68">
      <c r="B311" t="s">
        <v>86</v>
      </c>
      <c r="H311" s="879"/>
      <c r="I311" s="879">
        <v>228</v>
      </c>
      <c r="J311" s="879">
        <v>976</v>
      </c>
      <c r="K311" s="879">
        <v>1067</v>
      </c>
      <c r="L311" s="879">
        <v>1148</v>
      </c>
      <c r="M311" s="879">
        <v>1312</v>
      </c>
      <c r="N311" s="879">
        <v>1335</v>
      </c>
      <c r="O311" s="879">
        <v>1464</v>
      </c>
      <c r="P311" s="879">
        <f t="shared" ref="P311:V311" si="2020">+P676</f>
        <v>1530</v>
      </c>
      <c r="Q311" s="879">
        <f t="shared" si="2020"/>
        <v>1693</v>
      </c>
      <c r="R311" s="879">
        <f t="shared" si="2020"/>
        <v>1696</v>
      </c>
      <c r="S311" s="879">
        <f t="shared" si="2020"/>
        <v>1835</v>
      </c>
      <c r="T311" s="879">
        <f t="shared" si="2020"/>
        <v>1909</v>
      </c>
      <c r="U311" s="879">
        <f t="shared" si="2020"/>
        <v>2102</v>
      </c>
      <c r="V311" s="879">
        <f t="shared" si="2020"/>
        <v>2050</v>
      </c>
      <c r="W311" s="880">
        <f>+W341</f>
        <v>2016</v>
      </c>
      <c r="X311" s="880">
        <f t="shared" ref="X311:AG311" si="2021">+X341</f>
        <v>2206</v>
      </c>
      <c r="Y311" s="880">
        <f t="shared" si="2021"/>
        <v>2577</v>
      </c>
      <c r="Z311" s="880">
        <f t="shared" si="2021"/>
        <v>2562</v>
      </c>
      <c r="AA311" s="880">
        <f t="shared" si="2021"/>
        <v>2944</v>
      </c>
      <c r="AB311" s="880">
        <f t="shared" si="2021"/>
        <v>3136</v>
      </c>
      <c r="AC311" s="880">
        <f t="shared" si="2021"/>
        <v>3531</v>
      </c>
      <c r="AD311" s="880">
        <f t="shared" si="2021"/>
        <v>3437</v>
      </c>
      <c r="AE311" s="880">
        <f t="shared" si="2021"/>
        <v>3712</v>
      </c>
      <c r="AF311" s="880">
        <f t="shared" si="2021"/>
        <v>3663</v>
      </c>
      <c r="AG311" s="880">
        <f t="shared" si="2021"/>
        <v>3876</v>
      </c>
      <c r="AH311" s="880">
        <f>+AD311*(1+AH312)</f>
        <v>3711.96</v>
      </c>
      <c r="AI311" s="880">
        <f t="shared" ref="AI311:AJ311" si="2022">+AE311*(1+AI312)</f>
        <v>3897.6000000000004</v>
      </c>
      <c r="AJ311" s="880">
        <f t="shared" si="2022"/>
        <v>3956.0400000000004</v>
      </c>
      <c r="AK311" s="880">
        <f t="shared" ref="AK311" si="2023">+AG311*(1+AK312)</f>
        <v>4224.84</v>
      </c>
      <c r="AL311" s="880">
        <f t="shared" ref="AL311" si="2024">+AH311*(1+AL312)</f>
        <v>4083.1560000000004</v>
      </c>
      <c r="AM311" s="880">
        <f t="shared" ref="AM311" si="2025">+AI311*(1+AM312)</f>
        <v>4287.3600000000006</v>
      </c>
      <c r="AN311" s="879"/>
      <c r="AO311" s="879"/>
      <c r="AP311" s="879"/>
      <c r="AQ311" s="879"/>
      <c r="BH311" s="8">
        <f>+SUM(H311:K311)</f>
        <v>2271</v>
      </c>
      <c r="BI311" s="8">
        <f>+SUM(L311:O311)</f>
        <v>5259</v>
      </c>
      <c r="BJ311" s="8">
        <f>+SUM(P311:S311)</f>
        <v>6754</v>
      </c>
      <c r="BK311" s="8">
        <f>SUM(T311:W311)</f>
        <v>8077</v>
      </c>
      <c r="BL311" s="8">
        <f>SUM(X311:AA311)</f>
        <v>10289</v>
      </c>
      <c r="BM311" s="8">
        <f>SUM(AB311:AE311)</f>
        <v>13816</v>
      </c>
      <c r="BN311" s="8">
        <f>SUM(AF311:AI311)</f>
        <v>15148.56</v>
      </c>
      <c r="BO311" s="8">
        <f>+SUM(AJ311:AM311)</f>
        <v>16551.396000000001</v>
      </c>
      <c r="BP311" s="8"/>
    </row>
    <row r="312" spans="2:68" s="3" customFormat="1">
      <c r="B312" s="15" t="s">
        <v>113</v>
      </c>
      <c r="H312" s="931"/>
      <c r="I312" s="931"/>
      <c r="J312" s="931"/>
      <c r="K312" s="931"/>
      <c r="L312" s="931"/>
      <c r="M312" s="14" t="s">
        <v>271</v>
      </c>
      <c r="N312" s="14">
        <f>+N311/J311-1</f>
        <v>0.36782786885245899</v>
      </c>
      <c r="O312" s="14">
        <f>+O311/K311-1</f>
        <v>0.37207122774133072</v>
      </c>
      <c r="P312" s="14">
        <f>+P311/L311-1</f>
        <v>0.33275261324041816</v>
      </c>
      <c r="Q312" s="14">
        <f t="shared" ref="Q312:V312" si="2026">+Q311/M311-1</f>
        <v>0.29039634146341453</v>
      </c>
      <c r="R312" s="14">
        <f t="shared" si="2026"/>
        <v>0.27041198501872654</v>
      </c>
      <c r="S312" s="14">
        <f t="shared" si="2026"/>
        <v>0.25341530054644812</v>
      </c>
      <c r="T312" s="14">
        <f t="shared" si="2026"/>
        <v>0.2477124183006536</v>
      </c>
      <c r="U312" s="14">
        <f t="shared" si="2026"/>
        <v>0.24158298877731843</v>
      </c>
      <c r="V312" s="14">
        <f t="shared" si="2026"/>
        <v>0.20872641509433953</v>
      </c>
      <c r="W312" s="22">
        <f>+W287</f>
        <v>0.1</v>
      </c>
      <c r="X312" s="22">
        <f>+X287</f>
        <v>0.16</v>
      </c>
      <c r="Y312" s="22">
        <v>0.23</v>
      </c>
      <c r="Z312" s="22">
        <v>0.25</v>
      </c>
      <c r="AA312" s="22">
        <v>0.46</v>
      </c>
      <c r="AB312" s="22">
        <v>0.42</v>
      </c>
      <c r="AC312" s="22">
        <v>0.37</v>
      </c>
      <c r="AD312" s="22">
        <v>0.34</v>
      </c>
      <c r="AE312" s="22">
        <v>0.26</v>
      </c>
      <c r="AF312" s="22">
        <v>0.17</v>
      </c>
      <c r="AG312" s="22">
        <v>0.1</v>
      </c>
      <c r="AH312" s="22">
        <v>0.08</v>
      </c>
      <c r="AI312" s="22">
        <v>0.05</v>
      </c>
      <c r="AJ312" s="22">
        <v>0.08</v>
      </c>
      <c r="AK312" s="22">
        <v>0.09</v>
      </c>
      <c r="AL312" s="22">
        <v>0.1</v>
      </c>
      <c r="AM312" s="22">
        <v>0.1</v>
      </c>
      <c r="AN312" s="14"/>
      <c r="AO312" s="14"/>
      <c r="AP312" s="14"/>
      <c r="AQ312" s="14"/>
      <c r="BI312" s="14">
        <f>+IFERROR(BI311/BH311-1,"n/a ")</f>
        <v>1.3157199471598413</v>
      </c>
      <c r="BJ312" s="14">
        <f>+IFERROR(BJ311/BI311-1,"n/a ")</f>
        <v>0.28427457691576352</v>
      </c>
      <c r="BK312" s="14">
        <f>+IFERROR(BK311/BJ311-1,"n/a ")</f>
        <v>0.19588392063962101</v>
      </c>
      <c r="BL312" s="14">
        <f t="shared" ref="BL312:BN312" si="2027">+IFERROR(BL311/BK311-1,"n/a ")</f>
        <v>0.27386405843753869</v>
      </c>
      <c r="BM312" s="14">
        <f t="shared" si="2027"/>
        <v>0.34279327437068718</v>
      </c>
      <c r="BN312" s="14">
        <f t="shared" si="2027"/>
        <v>9.64504921829763E-2</v>
      </c>
      <c r="BO312" s="14">
        <f t="shared" ref="BO312" si="2028">+IFERROR(BO311/BN311-1,"n/a ")</f>
        <v>9.260523772556617E-2</v>
      </c>
      <c r="BP312" s="14"/>
    </row>
    <row r="313" spans="2:68" s="3" customFormat="1">
      <c r="B313" s="15" t="s">
        <v>270</v>
      </c>
      <c r="H313" s="931"/>
      <c r="I313" s="931"/>
      <c r="J313" s="931"/>
      <c r="K313" s="931"/>
      <c r="L313" s="931"/>
      <c r="M313" s="14" t="s">
        <v>271</v>
      </c>
      <c r="N313" s="22">
        <f t="shared" ref="N313:X313" si="2029">+N295</f>
        <v>0.33</v>
      </c>
      <c r="O313" s="22">
        <f t="shared" si="2029"/>
        <v>0.34</v>
      </c>
      <c r="P313" s="22">
        <f t="shared" si="2029"/>
        <v>0.33</v>
      </c>
      <c r="Q313" s="22">
        <f t="shared" si="2029"/>
        <v>0.3</v>
      </c>
      <c r="R313" s="22">
        <f t="shared" si="2029"/>
        <v>0.28999999999999998</v>
      </c>
      <c r="S313" s="22">
        <f t="shared" si="2029"/>
        <v>0.28000000000000003</v>
      </c>
      <c r="T313" s="22">
        <f t="shared" si="2029"/>
        <v>0.26</v>
      </c>
      <c r="U313" s="22">
        <f t="shared" si="2029"/>
        <v>0.26</v>
      </c>
      <c r="V313" s="22">
        <f t="shared" si="2029"/>
        <v>0.22</v>
      </c>
      <c r="W313" s="22">
        <f t="shared" si="2029"/>
        <v>0.11</v>
      </c>
      <c r="X313" s="22">
        <f t="shared" si="2029"/>
        <v>0.16</v>
      </c>
      <c r="Y313" s="22">
        <v>0.22</v>
      </c>
      <c r="Z313" s="22">
        <v>0.23</v>
      </c>
      <c r="AA313" s="22">
        <v>0.42</v>
      </c>
      <c r="AB313" s="22">
        <v>0.39</v>
      </c>
      <c r="AC313" s="22">
        <v>0.36</v>
      </c>
      <c r="AD313" s="22">
        <v>0.35</v>
      </c>
      <c r="AE313" s="22">
        <v>0.28999999999999998</v>
      </c>
      <c r="AF313" s="22">
        <v>0.21</v>
      </c>
      <c r="AG313" s="22">
        <v>0.14000000000000001</v>
      </c>
      <c r="AH313" s="22">
        <v>0.1</v>
      </c>
      <c r="AI313" s="22">
        <v>7.0000000000000007E-2</v>
      </c>
      <c r="AJ313" s="22">
        <v>0.08</v>
      </c>
      <c r="AK313" s="22">
        <v>0.08</v>
      </c>
      <c r="AL313" s="22">
        <v>0.09</v>
      </c>
      <c r="AM313" s="22">
        <v>0.09</v>
      </c>
      <c r="AN313" s="904"/>
      <c r="AO313" s="904"/>
      <c r="AP313" s="904"/>
      <c r="AQ313" s="904"/>
      <c r="BI313" s="23" t="s">
        <v>271</v>
      </c>
      <c r="BJ313" s="21">
        <f>+AVERAGE(P313:S313)</f>
        <v>0.3</v>
      </c>
      <c r="BK313" s="21">
        <f>+AVERAGE(T313:W313)</f>
        <v>0.21249999999999999</v>
      </c>
      <c r="BL313" s="21">
        <f>SUMPRODUCT(X313:AA313,T311:W311)/BK311</f>
        <v>0.25827658784202057</v>
      </c>
      <c r="BM313" s="21">
        <f>SUMPRODUCT(AB313:AE313,X311:AA311)/BL311</f>
        <v>0.34391291670716295</v>
      </c>
      <c r="BN313" s="21">
        <f>SUMPRODUCT(AF313:AI313,AB311:AE311)/BM311</f>
        <v>0.12713086276780544</v>
      </c>
      <c r="BO313" s="21">
        <f>SUMPRODUCT(AJ313:AM313,AF311:AI311)/BN311</f>
        <v>8.5023289342353328E-2</v>
      </c>
    </row>
    <row r="314" spans="2:68" s="3" customFormat="1">
      <c r="B314" s="15"/>
      <c r="H314" s="931"/>
      <c r="I314" s="931"/>
      <c r="J314" s="931"/>
      <c r="K314" s="931"/>
      <c r="L314" s="931"/>
      <c r="M314" s="933"/>
      <c r="N314" s="904"/>
      <c r="O314" s="904"/>
      <c r="P314" s="904"/>
      <c r="Q314" s="904"/>
      <c r="R314" s="904"/>
      <c r="S314" s="904"/>
      <c r="T314" s="904"/>
      <c r="U314" s="904"/>
      <c r="V314" s="904"/>
      <c r="W314" s="904"/>
      <c r="X314" s="904"/>
      <c r="Y314" s="904"/>
      <c r="Z314" s="904"/>
      <c r="AA314" s="904"/>
      <c r="AB314" s="904"/>
      <c r="AC314" s="904"/>
      <c r="AD314" s="904"/>
      <c r="AE314" s="904"/>
      <c r="AF314" s="904"/>
      <c r="AG314" s="904"/>
      <c r="AH314" s="904"/>
      <c r="AI314" s="904"/>
      <c r="AJ314" s="904"/>
      <c r="AK314" s="904"/>
      <c r="AL314" s="904"/>
      <c r="AM314" s="904"/>
      <c r="AN314" s="904"/>
      <c r="AO314" s="904"/>
      <c r="AP314" s="904"/>
      <c r="AQ314" s="904"/>
      <c r="BI314" s="23"/>
      <c r="BJ314" s="21"/>
      <c r="BK314" s="21"/>
      <c r="BL314" s="21"/>
      <c r="BM314" s="21"/>
    </row>
    <row r="315" spans="2:68">
      <c r="B315" t="s">
        <v>387</v>
      </c>
      <c r="J315" s="879"/>
      <c r="K315" s="879"/>
      <c r="L315" s="879"/>
      <c r="M315" s="929" t="s">
        <v>388</v>
      </c>
      <c r="N315" s="929" t="s">
        <v>389</v>
      </c>
      <c r="O315" s="911">
        <v>0.41</v>
      </c>
      <c r="P315" s="911">
        <v>0.34</v>
      </c>
      <c r="Q315" s="911">
        <v>0.3</v>
      </c>
      <c r="R315" s="911">
        <v>0.24</v>
      </c>
      <c r="S315" s="911">
        <v>0.22</v>
      </c>
      <c r="T315" s="911">
        <v>0.22</v>
      </c>
      <c r="U315" s="911">
        <v>0.25</v>
      </c>
      <c r="V315" s="911">
        <v>0.26</v>
      </c>
      <c r="W315" s="929">
        <v>0.27</v>
      </c>
      <c r="X315" s="929">
        <v>0.31</v>
      </c>
      <c r="Y315" s="929">
        <v>0.3</v>
      </c>
      <c r="Z315" s="929">
        <v>0.28999999999999998</v>
      </c>
      <c r="AA315" s="929">
        <v>0.3</v>
      </c>
      <c r="AB315" s="929">
        <v>0.19</v>
      </c>
      <c r="AC315" s="929">
        <v>0.22</v>
      </c>
      <c r="AD315" s="929">
        <v>0.22</v>
      </c>
      <c r="AE315" s="929">
        <v>0.22</v>
      </c>
      <c r="AF315" s="929">
        <v>0.24</v>
      </c>
      <c r="AG315" s="929">
        <v>0.18</v>
      </c>
      <c r="AH315" s="929">
        <v>0.15</v>
      </c>
      <c r="AI315" s="929">
        <v>0.12</v>
      </c>
      <c r="AJ315" s="929">
        <v>0.12</v>
      </c>
      <c r="AK315" s="929">
        <v>0.12</v>
      </c>
      <c r="AL315" s="929">
        <v>0.11</v>
      </c>
      <c r="AM315" s="929">
        <v>0.13</v>
      </c>
      <c r="AN315" s="929"/>
      <c r="AO315" s="929"/>
      <c r="AP315" s="929"/>
      <c r="AQ315" s="929"/>
      <c r="BI315" s="41" t="s">
        <v>271</v>
      </c>
      <c r="BJ315" s="900">
        <f>AVERAGE(P315:S315)</f>
        <v>0.27500000000000002</v>
      </c>
      <c r="BK315" s="912">
        <f>+AVERAGE(T315:W315)</f>
        <v>0.25</v>
      </c>
      <c r="BL315" s="912">
        <f>+AVERAGE(X315:AA315)</f>
        <v>0.3</v>
      </c>
      <c r="BM315" s="900">
        <f>+AVERAGE(AB315:AE315)</f>
        <v>0.21249999999999999</v>
      </c>
      <c r="BN315" s="900">
        <f>+AVERAGE(AF315:AI315)</f>
        <v>0.17249999999999999</v>
      </c>
      <c r="BO315" s="900">
        <f>+AVERAGE(AJ315:AM315)</f>
        <v>0.12</v>
      </c>
      <c r="BP315" s="900"/>
    </row>
    <row r="317" spans="2:68" ht="11.45" hidden="1" outlineLevel="1">
      <c r="B317" t="s">
        <v>390</v>
      </c>
      <c r="I317" s="879">
        <v>72</v>
      </c>
      <c r="J317" s="879">
        <v>218</v>
      </c>
      <c r="K317" s="879">
        <v>217</v>
      </c>
      <c r="L317" s="879">
        <v>218</v>
      </c>
      <c r="M317" s="879">
        <v>222</v>
      </c>
      <c r="N317" s="879">
        <v>224</v>
      </c>
      <c r="O317" s="879">
        <v>224</v>
      </c>
      <c r="P317" s="925"/>
      <c r="Q317" s="925"/>
      <c r="R317" s="925"/>
      <c r="S317" s="925"/>
      <c r="T317" s="925"/>
      <c r="U317" s="925"/>
      <c r="V317" s="925"/>
      <c r="W317" s="925"/>
      <c r="X317" s="925"/>
      <c r="Y317" s="925"/>
      <c r="Z317" s="925"/>
      <c r="AA317" s="925"/>
      <c r="AB317" s="925"/>
      <c r="AC317" s="925"/>
      <c r="AD317" s="925"/>
      <c r="AE317" s="925"/>
      <c r="AF317" s="925"/>
      <c r="AG317" s="879"/>
      <c r="AH317" s="879"/>
      <c r="AI317" s="879"/>
      <c r="AJ317" s="879"/>
      <c r="AK317" s="879"/>
      <c r="AL317" s="879"/>
      <c r="AM317" s="879"/>
      <c r="AN317" s="879"/>
      <c r="AO317" s="879"/>
      <c r="AP317" s="879"/>
      <c r="AQ317" s="879"/>
      <c r="BH317" s="8">
        <f>+SUM(H317:K317)</f>
        <v>507</v>
      </c>
      <c r="BI317" s="8">
        <f>+SUM(L317:O317)</f>
        <v>888</v>
      </c>
      <c r="BJ317" s="927"/>
      <c r="BK317" s="927"/>
      <c r="BL317" s="927"/>
      <c r="BM317" s="927"/>
    </row>
    <row r="318" spans="2:68" ht="11.45" hidden="1" outlineLevel="1">
      <c r="B318" t="s">
        <v>391</v>
      </c>
      <c r="I318" s="905">
        <v>47</v>
      </c>
      <c r="J318" s="905">
        <v>178</v>
      </c>
      <c r="K318" s="905">
        <v>186</v>
      </c>
      <c r="L318" s="905">
        <v>193</v>
      </c>
      <c r="M318" s="905">
        <v>210</v>
      </c>
      <c r="N318" s="905">
        <v>216</v>
      </c>
      <c r="O318" s="905">
        <v>229</v>
      </c>
      <c r="P318" s="927"/>
      <c r="Q318" s="928"/>
      <c r="R318" s="928" t="s">
        <v>369</v>
      </c>
      <c r="S318" s="927"/>
      <c r="T318" s="927"/>
      <c r="U318" s="927"/>
      <c r="V318" s="927"/>
      <c r="W318" s="927"/>
      <c r="X318" s="927"/>
      <c r="Y318" s="927"/>
      <c r="Z318" s="927"/>
      <c r="AA318" s="927"/>
      <c r="AB318" s="927"/>
      <c r="AC318" s="927"/>
      <c r="AD318" s="927"/>
      <c r="AE318" s="927"/>
      <c r="AF318" s="927"/>
      <c r="AG318" s="905"/>
      <c r="AH318" s="905"/>
      <c r="AI318" s="905"/>
      <c r="AJ318" s="905"/>
      <c r="AK318" s="905"/>
      <c r="AL318" s="905"/>
      <c r="AM318" s="905"/>
      <c r="AN318" s="905"/>
      <c r="AO318" s="905"/>
      <c r="AP318" s="905"/>
      <c r="AQ318" s="905"/>
      <c r="BH318" s="10">
        <f>+SUM(H318:K318)</f>
        <v>411</v>
      </c>
      <c r="BI318" s="10">
        <f>+SUM(L318:O318)</f>
        <v>848</v>
      </c>
      <c r="BJ318" s="927"/>
      <c r="BK318" s="927"/>
      <c r="BL318" s="927"/>
      <c r="BM318" s="927"/>
    </row>
    <row r="319" spans="2:68" ht="11.45" hidden="1" outlineLevel="1">
      <c r="B319" s="12" t="s">
        <v>392</v>
      </c>
      <c r="I319" s="8">
        <f>SUM(I317:I318)</f>
        <v>119</v>
      </c>
      <c r="J319" s="8">
        <f>SUM(J317:J318)</f>
        <v>396</v>
      </c>
      <c r="K319" s="8">
        <f t="shared" ref="K319:O319" si="2030">SUM(K317:K318)</f>
        <v>403</v>
      </c>
      <c r="L319" s="8">
        <f t="shared" si="2030"/>
        <v>411</v>
      </c>
      <c r="M319" s="8">
        <f t="shared" si="2030"/>
        <v>432</v>
      </c>
      <c r="N319" s="8">
        <f t="shared" si="2030"/>
        <v>440</v>
      </c>
      <c r="O319" s="8">
        <f t="shared" si="2030"/>
        <v>453</v>
      </c>
      <c r="P319" s="926"/>
      <c r="Q319" s="926"/>
      <c r="R319" s="926"/>
      <c r="S319" s="926"/>
      <c r="T319" s="926"/>
      <c r="U319" s="926"/>
      <c r="V319" s="926"/>
      <c r="W319" s="926"/>
      <c r="X319" s="926"/>
      <c r="Y319" s="926"/>
      <c r="Z319" s="926"/>
      <c r="AA319" s="926"/>
      <c r="AB319" s="926"/>
      <c r="AC319" s="926"/>
      <c r="AD319" s="926"/>
      <c r="AE319" s="926"/>
      <c r="AF319" s="926"/>
      <c r="AG319" s="8"/>
      <c r="AH319" s="8"/>
      <c r="AI319" s="8"/>
      <c r="AJ319" s="8"/>
      <c r="AK319" s="8"/>
      <c r="AL319" s="8"/>
      <c r="AM319" s="8"/>
      <c r="AN319" s="8"/>
      <c r="AO319" s="8"/>
      <c r="AP319" s="8"/>
      <c r="AQ319" s="8"/>
      <c r="BH319" s="8">
        <f>+SUM(H319:K319)</f>
        <v>918</v>
      </c>
      <c r="BI319" s="8">
        <f>+SUM(L319:O319)</f>
        <v>1736</v>
      </c>
      <c r="BJ319" s="927"/>
      <c r="BK319" s="927"/>
      <c r="BL319" s="927"/>
      <c r="BM319" s="927"/>
    </row>
    <row r="320" spans="2:68" ht="11.45" hidden="1" outlineLevel="1">
      <c r="P320" s="934"/>
      <c r="Q320" s="934"/>
      <c r="R320" s="934"/>
      <c r="S320" s="934"/>
      <c r="T320" s="934"/>
      <c r="U320" s="934"/>
      <c r="V320" s="934"/>
      <c r="W320" s="934"/>
      <c r="X320" s="934"/>
      <c r="Y320" s="934"/>
      <c r="Z320" s="934"/>
      <c r="AA320" s="934"/>
      <c r="AB320" s="934"/>
      <c r="AC320" s="934"/>
      <c r="AD320" s="934"/>
      <c r="AE320" s="934"/>
      <c r="AF320" s="934"/>
      <c r="BJ320" s="927"/>
      <c r="BK320" s="927"/>
      <c r="BL320" s="927"/>
      <c r="BM320" s="927"/>
    </row>
    <row r="321" spans="2:69" ht="11.45" hidden="1" outlineLevel="1">
      <c r="B321" t="s">
        <v>393</v>
      </c>
      <c r="I321" s="8">
        <f>+I311-I319</f>
        <v>109</v>
      </c>
      <c r="J321" s="8">
        <f>+J311-J319</f>
        <v>580</v>
      </c>
      <c r="K321" s="8">
        <f t="shared" ref="K321:N321" si="2031">+K311-K319</f>
        <v>664</v>
      </c>
      <c r="L321" s="8">
        <f t="shared" si="2031"/>
        <v>737</v>
      </c>
      <c r="M321" s="8">
        <f t="shared" si="2031"/>
        <v>880</v>
      </c>
      <c r="N321" s="8">
        <f t="shared" si="2031"/>
        <v>895</v>
      </c>
      <c r="O321" s="8">
        <f t="shared" ref="O321" si="2032">+O311-O319</f>
        <v>1011</v>
      </c>
      <c r="P321" s="926"/>
      <c r="Q321" s="926"/>
      <c r="R321" s="926"/>
      <c r="S321" s="926"/>
      <c r="T321" s="926"/>
      <c r="U321" s="926"/>
      <c r="V321" s="926"/>
      <c r="W321" s="926"/>
      <c r="X321" s="926"/>
      <c r="Y321" s="926"/>
      <c r="Z321" s="926"/>
      <c r="AA321" s="926"/>
      <c r="AB321" s="926"/>
      <c r="AC321" s="926"/>
      <c r="AD321" s="926"/>
      <c r="AE321" s="926"/>
      <c r="AF321" s="926"/>
      <c r="AG321" s="8"/>
      <c r="AH321" s="8"/>
      <c r="AI321" s="8"/>
      <c r="AJ321" s="8"/>
      <c r="AK321" s="8"/>
      <c r="AL321" s="8"/>
      <c r="AM321" s="8"/>
      <c r="AN321" s="8"/>
      <c r="AO321" s="8"/>
      <c r="AP321" s="8"/>
      <c r="AQ321" s="8"/>
      <c r="BH321" s="8">
        <f>+SUM(H321:K321)</f>
        <v>1353</v>
      </c>
      <c r="BI321" s="8">
        <f>+SUM(L321:O321)</f>
        <v>3523</v>
      </c>
      <c r="BJ321" s="927"/>
      <c r="BK321" s="927"/>
      <c r="BL321" s="927"/>
      <c r="BM321" s="927"/>
    </row>
    <row r="322" spans="2:69" s="3" customFormat="1" ht="11.45" hidden="1" outlineLevel="1">
      <c r="B322" s="13" t="s">
        <v>115</v>
      </c>
      <c r="I322" s="14">
        <f>+I321/I311</f>
        <v>0.47807017543859648</v>
      </c>
      <c r="J322" s="14">
        <f>+J321/J311</f>
        <v>0.59426229508196726</v>
      </c>
      <c r="K322" s="14">
        <f t="shared" ref="K322:O322" si="2033">+K321/K311</f>
        <v>0.62230552952202434</v>
      </c>
      <c r="L322" s="14">
        <f t="shared" si="2033"/>
        <v>0.64198606271777003</v>
      </c>
      <c r="M322" s="14">
        <f t="shared" si="2033"/>
        <v>0.67073170731707321</v>
      </c>
      <c r="N322" s="14">
        <f t="shared" si="2033"/>
        <v>0.67041198501872656</v>
      </c>
      <c r="O322" s="14">
        <f t="shared" si="2033"/>
        <v>0.69057377049180324</v>
      </c>
      <c r="P322" s="935"/>
      <c r="Q322" s="935"/>
      <c r="R322" s="935"/>
      <c r="S322" s="935"/>
      <c r="T322" s="935"/>
      <c r="U322" s="935"/>
      <c r="V322" s="935"/>
      <c r="W322" s="935"/>
      <c r="X322" s="935"/>
      <c r="Y322" s="935"/>
      <c r="Z322" s="935"/>
      <c r="AA322" s="935"/>
      <c r="AB322" s="935"/>
      <c r="AC322" s="935"/>
      <c r="AD322" s="935"/>
      <c r="AE322" s="935"/>
      <c r="AF322" s="935"/>
      <c r="AG322" s="14"/>
      <c r="AH322" s="14"/>
      <c r="AI322" s="14"/>
      <c r="AJ322" s="14"/>
      <c r="AK322" s="14"/>
      <c r="AL322" s="14"/>
      <c r="AM322" s="14"/>
      <c r="AN322" s="14"/>
      <c r="AO322" s="14"/>
      <c r="AP322" s="14"/>
      <c r="AQ322" s="14"/>
      <c r="BH322" s="14">
        <f t="shared" ref="BH322:BI322" si="2034">+BH321/BH311</f>
        <v>0.59577278731836192</v>
      </c>
      <c r="BI322" s="14">
        <f t="shared" si="2034"/>
        <v>0.66989922038410343</v>
      </c>
      <c r="BJ322" s="927"/>
      <c r="BK322" s="927"/>
      <c r="BL322" s="927"/>
      <c r="BM322" s="927"/>
      <c r="BN322"/>
      <c r="BO322"/>
      <c r="BP322"/>
    </row>
    <row r="323" spans="2:69" s="3" customFormat="1" ht="11.45" hidden="1" outlineLevel="1">
      <c r="B323" s="13"/>
      <c r="I323" s="14"/>
      <c r="J323" s="14"/>
      <c r="K323" s="14"/>
      <c r="L323" s="14"/>
      <c r="M323" s="14"/>
      <c r="N323" s="14"/>
      <c r="O323" s="14"/>
      <c r="P323" s="935"/>
      <c r="Q323" s="935"/>
      <c r="R323" s="935"/>
      <c r="S323" s="935"/>
      <c r="T323" s="935"/>
      <c r="U323" s="935"/>
      <c r="V323" s="935"/>
      <c r="W323" s="935"/>
      <c r="X323" s="935"/>
      <c r="Y323" s="935"/>
      <c r="Z323" s="935"/>
      <c r="AA323" s="935"/>
      <c r="AB323" s="935"/>
      <c r="AC323" s="935"/>
      <c r="AD323" s="935"/>
      <c r="AE323" s="935"/>
      <c r="AF323" s="935"/>
      <c r="AG323" s="14"/>
      <c r="AH323" s="14"/>
      <c r="AI323" s="14"/>
      <c r="AJ323" s="14"/>
      <c r="AK323" s="14"/>
      <c r="AL323" s="14"/>
      <c r="AM323" s="14"/>
      <c r="AN323" s="14"/>
      <c r="AO323" s="14"/>
      <c r="AP323" s="14"/>
      <c r="AQ323" s="14"/>
      <c r="BH323" s="14"/>
      <c r="BI323" s="14"/>
      <c r="BJ323" s="927"/>
      <c r="BK323" s="927"/>
      <c r="BL323" s="927"/>
      <c r="BM323" s="927"/>
      <c r="BN323"/>
      <c r="BO323"/>
      <c r="BP323"/>
    </row>
    <row r="324" spans="2:69" ht="11.45" hidden="1" outlineLevel="1">
      <c r="B324" t="s">
        <v>394</v>
      </c>
      <c r="I324" s="8">
        <f>+I311-I318</f>
        <v>181</v>
      </c>
      <c r="J324" s="8">
        <f>+J311-J318</f>
        <v>798</v>
      </c>
      <c r="K324" s="8">
        <f t="shared" ref="K324:N324" si="2035">+K311-K318</f>
        <v>881</v>
      </c>
      <c r="L324" s="8">
        <f t="shared" si="2035"/>
        <v>955</v>
      </c>
      <c r="M324" s="8">
        <f t="shared" si="2035"/>
        <v>1102</v>
      </c>
      <c r="N324" s="8">
        <f t="shared" si="2035"/>
        <v>1119</v>
      </c>
      <c r="O324" s="8">
        <f t="shared" ref="O324" si="2036">+O311-O318</f>
        <v>1235</v>
      </c>
      <c r="P324" s="926"/>
      <c r="Q324" s="926"/>
      <c r="R324" s="926"/>
      <c r="S324" s="926"/>
      <c r="T324" s="926"/>
      <c r="U324" s="926"/>
      <c r="V324" s="926"/>
      <c r="W324" s="926"/>
      <c r="X324" s="926"/>
      <c r="Y324" s="926"/>
      <c r="Z324" s="926"/>
      <c r="AA324" s="926"/>
      <c r="AB324" s="926"/>
      <c r="AC324" s="926"/>
      <c r="AD324" s="926"/>
      <c r="AE324" s="926"/>
      <c r="AF324" s="926"/>
      <c r="AG324" s="8"/>
      <c r="AH324" s="8"/>
      <c r="AI324" s="8"/>
      <c r="AJ324" s="8"/>
      <c r="AK324" s="8"/>
      <c r="AL324" s="8"/>
      <c r="AM324" s="8"/>
      <c r="AN324" s="8"/>
      <c r="AO324" s="8"/>
      <c r="AP324" s="8"/>
      <c r="AQ324" s="8"/>
      <c r="BH324" s="8">
        <f>+SUM(H324:K324)</f>
        <v>1860</v>
      </c>
      <c r="BI324" s="8">
        <f>+SUM(L324:O324)</f>
        <v>4411</v>
      </c>
      <c r="BJ324" s="927"/>
      <c r="BK324" s="927"/>
      <c r="BL324" s="927"/>
      <c r="BM324" s="927"/>
    </row>
    <row r="325" spans="2:69" ht="11.45" hidden="1" outlineLevel="1">
      <c r="B325" s="13" t="s">
        <v>115</v>
      </c>
      <c r="I325" s="14">
        <f>+I324/I311</f>
        <v>0.79385964912280704</v>
      </c>
      <c r="J325" s="14">
        <f>+J324/J311</f>
        <v>0.81762295081967218</v>
      </c>
      <c r="K325" s="14">
        <f t="shared" ref="K325:O325" si="2037">+K324/K311</f>
        <v>0.8256794751640113</v>
      </c>
      <c r="L325" s="14">
        <f t="shared" si="2037"/>
        <v>0.83188153310104529</v>
      </c>
      <c r="M325" s="14">
        <f t="shared" si="2037"/>
        <v>0.83993902439024393</v>
      </c>
      <c r="N325" s="14">
        <f t="shared" si="2037"/>
        <v>0.83820224719101122</v>
      </c>
      <c r="O325" s="14">
        <f t="shared" si="2037"/>
        <v>0.84357923497267762</v>
      </c>
      <c r="P325" s="935"/>
      <c r="Q325" s="935"/>
      <c r="R325" s="935"/>
      <c r="S325" s="935"/>
      <c r="T325" s="935"/>
      <c r="U325" s="935"/>
      <c r="V325" s="935"/>
      <c r="W325" s="935"/>
      <c r="X325" s="935"/>
      <c r="Y325" s="935"/>
      <c r="Z325" s="935"/>
      <c r="AA325" s="935"/>
      <c r="AB325" s="935"/>
      <c r="AC325" s="935"/>
      <c r="AD325" s="935"/>
      <c r="AE325" s="935"/>
      <c r="AF325" s="935"/>
      <c r="AG325" s="14"/>
      <c r="AH325" s="14"/>
      <c r="AI325" s="14"/>
      <c r="AJ325" s="14"/>
      <c r="AK325" s="14"/>
      <c r="AL325" s="14"/>
      <c r="AM325" s="14"/>
      <c r="AN325" s="14"/>
      <c r="AO325" s="14"/>
      <c r="AP325" s="14"/>
      <c r="AQ325" s="14"/>
      <c r="BH325" s="14">
        <f t="shared" ref="BH325:BI325" si="2038">+BH324/BH311</f>
        <v>0.8190224570673712</v>
      </c>
      <c r="BI325" s="14">
        <f t="shared" si="2038"/>
        <v>0.83875261456550676</v>
      </c>
      <c r="BJ325" s="927"/>
      <c r="BK325" s="927"/>
      <c r="BL325" s="927"/>
      <c r="BM325" s="927"/>
    </row>
    <row r="326" spans="2:69" ht="11.45" hidden="1" outlineLevel="1">
      <c r="B326" s="921"/>
      <c r="P326" s="934"/>
      <c r="Q326" s="934"/>
      <c r="R326" s="934"/>
      <c r="S326" s="934"/>
      <c r="T326" s="934"/>
      <c r="U326" s="934"/>
      <c r="V326" s="934"/>
      <c r="W326" s="934"/>
      <c r="X326" s="934"/>
      <c r="Y326" s="934"/>
      <c r="Z326" s="934"/>
      <c r="AA326" s="934"/>
      <c r="AB326" s="934"/>
      <c r="AC326" s="934"/>
      <c r="AD326" s="934"/>
      <c r="AE326" s="934"/>
      <c r="AF326" s="934"/>
      <c r="BJ326" s="927"/>
      <c r="BK326" s="927"/>
      <c r="BL326" s="927"/>
      <c r="BM326" s="927"/>
    </row>
    <row r="327" spans="2:69" ht="11.45" hidden="1" outlineLevel="1">
      <c r="B327" t="s">
        <v>390</v>
      </c>
      <c r="I327" s="879">
        <v>52</v>
      </c>
      <c r="J327" s="879">
        <v>153</v>
      </c>
      <c r="K327" s="879">
        <v>154</v>
      </c>
      <c r="L327" s="879">
        <v>154</v>
      </c>
      <c r="M327" s="879">
        <v>154</v>
      </c>
      <c r="N327" s="879">
        <v>155</v>
      </c>
      <c r="O327" s="879">
        <v>154</v>
      </c>
      <c r="P327" s="925"/>
      <c r="Q327" s="925"/>
      <c r="R327" s="925"/>
      <c r="S327" s="925"/>
      <c r="T327" s="925"/>
      <c r="U327" s="925"/>
      <c r="V327" s="925"/>
      <c r="W327" s="925"/>
      <c r="X327" s="925"/>
      <c r="Y327" s="925"/>
      <c r="Z327" s="925"/>
      <c r="AA327" s="925"/>
      <c r="AB327" s="925"/>
      <c r="AC327" s="925"/>
      <c r="AD327" s="925"/>
      <c r="AE327" s="925"/>
      <c r="AF327" s="925"/>
      <c r="AG327" s="879"/>
      <c r="AH327" s="879"/>
      <c r="AI327" s="879"/>
      <c r="AJ327" s="879"/>
      <c r="AK327" s="879"/>
      <c r="AL327" s="879"/>
      <c r="AM327" s="879"/>
      <c r="AN327" s="879"/>
      <c r="AO327" s="879"/>
      <c r="AP327" s="879"/>
      <c r="AQ327" s="879"/>
      <c r="BH327" s="8">
        <f>+SUM(H327:K327)</f>
        <v>359</v>
      </c>
      <c r="BI327" s="8">
        <f>+SUM(L327:O327)</f>
        <v>617</v>
      </c>
      <c r="BJ327" s="927"/>
      <c r="BK327" s="927"/>
      <c r="BL327" s="927"/>
      <c r="BM327" s="927"/>
    </row>
    <row r="328" spans="2:69" ht="11.45" hidden="1" outlineLevel="1">
      <c r="B328" t="s">
        <v>395</v>
      </c>
      <c r="I328" s="905">
        <v>253</v>
      </c>
      <c r="J328" s="905">
        <v>802</v>
      </c>
      <c r="K328" s="905">
        <v>863</v>
      </c>
      <c r="L328" s="905">
        <v>877</v>
      </c>
      <c r="M328" s="905">
        <v>991</v>
      </c>
      <c r="N328" s="905">
        <v>986</v>
      </c>
      <c r="O328" s="905">
        <v>1039</v>
      </c>
      <c r="P328" s="927"/>
      <c r="Q328" s="927"/>
      <c r="R328" s="927"/>
      <c r="S328" s="927"/>
      <c r="T328" s="927"/>
      <c r="U328" s="927"/>
      <c r="V328" s="927"/>
      <c r="W328" s="927"/>
      <c r="X328" s="927"/>
      <c r="Y328" s="927"/>
      <c r="Z328" s="927"/>
      <c r="AA328" s="927"/>
      <c r="AB328" s="927"/>
      <c r="AC328" s="927"/>
      <c r="AD328" s="927"/>
      <c r="AE328" s="927"/>
      <c r="AF328" s="927"/>
      <c r="AG328" s="905"/>
      <c r="AH328" s="905"/>
      <c r="AI328" s="905"/>
      <c r="AJ328" s="905"/>
      <c r="AK328" s="905"/>
      <c r="AL328" s="905"/>
      <c r="AM328" s="905"/>
      <c r="AN328" s="905"/>
      <c r="AO328" s="905"/>
      <c r="AP328" s="905"/>
      <c r="AQ328" s="905"/>
      <c r="BH328" s="10">
        <f>+SUM(H328:K328)</f>
        <v>1918</v>
      </c>
      <c r="BI328" s="10">
        <f>+SUM(L328:O328)</f>
        <v>3893</v>
      </c>
      <c r="BJ328" s="927"/>
      <c r="BK328" s="927"/>
      <c r="BL328" s="927"/>
      <c r="BM328" s="927"/>
    </row>
    <row r="329" spans="2:69" ht="11.45" hidden="1" outlineLevel="1">
      <c r="B329" s="12" t="s">
        <v>396</v>
      </c>
      <c r="I329" s="8">
        <f>SUM(I327:I328)</f>
        <v>305</v>
      </c>
      <c r="J329" s="8">
        <f>SUM(J327:J328)</f>
        <v>955</v>
      </c>
      <c r="K329" s="8">
        <f t="shared" ref="K329" si="2039">SUM(K327:K328)</f>
        <v>1017</v>
      </c>
      <c r="L329" s="8">
        <f t="shared" ref="L329" si="2040">SUM(L327:L328)</f>
        <v>1031</v>
      </c>
      <c r="M329" s="8">
        <f t="shared" ref="M329" si="2041">SUM(M327:M328)</f>
        <v>1145</v>
      </c>
      <c r="N329" s="8">
        <f t="shared" ref="N329:O329" si="2042">SUM(N327:N328)</f>
        <v>1141</v>
      </c>
      <c r="O329" s="8">
        <f t="shared" si="2042"/>
        <v>1193</v>
      </c>
      <c r="P329" s="926"/>
      <c r="Q329" s="926"/>
      <c r="R329" s="926"/>
      <c r="S329" s="926"/>
      <c r="T329" s="926"/>
      <c r="U329" s="926"/>
      <c r="V329" s="926"/>
      <c r="W329" s="926"/>
      <c r="X329" s="926"/>
      <c r="Y329" s="926"/>
      <c r="Z329" s="926"/>
      <c r="AA329" s="926"/>
      <c r="AB329" s="926"/>
      <c r="AC329" s="926"/>
      <c r="AD329" s="926"/>
      <c r="AE329" s="926"/>
      <c r="AF329" s="926"/>
      <c r="AG329" s="8"/>
      <c r="AH329" s="8"/>
      <c r="AI329" s="8"/>
      <c r="AJ329" s="8"/>
      <c r="AK329" s="8"/>
      <c r="AL329" s="8"/>
      <c r="AM329" s="8"/>
      <c r="AN329" s="8"/>
      <c r="AO329" s="8"/>
      <c r="AP329" s="8"/>
      <c r="AQ329" s="8"/>
      <c r="BH329" s="8">
        <f>+SUM(H329:K329)</f>
        <v>2277</v>
      </c>
      <c r="BI329" s="8">
        <f>+SUM(L329:O329)</f>
        <v>4510</v>
      </c>
      <c r="BJ329" s="927"/>
      <c r="BK329" s="927"/>
      <c r="BL329" s="927"/>
      <c r="BM329" s="927"/>
    </row>
    <row r="330" spans="2:69" ht="11.45" hidden="1" outlineLevel="1">
      <c r="P330" s="934"/>
      <c r="Q330" s="934"/>
      <c r="R330" s="934"/>
      <c r="S330" s="934"/>
      <c r="T330" s="934"/>
      <c r="U330" s="934"/>
      <c r="V330" s="934"/>
      <c r="W330" s="934"/>
      <c r="X330" s="934"/>
      <c r="Y330" s="934"/>
      <c r="Z330" s="934"/>
      <c r="AA330" s="934"/>
      <c r="AB330" s="934"/>
      <c r="AC330" s="934"/>
      <c r="AD330" s="934"/>
      <c r="AE330" s="934"/>
      <c r="AF330" s="934"/>
      <c r="BJ330" s="927"/>
      <c r="BK330" s="927"/>
      <c r="BL330" s="927"/>
      <c r="BM330" s="927"/>
    </row>
    <row r="331" spans="2:69" ht="11.45" hidden="1" outlineLevel="1">
      <c r="B331" t="s">
        <v>397</v>
      </c>
      <c r="I331" s="8">
        <f>+I311-I319-I329</f>
        <v>-196</v>
      </c>
      <c r="J331" s="8">
        <f>+J311-J319-J329</f>
        <v>-375</v>
      </c>
      <c r="K331" s="8">
        <f t="shared" ref="K331:N331" si="2043">+K311-K319-K329</f>
        <v>-353</v>
      </c>
      <c r="L331" s="8">
        <f t="shared" si="2043"/>
        <v>-294</v>
      </c>
      <c r="M331" s="8">
        <f t="shared" si="2043"/>
        <v>-265</v>
      </c>
      <c r="N331" s="8">
        <f t="shared" si="2043"/>
        <v>-246</v>
      </c>
      <c r="O331" s="8">
        <f t="shared" ref="O331" si="2044">+O311-O319-O329</f>
        <v>-182</v>
      </c>
      <c r="P331" s="926"/>
      <c r="Q331" s="926"/>
      <c r="R331" s="926"/>
      <c r="S331" s="926"/>
      <c r="T331" s="926"/>
      <c r="U331" s="926"/>
      <c r="V331" s="926"/>
      <c r="W331" s="926"/>
      <c r="X331" s="926"/>
      <c r="Y331" s="926"/>
      <c r="Z331" s="926"/>
      <c r="AA331" s="926"/>
      <c r="AB331" s="926"/>
      <c r="AC331" s="926"/>
      <c r="AD331" s="926"/>
      <c r="AE331" s="926"/>
      <c r="AF331" s="926"/>
      <c r="AG331" s="8"/>
      <c r="AH331" s="8"/>
      <c r="AI331" s="8"/>
      <c r="AJ331" s="8"/>
      <c r="AK331" s="8"/>
      <c r="AL331" s="8"/>
      <c r="AM331" s="8"/>
      <c r="AN331" s="8"/>
      <c r="AO331" s="8"/>
      <c r="AP331" s="8"/>
      <c r="AQ331" s="8"/>
      <c r="BH331" s="8">
        <f>+SUM(H331:K331)</f>
        <v>-924</v>
      </c>
      <c r="BI331" s="8">
        <f>+SUM(L331:O331)</f>
        <v>-987</v>
      </c>
      <c r="BJ331" s="927"/>
      <c r="BK331" s="927"/>
      <c r="BL331" s="927"/>
      <c r="BM331" s="927"/>
    </row>
    <row r="332" spans="2:69" ht="11.45" hidden="1" outlineLevel="1">
      <c r="B332" s="13" t="s">
        <v>115</v>
      </c>
      <c r="I332" s="14">
        <f>+I331/I311</f>
        <v>-0.85964912280701755</v>
      </c>
      <c r="J332" s="14">
        <f>+J331/J311</f>
        <v>-0.38422131147540983</v>
      </c>
      <c r="K332" s="14">
        <f t="shared" ref="K332:O332" si="2045">+K331/K311</f>
        <v>-0.33083411433926896</v>
      </c>
      <c r="L332" s="14">
        <f t="shared" si="2045"/>
        <v>-0.25609756097560976</v>
      </c>
      <c r="M332" s="14">
        <f t="shared" si="2045"/>
        <v>-0.20198170731707318</v>
      </c>
      <c r="N332" s="14">
        <f t="shared" si="2045"/>
        <v>-0.1842696629213483</v>
      </c>
      <c r="O332" s="14">
        <f t="shared" si="2045"/>
        <v>-0.12431693989071038</v>
      </c>
      <c r="P332" s="935"/>
      <c r="Q332" s="935"/>
      <c r="R332" s="935"/>
      <c r="S332" s="935"/>
      <c r="T332" s="935"/>
      <c r="U332" s="935"/>
      <c r="V332" s="935"/>
      <c r="W332" s="935"/>
      <c r="X332" s="935"/>
      <c r="Y332" s="935"/>
      <c r="Z332" s="935"/>
      <c r="AA332" s="935"/>
      <c r="AB332" s="935"/>
      <c r="AC332" s="935"/>
      <c r="AD332" s="935"/>
      <c r="AE332" s="935"/>
      <c r="AF332" s="935"/>
      <c r="AG332" s="14"/>
      <c r="AH332" s="14"/>
      <c r="AI332" s="14"/>
      <c r="AJ332" s="14"/>
      <c r="AK332" s="14"/>
      <c r="AL332" s="14"/>
      <c r="AM332" s="14"/>
      <c r="AN332" s="14"/>
      <c r="AO332" s="14"/>
      <c r="AP332" s="14"/>
      <c r="AQ332" s="14"/>
      <c r="BH332" s="14">
        <f t="shared" ref="BH332" si="2046">+BH331/BH311</f>
        <v>-0.40686922060766184</v>
      </c>
      <c r="BI332" s="14">
        <f t="shared" ref="BI332" si="2047">+BI331/BI311</f>
        <v>-0.18767826583000571</v>
      </c>
      <c r="BJ332" s="927"/>
      <c r="BK332" s="927"/>
      <c r="BL332" s="927"/>
      <c r="BM332" s="927"/>
      <c r="BQ332" s="14"/>
    </row>
    <row r="333" spans="2:69" ht="11.45" hidden="1" outlineLevel="1">
      <c r="B333" s="13"/>
      <c r="I333" s="14"/>
      <c r="J333" s="14"/>
      <c r="K333" s="14"/>
      <c r="L333" s="14"/>
      <c r="M333" s="14"/>
      <c r="N333" s="14"/>
      <c r="O333" s="14"/>
      <c r="P333" s="935"/>
      <c r="Q333" s="935"/>
      <c r="R333" s="935"/>
      <c r="S333" s="935"/>
      <c r="T333" s="935"/>
      <c r="U333" s="935"/>
      <c r="V333" s="935"/>
      <c r="W333" s="935"/>
      <c r="X333" s="935"/>
      <c r="Y333" s="935"/>
      <c r="Z333" s="935"/>
      <c r="AA333" s="935"/>
      <c r="AB333" s="935"/>
      <c r="AC333" s="935"/>
      <c r="AD333" s="935"/>
      <c r="AE333" s="935"/>
      <c r="AF333" s="935"/>
      <c r="AG333" s="14"/>
      <c r="AH333" s="14"/>
      <c r="AI333" s="14"/>
      <c r="AJ333" s="14"/>
      <c r="AK333" s="14"/>
      <c r="AL333" s="14"/>
      <c r="AM333" s="14"/>
      <c r="AN333" s="14"/>
      <c r="AO333" s="14"/>
      <c r="AP333" s="14"/>
      <c r="AQ333" s="14"/>
      <c r="BH333" s="14"/>
      <c r="BI333" s="14"/>
      <c r="BJ333" s="927"/>
      <c r="BK333" s="927"/>
      <c r="BL333" s="927"/>
      <c r="BM333" s="927"/>
      <c r="BQ333" s="14"/>
    </row>
    <row r="334" spans="2:69" ht="11.45" hidden="1" outlineLevel="1">
      <c r="B334" t="s">
        <v>398</v>
      </c>
      <c r="I334" s="8">
        <f>+I311-I318-I328</f>
        <v>-72</v>
      </c>
      <c r="J334" s="8">
        <f>+J311-J318-J328</f>
        <v>-4</v>
      </c>
      <c r="K334" s="8">
        <f t="shared" ref="K334:N334" si="2048">+K311-K318-K328</f>
        <v>18</v>
      </c>
      <c r="L334" s="8">
        <f t="shared" si="2048"/>
        <v>78</v>
      </c>
      <c r="M334" s="8">
        <f t="shared" si="2048"/>
        <v>111</v>
      </c>
      <c r="N334" s="8">
        <f t="shared" si="2048"/>
        <v>133</v>
      </c>
      <c r="O334" s="8">
        <f t="shared" ref="O334" si="2049">+O311-O318-O328</f>
        <v>196</v>
      </c>
      <c r="P334" s="926"/>
      <c r="Q334" s="926"/>
      <c r="R334" s="926"/>
      <c r="S334" s="926"/>
      <c r="T334" s="926"/>
      <c r="U334" s="926"/>
      <c r="V334" s="926"/>
      <c r="W334" s="926"/>
      <c r="X334" s="926"/>
      <c r="Y334" s="926"/>
      <c r="Z334" s="926"/>
      <c r="AA334" s="926"/>
      <c r="AB334" s="926"/>
      <c r="AC334" s="926"/>
      <c r="AD334" s="926"/>
      <c r="AE334" s="926"/>
      <c r="AF334" s="926"/>
      <c r="AG334" s="8"/>
      <c r="AH334" s="8"/>
      <c r="AI334" s="8"/>
      <c r="AJ334" s="8"/>
      <c r="AK334" s="8"/>
      <c r="AL334" s="8"/>
      <c r="AM334" s="8"/>
      <c r="AN334" s="8"/>
      <c r="AO334" s="8"/>
      <c r="AP334" s="8"/>
      <c r="AQ334" s="8"/>
      <c r="BH334" s="8">
        <f>+SUM(H334:K334)</f>
        <v>-58</v>
      </c>
      <c r="BI334" s="8">
        <f>+SUM(L334:O334)</f>
        <v>518</v>
      </c>
      <c r="BJ334" s="927"/>
      <c r="BK334" s="927"/>
      <c r="BL334" s="927"/>
      <c r="BM334" s="927"/>
    </row>
    <row r="335" spans="2:69" ht="11.45" hidden="1" outlineLevel="1">
      <c r="B335" s="13" t="s">
        <v>115</v>
      </c>
      <c r="I335" s="14">
        <f>+I334/I311</f>
        <v>-0.31578947368421051</v>
      </c>
      <c r="J335" s="14">
        <f>+J334/J311</f>
        <v>-4.0983606557377051E-3</v>
      </c>
      <c r="K335" s="14">
        <f t="shared" ref="K335:O335" si="2050">+K334/K311</f>
        <v>1.6869728209934397E-2</v>
      </c>
      <c r="L335" s="14">
        <f t="shared" si="2050"/>
        <v>6.7944250871080136E-2</v>
      </c>
      <c r="M335" s="14">
        <f t="shared" si="2050"/>
        <v>8.4603658536585372E-2</v>
      </c>
      <c r="N335" s="14">
        <f t="shared" si="2050"/>
        <v>9.9625468164794007E-2</v>
      </c>
      <c r="O335" s="14">
        <f t="shared" si="2050"/>
        <v>0.13387978142076504</v>
      </c>
      <c r="P335" s="935"/>
      <c r="Q335" s="935"/>
      <c r="R335" s="935"/>
      <c r="S335" s="935"/>
      <c r="T335" s="935"/>
      <c r="U335" s="935"/>
      <c r="V335" s="935"/>
      <c r="W335" s="935"/>
      <c r="X335" s="935"/>
      <c r="Y335" s="935"/>
      <c r="Z335" s="935"/>
      <c r="AA335" s="935"/>
      <c r="AB335" s="935"/>
      <c r="AC335" s="935"/>
      <c r="AD335" s="935"/>
      <c r="AE335" s="935"/>
      <c r="AF335" s="935"/>
      <c r="AG335" s="14"/>
      <c r="AH335" s="14"/>
      <c r="AI335" s="14"/>
      <c r="AJ335" s="14"/>
      <c r="AK335" s="14"/>
      <c r="AL335" s="14"/>
      <c r="AM335" s="14"/>
      <c r="AN335" s="14"/>
      <c r="AO335" s="14"/>
      <c r="AP335" s="14"/>
      <c r="AQ335" s="14"/>
      <c r="BH335" s="14">
        <f t="shared" ref="BH335" si="2051">+BH334/BH311</f>
        <v>-2.5539409951563188E-2</v>
      </c>
      <c r="BI335" s="14">
        <f t="shared" ref="BI335" si="2052">+BI334/BI311</f>
        <v>9.849781327248526E-2</v>
      </c>
      <c r="BJ335" s="927"/>
      <c r="BK335" s="927"/>
      <c r="BL335" s="927"/>
      <c r="BM335" s="927"/>
    </row>
    <row r="336" spans="2:69" ht="10.5" collapsed="1">
      <c r="B336" s="45" t="s">
        <v>399</v>
      </c>
      <c r="AA336" s="9"/>
      <c r="AG336" s="8"/>
      <c r="AH336" s="1"/>
      <c r="AK336" s="9"/>
      <c r="AL336" s="9"/>
      <c r="BK336" s="9"/>
      <c r="BL336" s="9"/>
      <c r="BM336" s="9"/>
      <c r="BN336" s="9"/>
    </row>
    <row r="337" spans="2:72" s="100" customFormat="1">
      <c r="B337" s="100" t="s">
        <v>400</v>
      </c>
      <c r="H337" s="880">
        <f t="shared" ref="H337:AB337" si="2053">+L337/(1+L284)</f>
        <v>5027.6039829344745</v>
      </c>
      <c r="I337" s="880">
        <f t="shared" si="2053"/>
        <v>5439.225081629419</v>
      </c>
      <c r="J337" s="880">
        <f t="shared" si="2053"/>
        <v>5253.3809531872794</v>
      </c>
      <c r="K337" s="880">
        <f t="shared" si="2053"/>
        <v>5853.0521769554698</v>
      </c>
      <c r="L337" s="880">
        <f t="shared" si="2053"/>
        <v>5530.3643812279224</v>
      </c>
      <c r="M337" s="880">
        <f t="shared" si="2053"/>
        <v>5983.147589792361</v>
      </c>
      <c r="N337" s="880">
        <f t="shared" si="2053"/>
        <v>5988.8542866334992</v>
      </c>
      <c r="O337" s="880">
        <f t="shared" si="2053"/>
        <v>6438.3573946510169</v>
      </c>
      <c r="P337" s="880">
        <f t="shared" si="2053"/>
        <v>6470.5263260366692</v>
      </c>
      <c r="Q337" s="880">
        <f t="shared" si="2053"/>
        <v>6641.2938246695212</v>
      </c>
      <c r="R337" s="880">
        <f t="shared" si="2053"/>
        <v>6707.5168010295201</v>
      </c>
      <c r="S337" s="880">
        <f t="shared" si="2053"/>
        <v>7339.7274299021601</v>
      </c>
      <c r="T337" s="880">
        <f t="shared" si="2053"/>
        <v>7311.6947484214352</v>
      </c>
      <c r="U337" s="880">
        <f t="shared" si="2053"/>
        <v>7703.9008366166445</v>
      </c>
      <c r="V337" s="880">
        <f t="shared" si="2053"/>
        <v>7579.4939851633571</v>
      </c>
      <c r="W337" s="880">
        <f t="shared" si="2053"/>
        <v>7706.7138013972681</v>
      </c>
      <c r="X337" s="880">
        <f t="shared" si="2053"/>
        <v>7969.7472757793648</v>
      </c>
      <c r="Y337" s="880">
        <f t="shared" si="2053"/>
        <v>8551.3299286444762</v>
      </c>
      <c r="Z337" s="880">
        <f t="shared" si="2053"/>
        <v>8640.6231430862281</v>
      </c>
      <c r="AA337" s="880">
        <f t="shared" si="2053"/>
        <v>9248.0565616767217</v>
      </c>
      <c r="AB337" s="880">
        <f t="shared" si="2053"/>
        <v>9404.3017854196496</v>
      </c>
      <c r="AC337" s="880">
        <f>+AG337/(1+AG284)</f>
        <v>9748.516118654703</v>
      </c>
      <c r="AD337" s="880">
        <f>+'VA segmentation'!AY249</f>
        <v>9677.4979202565755</v>
      </c>
      <c r="AE337" s="880">
        <f>+'VA segmentation'!AZ249</f>
        <v>10080.381652227628</v>
      </c>
      <c r="AF337" s="880">
        <f>+'VA segmentation'!BA249</f>
        <v>10062.602910399026</v>
      </c>
      <c r="AG337" s="880">
        <f>+'VA segmentation'!BB249</f>
        <v>10430.912246960534</v>
      </c>
      <c r="AH337" s="880">
        <f>+AD337*(1+AH346)</f>
        <v>10935.572649889929</v>
      </c>
      <c r="AI337" s="880">
        <f t="shared" ref="AI337" si="2054">+AE337*(1+AI346)</f>
        <v>11290.027450494945</v>
      </c>
      <c r="AJ337" s="880">
        <f t="shared" ref="AJ337:AJ338" si="2055">+AF337*(1+AJ346)</f>
        <v>11571.99334695888</v>
      </c>
      <c r="AK337" s="880">
        <f t="shared" ref="AK337:AK338" si="2056">+AG337*(1+AK346)</f>
        <v>11995.549084004613</v>
      </c>
      <c r="AL337" s="880">
        <f t="shared" ref="AL337:AL338" si="2057">+AH337*(1+AL346)</f>
        <v>12357.197094375619</v>
      </c>
      <c r="AM337" s="880">
        <f t="shared" ref="AM337:AM338" si="2058">+AI337*(1+AM346)</f>
        <v>12644.83074455434</v>
      </c>
      <c r="AN337" s="880">
        <f t="shared" ref="AN337:AN338" si="2059">+AJ337*(1+AN346)</f>
        <v>13192.072415533125</v>
      </c>
      <c r="AO337" s="880">
        <f t="shared" ref="AO337:AO338" si="2060">+AK337*(1+AO346)</f>
        <v>13674.92595576526</v>
      </c>
      <c r="AP337" s="880">
        <f t="shared" ref="AP337:AP338" si="2061">+AL337*(1+AP346)</f>
        <v>14087.204687588206</v>
      </c>
      <c r="AQ337" s="880">
        <f t="shared" ref="AQ337:AQ338" si="2062">+AM337*(1+AQ346)</f>
        <v>14415.10704879195</v>
      </c>
      <c r="AV337" s="880"/>
      <c r="AW337" s="880"/>
      <c r="AX337" s="880"/>
      <c r="AY337" s="880"/>
      <c r="AZ337" s="880"/>
      <c r="BA337" s="880"/>
      <c r="BB337" s="880"/>
      <c r="BC337" s="880"/>
      <c r="BD337" s="880"/>
      <c r="BE337" s="880"/>
      <c r="BF337" s="880"/>
      <c r="BG337" s="880"/>
      <c r="BH337" s="880">
        <f>SUM(H337:K337)</f>
        <v>21573.262194706644</v>
      </c>
      <c r="BI337" s="880">
        <f>SUM(L337:O337)</f>
        <v>23940.723652304798</v>
      </c>
      <c r="BJ337" s="880">
        <f>SUM(P337:S337)</f>
        <v>27159.064381637869</v>
      </c>
      <c r="BK337" s="880">
        <f t="shared" ref="BK337:BK338" si="2063">SUM(T337:W337)</f>
        <v>30301.803371598708</v>
      </c>
      <c r="BL337" s="880">
        <f t="shared" ref="BL337:BL338" si="2064">SUM(X337:AA337)</f>
        <v>34409.756909186792</v>
      </c>
      <c r="BM337" s="880">
        <f t="shared" ref="BM337:BM338" si="2065">SUM(AB337:AE337)</f>
        <v>38910.697476558562</v>
      </c>
      <c r="BN337" s="880">
        <f t="shared" ref="BN337:BN338" si="2066">SUM(AF337:AI337)</f>
        <v>42719.11525774443</v>
      </c>
      <c r="BO337" s="880">
        <f t="shared" ref="BO337:BO338" si="2067">SUM(AJ337:AM337)</f>
        <v>48569.570269893447</v>
      </c>
      <c r="BP337" s="880">
        <f>+SUM(AN337:AQ337)</f>
        <v>55369.310107678539</v>
      </c>
    </row>
    <row r="338" spans="2:72" s="100" customFormat="1">
      <c r="B338" s="100" t="s">
        <v>401</v>
      </c>
      <c r="H338" s="880">
        <f t="shared" ref="H338:AB338" si="2068">+L338/(1+L286)</f>
        <v>833.44667063242935</v>
      </c>
      <c r="I338" s="880">
        <f t="shared" si="2068"/>
        <v>866.20038813086592</v>
      </c>
      <c r="J338" s="880">
        <f t="shared" si="2068"/>
        <v>908.69592587862621</v>
      </c>
      <c r="K338" s="880">
        <f t="shared" si="2068"/>
        <v>998.60972953509827</v>
      </c>
      <c r="L338" s="880">
        <f t="shared" si="2068"/>
        <v>933.46027110832097</v>
      </c>
      <c r="M338" s="880">
        <f t="shared" si="2068"/>
        <v>970.14443470656988</v>
      </c>
      <c r="N338" s="880">
        <f t="shared" si="2068"/>
        <v>1017.7394369840614</v>
      </c>
      <c r="O338" s="880">
        <f t="shared" si="2068"/>
        <v>1078.4985078979062</v>
      </c>
      <c r="P338" s="880">
        <f t="shared" si="2068"/>
        <v>1082.8139144856523</v>
      </c>
      <c r="Q338" s="880">
        <f t="shared" si="2068"/>
        <v>979.8458790536356</v>
      </c>
      <c r="R338" s="880">
        <f t="shared" si="2068"/>
        <v>1099.1585919427864</v>
      </c>
      <c r="S338" s="880">
        <f t="shared" si="2068"/>
        <v>1143.2084183717807</v>
      </c>
      <c r="T338" s="880">
        <f t="shared" si="2068"/>
        <v>1136.954610209935</v>
      </c>
      <c r="U338" s="880">
        <f t="shared" si="2068"/>
        <v>1166.0165960738263</v>
      </c>
      <c r="V338" s="880">
        <f t="shared" si="2068"/>
        <v>1264.0323807342043</v>
      </c>
      <c r="W338" s="880">
        <f t="shared" si="2068"/>
        <v>1211.8009234740875</v>
      </c>
      <c r="X338" s="880">
        <f t="shared" si="2068"/>
        <v>1262.019617333028</v>
      </c>
      <c r="Y338" s="880">
        <f t="shared" si="2068"/>
        <v>1247.6377577989942</v>
      </c>
      <c r="Z338" s="880">
        <f t="shared" si="2068"/>
        <v>1327.2339997709146</v>
      </c>
      <c r="AA338" s="880">
        <f t="shared" si="2068"/>
        <v>1429.9250896994233</v>
      </c>
      <c r="AB338" s="880">
        <f t="shared" si="2068"/>
        <v>1388.2215790663308</v>
      </c>
      <c r="AC338" s="880">
        <f>+AG338/(1+AG286)</f>
        <v>1434.7834214688432</v>
      </c>
      <c r="AD338" s="880">
        <f t="shared" ref="AD338:AF338" si="2069">+AD340-AD337</f>
        <v>1486.5020797434245</v>
      </c>
      <c r="AE338" s="880">
        <f t="shared" si="2069"/>
        <v>1558.6183477723716</v>
      </c>
      <c r="AF338" s="880">
        <f t="shared" si="2069"/>
        <v>1485.3970896009741</v>
      </c>
      <c r="AG338" s="880">
        <f>+AG340-AG337</f>
        <v>1406.0877530394664</v>
      </c>
      <c r="AH338" s="880">
        <f t="shared" ref="AH338" si="2070">+AD338*(1+AH347)</f>
        <v>1501.3671005408587</v>
      </c>
      <c r="AI338" s="880">
        <f t="shared" ref="AI338" si="2071">+AE338*(1+AI347)</f>
        <v>1605.3768982055428</v>
      </c>
      <c r="AJ338" s="880">
        <f t="shared" si="2055"/>
        <v>1529.9590022890034</v>
      </c>
      <c r="AK338" s="880">
        <f t="shared" si="2056"/>
        <v>1476.3921406914399</v>
      </c>
      <c r="AL338" s="880">
        <f t="shared" si="2057"/>
        <v>1561.421784562493</v>
      </c>
      <c r="AM338" s="880">
        <f t="shared" si="2058"/>
        <v>1653.5382051517092</v>
      </c>
      <c r="AN338" s="880">
        <f t="shared" si="2059"/>
        <v>1575.8577723576734</v>
      </c>
      <c r="AO338" s="880">
        <f t="shared" si="2060"/>
        <v>1520.6839049121832</v>
      </c>
      <c r="AP338" s="880">
        <f t="shared" si="2061"/>
        <v>1608.2644380993679</v>
      </c>
      <c r="AQ338" s="880">
        <f t="shared" si="2062"/>
        <v>1703.1443513062607</v>
      </c>
      <c r="AV338" s="880"/>
      <c r="AW338" s="880"/>
      <c r="AX338" s="880"/>
      <c r="AY338" s="880"/>
      <c r="AZ338" s="880"/>
      <c r="BA338" s="880"/>
      <c r="BB338" s="880"/>
      <c r="BC338" s="880"/>
      <c r="BD338" s="880"/>
      <c r="BE338" s="880"/>
      <c r="BF338" s="880"/>
      <c r="BG338" s="880"/>
      <c r="BH338" s="880">
        <f t="shared" ref="BH338:BH343" si="2072">SUM(H338:K338)</f>
        <v>3606.9527141770195</v>
      </c>
      <c r="BI338" s="880">
        <f t="shared" ref="BI338:BI343" si="2073">SUM(L338:O338)</f>
        <v>3999.8426506968585</v>
      </c>
      <c r="BJ338" s="880">
        <f t="shared" ref="BJ338:BJ343" si="2074">SUM(P338:S338)</f>
        <v>4305.0268038538552</v>
      </c>
      <c r="BK338" s="880">
        <f t="shared" si="2063"/>
        <v>4778.8045104920529</v>
      </c>
      <c r="BL338" s="880">
        <f t="shared" si="2064"/>
        <v>5266.8164646023597</v>
      </c>
      <c r="BM338" s="880">
        <f t="shared" si="2065"/>
        <v>5868.1254280509702</v>
      </c>
      <c r="BN338" s="880">
        <f t="shared" si="2066"/>
        <v>5998.2288413868419</v>
      </c>
      <c r="BO338" s="880">
        <f t="shared" si="2067"/>
        <v>6221.3111326946446</v>
      </c>
      <c r="BP338" s="880">
        <f t="shared" ref="BP338:BP343" si="2075">+SUM(AN338:AQ338)</f>
        <v>6407.9504666754847</v>
      </c>
    </row>
    <row r="339" spans="2:72" s="1003" customFormat="1" ht="11.45" outlineLevel="1">
      <c r="B339" s="100" t="s">
        <v>198</v>
      </c>
      <c r="H339" s="1000">
        <f>+H340-SUM(H337:H338)</f>
        <v>120.94934643309625</v>
      </c>
      <c r="I339" s="1000">
        <f t="shared" ref="I339:AG339" si="2076">+I340-SUM(I337:I338)</f>
        <v>133.57453023971539</v>
      </c>
      <c r="J339" s="1000">
        <f t="shared" si="2076"/>
        <v>71.923120934094186</v>
      </c>
      <c r="K339" s="1000">
        <f t="shared" si="2076"/>
        <v>66.338093509431928</v>
      </c>
      <c r="L339" s="1000">
        <f t="shared" si="2076"/>
        <v>111.17534766375684</v>
      </c>
      <c r="M339" s="1000">
        <f t="shared" si="2076"/>
        <v>121.70797550106909</v>
      </c>
      <c r="N339" s="1000">
        <f t="shared" si="2076"/>
        <v>81.406276382439501</v>
      </c>
      <c r="O339" s="1000">
        <f t="shared" si="2076"/>
        <v>61.144097451076959</v>
      </c>
      <c r="P339" s="1000">
        <f t="shared" si="2076"/>
        <v>68.659759477678563</v>
      </c>
      <c r="Q339" s="1000">
        <f t="shared" si="2076"/>
        <v>125.86029627684366</v>
      </c>
      <c r="R339" s="1000">
        <f t="shared" si="2076"/>
        <v>82.324607027693673</v>
      </c>
      <c r="S339" s="1000">
        <f t="shared" si="2076"/>
        <v>28.064151726059208</v>
      </c>
      <c r="T339" s="1000">
        <f t="shared" si="2076"/>
        <v>17.350641368630022</v>
      </c>
      <c r="U339" s="1000">
        <f t="shared" si="2076"/>
        <v>113.08256730952962</v>
      </c>
      <c r="V339" s="1000">
        <f t="shared" si="2076"/>
        <v>76.473634102438155</v>
      </c>
      <c r="W339" s="1000">
        <f t="shared" si="2076"/>
        <v>28.485275128645299</v>
      </c>
      <c r="X339" s="1000">
        <f t="shared" si="2076"/>
        <v>46.233106887606482</v>
      </c>
      <c r="Y339" s="1000">
        <f t="shared" si="2076"/>
        <v>82.032313556530426</v>
      </c>
      <c r="Z339" s="1000">
        <f t="shared" si="2076"/>
        <v>48.142857142856883</v>
      </c>
      <c r="AA339" s="1000">
        <f t="shared" si="2076"/>
        <v>19.018348623854763</v>
      </c>
      <c r="AB339" s="1000">
        <f t="shared" si="2076"/>
        <v>15.476635514020018</v>
      </c>
      <c r="AC339" s="1000">
        <f t="shared" si="2076"/>
        <v>67.700459876454261</v>
      </c>
      <c r="AD339" s="1000">
        <f t="shared" si="2076"/>
        <v>0</v>
      </c>
      <c r="AE339" s="1000">
        <f t="shared" si="2076"/>
        <v>0</v>
      </c>
      <c r="AF339" s="1000">
        <f t="shared" si="2076"/>
        <v>0</v>
      </c>
      <c r="AG339" s="1000">
        <f t="shared" si="2076"/>
        <v>0</v>
      </c>
      <c r="AH339" s="906">
        <v>0</v>
      </c>
      <c r="AI339" s="906">
        <v>0</v>
      </c>
      <c r="AJ339" s="906">
        <v>0</v>
      </c>
      <c r="AK339" s="906">
        <v>0</v>
      </c>
      <c r="AL339" s="906">
        <v>0</v>
      </c>
      <c r="AM339" s="906">
        <v>0</v>
      </c>
      <c r="AN339" s="924">
        <v>0</v>
      </c>
      <c r="AO339" s="924">
        <v>0</v>
      </c>
      <c r="AP339" s="924">
        <v>0</v>
      </c>
      <c r="AQ339" s="924">
        <v>0</v>
      </c>
      <c r="AV339" s="1000"/>
      <c r="AW339" s="1000"/>
      <c r="AX339" s="1000"/>
      <c r="AY339" s="1000"/>
      <c r="AZ339" s="1000"/>
      <c r="BA339" s="1000"/>
      <c r="BB339" s="1000"/>
      <c r="BC339" s="1000"/>
      <c r="BD339" s="1000"/>
      <c r="BE339" s="1000"/>
      <c r="BF339" s="1000"/>
      <c r="BG339" s="1000"/>
      <c r="BH339" s="1000">
        <f t="shared" si="2072"/>
        <v>392.78509111633775</v>
      </c>
      <c r="BI339" s="1000">
        <f t="shared" si="2073"/>
        <v>375.43369699834238</v>
      </c>
      <c r="BJ339" s="1000">
        <f t="shared" si="2074"/>
        <v>304.9088145082751</v>
      </c>
      <c r="BK339" s="1000">
        <f t="shared" ref="BK339" si="2077">SUM(T339:W339)</f>
        <v>235.3921179092431</v>
      </c>
      <c r="BL339" s="1000">
        <f t="shared" ref="BL339" si="2078">SUM(X339:AA339)</f>
        <v>195.42662621084855</v>
      </c>
      <c r="BM339" s="1000">
        <f t="shared" ref="BM339" si="2079">SUM(AB339:AE339)</f>
        <v>83.177095390474278</v>
      </c>
      <c r="BN339" s="1000">
        <f t="shared" ref="BN339" si="2080">SUM(AF339:AI339)</f>
        <v>0</v>
      </c>
      <c r="BO339" s="1000">
        <f t="shared" ref="BO339" si="2081">SUM(AJ339:AM339)</f>
        <v>0</v>
      </c>
      <c r="BP339" s="1000">
        <f t="shared" si="2075"/>
        <v>0</v>
      </c>
    </row>
    <row r="340" spans="2:72" s="100" customFormat="1">
      <c r="B340" s="1096" t="s">
        <v>402</v>
      </c>
      <c r="H340" s="880">
        <f>+'VA segmentation'!AC252</f>
        <v>5982</v>
      </c>
      <c r="I340" s="880">
        <f>+'VA segmentation'!AD252</f>
        <v>6439</v>
      </c>
      <c r="J340" s="880">
        <f>+'VA segmentation'!AE252</f>
        <v>6234</v>
      </c>
      <c r="K340" s="880">
        <f>+'VA segmentation'!AF252</f>
        <v>6918</v>
      </c>
      <c r="L340" s="880">
        <f>+'VA segmentation'!AG252</f>
        <v>6575</v>
      </c>
      <c r="M340" s="880">
        <f>+'VA segmentation'!AH252</f>
        <v>7075</v>
      </c>
      <c r="N340" s="880">
        <f>+'VA segmentation'!AI252</f>
        <v>7088</v>
      </c>
      <c r="O340" s="880">
        <f>+'VA segmentation'!AJ252</f>
        <v>7578</v>
      </c>
      <c r="P340" s="880">
        <f>+'VA segmentation'!AK252</f>
        <v>7622</v>
      </c>
      <c r="Q340" s="880">
        <f>+'VA segmentation'!AL252</f>
        <v>7747</v>
      </c>
      <c r="R340" s="880">
        <f>+'VA segmentation'!AM252</f>
        <v>7889</v>
      </c>
      <c r="S340" s="880">
        <f>+'VA segmentation'!AN252</f>
        <v>8511</v>
      </c>
      <c r="T340" s="880">
        <f>+'VA segmentation'!AO252</f>
        <v>8466</v>
      </c>
      <c r="U340" s="880">
        <f>+'VA segmentation'!AP252</f>
        <v>8983</v>
      </c>
      <c r="V340" s="880">
        <f>+'VA segmentation'!AQ252</f>
        <v>8920</v>
      </c>
      <c r="W340" s="880">
        <f>+'VA segmentation'!AR252</f>
        <v>8947</v>
      </c>
      <c r="X340" s="880">
        <f>+'VA segmentation'!AS252</f>
        <v>9278</v>
      </c>
      <c r="Y340" s="880">
        <f>+'VA segmentation'!AT252</f>
        <v>9881</v>
      </c>
      <c r="Z340" s="880">
        <f>+'VA segmentation'!AU252</f>
        <v>10016</v>
      </c>
      <c r="AA340" s="880">
        <f>+'VA segmentation'!AV252</f>
        <v>10697</v>
      </c>
      <c r="AB340" s="880">
        <f>+'VA segmentation'!AW252</f>
        <v>10808</v>
      </c>
      <c r="AC340" s="880">
        <f>+'VA segmentation'!AX252</f>
        <v>11251</v>
      </c>
      <c r="AD340" s="880">
        <f>+'VA segmentation'!AY252</f>
        <v>11164</v>
      </c>
      <c r="AE340" s="880">
        <f>+'VA segmentation'!AZ252</f>
        <v>11639</v>
      </c>
      <c r="AF340" s="880">
        <f>+'VA segmentation'!BA252</f>
        <v>11548</v>
      </c>
      <c r="AG340" s="880">
        <f>+'VA segmentation'!BB252</f>
        <v>11837</v>
      </c>
      <c r="AH340" s="880">
        <f>+SUM(AH337:AH339)</f>
        <v>12436.939750430789</v>
      </c>
      <c r="AI340" s="880">
        <f t="shared" ref="AI340" si="2082">+SUM(AI337:AI339)</f>
        <v>12895.404348700487</v>
      </c>
      <c r="AJ340" s="880">
        <f t="shared" ref="AJ340:AK340" si="2083">+SUM(AJ337:AJ339)</f>
        <v>13101.952349247884</v>
      </c>
      <c r="AK340" s="880">
        <f t="shared" si="2083"/>
        <v>13471.941224696053</v>
      </c>
      <c r="AL340" s="880">
        <f t="shared" ref="AL340" si="2084">+SUM(AL337:AL339)</f>
        <v>13918.618878938112</v>
      </c>
      <c r="AM340" s="880">
        <f t="shared" ref="AM340" si="2085">+SUM(AM337:AM339)</f>
        <v>14298.36894970605</v>
      </c>
      <c r="AN340" s="880">
        <f t="shared" ref="AN340:AQ340" si="2086">+SUM(AN337:AN339)</f>
        <v>14767.930187890797</v>
      </c>
      <c r="AO340" s="880">
        <f t="shared" si="2086"/>
        <v>15195.609860677443</v>
      </c>
      <c r="AP340" s="880">
        <f t="shared" si="2086"/>
        <v>15695.469125687574</v>
      </c>
      <c r="AQ340" s="880">
        <f t="shared" si="2086"/>
        <v>16118.25140009821</v>
      </c>
      <c r="AV340" s="880"/>
      <c r="AW340" s="880"/>
      <c r="AX340" s="880"/>
      <c r="AY340" s="880"/>
      <c r="AZ340" s="880"/>
      <c r="BA340" s="880"/>
      <c r="BB340" s="880"/>
      <c r="BC340" s="880"/>
      <c r="BD340" s="880"/>
      <c r="BE340" s="880"/>
      <c r="BF340" s="880"/>
      <c r="BG340" s="880"/>
      <c r="BH340" s="880">
        <f t="shared" si="2072"/>
        <v>25573</v>
      </c>
      <c r="BI340" s="880">
        <f t="shared" si="2073"/>
        <v>28316</v>
      </c>
      <c r="BJ340" s="880">
        <f t="shared" si="2074"/>
        <v>31769</v>
      </c>
      <c r="BK340" s="880">
        <f t="shared" ref="BK340:BK341" si="2087">SUM(T340:W340)</f>
        <v>35316</v>
      </c>
      <c r="BL340" s="880">
        <f t="shared" ref="BL340:BL341" si="2088">SUM(X340:AA340)</f>
        <v>39872</v>
      </c>
      <c r="BM340" s="880">
        <f t="shared" ref="BM340:BM341" si="2089">SUM(AB340:AE340)</f>
        <v>44862</v>
      </c>
      <c r="BN340" s="880">
        <f t="shared" ref="BN340:BN341" si="2090">SUM(AF340:AI340)</f>
        <v>48717.344099131275</v>
      </c>
      <c r="BO340" s="880">
        <f t="shared" ref="BO340:BO341" si="2091">SUM(AJ340:AM340)</f>
        <v>54790.881402588093</v>
      </c>
      <c r="BP340" s="880">
        <f t="shared" si="2075"/>
        <v>61777.260574354026</v>
      </c>
    </row>
    <row r="341" spans="2:72" s="100" customFormat="1">
      <c r="B341" s="100" t="s">
        <v>385</v>
      </c>
      <c r="H341" s="880">
        <f>+'VA segmentation'!AC13</f>
        <v>0</v>
      </c>
      <c r="I341" s="880">
        <f>+'VA segmentation'!AD13</f>
        <v>228</v>
      </c>
      <c r="J341" s="880">
        <f>+'VA segmentation'!AE13</f>
        <v>976</v>
      </c>
      <c r="K341" s="880">
        <f>+'VA segmentation'!AF13</f>
        <v>1067</v>
      </c>
      <c r="L341" s="880">
        <f>+'VA segmentation'!AG13</f>
        <v>1148</v>
      </c>
      <c r="M341" s="880">
        <f>+'VA segmentation'!AH13</f>
        <v>1312</v>
      </c>
      <c r="N341" s="880">
        <f>+'VA segmentation'!AI13</f>
        <v>1335</v>
      </c>
      <c r="O341" s="880">
        <f>+'VA segmentation'!AJ13</f>
        <v>1464</v>
      </c>
      <c r="P341" s="880">
        <f>+'VA segmentation'!AK13</f>
        <v>1530</v>
      </c>
      <c r="Q341" s="880">
        <f>+'VA segmentation'!AL13</f>
        <v>1693</v>
      </c>
      <c r="R341" s="880">
        <f>+'VA segmentation'!AM13</f>
        <v>1696</v>
      </c>
      <c r="S341" s="880">
        <f>+'VA segmentation'!AN13</f>
        <v>1835</v>
      </c>
      <c r="T341" s="880">
        <f>+'VA segmentation'!AO13</f>
        <v>1909</v>
      </c>
      <c r="U341" s="880">
        <f>+'VA segmentation'!AP13</f>
        <v>2102</v>
      </c>
      <c r="V341" s="880">
        <f>+'VA segmentation'!AQ13</f>
        <v>2050</v>
      </c>
      <c r="W341" s="880">
        <f>+'VA segmentation'!AR13</f>
        <v>2016</v>
      </c>
      <c r="X341" s="880">
        <f>+'VA segmentation'!AS13</f>
        <v>2206</v>
      </c>
      <c r="Y341" s="880">
        <f>+'VA segmentation'!AT13</f>
        <v>2577</v>
      </c>
      <c r="Z341" s="880">
        <f>+'VA segmentation'!AU13</f>
        <v>2562</v>
      </c>
      <c r="AA341" s="880">
        <f>+'VA segmentation'!AV13</f>
        <v>2944</v>
      </c>
      <c r="AB341" s="880">
        <f>+'VA segmentation'!AW13</f>
        <v>3136</v>
      </c>
      <c r="AC341" s="880">
        <f>+'VA segmentation'!AX13</f>
        <v>3531</v>
      </c>
      <c r="AD341" s="880">
        <f>+'VA segmentation'!AY13</f>
        <v>3437</v>
      </c>
      <c r="AE341" s="880">
        <f>+'VA segmentation'!AZ13</f>
        <v>3712</v>
      </c>
      <c r="AF341" s="880">
        <f>+'VA segmentation'!BA13</f>
        <v>3663</v>
      </c>
      <c r="AG341" s="880">
        <f>+'VA segmentation'!BB13</f>
        <v>3876</v>
      </c>
      <c r="AH341" s="880">
        <f>+AH311</f>
        <v>3711.96</v>
      </c>
      <c r="AI341" s="880">
        <f t="shared" ref="AI341" si="2092">+AE341*(1+AI349)</f>
        <v>3897.6000000000004</v>
      </c>
      <c r="AJ341" s="880">
        <f t="shared" ref="AJ341" si="2093">+AF341*(1+AJ349)</f>
        <v>3956.0400000000004</v>
      </c>
      <c r="AK341" s="880">
        <f t="shared" ref="AK341" si="2094">+AG341*(1+AK349)</f>
        <v>4224.84</v>
      </c>
      <c r="AL341" s="880">
        <f t="shared" ref="AL341" si="2095">+AH341*(1+AL349)</f>
        <v>4083.1560000000004</v>
      </c>
      <c r="AM341" s="880">
        <f t="shared" ref="AM341" si="2096">+AI341*(1+AM349)</f>
        <v>4287.3600000000006</v>
      </c>
      <c r="AN341" s="880">
        <f t="shared" ref="AN341:AN342" si="2097">+AJ341*(1+AN349)</f>
        <v>4272.5232000000005</v>
      </c>
      <c r="AO341" s="880">
        <f t="shared" ref="AO341:AO342" si="2098">+AK341*(1+AO349)</f>
        <v>4562.8272000000006</v>
      </c>
      <c r="AP341" s="880">
        <f t="shared" ref="AP341:AP342" si="2099">+AL341*(1+AP349)</f>
        <v>4409.8084800000006</v>
      </c>
      <c r="AQ341" s="880">
        <f t="shared" ref="AQ341:AQ342" si="2100">+AM341*(1+AQ349)</f>
        <v>4630.3488000000007</v>
      </c>
      <c r="AV341" s="880"/>
      <c r="AW341" s="880"/>
      <c r="AX341" s="880"/>
      <c r="AY341" s="880"/>
      <c r="AZ341" s="880"/>
      <c r="BA341" s="880"/>
      <c r="BB341" s="880"/>
      <c r="BC341" s="880"/>
      <c r="BD341" s="880"/>
      <c r="BE341" s="880"/>
      <c r="BF341" s="880"/>
      <c r="BG341" s="880"/>
      <c r="BH341" s="880">
        <f t="shared" si="2072"/>
        <v>2271</v>
      </c>
      <c r="BI341" s="880">
        <f t="shared" si="2073"/>
        <v>5259</v>
      </c>
      <c r="BJ341" s="880">
        <f t="shared" si="2074"/>
        <v>6754</v>
      </c>
      <c r="BK341" s="880">
        <f t="shared" si="2087"/>
        <v>8077</v>
      </c>
      <c r="BL341" s="880">
        <f t="shared" si="2088"/>
        <v>10289</v>
      </c>
      <c r="BM341" s="880">
        <f t="shared" si="2089"/>
        <v>13816</v>
      </c>
      <c r="BN341" s="880">
        <f t="shared" si="2090"/>
        <v>15148.56</v>
      </c>
      <c r="BO341" s="880">
        <f t="shared" si="2091"/>
        <v>16551.396000000001</v>
      </c>
      <c r="BP341" s="880">
        <f t="shared" si="2075"/>
        <v>17875.507680000002</v>
      </c>
    </row>
    <row r="342" spans="2:72" s="1112" customFormat="1" ht="11.45">
      <c r="B342" s="100" t="s">
        <v>403</v>
      </c>
      <c r="H342" s="906">
        <f>+H343-H341-H340</f>
        <v>454</v>
      </c>
      <c r="I342" s="906">
        <f t="shared" ref="I342:AI342" si="2101">+I343-I341-I340</f>
        <v>512</v>
      </c>
      <c r="J342" s="906">
        <f t="shared" si="2101"/>
        <v>497</v>
      </c>
      <c r="K342" s="906">
        <f t="shared" si="2101"/>
        <v>563</v>
      </c>
      <c r="L342" s="906">
        <f t="shared" si="2101"/>
        <v>515</v>
      </c>
      <c r="M342" s="906">
        <f t="shared" si="2101"/>
        <v>566</v>
      </c>
      <c r="N342" s="906">
        <f t="shared" si="2101"/>
        <v>583</v>
      </c>
      <c r="O342" s="906">
        <f t="shared" si="2101"/>
        <v>626</v>
      </c>
      <c r="P342" s="906">
        <f t="shared" si="2101"/>
        <v>619</v>
      </c>
      <c r="Q342" s="906">
        <f t="shared" si="2101"/>
        <v>660</v>
      </c>
      <c r="R342" s="906">
        <f t="shared" si="2101"/>
        <v>657</v>
      </c>
      <c r="S342" s="906">
        <f t="shared" si="2101"/>
        <v>701</v>
      </c>
      <c r="T342" s="906">
        <f t="shared" si="2101"/>
        <v>702</v>
      </c>
      <c r="U342" s="906">
        <f t="shared" si="2101"/>
        <v>741</v>
      </c>
      <c r="V342" s="906">
        <f t="shared" si="2101"/>
        <v>773</v>
      </c>
      <c r="W342" s="906">
        <f t="shared" si="2101"/>
        <v>789</v>
      </c>
      <c r="X342" s="906">
        <f t="shared" si="2101"/>
        <v>835</v>
      </c>
      <c r="Y342" s="906">
        <f t="shared" si="2101"/>
        <v>895</v>
      </c>
      <c r="Z342" s="906">
        <f t="shared" si="2101"/>
        <v>974</v>
      </c>
      <c r="AA342" s="906">
        <f t="shared" si="2101"/>
        <v>1050</v>
      </c>
      <c r="AB342" s="906">
        <f t="shared" si="2101"/>
        <v>1095</v>
      </c>
      <c r="AC342" s="906">
        <f t="shared" si="2101"/>
        <v>1154</v>
      </c>
      <c r="AD342" s="906">
        <f t="shared" si="2101"/>
        <v>1188</v>
      </c>
      <c r="AE342" s="906">
        <f t="shared" si="2101"/>
        <v>1249</v>
      </c>
      <c r="AF342" s="906">
        <f t="shared" si="2101"/>
        <v>1254</v>
      </c>
      <c r="AG342" s="906">
        <f t="shared" si="2101"/>
        <v>1289</v>
      </c>
      <c r="AH342" s="906">
        <f t="shared" si="2101"/>
        <v>1367.1002495692119</v>
      </c>
      <c r="AI342" s="906">
        <f t="shared" si="2101"/>
        <v>1497.9956512995122</v>
      </c>
      <c r="AJ342" s="906">
        <f t="shared" ref="AJ342:AK342" si="2102">+AJ343-AJ341-AJ340</f>
        <v>1534.0076507521153</v>
      </c>
      <c r="AK342" s="906">
        <f t="shared" si="2102"/>
        <v>1552.218775303947</v>
      </c>
      <c r="AL342" s="906">
        <f t="shared" ref="AL342" si="2103">+AL343-AL341-AL340</f>
        <v>1568.225121061887</v>
      </c>
      <c r="AM342" s="906">
        <f t="shared" ref="AM342" si="2104">+AM343-AM341-AM340</f>
        <v>1731.2710502939499</v>
      </c>
      <c r="AN342" s="906">
        <f t="shared" si="2097"/>
        <v>1733.4286453498901</v>
      </c>
      <c r="AO342" s="906">
        <f t="shared" si="2098"/>
        <v>1754.0072160934601</v>
      </c>
      <c r="AP342" s="906">
        <f t="shared" si="2099"/>
        <v>1772.0943867999322</v>
      </c>
      <c r="AQ342" s="906">
        <f t="shared" si="2100"/>
        <v>1956.3362868321633</v>
      </c>
      <c r="AV342" s="906"/>
      <c r="AW342" s="906"/>
      <c r="AX342" s="906"/>
      <c r="AY342" s="906"/>
      <c r="AZ342" s="906"/>
      <c r="BA342" s="906"/>
      <c r="BB342" s="906"/>
      <c r="BC342" s="906"/>
      <c r="BD342" s="906"/>
      <c r="BE342" s="906"/>
      <c r="BF342" s="906"/>
      <c r="BG342" s="906"/>
      <c r="BH342" s="906">
        <f t="shared" si="2072"/>
        <v>2026</v>
      </c>
      <c r="BI342" s="906">
        <f t="shared" si="2073"/>
        <v>2290</v>
      </c>
      <c r="BJ342" s="906">
        <f t="shared" si="2074"/>
        <v>2637</v>
      </c>
      <c r="BK342" s="906">
        <f t="shared" ref="BK342:BK343" si="2105">SUM(T342:W342)</f>
        <v>3005</v>
      </c>
      <c r="BL342" s="906">
        <f t="shared" ref="BL342:BL343" si="2106">SUM(X342:AA342)</f>
        <v>3754</v>
      </c>
      <c r="BM342" s="906">
        <f t="shared" ref="BM342:BM343" si="2107">SUM(AB342:AE342)</f>
        <v>4686</v>
      </c>
      <c r="BN342" s="906">
        <f t="shared" ref="BN342:BN343" si="2108">SUM(AF342:AI342)</f>
        <v>5408.0959008687241</v>
      </c>
      <c r="BO342" s="906">
        <f t="shared" ref="BO342:BO343" si="2109">SUM(AJ342:AM342)</f>
        <v>6385.7225974118992</v>
      </c>
      <c r="BP342" s="906">
        <f t="shared" si="2075"/>
        <v>7215.8665350754454</v>
      </c>
    </row>
    <row r="343" spans="2:72" s="102" customFormat="1" ht="10.5">
      <c r="B343" s="873" t="s">
        <v>404</v>
      </c>
      <c r="H343" s="849">
        <f t="shared" ref="H343:AI343" si="2110">+H251</f>
        <v>6436</v>
      </c>
      <c r="I343" s="849">
        <f t="shared" si="2110"/>
        <v>7179</v>
      </c>
      <c r="J343" s="849">
        <f t="shared" si="2110"/>
        <v>7707</v>
      </c>
      <c r="K343" s="849">
        <f t="shared" si="2110"/>
        <v>8548</v>
      </c>
      <c r="L343" s="849">
        <f t="shared" si="2110"/>
        <v>8238</v>
      </c>
      <c r="M343" s="849">
        <f t="shared" si="2110"/>
        <v>8953</v>
      </c>
      <c r="N343" s="849">
        <f t="shared" si="2110"/>
        <v>9006</v>
      </c>
      <c r="O343" s="849">
        <f t="shared" si="2110"/>
        <v>9668</v>
      </c>
      <c r="P343" s="849">
        <f t="shared" si="2110"/>
        <v>9771</v>
      </c>
      <c r="Q343" s="849">
        <f t="shared" si="2110"/>
        <v>10100</v>
      </c>
      <c r="R343" s="849">
        <f t="shared" si="2110"/>
        <v>10242</v>
      </c>
      <c r="S343" s="849">
        <f t="shared" si="2110"/>
        <v>11047</v>
      </c>
      <c r="T343" s="849">
        <f t="shared" si="2110"/>
        <v>11077</v>
      </c>
      <c r="U343" s="849">
        <f t="shared" si="2110"/>
        <v>11826</v>
      </c>
      <c r="V343" s="849">
        <f t="shared" si="2110"/>
        <v>11743</v>
      </c>
      <c r="W343" s="849">
        <f t="shared" si="2110"/>
        <v>11752</v>
      </c>
      <c r="X343" s="849">
        <f t="shared" si="2110"/>
        <v>12319</v>
      </c>
      <c r="Y343" s="849">
        <f t="shared" si="2110"/>
        <v>13353</v>
      </c>
      <c r="Z343" s="849">
        <f t="shared" si="2110"/>
        <v>13552</v>
      </c>
      <c r="AA343" s="849">
        <f t="shared" si="2110"/>
        <v>14691</v>
      </c>
      <c r="AB343" s="849">
        <f t="shared" si="2110"/>
        <v>15039</v>
      </c>
      <c r="AC343" s="849">
        <f t="shared" si="2110"/>
        <v>15936</v>
      </c>
      <c r="AD343" s="849">
        <f t="shared" si="2110"/>
        <v>15789</v>
      </c>
      <c r="AE343" s="849">
        <f t="shared" si="2110"/>
        <v>16600</v>
      </c>
      <c r="AF343" s="849">
        <f t="shared" si="2110"/>
        <v>16465</v>
      </c>
      <c r="AG343" s="849">
        <f t="shared" si="2110"/>
        <v>17002</v>
      </c>
      <c r="AH343" s="849">
        <f t="shared" si="2110"/>
        <v>17516</v>
      </c>
      <c r="AI343" s="849">
        <f t="shared" si="2110"/>
        <v>18291</v>
      </c>
      <c r="AJ343" s="849">
        <f t="shared" ref="AJ343:AK343" si="2111">+AJ251</f>
        <v>18592</v>
      </c>
      <c r="AK343" s="849">
        <f t="shared" si="2111"/>
        <v>19249</v>
      </c>
      <c r="AL343" s="849">
        <f t="shared" ref="AL343" si="2112">+AL251</f>
        <v>19570</v>
      </c>
      <c r="AM343" s="849">
        <f t="shared" ref="AM343" si="2113">+AM251</f>
        <v>20317</v>
      </c>
      <c r="AN343" s="849">
        <f t="shared" ref="AN343:AQ343" si="2114">+SUM(AN340:AN342)</f>
        <v>20773.882033240687</v>
      </c>
      <c r="AO343" s="849">
        <f t="shared" si="2114"/>
        <v>21512.444276770904</v>
      </c>
      <c r="AP343" s="849">
        <f t="shared" si="2114"/>
        <v>21877.371992487504</v>
      </c>
      <c r="AQ343" s="849">
        <f t="shared" si="2114"/>
        <v>22704.936486930375</v>
      </c>
      <c r="AV343" s="849"/>
      <c r="AW343" s="849"/>
      <c r="AX343" s="849"/>
      <c r="AY343" s="849"/>
      <c r="AZ343" s="849"/>
      <c r="BA343" s="849"/>
      <c r="BB343" s="849"/>
      <c r="BC343" s="849"/>
      <c r="BD343" s="849"/>
      <c r="BE343" s="849"/>
      <c r="BF343" s="849"/>
      <c r="BG343" s="849"/>
      <c r="BH343" s="849">
        <f t="shared" si="2072"/>
        <v>29870</v>
      </c>
      <c r="BI343" s="849">
        <f t="shared" si="2073"/>
        <v>35865</v>
      </c>
      <c r="BJ343" s="849">
        <f t="shared" si="2074"/>
        <v>41160</v>
      </c>
      <c r="BK343" s="849">
        <f t="shared" si="2105"/>
        <v>46398</v>
      </c>
      <c r="BL343" s="849">
        <f t="shared" si="2106"/>
        <v>53915</v>
      </c>
      <c r="BM343" s="849">
        <f t="shared" si="2107"/>
        <v>63364</v>
      </c>
      <c r="BN343" s="849">
        <f t="shared" si="2108"/>
        <v>69274</v>
      </c>
      <c r="BO343" s="849">
        <f t="shared" si="2109"/>
        <v>77728</v>
      </c>
      <c r="BP343" s="849">
        <f t="shared" si="2075"/>
        <v>86868.634789429459</v>
      </c>
      <c r="BT343" s="100"/>
    </row>
    <row r="344" spans="2:72">
      <c r="AG344" s="1115"/>
      <c r="AH344" s="8"/>
      <c r="AI344" s="8"/>
      <c r="AJ344" s="8"/>
      <c r="AK344" s="8"/>
      <c r="AL344" s="8"/>
      <c r="AM344" s="8"/>
      <c r="AN344" s="8"/>
      <c r="AO344" s="8"/>
      <c r="AP344" s="8"/>
      <c r="AQ344" s="8"/>
    </row>
    <row r="345" spans="2:72">
      <c r="B345" s="24" t="s">
        <v>113</v>
      </c>
      <c r="AG345" s="912"/>
      <c r="AH345" s="9"/>
      <c r="AI345" s="9"/>
      <c r="AJ345" s="9"/>
      <c r="AK345" s="9"/>
      <c r="AL345" s="9"/>
      <c r="AM345" s="9"/>
      <c r="AN345" s="9"/>
      <c r="AO345" s="9"/>
      <c r="AP345" s="9"/>
      <c r="AQ345" s="9"/>
    </row>
    <row r="346" spans="2:72" s="3" customFormat="1">
      <c r="B346" s="13" t="str">
        <f>+B337</f>
        <v>Office Commercial</v>
      </c>
      <c r="D346" s="228"/>
      <c r="E346" s="228"/>
      <c r="F346" s="228"/>
      <c r="G346" s="228"/>
      <c r="H346" s="228"/>
      <c r="I346" s="228"/>
      <c r="J346" s="228"/>
      <c r="K346" s="228"/>
      <c r="L346" s="228">
        <f t="shared" ref="L346:U347" si="2115">+L337/H337-1</f>
        <v>0.10000000000000009</v>
      </c>
      <c r="M346" s="228">
        <f t="shared" si="2115"/>
        <v>0.10000000000000009</v>
      </c>
      <c r="N346" s="228">
        <f t="shared" si="2115"/>
        <v>0.14000000000000012</v>
      </c>
      <c r="O346" s="228">
        <f t="shared" si="2115"/>
        <v>0.10000000000000009</v>
      </c>
      <c r="P346" s="228">
        <f t="shared" si="2115"/>
        <v>0.16999999999999993</v>
      </c>
      <c r="Q346" s="228">
        <f t="shared" si="2115"/>
        <v>0.1100000000000001</v>
      </c>
      <c r="R346" s="228">
        <f t="shared" si="2115"/>
        <v>0.12000000000000011</v>
      </c>
      <c r="S346" s="228">
        <f t="shared" si="2115"/>
        <v>0.14000000000000012</v>
      </c>
      <c r="T346" s="228">
        <f t="shared" si="2115"/>
        <v>0.12999999999999989</v>
      </c>
      <c r="U346" s="228">
        <f t="shared" si="2115"/>
        <v>0.15999999999999992</v>
      </c>
      <c r="V346" s="228">
        <f t="shared" ref="V346:AE347" si="2116">+V337/R337-1</f>
        <v>0.12999999999999989</v>
      </c>
      <c r="W346" s="228">
        <f t="shared" si="2116"/>
        <v>5.0000000000000044E-2</v>
      </c>
      <c r="X346" s="228">
        <f t="shared" si="2116"/>
        <v>9.000000000000008E-2</v>
      </c>
      <c r="Y346" s="228">
        <f t="shared" si="2116"/>
        <v>0.1100000000000001</v>
      </c>
      <c r="Z346" s="228">
        <f t="shared" si="2116"/>
        <v>0.14000000000000012</v>
      </c>
      <c r="AA346" s="228">
        <f t="shared" si="2116"/>
        <v>0.19999999999999996</v>
      </c>
      <c r="AB346" s="228">
        <f t="shared" si="2116"/>
        <v>0.17999999999999994</v>
      </c>
      <c r="AC346" s="228">
        <f t="shared" si="2116"/>
        <v>0.1399999999999999</v>
      </c>
      <c r="AD346" s="228">
        <f t="shared" si="2116"/>
        <v>0.12000000000000011</v>
      </c>
      <c r="AE346" s="228">
        <f t="shared" si="2116"/>
        <v>9.000000000000008E-2</v>
      </c>
      <c r="AF346" s="228">
        <f t="shared" ref="AF346:AG347" si="2117">+AF337/AB337-1</f>
        <v>7.0000000000000062E-2</v>
      </c>
      <c r="AG346" s="228">
        <f t="shared" si="2117"/>
        <v>7.0000000000000062E-2</v>
      </c>
      <c r="AH346" s="228">
        <f>+AH284</f>
        <v>0.13</v>
      </c>
      <c r="AI346" s="228">
        <f>+AI284</f>
        <v>0.12</v>
      </c>
      <c r="AJ346" s="228">
        <f t="shared" ref="AJ346:AK346" si="2118">+AJ284</f>
        <v>0.15</v>
      </c>
      <c r="AK346" s="228">
        <f t="shared" si="2118"/>
        <v>0.15</v>
      </c>
      <c r="AL346" s="228">
        <f t="shared" ref="AL346" si="2119">+AL284</f>
        <v>0.13</v>
      </c>
      <c r="AM346" s="228">
        <f t="shared" ref="AM346" si="2120">+AM284</f>
        <v>0.12</v>
      </c>
      <c r="AN346" s="829">
        <v>0.14000000000000001</v>
      </c>
      <c r="AO346" s="829">
        <v>0.14000000000000001</v>
      </c>
      <c r="AP346" s="829">
        <v>0.14000000000000001</v>
      </c>
      <c r="AQ346" s="829">
        <v>0.14000000000000001</v>
      </c>
      <c r="AR346" s="228"/>
      <c r="AS346" s="228"/>
      <c r="AT346" s="228"/>
      <c r="AU346" s="228"/>
      <c r="AV346" s="228"/>
      <c r="AW346" s="228"/>
      <c r="AX346" s="228"/>
      <c r="AY346" s="228"/>
      <c r="AZ346" s="228"/>
      <c r="BA346" s="228"/>
      <c r="BB346" s="228"/>
      <c r="BC346" s="228"/>
      <c r="BD346" s="228"/>
      <c r="BE346" s="228"/>
      <c r="BF346" s="228"/>
      <c r="BG346" s="228"/>
      <c r="BH346" s="228"/>
      <c r="BI346" s="228">
        <f t="shared" ref="BI346:BI347" si="2121">+BI337/BH337-1</f>
        <v>0.10974054068554584</v>
      </c>
      <c r="BJ346" s="228">
        <f t="shared" ref="BJ346:BJ347" si="2122">+BJ337/BI337-1</f>
        <v>0.13442955092225195</v>
      </c>
      <c r="BK346" s="228">
        <f t="shared" ref="BK346:BK347" si="2123">+BK337/BJ337-1</f>
        <v>0.11571602562589134</v>
      </c>
      <c r="BL346" s="228">
        <f t="shared" ref="BL346:BO347" si="2124">+BL337/BK337-1</f>
        <v>0.13556795571574431</v>
      </c>
      <c r="BM346" s="228">
        <f t="shared" si="2124"/>
        <v>0.13080419542778277</v>
      </c>
      <c r="BN346" s="228">
        <f t="shared" si="2124"/>
        <v>9.7875854923449301E-2</v>
      </c>
      <c r="BO346" s="228">
        <f t="shared" si="2124"/>
        <v>0.13695168958557513</v>
      </c>
      <c r="BP346" s="228">
        <f t="shared" ref="BP346:BP347" si="2125">+BP337/BO337-1</f>
        <v>0.14000000000000012</v>
      </c>
    </row>
    <row r="347" spans="2:72" s="839" customFormat="1" ht="11.45">
      <c r="B347" s="13" t="str">
        <f>+B338</f>
        <v>Office Consumer</v>
      </c>
      <c r="D347" s="1113"/>
      <c r="E347" s="1113"/>
      <c r="F347" s="1113"/>
      <c r="G347" s="1113"/>
      <c r="H347" s="1113"/>
      <c r="I347" s="1113"/>
      <c r="J347" s="1113"/>
      <c r="K347" s="1113"/>
      <c r="L347" s="1113">
        <f t="shared" si="2115"/>
        <v>0.12000000000000011</v>
      </c>
      <c r="M347" s="1113">
        <f t="shared" si="2115"/>
        <v>0.12000000000000011</v>
      </c>
      <c r="N347" s="1113">
        <f t="shared" si="2115"/>
        <v>0.12000000000000011</v>
      </c>
      <c r="O347" s="1113">
        <f t="shared" si="2115"/>
        <v>8.0000000000000071E-2</v>
      </c>
      <c r="P347" s="1113">
        <f t="shared" si="2115"/>
        <v>0.15999999999999992</v>
      </c>
      <c r="Q347" s="1113">
        <f t="shared" si="2115"/>
        <v>1.0000000000000009E-2</v>
      </c>
      <c r="R347" s="1113">
        <f t="shared" si="2115"/>
        <v>8.0000000000000071E-2</v>
      </c>
      <c r="S347" s="1113">
        <f t="shared" si="2115"/>
        <v>6.0000000000000053E-2</v>
      </c>
      <c r="T347" s="1113">
        <f t="shared" si="2115"/>
        <v>5.0000000000000044E-2</v>
      </c>
      <c r="U347" s="1113">
        <f t="shared" si="2115"/>
        <v>0.18999999999999995</v>
      </c>
      <c r="V347" s="1113">
        <f t="shared" si="2116"/>
        <v>0.14999999999999991</v>
      </c>
      <c r="W347" s="1113">
        <f t="shared" si="2116"/>
        <v>6.0000000000000053E-2</v>
      </c>
      <c r="X347" s="1113">
        <f t="shared" si="2116"/>
        <v>0.1100000000000001</v>
      </c>
      <c r="Y347" s="1113">
        <f t="shared" si="2116"/>
        <v>7.0000000000000062E-2</v>
      </c>
      <c r="Z347" s="1113">
        <f t="shared" si="2116"/>
        <v>5.0000000000000044E-2</v>
      </c>
      <c r="AA347" s="1113">
        <f t="shared" si="2116"/>
        <v>0.17999999999999994</v>
      </c>
      <c r="AB347" s="1113">
        <f t="shared" si="2116"/>
        <v>0.10000000000000009</v>
      </c>
      <c r="AC347" s="1113">
        <f t="shared" si="2116"/>
        <v>0.14999999999999991</v>
      </c>
      <c r="AD347" s="1113">
        <f t="shared" si="2116"/>
        <v>0.12000000000000011</v>
      </c>
      <c r="AE347" s="1113">
        <f t="shared" si="2116"/>
        <v>9.000000000000008E-2</v>
      </c>
      <c r="AF347" s="1113">
        <f t="shared" si="2117"/>
        <v>7.0000000000000062E-2</v>
      </c>
      <c r="AG347" s="1113">
        <f t="shared" si="2117"/>
        <v>-2.0000000000000018E-2</v>
      </c>
      <c r="AH347" s="840">
        <f>+AH286</f>
        <v>0.01</v>
      </c>
      <c r="AI347" s="840">
        <f>+AI286</f>
        <v>0.03</v>
      </c>
      <c r="AJ347" s="840">
        <f t="shared" ref="AJ347:AK347" si="2126">+AJ286</f>
        <v>0.03</v>
      </c>
      <c r="AK347" s="840">
        <f t="shared" si="2126"/>
        <v>0.05</v>
      </c>
      <c r="AL347" s="840">
        <f t="shared" ref="AL347" si="2127">+AL286</f>
        <v>0.04</v>
      </c>
      <c r="AM347" s="840">
        <f t="shared" ref="AM347" si="2128">+AM286</f>
        <v>0.03</v>
      </c>
      <c r="AN347" s="908">
        <v>0.03</v>
      </c>
      <c r="AO347" s="908">
        <v>0.03</v>
      </c>
      <c r="AP347" s="908">
        <v>0.03</v>
      </c>
      <c r="AQ347" s="908">
        <v>0.03</v>
      </c>
      <c r="AR347" s="1113"/>
      <c r="AS347" s="1113"/>
      <c r="AT347" s="1113"/>
      <c r="AU347" s="1113"/>
      <c r="AV347" s="1113"/>
      <c r="AW347" s="1113"/>
      <c r="AX347" s="1113"/>
      <c r="AY347" s="1113"/>
      <c r="AZ347" s="1113"/>
      <c r="BA347" s="1113"/>
      <c r="BB347" s="1113"/>
      <c r="BC347" s="1113"/>
      <c r="BD347" s="1113"/>
      <c r="BE347" s="1113"/>
      <c r="BF347" s="1113"/>
      <c r="BG347" s="1113"/>
      <c r="BH347" s="1113"/>
      <c r="BI347" s="1113">
        <f t="shared" si="2121"/>
        <v>0.10892572419250102</v>
      </c>
      <c r="BJ347" s="1113">
        <f t="shared" si="2122"/>
        <v>7.6299039689430526E-2</v>
      </c>
      <c r="BK347" s="1113">
        <f t="shared" si="2123"/>
        <v>0.11005220831937046</v>
      </c>
      <c r="BL347" s="1113">
        <f t="shared" si="2124"/>
        <v>0.10212009154985457</v>
      </c>
      <c r="BM347" s="1113">
        <f t="shared" si="2124"/>
        <v>0.11416934071842744</v>
      </c>
      <c r="BN347" s="1113">
        <f t="shared" si="2124"/>
        <v>2.2171205256443116E-2</v>
      </c>
      <c r="BO347" s="1113">
        <f t="shared" si="2124"/>
        <v>3.7191360517719874E-2</v>
      </c>
      <c r="BP347" s="1113">
        <f t="shared" si="2125"/>
        <v>3.0000000000000027E-2</v>
      </c>
    </row>
    <row r="348" spans="2:72" s="3" customFormat="1">
      <c r="B348" s="15" t="str">
        <f>+B340</f>
        <v>Total Office</v>
      </c>
      <c r="D348" s="228"/>
      <c r="E348" s="228"/>
      <c r="F348" s="228"/>
      <c r="G348" s="228"/>
      <c r="H348" s="228"/>
      <c r="I348" s="228"/>
      <c r="J348" s="228"/>
      <c r="K348" s="228"/>
      <c r="L348" s="228">
        <f t="shared" ref="L348:U348" si="2129">+L340/H340-1</f>
        <v>9.9130725509863016E-2</v>
      </c>
      <c r="M348" s="228">
        <f t="shared" si="2129"/>
        <v>9.8773101413262898E-2</v>
      </c>
      <c r="N348" s="228">
        <f t="shared" si="2129"/>
        <v>0.13699069618222648</v>
      </c>
      <c r="O348" s="228">
        <f t="shared" si="2129"/>
        <v>9.5403295750216888E-2</v>
      </c>
      <c r="P348" s="228">
        <f t="shared" si="2129"/>
        <v>0.15923954372623572</v>
      </c>
      <c r="Q348" s="228">
        <f t="shared" si="2129"/>
        <v>9.4982332155477023E-2</v>
      </c>
      <c r="R348" s="228">
        <f t="shared" si="2129"/>
        <v>0.1130079006772009</v>
      </c>
      <c r="S348" s="228">
        <f t="shared" si="2129"/>
        <v>0.12311955661124308</v>
      </c>
      <c r="T348" s="228">
        <f t="shared" si="2129"/>
        <v>0.11073209131461548</v>
      </c>
      <c r="U348" s="228">
        <f t="shared" si="2129"/>
        <v>0.15954563056667093</v>
      </c>
      <c r="V348" s="228">
        <f t="shared" ref="V348:AE348" si="2130">+V340/R340-1</f>
        <v>0.1306883001647865</v>
      </c>
      <c r="W348" s="228">
        <f t="shared" si="2130"/>
        <v>5.1227822817530244E-2</v>
      </c>
      <c r="X348" s="228">
        <f t="shared" si="2130"/>
        <v>9.5913064020789029E-2</v>
      </c>
      <c r="Y348" s="228">
        <f t="shared" si="2130"/>
        <v>9.9966603584548563E-2</v>
      </c>
      <c r="Z348" s="228">
        <f t="shared" si="2130"/>
        <v>0.12286995515695076</v>
      </c>
      <c r="AA348" s="228">
        <f t="shared" si="2130"/>
        <v>0.19559628925896955</v>
      </c>
      <c r="AB348" s="228">
        <f t="shared" si="2130"/>
        <v>0.16490622979090319</v>
      </c>
      <c r="AC348" s="228">
        <f t="shared" si="2130"/>
        <v>0.13864993421718452</v>
      </c>
      <c r="AD348" s="228">
        <f t="shared" si="2130"/>
        <v>0.11461661341853024</v>
      </c>
      <c r="AE348" s="228">
        <f t="shared" si="2130"/>
        <v>8.8062073478545333E-2</v>
      </c>
      <c r="AF348" s="228">
        <f t="shared" ref="AF348:AI351" si="2131">+AF340/AB340-1</f>
        <v>6.8467801628423475E-2</v>
      </c>
      <c r="AG348" s="228">
        <f t="shared" si="2131"/>
        <v>5.2084259176962133E-2</v>
      </c>
      <c r="AH348" s="228">
        <f t="shared" si="2131"/>
        <v>0.11402183361078366</v>
      </c>
      <c r="AI348" s="228">
        <f t="shared" si="2131"/>
        <v>0.10794779179486969</v>
      </c>
      <c r="AJ348" s="228">
        <f t="shared" ref="AJ348" si="2132">+AJ340/AF340-1</f>
        <v>0.13456463017387277</v>
      </c>
      <c r="AK348" s="228">
        <f t="shared" ref="AK348" si="2133">+AK340/AG340-1</f>
        <v>0.13812124902391254</v>
      </c>
      <c r="AL348" s="228">
        <f t="shared" ref="AL348" si="2134">+AL340/AH340-1</f>
        <v>0.11913534665599723</v>
      </c>
      <c r="AM348" s="228">
        <f t="shared" ref="AM348" si="2135">+AM340/AI340-1</f>
        <v>0.10879570450591913</v>
      </c>
      <c r="AN348" s="228">
        <f t="shared" ref="AN348" si="2136">+AN340/AJ340-1</f>
        <v>0.12715493036719439</v>
      </c>
      <c r="AO348" s="228">
        <f t="shared" ref="AO348" si="2137">+AO340/AK340-1</f>
        <v>0.12794508283792472</v>
      </c>
      <c r="AP348" s="228">
        <f t="shared" ref="AP348" si="2138">+AP340/AL340-1</f>
        <v>0.12765995406614805</v>
      </c>
      <c r="AQ348" s="228">
        <f t="shared" ref="AQ348" si="2139">+AQ340/AM340-1</f>
        <v>0.12727902439736494</v>
      </c>
      <c r="AR348" s="228"/>
      <c r="AS348" s="228"/>
      <c r="AT348" s="228"/>
      <c r="AU348" s="228"/>
      <c r="AV348" s="228"/>
      <c r="AW348" s="228"/>
      <c r="AX348" s="228"/>
      <c r="AY348" s="228"/>
      <c r="AZ348" s="228"/>
      <c r="BA348" s="228"/>
      <c r="BB348" s="228"/>
      <c r="BC348" s="228"/>
      <c r="BD348" s="228"/>
      <c r="BE348" s="228"/>
      <c r="BF348" s="228"/>
      <c r="BG348" s="228"/>
      <c r="BH348" s="228"/>
      <c r="BI348" s="228">
        <f t="shared" ref="BI348:BI351" si="2140">+BI340/BH340-1</f>
        <v>0.10726156493176386</v>
      </c>
      <c r="BJ348" s="228">
        <f t="shared" ref="BJ348:BJ351" si="2141">+BJ340/BI340-1</f>
        <v>0.12194518999858728</v>
      </c>
      <c r="BK348" s="228">
        <f t="shared" ref="BK348:BK351" si="2142">+BK340/BJ340-1</f>
        <v>0.11164972142654794</v>
      </c>
      <c r="BL348" s="228">
        <f t="shared" ref="BL348:BO351" si="2143">+BL340/BK340-1</f>
        <v>0.12900668252350211</v>
      </c>
      <c r="BM348" s="228">
        <f t="shared" si="2143"/>
        <v>0.125150481540931</v>
      </c>
      <c r="BN348" s="228">
        <f t="shared" si="2143"/>
        <v>8.5937856072651142E-2</v>
      </c>
      <c r="BO348" s="228">
        <f t="shared" si="2143"/>
        <v>0.12466889186525099</v>
      </c>
      <c r="BP348" s="228">
        <f t="shared" ref="BP348:BP351" si="2144">+BP340/BO340-1</f>
        <v>0.12750988837781185</v>
      </c>
    </row>
    <row r="349" spans="2:72" s="3" customFormat="1">
      <c r="B349" s="13" t="str">
        <f>+B341</f>
        <v>LinkedIn</v>
      </c>
      <c r="D349" s="228"/>
      <c r="E349" s="228"/>
      <c r="F349" s="228"/>
      <c r="G349" s="228"/>
      <c r="H349" s="228"/>
      <c r="I349" s="228"/>
      <c r="J349" s="228"/>
      <c r="K349" s="228"/>
      <c r="L349" s="228" t="s">
        <v>271</v>
      </c>
      <c r="M349" s="228">
        <f t="shared" ref="M349:V351" si="2145">+M341/I341-1</f>
        <v>4.7543859649122808</v>
      </c>
      <c r="N349" s="228">
        <f t="shared" si="2145"/>
        <v>0.36782786885245899</v>
      </c>
      <c r="O349" s="228">
        <f t="shared" si="2145"/>
        <v>0.37207122774133072</v>
      </c>
      <c r="P349" s="228">
        <f t="shared" si="2145"/>
        <v>0.33275261324041816</v>
      </c>
      <c r="Q349" s="228">
        <f t="shared" si="2145"/>
        <v>0.29039634146341453</v>
      </c>
      <c r="R349" s="228">
        <f t="shared" si="2145"/>
        <v>0.27041198501872654</v>
      </c>
      <c r="S349" s="228">
        <f t="shared" si="2145"/>
        <v>0.25341530054644812</v>
      </c>
      <c r="T349" s="228">
        <f t="shared" si="2145"/>
        <v>0.2477124183006536</v>
      </c>
      <c r="U349" s="228">
        <f t="shared" si="2145"/>
        <v>0.24158298877731843</v>
      </c>
      <c r="V349" s="228">
        <f t="shared" si="2145"/>
        <v>0.20872641509433953</v>
      </c>
      <c r="W349" s="228">
        <f t="shared" ref="W349:AF351" si="2146">+W341/S341-1</f>
        <v>9.8637602179836525E-2</v>
      </c>
      <c r="X349" s="228">
        <f t="shared" si="2146"/>
        <v>0.15557883708748044</v>
      </c>
      <c r="Y349" s="228">
        <f t="shared" si="2146"/>
        <v>0.22597526165556614</v>
      </c>
      <c r="Z349" s="228">
        <f t="shared" si="2146"/>
        <v>0.24975609756097561</v>
      </c>
      <c r="AA349" s="228">
        <f t="shared" si="2146"/>
        <v>0.46031746031746024</v>
      </c>
      <c r="AB349" s="228">
        <f t="shared" si="2146"/>
        <v>0.4215775158658206</v>
      </c>
      <c r="AC349" s="228">
        <f t="shared" si="2146"/>
        <v>0.37019790454016288</v>
      </c>
      <c r="AD349" s="228">
        <f t="shared" si="2146"/>
        <v>0.34153005464480879</v>
      </c>
      <c r="AE349" s="228">
        <f t="shared" si="2146"/>
        <v>0.26086956521739135</v>
      </c>
      <c r="AF349" s="228">
        <f t="shared" si="2146"/>
        <v>0.16804846938775508</v>
      </c>
      <c r="AG349" s="228">
        <f t="shared" ref="AG349:AI351" si="2147">+AG341/AC341-1</f>
        <v>9.7706032285471478E-2</v>
      </c>
      <c r="AH349" s="228">
        <f t="shared" si="2131"/>
        <v>8.0000000000000071E-2</v>
      </c>
      <c r="AI349" s="228">
        <f>+AI312</f>
        <v>0.05</v>
      </c>
      <c r="AJ349" s="228">
        <f t="shared" ref="AJ349:AK349" si="2148">+AJ312</f>
        <v>0.08</v>
      </c>
      <c r="AK349" s="228">
        <f t="shared" si="2148"/>
        <v>0.09</v>
      </c>
      <c r="AL349" s="228">
        <f t="shared" ref="AL349" si="2149">+AL312</f>
        <v>0.1</v>
      </c>
      <c r="AM349" s="228">
        <f t="shared" ref="AM349" si="2150">+AM312</f>
        <v>0.1</v>
      </c>
      <c r="AN349" s="829">
        <v>0.08</v>
      </c>
      <c r="AO349" s="829">
        <v>0.08</v>
      </c>
      <c r="AP349" s="829">
        <v>0.08</v>
      </c>
      <c r="AQ349" s="829">
        <v>0.08</v>
      </c>
      <c r="AR349" s="228"/>
      <c r="AS349" s="228"/>
      <c r="AT349" s="228"/>
      <c r="AU349" s="228"/>
      <c r="AV349" s="228"/>
      <c r="AW349" s="228"/>
      <c r="AX349" s="228"/>
      <c r="AY349" s="228"/>
      <c r="AZ349" s="228"/>
      <c r="BA349" s="228"/>
      <c r="BB349" s="228"/>
      <c r="BC349" s="228"/>
      <c r="BD349" s="228"/>
      <c r="BE349" s="228"/>
      <c r="BF349" s="228"/>
      <c r="BG349" s="228"/>
      <c r="BH349" s="228"/>
      <c r="BI349" s="228">
        <f t="shared" si="2140"/>
        <v>1.3157199471598413</v>
      </c>
      <c r="BJ349" s="228">
        <f t="shared" si="2141"/>
        <v>0.28427457691576352</v>
      </c>
      <c r="BK349" s="228">
        <f t="shared" si="2142"/>
        <v>0.19588392063962101</v>
      </c>
      <c r="BL349" s="228">
        <f t="shared" si="2143"/>
        <v>0.27386405843753869</v>
      </c>
      <c r="BM349" s="228">
        <f t="shared" si="2143"/>
        <v>0.34279327437068718</v>
      </c>
      <c r="BN349" s="228">
        <f t="shared" si="2143"/>
        <v>9.64504921829763E-2</v>
      </c>
      <c r="BO349" s="228">
        <f t="shared" si="2143"/>
        <v>9.260523772556617E-2</v>
      </c>
      <c r="BP349" s="228">
        <f t="shared" si="2144"/>
        <v>8.0000000000000071E-2</v>
      </c>
    </row>
    <row r="350" spans="2:72" s="839" customFormat="1" ht="11.45">
      <c r="B350" s="13" t="str">
        <f>+B342</f>
        <v>Dynamics and Other</v>
      </c>
      <c r="D350" s="1113"/>
      <c r="E350" s="1113"/>
      <c r="F350" s="1113"/>
      <c r="G350" s="1113"/>
      <c r="H350" s="1113"/>
      <c r="I350" s="1113"/>
      <c r="J350" s="1113"/>
      <c r="K350" s="1113"/>
      <c r="L350" s="1113">
        <f>+L342/H342-1</f>
        <v>0.13436123348017626</v>
      </c>
      <c r="M350" s="1113">
        <f t="shared" si="2145"/>
        <v>0.10546875</v>
      </c>
      <c r="N350" s="1113">
        <f t="shared" si="2145"/>
        <v>0.17303822937625757</v>
      </c>
      <c r="O350" s="1113">
        <f t="shared" si="2145"/>
        <v>0.11190053285968027</v>
      </c>
      <c r="P350" s="1113">
        <f t="shared" si="2145"/>
        <v>0.20194174757281558</v>
      </c>
      <c r="Q350" s="1113">
        <f t="shared" si="2145"/>
        <v>0.16607773851590113</v>
      </c>
      <c r="R350" s="1113">
        <f t="shared" si="2145"/>
        <v>0.12692967409948541</v>
      </c>
      <c r="S350" s="1113">
        <f t="shared" si="2145"/>
        <v>0.11980830670926523</v>
      </c>
      <c r="T350" s="1113">
        <f t="shared" si="2145"/>
        <v>0.13408723747980611</v>
      </c>
      <c r="U350" s="1113">
        <f t="shared" si="2145"/>
        <v>0.1227272727272728</v>
      </c>
      <c r="V350" s="1113">
        <f t="shared" si="2145"/>
        <v>0.17656012176560121</v>
      </c>
      <c r="W350" s="1113">
        <f t="shared" si="2146"/>
        <v>0.12553495007132676</v>
      </c>
      <c r="X350" s="1113">
        <f t="shared" si="2146"/>
        <v>0.18945868945868938</v>
      </c>
      <c r="Y350" s="1113">
        <f t="shared" si="2146"/>
        <v>0.20782726045883937</v>
      </c>
      <c r="Z350" s="1113">
        <f t="shared" si="2146"/>
        <v>0.26002587322121595</v>
      </c>
      <c r="AA350" s="1113">
        <f t="shared" si="2146"/>
        <v>0.33079847908745252</v>
      </c>
      <c r="AB350" s="1113">
        <f t="shared" si="2146"/>
        <v>0.31137724550898205</v>
      </c>
      <c r="AC350" s="1113">
        <f t="shared" si="2146"/>
        <v>0.28938547486033528</v>
      </c>
      <c r="AD350" s="1113">
        <f t="shared" si="2146"/>
        <v>0.21971252566735111</v>
      </c>
      <c r="AE350" s="1113">
        <f t="shared" si="2146"/>
        <v>0.18952380952380943</v>
      </c>
      <c r="AF350" s="1113">
        <f t="shared" si="2146"/>
        <v>0.14520547945205475</v>
      </c>
      <c r="AG350" s="1113">
        <f t="shared" si="2147"/>
        <v>0.1169844020797226</v>
      </c>
      <c r="AH350" s="1113">
        <f t="shared" si="2131"/>
        <v>0.15075778583266985</v>
      </c>
      <c r="AI350" s="840">
        <f t="shared" si="2131"/>
        <v>0.19935600584428514</v>
      </c>
      <c r="AJ350" s="840">
        <f t="shared" ref="AJ350:AJ351" si="2151">+AJ342/AF342-1</f>
        <v>0.22329158752162304</v>
      </c>
      <c r="AK350" s="840">
        <f t="shared" ref="AK350:AK351" si="2152">+AK342/AG342-1</f>
        <v>0.20420385981687117</v>
      </c>
      <c r="AL350" s="840">
        <f t="shared" ref="AL350:AL351" si="2153">+AL342/AH342-1</f>
        <v>0.14711786612287692</v>
      </c>
      <c r="AM350" s="840">
        <f t="shared" ref="AM350:AM351" si="2154">+AM342/AI342-1</f>
        <v>0.15572501748724776</v>
      </c>
      <c r="AN350" s="908">
        <v>0.13</v>
      </c>
      <c r="AO350" s="908">
        <v>0.13</v>
      </c>
      <c r="AP350" s="908">
        <v>0.13</v>
      </c>
      <c r="AQ350" s="908">
        <v>0.13</v>
      </c>
      <c r="AR350" s="1113"/>
      <c r="AS350" s="1113"/>
      <c r="AT350" s="1113"/>
      <c r="AU350" s="1113"/>
      <c r="AV350" s="1113"/>
      <c r="AW350" s="1113"/>
      <c r="AX350" s="1113"/>
      <c r="AY350" s="1113"/>
      <c r="AZ350" s="1113"/>
      <c r="BA350" s="1113"/>
      <c r="BB350" s="1113"/>
      <c r="BC350" s="1113"/>
      <c r="BD350" s="1113"/>
      <c r="BE350" s="1113"/>
      <c r="BF350" s="1113"/>
      <c r="BG350" s="1113"/>
      <c r="BH350" s="1113"/>
      <c r="BI350" s="1113">
        <f t="shared" si="2140"/>
        <v>0.13030602171767036</v>
      </c>
      <c r="BJ350" s="1113">
        <f t="shared" si="2141"/>
        <v>0.1515283842794759</v>
      </c>
      <c r="BK350" s="1113">
        <f t="shared" si="2142"/>
        <v>0.13955252180508149</v>
      </c>
      <c r="BL350" s="1113">
        <f t="shared" si="2143"/>
        <v>0.2492512479201332</v>
      </c>
      <c r="BM350" s="1113">
        <f t="shared" si="2143"/>
        <v>0.24826851358550872</v>
      </c>
      <c r="BN350" s="1113">
        <f t="shared" si="2143"/>
        <v>0.15409643637830217</v>
      </c>
      <c r="BO350" s="1113">
        <f t="shared" si="2143"/>
        <v>0.18077096162184092</v>
      </c>
      <c r="BP350" s="1113">
        <f t="shared" si="2144"/>
        <v>0.12999999999999989</v>
      </c>
    </row>
    <row r="351" spans="2:72" s="7" customFormat="1">
      <c r="B351" s="841" t="str">
        <f>+B343</f>
        <v>Total PBP Revenue</v>
      </c>
      <c r="D351" s="842"/>
      <c r="E351" s="842"/>
      <c r="F351" s="842"/>
      <c r="G351" s="842"/>
      <c r="H351" s="842"/>
      <c r="I351" s="842"/>
      <c r="J351" s="842"/>
      <c r="K351" s="842"/>
      <c r="L351" s="842">
        <f>+L343/H343-1</f>
        <v>0.27998756991920448</v>
      </c>
      <c r="M351" s="842">
        <f t="shared" si="2145"/>
        <v>0.24710962529600233</v>
      </c>
      <c r="N351" s="842">
        <f t="shared" si="2145"/>
        <v>0.1685480731802258</v>
      </c>
      <c r="O351" s="842">
        <f t="shared" si="2145"/>
        <v>0.13102480112306969</v>
      </c>
      <c r="P351" s="842">
        <f t="shared" si="2145"/>
        <v>0.18608885651857254</v>
      </c>
      <c r="Q351" s="842">
        <f t="shared" si="2145"/>
        <v>0.12811348151457613</v>
      </c>
      <c r="R351" s="842">
        <f t="shared" si="2145"/>
        <v>0.13724183877415053</v>
      </c>
      <c r="S351" s="842">
        <f t="shared" si="2145"/>
        <v>0.14263549855192381</v>
      </c>
      <c r="T351" s="842">
        <f t="shared" si="2145"/>
        <v>0.13366083307747423</v>
      </c>
      <c r="U351" s="842">
        <f t="shared" si="2145"/>
        <v>0.17089108910891082</v>
      </c>
      <c r="V351" s="842">
        <f t="shared" si="2145"/>
        <v>0.14655340753759027</v>
      </c>
      <c r="W351" s="842">
        <f t="shared" si="2146"/>
        <v>6.3818231193989217E-2</v>
      </c>
      <c r="X351" s="842">
        <f t="shared" si="2146"/>
        <v>0.11212422135957389</v>
      </c>
      <c r="Y351" s="842">
        <f t="shared" si="2146"/>
        <v>0.12912227295788936</v>
      </c>
      <c r="Z351" s="842">
        <f t="shared" si="2146"/>
        <v>0.15404922081239891</v>
      </c>
      <c r="AA351" s="842">
        <f t="shared" si="2146"/>
        <v>0.25008509189925121</v>
      </c>
      <c r="AB351" s="842">
        <f t="shared" si="2146"/>
        <v>0.22079714262521311</v>
      </c>
      <c r="AC351" s="842">
        <f t="shared" si="2146"/>
        <v>0.19343967647719618</v>
      </c>
      <c r="AD351" s="842">
        <f t="shared" si="2146"/>
        <v>0.16506788665879579</v>
      </c>
      <c r="AE351" s="842">
        <f t="shared" si="2146"/>
        <v>0.12994350282485878</v>
      </c>
      <c r="AF351" s="842">
        <f t="shared" si="2146"/>
        <v>9.4820134317441296E-2</v>
      </c>
      <c r="AG351" s="842">
        <f t="shared" si="2147"/>
        <v>6.6892570281124497E-2</v>
      </c>
      <c r="AH351" s="842">
        <f t="shared" si="2131"/>
        <v>0.10937994806510853</v>
      </c>
      <c r="AI351" s="842">
        <f t="shared" si="2147"/>
        <v>0.10186746987951811</v>
      </c>
      <c r="AJ351" s="842">
        <f t="shared" si="2151"/>
        <v>0.12918311569996965</v>
      </c>
      <c r="AK351" s="842">
        <f t="shared" si="2152"/>
        <v>0.13216092224444176</v>
      </c>
      <c r="AL351" s="842">
        <f t="shared" si="2153"/>
        <v>0.11726421557433198</v>
      </c>
      <c r="AM351" s="842">
        <f t="shared" si="2154"/>
        <v>0.1107648570335138</v>
      </c>
      <c r="AN351" s="842">
        <f t="shared" ref="AN351" si="2155">+AN343/AJ343-1</f>
        <v>0.11735596134039827</v>
      </c>
      <c r="AO351" s="842">
        <f t="shared" ref="AO351" si="2156">+AO343/AK343-1</f>
        <v>0.11758762931949218</v>
      </c>
      <c r="AP351" s="842">
        <f t="shared" ref="AP351" si="2157">+AP343/AL343-1</f>
        <v>0.11790352542092508</v>
      </c>
      <c r="AQ351" s="842">
        <f t="shared" ref="AQ351" si="2158">+AQ343/AM343-1</f>
        <v>0.11753391184379458</v>
      </c>
      <c r="AR351" s="842"/>
      <c r="AS351" s="842"/>
      <c r="AT351" s="842"/>
      <c r="AU351" s="842"/>
      <c r="AV351" s="842"/>
      <c r="AW351" s="842"/>
      <c r="AX351" s="842"/>
      <c r="AY351" s="842"/>
      <c r="AZ351" s="842"/>
      <c r="BA351" s="842"/>
      <c r="BB351" s="842"/>
      <c r="BC351" s="842"/>
      <c r="BD351" s="842"/>
      <c r="BE351" s="842"/>
      <c r="BF351" s="842"/>
      <c r="BG351" s="842"/>
      <c r="BH351" s="842"/>
      <c r="BI351" s="842">
        <f t="shared" si="2140"/>
        <v>0.20070304653498483</v>
      </c>
      <c r="BJ351" s="842">
        <f t="shared" si="2141"/>
        <v>0.14763697197825176</v>
      </c>
      <c r="BK351" s="842">
        <f t="shared" si="2142"/>
        <v>0.12725947521865888</v>
      </c>
      <c r="BL351" s="842">
        <f t="shared" si="2143"/>
        <v>0.16201129359024091</v>
      </c>
      <c r="BM351" s="842">
        <f t="shared" si="2143"/>
        <v>0.17525734953167027</v>
      </c>
      <c r="BN351" s="842">
        <f t="shared" si="2143"/>
        <v>9.3270626854365268E-2</v>
      </c>
      <c r="BO351" s="842">
        <f t="shared" si="2143"/>
        <v>0.12203712792678356</v>
      </c>
      <c r="BP351" s="842">
        <f t="shared" si="2144"/>
        <v>0.11759770982695383</v>
      </c>
    </row>
    <row r="353" spans="2:68">
      <c r="B353" s="24" t="s">
        <v>405</v>
      </c>
      <c r="AG353" s="912"/>
      <c r="AH353" s="9"/>
      <c r="AI353" s="9"/>
      <c r="AJ353" s="9"/>
      <c r="AK353" s="9"/>
      <c r="AL353" s="9"/>
      <c r="AM353" s="9"/>
      <c r="AN353" s="9"/>
      <c r="AO353" s="9"/>
      <c r="AP353" s="9"/>
      <c r="AQ353" s="9"/>
    </row>
    <row r="354" spans="2:68" s="872" customFormat="1">
      <c r="B354" s="875" t="str">
        <f>+B346</f>
        <v>Office Commercial</v>
      </c>
      <c r="D354" s="228"/>
      <c r="E354" s="228"/>
      <c r="F354" s="228"/>
      <c r="G354" s="228"/>
      <c r="H354" s="228"/>
      <c r="I354" s="228"/>
      <c r="J354" s="228"/>
      <c r="K354" s="228"/>
      <c r="L354" s="228"/>
      <c r="M354" s="228"/>
      <c r="N354" s="228"/>
      <c r="O354" s="228"/>
      <c r="P354" s="228">
        <f t="shared" ref="P354:AL354" si="2159">+P346+L346</f>
        <v>0.27</v>
      </c>
      <c r="Q354" s="228">
        <f t="shared" si="2159"/>
        <v>0.21000000000000019</v>
      </c>
      <c r="R354" s="228">
        <f t="shared" si="2159"/>
        <v>0.26000000000000023</v>
      </c>
      <c r="S354" s="228">
        <f t="shared" si="2159"/>
        <v>0.24000000000000021</v>
      </c>
      <c r="T354" s="228">
        <f t="shared" si="2159"/>
        <v>0.29999999999999982</v>
      </c>
      <c r="U354" s="228">
        <f t="shared" si="2159"/>
        <v>0.27</v>
      </c>
      <c r="V354" s="228">
        <f t="shared" si="2159"/>
        <v>0.25</v>
      </c>
      <c r="W354" s="228">
        <f t="shared" si="2159"/>
        <v>0.19000000000000017</v>
      </c>
      <c r="X354" s="228">
        <f t="shared" si="2159"/>
        <v>0.21999999999999997</v>
      </c>
      <c r="Y354" s="228">
        <f t="shared" si="2159"/>
        <v>0.27</v>
      </c>
      <c r="Z354" s="228">
        <f t="shared" si="2159"/>
        <v>0.27</v>
      </c>
      <c r="AA354" s="228">
        <f t="shared" si="2159"/>
        <v>0.25</v>
      </c>
      <c r="AB354" s="228">
        <f t="shared" si="2159"/>
        <v>0.27</v>
      </c>
      <c r="AC354" s="228">
        <f t="shared" si="2159"/>
        <v>0.25</v>
      </c>
      <c r="AD354" s="228">
        <f t="shared" si="2159"/>
        <v>0.26000000000000023</v>
      </c>
      <c r="AE354" s="228">
        <f t="shared" si="2159"/>
        <v>0.29000000000000004</v>
      </c>
      <c r="AF354" s="228">
        <f t="shared" si="2159"/>
        <v>0.25</v>
      </c>
      <c r="AG354" s="228">
        <f t="shared" si="2159"/>
        <v>0.20999999999999996</v>
      </c>
      <c r="AH354" s="228">
        <f t="shared" si="2159"/>
        <v>0.25000000000000011</v>
      </c>
      <c r="AI354" s="228">
        <f t="shared" si="2159"/>
        <v>0.21000000000000008</v>
      </c>
      <c r="AJ354" s="228">
        <f t="shared" si="2159"/>
        <v>0.22000000000000006</v>
      </c>
      <c r="AK354" s="228">
        <f t="shared" si="2159"/>
        <v>0.22000000000000006</v>
      </c>
      <c r="AL354" s="228">
        <f t="shared" si="2159"/>
        <v>0.26</v>
      </c>
      <c r="AM354" s="228">
        <f t="shared" ref="AM354:AM359" si="2160">+AM346+AI346</f>
        <v>0.24</v>
      </c>
      <c r="AN354" s="228">
        <f t="shared" ref="AN354:AQ359" si="2161">+AN346+AJ346</f>
        <v>0.29000000000000004</v>
      </c>
      <c r="AO354" s="228">
        <f t="shared" si="2161"/>
        <v>0.29000000000000004</v>
      </c>
      <c r="AP354" s="228">
        <f t="shared" si="2161"/>
        <v>0.27</v>
      </c>
      <c r="AQ354" s="228">
        <f t="shared" si="2161"/>
        <v>0.26</v>
      </c>
      <c r="AR354" s="228"/>
      <c r="AS354" s="228"/>
      <c r="AT354" s="228"/>
      <c r="AU354" s="228"/>
      <c r="AV354" s="228"/>
      <c r="AW354" s="228"/>
      <c r="AX354" s="228"/>
      <c r="AY354" s="228"/>
      <c r="AZ354" s="228"/>
      <c r="BA354" s="228"/>
      <c r="BB354" s="228"/>
      <c r="BC354" s="228"/>
      <c r="BD354" s="228"/>
      <c r="BE354" s="228"/>
      <c r="BF354" s="228"/>
      <c r="BG354" s="228"/>
      <c r="BH354" s="228"/>
      <c r="BI354" s="228"/>
      <c r="BJ354" s="228">
        <f t="shared" ref="BJ354:BN354" si="2162">+BJ346+BI346</f>
        <v>0.24417009160779779</v>
      </c>
      <c r="BK354" s="228">
        <f t="shared" si="2162"/>
        <v>0.25014557654814329</v>
      </c>
      <c r="BL354" s="228">
        <f t="shared" si="2162"/>
        <v>0.25128398134163565</v>
      </c>
      <c r="BM354" s="228">
        <f t="shared" si="2162"/>
        <v>0.26637215114352708</v>
      </c>
      <c r="BN354" s="228">
        <f t="shared" si="2162"/>
        <v>0.22868005035123207</v>
      </c>
      <c r="BO354" s="228">
        <f>+BO346+BN346</f>
        <v>0.23482754450902443</v>
      </c>
      <c r="BP354" s="228">
        <f t="shared" ref="BP354:BP359" si="2163">+BP346+BO346</f>
        <v>0.27695168958557526</v>
      </c>
    </row>
    <row r="355" spans="2:68" s="1163" customFormat="1" ht="11.45">
      <c r="B355" s="875" t="str">
        <f t="shared" ref="B355:B359" si="2164">+B347</f>
        <v>Office Consumer</v>
      </c>
      <c r="D355" s="1113"/>
      <c r="E355" s="1113"/>
      <c r="F355" s="1113"/>
      <c r="G355" s="1113"/>
      <c r="H355" s="1113"/>
      <c r="I355" s="1113"/>
      <c r="J355" s="1113"/>
      <c r="K355" s="1113"/>
      <c r="L355" s="1113"/>
      <c r="M355" s="1113"/>
      <c r="N355" s="1113"/>
      <c r="O355" s="1113"/>
      <c r="P355" s="1113">
        <f t="shared" ref="P355:AL355" si="2165">+P347+L347</f>
        <v>0.28000000000000003</v>
      </c>
      <c r="Q355" s="1113">
        <f t="shared" si="2165"/>
        <v>0.13000000000000012</v>
      </c>
      <c r="R355" s="1113">
        <f t="shared" si="2165"/>
        <v>0.20000000000000018</v>
      </c>
      <c r="S355" s="1113">
        <f t="shared" si="2165"/>
        <v>0.14000000000000012</v>
      </c>
      <c r="T355" s="1113">
        <f t="shared" si="2165"/>
        <v>0.20999999999999996</v>
      </c>
      <c r="U355" s="1113">
        <f t="shared" si="2165"/>
        <v>0.19999999999999996</v>
      </c>
      <c r="V355" s="1113">
        <f t="shared" si="2165"/>
        <v>0.22999999999999998</v>
      </c>
      <c r="W355" s="1113">
        <f t="shared" si="2165"/>
        <v>0.12000000000000011</v>
      </c>
      <c r="X355" s="1113">
        <f t="shared" si="2165"/>
        <v>0.16000000000000014</v>
      </c>
      <c r="Y355" s="1113">
        <f t="shared" si="2165"/>
        <v>0.26</v>
      </c>
      <c r="Z355" s="1113">
        <f t="shared" si="2165"/>
        <v>0.19999999999999996</v>
      </c>
      <c r="AA355" s="1113">
        <f t="shared" si="2165"/>
        <v>0.24</v>
      </c>
      <c r="AB355" s="1113">
        <f t="shared" si="2165"/>
        <v>0.21000000000000019</v>
      </c>
      <c r="AC355" s="1113">
        <f t="shared" si="2165"/>
        <v>0.21999999999999997</v>
      </c>
      <c r="AD355" s="1113">
        <f t="shared" si="2165"/>
        <v>0.17000000000000015</v>
      </c>
      <c r="AE355" s="1113">
        <f t="shared" si="2165"/>
        <v>0.27</v>
      </c>
      <c r="AF355" s="1113">
        <f t="shared" si="2165"/>
        <v>0.17000000000000015</v>
      </c>
      <c r="AG355" s="1113">
        <f t="shared" si="2165"/>
        <v>0.12999999999999989</v>
      </c>
      <c r="AH355" s="840">
        <f t="shared" si="2165"/>
        <v>0.13000000000000012</v>
      </c>
      <c r="AI355" s="840">
        <f t="shared" si="2165"/>
        <v>0.12000000000000008</v>
      </c>
      <c r="AJ355" s="840">
        <f t="shared" si="2165"/>
        <v>0.10000000000000006</v>
      </c>
      <c r="AK355" s="840">
        <f t="shared" si="2165"/>
        <v>2.9999999999999985E-2</v>
      </c>
      <c r="AL355" s="840">
        <f t="shared" si="2165"/>
        <v>0.05</v>
      </c>
      <c r="AM355" s="840">
        <f t="shared" si="2160"/>
        <v>0.06</v>
      </c>
      <c r="AN355" s="840">
        <f t="shared" si="2161"/>
        <v>0.06</v>
      </c>
      <c r="AO355" s="840">
        <f t="shared" si="2161"/>
        <v>0.08</v>
      </c>
      <c r="AP355" s="840">
        <f t="shared" si="2161"/>
        <v>7.0000000000000007E-2</v>
      </c>
      <c r="AQ355" s="840">
        <f t="shared" si="2161"/>
        <v>0.06</v>
      </c>
      <c r="AR355" s="1113"/>
      <c r="AS355" s="1113"/>
      <c r="AT355" s="1113"/>
      <c r="AU355" s="1113"/>
      <c r="AV355" s="1113"/>
      <c r="AW355" s="1113"/>
      <c r="AX355" s="1113"/>
      <c r="AY355" s="1113"/>
      <c r="AZ355" s="1113"/>
      <c r="BA355" s="1113"/>
      <c r="BB355" s="1113"/>
      <c r="BC355" s="1113"/>
      <c r="BD355" s="1113"/>
      <c r="BE355" s="1113"/>
      <c r="BF355" s="1113"/>
      <c r="BG355" s="1113"/>
      <c r="BH355" s="1113"/>
      <c r="BI355" s="1113"/>
      <c r="BJ355" s="1113">
        <f t="shared" ref="BJ355:BO355" si="2166">+BJ347+BI347</f>
        <v>0.18522476388193154</v>
      </c>
      <c r="BK355" s="1113">
        <f t="shared" si="2166"/>
        <v>0.18635124800880098</v>
      </c>
      <c r="BL355" s="1113">
        <f t="shared" si="2166"/>
        <v>0.21217229986922503</v>
      </c>
      <c r="BM355" s="1113">
        <f t="shared" si="2166"/>
        <v>0.21628943226828201</v>
      </c>
      <c r="BN355" s="1113">
        <f t="shared" si="2166"/>
        <v>0.13634054597487055</v>
      </c>
      <c r="BO355" s="840">
        <f t="shared" si="2166"/>
        <v>5.936256577416299E-2</v>
      </c>
      <c r="BP355" s="840">
        <f t="shared" si="2163"/>
        <v>6.71913605177199E-2</v>
      </c>
    </row>
    <row r="356" spans="2:68" s="872" customFormat="1">
      <c r="B356" s="1162" t="str">
        <f t="shared" si="2164"/>
        <v>Total Office</v>
      </c>
      <c r="D356" s="228"/>
      <c r="E356" s="228"/>
      <c r="F356" s="228"/>
      <c r="G356" s="228"/>
      <c r="H356" s="228"/>
      <c r="I356" s="228"/>
      <c r="J356" s="228"/>
      <c r="K356" s="228"/>
      <c r="L356" s="228"/>
      <c r="M356" s="228"/>
      <c r="N356" s="228"/>
      <c r="O356" s="228"/>
      <c r="P356" s="228">
        <f t="shared" ref="P356:AL356" si="2167">+P348+L348</f>
        <v>0.25837026923609874</v>
      </c>
      <c r="Q356" s="228">
        <f t="shared" si="2167"/>
        <v>0.19375543356873992</v>
      </c>
      <c r="R356" s="228">
        <f t="shared" si="2167"/>
        <v>0.24999859685942738</v>
      </c>
      <c r="S356" s="228">
        <f t="shared" si="2167"/>
        <v>0.21852285236145996</v>
      </c>
      <c r="T356" s="228">
        <f t="shared" si="2167"/>
        <v>0.2699716350408512</v>
      </c>
      <c r="U356" s="228">
        <f t="shared" si="2167"/>
        <v>0.25452796272214795</v>
      </c>
      <c r="V356" s="228">
        <f t="shared" si="2167"/>
        <v>0.2436962008419874</v>
      </c>
      <c r="W356" s="228">
        <f t="shared" si="2167"/>
        <v>0.17434737942877332</v>
      </c>
      <c r="X356" s="228">
        <f t="shared" si="2167"/>
        <v>0.20664515533540451</v>
      </c>
      <c r="Y356" s="228">
        <f t="shared" si="2167"/>
        <v>0.25951223415121949</v>
      </c>
      <c r="Z356" s="228">
        <f t="shared" si="2167"/>
        <v>0.25355825532173726</v>
      </c>
      <c r="AA356" s="228">
        <f t="shared" si="2167"/>
        <v>0.24682411207649979</v>
      </c>
      <c r="AB356" s="228">
        <f t="shared" si="2167"/>
        <v>0.26081929381169222</v>
      </c>
      <c r="AC356" s="228">
        <f t="shared" si="2167"/>
        <v>0.23861653780173309</v>
      </c>
      <c r="AD356" s="228">
        <f t="shared" si="2167"/>
        <v>0.23748656857548101</v>
      </c>
      <c r="AE356" s="228">
        <f t="shared" si="2167"/>
        <v>0.28365836273751488</v>
      </c>
      <c r="AF356" s="228">
        <f t="shared" si="2167"/>
        <v>0.23337403141932667</v>
      </c>
      <c r="AG356" s="228">
        <f t="shared" si="2167"/>
        <v>0.19073419339414666</v>
      </c>
      <c r="AH356" s="228">
        <f t="shared" si="2167"/>
        <v>0.22863844702931391</v>
      </c>
      <c r="AI356" s="228">
        <f t="shared" si="2167"/>
        <v>0.19600986527341502</v>
      </c>
      <c r="AJ356" s="228">
        <f t="shared" si="2167"/>
        <v>0.20303243180229624</v>
      </c>
      <c r="AK356" s="228">
        <f t="shared" si="2167"/>
        <v>0.19020550820087467</v>
      </c>
      <c r="AL356" s="228">
        <f t="shared" si="2167"/>
        <v>0.23315718026678089</v>
      </c>
      <c r="AM356" s="228">
        <f t="shared" si="2160"/>
        <v>0.21674349630078882</v>
      </c>
      <c r="AN356" s="228">
        <f t="shared" si="2161"/>
        <v>0.26171956054106715</v>
      </c>
      <c r="AO356" s="228">
        <f t="shared" si="2161"/>
        <v>0.26606633186183726</v>
      </c>
      <c r="AP356" s="228">
        <f t="shared" si="2161"/>
        <v>0.24679530072214528</v>
      </c>
      <c r="AQ356" s="228">
        <f t="shared" si="2161"/>
        <v>0.23607472890328407</v>
      </c>
      <c r="AR356" s="228"/>
      <c r="AS356" s="228"/>
      <c r="AT356" s="228"/>
      <c r="AU356" s="228"/>
      <c r="AV356" s="228"/>
      <c r="AW356" s="228"/>
      <c r="AX356" s="228"/>
      <c r="AY356" s="228"/>
      <c r="AZ356" s="228"/>
      <c r="BA356" s="228"/>
      <c r="BB356" s="228"/>
      <c r="BC356" s="228"/>
      <c r="BD356" s="228"/>
      <c r="BE356" s="228"/>
      <c r="BF356" s="228"/>
      <c r="BG356" s="228"/>
      <c r="BH356" s="228"/>
      <c r="BI356" s="228"/>
      <c r="BJ356" s="228">
        <f t="shared" ref="BJ356:BO356" si="2168">+BJ348+BI348</f>
        <v>0.22920675493035114</v>
      </c>
      <c r="BK356" s="228">
        <f t="shared" si="2168"/>
        <v>0.23359491142513522</v>
      </c>
      <c r="BL356" s="228">
        <f t="shared" si="2168"/>
        <v>0.24065640395005006</v>
      </c>
      <c r="BM356" s="228">
        <f t="shared" si="2168"/>
        <v>0.25415716406443312</v>
      </c>
      <c r="BN356" s="228">
        <f t="shared" si="2168"/>
        <v>0.21108833761358214</v>
      </c>
      <c r="BO356" s="228">
        <f t="shared" si="2168"/>
        <v>0.21060674793790213</v>
      </c>
      <c r="BP356" s="228">
        <f t="shared" si="2163"/>
        <v>0.25217878024306284</v>
      </c>
    </row>
    <row r="357" spans="2:68" s="872" customFormat="1">
      <c r="B357" s="875" t="str">
        <f t="shared" si="2164"/>
        <v>LinkedIn</v>
      </c>
      <c r="D357" s="228"/>
      <c r="E357" s="228"/>
      <c r="F357" s="228"/>
      <c r="G357" s="228"/>
      <c r="H357" s="228"/>
      <c r="I357" s="228"/>
      <c r="J357" s="228"/>
      <c r="K357" s="228"/>
      <c r="L357" s="228"/>
      <c r="M357" s="228"/>
      <c r="N357" s="228"/>
      <c r="O357" s="228"/>
      <c r="P357" s="228" t="e">
        <f t="shared" ref="P357:AL357" si="2169">+P349+L349</f>
        <v>#VALUE!</v>
      </c>
      <c r="Q357" s="228">
        <f t="shared" si="2169"/>
        <v>5.0447823063756951</v>
      </c>
      <c r="R357" s="228">
        <f t="shared" si="2169"/>
        <v>0.63823985387118554</v>
      </c>
      <c r="S357" s="228">
        <f t="shared" si="2169"/>
        <v>0.62548652828777884</v>
      </c>
      <c r="T357" s="228">
        <f t="shared" si="2169"/>
        <v>0.58046503154107176</v>
      </c>
      <c r="U357" s="228">
        <f t="shared" si="2169"/>
        <v>0.53197933024073296</v>
      </c>
      <c r="V357" s="228">
        <f t="shared" si="2169"/>
        <v>0.47913840011306608</v>
      </c>
      <c r="W357" s="228">
        <f t="shared" si="2169"/>
        <v>0.35205290272628464</v>
      </c>
      <c r="X357" s="228">
        <f t="shared" si="2169"/>
        <v>0.40329125538813404</v>
      </c>
      <c r="Y357" s="228">
        <f t="shared" si="2169"/>
        <v>0.46755825043288457</v>
      </c>
      <c r="Z357" s="228">
        <f t="shared" si="2169"/>
        <v>0.45848251265531514</v>
      </c>
      <c r="AA357" s="228">
        <f t="shared" si="2169"/>
        <v>0.55895506249729676</v>
      </c>
      <c r="AB357" s="228">
        <f t="shared" si="2169"/>
        <v>0.57715635295330103</v>
      </c>
      <c r="AC357" s="228">
        <f t="shared" si="2169"/>
        <v>0.59617316619572902</v>
      </c>
      <c r="AD357" s="228">
        <f t="shared" si="2169"/>
        <v>0.5912861522057844</v>
      </c>
      <c r="AE357" s="228">
        <f t="shared" si="2169"/>
        <v>0.72118702553485159</v>
      </c>
      <c r="AF357" s="228">
        <f t="shared" si="2169"/>
        <v>0.58962598525357568</v>
      </c>
      <c r="AG357" s="228">
        <f t="shared" si="2169"/>
        <v>0.46790393682563436</v>
      </c>
      <c r="AH357" s="228">
        <f t="shared" si="2169"/>
        <v>0.42153005464480886</v>
      </c>
      <c r="AI357" s="228">
        <f t="shared" si="2169"/>
        <v>0.31086956521739134</v>
      </c>
      <c r="AJ357" s="228">
        <f t="shared" si="2169"/>
        <v>0.2480484693877551</v>
      </c>
      <c r="AK357" s="228">
        <f t="shared" si="2169"/>
        <v>0.18770603228547147</v>
      </c>
      <c r="AL357" s="228">
        <f t="shared" si="2169"/>
        <v>0.18000000000000008</v>
      </c>
      <c r="AM357" s="228">
        <f t="shared" si="2160"/>
        <v>0.15000000000000002</v>
      </c>
      <c r="AN357" s="228">
        <f t="shared" si="2161"/>
        <v>0.16</v>
      </c>
      <c r="AO357" s="228">
        <f t="shared" si="2161"/>
        <v>0.16999999999999998</v>
      </c>
      <c r="AP357" s="228">
        <f t="shared" si="2161"/>
        <v>0.18</v>
      </c>
      <c r="AQ357" s="228">
        <f t="shared" si="2161"/>
        <v>0.18</v>
      </c>
      <c r="AR357" s="228"/>
      <c r="AS357" s="228"/>
      <c r="AT357" s="228"/>
      <c r="AU357" s="228"/>
      <c r="AV357" s="228"/>
      <c r="AW357" s="228"/>
      <c r="AX357" s="228"/>
      <c r="AY357" s="228"/>
      <c r="AZ357" s="228"/>
      <c r="BA357" s="228"/>
      <c r="BB357" s="228"/>
      <c r="BC357" s="228"/>
      <c r="BD357" s="228"/>
      <c r="BE357" s="228"/>
      <c r="BF357" s="228"/>
      <c r="BG357" s="228"/>
      <c r="BH357" s="228"/>
      <c r="BI357" s="228"/>
      <c r="BJ357" s="228">
        <f t="shared" ref="BJ357:BO357" si="2170">+BJ349+BI349</f>
        <v>1.5999945240756048</v>
      </c>
      <c r="BK357" s="228">
        <f t="shared" si="2170"/>
        <v>0.48015849755538453</v>
      </c>
      <c r="BL357" s="228">
        <f t="shared" si="2170"/>
        <v>0.46974797907715971</v>
      </c>
      <c r="BM357" s="228">
        <f t="shared" si="2170"/>
        <v>0.61665733280822588</v>
      </c>
      <c r="BN357" s="228">
        <f t="shared" si="2170"/>
        <v>0.43924376655366348</v>
      </c>
      <c r="BO357" s="228">
        <f t="shared" si="2170"/>
        <v>0.18905572990854247</v>
      </c>
      <c r="BP357" s="228">
        <f t="shared" si="2163"/>
        <v>0.17260523772556624</v>
      </c>
    </row>
    <row r="358" spans="2:68" s="1163" customFormat="1" ht="11.45">
      <c r="B358" s="875" t="str">
        <f t="shared" si="2164"/>
        <v>Dynamics and Other</v>
      </c>
      <c r="D358" s="1113"/>
      <c r="E358" s="1113"/>
      <c r="F358" s="1113"/>
      <c r="G358" s="1113"/>
      <c r="H358" s="1113"/>
      <c r="I358" s="1113"/>
      <c r="J358" s="1113"/>
      <c r="K358" s="1113"/>
      <c r="L358" s="1113"/>
      <c r="M358" s="1113"/>
      <c r="N358" s="1113"/>
      <c r="O358" s="1113"/>
      <c r="P358" s="1113">
        <f t="shared" ref="P358:AL358" si="2171">+P350+L350</f>
        <v>0.33630298105299183</v>
      </c>
      <c r="Q358" s="1113">
        <f t="shared" si="2171"/>
        <v>0.27154648851590113</v>
      </c>
      <c r="R358" s="1113">
        <f t="shared" si="2171"/>
        <v>0.29996790347574298</v>
      </c>
      <c r="S358" s="1113">
        <f t="shared" si="2171"/>
        <v>0.2317088395689455</v>
      </c>
      <c r="T358" s="1113">
        <f t="shared" si="2171"/>
        <v>0.33602898505262169</v>
      </c>
      <c r="U358" s="1113">
        <f t="shared" si="2171"/>
        <v>0.28880501124317393</v>
      </c>
      <c r="V358" s="1113">
        <f t="shared" si="2171"/>
        <v>0.30348979586508662</v>
      </c>
      <c r="W358" s="1113">
        <f t="shared" si="2171"/>
        <v>0.24534325678059199</v>
      </c>
      <c r="X358" s="1113">
        <f t="shared" si="2171"/>
        <v>0.32354592693849549</v>
      </c>
      <c r="Y358" s="1113">
        <f t="shared" si="2171"/>
        <v>0.33055453318611216</v>
      </c>
      <c r="Z358" s="1113">
        <f t="shared" si="2171"/>
        <v>0.43658599498681716</v>
      </c>
      <c r="AA358" s="1113">
        <f t="shared" si="2171"/>
        <v>0.45633342915877928</v>
      </c>
      <c r="AB358" s="1113">
        <f t="shared" si="2171"/>
        <v>0.50083593496767143</v>
      </c>
      <c r="AC358" s="1113">
        <f t="shared" si="2171"/>
        <v>0.49721273531917465</v>
      </c>
      <c r="AD358" s="1113">
        <f t="shared" si="2171"/>
        <v>0.47973839888856706</v>
      </c>
      <c r="AE358" s="1113">
        <f t="shared" si="2171"/>
        <v>0.52032228861126195</v>
      </c>
      <c r="AF358" s="1113">
        <f t="shared" si="2171"/>
        <v>0.4565827249610368</v>
      </c>
      <c r="AG358" s="1113">
        <f t="shared" si="2171"/>
        <v>0.40636987694005788</v>
      </c>
      <c r="AH358" s="1113">
        <f t="shared" si="2171"/>
        <v>0.37047031150002097</v>
      </c>
      <c r="AI358" s="840">
        <f t="shared" si="2171"/>
        <v>0.38887981536809457</v>
      </c>
      <c r="AJ358" s="840">
        <f t="shared" si="2171"/>
        <v>0.36849706697367779</v>
      </c>
      <c r="AK358" s="840">
        <f t="shared" si="2171"/>
        <v>0.32118826189659377</v>
      </c>
      <c r="AL358" s="840">
        <f t="shared" si="2171"/>
        <v>0.29787565195554677</v>
      </c>
      <c r="AM358" s="840">
        <f t="shared" si="2160"/>
        <v>0.35508102333153291</v>
      </c>
      <c r="AN358" s="840">
        <f t="shared" si="2161"/>
        <v>0.35329158752162304</v>
      </c>
      <c r="AO358" s="840">
        <f t="shared" si="2161"/>
        <v>0.33420385981687117</v>
      </c>
      <c r="AP358" s="840">
        <f t="shared" si="2161"/>
        <v>0.27711786612287692</v>
      </c>
      <c r="AQ358" s="840">
        <f t="shared" si="2161"/>
        <v>0.28572501748724777</v>
      </c>
      <c r="AR358" s="1113"/>
      <c r="AS358" s="1113"/>
      <c r="AT358" s="1113"/>
      <c r="AU358" s="1113"/>
      <c r="AV358" s="1113"/>
      <c r="AW358" s="1113"/>
      <c r="AX358" s="1113"/>
      <c r="AY358" s="1113"/>
      <c r="AZ358" s="1113"/>
      <c r="BA358" s="1113"/>
      <c r="BB358" s="1113"/>
      <c r="BC358" s="1113"/>
      <c r="BD358" s="1113"/>
      <c r="BE358" s="1113"/>
      <c r="BF358" s="1113"/>
      <c r="BG358" s="1113"/>
      <c r="BH358" s="1113"/>
      <c r="BI358" s="1113"/>
      <c r="BJ358" s="1113">
        <f t="shared" ref="BJ358:BO358" si="2172">+BJ350+BI350</f>
        <v>0.28183440599714626</v>
      </c>
      <c r="BK358" s="1113">
        <f t="shared" si="2172"/>
        <v>0.29108090608455739</v>
      </c>
      <c r="BL358" s="1113">
        <f t="shared" si="2172"/>
        <v>0.38880376972521469</v>
      </c>
      <c r="BM358" s="1113">
        <f t="shared" si="2172"/>
        <v>0.49751976150564192</v>
      </c>
      <c r="BN358" s="1113">
        <f t="shared" si="2172"/>
        <v>0.40236494996381089</v>
      </c>
      <c r="BO358" s="840">
        <f t="shared" si="2172"/>
        <v>0.33486739800014309</v>
      </c>
      <c r="BP358" s="840">
        <f t="shared" si="2163"/>
        <v>0.31077096162184081</v>
      </c>
    </row>
    <row r="359" spans="2:68" s="7" customFormat="1">
      <c r="B359" s="841" t="str">
        <f t="shared" si="2164"/>
        <v>Total PBP Revenue</v>
      </c>
      <c r="D359" s="842"/>
      <c r="E359" s="842"/>
      <c r="F359" s="842"/>
      <c r="G359" s="842"/>
      <c r="H359" s="842"/>
      <c r="I359" s="842"/>
      <c r="J359" s="842"/>
      <c r="K359" s="842"/>
      <c r="L359" s="842"/>
      <c r="M359" s="842"/>
      <c r="N359" s="842"/>
      <c r="O359" s="842"/>
      <c r="P359" s="842">
        <f t="shared" ref="P359:AL359" si="2173">+P351+L351</f>
        <v>0.46607642643777702</v>
      </c>
      <c r="Q359" s="842">
        <f t="shared" si="2173"/>
        <v>0.37522310681057847</v>
      </c>
      <c r="R359" s="842">
        <f t="shared" si="2173"/>
        <v>0.30578991195437633</v>
      </c>
      <c r="S359" s="842">
        <f t="shared" si="2173"/>
        <v>0.2736602996749935</v>
      </c>
      <c r="T359" s="842">
        <f t="shared" si="2173"/>
        <v>0.31974968959604677</v>
      </c>
      <c r="U359" s="842">
        <f t="shared" si="2173"/>
        <v>0.29900457062348695</v>
      </c>
      <c r="V359" s="842">
        <f t="shared" si="2173"/>
        <v>0.2837952463117408</v>
      </c>
      <c r="W359" s="842">
        <f t="shared" si="2173"/>
        <v>0.20645372974591303</v>
      </c>
      <c r="X359" s="842">
        <f t="shared" si="2173"/>
        <v>0.24578505443704812</v>
      </c>
      <c r="Y359" s="842">
        <f t="shared" si="2173"/>
        <v>0.30001336206680018</v>
      </c>
      <c r="Z359" s="842">
        <f t="shared" si="2173"/>
        <v>0.30060262834998919</v>
      </c>
      <c r="AA359" s="842">
        <f t="shared" si="2173"/>
        <v>0.31390332309324043</v>
      </c>
      <c r="AB359" s="842">
        <f t="shared" si="2173"/>
        <v>0.332921363984787</v>
      </c>
      <c r="AC359" s="842">
        <f t="shared" si="2173"/>
        <v>0.32256194943508554</v>
      </c>
      <c r="AD359" s="842">
        <f t="shared" si="2173"/>
        <v>0.31911710747119471</v>
      </c>
      <c r="AE359" s="842">
        <f t="shared" si="2173"/>
        <v>0.38002859472410999</v>
      </c>
      <c r="AF359" s="842">
        <f t="shared" si="2173"/>
        <v>0.3156172769426544</v>
      </c>
      <c r="AG359" s="842">
        <f t="shared" si="2173"/>
        <v>0.26033224675832067</v>
      </c>
      <c r="AH359" s="842">
        <f t="shared" si="2173"/>
        <v>0.27444783472390433</v>
      </c>
      <c r="AI359" s="842">
        <f t="shared" si="2173"/>
        <v>0.23181097270437689</v>
      </c>
      <c r="AJ359" s="842">
        <f t="shared" si="2173"/>
        <v>0.22400325001741095</v>
      </c>
      <c r="AK359" s="842">
        <f t="shared" si="2173"/>
        <v>0.19905349252556626</v>
      </c>
      <c r="AL359" s="842">
        <f t="shared" si="2173"/>
        <v>0.22664416363944051</v>
      </c>
      <c r="AM359" s="842">
        <f t="shared" si="2160"/>
        <v>0.21263232691303191</v>
      </c>
      <c r="AN359" s="842">
        <f t="shared" si="2161"/>
        <v>0.24653907704036793</v>
      </c>
      <c r="AO359" s="842">
        <f t="shared" si="2161"/>
        <v>0.24974855156393394</v>
      </c>
      <c r="AP359" s="842">
        <f t="shared" si="2161"/>
        <v>0.23516774099525706</v>
      </c>
      <c r="AQ359" s="842">
        <f t="shared" si="2161"/>
        <v>0.22829876887730838</v>
      </c>
      <c r="AR359" s="842"/>
      <c r="AS359" s="842"/>
      <c r="AT359" s="842"/>
      <c r="AU359" s="842"/>
      <c r="AV359" s="842"/>
      <c r="AW359" s="842"/>
      <c r="AX359" s="842"/>
      <c r="AY359" s="842"/>
      <c r="AZ359" s="842"/>
      <c r="BA359" s="842"/>
      <c r="BB359" s="842"/>
      <c r="BC359" s="842"/>
      <c r="BD359" s="842"/>
      <c r="BE359" s="842"/>
      <c r="BF359" s="842"/>
      <c r="BG359" s="842"/>
      <c r="BH359" s="842"/>
      <c r="BI359" s="842"/>
      <c r="BJ359" s="842">
        <f t="shared" ref="BJ359:BO359" si="2174">+BJ351+BI351</f>
        <v>0.34834001851323659</v>
      </c>
      <c r="BK359" s="842">
        <f t="shared" si="2174"/>
        <v>0.27489644719691064</v>
      </c>
      <c r="BL359" s="842">
        <f t="shared" si="2174"/>
        <v>0.28927076880889979</v>
      </c>
      <c r="BM359" s="842">
        <f t="shared" si="2174"/>
        <v>0.33726864312191118</v>
      </c>
      <c r="BN359" s="842">
        <f t="shared" si="2174"/>
        <v>0.26852797638603554</v>
      </c>
      <c r="BO359" s="842">
        <f t="shared" si="2174"/>
        <v>0.21530775478114883</v>
      </c>
      <c r="BP359" s="842">
        <f t="shared" si="2163"/>
        <v>0.2396348377537374</v>
      </c>
    </row>
    <row r="360" spans="2:68" s="7" customFormat="1">
      <c r="B360" s="841"/>
      <c r="D360" s="842"/>
      <c r="E360" s="842"/>
      <c r="F360" s="842"/>
      <c r="G360" s="842"/>
      <c r="H360" s="842"/>
      <c r="I360" s="842"/>
      <c r="J360" s="842"/>
      <c r="K360" s="842"/>
      <c r="L360" s="842"/>
      <c r="M360" s="842"/>
      <c r="N360" s="842"/>
      <c r="O360" s="842"/>
      <c r="P360" s="842"/>
      <c r="Q360" s="842"/>
      <c r="R360" s="842"/>
      <c r="S360" s="842"/>
      <c r="T360" s="842"/>
      <c r="U360" s="842"/>
      <c r="V360" s="842"/>
      <c r="W360" s="842"/>
      <c r="X360" s="842"/>
      <c r="Y360" s="842"/>
      <c r="Z360" s="842"/>
      <c r="AA360" s="842"/>
      <c r="AB360" s="842"/>
      <c r="AC360" s="842"/>
      <c r="AD360" s="842"/>
      <c r="AE360" s="842"/>
      <c r="AF360" s="842"/>
      <c r="AG360" s="842"/>
      <c r="AH360" s="842"/>
      <c r="AI360" s="842"/>
      <c r="AJ360" s="842"/>
      <c r="AK360" s="842"/>
      <c r="AL360" s="842"/>
      <c r="AM360" s="842"/>
      <c r="AN360" s="842"/>
      <c r="AO360" s="842"/>
      <c r="AP360" s="842"/>
      <c r="AQ360" s="842"/>
      <c r="AR360" s="842"/>
      <c r="AS360" s="842"/>
      <c r="AT360" s="842"/>
      <c r="AU360" s="842"/>
      <c r="AV360" s="842"/>
      <c r="AW360" s="842"/>
      <c r="AX360" s="842"/>
      <c r="AY360" s="842"/>
      <c r="AZ360" s="842"/>
      <c r="BA360" s="842"/>
      <c r="BB360" s="842"/>
      <c r="BC360" s="842"/>
      <c r="BD360" s="842"/>
      <c r="BE360" s="842"/>
      <c r="BF360" s="842"/>
      <c r="BG360" s="842"/>
      <c r="BH360" s="842"/>
      <c r="BI360" s="842"/>
      <c r="BJ360" s="842"/>
      <c r="BK360" s="842"/>
      <c r="BL360" s="842"/>
      <c r="BM360" s="842"/>
      <c r="BN360" s="842"/>
      <c r="BO360" s="842"/>
      <c r="BP360" s="842"/>
    </row>
    <row r="361" spans="2:68" s="7" customFormat="1">
      <c r="B361" s="841"/>
      <c r="D361" s="842"/>
      <c r="E361" s="842"/>
      <c r="F361" s="842"/>
      <c r="G361" s="842"/>
      <c r="H361" s="842"/>
      <c r="I361" s="842"/>
      <c r="J361" s="842"/>
      <c r="K361" s="842"/>
      <c r="L361" s="842"/>
      <c r="M361" s="842"/>
      <c r="N361" s="842"/>
      <c r="O361" s="842"/>
      <c r="P361" s="842"/>
      <c r="Q361" s="842"/>
      <c r="R361" s="842"/>
      <c r="S361" s="842"/>
      <c r="T361" s="842"/>
      <c r="U361" s="842"/>
      <c r="V361" s="842"/>
      <c r="W361" s="842"/>
      <c r="X361" s="842"/>
      <c r="Y361" s="842"/>
      <c r="Z361" s="842"/>
      <c r="AA361" s="842"/>
      <c r="AB361" s="842"/>
      <c r="AC361" s="842"/>
      <c r="AD361" s="842"/>
      <c r="AE361" s="842"/>
      <c r="AF361" s="842"/>
      <c r="AG361" s="842"/>
      <c r="AH361" s="842"/>
      <c r="AI361" s="842"/>
      <c r="AJ361" s="842"/>
      <c r="AK361" s="842"/>
      <c r="AL361" s="842"/>
      <c r="AM361" s="842"/>
      <c r="AN361" s="842"/>
      <c r="AO361" s="842"/>
      <c r="AP361" s="842"/>
      <c r="AQ361" s="842"/>
      <c r="AR361" s="842"/>
      <c r="AS361" s="842"/>
      <c r="AT361" s="842"/>
      <c r="AU361" s="842"/>
      <c r="AV361" s="842"/>
      <c r="AW361" s="842"/>
      <c r="AX361" s="842"/>
      <c r="AY361" s="842"/>
      <c r="AZ361" s="842"/>
      <c r="BA361" s="842"/>
      <c r="BB361" s="842"/>
      <c r="BC361" s="842"/>
      <c r="BD361" s="842"/>
      <c r="BE361" s="842"/>
      <c r="BF361" s="842"/>
      <c r="BG361" s="842"/>
      <c r="BH361" s="842"/>
      <c r="BI361" s="842"/>
      <c r="BJ361" s="842"/>
      <c r="BK361" s="842"/>
      <c r="BL361" s="842"/>
      <c r="BM361" s="842"/>
      <c r="BN361" s="842"/>
      <c r="BO361" s="842"/>
      <c r="BP361" s="842"/>
    </row>
    <row r="362" spans="2:68" s="7" customFormat="1" ht="10.5">
      <c r="B362" s="5" t="s">
        <v>406</v>
      </c>
      <c r="C362" s="4"/>
      <c r="D362" s="842"/>
      <c r="E362" s="842"/>
      <c r="F362" s="842"/>
      <c r="G362" s="842"/>
      <c r="H362" s="842"/>
      <c r="I362" s="842"/>
      <c r="J362" s="842"/>
      <c r="K362" s="842"/>
      <c r="L362" s="842"/>
      <c r="M362" s="842"/>
      <c r="N362" s="842"/>
      <c r="O362" s="842"/>
      <c r="P362" s="842"/>
      <c r="Q362" s="842"/>
      <c r="R362" s="842"/>
      <c r="S362" s="842"/>
      <c r="T362" s="842"/>
      <c r="U362" s="842"/>
      <c r="V362" s="842"/>
      <c r="W362" s="842"/>
      <c r="X362" s="842"/>
      <c r="Y362" s="842"/>
      <c r="Z362" s="842"/>
      <c r="AA362" s="842"/>
      <c r="AB362" s="842"/>
      <c r="AC362" s="842"/>
      <c r="AD362" s="842"/>
      <c r="AE362" s="842"/>
      <c r="AF362" s="842"/>
      <c r="AG362" s="842"/>
      <c r="AH362" s="842"/>
      <c r="AI362" s="842"/>
      <c r="AJ362" s="842"/>
      <c r="AK362" s="842"/>
      <c r="AL362" s="842"/>
      <c r="AM362" s="842"/>
      <c r="AN362" s="842"/>
      <c r="AO362" s="842"/>
      <c r="AP362" s="842"/>
      <c r="AQ362" s="842"/>
      <c r="AR362" s="842"/>
      <c r="AS362" s="842"/>
      <c r="AT362" s="842"/>
      <c r="AU362" s="842"/>
      <c r="AV362" s="842"/>
      <c r="AW362" s="842"/>
      <c r="AX362" s="842"/>
      <c r="AY362" s="842"/>
      <c r="AZ362" s="842"/>
      <c r="BA362" s="842"/>
      <c r="BB362" s="842"/>
      <c r="BC362" s="842"/>
      <c r="BD362" s="842"/>
      <c r="BE362" s="842"/>
      <c r="BF362" s="842"/>
      <c r="BG362" s="842"/>
      <c r="BH362" s="842"/>
      <c r="BI362" s="842"/>
      <c r="BJ362" s="842"/>
      <c r="BK362" s="842"/>
      <c r="BL362" s="842"/>
      <c r="BM362" s="842"/>
      <c r="BN362" s="842"/>
      <c r="BO362" s="842"/>
      <c r="BP362" s="842"/>
    </row>
    <row r="363" spans="2:68" s="7" customFormat="1">
      <c r="B363" s="841"/>
      <c r="D363" s="842"/>
      <c r="E363" s="842"/>
      <c r="F363" s="842"/>
      <c r="G363" s="842"/>
      <c r="H363" s="842"/>
      <c r="I363" s="842"/>
      <c r="J363" s="842"/>
      <c r="K363" s="842"/>
      <c r="L363" s="842"/>
      <c r="M363" s="842"/>
      <c r="N363" s="842"/>
      <c r="O363" s="842"/>
      <c r="P363" s="842"/>
      <c r="Q363" s="842"/>
      <c r="R363" s="842"/>
      <c r="S363" s="842"/>
      <c r="T363" s="842"/>
      <c r="U363" s="842"/>
      <c r="V363" s="842"/>
      <c r="W363" s="842"/>
      <c r="X363" s="842"/>
      <c r="Y363" s="842"/>
      <c r="Z363" s="842"/>
      <c r="AA363" s="842"/>
      <c r="AB363" s="842"/>
      <c r="AC363" s="842"/>
      <c r="AD363" s="842"/>
      <c r="AE363" s="842"/>
      <c r="AF363" s="842"/>
      <c r="AG363" s="842"/>
      <c r="AH363" s="842"/>
      <c r="AI363" s="842"/>
      <c r="AJ363" s="842"/>
      <c r="AK363" s="842"/>
      <c r="AL363" s="842"/>
      <c r="AM363" s="842"/>
      <c r="AN363" s="842"/>
      <c r="AO363" s="842"/>
      <c r="AP363" s="842"/>
      <c r="AQ363" s="842"/>
      <c r="AR363" s="842"/>
      <c r="AS363" s="842"/>
      <c r="AT363" s="842"/>
      <c r="AU363" s="842"/>
      <c r="AV363" s="842"/>
      <c r="AW363" s="842"/>
      <c r="AX363" s="842"/>
      <c r="AY363" s="842"/>
      <c r="AZ363" s="842"/>
      <c r="BA363" s="842"/>
      <c r="BB363" s="842"/>
      <c r="BC363" s="842"/>
      <c r="BD363" s="842"/>
      <c r="BE363" s="842"/>
      <c r="BF363" s="842"/>
      <c r="BG363" s="842"/>
      <c r="BH363" s="842"/>
      <c r="BI363" s="842"/>
      <c r="BJ363" s="842"/>
      <c r="BK363" s="842"/>
      <c r="BL363" s="842"/>
      <c r="BM363" s="842"/>
      <c r="BN363" s="842"/>
      <c r="BO363" s="842"/>
      <c r="BP363" s="842"/>
    </row>
    <row r="364" spans="2:68" ht="10.5" collapsed="1">
      <c r="B364" s="45" t="s">
        <v>370</v>
      </c>
    </row>
    <row r="365" spans="2:68" ht="10.5">
      <c r="B365" s="45"/>
      <c r="D365" s="876" t="s">
        <v>371</v>
      </c>
      <c r="E365" s="876"/>
      <c r="F365" s="876"/>
      <c r="G365" s="876"/>
    </row>
    <row r="366" spans="2:68">
      <c r="B366" s="852" t="s">
        <v>372</v>
      </c>
      <c r="D366" s="31"/>
      <c r="E366" s="31"/>
      <c r="F366" s="31"/>
      <c r="G366" s="31"/>
    </row>
    <row r="367" spans="2:68">
      <c r="B367" t="s">
        <v>373</v>
      </c>
      <c r="D367" s="911">
        <v>-0.02</v>
      </c>
      <c r="E367" s="911">
        <v>-0.01</v>
      </c>
      <c r="F367" s="911">
        <v>0</v>
      </c>
      <c r="G367" s="911">
        <v>0.05</v>
      </c>
      <c r="H367" s="911">
        <v>0.09</v>
      </c>
      <c r="I367" s="911">
        <v>7.0000000000000007E-2</v>
      </c>
      <c r="J367" s="911">
        <v>0.09</v>
      </c>
      <c r="K367" s="911">
        <v>0.05</v>
      </c>
      <c r="L367" s="911">
        <v>0.1</v>
      </c>
      <c r="M367" s="911">
        <v>0.1</v>
      </c>
      <c r="N367" s="911">
        <v>0.14000000000000001</v>
      </c>
      <c r="O367" s="911">
        <v>0.1</v>
      </c>
      <c r="P367" s="911">
        <v>0.17</v>
      </c>
      <c r="Q367" s="911">
        <v>0.11</v>
      </c>
      <c r="R367" s="911">
        <v>0.12</v>
      </c>
      <c r="S367" s="911">
        <v>0.14000000000000001</v>
      </c>
      <c r="T367" s="911">
        <v>0.13</v>
      </c>
      <c r="U367" s="911">
        <v>0.16</v>
      </c>
      <c r="V367" s="911">
        <v>0.13</v>
      </c>
      <c r="W367" s="911">
        <v>0.05</v>
      </c>
      <c r="X367" s="911">
        <v>0.09</v>
      </c>
      <c r="Y367" s="911">
        <v>0.11</v>
      </c>
      <c r="Z367" s="911">
        <v>0.14000000000000001</v>
      </c>
      <c r="AA367" s="911">
        <v>0.2</v>
      </c>
      <c r="AB367" s="911">
        <v>0.18</v>
      </c>
      <c r="AC367" s="911">
        <v>0.14000000000000001</v>
      </c>
      <c r="AD367" s="911">
        <v>0.12</v>
      </c>
      <c r="AE367" s="911">
        <v>0.09</v>
      </c>
      <c r="AF367" s="911">
        <v>7.0000000000000007E-2</v>
      </c>
      <c r="AG367" s="911">
        <v>7.0000000000000007E-2</v>
      </c>
      <c r="AH367" s="911">
        <v>0.13</v>
      </c>
      <c r="AI367" s="911">
        <v>0.12</v>
      </c>
      <c r="AJ367" s="911">
        <v>0.15</v>
      </c>
      <c r="AK367" s="911">
        <v>0.15</v>
      </c>
      <c r="AL367" s="911">
        <v>0.13</v>
      </c>
      <c r="AM367" s="911">
        <v>0.12</v>
      </c>
      <c r="AN367" s="911"/>
      <c r="AO367" s="911"/>
      <c r="AP367" s="911"/>
      <c r="AQ367" s="911"/>
      <c r="BG367" s="912"/>
      <c r="BH367" s="912">
        <f>+AVERAGE(H367:K367)</f>
        <v>7.4999999999999997E-2</v>
      </c>
      <c r="BI367" s="912">
        <f>+AVERAGE(L367:O367)</f>
        <v>0.11000000000000001</v>
      </c>
      <c r="BJ367" s="912">
        <f>+AVERAGE(P367:S367)</f>
        <v>0.13500000000000001</v>
      </c>
      <c r="BK367" s="912">
        <f t="shared" ref="BK367:BK372" si="2175">+AVERAGE(T367:W367)</f>
        <v>0.11750000000000001</v>
      </c>
      <c r="BL367" s="912">
        <f t="shared" ref="BL367:BL372" si="2176">+AVERAGE(X367:AA367)</f>
        <v>0.13500000000000001</v>
      </c>
      <c r="BM367" s="912">
        <f>+AVERAGE(AB367:AE367)</f>
        <v>0.13250000000000001</v>
      </c>
      <c r="BN367" s="912">
        <f>AVERAGE(AF367:AI367)</f>
        <v>9.7500000000000003E-2</v>
      </c>
      <c r="BO367" s="912">
        <f>AVERAGE(AJ367:AM367)</f>
        <v>0.13750000000000001</v>
      </c>
      <c r="BP367" s="912"/>
    </row>
    <row r="368" spans="2:68">
      <c r="B368" t="s">
        <v>374</v>
      </c>
      <c r="D368" s="911"/>
      <c r="E368" s="911"/>
      <c r="F368" s="911"/>
      <c r="G368" s="911">
        <v>0.54</v>
      </c>
      <c r="H368" s="911">
        <v>0.51</v>
      </c>
      <c r="I368" s="911">
        <v>0.47</v>
      </c>
      <c r="J368" s="911">
        <v>0.45</v>
      </c>
      <c r="K368" s="911">
        <v>0.43</v>
      </c>
      <c r="L368" s="911">
        <v>0.42</v>
      </c>
      <c r="M368" s="911">
        <v>0.41</v>
      </c>
      <c r="N368" s="911">
        <v>0.42</v>
      </c>
      <c r="O368" s="911">
        <v>0.38</v>
      </c>
      <c r="P368" s="911">
        <v>0.36</v>
      </c>
      <c r="Q368" s="911">
        <v>0.34</v>
      </c>
      <c r="R368" s="911">
        <v>0.3</v>
      </c>
      <c r="S368" s="911">
        <v>0.31</v>
      </c>
      <c r="T368" s="911">
        <v>0.25</v>
      </c>
      <c r="U368" s="911">
        <v>0.16</v>
      </c>
      <c r="V368" s="911">
        <v>0.25</v>
      </c>
      <c r="W368" s="911">
        <v>0.19</v>
      </c>
      <c r="X368" s="911">
        <v>0.21</v>
      </c>
      <c r="Y368" s="911">
        <v>0.21</v>
      </c>
      <c r="Z368" s="911">
        <v>0.22</v>
      </c>
      <c r="AA368" s="911">
        <v>0.25</v>
      </c>
      <c r="AB368" s="911">
        <v>0.23</v>
      </c>
      <c r="AC368" s="911">
        <v>0.19</v>
      </c>
      <c r="AD368" s="911">
        <v>0.11</v>
      </c>
      <c r="AE368" s="911">
        <v>0.09</v>
      </c>
      <c r="AF368" s="911">
        <v>7.0000000000000007E-2</v>
      </c>
      <c r="AG368" s="911">
        <v>0.11</v>
      </c>
      <c r="AH368" s="911">
        <v>0.14000000000000001</v>
      </c>
      <c r="AI368" s="911">
        <v>0.15</v>
      </c>
      <c r="AJ368" s="911">
        <v>0.18</v>
      </c>
      <c r="AK368" s="911">
        <v>0.17</v>
      </c>
      <c r="AL368" s="911">
        <v>0.15</v>
      </c>
      <c r="AM368" s="911">
        <v>0.13</v>
      </c>
      <c r="AN368" s="911"/>
      <c r="AO368" s="911"/>
      <c r="AP368" s="911"/>
      <c r="AQ368" s="911"/>
      <c r="BG368" s="912"/>
      <c r="BH368" s="912">
        <f>+AVERAGE(H368:K368)</f>
        <v>0.46499999999999997</v>
      </c>
      <c r="BI368" s="912">
        <f>+AVERAGE(L368:O368)</f>
        <v>0.40749999999999997</v>
      </c>
      <c r="BJ368" s="912">
        <f>+AVERAGE(P368:S368)</f>
        <v>0.32750000000000001</v>
      </c>
      <c r="BK368" s="912">
        <f t="shared" si="2175"/>
        <v>0.21250000000000002</v>
      </c>
      <c r="BL368" s="912">
        <f t="shared" si="2176"/>
        <v>0.2225</v>
      </c>
      <c r="BM368" s="912">
        <f>+AVERAGE(AB368:AE368)</f>
        <v>0.155</v>
      </c>
      <c r="BN368" s="912">
        <f t="shared" ref="BN368:BN372" si="2177">AVERAGE(AF368:AI368)</f>
        <v>0.11749999999999999</v>
      </c>
      <c r="BO368" s="912">
        <f t="shared" ref="BO368:BO373" si="2178">AVERAGE(AJ368:AM368)</f>
        <v>0.1575</v>
      </c>
      <c r="BP368" s="912"/>
    </row>
    <row r="369" spans="2:68">
      <c r="B369" t="s">
        <v>375</v>
      </c>
      <c r="D369" s="911">
        <v>-0.13</v>
      </c>
      <c r="E369" s="911">
        <v>-0.14000000000000001</v>
      </c>
      <c r="F369" s="911">
        <v>0.03</v>
      </c>
      <c r="G369" s="911">
        <v>0.19</v>
      </c>
      <c r="H369" s="911">
        <v>0.03</v>
      </c>
      <c r="I369" s="911">
        <v>0.2</v>
      </c>
      <c r="J369" s="911">
        <v>0.11</v>
      </c>
      <c r="K369" s="911">
        <v>0.11</v>
      </c>
      <c r="L369" s="911">
        <v>0.12</v>
      </c>
      <c r="M369" s="911">
        <v>0.12</v>
      </c>
      <c r="N369" s="911">
        <v>0.12</v>
      </c>
      <c r="O369" s="911">
        <v>0.08</v>
      </c>
      <c r="P369" s="911">
        <v>0.16</v>
      </c>
      <c r="Q369" s="911">
        <v>0.01</v>
      </c>
      <c r="R369" s="911">
        <v>0.08</v>
      </c>
      <c r="S369" s="911">
        <v>0.06</v>
      </c>
      <c r="T369" s="911">
        <v>0.05</v>
      </c>
      <c r="U369" s="911">
        <v>0.19</v>
      </c>
      <c r="V369" s="911">
        <v>0.15</v>
      </c>
      <c r="W369" s="911">
        <v>0.06</v>
      </c>
      <c r="X369" s="911">
        <v>0.11</v>
      </c>
      <c r="Y369" s="911">
        <v>7.0000000000000007E-2</v>
      </c>
      <c r="Z369" s="911">
        <v>0.05</v>
      </c>
      <c r="AA369" s="911">
        <v>0.18</v>
      </c>
      <c r="AB369" s="911">
        <v>0.1</v>
      </c>
      <c r="AC369" s="911">
        <v>0.15</v>
      </c>
      <c r="AD369" s="911">
        <v>0.12</v>
      </c>
      <c r="AE369" s="911">
        <v>0.09</v>
      </c>
      <c r="AF369" s="911">
        <v>7.0000000000000007E-2</v>
      </c>
      <c r="AG369" s="911">
        <v>-0.02</v>
      </c>
      <c r="AH369" s="911">
        <v>0.01</v>
      </c>
      <c r="AI369" s="911">
        <v>0.03</v>
      </c>
      <c r="AJ369" s="911">
        <v>0.03</v>
      </c>
      <c r="AK369" s="911">
        <v>0.05</v>
      </c>
      <c r="AL369" s="911">
        <v>0.04</v>
      </c>
      <c r="AM369" s="911">
        <v>0.03</v>
      </c>
      <c r="AN369" s="911"/>
      <c r="AO369" s="911"/>
      <c r="AP369" s="911"/>
      <c r="AQ369" s="911"/>
      <c r="BG369" s="912"/>
      <c r="BH369" s="912">
        <f>+AVERAGE(H369:K369)</f>
        <v>0.1125</v>
      </c>
      <c r="BI369" s="912">
        <f>+AVERAGE(L369:O369)</f>
        <v>0.11</v>
      </c>
      <c r="BJ369" s="912">
        <f>AVERAGE(P369:S369)</f>
        <v>7.7499999999999999E-2</v>
      </c>
      <c r="BK369" s="912">
        <f t="shared" si="2175"/>
        <v>0.1125</v>
      </c>
      <c r="BL369" s="912">
        <f t="shared" si="2176"/>
        <v>0.10249999999999999</v>
      </c>
      <c r="BM369" s="912">
        <f>+AVERAGE(AB369:AE369)</f>
        <v>0.11499999999999999</v>
      </c>
      <c r="BN369" s="912">
        <f t="shared" si="2177"/>
        <v>2.2499999999999999E-2</v>
      </c>
      <c r="BO369" s="912">
        <f t="shared" si="2178"/>
        <v>3.7499999999999999E-2</v>
      </c>
      <c r="BP369" s="912"/>
    </row>
    <row r="370" spans="2:68" hidden="1" outlineLevel="1">
      <c r="B370" t="s">
        <v>376</v>
      </c>
      <c r="H370" s="911"/>
      <c r="I370" s="911"/>
      <c r="J370" s="911"/>
      <c r="K370" s="911"/>
      <c r="L370" s="911"/>
      <c r="M370" s="911"/>
      <c r="N370" s="911">
        <v>0.37</v>
      </c>
      <c r="O370" s="911">
        <v>0.37</v>
      </c>
      <c r="P370" s="911">
        <v>0.33</v>
      </c>
      <c r="Q370" s="911">
        <v>0.28999999999999998</v>
      </c>
      <c r="R370" s="911">
        <v>0.27</v>
      </c>
      <c r="S370" s="911">
        <v>0.25</v>
      </c>
      <c r="T370" s="911">
        <v>0.25</v>
      </c>
      <c r="U370" s="911">
        <v>0.24</v>
      </c>
      <c r="V370" s="911">
        <v>0.21</v>
      </c>
      <c r="W370" s="911">
        <v>0.1</v>
      </c>
      <c r="X370" s="911">
        <v>0.16</v>
      </c>
      <c r="Y370" s="911">
        <v>0.23</v>
      </c>
      <c r="Z370" s="911">
        <v>0.25</v>
      </c>
      <c r="AA370" s="911">
        <v>0.46</v>
      </c>
      <c r="AB370" s="911">
        <v>0.42</v>
      </c>
      <c r="AC370" s="911">
        <v>0.37</v>
      </c>
      <c r="AD370" s="911">
        <v>0.34</v>
      </c>
      <c r="AE370" s="911">
        <v>0.26</v>
      </c>
      <c r="AF370" s="911">
        <v>0.17</v>
      </c>
      <c r="AG370" s="911">
        <v>0.1</v>
      </c>
      <c r="AH370" s="911"/>
      <c r="AI370" s="911"/>
      <c r="AJ370" s="911"/>
      <c r="AK370" s="911"/>
      <c r="AL370" s="911"/>
      <c r="AM370" s="911"/>
      <c r="AN370" s="911"/>
      <c r="AO370" s="911"/>
      <c r="AP370" s="911"/>
      <c r="AQ370" s="911"/>
      <c r="BG370" s="912"/>
      <c r="BH370" s="912"/>
      <c r="BI370" s="25" t="s">
        <v>271</v>
      </c>
      <c r="BJ370" s="912">
        <f>AVERAGE(P370:S370)</f>
        <v>0.28500000000000003</v>
      </c>
      <c r="BK370" s="912">
        <f t="shared" si="2175"/>
        <v>0.19999999999999998</v>
      </c>
      <c r="BL370" s="912">
        <f t="shared" si="2176"/>
        <v>0.27500000000000002</v>
      </c>
      <c r="BM370" s="912">
        <f>+AVERAGE(AB370:AE370)</f>
        <v>0.34750000000000003</v>
      </c>
      <c r="BN370" s="912">
        <f t="shared" si="2177"/>
        <v>0.13500000000000001</v>
      </c>
      <c r="BO370" s="912" t="e">
        <f t="shared" si="2178"/>
        <v>#DIV/0!</v>
      </c>
      <c r="BP370" s="912"/>
    </row>
    <row r="371" spans="2:68" collapsed="1">
      <c r="B371" t="s">
        <v>377</v>
      </c>
      <c r="D371">
        <v>0.03</v>
      </c>
      <c r="E371">
        <v>0.03</v>
      </c>
      <c r="F371">
        <v>0.04</v>
      </c>
      <c r="G371">
        <v>0.06</v>
      </c>
      <c r="H371" s="911">
        <v>0.1</v>
      </c>
      <c r="I371" s="911">
        <v>0.01</v>
      </c>
      <c r="J371" s="911">
        <v>0.1</v>
      </c>
      <c r="K371" s="911">
        <v>0.02</v>
      </c>
      <c r="L371" s="911">
        <v>0.13</v>
      </c>
      <c r="M371" s="911">
        <v>0.1</v>
      </c>
      <c r="N371" s="911">
        <v>0.17</v>
      </c>
      <c r="O371" s="911">
        <v>0.11</v>
      </c>
      <c r="P371" s="911">
        <v>0.2</v>
      </c>
      <c r="Q371" s="911">
        <v>0.17</v>
      </c>
      <c r="R371" s="911">
        <v>0.13</v>
      </c>
      <c r="S371" s="911">
        <v>0.12</v>
      </c>
      <c r="T371" s="911">
        <v>0.14000000000000001</v>
      </c>
      <c r="U371" s="911">
        <v>0.12</v>
      </c>
      <c r="V371" s="911">
        <v>0.17</v>
      </c>
      <c r="W371" s="911">
        <v>0.13</v>
      </c>
      <c r="X371" s="911">
        <v>0.19</v>
      </c>
      <c r="Y371" s="911">
        <v>0.21</v>
      </c>
      <c r="Z371" s="911">
        <v>0.26</v>
      </c>
      <c r="AA371" s="911">
        <v>0.33</v>
      </c>
      <c r="AB371" s="911">
        <v>0.31</v>
      </c>
      <c r="AC371" s="911">
        <v>0.28999999999999998</v>
      </c>
      <c r="AD371" s="911">
        <v>0.22</v>
      </c>
      <c r="AE371" s="911">
        <v>0.19</v>
      </c>
      <c r="AF371" s="911">
        <v>0.15</v>
      </c>
      <c r="AG371" s="911">
        <v>0.13</v>
      </c>
      <c r="AH371" s="911">
        <v>0.17</v>
      </c>
      <c r="AI371" s="911">
        <v>0.19</v>
      </c>
      <c r="AJ371" s="911">
        <v>0.22</v>
      </c>
      <c r="AK371" s="911">
        <v>0.21</v>
      </c>
      <c r="AL371" s="911">
        <v>0.17</v>
      </c>
      <c r="AM371" s="911">
        <v>0.16</v>
      </c>
      <c r="AN371" s="911"/>
      <c r="AO371" s="911"/>
      <c r="AP371" s="911"/>
      <c r="AQ371" s="911"/>
      <c r="BG371" s="912"/>
      <c r="BH371" s="912">
        <f>+AVERAGE(H371:K371)</f>
        <v>5.7500000000000002E-2</v>
      </c>
      <c r="BI371" s="912">
        <f>+AVERAGE(L371:O371)</f>
        <v>0.1275</v>
      </c>
      <c r="BJ371" s="912">
        <f>AVERAGE(P371:S371)</f>
        <v>0.155</v>
      </c>
      <c r="BK371" s="912">
        <f t="shared" si="2175"/>
        <v>0.14000000000000001</v>
      </c>
      <c r="BL371" s="912">
        <f t="shared" si="2176"/>
        <v>0.2475</v>
      </c>
      <c r="BM371" s="912">
        <f>+AVERAGE(AB371:AE371)</f>
        <v>0.2525</v>
      </c>
      <c r="BN371" s="912">
        <f t="shared" si="2177"/>
        <v>0.16000000000000003</v>
      </c>
      <c r="BO371" s="912">
        <f t="shared" si="2178"/>
        <v>0.19</v>
      </c>
      <c r="BP371" s="912"/>
    </row>
    <row r="372" spans="2:68" collapsed="1">
      <c r="B372" t="s">
        <v>378</v>
      </c>
      <c r="H372" s="911"/>
      <c r="I372" s="911"/>
      <c r="J372" s="911"/>
      <c r="K372" s="911"/>
      <c r="L372" s="911">
        <v>0.69</v>
      </c>
      <c r="M372" s="911">
        <v>0.67</v>
      </c>
      <c r="N372" s="911">
        <v>0.65</v>
      </c>
      <c r="O372" s="911">
        <v>0.61</v>
      </c>
      <c r="P372" s="911">
        <v>0.51</v>
      </c>
      <c r="Q372" s="911">
        <v>0.51</v>
      </c>
      <c r="R372" s="911">
        <v>0.43</v>
      </c>
      <c r="S372" s="911">
        <v>0.45</v>
      </c>
      <c r="T372" s="911">
        <v>0.41</v>
      </c>
      <c r="U372" s="911">
        <v>0.42</v>
      </c>
      <c r="V372" s="911">
        <v>0.47</v>
      </c>
      <c r="W372" s="911">
        <v>0.38</v>
      </c>
      <c r="X372" s="911">
        <v>0.38</v>
      </c>
      <c r="Y372" s="911">
        <v>0.39</v>
      </c>
      <c r="Z372" s="911">
        <v>0.45</v>
      </c>
      <c r="AA372" s="911">
        <v>0.49</v>
      </c>
      <c r="AB372" s="911">
        <v>0.48</v>
      </c>
      <c r="AC372" s="911">
        <v>0.45</v>
      </c>
      <c r="AD372" s="911">
        <v>0.35</v>
      </c>
      <c r="AE372" s="911">
        <v>0.31</v>
      </c>
      <c r="AF372" s="911">
        <v>0.24</v>
      </c>
      <c r="AG372" s="911">
        <v>0.21</v>
      </c>
      <c r="AH372" s="911">
        <v>0.25</v>
      </c>
      <c r="AI372" s="911">
        <v>0.26</v>
      </c>
      <c r="AJ372" s="911">
        <v>0.28000000000000003</v>
      </c>
      <c r="AK372" s="911">
        <v>0.27</v>
      </c>
      <c r="AL372" s="911">
        <v>0.23</v>
      </c>
      <c r="AM372" s="911">
        <v>0.19</v>
      </c>
      <c r="AN372" s="911"/>
      <c r="AO372" s="911"/>
      <c r="AP372" s="911"/>
      <c r="AQ372" s="911"/>
      <c r="BG372" s="912"/>
      <c r="BH372" s="912"/>
      <c r="BI372" s="912">
        <f>+AVERAGE(L372:O372)</f>
        <v>0.65499999999999992</v>
      </c>
      <c r="BJ372" s="912">
        <f>AVERAGE(P372:S372)</f>
        <v>0.47499999999999998</v>
      </c>
      <c r="BK372" s="912">
        <f t="shared" si="2175"/>
        <v>0.41999999999999993</v>
      </c>
      <c r="BL372" s="912">
        <f t="shared" si="2176"/>
        <v>0.42749999999999999</v>
      </c>
      <c r="BM372" s="912">
        <f t="shared" ref="BM372" si="2179">+AVERAGE(AB372:AE372)</f>
        <v>0.39749999999999996</v>
      </c>
      <c r="BN372" s="912">
        <f t="shared" si="2177"/>
        <v>0.24</v>
      </c>
      <c r="BO372" s="912">
        <f t="shared" si="2178"/>
        <v>0.24249999999999999</v>
      </c>
      <c r="BP372" s="912"/>
    </row>
    <row r="373" spans="2:68">
      <c r="B373" t="s">
        <v>407</v>
      </c>
      <c r="H373" s="911"/>
      <c r="I373" s="911"/>
      <c r="J373" s="911"/>
      <c r="K373" s="911"/>
      <c r="L373" s="911"/>
      <c r="M373" s="911"/>
      <c r="N373" s="911"/>
      <c r="O373" s="911"/>
      <c r="P373" s="911"/>
      <c r="Q373" s="911"/>
      <c r="R373" s="911"/>
      <c r="S373" s="911"/>
      <c r="T373" s="911"/>
      <c r="U373" s="911"/>
      <c r="V373" s="911"/>
      <c r="W373" s="911"/>
      <c r="X373" s="911"/>
      <c r="Y373" s="911"/>
      <c r="Z373" s="911"/>
      <c r="AA373" s="911"/>
      <c r="AB373" s="911"/>
      <c r="AC373" s="911"/>
      <c r="AD373" s="911"/>
      <c r="AE373" s="911"/>
      <c r="AF373" s="911"/>
      <c r="AG373" s="911"/>
      <c r="AH373" s="911"/>
      <c r="AI373" s="911"/>
      <c r="AJ373" s="911">
        <v>0.2</v>
      </c>
      <c r="AK373" s="911">
        <v>0.2</v>
      </c>
      <c r="AL373" s="911">
        <v>0.17</v>
      </c>
      <c r="AM373" s="911">
        <v>0.15</v>
      </c>
      <c r="AN373" s="911"/>
      <c r="AO373" s="911"/>
      <c r="AP373" s="911"/>
      <c r="AQ373" s="911"/>
      <c r="BG373" s="912"/>
      <c r="BH373" s="912"/>
      <c r="BI373" s="912"/>
      <c r="BJ373" s="912"/>
      <c r="BK373" s="912"/>
      <c r="BL373" s="912"/>
      <c r="BM373" s="912"/>
      <c r="BN373" s="912"/>
      <c r="BO373" s="912">
        <f t="shared" si="2178"/>
        <v>0.18000000000000002</v>
      </c>
      <c r="BP373" s="912"/>
    </row>
    <row r="374" spans="2:68" ht="10.5">
      <c r="B374" s="45"/>
      <c r="D374" s="31"/>
      <c r="E374" s="31"/>
      <c r="F374" s="31"/>
      <c r="G374" s="31"/>
      <c r="BO374" s="912"/>
    </row>
    <row r="375" spans="2:68">
      <c r="B375" s="852" t="s">
        <v>379</v>
      </c>
      <c r="D375" s="31"/>
      <c r="E375" s="31"/>
      <c r="F375" s="31"/>
      <c r="G375" s="31"/>
      <c r="BO375" s="912"/>
    </row>
    <row r="376" spans="2:68">
      <c r="B376" t="s">
        <v>373</v>
      </c>
      <c r="D376" s="911">
        <v>0.05</v>
      </c>
      <c r="E376" s="911">
        <v>0.05</v>
      </c>
      <c r="F376" s="911">
        <v>7.0000000000000007E-2</v>
      </c>
      <c r="G376" s="911">
        <v>0.09</v>
      </c>
      <c r="H376" s="911">
        <v>0.11</v>
      </c>
      <c r="I376" s="911">
        <v>0.08</v>
      </c>
      <c r="J376" s="911">
        <v>0.1</v>
      </c>
      <c r="K376" s="911">
        <v>0.06</v>
      </c>
      <c r="L376" s="911">
        <v>0.1</v>
      </c>
      <c r="M376" s="911">
        <v>0.1</v>
      </c>
      <c r="N376" s="911">
        <v>0.12</v>
      </c>
      <c r="O376" s="911">
        <v>0.08</v>
      </c>
      <c r="P376" s="911">
        <v>0.16</v>
      </c>
      <c r="Q376" s="911">
        <v>0.11</v>
      </c>
      <c r="R376" s="911">
        <v>0.14000000000000001</v>
      </c>
      <c r="S376" s="911">
        <v>0.16</v>
      </c>
      <c r="T376" s="911">
        <v>0.15</v>
      </c>
      <c r="U376" s="911">
        <v>0.18</v>
      </c>
      <c r="V376" s="911">
        <v>0.15</v>
      </c>
      <c r="W376" s="911">
        <v>7.0000000000000007E-2</v>
      </c>
      <c r="X376" s="911">
        <v>0.09</v>
      </c>
      <c r="Y376" s="911">
        <v>0.09</v>
      </c>
      <c r="Z376" s="911">
        <v>0.1</v>
      </c>
      <c r="AA376" s="911">
        <v>0.15</v>
      </c>
      <c r="AB376" s="911">
        <v>0.16</v>
      </c>
      <c r="AC376" s="911">
        <v>0.14000000000000001</v>
      </c>
      <c r="AD376" s="911">
        <v>0.14000000000000001</v>
      </c>
      <c r="AE376" s="911">
        <v>0.13</v>
      </c>
      <c r="AF376" s="911">
        <v>0.13</v>
      </c>
      <c r="AG376" s="911">
        <v>0.14000000000000001</v>
      </c>
      <c r="AH376" s="911">
        <v>0.17</v>
      </c>
      <c r="AI376" s="911">
        <v>0.14000000000000001</v>
      </c>
      <c r="AJ376" s="911">
        <v>0.14000000000000001</v>
      </c>
      <c r="AK376" s="911">
        <v>0.13</v>
      </c>
      <c r="AL376" s="911">
        <v>0.12</v>
      </c>
      <c r="AM376" s="911">
        <v>0.13</v>
      </c>
      <c r="AN376" s="911"/>
      <c r="AO376" s="911"/>
      <c r="AP376" s="911"/>
      <c r="AQ376" s="911"/>
      <c r="BG376" s="912"/>
      <c r="BH376" s="912">
        <f>+AVERAGE(H376:K376)</f>
        <v>8.7500000000000008E-2</v>
      </c>
      <c r="BI376" s="912">
        <f>+AVERAGE(L376:O376)</f>
        <v>0.1</v>
      </c>
      <c r="BJ376" s="912">
        <f>+AVERAGE(P376:S376)</f>
        <v>0.14250000000000002</v>
      </c>
      <c r="BK376" s="912">
        <f t="shared" ref="BK376:BK381" si="2180">+AVERAGE(T376:W376)</f>
        <v>0.13750000000000001</v>
      </c>
      <c r="BL376" s="912">
        <f t="shared" ref="BL376:BL381" si="2181">+AVERAGE(X376:AA376)</f>
        <v>0.10750000000000001</v>
      </c>
      <c r="BM376" s="912">
        <f>+AVERAGE(AB376:AE376)</f>
        <v>0.14250000000000002</v>
      </c>
      <c r="BN376" s="912">
        <f t="shared" ref="BN376:BN381" si="2182">AVERAGE(AF376:AI376)</f>
        <v>0.14500000000000002</v>
      </c>
      <c r="BO376" s="912">
        <f t="shared" ref="BO376:BO382" si="2183">AVERAGE(AJ376:AM376)</f>
        <v>0.13</v>
      </c>
      <c r="BP376" s="912"/>
    </row>
    <row r="377" spans="2:68">
      <c r="B377" t="s">
        <v>374</v>
      </c>
      <c r="D377" s="911">
        <v>0.7</v>
      </c>
      <c r="E377" s="911">
        <v>0.7</v>
      </c>
      <c r="F377" s="911">
        <v>0.63</v>
      </c>
      <c r="G377" s="911">
        <v>0.59</v>
      </c>
      <c r="H377" s="911">
        <v>0.54</v>
      </c>
      <c r="I377" s="911">
        <v>0.49</v>
      </c>
      <c r="J377" s="911">
        <v>0.45</v>
      </c>
      <c r="K377" s="911">
        <v>0.44</v>
      </c>
      <c r="L377" s="911">
        <v>0.42</v>
      </c>
      <c r="M377" s="911">
        <v>0.41</v>
      </c>
      <c r="N377" s="911">
        <v>0.4</v>
      </c>
      <c r="O377" s="911">
        <v>0.35</v>
      </c>
      <c r="P377" s="911">
        <v>0.35</v>
      </c>
      <c r="Q377" s="911">
        <v>0.33</v>
      </c>
      <c r="R377" s="911">
        <v>0.31</v>
      </c>
      <c r="S377" s="911">
        <v>0.34</v>
      </c>
      <c r="T377" s="911">
        <v>0.28000000000000003</v>
      </c>
      <c r="U377" s="911">
        <v>0.18</v>
      </c>
      <c r="V377" s="911">
        <v>0.27</v>
      </c>
      <c r="W377" s="911">
        <v>0.22</v>
      </c>
      <c r="X377" s="911">
        <v>0.2</v>
      </c>
      <c r="Y377" s="911">
        <v>0.2</v>
      </c>
      <c r="Z377" s="911">
        <v>0.19</v>
      </c>
      <c r="AA377" s="911">
        <v>0.2</v>
      </c>
      <c r="AB377" s="911">
        <v>0.21</v>
      </c>
      <c r="AC377" s="911">
        <v>0.19</v>
      </c>
      <c r="AD377" s="911">
        <v>0.12</v>
      </c>
      <c r="AE377" s="911">
        <v>0.12</v>
      </c>
      <c r="AF377" s="911">
        <v>0.11</v>
      </c>
      <c r="AG377" s="911">
        <v>0.18</v>
      </c>
      <c r="AH377" s="911">
        <v>0.18</v>
      </c>
      <c r="AI377" s="911">
        <v>0.17</v>
      </c>
      <c r="AJ377" s="911">
        <v>0.17</v>
      </c>
      <c r="AK377" s="911">
        <v>0.16</v>
      </c>
      <c r="AL377" s="911">
        <v>0.15</v>
      </c>
      <c r="AM377" s="911">
        <v>0.14000000000000001</v>
      </c>
      <c r="AN377" s="911"/>
      <c r="AO377" s="911"/>
      <c r="AP377" s="911"/>
      <c r="AQ377" s="911"/>
      <c r="BG377" s="912"/>
      <c r="BH377" s="912">
        <f>+AVERAGE(H377:K377)</f>
        <v>0.48</v>
      </c>
      <c r="BI377" s="912">
        <f>+AVERAGE(L377:O377)</f>
        <v>0.39500000000000002</v>
      </c>
      <c r="BJ377" s="912">
        <f>+AVERAGE(P377:S377)</f>
        <v>0.33250000000000002</v>
      </c>
      <c r="BK377" s="912">
        <f t="shared" si="2180"/>
        <v>0.23749999999999999</v>
      </c>
      <c r="BL377" s="912">
        <f t="shared" si="2181"/>
        <v>0.19750000000000001</v>
      </c>
      <c r="BM377" s="912">
        <f>+AVERAGE(AB377:AE377)</f>
        <v>0.16</v>
      </c>
      <c r="BN377" s="912">
        <f t="shared" si="2182"/>
        <v>0.16</v>
      </c>
      <c r="BO377" s="912">
        <f t="shared" si="2183"/>
        <v>0.155</v>
      </c>
      <c r="BP377" s="912"/>
    </row>
    <row r="378" spans="2:68">
      <c r="B378" t="s">
        <v>375</v>
      </c>
      <c r="D378" s="911">
        <v>-0.04</v>
      </c>
      <c r="E378" s="911">
        <v>-0.08</v>
      </c>
      <c r="F378" s="911">
        <v>0.06</v>
      </c>
      <c r="G378" s="911">
        <v>0.18</v>
      </c>
      <c r="H378" s="911">
        <v>0.03</v>
      </c>
      <c r="I378" s="911">
        <v>0.19</v>
      </c>
      <c r="J378" s="911">
        <v>0.11</v>
      </c>
      <c r="K378" s="911">
        <v>0.11</v>
      </c>
      <c r="L378" s="911">
        <v>0.1</v>
      </c>
      <c r="M378" s="911">
        <v>0.11</v>
      </c>
      <c r="N378" s="911">
        <v>0.09</v>
      </c>
      <c r="O378" s="911">
        <v>0.06</v>
      </c>
      <c r="P378" s="911">
        <v>0.17</v>
      </c>
      <c r="Q378" s="911">
        <v>0.02</v>
      </c>
      <c r="R378" s="911">
        <v>0.1</v>
      </c>
      <c r="S378" s="911">
        <v>0.08</v>
      </c>
      <c r="T378" s="911">
        <v>0.06</v>
      </c>
      <c r="U378" s="911">
        <v>0.2</v>
      </c>
      <c r="V378" s="911">
        <v>0.17</v>
      </c>
      <c r="W378" s="911">
        <v>7.0000000000000007E-2</v>
      </c>
      <c r="X378" s="911">
        <v>0.12</v>
      </c>
      <c r="Y378" s="911">
        <v>0.06</v>
      </c>
      <c r="Z378" s="911">
        <v>0.03</v>
      </c>
      <c r="AA378" s="911">
        <v>0.15</v>
      </c>
      <c r="AB378" s="911">
        <v>0.08</v>
      </c>
      <c r="AC378" s="911">
        <v>0.15</v>
      </c>
      <c r="AD378" s="911">
        <v>0.14000000000000001</v>
      </c>
      <c r="AE378" s="911">
        <v>0.12</v>
      </c>
      <c r="AF378" s="911">
        <v>0.11</v>
      </c>
      <c r="AG378" s="911">
        <v>0.03</v>
      </c>
      <c r="AH378" s="911">
        <v>0.04</v>
      </c>
      <c r="AI378" s="911">
        <v>0.06</v>
      </c>
      <c r="AJ378" s="911">
        <v>0.04</v>
      </c>
      <c r="AK378" s="911">
        <v>0.04</v>
      </c>
      <c r="AL378" s="911">
        <v>0.04</v>
      </c>
      <c r="AM378" s="911">
        <v>0.04</v>
      </c>
      <c r="AN378" s="911"/>
      <c r="AO378" s="911"/>
      <c r="AP378" s="911"/>
      <c r="AQ378" s="911"/>
      <c r="BG378" s="912"/>
      <c r="BH378" s="912">
        <f>+AVERAGE(H378:K378)</f>
        <v>0.11</v>
      </c>
      <c r="BI378" s="912">
        <f>+AVERAGE(L378:O378)</f>
        <v>9.0000000000000011E-2</v>
      </c>
      <c r="BJ378" s="912">
        <f>AVERAGE(P378:S378)</f>
        <v>9.2500000000000013E-2</v>
      </c>
      <c r="BK378" s="912">
        <f t="shared" si="2180"/>
        <v>0.125</v>
      </c>
      <c r="BL378" s="912">
        <f t="shared" si="2181"/>
        <v>0.09</v>
      </c>
      <c r="BM378" s="912">
        <f t="shared" ref="BM378:BM380" si="2184">+AVERAGE(AB378:AE378)</f>
        <v>0.1225</v>
      </c>
      <c r="BN378" s="912">
        <f t="shared" si="2182"/>
        <v>6.0000000000000005E-2</v>
      </c>
      <c r="BO378" s="912">
        <f t="shared" si="2183"/>
        <v>0.04</v>
      </c>
      <c r="BP378" s="912"/>
    </row>
    <row r="379" spans="2:68" hidden="1" outlineLevel="1">
      <c r="B379" t="s">
        <v>376</v>
      </c>
      <c r="H379" s="911"/>
      <c r="I379" s="911"/>
      <c r="J379" s="911"/>
      <c r="K379" s="911"/>
      <c r="L379" s="911"/>
      <c r="M379" s="911"/>
      <c r="N379" s="911">
        <v>0.33</v>
      </c>
      <c r="O379" s="911">
        <v>0.34</v>
      </c>
      <c r="P379" s="911">
        <v>0.33</v>
      </c>
      <c r="Q379" s="911">
        <v>0.3</v>
      </c>
      <c r="R379" s="911">
        <v>0.28999999999999998</v>
      </c>
      <c r="S379" s="911">
        <v>0.28000000000000003</v>
      </c>
      <c r="T379" s="911">
        <v>0.26</v>
      </c>
      <c r="U379" s="911">
        <v>0.26</v>
      </c>
      <c r="V379" s="911">
        <v>0.22</v>
      </c>
      <c r="W379" s="911">
        <v>0.11</v>
      </c>
      <c r="X379" s="911">
        <v>0.16</v>
      </c>
      <c r="Y379" s="911">
        <v>0.22</v>
      </c>
      <c r="Z379" s="911">
        <v>0.23</v>
      </c>
      <c r="AA379" s="911">
        <v>0.42</v>
      </c>
      <c r="AB379" s="911">
        <v>0.39</v>
      </c>
      <c r="AC379" s="911">
        <v>0.36</v>
      </c>
      <c r="AD379" s="911">
        <v>0.35</v>
      </c>
      <c r="AE379" s="911">
        <v>0.28999999999999998</v>
      </c>
      <c r="AF379" s="911">
        <v>0.21</v>
      </c>
      <c r="AG379" s="911">
        <v>0.14000000000000001</v>
      </c>
      <c r="AH379" s="911"/>
      <c r="AI379" s="911"/>
      <c r="AJ379" s="911"/>
      <c r="AK379" s="911"/>
      <c r="AL379" s="911"/>
      <c r="AM379" s="911"/>
      <c r="AN379" s="911"/>
      <c r="AO379" s="911"/>
      <c r="AP379" s="911"/>
      <c r="AQ379" s="911"/>
      <c r="BG379" s="912"/>
      <c r="BH379" s="912"/>
      <c r="BI379" s="25" t="s">
        <v>271</v>
      </c>
      <c r="BJ379" s="912">
        <f>AVERAGE(P379:S379)</f>
        <v>0.3</v>
      </c>
      <c r="BK379" s="912">
        <f t="shared" si="2180"/>
        <v>0.21249999999999999</v>
      </c>
      <c r="BL379" s="912">
        <f t="shared" si="2181"/>
        <v>0.25750000000000001</v>
      </c>
      <c r="BM379" s="912">
        <f t="shared" si="2184"/>
        <v>0.34750000000000003</v>
      </c>
      <c r="BN379" s="912">
        <f t="shared" si="2182"/>
        <v>0.17499999999999999</v>
      </c>
      <c r="BO379" s="912" t="e">
        <f t="shared" si="2183"/>
        <v>#DIV/0!</v>
      </c>
      <c r="BP379" s="912"/>
    </row>
    <row r="380" spans="2:68" collapsed="1">
      <c r="B380" t="s">
        <v>377</v>
      </c>
      <c r="D380">
        <v>0.12</v>
      </c>
      <c r="E380">
        <v>0.11</v>
      </c>
      <c r="F380">
        <v>0.09</v>
      </c>
      <c r="G380">
        <v>7.0000000000000007E-2</v>
      </c>
      <c r="H380" s="911">
        <v>0.12</v>
      </c>
      <c r="I380" s="911">
        <v>0.02</v>
      </c>
      <c r="J380" s="911">
        <v>0.12</v>
      </c>
      <c r="K380" s="911">
        <v>0.04</v>
      </c>
      <c r="L380" s="911">
        <v>0.12</v>
      </c>
      <c r="M380" s="911">
        <v>0.09</v>
      </c>
      <c r="N380" s="911">
        <v>0.14000000000000001</v>
      </c>
      <c r="O380" s="911">
        <v>0.08</v>
      </c>
      <c r="P380" s="911">
        <v>0.2</v>
      </c>
      <c r="Q380" s="911">
        <v>0.17</v>
      </c>
      <c r="R380" s="911">
        <v>0.15</v>
      </c>
      <c r="S380" s="911">
        <v>0.15</v>
      </c>
      <c r="T380" s="911">
        <v>0.16</v>
      </c>
      <c r="U380" s="911">
        <v>0.15</v>
      </c>
      <c r="V380" s="911">
        <v>0.2</v>
      </c>
      <c r="W380" s="911">
        <v>0.15</v>
      </c>
      <c r="X380" s="911">
        <v>0.18</v>
      </c>
      <c r="Y380" s="911">
        <v>0.18</v>
      </c>
      <c r="Z380" s="911">
        <v>0.22</v>
      </c>
      <c r="AA380" s="911">
        <v>0.26</v>
      </c>
      <c r="AB380" s="911">
        <v>0.28999999999999998</v>
      </c>
      <c r="AC380" s="911">
        <v>0.28999999999999998</v>
      </c>
      <c r="AD380" s="911">
        <v>0.25</v>
      </c>
      <c r="AE380" s="911">
        <v>0.24</v>
      </c>
      <c r="AF380" s="911">
        <v>0.22</v>
      </c>
      <c r="AG380" s="911">
        <v>0.2</v>
      </c>
      <c r="AH380" s="911">
        <v>0.21</v>
      </c>
      <c r="AI380" s="911">
        <v>0.21</v>
      </c>
      <c r="AJ380" s="911">
        <v>0.21</v>
      </c>
      <c r="AK380" s="911">
        <v>0.19</v>
      </c>
      <c r="AL380" s="911">
        <v>0.17</v>
      </c>
      <c r="AM380" s="911">
        <v>0.16</v>
      </c>
      <c r="AN380" s="911"/>
      <c r="AO380" s="911"/>
      <c r="AP380" s="911"/>
      <c r="AQ380" s="911"/>
      <c r="BG380" s="912"/>
      <c r="BH380" s="912">
        <f>+AVERAGE(H380:K380)</f>
        <v>7.4999999999999997E-2</v>
      </c>
      <c r="BI380" s="912">
        <f>+AVERAGE(L380:O380)</f>
        <v>0.1075</v>
      </c>
      <c r="BJ380" s="912">
        <f>AVERAGE(P380:S380)</f>
        <v>0.16750000000000001</v>
      </c>
      <c r="BK380" s="912">
        <f t="shared" si="2180"/>
        <v>0.16500000000000001</v>
      </c>
      <c r="BL380" s="912">
        <f t="shared" si="2181"/>
        <v>0.21</v>
      </c>
      <c r="BM380" s="912">
        <f t="shared" si="2184"/>
        <v>0.26749999999999996</v>
      </c>
      <c r="BN380" s="912">
        <f t="shared" si="2182"/>
        <v>0.21</v>
      </c>
      <c r="BO380" s="912">
        <f t="shared" si="2183"/>
        <v>0.18250000000000002</v>
      </c>
      <c r="BP380" s="912"/>
    </row>
    <row r="381" spans="2:68">
      <c r="B381" t="s">
        <v>378</v>
      </c>
      <c r="H381" s="911"/>
      <c r="I381" s="911"/>
      <c r="J381" s="911"/>
      <c r="K381" s="911"/>
      <c r="L381" s="911">
        <v>0.69</v>
      </c>
      <c r="M381" s="911">
        <v>0.68</v>
      </c>
      <c r="N381" s="911">
        <v>0.62</v>
      </c>
      <c r="O381" s="911">
        <v>0.56000000000000005</v>
      </c>
      <c r="P381" s="911">
        <v>0.49</v>
      </c>
      <c r="Q381" s="911">
        <v>0.5</v>
      </c>
      <c r="R381" s="911">
        <v>0.44</v>
      </c>
      <c r="S381" s="911">
        <v>0.48</v>
      </c>
      <c r="T381" s="911">
        <v>0.44</v>
      </c>
      <c r="U381" s="911">
        <v>0.45</v>
      </c>
      <c r="V381" s="911">
        <v>0.49</v>
      </c>
      <c r="W381" s="911">
        <v>0.4</v>
      </c>
      <c r="X381" s="911">
        <v>0.37</v>
      </c>
      <c r="Y381" s="911">
        <v>0.37</v>
      </c>
      <c r="Z381" s="911">
        <v>0.4</v>
      </c>
      <c r="AA381" s="911">
        <v>0.42</v>
      </c>
      <c r="AB381" s="911">
        <v>0.45</v>
      </c>
      <c r="AC381" s="911">
        <v>0.44</v>
      </c>
      <c r="AD381" s="911">
        <v>0.38</v>
      </c>
      <c r="AE381" s="911">
        <v>0.36</v>
      </c>
      <c r="AF381" s="911">
        <v>0.32</v>
      </c>
      <c r="AG381" s="911">
        <v>0.28999999999999998</v>
      </c>
      <c r="AH381" s="911">
        <v>0.28999999999999998</v>
      </c>
      <c r="AI381" s="911">
        <v>0.28000000000000003</v>
      </c>
      <c r="AJ381" s="911">
        <v>0.26</v>
      </c>
      <c r="AK381" s="911">
        <v>0.24</v>
      </c>
      <c r="AL381" s="911">
        <v>0.22</v>
      </c>
      <c r="AM381" s="911">
        <v>0.2</v>
      </c>
      <c r="AN381" s="911"/>
      <c r="AO381" s="911"/>
      <c r="AP381" s="911"/>
      <c r="AQ381" s="911"/>
      <c r="BG381" s="912"/>
      <c r="BH381" s="912"/>
      <c r="BI381" s="912">
        <f>+AVERAGE(L381:O381)</f>
        <v>0.63750000000000007</v>
      </c>
      <c r="BJ381" s="912">
        <f>AVERAGE(P381:S381)</f>
        <v>0.47749999999999998</v>
      </c>
      <c r="BK381" s="912">
        <f t="shared" si="2180"/>
        <v>0.44499999999999995</v>
      </c>
      <c r="BL381" s="912">
        <f t="shared" si="2181"/>
        <v>0.39</v>
      </c>
      <c r="BM381" s="912">
        <f>+AVERAGE(AB381:AE381)</f>
        <v>0.40749999999999997</v>
      </c>
      <c r="BN381" s="912">
        <f t="shared" si="2182"/>
        <v>0.29499999999999998</v>
      </c>
      <c r="BO381" s="912">
        <f t="shared" si="2183"/>
        <v>0.22999999999999998</v>
      </c>
      <c r="BP381" s="912"/>
    </row>
    <row r="382" spans="2:68">
      <c r="B382" t="s">
        <v>407</v>
      </c>
      <c r="H382" s="911"/>
      <c r="I382" s="911"/>
      <c r="J382" s="911"/>
      <c r="K382" s="911"/>
      <c r="L382" s="911"/>
      <c r="M382" s="911"/>
      <c r="N382" s="911"/>
      <c r="O382" s="911"/>
      <c r="P382" s="911"/>
      <c r="Q382" s="911"/>
      <c r="R382" s="911"/>
      <c r="S382" s="911"/>
      <c r="T382" s="911"/>
      <c r="U382" s="911"/>
      <c r="V382" s="911"/>
      <c r="W382" s="911"/>
      <c r="X382" s="911"/>
      <c r="Y382" s="911"/>
      <c r="Z382" s="911"/>
      <c r="AA382" s="911"/>
      <c r="AB382" s="911"/>
      <c r="AC382" s="911"/>
      <c r="AD382" s="911"/>
      <c r="AE382" s="911"/>
      <c r="AF382" s="911"/>
      <c r="AG382" s="911"/>
      <c r="AH382" s="911"/>
      <c r="AI382" s="911"/>
      <c r="AJ382" s="911">
        <v>0.19</v>
      </c>
      <c r="AK382" s="911">
        <v>0.18</v>
      </c>
      <c r="AL382" s="911">
        <v>0.17</v>
      </c>
      <c r="AM382" s="911">
        <v>0.16</v>
      </c>
      <c r="AN382" s="911"/>
      <c r="AO382" s="911"/>
      <c r="AP382" s="911"/>
      <c r="AQ382" s="911"/>
      <c r="BG382" s="912"/>
      <c r="BH382" s="912"/>
      <c r="BI382" s="912"/>
      <c r="BJ382" s="912"/>
      <c r="BK382" s="912"/>
      <c r="BL382" s="912"/>
      <c r="BM382" s="912"/>
      <c r="BN382" s="912"/>
      <c r="BO382" s="912">
        <f t="shared" si="2183"/>
        <v>0.17500000000000002</v>
      </c>
      <c r="BP382" s="912"/>
    </row>
    <row r="383" spans="2:68" s="7" customFormat="1">
      <c r="B383" s="841"/>
      <c r="D383" s="842"/>
      <c r="E383" s="842"/>
      <c r="F383" s="842"/>
      <c r="G383" s="842"/>
      <c r="H383" s="842"/>
      <c r="I383" s="842"/>
      <c r="J383" s="842"/>
      <c r="K383" s="842"/>
      <c r="L383" s="842"/>
      <c r="M383" s="842"/>
      <c r="N383" s="842"/>
      <c r="O383" s="842"/>
      <c r="P383" s="842"/>
      <c r="Q383" s="842"/>
      <c r="R383" s="842"/>
      <c r="S383" s="842"/>
      <c r="T383" s="842"/>
      <c r="U383" s="842"/>
      <c r="V383" s="842"/>
      <c r="W383" s="842"/>
      <c r="X383" s="842"/>
      <c r="Y383" s="842"/>
      <c r="Z383" s="842"/>
      <c r="AA383" s="842"/>
      <c r="AB383" s="842"/>
      <c r="AC383" s="842"/>
      <c r="AD383" s="842"/>
      <c r="AE383" s="842"/>
      <c r="AF383" s="842"/>
      <c r="AG383" s="842"/>
      <c r="AH383" s="842"/>
      <c r="AI383" s="842"/>
      <c r="AJ383" s="842"/>
      <c r="AK383" s="842"/>
      <c r="AL383" s="842"/>
      <c r="AM383" s="842"/>
      <c r="AN383" s="842"/>
      <c r="AO383" s="842"/>
      <c r="AP383" s="842"/>
      <c r="AQ383" s="842"/>
      <c r="AR383" s="842"/>
      <c r="AS383" s="842"/>
      <c r="AT383" s="842"/>
      <c r="AU383" s="842"/>
      <c r="AV383" s="842"/>
      <c r="AW383" s="842"/>
      <c r="AX383" s="842"/>
      <c r="AY383" s="842"/>
      <c r="AZ383" s="842"/>
      <c r="BA383" s="842"/>
      <c r="BB383" s="842"/>
      <c r="BC383" s="842"/>
      <c r="BD383" s="842"/>
      <c r="BE383" s="842"/>
      <c r="BF383" s="842"/>
      <c r="BG383" s="842"/>
      <c r="BH383" s="842"/>
      <c r="BI383" s="842"/>
      <c r="BJ383" s="842"/>
      <c r="BK383" s="842"/>
      <c r="BL383" s="842"/>
      <c r="BM383" s="842"/>
      <c r="BN383" s="842"/>
      <c r="BO383" s="842"/>
      <c r="BP383" s="842"/>
    </row>
    <row r="384" spans="2:68" s="7" customFormat="1" ht="10.5">
      <c r="B384" s="45" t="s">
        <v>399</v>
      </c>
      <c r="C384"/>
      <c r="D384"/>
      <c r="E384"/>
      <c r="F384"/>
      <c r="G384"/>
      <c r="H384"/>
      <c r="I384"/>
      <c r="J384"/>
      <c r="K384"/>
      <c r="L384"/>
      <c r="M384"/>
      <c r="N384"/>
      <c r="O384"/>
      <c r="P384"/>
      <c r="Q384"/>
      <c r="R384"/>
      <c r="S384"/>
      <c r="T384"/>
      <c r="U384" s="842"/>
      <c r="V384" s="842"/>
      <c r="W384" s="842"/>
      <c r="X384" s="842"/>
      <c r="Y384" s="842"/>
      <c r="Z384" s="842"/>
      <c r="AA384" s="842"/>
      <c r="AB384" s="842"/>
      <c r="AC384" s="842"/>
      <c r="AD384" s="842"/>
      <c r="AE384" s="842"/>
      <c r="AF384" s="842"/>
      <c r="AG384" s="842"/>
      <c r="AH384" s="842"/>
      <c r="AI384" s="842"/>
      <c r="AJ384" s="842"/>
      <c r="AK384" s="842"/>
      <c r="AL384" s="842"/>
      <c r="AM384" s="842"/>
      <c r="AN384" s="842"/>
      <c r="AO384" s="842"/>
      <c r="AP384" s="842"/>
      <c r="AQ384" s="842"/>
      <c r="AR384" s="842"/>
      <c r="AS384" s="842"/>
      <c r="AT384" s="842"/>
      <c r="AU384" s="842"/>
      <c r="AV384" s="842"/>
      <c r="AW384" s="842"/>
      <c r="AX384" s="842"/>
      <c r="AY384" s="842"/>
      <c r="AZ384" s="842"/>
      <c r="BA384" s="842"/>
      <c r="BB384" s="842"/>
      <c r="BC384" s="842"/>
      <c r="BD384" s="842"/>
      <c r="BE384" s="842"/>
      <c r="BF384" s="842"/>
      <c r="BG384" s="842"/>
      <c r="BH384" s="842"/>
      <c r="BI384" s="842"/>
      <c r="BJ384" s="842"/>
      <c r="BK384" s="842"/>
      <c r="BL384" s="842"/>
      <c r="BM384" s="842"/>
      <c r="BN384" s="842"/>
      <c r="BO384" s="842"/>
      <c r="BP384" s="842"/>
    </row>
    <row r="385" spans="2:68" s="7" customFormat="1">
      <c r="B385" s="100" t="s">
        <v>400</v>
      </c>
      <c r="C385" s="100"/>
      <c r="D385" s="100"/>
      <c r="E385" s="100"/>
      <c r="F385" s="100"/>
      <c r="G385" s="100"/>
      <c r="H385" s="880">
        <f t="shared" ref="H385" si="2185">+L385/(1+L332)</f>
        <v>0</v>
      </c>
      <c r="I385" s="880">
        <f t="shared" ref="I385" si="2186">+M385/(1+M332)</f>
        <v>0</v>
      </c>
      <c r="J385" s="880">
        <f t="shared" ref="J385" si="2187">+N385/(1+N332)</f>
        <v>0</v>
      </c>
      <c r="K385" s="880">
        <f t="shared" ref="K385" si="2188">+O385/(1+O332)</f>
        <v>0</v>
      </c>
      <c r="L385" s="880">
        <f t="shared" ref="L385" si="2189">+P385/(1+P332)</f>
        <v>0</v>
      </c>
      <c r="M385" s="880">
        <f t="shared" ref="M385" si="2190">+Q385/(1+Q332)</f>
        <v>0</v>
      </c>
      <c r="N385" s="880">
        <f t="shared" ref="N385" si="2191">+R385/(1+R332)</f>
        <v>0</v>
      </c>
      <c r="O385" s="880">
        <f t="shared" ref="O385" si="2192">+S385/(1+S332)</f>
        <v>0</v>
      </c>
      <c r="P385" s="880">
        <f t="shared" ref="P385" si="2193">+T385/(1+T332)</f>
        <v>0</v>
      </c>
      <c r="Q385" s="880">
        <f t="shared" ref="Q385" si="2194">+U385/(1+U332)</f>
        <v>0</v>
      </c>
      <c r="R385" s="880">
        <f t="shared" ref="R385" si="2195">+V385/(1+V332)</f>
        <v>0</v>
      </c>
      <c r="S385" s="880">
        <f t="shared" ref="S385" si="2196">+W385/(1+W332)</f>
        <v>0</v>
      </c>
      <c r="T385" s="880">
        <f t="shared" ref="T385" si="2197">+X385/(1+X332)</f>
        <v>0</v>
      </c>
      <c r="U385" s="842"/>
      <c r="V385" s="842"/>
      <c r="W385" s="842"/>
      <c r="X385" s="842"/>
      <c r="Y385" s="842"/>
      <c r="Z385" s="842"/>
      <c r="AA385" s="842"/>
      <c r="AB385" s="842"/>
      <c r="AC385" s="842"/>
      <c r="AD385" s="842"/>
      <c r="AE385" s="842"/>
      <c r="AF385" s="842"/>
      <c r="AG385" s="842"/>
      <c r="AH385" s="842"/>
      <c r="AI385" s="842"/>
      <c r="AJ385" s="842"/>
      <c r="AK385" s="842"/>
      <c r="AL385" s="842"/>
      <c r="AM385" s="842"/>
      <c r="AN385" s="842"/>
      <c r="AO385" s="842"/>
      <c r="AP385" s="842"/>
      <c r="AQ385" s="842"/>
      <c r="AR385" s="842"/>
      <c r="AS385" s="842"/>
      <c r="AT385" s="842"/>
      <c r="AU385" s="842"/>
      <c r="AV385" s="842"/>
      <c r="AW385" s="842"/>
      <c r="AX385" s="842"/>
      <c r="AY385" s="842"/>
      <c r="AZ385" s="842"/>
      <c r="BA385" s="842"/>
      <c r="BB385" s="842"/>
      <c r="BC385" s="842"/>
      <c r="BD385" s="842"/>
      <c r="BE385" s="842"/>
      <c r="BF385" s="842"/>
      <c r="BG385" s="842"/>
      <c r="BH385" s="842"/>
      <c r="BI385" s="842"/>
      <c r="BJ385" s="842"/>
      <c r="BK385" s="842"/>
      <c r="BL385" s="842"/>
      <c r="BM385" s="842"/>
      <c r="BN385" s="842"/>
      <c r="BO385" s="842"/>
      <c r="BP385" s="842"/>
    </row>
    <row r="386" spans="2:68" s="7" customFormat="1">
      <c r="B386" s="100" t="s">
        <v>401</v>
      </c>
      <c r="C386" s="100"/>
      <c r="D386" s="100"/>
      <c r="E386" s="100"/>
      <c r="F386" s="100"/>
      <c r="G386" s="100"/>
      <c r="H386" s="880">
        <f t="shared" ref="H386" si="2198">+L386/(1+L334)</f>
        <v>0</v>
      </c>
      <c r="I386" s="880">
        <f t="shared" ref="I386" si="2199">+M386/(1+M334)</f>
        <v>0</v>
      </c>
      <c r="J386" s="880">
        <f t="shared" ref="J386" si="2200">+N386/(1+N334)</f>
        <v>0</v>
      </c>
      <c r="K386" s="880">
        <f t="shared" ref="K386" si="2201">+O386/(1+O334)</f>
        <v>0</v>
      </c>
      <c r="L386" s="880">
        <f t="shared" ref="L386" si="2202">+P386/(1+P334)</f>
        <v>0</v>
      </c>
      <c r="M386" s="880">
        <f t="shared" ref="M386" si="2203">+Q386/(1+Q334)</f>
        <v>0</v>
      </c>
      <c r="N386" s="880">
        <f t="shared" ref="N386" si="2204">+R386/(1+R334)</f>
        <v>0</v>
      </c>
      <c r="O386" s="880">
        <f t="shared" ref="O386" si="2205">+S386/(1+S334)</f>
        <v>0</v>
      </c>
      <c r="P386" s="880">
        <f t="shared" ref="P386" si="2206">+T386/(1+T334)</f>
        <v>0</v>
      </c>
      <c r="Q386" s="880">
        <f t="shared" ref="Q386" si="2207">+U386/(1+U334)</f>
        <v>0</v>
      </c>
      <c r="R386" s="880">
        <f t="shared" ref="R386" si="2208">+V386/(1+V334)</f>
        <v>0</v>
      </c>
      <c r="S386" s="880">
        <f t="shared" ref="S386" si="2209">+W386/(1+W334)</f>
        <v>0</v>
      </c>
      <c r="T386" s="880">
        <f t="shared" ref="T386" si="2210">+X386/(1+X334)</f>
        <v>0</v>
      </c>
      <c r="U386" s="842"/>
      <c r="V386" s="842"/>
      <c r="W386" s="842"/>
      <c r="X386" s="842"/>
      <c r="Y386" s="842"/>
      <c r="Z386" s="842"/>
      <c r="AA386" s="842"/>
      <c r="AB386" s="842"/>
      <c r="AC386" s="842"/>
      <c r="AD386" s="842"/>
      <c r="AE386" s="842"/>
      <c r="AF386" s="842"/>
      <c r="AG386" s="842"/>
      <c r="AH386" s="842"/>
      <c r="AI386" s="842"/>
      <c r="AJ386" s="842"/>
      <c r="AK386" s="842"/>
      <c r="AL386" s="842"/>
      <c r="AM386" s="842"/>
      <c r="AN386" s="842"/>
      <c r="AO386" s="842"/>
      <c r="AP386" s="842"/>
      <c r="AQ386" s="842"/>
      <c r="AR386" s="842"/>
      <c r="AS386" s="842"/>
      <c r="AT386" s="842"/>
      <c r="AU386" s="842"/>
      <c r="AV386" s="842"/>
      <c r="AW386" s="842"/>
      <c r="AX386" s="842"/>
      <c r="AY386" s="842"/>
      <c r="AZ386" s="842"/>
      <c r="BA386" s="842"/>
      <c r="BB386" s="842"/>
      <c r="BC386" s="842"/>
      <c r="BD386" s="842"/>
      <c r="BE386" s="842"/>
      <c r="BF386" s="842"/>
      <c r="BG386" s="842"/>
      <c r="BH386" s="842"/>
      <c r="BI386" s="842"/>
      <c r="BJ386" s="842"/>
      <c r="BK386" s="842"/>
      <c r="BL386" s="842"/>
      <c r="BM386" s="842"/>
      <c r="BN386" s="842"/>
      <c r="BO386" s="842"/>
      <c r="BP386" s="842"/>
    </row>
    <row r="387" spans="2:68" s="7" customFormat="1">
      <c r="B387" s="100" t="s">
        <v>198</v>
      </c>
      <c r="C387" s="1003"/>
      <c r="D387" s="1003"/>
      <c r="E387" s="1003"/>
      <c r="F387" s="1003"/>
      <c r="G387" s="1003"/>
      <c r="H387" s="1000">
        <f>+H388-SUM(H385:H386)</f>
        <v>23.55</v>
      </c>
      <c r="I387" s="1000">
        <f t="shared" ref="I387:T387" si="2211">+I388-SUM(I385:I386)</f>
        <v>24.45</v>
      </c>
      <c r="J387" s="1000">
        <f t="shared" si="2211"/>
        <v>25.55</v>
      </c>
      <c r="K387" s="1000">
        <f t="shared" si="2211"/>
        <v>26.6</v>
      </c>
      <c r="L387" s="1000">
        <f t="shared" si="2211"/>
        <v>27.5</v>
      </c>
      <c r="M387" s="1000">
        <f t="shared" si="2211"/>
        <v>28.6</v>
      </c>
      <c r="N387" s="1000">
        <f t="shared" si="2211"/>
        <v>29.9</v>
      </c>
      <c r="O387" s="1000">
        <f t="shared" si="2211"/>
        <v>31</v>
      </c>
      <c r="P387" s="1000">
        <f t="shared" si="2211"/>
        <v>31.95</v>
      </c>
      <c r="Q387" s="1000">
        <f t="shared" si="2211"/>
        <v>32.9</v>
      </c>
      <c r="R387" s="1000">
        <f t="shared" si="2211"/>
        <v>33.75</v>
      </c>
      <c r="S387" s="1000">
        <f t="shared" si="2211"/>
        <v>34.5</v>
      </c>
      <c r="T387" s="1000">
        <f t="shared" si="2211"/>
        <v>35.200000000000003</v>
      </c>
      <c r="U387" s="842"/>
      <c r="V387" s="842"/>
      <c r="W387" s="842"/>
      <c r="X387" s="842"/>
      <c r="Y387" s="842"/>
      <c r="Z387" s="842"/>
      <c r="AA387" s="842"/>
      <c r="AB387" s="842"/>
      <c r="AC387" s="842"/>
      <c r="AD387" s="842"/>
      <c r="AE387" s="842"/>
      <c r="AF387" s="842"/>
      <c r="AG387" s="842"/>
      <c r="AH387" s="842"/>
      <c r="AI387" s="842"/>
      <c r="AJ387" s="842"/>
      <c r="AK387" s="842"/>
      <c r="AL387" s="842"/>
      <c r="AM387" s="842"/>
      <c r="AN387" s="842"/>
      <c r="AO387" s="842"/>
      <c r="AP387" s="842"/>
      <c r="AQ387" s="842"/>
      <c r="AR387" s="842"/>
      <c r="AS387" s="842"/>
      <c r="AT387" s="842"/>
      <c r="AU387" s="842"/>
      <c r="AV387" s="842"/>
      <c r="AW387" s="842"/>
      <c r="AX387" s="842"/>
      <c r="AY387" s="842"/>
      <c r="AZ387" s="842"/>
      <c r="BA387" s="842"/>
      <c r="BB387" s="842"/>
      <c r="BC387" s="842"/>
      <c r="BD387" s="842"/>
      <c r="BE387" s="842"/>
      <c r="BF387" s="842"/>
      <c r="BG387" s="842"/>
      <c r="BH387" s="842"/>
      <c r="BI387" s="842"/>
      <c r="BJ387" s="842"/>
      <c r="BK387" s="842"/>
      <c r="BL387" s="842"/>
      <c r="BM387" s="842"/>
      <c r="BN387" s="842"/>
      <c r="BO387" s="842"/>
      <c r="BP387" s="842"/>
    </row>
    <row r="388" spans="2:68" s="7" customFormat="1">
      <c r="B388" s="1096" t="s">
        <v>402</v>
      </c>
      <c r="C388" s="100"/>
      <c r="D388" s="100"/>
      <c r="E388" s="100"/>
      <c r="F388" s="100"/>
      <c r="G388" s="100"/>
      <c r="H388" s="880">
        <f>+'VA segmentation'!AC300</f>
        <v>23.55</v>
      </c>
      <c r="I388" s="880">
        <f>+'VA segmentation'!AD300</f>
        <v>24.45</v>
      </c>
      <c r="J388" s="880">
        <f>+'VA segmentation'!AE300</f>
        <v>25.55</v>
      </c>
      <c r="K388" s="880">
        <f>+'VA segmentation'!AF300</f>
        <v>26.6</v>
      </c>
      <c r="L388" s="880">
        <f>+'VA segmentation'!AG300</f>
        <v>27.5</v>
      </c>
      <c r="M388" s="880">
        <f>+'VA segmentation'!AH300</f>
        <v>28.6</v>
      </c>
      <c r="N388" s="880">
        <f>+'VA segmentation'!AI300</f>
        <v>29.9</v>
      </c>
      <c r="O388" s="880">
        <f>+'VA segmentation'!AJ300</f>
        <v>31</v>
      </c>
      <c r="P388" s="880">
        <f>+'VA segmentation'!AK300</f>
        <v>31.95</v>
      </c>
      <c r="Q388" s="880">
        <f>+'VA segmentation'!AL300</f>
        <v>32.9</v>
      </c>
      <c r="R388" s="880">
        <f>+'VA segmentation'!AM300</f>
        <v>33.75</v>
      </c>
      <c r="S388" s="880">
        <f>+'VA segmentation'!AN300</f>
        <v>34.5</v>
      </c>
      <c r="T388" s="880">
        <f>+'VA segmentation'!AO300</f>
        <v>35.200000000000003</v>
      </c>
      <c r="U388" s="842"/>
      <c r="V388" s="842"/>
      <c r="W388" s="842"/>
      <c r="X388" s="842"/>
      <c r="Y388" s="842"/>
      <c r="Z388" s="842"/>
      <c r="AA388" s="842"/>
      <c r="AB388" s="842"/>
      <c r="AC388" s="842"/>
      <c r="AD388" s="842"/>
      <c r="AE388" s="842"/>
      <c r="AF388" s="842"/>
      <c r="AG388" s="842"/>
      <c r="AH388" s="842"/>
      <c r="AI388" s="842"/>
      <c r="AJ388" s="842"/>
      <c r="AK388" s="842"/>
      <c r="AL388" s="842"/>
      <c r="AM388" s="842"/>
      <c r="AN388" s="842"/>
      <c r="AO388" s="842"/>
      <c r="AP388" s="842"/>
      <c r="AQ388" s="842"/>
      <c r="AR388" s="842"/>
      <c r="AS388" s="842"/>
      <c r="AT388" s="842"/>
      <c r="AU388" s="842"/>
      <c r="AV388" s="842"/>
      <c r="AW388" s="842"/>
      <c r="AX388" s="842"/>
      <c r="AY388" s="842"/>
      <c r="AZ388" s="842"/>
      <c r="BA388" s="842"/>
      <c r="BB388" s="842"/>
      <c r="BC388" s="842"/>
      <c r="BD388" s="842"/>
      <c r="BE388" s="842"/>
      <c r="BF388" s="842"/>
      <c r="BG388" s="842"/>
      <c r="BH388" s="842"/>
      <c r="BI388" s="842"/>
      <c r="BJ388" s="842"/>
      <c r="BK388" s="842"/>
      <c r="BL388" s="842"/>
      <c r="BM388" s="842"/>
      <c r="BN388" s="842"/>
      <c r="BO388" s="842"/>
      <c r="BP388" s="842"/>
    </row>
    <row r="389" spans="2:68" s="7" customFormat="1">
      <c r="B389" s="100" t="s">
        <v>385</v>
      </c>
      <c r="C389" s="100"/>
      <c r="D389" s="100"/>
      <c r="E389" s="100"/>
      <c r="F389" s="100"/>
      <c r="G389" s="100"/>
      <c r="H389" s="880">
        <f>+'VA segmentation'!AC61</f>
        <v>0</v>
      </c>
      <c r="I389" s="880">
        <f>+'VA segmentation'!AD61</f>
        <v>0</v>
      </c>
      <c r="J389" s="880">
        <f>+'VA segmentation'!AE61</f>
        <v>0</v>
      </c>
      <c r="K389" s="880">
        <f>+'VA segmentation'!AF61</f>
        <v>0</v>
      </c>
      <c r="L389" s="880">
        <f>+'VA segmentation'!AG61</f>
        <v>0</v>
      </c>
      <c r="M389" s="880">
        <f>+'VA segmentation'!AH61</f>
        <v>0</v>
      </c>
      <c r="N389" s="880">
        <f>+'VA segmentation'!AI61</f>
        <v>0</v>
      </c>
      <c r="O389" s="880">
        <f>+'VA segmentation'!AJ61</f>
        <v>0</v>
      </c>
      <c r="P389" s="880">
        <f>+'VA segmentation'!AK61</f>
        <v>0</v>
      </c>
      <c r="Q389" s="880">
        <f>+'VA segmentation'!AL61</f>
        <v>0</v>
      </c>
      <c r="R389" s="880">
        <f>+'VA segmentation'!AM61</f>
        <v>0</v>
      </c>
      <c r="S389" s="880">
        <f>+'VA segmentation'!AN61</f>
        <v>0</v>
      </c>
      <c r="T389" s="880">
        <f>+'VA segmentation'!AO61</f>
        <v>0</v>
      </c>
      <c r="U389" s="842"/>
      <c r="V389" s="842"/>
      <c r="W389" s="842"/>
      <c r="X389" s="842"/>
      <c r="Y389" s="842"/>
      <c r="Z389" s="842"/>
      <c r="AA389" s="842"/>
      <c r="AB389" s="842"/>
      <c r="AC389" s="842"/>
      <c r="AD389" s="842"/>
      <c r="AE389" s="842"/>
      <c r="AF389" s="842"/>
      <c r="AG389" s="842"/>
      <c r="AH389" s="842"/>
      <c r="AI389" s="842"/>
      <c r="AJ389" s="842"/>
      <c r="AK389" s="842"/>
      <c r="AL389" s="842"/>
      <c r="AM389" s="842"/>
      <c r="AN389" s="842"/>
      <c r="AO389" s="842"/>
      <c r="AP389" s="842"/>
      <c r="AQ389" s="842"/>
      <c r="AR389" s="842"/>
      <c r="AS389" s="842"/>
      <c r="AT389" s="842"/>
      <c r="AU389" s="842"/>
      <c r="AV389" s="842"/>
      <c r="AW389" s="842"/>
      <c r="AX389" s="842"/>
      <c r="AY389" s="842"/>
      <c r="AZ389" s="842"/>
      <c r="BA389" s="842"/>
      <c r="BB389" s="842"/>
      <c r="BC389" s="842"/>
      <c r="BD389" s="842"/>
      <c r="BE389" s="842"/>
      <c r="BF389" s="842"/>
      <c r="BG389" s="842"/>
      <c r="BH389" s="842"/>
      <c r="BI389" s="842"/>
      <c r="BJ389" s="842"/>
      <c r="BK389" s="842"/>
      <c r="BL389" s="842"/>
      <c r="BM389" s="842"/>
      <c r="BN389" s="842"/>
      <c r="BO389" s="842"/>
      <c r="BP389" s="842"/>
    </row>
    <row r="390" spans="2:68" s="7" customFormat="1" ht="11.45">
      <c r="B390" s="100" t="s">
        <v>403</v>
      </c>
      <c r="C390" s="1112"/>
      <c r="D390" s="1112"/>
      <c r="E390" s="1112"/>
      <c r="F390" s="1112"/>
      <c r="G390" s="1112"/>
      <c r="H390" s="906">
        <f>+H391-H389-H388</f>
        <v>-23.55</v>
      </c>
      <c r="I390" s="906">
        <f t="shared" ref="I390:T390" si="2212">+I391-I389-I388</f>
        <v>-24.45</v>
      </c>
      <c r="J390" s="906">
        <f t="shared" si="2212"/>
        <v>-25.55</v>
      </c>
      <c r="K390" s="906">
        <f t="shared" si="2212"/>
        <v>-26.6</v>
      </c>
      <c r="L390" s="906">
        <f t="shared" si="2212"/>
        <v>-27.5</v>
      </c>
      <c r="M390" s="906">
        <f t="shared" si="2212"/>
        <v>-28.6</v>
      </c>
      <c r="N390" s="906">
        <f t="shared" si="2212"/>
        <v>-29.9</v>
      </c>
      <c r="O390" s="906">
        <f t="shared" si="2212"/>
        <v>-31</v>
      </c>
      <c r="P390" s="906">
        <f t="shared" si="2212"/>
        <v>-31.95</v>
      </c>
      <c r="Q390" s="906">
        <f t="shared" si="2212"/>
        <v>-32.9</v>
      </c>
      <c r="R390" s="906">
        <f t="shared" si="2212"/>
        <v>-33.75</v>
      </c>
      <c r="S390" s="906">
        <f t="shared" si="2212"/>
        <v>-34.5</v>
      </c>
      <c r="T390" s="906">
        <f t="shared" si="2212"/>
        <v>-35.200000000000003</v>
      </c>
      <c r="U390" s="842"/>
      <c r="V390" s="842"/>
      <c r="W390" s="842"/>
      <c r="X390" s="842"/>
      <c r="Y390" s="842"/>
      <c r="Z390" s="842"/>
      <c r="AA390" s="842"/>
      <c r="AB390" s="842"/>
      <c r="AC390" s="842"/>
      <c r="AD390" s="842"/>
      <c r="AE390" s="842"/>
      <c r="AF390" s="842"/>
      <c r="AG390" s="842"/>
      <c r="AH390" s="842"/>
      <c r="AI390" s="842"/>
      <c r="AJ390" s="842"/>
      <c r="AK390" s="842"/>
      <c r="AL390" s="842"/>
      <c r="AM390" s="842"/>
      <c r="AN390" s="842"/>
      <c r="AO390" s="842"/>
      <c r="AP390" s="842"/>
      <c r="AQ390" s="842"/>
      <c r="AR390" s="842"/>
      <c r="AS390" s="842"/>
      <c r="AT390" s="842"/>
      <c r="AU390" s="842"/>
      <c r="AV390" s="842"/>
      <c r="AW390" s="842"/>
      <c r="AX390" s="842"/>
      <c r="AY390" s="842"/>
      <c r="AZ390" s="842"/>
      <c r="BA390" s="842"/>
      <c r="BB390" s="842"/>
      <c r="BC390" s="842"/>
      <c r="BD390" s="842"/>
      <c r="BE390" s="842"/>
      <c r="BF390" s="842"/>
      <c r="BG390" s="842"/>
      <c r="BH390" s="842"/>
      <c r="BI390" s="842"/>
      <c r="BJ390" s="842"/>
      <c r="BK390" s="842"/>
      <c r="BL390" s="842"/>
      <c r="BM390" s="842"/>
      <c r="BN390" s="842"/>
      <c r="BO390" s="842"/>
      <c r="BP390" s="842"/>
    </row>
    <row r="391" spans="2:68" s="7" customFormat="1" ht="10.5">
      <c r="B391" s="873" t="s">
        <v>404</v>
      </c>
      <c r="C391" s="102"/>
      <c r="D391" s="102"/>
      <c r="E391" s="102"/>
      <c r="F391" s="102"/>
      <c r="G391" s="102"/>
      <c r="H391" s="849">
        <f t="shared" ref="H391:T391" si="2213">+H299</f>
        <v>0</v>
      </c>
      <c r="I391" s="849">
        <f t="shared" si="2213"/>
        <v>0</v>
      </c>
      <c r="J391" s="849">
        <f t="shared" si="2213"/>
        <v>0</v>
      </c>
      <c r="K391" s="849">
        <f t="shared" si="2213"/>
        <v>0</v>
      </c>
      <c r="L391" s="849">
        <f t="shared" si="2213"/>
        <v>0</v>
      </c>
      <c r="M391" s="849">
        <f t="shared" si="2213"/>
        <v>0</v>
      </c>
      <c r="N391" s="849">
        <f t="shared" si="2213"/>
        <v>0</v>
      </c>
      <c r="O391" s="849">
        <f t="shared" si="2213"/>
        <v>0</v>
      </c>
      <c r="P391" s="849">
        <f t="shared" si="2213"/>
        <v>0</v>
      </c>
      <c r="Q391" s="849">
        <f t="shared" si="2213"/>
        <v>0</v>
      </c>
      <c r="R391" s="849">
        <f t="shared" si="2213"/>
        <v>0</v>
      </c>
      <c r="S391" s="849">
        <f t="shared" si="2213"/>
        <v>0</v>
      </c>
      <c r="T391" s="849">
        <f t="shared" si="2213"/>
        <v>0</v>
      </c>
      <c r="U391" s="842"/>
      <c r="V391" s="842"/>
      <c r="W391" s="842"/>
      <c r="X391" s="842"/>
      <c r="Y391" s="842"/>
      <c r="Z391" s="842"/>
      <c r="AA391" s="842"/>
      <c r="AB391" s="842"/>
      <c r="AC391" s="842"/>
      <c r="AD391" s="842"/>
      <c r="AE391" s="842"/>
      <c r="AF391" s="842"/>
      <c r="AG391" s="842"/>
      <c r="AH391" s="842"/>
      <c r="AI391" s="842"/>
      <c r="AJ391" s="842"/>
      <c r="AK391" s="842"/>
      <c r="AL391" s="842"/>
      <c r="AM391" s="842"/>
      <c r="AN391" s="842"/>
      <c r="AO391" s="842"/>
      <c r="AP391" s="842"/>
      <c r="AQ391" s="842"/>
      <c r="AR391" s="842"/>
      <c r="AS391" s="842"/>
      <c r="AT391" s="842"/>
      <c r="AU391" s="842"/>
      <c r="AV391" s="842"/>
      <c r="AW391" s="842"/>
      <c r="AX391" s="842"/>
      <c r="AY391" s="842"/>
      <c r="AZ391" s="842"/>
      <c r="BA391" s="842"/>
      <c r="BB391" s="842"/>
      <c r="BC391" s="842"/>
      <c r="BD391" s="842"/>
      <c r="BE391" s="842"/>
      <c r="BF391" s="842"/>
      <c r="BG391" s="842"/>
      <c r="BH391" s="842"/>
      <c r="BI391" s="842"/>
      <c r="BJ391" s="842"/>
      <c r="BK391" s="842"/>
      <c r="BL391" s="842"/>
      <c r="BM391" s="842"/>
      <c r="BN391" s="842"/>
      <c r="BO391" s="842"/>
      <c r="BP391" s="842"/>
    </row>
    <row r="392" spans="2:68" s="7" customFormat="1">
      <c r="B392"/>
      <c r="C392"/>
      <c r="D392"/>
      <c r="E392"/>
      <c r="F392"/>
      <c r="G392"/>
      <c r="H392"/>
      <c r="I392"/>
      <c r="J392"/>
      <c r="K392"/>
      <c r="L392"/>
      <c r="M392"/>
      <c r="N392"/>
      <c r="O392"/>
      <c r="P392"/>
      <c r="Q392"/>
      <c r="R392"/>
      <c r="S392"/>
      <c r="T392"/>
      <c r="U392" s="842"/>
      <c r="V392" s="842"/>
      <c r="W392" s="842"/>
      <c r="X392" s="842"/>
      <c r="Y392" s="842"/>
      <c r="Z392" s="842"/>
      <c r="AA392" s="842"/>
      <c r="AB392" s="842"/>
      <c r="AC392" s="842"/>
      <c r="AD392" s="842"/>
      <c r="AE392" s="842"/>
      <c r="AF392" s="842"/>
      <c r="AG392" s="842"/>
      <c r="AH392" s="842"/>
      <c r="AI392" s="842"/>
      <c r="AJ392" s="842"/>
      <c r="AK392" s="842"/>
      <c r="AL392" s="842"/>
      <c r="AM392" s="842"/>
      <c r="AN392" s="842"/>
      <c r="AO392" s="842"/>
      <c r="AP392" s="842"/>
      <c r="AQ392" s="842"/>
      <c r="AR392" s="842"/>
      <c r="AS392" s="842"/>
      <c r="AT392" s="842"/>
      <c r="AU392" s="842"/>
      <c r="AV392" s="842"/>
      <c r="AW392" s="842"/>
      <c r="AX392" s="842"/>
      <c r="AY392" s="842"/>
      <c r="AZ392" s="842"/>
      <c r="BA392" s="842"/>
      <c r="BB392" s="842"/>
      <c r="BC392" s="842"/>
      <c r="BD392" s="842"/>
      <c r="BE392" s="842"/>
      <c r="BF392" s="842"/>
      <c r="BG392" s="842"/>
      <c r="BH392" s="842"/>
      <c r="BI392" s="842"/>
      <c r="BJ392" s="842"/>
      <c r="BK392" s="842"/>
      <c r="BL392" s="842"/>
      <c r="BM392" s="842"/>
      <c r="BN392" s="842"/>
      <c r="BO392" s="842"/>
      <c r="BP392" s="842"/>
    </row>
    <row r="393" spans="2:68" s="7" customFormat="1">
      <c r="B393" s="24" t="s">
        <v>113</v>
      </c>
      <c r="C393"/>
      <c r="D393"/>
      <c r="E393"/>
      <c r="F393"/>
      <c r="G393"/>
      <c r="H393"/>
      <c r="I393"/>
      <c r="J393"/>
      <c r="K393"/>
      <c r="L393"/>
      <c r="M393"/>
      <c r="N393"/>
      <c r="O393"/>
      <c r="P393"/>
      <c r="Q393"/>
      <c r="R393"/>
      <c r="S393"/>
      <c r="T393"/>
      <c r="U393" s="842"/>
      <c r="V393" s="842"/>
      <c r="W393" s="842"/>
      <c r="X393" s="842"/>
      <c r="Y393" s="842"/>
      <c r="Z393" s="842"/>
      <c r="AA393" s="842"/>
      <c r="AB393" s="842"/>
      <c r="AC393" s="842"/>
      <c r="AD393" s="842"/>
      <c r="AE393" s="842"/>
      <c r="AF393" s="842"/>
      <c r="AG393" s="842"/>
      <c r="AH393" s="842"/>
      <c r="AI393" s="842"/>
      <c r="AJ393" s="842"/>
      <c r="AK393" s="842"/>
      <c r="AL393" s="842"/>
      <c r="AM393" s="842"/>
      <c r="AN393" s="842"/>
      <c r="AO393" s="842"/>
      <c r="AP393" s="842"/>
      <c r="AQ393" s="842"/>
      <c r="AR393" s="842"/>
      <c r="AS393" s="842"/>
      <c r="AT393" s="842"/>
      <c r="AU393" s="842"/>
      <c r="AV393" s="842"/>
      <c r="AW393" s="842"/>
      <c r="AX393" s="842"/>
      <c r="AY393" s="842"/>
      <c r="AZ393" s="842"/>
      <c r="BA393" s="842"/>
      <c r="BB393" s="842"/>
      <c r="BC393" s="842"/>
      <c r="BD393" s="842"/>
      <c r="BE393" s="842"/>
      <c r="BF393" s="842"/>
      <c r="BG393" s="842"/>
      <c r="BH393" s="842"/>
      <c r="BI393" s="842"/>
      <c r="BJ393" s="842"/>
      <c r="BK393" s="842"/>
      <c r="BL393" s="842"/>
      <c r="BM393" s="842"/>
      <c r="BN393" s="842"/>
      <c r="BO393" s="842"/>
      <c r="BP393" s="842"/>
    </row>
    <row r="394" spans="2:68" s="7" customFormat="1">
      <c r="B394" s="13" t="str">
        <f>+B385</f>
        <v>Office Commercial</v>
      </c>
      <c r="C394" s="3"/>
      <c r="D394" s="228"/>
      <c r="E394" s="228"/>
      <c r="F394" s="228"/>
      <c r="G394" s="228"/>
      <c r="H394" s="228"/>
      <c r="I394" s="228"/>
      <c r="J394" s="228"/>
      <c r="K394" s="228"/>
      <c r="L394" s="228" t="e">
        <f t="shared" ref="L394:L395" si="2214">+L385/H385-1</f>
        <v>#DIV/0!</v>
      </c>
      <c r="M394" s="228" t="e">
        <f t="shared" ref="M394:M395" si="2215">+M385/I385-1</f>
        <v>#DIV/0!</v>
      </c>
      <c r="N394" s="228" t="e">
        <f t="shared" ref="N394:N395" si="2216">+N385/J385-1</f>
        <v>#DIV/0!</v>
      </c>
      <c r="O394" s="228" t="e">
        <f t="shared" ref="O394:O395" si="2217">+O385/K385-1</f>
        <v>#DIV/0!</v>
      </c>
      <c r="P394" s="228" t="e">
        <f t="shared" ref="P394:P395" si="2218">+P385/L385-1</f>
        <v>#DIV/0!</v>
      </c>
      <c r="Q394" s="228" t="e">
        <f t="shared" ref="Q394:Q395" si="2219">+Q385/M385-1</f>
        <v>#DIV/0!</v>
      </c>
      <c r="R394" s="228" t="e">
        <f t="shared" ref="R394:R395" si="2220">+R385/N385-1</f>
        <v>#DIV/0!</v>
      </c>
      <c r="S394" s="228" t="e">
        <f t="shared" ref="S394:S395" si="2221">+S385/O385-1</f>
        <v>#DIV/0!</v>
      </c>
      <c r="T394" s="228" t="e">
        <f t="shared" ref="T394:T395" si="2222">+T385/P385-1</f>
        <v>#DIV/0!</v>
      </c>
      <c r="U394" s="842"/>
      <c r="V394" s="842"/>
      <c r="W394" s="842"/>
      <c r="X394" s="842"/>
      <c r="Y394" s="842"/>
      <c r="Z394" s="842"/>
      <c r="AA394" s="842"/>
      <c r="AB394" s="842"/>
      <c r="AC394" s="842"/>
      <c r="AD394" s="842"/>
      <c r="AE394" s="842"/>
      <c r="AF394" s="842"/>
      <c r="AG394" s="842"/>
      <c r="AH394" s="842"/>
      <c r="AI394" s="842"/>
      <c r="AJ394" s="842"/>
      <c r="AK394" s="842"/>
      <c r="AL394" s="842"/>
      <c r="AM394" s="842"/>
      <c r="AN394" s="842"/>
      <c r="AO394" s="842"/>
      <c r="AP394" s="842"/>
      <c r="AQ394" s="842"/>
      <c r="AR394" s="842"/>
      <c r="AS394" s="842"/>
      <c r="AT394" s="842"/>
      <c r="AU394" s="842"/>
      <c r="AV394" s="842"/>
      <c r="AW394" s="842"/>
      <c r="AX394" s="842"/>
      <c r="AY394" s="842"/>
      <c r="AZ394" s="842"/>
      <c r="BA394" s="842"/>
      <c r="BB394" s="842"/>
      <c r="BC394" s="842"/>
      <c r="BD394" s="842"/>
      <c r="BE394" s="842"/>
      <c r="BF394" s="842"/>
      <c r="BG394" s="842"/>
      <c r="BH394" s="842"/>
      <c r="BI394" s="842"/>
      <c r="BJ394" s="842"/>
      <c r="BK394" s="842"/>
      <c r="BL394" s="842"/>
      <c r="BM394" s="842"/>
      <c r="BN394" s="842"/>
      <c r="BO394" s="842"/>
      <c r="BP394" s="842"/>
    </row>
    <row r="395" spans="2:68" s="7" customFormat="1">
      <c r="B395" s="13" t="str">
        <f>+B386</f>
        <v>Office Consumer</v>
      </c>
      <c r="C395" s="839"/>
      <c r="D395" s="1113"/>
      <c r="E395" s="1113"/>
      <c r="F395" s="1113"/>
      <c r="G395" s="1113"/>
      <c r="H395" s="1113"/>
      <c r="I395" s="1113"/>
      <c r="J395" s="1113"/>
      <c r="K395" s="1113"/>
      <c r="L395" s="1113" t="e">
        <f t="shared" si="2214"/>
        <v>#DIV/0!</v>
      </c>
      <c r="M395" s="1113" t="e">
        <f t="shared" si="2215"/>
        <v>#DIV/0!</v>
      </c>
      <c r="N395" s="1113" t="e">
        <f t="shared" si="2216"/>
        <v>#DIV/0!</v>
      </c>
      <c r="O395" s="1113" t="e">
        <f t="shared" si="2217"/>
        <v>#DIV/0!</v>
      </c>
      <c r="P395" s="1113" t="e">
        <f t="shared" si="2218"/>
        <v>#DIV/0!</v>
      </c>
      <c r="Q395" s="1113" t="e">
        <f t="shared" si="2219"/>
        <v>#DIV/0!</v>
      </c>
      <c r="R395" s="1113" t="e">
        <f t="shared" si="2220"/>
        <v>#DIV/0!</v>
      </c>
      <c r="S395" s="1113" t="e">
        <f t="shared" si="2221"/>
        <v>#DIV/0!</v>
      </c>
      <c r="T395" s="1113" t="e">
        <f t="shared" si="2222"/>
        <v>#DIV/0!</v>
      </c>
      <c r="U395" s="842"/>
      <c r="V395" s="842"/>
      <c r="W395" s="842"/>
      <c r="X395" s="842"/>
      <c r="Y395" s="842"/>
      <c r="Z395" s="842"/>
      <c r="AA395" s="842"/>
      <c r="AB395" s="842"/>
      <c r="AC395" s="842"/>
      <c r="AD395" s="842"/>
      <c r="AE395" s="842"/>
      <c r="AF395" s="842"/>
      <c r="AG395" s="842"/>
      <c r="AH395" s="842"/>
      <c r="AI395" s="842"/>
      <c r="AJ395" s="842"/>
      <c r="AK395" s="842"/>
      <c r="AL395" s="842"/>
      <c r="AM395" s="842"/>
      <c r="AN395" s="842"/>
      <c r="AO395" s="842"/>
      <c r="AP395" s="842"/>
      <c r="AQ395" s="842"/>
      <c r="AR395" s="842"/>
      <c r="AS395" s="842"/>
      <c r="AT395" s="842"/>
      <c r="AU395" s="842"/>
      <c r="AV395" s="842"/>
      <c r="AW395" s="842"/>
      <c r="AX395" s="842"/>
      <c r="AY395" s="842"/>
      <c r="AZ395" s="842"/>
      <c r="BA395" s="842"/>
      <c r="BB395" s="842"/>
      <c r="BC395" s="842"/>
      <c r="BD395" s="842"/>
      <c r="BE395" s="842"/>
      <c r="BF395" s="842"/>
      <c r="BG395" s="842"/>
      <c r="BH395" s="842"/>
      <c r="BI395" s="842"/>
      <c r="BJ395" s="842"/>
      <c r="BK395" s="842"/>
      <c r="BL395" s="842"/>
      <c r="BM395" s="842"/>
      <c r="BN395" s="842"/>
      <c r="BO395" s="842"/>
      <c r="BP395" s="842"/>
    </row>
    <row r="396" spans="2:68" s="7" customFormat="1">
      <c r="B396" s="15" t="str">
        <f>+B388</f>
        <v>Total Office</v>
      </c>
      <c r="C396" s="3"/>
      <c r="D396" s="228"/>
      <c r="E396" s="228"/>
      <c r="F396" s="228"/>
      <c r="G396" s="228"/>
      <c r="H396" s="228"/>
      <c r="I396" s="228"/>
      <c r="J396" s="228"/>
      <c r="K396" s="228"/>
      <c r="L396" s="228">
        <f t="shared" ref="L396" si="2223">+L388/H388-1</f>
        <v>0.16772823779193202</v>
      </c>
      <c r="M396" s="228">
        <f t="shared" ref="M396:M399" si="2224">+M388/I388-1</f>
        <v>0.16973415132924341</v>
      </c>
      <c r="N396" s="228">
        <f t="shared" ref="N396:N399" si="2225">+N388/J388-1</f>
        <v>0.17025440313111528</v>
      </c>
      <c r="O396" s="228">
        <f t="shared" ref="O396:O399" si="2226">+O388/K388-1</f>
        <v>0.16541353383458635</v>
      </c>
      <c r="P396" s="228">
        <f t="shared" ref="P396:P399" si="2227">+P388/L388-1</f>
        <v>0.16181818181818186</v>
      </c>
      <c r="Q396" s="228">
        <f t="shared" ref="Q396:Q399" si="2228">+Q388/M388-1</f>
        <v>0.1503496503496502</v>
      </c>
      <c r="R396" s="228">
        <f t="shared" ref="R396:R399" si="2229">+R388/N388-1</f>
        <v>0.12876254180602009</v>
      </c>
      <c r="S396" s="228">
        <f t="shared" ref="S396:S399" si="2230">+S388/O388-1</f>
        <v>0.11290322580645151</v>
      </c>
      <c r="T396" s="228">
        <f t="shared" ref="T396:T399" si="2231">+T388/P388-1</f>
        <v>0.1017214397496089</v>
      </c>
      <c r="U396" s="842"/>
      <c r="V396" s="842"/>
      <c r="W396" s="842"/>
      <c r="X396" s="842"/>
      <c r="Y396" s="842"/>
      <c r="Z396" s="842"/>
      <c r="AA396" s="842"/>
      <c r="AB396" s="842"/>
      <c r="AC396" s="842"/>
      <c r="AD396" s="842"/>
      <c r="AE396" s="842"/>
      <c r="AF396" s="842"/>
      <c r="AG396" s="842"/>
      <c r="AH396" s="842"/>
      <c r="AI396" s="842"/>
      <c r="AJ396" s="842"/>
      <c r="AK396" s="842"/>
      <c r="AL396" s="842"/>
      <c r="AM396" s="842"/>
      <c r="AN396" s="842"/>
      <c r="AO396" s="842"/>
      <c r="AP396" s="842"/>
      <c r="AQ396" s="842"/>
      <c r="AR396" s="842"/>
      <c r="AS396" s="842"/>
      <c r="AT396" s="842"/>
      <c r="AU396" s="842"/>
      <c r="AV396" s="842"/>
      <c r="AW396" s="842"/>
      <c r="AX396" s="842"/>
      <c r="AY396" s="842"/>
      <c r="AZ396" s="842"/>
      <c r="BA396" s="842"/>
      <c r="BB396" s="842"/>
      <c r="BC396" s="842"/>
      <c r="BD396" s="842"/>
      <c r="BE396" s="842"/>
      <c r="BF396" s="842"/>
      <c r="BG396" s="842"/>
      <c r="BH396" s="842"/>
      <c r="BI396" s="842"/>
      <c r="BJ396" s="842"/>
      <c r="BK396" s="842"/>
      <c r="BL396" s="842"/>
      <c r="BM396" s="842"/>
      <c r="BN396" s="842"/>
      <c r="BO396" s="842"/>
      <c r="BP396" s="842"/>
    </row>
    <row r="397" spans="2:68" s="7" customFormat="1">
      <c r="B397" s="13" t="str">
        <f>+B389</f>
        <v>LinkedIn</v>
      </c>
      <c r="C397" s="3"/>
      <c r="D397" s="228"/>
      <c r="E397" s="228"/>
      <c r="F397" s="228"/>
      <c r="G397" s="228"/>
      <c r="H397" s="228"/>
      <c r="I397" s="228"/>
      <c r="J397" s="228"/>
      <c r="K397" s="228"/>
      <c r="L397" s="228" t="s">
        <v>271</v>
      </c>
      <c r="M397" s="228" t="e">
        <f t="shared" si="2224"/>
        <v>#DIV/0!</v>
      </c>
      <c r="N397" s="228" t="e">
        <f t="shared" si="2225"/>
        <v>#DIV/0!</v>
      </c>
      <c r="O397" s="228" t="e">
        <f t="shared" si="2226"/>
        <v>#DIV/0!</v>
      </c>
      <c r="P397" s="228" t="e">
        <f t="shared" si="2227"/>
        <v>#DIV/0!</v>
      </c>
      <c r="Q397" s="228" t="e">
        <f t="shared" si="2228"/>
        <v>#DIV/0!</v>
      </c>
      <c r="R397" s="228" t="e">
        <f t="shared" si="2229"/>
        <v>#DIV/0!</v>
      </c>
      <c r="S397" s="228" t="e">
        <f t="shared" si="2230"/>
        <v>#DIV/0!</v>
      </c>
      <c r="T397" s="228" t="e">
        <f t="shared" si="2231"/>
        <v>#DIV/0!</v>
      </c>
      <c r="U397" s="842"/>
      <c r="V397" s="842"/>
      <c r="W397" s="842"/>
      <c r="X397" s="842"/>
      <c r="Y397" s="842"/>
      <c r="Z397" s="842"/>
      <c r="AA397" s="842"/>
      <c r="AB397" s="842"/>
      <c r="AC397" s="842"/>
      <c r="AD397" s="842"/>
      <c r="AE397" s="842"/>
      <c r="AF397" s="842"/>
      <c r="AG397" s="842"/>
      <c r="AH397" s="842"/>
      <c r="AI397" s="842"/>
      <c r="AJ397" s="842"/>
      <c r="AK397" s="842"/>
      <c r="AL397" s="842"/>
      <c r="AM397" s="842"/>
      <c r="AN397" s="842"/>
      <c r="AO397" s="842"/>
      <c r="AP397" s="842"/>
      <c r="AQ397" s="842"/>
      <c r="AR397" s="842"/>
      <c r="AS397" s="842"/>
      <c r="AT397" s="842"/>
      <c r="AU397" s="842"/>
      <c r="AV397" s="842"/>
      <c r="AW397" s="842"/>
      <c r="AX397" s="842"/>
      <c r="AY397" s="842"/>
      <c r="AZ397" s="842"/>
      <c r="BA397" s="842"/>
      <c r="BB397" s="842"/>
      <c r="BC397" s="842"/>
      <c r="BD397" s="842"/>
      <c r="BE397" s="842"/>
      <c r="BF397" s="842"/>
      <c r="BG397" s="842"/>
      <c r="BH397" s="842"/>
      <c r="BI397" s="842"/>
      <c r="BJ397" s="842"/>
      <c r="BK397" s="842"/>
      <c r="BL397" s="842"/>
      <c r="BM397" s="842"/>
      <c r="BN397" s="842"/>
      <c r="BO397" s="842"/>
      <c r="BP397" s="842"/>
    </row>
    <row r="398" spans="2:68" s="7" customFormat="1">
      <c r="B398" s="13" t="str">
        <f>+B390</f>
        <v>Dynamics and Other</v>
      </c>
      <c r="C398" s="839"/>
      <c r="D398" s="1113"/>
      <c r="E398" s="1113"/>
      <c r="F398" s="1113"/>
      <c r="G398" s="1113"/>
      <c r="H398" s="1113"/>
      <c r="I398" s="1113"/>
      <c r="J398" s="1113"/>
      <c r="K398" s="1113"/>
      <c r="L398" s="1113">
        <f>+L390/H390-1</f>
        <v>0.16772823779193202</v>
      </c>
      <c r="M398" s="1113">
        <f t="shared" si="2224"/>
        <v>0.16973415132924341</v>
      </c>
      <c r="N398" s="1113">
        <f t="shared" si="2225"/>
        <v>0.17025440313111528</v>
      </c>
      <c r="O398" s="1113">
        <f t="shared" si="2226"/>
        <v>0.16541353383458635</v>
      </c>
      <c r="P398" s="1113">
        <f t="shared" si="2227"/>
        <v>0.16181818181818186</v>
      </c>
      <c r="Q398" s="1113">
        <f t="shared" si="2228"/>
        <v>0.1503496503496502</v>
      </c>
      <c r="R398" s="1113">
        <f t="shared" si="2229"/>
        <v>0.12876254180602009</v>
      </c>
      <c r="S398" s="1113">
        <f t="shared" si="2230"/>
        <v>0.11290322580645151</v>
      </c>
      <c r="T398" s="1113">
        <f t="shared" si="2231"/>
        <v>0.1017214397496089</v>
      </c>
      <c r="U398" s="842"/>
      <c r="V398" s="842"/>
      <c r="W398" s="842"/>
      <c r="X398" s="842"/>
      <c r="Y398" s="842"/>
      <c r="Z398" s="842"/>
      <c r="AA398" s="842"/>
      <c r="AB398" s="842"/>
      <c r="AC398" s="842"/>
      <c r="AD398" s="842"/>
      <c r="AE398" s="842"/>
      <c r="AF398" s="842"/>
      <c r="AG398" s="842"/>
      <c r="AH398" s="842"/>
      <c r="AI398" s="842"/>
      <c r="AJ398" s="842"/>
      <c r="AK398" s="842"/>
      <c r="AL398" s="842"/>
      <c r="AM398" s="842"/>
      <c r="AN398" s="842"/>
      <c r="AO398" s="842"/>
      <c r="AP398" s="842"/>
      <c r="AQ398" s="842"/>
      <c r="AR398" s="842"/>
      <c r="AS398" s="842"/>
      <c r="AT398" s="842"/>
      <c r="AU398" s="842"/>
      <c r="AV398" s="842"/>
      <c r="AW398" s="842"/>
      <c r="AX398" s="842"/>
      <c r="AY398" s="842"/>
      <c r="AZ398" s="842"/>
      <c r="BA398" s="842"/>
      <c r="BB398" s="842"/>
      <c r="BC398" s="842"/>
      <c r="BD398" s="842"/>
      <c r="BE398" s="842"/>
      <c r="BF398" s="842"/>
      <c r="BG398" s="842"/>
      <c r="BH398" s="842"/>
      <c r="BI398" s="842"/>
      <c r="BJ398" s="842"/>
      <c r="BK398" s="842"/>
      <c r="BL398" s="842"/>
      <c r="BM398" s="842"/>
      <c r="BN398" s="842"/>
      <c r="BO398" s="842"/>
      <c r="BP398" s="842"/>
    </row>
    <row r="399" spans="2:68" s="7" customFormat="1">
      <c r="B399" s="841" t="str">
        <f>+B391</f>
        <v>Total PBP Revenue</v>
      </c>
      <c r="D399" s="842"/>
      <c r="E399" s="842"/>
      <c r="F399" s="842"/>
      <c r="G399" s="842"/>
      <c r="H399" s="842"/>
      <c r="I399" s="842"/>
      <c r="J399" s="842"/>
      <c r="K399" s="842"/>
      <c r="L399" s="842" t="e">
        <f>+L391/H391-1</f>
        <v>#DIV/0!</v>
      </c>
      <c r="M399" s="842" t="e">
        <f t="shared" si="2224"/>
        <v>#DIV/0!</v>
      </c>
      <c r="N399" s="842" t="e">
        <f t="shared" si="2225"/>
        <v>#DIV/0!</v>
      </c>
      <c r="O399" s="842" t="e">
        <f t="shared" si="2226"/>
        <v>#DIV/0!</v>
      </c>
      <c r="P399" s="842" t="e">
        <f t="shared" si="2227"/>
        <v>#DIV/0!</v>
      </c>
      <c r="Q399" s="842" t="e">
        <f t="shared" si="2228"/>
        <v>#DIV/0!</v>
      </c>
      <c r="R399" s="842" t="e">
        <f t="shared" si="2229"/>
        <v>#DIV/0!</v>
      </c>
      <c r="S399" s="842" t="e">
        <f t="shared" si="2230"/>
        <v>#DIV/0!</v>
      </c>
      <c r="T399" s="842" t="e">
        <f t="shared" si="2231"/>
        <v>#DIV/0!</v>
      </c>
      <c r="U399" s="842"/>
      <c r="V399" s="842"/>
      <c r="W399" s="842"/>
      <c r="X399" s="842"/>
      <c r="Y399" s="842"/>
      <c r="Z399" s="842"/>
      <c r="AA399" s="842"/>
      <c r="AB399" s="842"/>
      <c r="AC399" s="842"/>
      <c r="AD399" s="842"/>
      <c r="AE399" s="842"/>
      <c r="AF399" s="842"/>
      <c r="AG399" s="842"/>
      <c r="AH399" s="842"/>
      <c r="AI399" s="842"/>
      <c r="AJ399" s="842"/>
      <c r="AK399" s="842"/>
      <c r="AL399" s="842"/>
      <c r="AM399" s="842"/>
      <c r="AN399" s="842"/>
      <c r="AO399" s="842"/>
      <c r="AP399" s="842"/>
      <c r="AQ399" s="842"/>
      <c r="AR399" s="842"/>
      <c r="AS399" s="842"/>
      <c r="AT399" s="842"/>
      <c r="AU399" s="842"/>
      <c r="AV399" s="842"/>
      <c r="AW399" s="842"/>
      <c r="AX399" s="842"/>
      <c r="AY399" s="842"/>
      <c r="AZ399" s="842"/>
      <c r="BA399" s="842"/>
      <c r="BB399" s="842"/>
      <c r="BC399" s="842"/>
      <c r="BD399" s="842"/>
      <c r="BE399" s="842"/>
      <c r="BF399" s="842"/>
      <c r="BG399" s="842"/>
      <c r="BH399" s="842"/>
      <c r="BI399" s="842"/>
      <c r="BJ399" s="842"/>
      <c r="BK399" s="842"/>
      <c r="BL399" s="842"/>
      <c r="BM399" s="842"/>
      <c r="BN399" s="842"/>
      <c r="BO399" s="842"/>
      <c r="BP399" s="842"/>
    </row>
    <row r="400" spans="2:68" s="7" customFormat="1">
      <c r="B400" s="841"/>
      <c r="D400" s="842"/>
      <c r="E400" s="842"/>
      <c r="F400" s="842"/>
      <c r="G400" s="842"/>
      <c r="H400" s="842"/>
      <c r="I400" s="842"/>
      <c r="J400" s="842"/>
      <c r="K400" s="842"/>
      <c r="L400" s="842"/>
      <c r="M400" s="842"/>
      <c r="N400" s="842"/>
      <c r="O400" s="842"/>
      <c r="P400" s="842"/>
      <c r="Q400" s="842"/>
      <c r="R400" s="842"/>
      <c r="S400" s="842"/>
      <c r="T400" s="842"/>
      <c r="U400" s="842"/>
      <c r="V400" s="842"/>
      <c r="W400" s="842"/>
      <c r="X400" s="842"/>
      <c r="Y400" s="842"/>
      <c r="Z400" s="842"/>
      <c r="AA400" s="842"/>
      <c r="AB400" s="842"/>
      <c r="AC400" s="842"/>
      <c r="AD400" s="842"/>
      <c r="AE400" s="842"/>
      <c r="AF400" s="842"/>
      <c r="AG400" s="842"/>
      <c r="AH400" s="842"/>
      <c r="AI400" s="842"/>
      <c r="AJ400" s="842"/>
      <c r="AK400" s="842"/>
      <c r="AL400" s="842"/>
      <c r="AM400" s="842"/>
      <c r="AN400" s="842"/>
      <c r="AO400" s="842"/>
      <c r="AP400" s="842"/>
      <c r="AQ400" s="842"/>
      <c r="AR400" s="842"/>
      <c r="AS400" s="842"/>
      <c r="AT400" s="842"/>
      <c r="AU400" s="842"/>
      <c r="AV400" s="842"/>
      <c r="AW400" s="842"/>
      <c r="AX400" s="842"/>
      <c r="AY400" s="842"/>
      <c r="AZ400" s="842"/>
      <c r="BA400" s="842"/>
      <c r="BB400" s="842"/>
      <c r="BC400" s="842"/>
      <c r="BD400" s="842"/>
      <c r="BE400" s="842"/>
      <c r="BF400" s="842"/>
      <c r="BG400" s="842"/>
      <c r="BH400" s="842"/>
      <c r="BI400" s="842"/>
      <c r="BJ400" s="842"/>
      <c r="BK400" s="842"/>
      <c r="BL400" s="842"/>
      <c r="BM400" s="842"/>
      <c r="BN400" s="842"/>
      <c r="BO400" s="842"/>
      <c r="BP400" s="842"/>
    </row>
    <row r="401" spans="2:68" s="7" customFormat="1">
      <c r="B401" s="841"/>
      <c r="D401" s="842"/>
      <c r="E401" s="842"/>
      <c r="F401" s="842"/>
      <c r="G401" s="842"/>
      <c r="H401" s="842"/>
      <c r="I401" s="842"/>
      <c r="J401" s="842"/>
      <c r="K401" s="842"/>
      <c r="L401" s="842"/>
      <c r="M401" s="842"/>
      <c r="N401" s="842"/>
      <c r="O401" s="842"/>
      <c r="P401" s="842"/>
      <c r="Q401" s="842"/>
      <c r="R401" s="842"/>
      <c r="S401" s="842"/>
      <c r="T401" s="842"/>
      <c r="U401" s="842"/>
      <c r="V401" s="842"/>
      <c r="W401" s="842"/>
      <c r="X401" s="842"/>
      <c r="Y401" s="842"/>
      <c r="Z401" s="842"/>
      <c r="AA401" s="842"/>
      <c r="AB401" s="842"/>
      <c r="AC401" s="842"/>
      <c r="AD401" s="842"/>
      <c r="AE401" s="842"/>
      <c r="AF401" s="842"/>
      <c r="AG401" s="842"/>
      <c r="AH401" s="842"/>
      <c r="AI401" s="842"/>
      <c r="AJ401" s="842"/>
      <c r="AK401" s="842"/>
      <c r="AL401" s="842"/>
      <c r="AM401" s="842"/>
      <c r="AN401" s="842"/>
      <c r="AO401" s="842"/>
      <c r="AP401" s="842"/>
      <c r="AQ401" s="842"/>
      <c r="AR401" s="842"/>
      <c r="AS401" s="842"/>
      <c r="AT401" s="842"/>
      <c r="AU401" s="842"/>
      <c r="AV401" s="842"/>
      <c r="AW401" s="842"/>
      <c r="AX401" s="842"/>
      <c r="AY401" s="842"/>
      <c r="AZ401" s="842"/>
      <c r="BA401" s="842"/>
      <c r="BB401" s="842"/>
      <c r="BC401" s="842"/>
      <c r="BD401" s="842"/>
      <c r="BE401" s="842"/>
      <c r="BF401" s="842"/>
      <c r="BG401" s="842"/>
      <c r="BH401" s="842"/>
      <c r="BI401" s="842"/>
      <c r="BJ401" s="842"/>
      <c r="BK401" s="842"/>
      <c r="BL401" s="842"/>
      <c r="BM401" s="842"/>
      <c r="BN401" s="842"/>
      <c r="BO401" s="842"/>
      <c r="BP401" s="842"/>
    </row>
    <row r="402" spans="2:68" s="7" customFormat="1">
      <c r="B402" s="841"/>
      <c r="D402" s="842"/>
      <c r="E402" s="842"/>
      <c r="F402" s="842"/>
      <c r="G402" s="842"/>
      <c r="H402" s="842"/>
      <c r="I402" s="842"/>
      <c r="J402" s="842"/>
      <c r="K402" s="842"/>
      <c r="L402" s="842"/>
      <c r="M402" s="842"/>
      <c r="N402" s="842"/>
      <c r="O402" s="842"/>
      <c r="P402" s="842"/>
      <c r="Q402" s="842"/>
      <c r="R402" s="842"/>
      <c r="S402" s="842"/>
      <c r="T402" s="842"/>
      <c r="U402" s="842"/>
      <c r="V402" s="842"/>
      <c r="W402" s="842"/>
      <c r="X402" s="842"/>
      <c r="Y402" s="842"/>
      <c r="Z402" s="842"/>
      <c r="AA402" s="842"/>
      <c r="AB402" s="842"/>
      <c r="AC402" s="842"/>
      <c r="AD402" s="842"/>
      <c r="AE402" s="842"/>
      <c r="AF402" s="842"/>
      <c r="AG402" s="842"/>
      <c r="AH402" s="842"/>
      <c r="AI402" s="842"/>
      <c r="AJ402" s="842"/>
      <c r="AK402" s="842"/>
      <c r="AL402" s="842"/>
      <c r="AM402" s="842"/>
      <c r="AN402" s="842"/>
      <c r="AO402" s="842"/>
      <c r="AP402" s="842"/>
      <c r="AQ402" s="842"/>
      <c r="AR402" s="842"/>
      <c r="AS402" s="842"/>
      <c r="AT402" s="842"/>
      <c r="AU402" s="842"/>
      <c r="AV402" s="842"/>
      <c r="AW402" s="842"/>
      <c r="AX402" s="842"/>
      <c r="AY402" s="842"/>
      <c r="AZ402" s="842"/>
      <c r="BA402" s="842"/>
      <c r="BB402" s="842"/>
      <c r="BC402" s="842"/>
      <c r="BD402" s="842"/>
      <c r="BE402" s="842"/>
      <c r="BF402" s="842"/>
      <c r="BG402" s="842"/>
      <c r="BH402" s="842"/>
      <c r="BI402" s="842"/>
      <c r="BJ402" s="842"/>
      <c r="BK402" s="842"/>
      <c r="BL402" s="842"/>
      <c r="BM402" s="842"/>
      <c r="BN402" s="842"/>
      <c r="BO402" s="842"/>
      <c r="BP402" s="842"/>
    </row>
    <row r="403" spans="2:68" s="7" customFormat="1">
      <c r="B403" s="841"/>
      <c r="D403" s="842"/>
      <c r="E403" s="842"/>
      <c r="F403" s="842"/>
      <c r="G403" s="842"/>
      <c r="H403" s="842"/>
      <c r="I403" s="842"/>
      <c r="J403" s="842"/>
      <c r="K403" s="842"/>
      <c r="L403" s="842"/>
      <c r="M403" s="842"/>
      <c r="N403" s="842"/>
      <c r="O403" s="842"/>
      <c r="P403" s="842"/>
      <c r="Q403" s="842"/>
      <c r="R403" s="842"/>
      <c r="S403" s="842"/>
      <c r="T403" s="842"/>
      <c r="U403" s="842"/>
      <c r="V403" s="842"/>
      <c r="W403" s="842"/>
      <c r="X403" s="842"/>
      <c r="Y403" s="842"/>
      <c r="Z403" s="842"/>
      <c r="AA403" s="842"/>
      <c r="AB403" s="842"/>
      <c r="AC403" s="842"/>
      <c r="AD403" s="842"/>
      <c r="AE403" s="842"/>
      <c r="AF403" s="842"/>
      <c r="AG403" s="842"/>
      <c r="AH403" s="842"/>
      <c r="AI403" s="842"/>
      <c r="AJ403" s="842"/>
      <c r="AK403" s="842"/>
      <c r="AL403" s="842"/>
      <c r="AM403" s="842"/>
      <c r="AN403" s="842"/>
      <c r="AO403" s="842"/>
      <c r="AP403" s="842"/>
      <c r="AQ403" s="842"/>
      <c r="AR403" s="842"/>
      <c r="AS403" s="842"/>
      <c r="AT403" s="842"/>
      <c r="AU403" s="842"/>
      <c r="AV403" s="842"/>
      <c r="AW403" s="842"/>
      <c r="AX403" s="842"/>
      <c r="AY403" s="842"/>
      <c r="AZ403" s="842"/>
      <c r="BA403" s="842"/>
      <c r="BB403" s="842"/>
      <c r="BC403" s="842"/>
      <c r="BD403" s="842"/>
      <c r="BE403" s="842"/>
      <c r="BF403" s="842"/>
      <c r="BG403" s="842"/>
      <c r="BH403" s="842"/>
      <c r="BI403" s="842"/>
      <c r="BJ403" s="842"/>
      <c r="BK403" s="842"/>
      <c r="BL403" s="842"/>
      <c r="BM403" s="842"/>
      <c r="BN403" s="842"/>
      <c r="BO403" s="842"/>
      <c r="BP403" s="842"/>
    </row>
    <row r="404" spans="2:68" s="7" customFormat="1">
      <c r="B404" s="841"/>
      <c r="D404" s="842"/>
      <c r="E404" s="842"/>
      <c r="F404" s="842"/>
      <c r="G404" s="842"/>
      <c r="H404" s="842"/>
      <c r="I404" s="842"/>
      <c r="J404" s="842"/>
      <c r="K404" s="842"/>
      <c r="L404" s="842"/>
      <c r="M404" s="842"/>
      <c r="N404" s="842"/>
      <c r="O404" s="842"/>
      <c r="P404" s="842"/>
      <c r="Q404" s="842"/>
      <c r="R404" s="842"/>
      <c r="S404" s="842"/>
      <c r="T404" s="842"/>
      <c r="U404" s="842"/>
      <c r="V404" s="842"/>
      <c r="W404" s="842"/>
      <c r="X404" s="842"/>
      <c r="Y404" s="842"/>
      <c r="Z404" s="842"/>
      <c r="AA404" s="842"/>
      <c r="AB404" s="842"/>
      <c r="AC404" s="842"/>
      <c r="AD404" s="842"/>
      <c r="AE404" s="842"/>
      <c r="AF404" s="842"/>
      <c r="AG404" s="842"/>
      <c r="AH404" s="842"/>
      <c r="AI404" s="842"/>
      <c r="AJ404" s="842"/>
      <c r="AK404" s="842"/>
      <c r="AL404" s="842"/>
      <c r="AM404" s="842"/>
      <c r="AN404" s="842"/>
      <c r="AO404" s="842"/>
      <c r="AP404" s="842"/>
      <c r="AQ404" s="842"/>
      <c r="AR404" s="842"/>
      <c r="AS404" s="842"/>
      <c r="AT404" s="842"/>
      <c r="AU404" s="842"/>
      <c r="AV404" s="842"/>
      <c r="AW404" s="842"/>
      <c r="AX404" s="842"/>
      <c r="AY404" s="842"/>
      <c r="AZ404" s="842"/>
      <c r="BA404" s="842"/>
      <c r="BB404" s="842"/>
      <c r="BC404" s="842"/>
      <c r="BD404" s="842"/>
      <c r="BE404" s="842"/>
      <c r="BF404" s="842"/>
      <c r="BG404" s="842"/>
      <c r="BH404" s="842"/>
      <c r="BI404" s="842"/>
      <c r="BJ404" s="842"/>
      <c r="BK404" s="842"/>
      <c r="BL404" s="842"/>
      <c r="BM404" s="842"/>
      <c r="BN404" s="842"/>
      <c r="BO404" s="842"/>
      <c r="BP404" s="842"/>
    </row>
    <row r="405" spans="2:68" s="7" customFormat="1">
      <c r="B405" s="841"/>
      <c r="D405" s="842"/>
      <c r="E405" s="842"/>
      <c r="F405" s="842"/>
      <c r="G405" s="842"/>
      <c r="H405" s="842"/>
      <c r="I405" s="842"/>
      <c r="J405" s="842"/>
      <c r="K405" s="842"/>
      <c r="L405" s="842"/>
      <c r="M405" s="842"/>
      <c r="N405" s="842"/>
      <c r="O405" s="842"/>
      <c r="P405" s="842"/>
      <c r="Q405" s="842"/>
      <c r="R405" s="842"/>
      <c r="S405" s="842"/>
      <c r="T405" s="842"/>
      <c r="U405" s="842"/>
      <c r="V405" s="842"/>
      <c r="W405" s="842"/>
      <c r="X405" s="842"/>
      <c r="Y405" s="842"/>
      <c r="Z405" s="842"/>
      <c r="AA405" s="842"/>
      <c r="AB405" s="842"/>
      <c r="AC405" s="842"/>
      <c r="AD405" s="842"/>
      <c r="AE405" s="842"/>
      <c r="AF405" s="842"/>
      <c r="AG405" s="842"/>
      <c r="AH405" s="842"/>
      <c r="AI405" s="842"/>
      <c r="AJ405" s="842"/>
      <c r="AK405" s="842"/>
      <c r="AL405" s="842"/>
      <c r="AM405" s="842"/>
      <c r="AN405" s="842"/>
      <c r="AO405" s="842"/>
      <c r="AP405" s="842"/>
      <c r="AQ405" s="842"/>
      <c r="AR405" s="842"/>
      <c r="AS405" s="842"/>
      <c r="AT405" s="842"/>
      <c r="AU405" s="842"/>
      <c r="AV405" s="842"/>
      <c r="AW405" s="842"/>
      <c r="AX405" s="842"/>
      <c r="AY405" s="842"/>
      <c r="AZ405" s="842"/>
      <c r="BA405" s="842"/>
      <c r="BB405" s="842"/>
      <c r="BC405" s="842"/>
      <c r="BD405" s="842"/>
      <c r="BE405" s="842"/>
      <c r="BF405" s="842"/>
      <c r="BG405" s="842"/>
      <c r="BH405" s="842"/>
      <c r="BI405" s="842"/>
      <c r="BJ405" s="842"/>
      <c r="BK405" s="842"/>
      <c r="BL405" s="842"/>
      <c r="BM405" s="842"/>
      <c r="BN405" s="842"/>
      <c r="BO405" s="842"/>
      <c r="BP405" s="842"/>
    </row>
    <row r="406" spans="2:68" s="7" customFormat="1">
      <c r="B406" s="841"/>
      <c r="D406" s="842"/>
      <c r="E406" s="842"/>
      <c r="F406" s="842"/>
      <c r="G406" s="842"/>
      <c r="H406" s="842"/>
      <c r="I406" s="842"/>
      <c r="J406" s="842"/>
      <c r="K406" s="842"/>
      <c r="L406" s="842"/>
      <c r="M406" s="842"/>
      <c r="N406" s="842"/>
      <c r="O406" s="842"/>
      <c r="P406" s="842"/>
      <c r="Q406" s="842"/>
      <c r="R406" s="842"/>
      <c r="S406" s="842"/>
      <c r="T406" s="842"/>
      <c r="U406" s="842"/>
      <c r="V406" s="842"/>
      <c r="W406" s="842"/>
      <c r="X406" s="842"/>
      <c r="Y406" s="842"/>
      <c r="Z406" s="842"/>
      <c r="AA406" s="842"/>
      <c r="AB406" s="842"/>
      <c r="AC406" s="842"/>
      <c r="AD406" s="842"/>
      <c r="AE406" s="842"/>
      <c r="AF406" s="842"/>
      <c r="AG406" s="842"/>
      <c r="AH406" s="842"/>
      <c r="AI406" s="842"/>
      <c r="AJ406" s="842"/>
      <c r="AK406" s="842"/>
      <c r="AL406" s="842"/>
      <c r="AM406" s="842"/>
      <c r="AN406" s="842"/>
      <c r="AO406" s="842"/>
      <c r="AP406" s="842"/>
      <c r="AQ406" s="842"/>
      <c r="AR406" s="842"/>
      <c r="AS406" s="842"/>
      <c r="AT406" s="842"/>
      <c r="AU406" s="842"/>
      <c r="AV406" s="842"/>
      <c r="AW406" s="842"/>
      <c r="AX406" s="842"/>
      <c r="AY406" s="842"/>
      <c r="AZ406" s="842"/>
      <c r="BA406" s="842"/>
      <c r="BB406" s="842"/>
      <c r="BC406" s="842"/>
      <c r="BD406" s="842"/>
      <c r="BE406" s="842"/>
      <c r="BF406" s="842"/>
      <c r="BG406" s="842"/>
      <c r="BH406" s="842"/>
      <c r="BI406" s="842"/>
      <c r="BJ406" s="842"/>
      <c r="BK406" s="842"/>
      <c r="BL406" s="842"/>
      <c r="BM406" s="842"/>
      <c r="BN406" s="842"/>
      <c r="BO406" s="842"/>
      <c r="BP406" s="842"/>
    </row>
    <row r="407" spans="2:68" s="7" customFormat="1">
      <c r="B407" s="841"/>
      <c r="D407" s="842"/>
      <c r="E407" s="842"/>
      <c r="F407" s="842"/>
      <c r="G407" s="842"/>
      <c r="H407" s="842"/>
      <c r="I407" s="842"/>
      <c r="J407" s="842"/>
      <c r="K407" s="842"/>
      <c r="L407" s="842"/>
      <c r="M407" s="842"/>
      <c r="N407" s="842"/>
      <c r="O407" s="842"/>
      <c r="P407" s="842"/>
      <c r="Q407" s="842"/>
      <c r="R407" s="842"/>
      <c r="S407" s="842"/>
      <c r="T407" s="842"/>
      <c r="U407" s="842"/>
      <c r="V407" s="842"/>
      <c r="W407" s="842"/>
      <c r="X407" s="842"/>
      <c r="Y407" s="842"/>
      <c r="Z407" s="842"/>
      <c r="AA407" s="842"/>
      <c r="AB407" s="842"/>
      <c r="AC407" s="842"/>
      <c r="AD407" s="842"/>
      <c r="AE407" s="842"/>
      <c r="AF407" s="842"/>
      <c r="AG407" s="842"/>
      <c r="AH407" s="842"/>
      <c r="AI407" s="842"/>
      <c r="AJ407" s="842"/>
      <c r="AK407" s="842"/>
      <c r="AL407" s="842"/>
      <c r="AM407" s="842"/>
      <c r="AN407" s="842"/>
      <c r="AO407" s="842"/>
      <c r="AP407" s="842"/>
      <c r="AQ407" s="842"/>
      <c r="AR407" s="842"/>
      <c r="AS407" s="842"/>
      <c r="AT407" s="842"/>
      <c r="AU407" s="842"/>
      <c r="AV407" s="842"/>
      <c r="AW407" s="842"/>
      <c r="AX407" s="842"/>
      <c r="AY407" s="842"/>
      <c r="AZ407" s="842"/>
      <c r="BA407" s="842"/>
      <c r="BB407" s="842"/>
      <c r="BC407" s="842"/>
      <c r="BD407" s="842"/>
      <c r="BE407" s="842"/>
      <c r="BF407" s="842"/>
      <c r="BG407" s="842"/>
      <c r="BH407" s="842"/>
      <c r="BI407" s="842"/>
      <c r="BJ407" s="842"/>
      <c r="BK407" s="842"/>
      <c r="BL407" s="842"/>
      <c r="BM407" s="842"/>
      <c r="BN407" s="842"/>
      <c r="BO407" s="842"/>
      <c r="BP407" s="842"/>
    </row>
    <row r="408" spans="2:68" s="7" customFormat="1">
      <c r="B408" s="841"/>
      <c r="D408" s="842"/>
      <c r="E408" s="842"/>
      <c r="F408" s="842"/>
      <c r="G408" s="842"/>
      <c r="H408" s="842"/>
      <c r="I408" s="842"/>
      <c r="J408" s="842"/>
      <c r="K408" s="842"/>
      <c r="L408" s="842"/>
      <c r="M408" s="842"/>
      <c r="N408" s="842"/>
      <c r="O408" s="842"/>
      <c r="P408" s="842"/>
      <c r="Q408" s="842"/>
      <c r="R408" s="842"/>
      <c r="S408" s="842"/>
      <c r="T408" s="842"/>
      <c r="U408" s="842"/>
      <c r="V408" s="842"/>
      <c r="W408" s="842"/>
      <c r="X408" s="842"/>
      <c r="Y408" s="842"/>
      <c r="Z408" s="842"/>
      <c r="AA408" s="842"/>
      <c r="AB408" s="842"/>
      <c r="AC408" s="842"/>
      <c r="AD408" s="842"/>
      <c r="AE408" s="842"/>
      <c r="AF408" s="842"/>
      <c r="AG408" s="842"/>
      <c r="AH408" s="842"/>
      <c r="AI408" s="842"/>
      <c r="AJ408" s="842"/>
      <c r="AK408" s="842"/>
      <c r="AL408" s="842"/>
      <c r="AM408" s="842"/>
      <c r="AN408" s="842"/>
      <c r="AO408" s="842"/>
      <c r="AP408" s="842"/>
      <c r="AQ408" s="842"/>
      <c r="AR408" s="842"/>
      <c r="AS408" s="842"/>
      <c r="AT408" s="842"/>
      <c r="AU408" s="842"/>
      <c r="AV408" s="842"/>
      <c r="AW408" s="842"/>
      <c r="AX408" s="842"/>
      <c r="AY408" s="842"/>
      <c r="AZ408" s="842"/>
      <c r="BA408" s="842"/>
      <c r="BB408" s="842"/>
      <c r="BC408" s="842"/>
      <c r="BD408" s="842"/>
      <c r="BE408" s="842"/>
      <c r="BF408" s="842"/>
      <c r="BG408" s="842"/>
      <c r="BH408" s="842"/>
      <c r="BI408" s="842"/>
      <c r="BJ408" s="842"/>
      <c r="BK408" s="842"/>
      <c r="BL408" s="842"/>
      <c r="BM408" s="842"/>
      <c r="BN408" s="842"/>
      <c r="BO408" s="842"/>
      <c r="BP408" s="842"/>
    </row>
    <row r="409" spans="2:68" s="7" customFormat="1">
      <c r="B409" s="841"/>
      <c r="D409" s="842"/>
      <c r="E409" s="842"/>
      <c r="F409" s="842"/>
      <c r="G409" s="842"/>
      <c r="H409" s="842"/>
      <c r="I409" s="842"/>
      <c r="J409" s="842"/>
      <c r="K409" s="842"/>
      <c r="L409" s="842"/>
      <c r="M409" s="842"/>
      <c r="N409" s="842"/>
      <c r="O409" s="842"/>
      <c r="P409" s="842"/>
      <c r="Q409" s="842"/>
      <c r="R409" s="842"/>
      <c r="S409" s="842"/>
      <c r="T409" s="842"/>
      <c r="U409" s="842"/>
      <c r="V409" s="842"/>
      <c r="W409" s="842"/>
      <c r="X409" s="842"/>
      <c r="Y409" s="842"/>
      <c r="Z409" s="842"/>
      <c r="AA409" s="842"/>
      <c r="AB409" s="842"/>
      <c r="AC409" s="842"/>
      <c r="AD409" s="842"/>
      <c r="AE409" s="842"/>
      <c r="AF409" s="842"/>
      <c r="AG409" s="842"/>
      <c r="AH409" s="842"/>
      <c r="AI409" s="842"/>
      <c r="AJ409" s="842"/>
      <c r="AK409" s="842"/>
      <c r="AL409" s="842"/>
      <c r="AM409" s="842"/>
      <c r="AN409" s="842"/>
      <c r="AO409" s="842"/>
      <c r="AP409" s="842"/>
      <c r="AQ409" s="842"/>
      <c r="AR409" s="842"/>
      <c r="AS409" s="842"/>
      <c r="AT409" s="842"/>
      <c r="AU409" s="842"/>
      <c r="AV409" s="842"/>
      <c r="AW409" s="842"/>
      <c r="AX409" s="842"/>
      <c r="AY409" s="842"/>
      <c r="AZ409" s="842"/>
      <c r="BA409" s="842"/>
      <c r="BB409" s="842"/>
      <c r="BC409" s="842"/>
      <c r="BD409" s="842"/>
      <c r="BE409" s="842"/>
      <c r="BF409" s="842"/>
      <c r="BG409" s="842"/>
      <c r="BH409" s="842"/>
      <c r="BI409" s="842"/>
      <c r="BJ409" s="842"/>
      <c r="BK409" s="842"/>
      <c r="BL409" s="842"/>
      <c r="BM409" s="842"/>
      <c r="BN409" s="842"/>
      <c r="BO409" s="842"/>
      <c r="BP409" s="842"/>
    </row>
    <row r="410" spans="2:68" s="7" customFormat="1">
      <c r="B410" s="841"/>
      <c r="D410" s="842"/>
      <c r="E410" s="842"/>
      <c r="F410" s="842"/>
      <c r="G410" s="842"/>
      <c r="H410" s="842"/>
      <c r="I410" s="842"/>
      <c r="J410" s="842"/>
      <c r="K410" s="842"/>
      <c r="L410" s="842"/>
      <c r="M410" s="842"/>
      <c r="N410" s="842"/>
      <c r="O410" s="842"/>
      <c r="P410" s="842"/>
      <c r="Q410" s="842"/>
      <c r="R410" s="842"/>
      <c r="S410" s="842"/>
      <c r="T410" s="842"/>
      <c r="U410" s="842"/>
      <c r="V410" s="842"/>
      <c r="W410" s="842"/>
      <c r="X410" s="842"/>
      <c r="Y410" s="842"/>
      <c r="Z410" s="842"/>
      <c r="AA410" s="842"/>
      <c r="AB410" s="842"/>
      <c r="AC410" s="842"/>
      <c r="AD410" s="842"/>
      <c r="AE410" s="842"/>
      <c r="AF410" s="842"/>
      <c r="AG410" s="842"/>
      <c r="AH410" s="842"/>
      <c r="AI410" s="842"/>
      <c r="AJ410" s="842"/>
      <c r="AK410" s="842"/>
      <c r="AL410" s="842"/>
      <c r="AM410" s="842"/>
      <c r="AN410" s="842"/>
      <c r="AO410" s="842"/>
      <c r="AP410" s="842"/>
      <c r="AQ410" s="842"/>
      <c r="AR410" s="842"/>
      <c r="AS410" s="842"/>
      <c r="AT410" s="842"/>
      <c r="AU410" s="842"/>
      <c r="AV410" s="842"/>
      <c r="AW410" s="842"/>
      <c r="AX410" s="842"/>
      <c r="AY410" s="842"/>
      <c r="AZ410" s="842"/>
      <c r="BA410" s="842"/>
      <c r="BB410" s="842"/>
      <c r="BC410" s="842"/>
      <c r="BD410" s="842"/>
      <c r="BE410" s="842"/>
      <c r="BF410" s="842"/>
      <c r="BG410" s="842"/>
      <c r="BH410" s="842"/>
      <c r="BI410" s="842"/>
      <c r="BJ410" s="842"/>
      <c r="BK410" s="842"/>
      <c r="BL410" s="842"/>
      <c r="BM410" s="842"/>
      <c r="BN410" s="842"/>
      <c r="BO410" s="842"/>
      <c r="BP410" s="842"/>
    </row>
    <row r="411" spans="2:68" s="7" customFormat="1">
      <c r="B411" s="841"/>
      <c r="D411" s="842"/>
      <c r="E411" s="842"/>
      <c r="F411" s="842"/>
      <c r="G411" s="842"/>
      <c r="H411" s="842"/>
      <c r="I411" s="842"/>
      <c r="J411" s="842"/>
      <c r="K411" s="842"/>
      <c r="L411" s="842"/>
      <c r="M411" s="842"/>
      <c r="N411" s="842"/>
      <c r="O411" s="842"/>
      <c r="P411" s="842"/>
      <c r="Q411" s="842"/>
      <c r="R411" s="842"/>
      <c r="S411" s="842"/>
      <c r="T411" s="842"/>
      <c r="U411" s="842"/>
      <c r="V411" s="842"/>
      <c r="W411" s="842"/>
      <c r="X411" s="842"/>
      <c r="Y411" s="842"/>
      <c r="Z411" s="842"/>
      <c r="AA411" s="842"/>
      <c r="AB411" s="842"/>
      <c r="AC411" s="842"/>
      <c r="AD411" s="842"/>
      <c r="AE411" s="842"/>
      <c r="AF411" s="842"/>
      <c r="AG411" s="842"/>
      <c r="AH411" s="842"/>
      <c r="AI411" s="842"/>
      <c r="AJ411" s="842"/>
      <c r="AK411" s="842"/>
      <c r="AL411" s="842"/>
      <c r="AM411" s="842"/>
      <c r="AN411" s="842"/>
      <c r="AO411" s="842"/>
      <c r="AP411" s="842"/>
      <c r="AQ411" s="842"/>
      <c r="AR411" s="842"/>
      <c r="AS411" s="842"/>
      <c r="AT411" s="842"/>
      <c r="AU411" s="842"/>
      <c r="AV411" s="842"/>
      <c r="AW411" s="842"/>
      <c r="AX411" s="842"/>
      <c r="AY411" s="842"/>
      <c r="AZ411" s="842"/>
      <c r="BA411" s="842"/>
      <c r="BB411" s="842"/>
      <c r="BC411" s="842"/>
      <c r="BD411" s="842"/>
      <c r="BE411" s="842"/>
      <c r="BF411" s="842"/>
      <c r="BG411" s="842"/>
      <c r="BH411" s="842"/>
      <c r="BI411" s="842"/>
      <c r="BJ411" s="842"/>
      <c r="BK411" s="842"/>
      <c r="BL411" s="842"/>
      <c r="BM411" s="842"/>
      <c r="BN411" s="842"/>
      <c r="BO411" s="842"/>
      <c r="BP411" s="842"/>
    </row>
    <row r="412" spans="2:68" s="7" customFormat="1">
      <c r="B412" s="841"/>
      <c r="D412" s="842"/>
      <c r="E412" s="842"/>
      <c r="F412" s="842"/>
      <c r="G412" s="842"/>
      <c r="H412" s="842"/>
      <c r="I412" s="842"/>
      <c r="J412" s="842"/>
      <c r="K412" s="842"/>
      <c r="L412" s="842"/>
      <c r="M412" s="842"/>
      <c r="N412" s="842"/>
      <c r="O412" s="842"/>
      <c r="P412" s="842"/>
      <c r="Q412" s="842"/>
      <c r="R412" s="842"/>
      <c r="S412" s="842"/>
      <c r="T412" s="842"/>
      <c r="U412" s="842"/>
      <c r="V412" s="842"/>
      <c r="W412" s="842"/>
      <c r="X412" s="842"/>
      <c r="Y412" s="842"/>
      <c r="Z412" s="842"/>
      <c r="AA412" s="842"/>
      <c r="AB412" s="842"/>
      <c r="AC412" s="842"/>
      <c r="AD412" s="842"/>
      <c r="AE412" s="842"/>
      <c r="AF412" s="842"/>
      <c r="AG412" s="842"/>
      <c r="AH412" s="842"/>
      <c r="AI412" s="842"/>
      <c r="AJ412" s="842"/>
      <c r="AK412" s="842"/>
      <c r="AL412" s="842"/>
      <c r="AM412" s="842"/>
      <c r="AN412" s="842"/>
      <c r="AO412" s="842"/>
      <c r="AP412" s="842"/>
      <c r="AQ412" s="842"/>
      <c r="AR412" s="842"/>
      <c r="AS412" s="842"/>
      <c r="AT412" s="842"/>
      <c r="AU412" s="842"/>
      <c r="AV412" s="842"/>
      <c r="AW412" s="842"/>
      <c r="AX412" s="842"/>
      <c r="AY412" s="842"/>
      <c r="AZ412" s="842"/>
      <c r="BA412" s="842"/>
      <c r="BB412" s="842"/>
      <c r="BC412" s="842"/>
      <c r="BD412" s="842"/>
      <c r="BE412" s="842"/>
      <c r="BF412" s="842"/>
      <c r="BG412" s="842"/>
      <c r="BH412" s="842"/>
      <c r="BI412" s="842"/>
      <c r="BJ412" s="842"/>
      <c r="BK412" s="842"/>
      <c r="BL412" s="842"/>
      <c r="BM412" s="842"/>
      <c r="BN412" s="842"/>
      <c r="BO412" s="842"/>
      <c r="BP412" s="842"/>
    </row>
    <row r="413" spans="2:68" s="7" customFormat="1">
      <c r="B413" s="841"/>
      <c r="D413" s="842"/>
      <c r="E413" s="842"/>
      <c r="F413" s="842"/>
      <c r="G413" s="842"/>
      <c r="H413" s="842"/>
      <c r="I413" s="842"/>
      <c r="J413" s="842"/>
      <c r="K413" s="842"/>
      <c r="L413" s="842"/>
      <c r="M413" s="842"/>
      <c r="N413" s="842"/>
      <c r="O413" s="842"/>
      <c r="P413" s="842"/>
      <c r="Q413" s="842"/>
      <c r="R413" s="842"/>
      <c r="S413" s="842"/>
      <c r="T413" s="842"/>
      <c r="U413" s="842"/>
      <c r="V413" s="842"/>
      <c r="W413" s="842"/>
      <c r="X413" s="842"/>
      <c r="Y413" s="842"/>
      <c r="Z413" s="842"/>
      <c r="AA413" s="842"/>
      <c r="AB413" s="842"/>
      <c r="AC413" s="842"/>
      <c r="AD413" s="842"/>
      <c r="AE413" s="842"/>
      <c r="AF413" s="842"/>
      <c r="AG413" s="842"/>
      <c r="AH413" s="842"/>
      <c r="AI413" s="842"/>
      <c r="AJ413" s="842"/>
      <c r="AK413" s="842"/>
      <c r="AL413" s="842"/>
      <c r="AM413" s="842"/>
      <c r="AN413" s="842"/>
      <c r="AO413" s="842"/>
      <c r="AP413" s="842"/>
      <c r="AQ413" s="842"/>
      <c r="AR413" s="842"/>
      <c r="AS413" s="842"/>
      <c r="AT413" s="842"/>
      <c r="AU413" s="842"/>
      <c r="AV413" s="842"/>
      <c r="AW413" s="842"/>
      <c r="AX413" s="842"/>
      <c r="AY413" s="842"/>
      <c r="AZ413" s="842"/>
      <c r="BA413" s="842"/>
      <c r="BB413" s="842"/>
      <c r="BC413" s="842"/>
      <c r="BD413" s="842"/>
      <c r="BE413" s="842"/>
      <c r="BF413" s="842"/>
      <c r="BG413" s="842"/>
      <c r="BH413" s="842"/>
      <c r="BI413" s="842"/>
      <c r="BJ413" s="842"/>
      <c r="BK413" s="842"/>
      <c r="BL413" s="842"/>
      <c r="BM413" s="842"/>
      <c r="BN413" s="842"/>
      <c r="BO413" s="842"/>
      <c r="BP413" s="842"/>
    </row>
    <row r="414" spans="2:68" s="7" customFormat="1">
      <c r="B414" s="841"/>
      <c r="D414" s="842"/>
      <c r="E414" s="842"/>
      <c r="F414" s="842"/>
      <c r="G414" s="842"/>
      <c r="H414" s="842"/>
      <c r="I414" s="842"/>
      <c r="J414" s="842"/>
      <c r="K414" s="842"/>
      <c r="L414" s="842"/>
      <c r="M414" s="842"/>
      <c r="N414" s="842"/>
      <c r="O414" s="842"/>
      <c r="P414" s="842"/>
      <c r="Q414" s="842"/>
      <c r="R414" s="842"/>
      <c r="S414" s="842"/>
      <c r="T414" s="842"/>
      <c r="U414" s="842"/>
      <c r="V414" s="842"/>
      <c r="W414" s="842"/>
      <c r="X414" s="842"/>
      <c r="Y414" s="842"/>
      <c r="Z414" s="842"/>
      <c r="AA414" s="842"/>
      <c r="AB414" s="842"/>
      <c r="AC414" s="842"/>
      <c r="AD414" s="842"/>
      <c r="AE414" s="842"/>
      <c r="AF414" s="842"/>
      <c r="AG414" s="842"/>
      <c r="AH414" s="842"/>
      <c r="AI414" s="842"/>
      <c r="AJ414" s="842"/>
      <c r="AK414" s="842"/>
      <c r="AL414" s="842"/>
      <c r="AM414" s="842"/>
      <c r="AN414" s="842"/>
      <c r="AO414" s="842"/>
      <c r="AP414" s="842"/>
      <c r="AQ414" s="842"/>
      <c r="AR414" s="842"/>
      <c r="AS414" s="842"/>
      <c r="AT414" s="842"/>
      <c r="AU414" s="842"/>
      <c r="AV414" s="842"/>
      <c r="AW414" s="842"/>
      <c r="AX414" s="842"/>
      <c r="AY414" s="842"/>
      <c r="AZ414" s="842"/>
      <c r="BA414" s="842"/>
      <c r="BB414" s="842"/>
      <c r="BC414" s="842"/>
      <c r="BD414" s="842"/>
      <c r="BE414" s="842"/>
      <c r="BF414" s="842"/>
      <c r="BG414" s="842"/>
      <c r="BH414" s="842"/>
      <c r="BI414" s="842"/>
      <c r="BJ414" s="842"/>
      <c r="BK414" s="842"/>
      <c r="BL414" s="842"/>
      <c r="BM414" s="842"/>
      <c r="BN414" s="842"/>
      <c r="BO414" s="842"/>
      <c r="BP414" s="842"/>
    </row>
    <row r="415" spans="2:68" s="7" customFormat="1">
      <c r="B415" s="841"/>
      <c r="D415" s="842"/>
      <c r="E415" s="842"/>
      <c r="F415" s="842"/>
      <c r="G415" s="842"/>
      <c r="H415" s="842"/>
      <c r="I415" s="842"/>
      <c r="J415" s="842"/>
      <c r="K415" s="842"/>
      <c r="L415" s="842"/>
      <c r="M415" s="842"/>
      <c r="N415" s="842"/>
      <c r="O415" s="842"/>
      <c r="P415" s="842"/>
      <c r="Q415" s="842"/>
      <c r="R415" s="842"/>
      <c r="S415" s="842"/>
      <c r="T415" s="842"/>
      <c r="U415" s="842"/>
      <c r="V415" s="842"/>
      <c r="W415" s="842"/>
      <c r="X415" s="842"/>
      <c r="Y415" s="842"/>
      <c r="Z415" s="842"/>
      <c r="AA415" s="842"/>
      <c r="AB415" s="842"/>
      <c r="AC415" s="842"/>
      <c r="AD415" s="842"/>
      <c r="AE415" s="842"/>
      <c r="AF415" s="842"/>
      <c r="AG415" s="842"/>
      <c r="AH415" s="842"/>
      <c r="AI415" s="842"/>
      <c r="AJ415" s="842"/>
      <c r="AK415" s="842"/>
      <c r="AL415" s="842"/>
      <c r="AM415" s="842"/>
      <c r="AN415" s="842"/>
      <c r="AO415" s="842"/>
      <c r="AP415" s="842"/>
      <c r="AQ415" s="842"/>
      <c r="AR415" s="842"/>
      <c r="AS415" s="842"/>
      <c r="AT415" s="842"/>
      <c r="AU415" s="842"/>
      <c r="AV415" s="842"/>
      <c r="AW415" s="842"/>
      <c r="AX415" s="842"/>
      <c r="AY415" s="842"/>
      <c r="AZ415" s="842"/>
      <c r="BA415" s="842"/>
      <c r="BB415" s="842"/>
      <c r="BC415" s="842"/>
      <c r="BD415" s="842"/>
      <c r="BE415" s="842"/>
      <c r="BF415" s="842"/>
      <c r="BG415" s="842"/>
      <c r="BH415" s="842"/>
      <c r="BI415" s="842"/>
      <c r="BJ415" s="842"/>
      <c r="BK415" s="842"/>
      <c r="BL415" s="842"/>
      <c r="BM415" s="842"/>
      <c r="BN415" s="842"/>
      <c r="BO415" s="842"/>
      <c r="BP415" s="842"/>
    </row>
    <row r="416" spans="2:68" s="7" customFormat="1">
      <c r="B416" s="841"/>
      <c r="D416" s="842"/>
      <c r="E416" s="842"/>
      <c r="F416" s="842"/>
      <c r="G416" s="842"/>
      <c r="H416" s="842"/>
      <c r="I416" s="842"/>
      <c r="J416" s="842"/>
      <c r="K416" s="842"/>
      <c r="L416" s="842"/>
      <c r="M416" s="842"/>
      <c r="N416" s="842"/>
      <c r="O416" s="842"/>
      <c r="P416" s="842"/>
      <c r="Q416" s="842"/>
      <c r="R416" s="842"/>
      <c r="S416" s="842"/>
      <c r="T416" s="842"/>
      <c r="U416" s="842"/>
      <c r="V416" s="842"/>
      <c r="W416" s="842"/>
      <c r="X416" s="842"/>
      <c r="Y416" s="842"/>
      <c r="Z416" s="842"/>
      <c r="AA416" s="842"/>
      <c r="AB416" s="842"/>
      <c r="AC416" s="842"/>
      <c r="AD416" s="842"/>
      <c r="AE416" s="842"/>
      <c r="AF416" s="842"/>
      <c r="AG416" s="842"/>
      <c r="AH416" s="842"/>
      <c r="AI416" s="842"/>
      <c r="AJ416" s="842"/>
      <c r="AK416" s="842"/>
      <c r="AL416" s="842"/>
      <c r="AM416" s="842"/>
      <c r="AN416" s="842"/>
      <c r="AO416" s="842"/>
      <c r="AP416" s="842"/>
      <c r="AQ416" s="842"/>
      <c r="AR416" s="842"/>
      <c r="AS416" s="842"/>
      <c r="AT416" s="842"/>
      <c r="AU416" s="842"/>
      <c r="AV416" s="842"/>
      <c r="AW416" s="842"/>
      <c r="AX416" s="842"/>
      <c r="AY416" s="842"/>
      <c r="AZ416" s="842"/>
      <c r="BA416" s="842"/>
      <c r="BB416" s="842"/>
      <c r="BC416" s="842"/>
      <c r="BD416" s="842"/>
      <c r="BE416" s="842"/>
      <c r="BF416" s="842"/>
      <c r="BG416" s="842"/>
      <c r="BH416" s="842"/>
      <c r="BI416" s="842"/>
      <c r="BJ416" s="842"/>
      <c r="BK416" s="842"/>
      <c r="BL416" s="842"/>
      <c r="BM416" s="842"/>
      <c r="BN416" s="842"/>
      <c r="BO416" s="842"/>
      <c r="BP416" s="842"/>
    </row>
    <row r="417" spans="2:68" s="7" customFormat="1">
      <c r="B417" s="841"/>
      <c r="D417" s="842"/>
      <c r="E417" s="842"/>
      <c r="F417" s="842"/>
      <c r="G417" s="842"/>
      <c r="H417" s="842"/>
      <c r="I417" s="842"/>
      <c r="J417" s="842"/>
      <c r="K417" s="842"/>
      <c r="L417" s="842"/>
      <c r="M417" s="842"/>
      <c r="N417" s="842"/>
      <c r="O417" s="842"/>
      <c r="P417" s="842"/>
      <c r="Q417" s="842"/>
      <c r="R417" s="842"/>
      <c r="S417" s="842"/>
      <c r="T417" s="842"/>
      <c r="U417" s="842"/>
      <c r="V417" s="842"/>
      <c r="W417" s="842"/>
      <c r="X417" s="842"/>
      <c r="Y417" s="842"/>
      <c r="Z417" s="842"/>
      <c r="AA417" s="842"/>
      <c r="AB417" s="842"/>
      <c r="AC417" s="842"/>
      <c r="AD417" s="842"/>
      <c r="AE417" s="842"/>
      <c r="AF417" s="842"/>
      <c r="AG417" s="842"/>
      <c r="AH417" s="842"/>
      <c r="AI417" s="842"/>
      <c r="AJ417" s="842"/>
      <c r="AK417" s="842"/>
      <c r="AL417" s="842"/>
      <c r="AM417" s="842"/>
      <c r="AN417" s="842"/>
      <c r="AO417" s="842"/>
      <c r="AP417" s="842"/>
      <c r="AQ417" s="842"/>
      <c r="AR417" s="842"/>
      <c r="AS417" s="842"/>
      <c r="AT417" s="842"/>
      <c r="AU417" s="842"/>
      <c r="AV417" s="842"/>
      <c r="AW417" s="842"/>
      <c r="AX417" s="842"/>
      <c r="AY417" s="842"/>
      <c r="AZ417" s="842"/>
      <c r="BA417" s="842"/>
      <c r="BB417" s="842"/>
      <c r="BC417" s="842"/>
      <c r="BD417" s="842"/>
      <c r="BE417" s="842"/>
      <c r="BF417" s="842"/>
      <c r="BG417" s="842"/>
      <c r="BH417" s="842"/>
      <c r="BI417" s="842"/>
      <c r="BJ417" s="842"/>
      <c r="BK417" s="842"/>
      <c r="BL417" s="842"/>
      <c r="BM417" s="842"/>
      <c r="BN417" s="842"/>
      <c r="BO417" s="842"/>
      <c r="BP417" s="842"/>
    </row>
    <row r="418" spans="2:68" s="7" customFormat="1">
      <c r="B418" s="841"/>
      <c r="D418" s="842"/>
      <c r="E418" s="842"/>
      <c r="F418" s="842"/>
      <c r="G418" s="842"/>
      <c r="H418" s="842"/>
      <c r="I418" s="842"/>
      <c r="J418" s="842"/>
      <c r="K418" s="842"/>
      <c r="L418" s="842"/>
      <c r="M418" s="842"/>
      <c r="N418" s="842"/>
      <c r="O418" s="842"/>
      <c r="P418" s="842"/>
      <c r="Q418" s="842"/>
      <c r="R418" s="842"/>
      <c r="S418" s="842"/>
      <c r="T418" s="842"/>
      <c r="U418" s="842"/>
      <c r="V418" s="842"/>
      <c r="W418" s="842"/>
      <c r="X418" s="842"/>
      <c r="Y418" s="842"/>
      <c r="Z418" s="842"/>
      <c r="AA418" s="842"/>
      <c r="AB418" s="842"/>
      <c r="AC418" s="842"/>
      <c r="AD418" s="842"/>
      <c r="AE418" s="842"/>
      <c r="AF418" s="842"/>
      <c r="AG418" s="842"/>
      <c r="AH418" s="842"/>
      <c r="AI418" s="842"/>
      <c r="AJ418" s="842"/>
      <c r="AK418" s="842"/>
      <c r="AL418" s="842"/>
      <c r="AM418" s="842"/>
      <c r="AN418" s="842"/>
      <c r="AO418" s="842"/>
      <c r="AP418" s="842"/>
      <c r="AQ418" s="842"/>
      <c r="AR418" s="842"/>
      <c r="AS418" s="842"/>
      <c r="AT418" s="842"/>
      <c r="AU418" s="842"/>
      <c r="AV418" s="842"/>
      <c r="AW418" s="842"/>
      <c r="AX418" s="842"/>
      <c r="AY418" s="842"/>
      <c r="AZ418" s="842"/>
      <c r="BA418" s="842"/>
      <c r="BB418" s="842"/>
      <c r="BC418" s="842"/>
      <c r="BD418" s="842"/>
      <c r="BE418" s="842"/>
      <c r="BF418" s="842"/>
      <c r="BG418" s="842"/>
      <c r="BH418" s="842"/>
      <c r="BI418" s="842"/>
      <c r="BJ418" s="842"/>
      <c r="BK418" s="842"/>
      <c r="BL418" s="842"/>
      <c r="BM418" s="842"/>
      <c r="BN418" s="842"/>
      <c r="BO418" s="842"/>
      <c r="BP418" s="842"/>
    </row>
    <row r="419" spans="2:68" s="7" customFormat="1">
      <c r="B419" s="841"/>
      <c r="D419" s="842"/>
      <c r="E419" s="842"/>
      <c r="F419" s="842"/>
      <c r="G419" s="842"/>
      <c r="H419" s="842"/>
      <c r="I419" s="842"/>
      <c r="J419" s="842"/>
      <c r="K419" s="842"/>
      <c r="L419" s="842"/>
      <c r="M419" s="842"/>
      <c r="N419" s="842"/>
      <c r="O419" s="842"/>
      <c r="P419" s="842"/>
      <c r="Q419" s="842"/>
      <c r="R419" s="842"/>
      <c r="S419" s="842"/>
      <c r="T419" s="842"/>
      <c r="U419" s="842"/>
      <c r="V419" s="842"/>
      <c r="W419" s="842"/>
      <c r="X419" s="842"/>
      <c r="Y419" s="842"/>
      <c r="Z419" s="842"/>
      <c r="AA419" s="842"/>
      <c r="AB419" s="842"/>
      <c r="AC419" s="842"/>
      <c r="AD419" s="842"/>
      <c r="AE419" s="842"/>
      <c r="AF419" s="842"/>
      <c r="AG419" s="842"/>
      <c r="AH419" s="842"/>
      <c r="AI419" s="842"/>
      <c r="AJ419" s="842"/>
      <c r="AK419" s="842"/>
      <c r="AL419" s="842"/>
      <c r="AM419" s="842"/>
      <c r="AN419" s="842"/>
      <c r="AO419" s="842"/>
      <c r="AP419" s="842"/>
      <c r="AQ419" s="842"/>
      <c r="AR419" s="842"/>
      <c r="AS419" s="842"/>
      <c r="AT419" s="842"/>
      <c r="AU419" s="842"/>
      <c r="AV419" s="842"/>
      <c r="AW419" s="842"/>
      <c r="AX419" s="842"/>
      <c r="AY419" s="842"/>
      <c r="AZ419" s="842"/>
      <c r="BA419" s="842"/>
      <c r="BB419" s="842"/>
      <c r="BC419" s="842"/>
      <c r="BD419" s="842"/>
      <c r="BE419" s="842"/>
      <c r="BF419" s="842"/>
      <c r="BG419" s="842"/>
      <c r="BH419" s="842"/>
      <c r="BI419" s="842"/>
      <c r="BJ419" s="842"/>
      <c r="BK419" s="842"/>
      <c r="BL419" s="842"/>
      <c r="BM419" s="842"/>
      <c r="BN419" s="842"/>
      <c r="BO419" s="842"/>
      <c r="BP419" s="842"/>
    </row>
    <row r="420" spans="2:68" s="7" customFormat="1">
      <c r="B420" s="841"/>
      <c r="D420" s="842"/>
      <c r="E420" s="842"/>
      <c r="F420" s="842"/>
      <c r="G420" s="842"/>
      <c r="H420" s="842"/>
      <c r="I420" s="842"/>
      <c r="J420" s="842"/>
      <c r="K420" s="842"/>
      <c r="L420" s="842"/>
      <c r="M420" s="842"/>
      <c r="N420" s="842"/>
      <c r="O420" s="842"/>
      <c r="P420" s="842"/>
      <c r="Q420" s="842"/>
      <c r="R420" s="842"/>
      <c r="S420" s="842"/>
      <c r="T420" s="842"/>
      <c r="U420" s="842"/>
      <c r="V420" s="842"/>
      <c r="W420" s="842"/>
      <c r="X420" s="842"/>
      <c r="Y420" s="842"/>
      <c r="Z420" s="842"/>
      <c r="AA420" s="842"/>
      <c r="AB420" s="842"/>
      <c r="AC420" s="842"/>
      <c r="AD420" s="842"/>
      <c r="AE420" s="842"/>
      <c r="AF420" s="842"/>
      <c r="AG420" s="842"/>
      <c r="AH420" s="842"/>
      <c r="AI420" s="842"/>
      <c r="AJ420" s="842"/>
      <c r="AK420" s="842"/>
      <c r="AL420" s="842"/>
      <c r="AM420" s="842"/>
      <c r="AN420" s="842"/>
      <c r="AO420" s="842"/>
      <c r="AP420" s="842"/>
      <c r="AQ420" s="842"/>
      <c r="AR420" s="842"/>
      <c r="AS420" s="842"/>
      <c r="AT420" s="842"/>
      <c r="AU420" s="842"/>
      <c r="AV420" s="842"/>
      <c r="AW420" s="842"/>
      <c r="AX420" s="842"/>
      <c r="AY420" s="842"/>
      <c r="AZ420" s="842"/>
      <c r="BA420" s="842"/>
      <c r="BB420" s="842"/>
      <c r="BC420" s="842"/>
      <c r="BD420" s="842"/>
      <c r="BE420" s="842"/>
      <c r="BF420" s="842"/>
      <c r="BG420" s="842"/>
      <c r="BH420" s="842"/>
      <c r="BI420" s="842"/>
      <c r="BJ420" s="842"/>
      <c r="BK420" s="842"/>
      <c r="BL420" s="842"/>
      <c r="BM420" s="842"/>
      <c r="BN420" s="842"/>
      <c r="BO420" s="842"/>
      <c r="BP420" s="842"/>
    </row>
    <row r="421" spans="2:68" s="7" customFormat="1">
      <c r="B421" s="841"/>
      <c r="D421" s="842"/>
      <c r="E421" s="842"/>
      <c r="F421" s="842"/>
      <c r="G421" s="842"/>
      <c r="H421" s="842"/>
      <c r="I421" s="842"/>
      <c r="J421" s="842"/>
      <c r="K421" s="842"/>
      <c r="L421" s="842"/>
      <c r="M421" s="842"/>
      <c r="N421" s="842"/>
      <c r="O421" s="842"/>
      <c r="P421" s="842"/>
      <c r="Q421" s="842"/>
      <c r="R421" s="842"/>
      <c r="S421" s="842"/>
      <c r="T421" s="842"/>
      <c r="U421" s="842"/>
      <c r="V421" s="842"/>
      <c r="W421" s="842"/>
      <c r="X421" s="842"/>
      <c r="Y421" s="842"/>
      <c r="Z421" s="842"/>
      <c r="AA421" s="842"/>
      <c r="AB421" s="842"/>
      <c r="AC421" s="842"/>
      <c r="AD421" s="842"/>
      <c r="AE421" s="842"/>
      <c r="AF421" s="842"/>
      <c r="AG421" s="842"/>
      <c r="AH421" s="842"/>
      <c r="AI421" s="842"/>
      <c r="AJ421" s="842"/>
      <c r="AK421" s="842"/>
      <c r="AL421" s="842"/>
      <c r="AM421" s="842"/>
      <c r="AN421" s="842"/>
      <c r="AO421" s="842"/>
      <c r="AP421" s="842"/>
      <c r="AQ421" s="842"/>
      <c r="AR421" s="842"/>
      <c r="AS421" s="842"/>
      <c r="AT421" s="842"/>
      <c r="AU421" s="842"/>
      <c r="AV421" s="842"/>
      <c r="AW421" s="842"/>
      <c r="AX421" s="842"/>
      <c r="AY421" s="842"/>
      <c r="AZ421" s="842"/>
      <c r="BA421" s="842"/>
      <c r="BB421" s="842"/>
      <c r="BC421" s="842"/>
      <c r="BD421" s="842"/>
      <c r="BE421" s="842"/>
      <c r="BF421" s="842"/>
      <c r="BG421" s="842"/>
      <c r="BH421" s="842"/>
      <c r="BI421" s="842"/>
      <c r="BJ421" s="842"/>
      <c r="BK421" s="842"/>
      <c r="BL421" s="842"/>
      <c r="BM421" s="842"/>
      <c r="BN421" s="842"/>
      <c r="BO421" s="842"/>
      <c r="BP421" s="842"/>
    </row>
    <row r="422" spans="2:68" s="7" customFormat="1">
      <c r="B422" s="841"/>
      <c r="D422" s="842"/>
      <c r="E422" s="842"/>
      <c r="F422" s="842"/>
      <c r="G422" s="842"/>
      <c r="H422" s="842"/>
      <c r="I422" s="842"/>
      <c r="J422" s="842"/>
      <c r="K422" s="842"/>
      <c r="L422" s="842"/>
      <c r="M422" s="842"/>
      <c r="N422" s="842"/>
      <c r="O422" s="842"/>
      <c r="P422" s="842"/>
      <c r="Q422" s="842"/>
      <c r="R422" s="842"/>
      <c r="S422" s="842"/>
      <c r="T422" s="842"/>
      <c r="U422" s="842"/>
      <c r="V422" s="842"/>
      <c r="W422" s="842"/>
      <c r="X422" s="842"/>
      <c r="Y422" s="842"/>
      <c r="Z422" s="842"/>
      <c r="AA422" s="842"/>
      <c r="AB422" s="842"/>
      <c r="AC422" s="842"/>
      <c r="AD422" s="842"/>
      <c r="AE422" s="842"/>
      <c r="AF422" s="842"/>
      <c r="AG422" s="842"/>
      <c r="AH422" s="842"/>
      <c r="AI422" s="842"/>
      <c r="AJ422" s="842"/>
      <c r="AK422" s="842"/>
      <c r="AL422" s="842"/>
      <c r="AM422" s="842"/>
      <c r="AN422" s="842"/>
      <c r="AO422" s="842"/>
      <c r="AP422" s="842"/>
      <c r="AQ422" s="842"/>
      <c r="AR422" s="842"/>
      <c r="AS422" s="842"/>
      <c r="AT422" s="842"/>
      <c r="AU422" s="842"/>
      <c r="AV422" s="842"/>
      <c r="AW422" s="842"/>
      <c r="AX422" s="842"/>
      <c r="AY422" s="842"/>
      <c r="AZ422" s="842"/>
      <c r="BA422" s="842"/>
      <c r="BB422" s="842"/>
      <c r="BC422" s="842"/>
      <c r="BD422" s="842"/>
      <c r="BE422" s="842"/>
      <c r="BF422" s="842"/>
      <c r="BG422" s="842"/>
      <c r="BH422" s="842"/>
      <c r="BI422" s="842"/>
      <c r="BJ422" s="842"/>
      <c r="BK422" s="842"/>
      <c r="BL422" s="842"/>
      <c r="BM422" s="842"/>
      <c r="BN422" s="842"/>
      <c r="BO422" s="842"/>
      <c r="BP422" s="842"/>
    </row>
    <row r="423" spans="2:68" s="7" customFormat="1">
      <c r="B423" s="841"/>
      <c r="D423" s="842"/>
      <c r="E423" s="842"/>
      <c r="F423" s="842"/>
      <c r="G423" s="842"/>
      <c r="H423" s="842"/>
      <c r="I423" s="842"/>
      <c r="J423" s="842"/>
      <c r="K423" s="842"/>
      <c r="L423" s="842"/>
      <c r="M423" s="842"/>
      <c r="N423" s="842"/>
      <c r="O423" s="842"/>
      <c r="P423" s="842"/>
      <c r="Q423" s="842"/>
      <c r="R423" s="842"/>
      <c r="S423" s="842"/>
      <c r="T423" s="842"/>
      <c r="U423" s="842"/>
      <c r="V423" s="842"/>
      <c r="W423" s="842"/>
      <c r="X423" s="842"/>
      <c r="Y423" s="842"/>
      <c r="Z423" s="842"/>
      <c r="AA423" s="842"/>
      <c r="AB423" s="842"/>
      <c r="AC423" s="842"/>
      <c r="AD423" s="842"/>
      <c r="AE423" s="842"/>
      <c r="AF423" s="842"/>
      <c r="AG423" s="842"/>
      <c r="AH423" s="842"/>
      <c r="AI423" s="842"/>
      <c r="AJ423" s="842"/>
      <c r="AK423" s="842"/>
      <c r="AL423" s="842"/>
      <c r="AM423" s="842"/>
      <c r="AN423" s="842"/>
      <c r="AO423" s="842"/>
      <c r="AP423" s="842"/>
      <c r="AQ423" s="842"/>
      <c r="AR423" s="842"/>
      <c r="AS423" s="842"/>
      <c r="AT423" s="842"/>
      <c r="AU423" s="842"/>
      <c r="AV423" s="842"/>
      <c r="AW423" s="842"/>
      <c r="AX423" s="842"/>
      <c r="AY423" s="842"/>
      <c r="AZ423" s="842"/>
      <c r="BA423" s="842"/>
      <c r="BB423" s="842"/>
      <c r="BC423" s="842"/>
      <c r="BD423" s="842"/>
      <c r="BE423" s="842"/>
      <c r="BF423" s="842"/>
      <c r="BG423" s="842"/>
      <c r="BH423" s="842"/>
      <c r="BI423" s="842"/>
      <c r="BJ423" s="842"/>
      <c r="BK423" s="842"/>
      <c r="BL423" s="842"/>
      <c r="BM423" s="842"/>
      <c r="BN423" s="842"/>
      <c r="BO423" s="842"/>
      <c r="BP423" s="842"/>
    </row>
    <row r="424" spans="2:68" s="7" customFormat="1">
      <c r="B424" s="841"/>
      <c r="D424" s="842"/>
      <c r="E424" s="842"/>
      <c r="F424" s="842"/>
      <c r="G424" s="842"/>
      <c r="H424" s="842"/>
      <c r="I424" s="842"/>
      <c r="J424" s="842"/>
      <c r="K424" s="842"/>
      <c r="L424" s="842"/>
      <c r="M424" s="842"/>
      <c r="N424" s="842"/>
      <c r="O424" s="842"/>
      <c r="P424" s="842"/>
      <c r="Q424" s="842"/>
      <c r="R424" s="842"/>
      <c r="S424" s="842"/>
      <c r="T424" s="842"/>
      <c r="U424" s="842"/>
      <c r="V424" s="842"/>
      <c r="W424" s="842"/>
      <c r="X424" s="842"/>
      <c r="Y424" s="842"/>
      <c r="Z424" s="842"/>
      <c r="AA424" s="842"/>
      <c r="AB424" s="842"/>
      <c r="AC424" s="842"/>
      <c r="AD424" s="842"/>
      <c r="AE424" s="842"/>
      <c r="AF424" s="842"/>
      <c r="AG424" s="842"/>
      <c r="AH424" s="842"/>
      <c r="AI424" s="842"/>
      <c r="AJ424" s="842"/>
      <c r="AK424" s="842"/>
      <c r="AL424" s="842"/>
      <c r="AM424" s="842"/>
      <c r="AN424" s="842"/>
      <c r="AO424" s="842"/>
      <c r="AP424" s="842"/>
      <c r="AQ424" s="842"/>
      <c r="AR424" s="842"/>
      <c r="AS424" s="842"/>
      <c r="AT424" s="842"/>
      <c r="AU424" s="842"/>
      <c r="AV424" s="842"/>
      <c r="AW424" s="842"/>
      <c r="AX424" s="842"/>
      <c r="AY424" s="842"/>
      <c r="AZ424" s="842"/>
      <c r="BA424" s="842"/>
      <c r="BB424" s="842"/>
      <c r="BC424" s="842"/>
      <c r="BD424" s="842"/>
      <c r="BE424" s="842"/>
      <c r="BF424" s="842"/>
      <c r="BG424" s="842"/>
      <c r="BH424" s="842"/>
      <c r="BI424" s="842"/>
      <c r="BJ424" s="842"/>
      <c r="BK424" s="842"/>
      <c r="BL424" s="842"/>
      <c r="BM424" s="842"/>
      <c r="BN424" s="842"/>
      <c r="BO424" s="842"/>
      <c r="BP424" s="842"/>
    </row>
    <row r="425" spans="2:68" s="7" customFormat="1">
      <c r="B425" s="841"/>
      <c r="D425" s="842"/>
      <c r="E425" s="842"/>
      <c r="F425" s="842"/>
      <c r="G425" s="842"/>
      <c r="H425" s="842"/>
      <c r="I425" s="842"/>
      <c r="J425" s="842"/>
      <c r="K425" s="842"/>
      <c r="L425" s="842"/>
      <c r="M425" s="842"/>
      <c r="N425" s="842"/>
      <c r="O425" s="842"/>
      <c r="P425" s="842"/>
      <c r="Q425" s="842"/>
      <c r="R425" s="842"/>
      <c r="S425" s="842"/>
      <c r="T425" s="842"/>
      <c r="U425" s="842"/>
      <c r="V425" s="842"/>
      <c r="W425" s="842"/>
      <c r="X425" s="842"/>
      <c r="Y425" s="842"/>
      <c r="Z425" s="842"/>
      <c r="AA425" s="842"/>
      <c r="AB425" s="842"/>
      <c r="AC425" s="842"/>
      <c r="AD425" s="842"/>
      <c r="AE425" s="842"/>
      <c r="AF425" s="842"/>
      <c r="AG425" s="842"/>
      <c r="AH425" s="842"/>
      <c r="AI425" s="842"/>
      <c r="AJ425" s="842"/>
      <c r="AK425" s="842"/>
      <c r="AL425" s="842"/>
      <c r="AM425" s="842"/>
      <c r="AN425" s="842"/>
      <c r="AO425" s="842"/>
      <c r="AP425" s="842"/>
      <c r="AQ425" s="842"/>
      <c r="AR425" s="842"/>
      <c r="AS425" s="842"/>
      <c r="AT425" s="842"/>
      <c r="AU425" s="842"/>
      <c r="AV425" s="842"/>
      <c r="AW425" s="842"/>
      <c r="AX425" s="842"/>
      <c r="AY425" s="842"/>
      <c r="AZ425" s="842"/>
      <c r="BA425" s="842"/>
      <c r="BB425" s="842"/>
      <c r="BC425" s="842"/>
      <c r="BD425" s="842"/>
      <c r="BE425" s="842"/>
      <c r="BF425" s="842"/>
      <c r="BG425" s="842"/>
      <c r="BH425" s="842"/>
      <c r="BI425" s="842"/>
      <c r="BJ425" s="842"/>
      <c r="BK425" s="842"/>
      <c r="BL425" s="842"/>
      <c r="BM425" s="842"/>
      <c r="BN425" s="842"/>
      <c r="BO425" s="842"/>
      <c r="BP425" s="842"/>
    </row>
    <row r="426" spans="2:68" s="7" customFormat="1">
      <c r="B426" s="841"/>
      <c r="D426" s="842"/>
      <c r="E426" s="842"/>
      <c r="F426" s="842"/>
      <c r="G426" s="842"/>
      <c r="H426" s="842"/>
      <c r="I426" s="842"/>
      <c r="J426" s="842"/>
      <c r="K426" s="842"/>
      <c r="L426" s="842"/>
      <c r="M426" s="842"/>
      <c r="N426" s="842"/>
      <c r="O426" s="842"/>
      <c r="P426" s="842"/>
      <c r="Q426" s="842"/>
      <c r="R426" s="842"/>
      <c r="S426" s="842"/>
      <c r="T426" s="842"/>
      <c r="U426" s="842"/>
      <c r="V426" s="842"/>
      <c r="W426" s="842"/>
      <c r="X426" s="842"/>
      <c r="Y426" s="842"/>
      <c r="Z426" s="842"/>
      <c r="AA426" s="842"/>
      <c r="AB426" s="842"/>
      <c r="AC426" s="842"/>
      <c r="AD426" s="842"/>
      <c r="AE426" s="842"/>
      <c r="AF426" s="842"/>
      <c r="AG426" s="842"/>
      <c r="AH426" s="842"/>
      <c r="AI426" s="842"/>
      <c r="AJ426" s="842"/>
      <c r="AK426" s="842"/>
      <c r="AL426" s="842"/>
      <c r="AM426" s="842"/>
      <c r="AN426" s="842"/>
      <c r="AO426" s="842"/>
      <c r="AP426" s="842"/>
      <c r="AQ426" s="842"/>
      <c r="AR426" s="842"/>
      <c r="AS426" s="842"/>
      <c r="AT426" s="842"/>
      <c r="AU426" s="842"/>
      <c r="AV426" s="842"/>
      <c r="AW426" s="842"/>
      <c r="AX426" s="842"/>
      <c r="AY426" s="842"/>
      <c r="AZ426" s="842"/>
      <c r="BA426" s="842"/>
      <c r="BB426" s="842"/>
      <c r="BC426" s="842"/>
      <c r="BD426" s="842"/>
      <c r="BE426" s="842"/>
      <c r="BF426" s="842"/>
      <c r="BG426" s="842"/>
      <c r="BH426" s="842"/>
      <c r="BI426" s="842"/>
      <c r="BJ426" s="842"/>
      <c r="BK426" s="842"/>
      <c r="BL426" s="842"/>
      <c r="BM426" s="842"/>
      <c r="BN426" s="842"/>
      <c r="BO426" s="842"/>
      <c r="BP426" s="842"/>
    </row>
    <row r="427" spans="2:68" s="7" customFormat="1">
      <c r="B427" s="841"/>
      <c r="D427" s="842"/>
      <c r="E427" s="842"/>
      <c r="F427" s="842"/>
      <c r="G427" s="842"/>
      <c r="H427" s="842"/>
      <c r="I427" s="842"/>
      <c r="J427" s="842"/>
      <c r="K427" s="842"/>
      <c r="L427" s="842"/>
      <c r="M427" s="842"/>
      <c r="N427" s="842"/>
      <c r="O427" s="842"/>
      <c r="P427" s="842"/>
      <c r="Q427" s="842"/>
      <c r="R427" s="842"/>
      <c r="S427" s="842"/>
      <c r="T427" s="842"/>
      <c r="U427" s="842"/>
      <c r="V427" s="842"/>
      <c r="W427" s="842"/>
      <c r="X427" s="842"/>
      <c r="Y427" s="842"/>
      <c r="Z427" s="842"/>
      <c r="AA427" s="842"/>
      <c r="AB427" s="842"/>
      <c r="AC427" s="842"/>
      <c r="AD427" s="842"/>
      <c r="AE427" s="842"/>
      <c r="AF427" s="842"/>
      <c r="AG427" s="842"/>
      <c r="AH427" s="842"/>
      <c r="AI427" s="842"/>
      <c r="AJ427" s="842"/>
      <c r="AK427" s="842"/>
      <c r="AL427" s="842"/>
      <c r="AM427" s="842"/>
      <c r="AN427" s="842"/>
      <c r="AO427" s="842"/>
      <c r="AP427" s="842"/>
      <c r="AQ427" s="842"/>
      <c r="AR427" s="842"/>
      <c r="AS427" s="842"/>
      <c r="AT427" s="842"/>
      <c r="AU427" s="842"/>
      <c r="AV427" s="842"/>
      <c r="AW427" s="842"/>
      <c r="AX427" s="842"/>
      <c r="AY427" s="842"/>
      <c r="AZ427" s="842"/>
      <c r="BA427" s="842"/>
      <c r="BB427" s="842"/>
      <c r="BC427" s="842"/>
      <c r="BD427" s="842"/>
      <c r="BE427" s="842"/>
      <c r="BF427" s="842"/>
      <c r="BG427" s="842"/>
      <c r="BH427" s="842"/>
      <c r="BI427" s="842"/>
      <c r="BJ427" s="842"/>
      <c r="BK427" s="842"/>
      <c r="BL427" s="842"/>
      <c r="BM427" s="842"/>
      <c r="BN427" s="842"/>
      <c r="BO427" s="842"/>
      <c r="BP427" s="842"/>
    </row>
    <row r="428" spans="2:68" s="7" customFormat="1">
      <c r="B428" s="841"/>
      <c r="D428" s="842"/>
      <c r="E428" s="842"/>
      <c r="F428" s="842"/>
      <c r="G428" s="842"/>
      <c r="H428" s="842"/>
      <c r="I428" s="842"/>
      <c r="J428" s="842"/>
      <c r="K428" s="842"/>
      <c r="L428" s="842"/>
      <c r="M428" s="842"/>
      <c r="N428" s="842"/>
      <c r="O428" s="842"/>
      <c r="P428" s="842"/>
      <c r="Q428" s="842"/>
      <c r="R428" s="842"/>
      <c r="S428" s="842"/>
      <c r="T428" s="842"/>
      <c r="U428" s="842"/>
      <c r="V428" s="842"/>
      <c r="W428" s="842"/>
      <c r="X428" s="842"/>
      <c r="Y428" s="842"/>
      <c r="Z428" s="842"/>
      <c r="AA428" s="842"/>
      <c r="AB428" s="842"/>
      <c r="AC428" s="842"/>
      <c r="AD428" s="842"/>
      <c r="AE428" s="842"/>
      <c r="AF428" s="842"/>
      <c r="AG428" s="842"/>
      <c r="AH428" s="842"/>
      <c r="AI428" s="842"/>
      <c r="AJ428" s="842"/>
      <c r="AK428" s="842"/>
      <c r="AL428" s="842"/>
      <c r="AM428" s="842"/>
      <c r="AN428" s="842"/>
      <c r="AO428" s="842"/>
      <c r="AP428" s="842"/>
      <c r="AQ428" s="842"/>
      <c r="AR428" s="842"/>
      <c r="AS428" s="842"/>
      <c r="AT428" s="842"/>
      <c r="AU428" s="842"/>
      <c r="AV428" s="842"/>
      <c r="AW428" s="842"/>
      <c r="AX428" s="842"/>
      <c r="AY428" s="842"/>
      <c r="AZ428" s="842"/>
      <c r="BA428" s="842"/>
      <c r="BB428" s="842"/>
      <c r="BC428" s="842"/>
      <c r="BD428" s="842"/>
      <c r="BE428" s="842"/>
      <c r="BF428" s="842"/>
      <c r="BG428" s="842"/>
      <c r="BH428" s="842"/>
      <c r="BI428" s="842"/>
      <c r="BJ428" s="842"/>
      <c r="BK428" s="842"/>
      <c r="BL428" s="842"/>
      <c r="BM428" s="842"/>
      <c r="BN428" s="842"/>
      <c r="BO428" s="842"/>
      <c r="BP428" s="842"/>
    </row>
    <row r="429" spans="2:68" s="7" customFormat="1">
      <c r="B429" s="841"/>
      <c r="D429" s="842"/>
      <c r="E429" s="842"/>
      <c r="F429" s="842"/>
      <c r="G429" s="842"/>
      <c r="H429" s="842"/>
      <c r="I429" s="842"/>
      <c r="J429" s="842"/>
      <c r="K429" s="842"/>
      <c r="L429" s="842"/>
      <c r="M429" s="842"/>
      <c r="N429" s="842"/>
      <c r="O429" s="842"/>
      <c r="P429" s="842"/>
      <c r="Q429" s="842"/>
      <c r="R429" s="842"/>
      <c r="S429" s="842"/>
      <c r="T429" s="842"/>
      <c r="U429" s="842"/>
      <c r="V429" s="842"/>
      <c r="W429" s="842"/>
      <c r="X429" s="842"/>
      <c r="Y429" s="842"/>
      <c r="Z429" s="842"/>
      <c r="AA429" s="842"/>
      <c r="AB429" s="842"/>
      <c r="AC429" s="842"/>
      <c r="AD429" s="842"/>
      <c r="AE429" s="842"/>
      <c r="AF429" s="842"/>
      <c r="AG429" s="842"/>
      <c r="AH429" s="842"/>
      <c r="AI429" s="842"/>
      <c r="AJ429" s="842"/>
      <c r="AK429" s="842"/>
      <c r="AL429" s="842"/>
      <c r="AM429" s="842"/>
      <c r="AN429" s="842"/>
      <c r="AO429" s="842"/>
      <c r="AP429" s="842"/>
      <c r="AQ429" s="842"/>
      <c r="AR429" s="842"/>
      <c r="AS429" s="842"/>
      <c r="AT429" s="842"/>
      <c r="AU429" s="842"/>
      <c r="AV429" s="842"/>
      <c r="AW429" s="842"/>
      <c r="AX429" s="842"/>
      <c r="AY429" s="842"/>
      <c r="AZ429" s="842"/>
      <c r="BA429" s="842"/>
      <c r="BB429" s="842"/>
      <c r="BC429" s="842"/>
      <c r="BD429" s="842"/>
      <c r="BE429" s="842"/>
      <c r="BF429" s="842"/>
      <c r="BG429" s="842"/>
      <c r="BH429" s="842"/>
      <c r="BI429" s="842"/>
      <c r="BJ429" s="842"/>
      <c r="BK429" s="842"/>
      <c r="BL429" s="842"/>
      <c r="BM429" s="842"/>
      <c r="BN429" s="842"/>
      <c r="BO429" s="842"/>
      <c r="BP429" s="842"/>
    </row>
    <row r="430" spans="2:68" s="7" customFormat="1">
      <c r="B430" s="841"/>
      <c r="D430" s="842"/>
      <c r="E430" s="842"/>
      <c r="F430" s="842"/>
      <c r="G430" s="842"/>
      <c r="H430" s="842"/>
      <c r="I430" s="842"/>
      <c r="J430" s="842"/>
      <c r="K430" s="842"/>
      <c r="L430" s="842"/>
      <c r="M430" s="842"/>
      <c r="N430" s="842"/>
      <c r="O430" s="842"/>
      <c r="P430" s="842"/>
      <c r="Q430" s="842"/>
      <c r="R430" s="842"/>
      <c r="S430" s="842"/>
      <c r="T430" s="842"/>
      <c r="U430" s="842"/>
      <c r="V430" s="842"/>
      <c r="W430" s="842"/>
      <c r="X430" s="842"/>
      <c r="Y430" s="842"/>
      <c r="Z430" s="842"/>
      <c r="AA430" s="842"/>
      <c r="AB430" s="842"/>
      <c r="AC430" s="842"/>
      <c r="AD430" s="842"/>
      <c r="AE430" s="842"/>
      <c r="AF430" s="842"/>
      <c r="AG430" s="842"/>
      <c r="AH430" s="842"/>
      <c r="AI430" s="842"/>
      <c r="AJ430" s="842"/>
      <c r="AK430" s="842"/>
      <c r="AL430" s="842"/>
      <c r="AM430" s="842"/>
      <c r="AN430" s="842"/>
      <c r="AO430" s="842"/>
      <c r="AP430" s="842"/>
      <c r="AQ430" s="842"/>
      <c r="AR430" s="842"/>
      <c r="AS430" s="842"/>
      <c r="AT430" s="842"/>
      <c r="AU430" s="842"/>
      <c r="AV430" s="842"/>
      <c r="AW430" s="842"/>
      <c r="AX430" s="842"/>
      <c r="AY430" s="842"/>
      <c r="AZ430" s="842"/>
      <c r="BA430" s="842"/>
      <c r="BB430" s="842"/>
      <c r="BC430" s="842"/>
      <c r="BD430" s="842"/>
      <c r="BE430" s="842"/>
      <c r="BF430" s="842"/>
      <c r="BG430" s="842"/>
      <c r="BH430" s="842"/>
      <c r="BI430" s="842"/>
      <c r="BJ430" s="842"/>
      <c r="BK430" s="842"/>
      <c r="BL430" s="842"/>
      <c r="BM430" s="842"/>
      <c r="BN430" s="842"/>
      <c r="BO430" s="842"/>
      <c r="BP430" s="842"/>
    </row>
    <row r="431" spans="2:68" s="7" customFormat="1">
      <c r="B431" s="841"/>
      <c r="D431" s="842"/>
      <c r="E431" s="842"/>
      <c r="F431" s="842"/>
      <c r="G431" s="842"/>
      <c r="H431" s="842"/>
      <c r="I431" s="842"/>
      <c r="J431" s="842"/>
      <c r="K431" s="842"/>
      <c r="L431" s="842"/>
      <c r="M431" s="842"/>
      <c r="N431" s="842"/>
      <c r="O431" s="842"/>
      <c r="P431" s="842"/>
      <c r="Q431" s="842"/>
      <c r="R431" s="842"/>
      <c r="S431" s="842"/>
      <c r="T431" s="842"/>
      <c r="U431" s="842"/>
      <c r="V431" s="842"/>
      <c r="W431" s="842"/>
      <c r="X431" s="842"/>
      <c r="Y431" s="842"/>
      <c r="Z431" s="842"/>
      <c r="AA431" s="842"/>
      <c r="AB431" s="842"/>
      <c r="AC431" s="842"/>
      <c r="AD431" s="842"/>
      <c r="AE431" s="842"/>
      <c r="AF431" s="842"/>
      <c r="AG431" s="842"/>
      <c r="AH431" s="842"/>
      <c r="AI431" s="842"/>
      <c r="AJ431" s="842"/>
      <c r="AK431" s="842"/>
      <c r="AL431" s="842"/>
      <c r="AM431" s="842"/>
      <c r="AN431" s="842"/>
      <c r="AO431" s="842"/>
      <c r="AP431" s="842"/>
      <c r="AQ431" s="842"/>
      <c r="AR431" s="842"/>
      <c r="AS431" s="842"/>
      <c r="AT431" s="842"/>
      <c r="AU431" s="842"/>
      <c r="AV431" s="842"/>
      <c r="AW431" s="842"/>
      <c r="AX431" s="842"/>
      <c r="AY431" s="842"/>
      <c r="AZ431" s="842"/>
      <c r="BA431" s="842"/>
      <c r="BB431" s="842"/>
      <c r="BC431" s="842"/>
      <c r="BD431" s="842"/>
      <c r="BE431" s="842"/>
      <c r="BF431" s="842"/>
      <c r="BG431" s="842"/>
      <c r="BH431" s="842"/>
      <c r="BI431" s="842"/>
      <c r="BJ431" s="842"/>
      <c r="BK431" s="842"/>
      <c r="BL431" s="842"/>
      <c r="BM431" s="842"/>
      <c r="BN431" s="842"/>
      <c r="BO431" s="842"/>
      <c r="BP431" s="842"/>
    </row>
    <row r="432" spans="2:68" s="7" customFormat="1">
      <c r="B432" s="841"/>
      <c r="D432" s="842"/>
      <c r="E432" s="842"/>
      <c r="F432" s="842"/>
      <c r="G432" s="842"/>
      <c r="H432" s="842"/>
      <c r="I432" s="842"/>
      <c r="J432" s="842"/>
      <c r="K432" s="842"/>
      <c r="L432" s="842"/>
      <c r="M432" s="842"/>
      <c r="N432" s="842"/>
      <c r="O432" s="842"/>
      <c r="P432" s="842"/>
      <c r="Q432" s="842"/>
      <c r="R432" s="842"/>
      <c r="S432" s="842"/>
      <c r="T432" s="842"/>
      <c r="U432" s="842"/>
      <c r="V432" s="842"/>
      <c r="W432" s="842"/>
      <c r="X432" s="842"/>
      <c r="Y432" s="842"/>
      <c r="Z432" s="842"/>
      <c r="AA432" s="842"/>
      <c r="AB432" s="842"/>
      <c r="AC432" s="842"/>
      <c r="AD432" s="842"/>
      <c r="AE432" s="842"/>
      <c r="AF432" s="842"/>
      <c r="AG432" s="842"/>
      <c r="AH432" s="842"/>
      <c r="AI432" s="842"/>
      <c r="AJ432" s="842"/>
      <c r="AK432" s="842"/>
      <c r="AL432" s="842"/>
      <c r="AM432" s="842"/>
      <c r="AN432" s="842"/>
      <c r="AO432" s="842"/>
      <c r="AP432" s="842"/>
      <c r="AQ432" s="842"/>
      <c r="AR432" s="842"/>
      <c r="AS432" s="842"/>
      <c r="AT432" s="842"/>
      <c r="AU432" s="842"/>
      <c r="AV432" s="842"/>
      <c r="AW432" s="842"/>
      <c r="AX432" s="842"/>
      <c r="AY432" s="842"/>
      <c r="AZ432" s="842"/>
      <c r="BA432" s="842"/>
      <c r="BB432" s="842"/>
      <c r="BC432" s="842"/>
      <c r="BD432" s="842"/>
      <c r="BE432" s="842"/>
      <c r="BF432" s="842"/>
      <c r="BG432" s="842"/>
      <c r="BH432" s="842"/>
      <c r="BI432" s="842"/>
      <c r="BJ432" s="842"/>
      <c r="BK432" s="842"/>
      <c r="BL432" s="842"/>
      <c r="BM432" s="842"/>
      <c r="BN432" s="842"/>
      <c r="BO432" s="842"/>
      <c r="BP432" s="842"/>
    </row>
    <row r="433" spans="2:68" s="7" customFormat="1">
      <c r="B433" s="841"/>
      <c r="D433" s="842"/>
      <c r="E433" s="842"/>
      <c r="F433" s="842"/>
      <c r="G433" s="842"/>
      <c r="H433" s="842"/>
      <c r="I433" s="842"/>
      <c r="J433" s="842"/>
      <c r="K433" s="842"/>
      <c r="L433" s="842"/>
      <c r="M433" s="842"/>
      <c r="N433" s="842"/>
      <c r="O433" s="842"/>
      <c r="P433" s="842"/>
      <c r="Q433" s="842"/>
      <c r="R433" s="842"/>
      <c r="S433" s="842"/>
      <c r="T433" s="842"/>
      <c r="U433" s="842"/>
      <c r="V433" s="842"/>
      <c r="W433" s="842"/>
      <c r="X433" s="842"/>
      <c r="Y433" s="842"/>
      <c r="Z433" s="842"/>
      <c r="AA433" s="842"/>
      <c r="AB433" s="842"/>
      <c r="AC433" s="842"/>
      <c r="AD433" s="842"/>
      <c r="AE433" s="842"/>
      <c r="AF433" s="842"/>
      <c r="AG433" s="842"/>
      <c r="AH433" s="842"/>
      <c r="AI433" s="842"/>
      <c r="AJ433" s="842"/>
      <c r="AK433" s="842"/>
      <c r="AL433" s="842"/>
      <c r="AM433" s="842"/>
      <c r="AN433" s="842"/>
      <c r="AO433" s="842"/>
      <c r="AP433" s="842"/>
      <c r="AQ433" s="842"/>
      <c r="AR433" s="842"/>
      <c r="AS433" s="842"/>
      <c r="AT433" s="842"/>
      <c r="AU433" s="842"/>
      <c r="AV433" s="842"/>
      <c r="AW433" s="842"/>
      <c r="AX433" s="842"/>
      <c r="AY433" s="842"/>
      <c r="AZ433" s="842"/>
      <c r="BA433" s="842"/>
      <c r="BB433" s="842"/>
      <c r="BC433" s="842"/>
      <c r="BD433" s="842"/>
      <c r="BE433" s="842"/>
      <c r="BF433" s="842"/>
      <c r="BG433" s="842"/>
      <c r="BH433" s="842"/>
      <c r="BI433" s="842"/>
      <c r="BJ433" s="842"/>
      <c r="BK433" s="842"/>
      <c r="BL433" s="842"/>
      <c r="BM433" s="842"/>
      <c r="BN433" s="842"/>
      <c r="BO433" s="842"/>
      <c r="BP433" s="842"/>
    </row>
    <row r="434" spans="2:68" s="7" customFormat="1">
      <c r="B434" s="841"/>
      <c r="D434" s="842"/>
      <c r="E434" s="842"/>
      <c r="F434" s="842"/>
      <c r="G434" s="842"/>
      <c r="H434" s="842"/>
      <c r="I434" s="842"/>
      <c r="J434" s="842"/>
      <c r="K434" s="842"/>
      <c r="L434" s="842"/>
      <c r="M434" s="842"/>
      <c r="N434" s="842"/>
      <c r="O434" s="842"/>
      <c r="P434" s="842"/>
      <c r="Q434" s="842"/>
      <c r="R434" s="842"/>
      <c r="S434" s="842"/>
      <c r="T434" s="842"/>
      <c r="U434" s="842"/>
      <c r="V434" s="842"/>
      <c r="W434" s="842"/>
      <c r="X434" s="842"/>
      <c r="Y434" s="842"/>
      <c r="Z434" s="842"/>
      <c r="AA434" s="842"/>
      <c r="AB434" s="842"/>
      <c r="AC434" s="842"/>
      <c r="AD434" s="842"/>
      <c r="AE434" s="842"/>
      <c r="AF434" s="842"/>
      <c r="AG434" s="842"/>
      <c r="AH434" s="842"/>
      <c r="AI434" s="842"/>
      <c r="AJ434" s="842"/>
      <c r="AK434" s="842"/>
      <c r="AL434" s="842"/>
      <c r="AM434" s="842"/>
      <c r="AN434" s="842"/>
      <c r="AO434" s="842"/>
      <c r="AP434" s="842"/>
      <c r="AQ434" s="842"/>
      <c r="AR434" s="842"/>
      <c r="AS434" s="842"/>
      <c r="AT434" s="842"/>
      <c r="AU434" s="842"/>
      <c r="AV434" s="842"/>
      <c r="AW434" s="842"/>
      <c r="AX434" s="842"/>
      <c r="AY434" s="842"/>
      <c r="AZ434" s="842"/>
      <c r="BA434" s="842"/>
      <c r="BB434" s="842"/>
      <c r="BC434" s="842"/>
      <c r="BD434" s="842"/>
      <c r="BE434" s="842"/>
      <c r="BF434" s="842"/>
      <c r="BG434" s="842"/>
      <c r="BH434" s="842"/>
      <c r="BI434" s="842"/>
      <c r="BJ434" s="842"/>
      <c r="BK434" s="842"/>
      <c r="BL434" s="842"/>
      <c r="BM434" s="842"/>
      <c r="BN434" s="842"/>
      <c r="BO434" s="842"/>
      <c r="BP434" s="842"/>
    </row>
    <row r="435" spans="2:68" s="7" customFormat="1">
      <c r="B435" s="841"/>
      <c r="D435" s="842"/>
      <c r="E435" s="842"/>
      <c r="F435" s="842"/>
      <c r="G435" s="842"/>
      <c r="H435" s="842"/>
      <c r="I435" s="842"/>
      <c r="J435" s="842"/>
      <c r="K435" s="842"/>
      <c r="L435" s="842"/>
      <c r="M435" s="842"/>
      <c r="N435" s="842"/>
      <c r="O435" s="842"/>
      <c r="P435" s="842"/>
      <c r="Q435" s="842"/>
      <c r="R435" s="842"/>
      <c r="S435" s="842"/>
      <c r="T435" s="842"/>
      <c r="U435" s="842"/>
      <c r="V435" s="842"/>
      <c r="W435" s="842"/>
      <c r="X435" s="842"/>
      <c r="Y435" s="842"/>
      <c r="Z435" s="842"/>
      <c r="AA435" s="842"/>
      <c r="AB435" s="842"/>
      <c r="AC435" s="842"/>
      <c r="AD435" s="842"/>
      <c r="AE435" s="842"/>
      <c r="AF435" s="842"/>
      <c r="AG435" s="842"/>
      <c r="AH435" s="842"/>
      <c r="AI435" s="842"/>
      <c r="AJ435" s="842"/>
      <c r="AK435" s="842"/>
      <c r="AL435" s="842"/>
      <c r="AM435" s="842"/>
      <c r="AN435" s="842"/>
      <c r="AO435" s="842"/>
      <c r="AP435" s="842"/>
      <c r="AQ435" s="842"/>
      <c r="AR435" s="842"/>
      <c r="AS435" s="842"/>
      <c r="AT435" s="842"/>
      <c r="AU435" s="842"/>
      <c r="AV435" s="842"/>
      <c r="AW435" s="842"/>
      <c r="AX435" s="842"/>
      <c r="AY435" s="842"/>
      <c r="AZ435" s="842"/>
      <c r="BA435" s="842"/>
      <c r="BB435" s="842"/>
      <c r="BC435" s="842"/>
      <c r="BD435" s="842"/>
      <c r="BE435" s="842"/>
      <c r="BF435" s="842"/>
      <c r="BG435" s="842"/>
      <c r="BH435" s="842"/>
      <c r="BI435" s="842"/>
      <c r="BJ435" s="842"/>
      <c r="BK435" s="842"/>
      <c r="BL435" s="842"/>
      <c r="BM435" s="842"/>
      <c r="BN435" s="842"/>
      <c r="BO435" s="842"/>
      <c r="BP435" s="842"/>
    </row>
    <row r="436" spans="2:68" s="7" customFormat="1">
      <c r="B436" s="841"/>
      <c r="D436" s="842"/>
      <c r="E436" s="842"/>
      <c r="F436" s="842"/>
      <c r="G436" s="842"/>
      <c r="H436" s="842"/>
      <c r="I436" s="842"/>
      <c r="J436" s="842"/>
      <c r="K436" s="842"/>
      <c r="L436" s="842"/>
      <c r="M436" s="842"/>
      <c r="N436" s="842"/>
      <c r="O436" s="842"/>
      <c r="P436" s="842"/>
      <c r="Q436" s="842"/>
      <c r="R436" s="842"/>
      <c r="S436" s="842"/>
      <c r="T436" s="842"/>
      <c r="U436" s="842"/>
      <c r="V436" s="842"/>
      <c r="W436" s="842"/>
      <c r="X436" s="842"/>
      <c r="Y436" s="842"/>
      <c r="Z436" s="842"/>
      <c r="AA436" s="842"/>
      <c r="AB436" s="842"/>
      <c r="AC436" s="842"/>
      <c r="AD436" s="842"/>
      <c r="AE436" s="842"/>
      <c r="AF436" s="842"/>
      <c r="AG436" s="842"/>
      <c r="AH436" s="842"/>
      <c r="AI436" s="842"/>
      <c r="AJ436" s="842"/>
      <c r="AK436" s="842"/>
      <c r="AL436" s="842"/>
      <c r="AM436" s="842"/>
      <c r="AN436" s="842"/>
      <c r="AO436" s="842"/>
      <c r="AP436" s="842"/>
      <c r="AQ436" s="842"/>
      <c r="AR436" s="842"/>
      <c r="AS436" s="842"/>
      <c r="AT436" s="842"/>
      <c r="AU436" s="842"/>
      <c r="AV436" s="842"/>
      <c r="AW436" s="842"/>
      <c r="AX436" s="842"/>
      <c r="AY436" s="842"/>
      <c r="AZ436" s="842"/>
      <c r="BA436" s="842"/>
      <c r="BB436" s="842"/>
      <c r="BC436" s="842"/>
      <c r="BD436" s="842"/>
      <c r="BE436" s="842"/>
      <c r="BF436" s="842"/>
      <c r="BG436" s="842"/>
      <c r="BH436" s="842"/>
      <c r="BI436" s="842"/>
      <c r="BJ436" s="842"/>
      <c r="BK436" s="842"/>
      <c r="BL436" s="842"/>
      <c r="BM436" s="842"/>
      <c r="BN436" s="842"/>
      <c r="BO436" s="842"/>
      <c r="BP436" s="842"/>
    </row>
    <row r="437" spans="2:68" s="7" customFormat="1">
      <c r="B437" s="841"/>
      <c r="D437" s="842"/>
      <c r="E437" s="842"/>
      <c r="F437" s="842"/>
      <c r="G437" s="842"/>
      <c r="H437" s="842"/>
      <c r="I437" s="842"/>
      <c r="J437" s="842"/>
      <c r="K437" s="842"/>
      <c r="L437" s="842"/>
      <c r="M437" s="842"/>
      <c r="N437" s="842"/>
      <c r="O437" s="842"/>
      <c r="P437" s="842"/>
      <c r="Q437" s="842"/>
      <c r="R437" s="842"/>
      <c r="S437" s="842"/>
      <c r="T437" s="842"/>
      <c r="U437" s="842"/>
      <c r="V437" s="842"/>
      <c r="W437" s="842"/>
      <c r="X437" s="842"/>
      <c r="Y437" s="842"/>
      <c r="Z437" s="842"/>
      <c r="AA437" s="842"/>
      <c r="AB437" s="842"/>
      <c r="AC437" s="842"/>
      <c r="AD437" s="842"/>
      <c r="AE437" s="842"/>
      <c r="AF437" s="842"/>
      <c r="AG437" s="842"/>
      <c r="AH437" s="842"/>
      <c r="AI437" s="842"/>
      <c r="AJ437" s="842"/>
      <c r="AK437" s="842"/>
      <c r="AL437" s="842"/>
      <c r="AM437" s="842"/>
      <c r="AN437" s="842"/>
      <c r="AO437" s="842"/>
      <c r="AP437" s="842"/>
      <c r="AQ437" s="842"/>
      <c r="AR437" s="842"/>
      <c r="AS437" s="842"/>
      <c r="AT437" s="842"/>
      <c r="AU437" s="842"/>
      <c r="AV437" s="842"/>
      <c r="AW437" s="842"/>
      <c r="AX437" s="842"/>
      <c r="AY437" s="842"/>
      <c r="AZ437" s="842"/>
      <c r="BA437" s="842"/>
      <c r="BB437" s="842"/>
      <c r="BC437" s="842"/>
      <c r="BD437" s="842"/>
      <c r="BE437" s="842"/>
      <c r="BF437" s="842"/>
      <c r="BG437" s="842"/>
      <c r="BH437" s="842"/>
      <c r="BI437" s="842"/>
      <c r="BJ437" s="842"/>
      <c r="BK437" s="842"/>
      <c r="BL437" s="842"/>
      <c r="BM437" s="842"/>
      <c r="BN437" s="842"/>
      <c r="BO437" s="842"/>
      <c r="BP437" s="842"/>
    </row>
    <row r="438" spans="2:68" s="7" customFormat="1">
      <c r="B438" s="841"/>
      <c r="D438" s="842"/>
      <c r="E438" s="842"/>
      <c r="F438" s="842"/>
      <c r="G438" s="842"/>
      <c r="H438" s="842"/>
      <c r="I438" s="842"/>
      <c r="J438" s="842"/>
      <c r="K438" s="842"/>
      <c r="L438" s="842"/>
      <c r="M438" s="842"/>
      <c r="N438" s="842"/>
      <c r="O438" s="842"/>
      <c r="P438" s="842"/>
      <c r="Q438" s="842"/>
      <c r="R438" s="842"/>
      <c r="S438" s="842"/>
      <c r="T438" s="842"/>
      <c r="U438" s="842"/>
      <c r="V438" s="842"/>
      <c r="W438" s="842"/>
      <c r="X438" s="842"/>
      <c r="Y438" s="842"/>
      <c r="Z438" s="842"/>
      <c r="AA438" s="842"/>
      <c r="AB438" s="842"/>
      <c r="AC438" s="842"/>
      <c r="AD438" s="842"/>
      <c r="AE438" s="842"/>
      <c r="AF438" s="842"/>
      <c r="AG438" s="842"/>
      <c r="AH438" s="842"/>
      <c r="AI438" s="842"/>
      <c r="AJ438" s="842"/>
      <c r="AK438" s="842"/>
      <c r="AL438" s="842"/>
      <c r="AM438" s="842"/>
      <c r="AN438" s="842"/>
      <c r="AO438" s="842"/>
      <c r="AP438" s="842"/>
      <c r="AQ438" s="842"/>
      <c r="AR438" s="842"/>
      <c r="AS438" s="842"/>
      <c r="AT438" s="842"/>
      <c r="AU438" s="842"/>
      <c r="AV438" s="842"/>
      <c r="AW438" s="842"/>
      <c r="AX438" s="842"/>
      <c r="AY438" s="842"/>
      <c r="AZ438" s="842"/>
      <c r="BA438" s="842"/>
      <c r="BB438" s="842"/>
      <c r="BC438" s="842"/>
      <c r="BD438" s="842"/>
      <c r="BE438" s="842"/>
      <c r="BF438" s="842"/>
      <c r="BG438" s="842"/>
      <c r="BH438" s="842"/>
      <c r="BI438" s="842"/>
      <c r="BJ438" s="842"/>
      <c r="BK438" s="842"/>
      <c r="BL438" s="842"/>
      <c r="BM438" s="842"/>
      <c r="BN438" s="842"/>
      <c r="BO438" s="842"/>
      <c r="BP438" s="842"/>
    </row>
    <row r="439" spans="2:68" s="7" customFormat="1">
      <c r="B439" s="841"/>
      <c r="D439" s="842"/>
      <c r="E439" s="842"/>
      <c r="F439" s="842"/>
      <c r="G439" s="842"/>
      <c r="H439" s="842"/>
      <c r="I439" s="842"/>
      <c r="J439" s="842"/>
      <c r="K439" s="842"/>
      <c r="L439" s="842"/>
      <c r="M439" s="842"/>
      <c r="N439" s="842"/>
      <c r="O439" s="842"/>
      <c r="P439" s="842"/>
      <c r="Q439" s="842"/>
      <c r="R439" s="842"/>
      <c r="S439" s="842"/>
      <c r="T439" s="842"/>
      <c r="U439" s="842"/>
      <c r="V439" s="842"/>
      <c r="W439" s="842"/>
      <c r="X439" s="842"/>
      <c r="Y439" s="842"/>
      <c r="Z439" s="842"/>
      <c r="AA439" s="842"/>
      <c r="AB439" s="842"/>
      <c r="AC439" s="842"/>
      <c r="AD439" s="842"/>
      <c r="AE439" s="842"/>
      <c r="AF439" s="842"/>
      <c r="AG439" s="842"/>
      <c r="AH439" s="842"/>
      <c r="AI439" s="842"/>
      <c r="AJ439" s="842"/>
      <c r="AK439" s="842"/>
      <c r="AL439" s="842"/>
      <c r="AM439" s="842"/>
      <c r="AN439" s="842"/>
      <c r="AO439" s="842"/>
      <c r="AP439" s="842"/>
      <c r="AQ439" s="842"/>
      <c r="AR439" s="842"/>
      <c r="AS439" s="842"/>
      <c r="AT439" s="842"/>
      <c r="AU439" s="842"/>
      <c r="AV439" s="842"/>
      <c r="AW439" s="842"/>
      <c r="AX439" s="842"/>
      <c r="AY439" s="842"/>
      <c r="AZ439" s="842"/>
      <c r="BA439" s="842"/>
      <c r="BB439" s="842"/>
      <c r="BC439" s="842"/>
      <c r="BD439" s="842"/>
      <c r="BE439" s="842"/>
      <c r="BF439" s="842"/>
      <c r="BG439" s="842"/>
      <c r="BH439" s="842"/>
      <c r="BI439" s="842"/>
      <c r="BJ439" s="842"/>
      <c r="BK439" s="842"/>
      <c r="BL439" s="842"/>
      <c r="BM439" s="842"/>
      <c r="BN439" s="842"/>
      <c r="BO439" s="842"/>
      <c r="BP439" s="842"/>
    </row>
    <row r="440" spans="2:68" s="7" customFormat="1">
      <c r="B440" s="841"/>
      <c r="D440" s="842"/>
      <c r="E440" s="842"/>
      <c r="F440" s="842"/>
      <c r="G440" s="842"/>
      <c r="H440" s="842"/>
      <c r="I440" s="842"/>
      <c r="J440" s="842"/>
      <c r="K440" s="842"/>
      <c r="L440" s="842"/>
      <c r="M440" s="842"/>
      <c r="N440" s="842"/>
      <c r="O440" s="842"/>
      <c r="P440" s="842"/>
      <c r="Q440" s="842"/>
      <c r="R440" s="842"/>
      <c r="S440" s="842"/>
      <c r="T440" s="842"/>
      <c r="U440" s="842"/>
      <c r="V440" s="842"/>
      <c r="W440" s="842"/>
      <c r="X440" s="842"/>
      <c r="Y440" s="842"/>
      <c r="Z440" s="842"/>
      <c r="AA440" s="842"/>
      <c r="AB440" s="842"/>
      <c r="AC440" s="842"/>
      <c r="AD440" s="842"/>
      <c r="AE440" s="842"/>
      <c r="AF440" s="842"/>
      <c r="AG440" s="842"/>
      <c r="AH440" s="842"/>
      <c r="AI440" s="842"/>
      <c r="AJ440" s="842"/>
      <c r="AK440" s="842"/>
      <c r="AL440" s="842"/>
      <c r="AM440" s="842"/>
      <c r="AN440" s="842"/>
      <c r="AO440" s="842"/>
      <c r="AP440" s="842"/>
      <c r="AQ440" s="842"/>
      <c r="AR440" s="842"/>
      <c r="AS440" s="842"/>
      <c r="AT440" s="842"/>
      <c r="AU440" s="842"/>
      <c r="AV440" s="842"/>
      <c r="AW440" s="842"/>
      <c r="AX440" s="842"/>
      <c r="AY440" s="842"/>
      <c r="AZ440" s="842"/>
      <c r="BA440" s="842"/>
      <c r="BB440" s="842"/>
      <c r="BC440" s="842"/>
      <c r="BD440" s="842"/>
      <c r="BE440" s="842"/>
      <c r="BF440" s="842"/>
      <c r="BG440" s="842"/>
      <c r="BH440" s="842"/>
      <c r="BI440" s="842"/>
      <c r="BJ440" s="842"/>
      <c r="BK440" s="842"/>
      <c r="BL440" s="842"/>
      <c r="BM440" s="842"/>
      <c r="BN440" s="842"/>
      <c r="BO440" s="842"/>
      <c r="BP440" s="842"/>
    </row>
    <row r="441" spans="2:68" s="7" customFormat="1">
      <c r="B441" s="841"/>
      <c r="D441" s="842"/>
      <c r="E441" s="842"/>
      <c r="F441" s="842"/>
      <c r="G441" s="842"/>
      <c r="H441" s="842"/>
      <c r="I441" s="842"/>
      <c r="J441" s="842"/>
      <c r="K441" s="842"/>
      <c r="L441" s="842"/>
      <c r="M441" s="842"/>
      <c r="N441" s="842"/>
      <c r="O441" s="842"/>
      <c r="P441" s="842"/>
      <c r="Q441" s="842"/>
      <c r="R441" s="842"/>
      <c r="S441" s="842"/>
      <c r="T441" s="842"/>
      <c r="U441" s="842"/>
      <c r="V441" s="842"/>
      <c r="W441" s="842"/>
      <c r="X441" s="842"/>
      <c r="Y441" s="842"/>
      <c r="Z441" s="842"/>
      <c r="AA441" s="842"/>
      <c r="AB441" s="842"/>
      <c r="AC441" s="842"/>
      <c r="AD441" s="842"/>
      <c r="AE441" s="842"/>
      <c r="AF441" s="842"/>
      <c r="AG441" s="842"/>
      <c r="AH441" s="842"/>
      <c r="AI441" s="842"/>
      <c r="AJ441" s="842"/>
      <c r="AK441" s="842"/>
      <c r="AL441" s="842"/>
      <c r="AM441" s="842"/>
      <c r="AN441" s="842"/>
      <c r="AO441" s="842"/>
      <c r="AP441" s="842"/>
      <c r="AQ441" s="842"/>
      <c r="AR441" s="842"/>
      <c r="AS441" s="842"/>
      <c r="AT441" s="842"/>
      <c r="AU441" s="842"/>
      <c r="AV441" s="842"/>
      <c r="AW441" s="842"/>
      <c r="AX441" s="842"/>
      <c r="AY441" s="842"/>
      <c r="AZ441" s="842"/>
      <c r="BA441" s="842"/>
      <c r="BB441" s="842"/>
      <c r="BC441" s="842"/>
      <c r="BD441" s="842"/>
      <c r="BE441" s="842"/>
      <c r="BF441" s="842"/>
      <c r="BG441" s="842"/>
      <c r="BH441" s="842"/>
      <c r="BI441" s="842"/>
      <c r="BJ441" s="842"/>
      <c r="BK441" s="842"/>
      <c r="BL441" s="842"/>
      <c r="BM441" s="842"/>
      <c r="BN441" s="842"/>
      <c r="BO441" s="842"/>
      <c r="BP441" s="842"/>
    </row>
    <row r="442" spans="2:68" s="7" customFormat="1">
      <c r="B442" s="841"/>
      <c r="D442" s="842"/>
      <c r="E442" s="842"/>
      <c r="F442" s="842"/>
      <c r="G442" s="842"/>
      <c r="H442" s="842"/>
      <c r="I442" s="842"/>
      <c r="J442" s="842"/>
      <c r="K442" s="842"/>
      <c r="L442" s="842"/>
      <c r="M442" s="842"/>
      <c r="N442" s="842"/>
      <c r="O442" s="842"/>
      <c r="P442" s="842"/>
      <c r="Q442" s="842"/>
      <c r="R442" s="842"/>
      <c r="S442" s="842"/>
      <c r="T442" s="842"/>
      <c r="U442" s="842"/>
      <c r="V442" s="842"/>
      <c r="W442" s="842"/>
      <c r="X442" s="842"/>
      <c r="Y442" s="842"/>
      <c r="Z442" s="842"/>
      <c r="AA442" s="842"/>
      <c r="AB442" s="842"/>
      <c r="AC442" s="842"/>
      <c r="AD442" s="842"/>
      <c r="AE442" s="842"/>
      <c r="AF442" s="842"/>
      <c r="AG442" s="842"/>
      <c r="AH442" s="842"/>
      <c r="AI442" s="842"/>
      <c r="AJ442" s="842"/>
      <c r="AK442" s="842"/>
      <c r="AL442" s="842"/>
      <c r="AM442" s="842"/>
      <c r="AN442" s="842"/>
      <c r="AO442" s="842"/>
      <c r="AP442" s="842"/>
      <c r="AQ442" s="842"/>
      <c r="AR442" s="842"/>
      <c r="AS442" s="842"/>
      <c r="AT442" s="842"/>
      <c r="AU442" s="842"/>
      <c r="AV442" s="842"/>
      <c r="AW442" s="842"/>
      <c r="AX442" s="842"/>
      <c r="AY442" s="842"/>
      <c r="AZ442" s="842"/>
      <c r="BA442" s="842"/>
      <c r="BB442" s="842"/>
      <c r="BC442" s="842"/>
      <c r="BD442" s="842"/>
      <c r="BE442" s="842"/>
      <c r="BF442" s="842"/>
      <c r="BG442" s="842"/>
      <c r="BH442" s="842"/>
      <c r="BI442" s="842"/>
      <c r="BJ442" s="842"/>
      <c r="BK442" s="842"/>
      <c r="BL442" s="842"/>
      <c r="BM442" s="842"/>
      <c r="BN442" s="842"/>
      <c r="BO442" s="842"/>
      <c r="BP442" s="842"/>
    </row>
    <row r="443" spans="2:68" s="7" customFormat="1">
      <c r="B443" s="841"/>
      <c r="D443" s="842"/>
      <c r="E443" s="842"/>
      <c r="F443" s="842"/>
      <c r="G443" s="842"/>
      <c r="H443" s="842"/>
      <c r="I443" s="842"/>
      <c r="J443" s="842"/>
      <c r="K443" s="842"/>
      <c r="L443" s="842"/>
      <c r="M443" s="842"/>
      <c r="N443" s="842"/>
      <c r="O443" s="842"/>
      <c r="P443" s="842"/>
      <c r="Q443" s="842"/>
      <c r="R443" s="842"/>
      <c r="S443" s="842"/>
      <c r="T443" s="842"/>
      <c r="U443" s="842"/>
      <c r="V443" s="842"/>
      <c r="W443" s="842"/>
      <c r="X443" s="842"/>
      <c r="Y443" s="842"/>
      <c r="Z443" s="842"/>
      <c r="AA443" s="842"/>
      <c r="AB443" s="842"/>
      <c r="AC443" s="842"/>
      <c r="AD443" s="842"/>
      <c r="AE443" s="842"/>
      <c r="AF443" s="842"/>
      <c r="AG443" s="842"/>
      <c r="AH443" s="842"/>
      <c r="AI443" s="842"/>
      <c r="AJ443" s="842"/>
      <c r="AK443" s="842"/>
      <c r="AL443" s="842"/>
      <c r="AM443" s="842"/>
      <c r="AN443" s="842"/>
      <c r="AO443" s="842"/>
      <c r="AP443" s="842"/>
      <c r="AQ443" s="842"/>
      <c r="AR443" s="842"/>
      <c r="AS443" s="842"/>
      <c r="AT443" s="842"/>
      <c r="AU443" s="842"/>
      <c r="AV443" s="842"/>
      <c r="AW443" s="842"/>
      <c r="AX443" s="842"/>
      <c r="AY443" s="842"/>
      <c r="AZ443" s="842"/>
      <c r="BA443" s="842"/>
      <c r="BB443" s="842"/>
      <c r="BC443" s="842"/>
      <c r="BD443" s="842"/>
      <c r="BE443" s="842"/>
      <c r="BF443" s="842"/>
      <c r="BG443" s="842"/>
      <c r="BH443" s="842"/>
      <c r="BI443" s="842"/>
      <c r="BJ443" s="842"/>
      <c r="BK443" s="842"/>
      <c r="BL443" s="842"/>
      <c r="BM443" s="842"/>
      <c r="BN443" s="842"/>
      <c r="BO443" s="842"/>
      <c r="BP443" s="842"/>
    </row>
    <row r="444" spans="2:68" s="7" customFormat="1">
      <c r="B444" s="841"/>
      <c r="D444" s="842"/>
      <c r="E444" s="842"/>
      <c r="F444" s="842"/>
      <c r="G444" s="842"/>
      <c r="H444" s="842"/>
      <c r="I444" s="842"/>
      <c r="J444" s="842"/>
      <c r="K444" s="842"/>
      <c r="L444" s="842"/>
      <c r="M444" s="842"/>
      <c r="N444" s="842"/>
      <c r="O444" s="842"/>
      <c r="P444" s="842"/>
      <c r="Q444" s="842"/>
      <c r="R444" s="842"/>
      <c r="S444" s="842"/>
      <c r="T444" s="842"/>
      <c r="U444" s="842"/>
      <c r="V444" s="842"/>
      <c r="W444" s="842"/>
      <c r="X444" s="842"/>
      <c r="Y444" s="842"/>
      <c r="Z444" s="842"/>
      <c r="AA444" s="842"/>
      <c r="AB444" s="842"/>
      <c r="AC444" s="842"/>
      <c r="AD444" s="842"/>
      <c r="AE444" s="842"/>
      <c r="AF444" s="842"/>
      <c r="AG444" s="842"/>
      <c r="AH444" s="842"/>
      <c r="AI444" s="842"/>
      <c r="AJ444" s="842"/>
      <c r="AK444" s="842"/>
      <c r="AL444" s="842"/>
      <c r="AM444" s="842"/>
      <c r="AN444" s="842"/>
      <c r="AO444" s="842"/>
      <c r="AP444" s="842"/>
      <c r="AQ444" s="842"/>
      <c r="AR444" s="842"/>
      <c r="AS444" s="842"/>
      <c r="AT444" s="842"/>
      <c r="AU444" s="842"/>
      <c r="AV444" s="842"/>
      <c r="AW444" s="842"/>
      <c r="AX444" s="842"/>
      <c r="AY444" s="842"/>
      <c r="AZ444" s="842"/>
      <c r="BA444" s="842"/>
      <c r="BB444" s="842"/>
      <c r="BC444" s="842"/>
      <c r="BD444" s="842"/>
      <c r="BE444" s="842"/>
      <c r="BF444" s="842"/>
      <c r="BG444" s="842"/>
      <c r="BH444" s="842"/>
      <c r="BI444" s="842"/>
      <c r="BJ444" s="842"/>
      <c r="BK444" s="842"/>
      <c r="BL444" s="842"/>
      <c r="BM444" s="842"/>
      <c r="BN444" s="842"/>
      <c r="BO444" s="842"/>
      <c r="BP444" s="842"/>
    </row>
    <row r="445" spans="2:68" s="7" customFormat="1">
      <c r="B445" s="841"/>
      <c r="D445" s="842"/>
      <c r="E445" s="842"/>
      <c r="F445" s="842"/>
      <c r="G445" s="842"/>
      <c r="H445" s="842"/>
      <c r="I445" s="842"/>
      <c r="J445" s="842"/>
      <c r="K445" s="842"/>
      <c r="L445" s="842"/>
      <c r="M445" s="842"/>
      <c r="N445" s="842"/>
      <c r="O445" s="842"/>
      <c r="P445" s="842"/>
      <c r="Q445" s="842"/>
      <c r="R445" s="842"/>
      <c r="S445" s="842"/>
      <c r="T445" s="842"/>
      <c r="U445" s="842"/>
      <c r="V445" s="842"/>
      <c r="W445" s="842"/>
      <c r="X445" s="842"/>
      <c r="Y445" s="842"/>
      <c r="Z445" s="842"/>
      <c r="AA445" s="842"/>
      <c r="AB445" s="842"/>
      <c r="AC445" s="842"/>
      <c r="AD445" s="842"/>
      <c r="AE445" s="842"/>
      <c r="AF445" s="842"/>
      <c r="AG445" s="842"/>
      <c r="AH445" s="842"/>
      <c r="AI445" s="842"/>
      <c r="AJ445" s="842"/>
      <c r="AK445" s="842"/>
      <c r="AL445" s="842"/>
      <c r="AM445" s="842"/>
      <c r="AN445" s="842"/>
      <c r="AO445" s="842"/>
      <c r="AP445" s="842"/>
      <c r="AQ445" s="842"/>
      <c r="AR445" s="842"/>
      <c r="AS445" s="842"/>
      <c r="AT445" s="842"/>
      <c r="AU445" s="842"/>
      <c r="AV445" s="842"/>
      <c r="AW445" s="842"/>
      <c r="AX445" s="842"/>
      <c r="AY445" s="842"/>
      <c r="AZ445" s="842"/>
      <c r="BA445" s="842"/>
      <c r="BB445" s="842"/>
      <c r="BC445" s="842"/>
      <c r="BD445" s="842"/>
      <c r="BE445" s="842"/>
      <c r="BF445" s="842"/>
      <c r="BG445" s="842"/>
      <c r="BH445" s="842"/>
      <c r="BI445" s="842"/>
      <c r="BJ445" s="842"/>
      <c r="BK445" s="842"/>
      <c r="BL445" s="842"/>
      <c r="BM445" s="842"/>
      <c r="BN445" s="842"/>
      <c r="BO445" s="842"/>
      <c r="BP445" s="842"/>
    </row>
    <row r="447" spans="2:68" ht="10.5">
      <c r="B447" s="5" t="s">
        <v>337</v>
      </c>
      <c r="C447" s="4"/>
    </row>
    <row r="449" spans="2:68">
      <c r="B449" t="s">
        <v>86</v>
      </c>
      <c r="H449" s="8">
        <f t="shared" ref="H449:AM449" si="2232">+H149</f>
        <v>6097</v>
      </c>
      <c r="I449" s="8">
        <f t="shared" si="2232"/>
        <v>6758</v>
      </c>
      <c r="J449" s="8">
        <f t="shared" si="2232"/>
        <v>6730</v>
      </c>
      <c r="K449" s="8">
        <f t="shared" si="2232"/>
        <v>7822</v>
      </c>
      <c r="L449" s="8">
        <f t="shared" si="2232"/>
        <v>6922</v>
      </c>
      <c r="M449" s="8">
        <f t="shared" si="2232"/>
        <v>7795</v>
      </c>
      <c r="N449" s="8">
        <f t="shared" si="2232"/>
        <v>7896</v>
      </c>
      <c r="O449" s="8">
        <f t="shared" si="2232"/>
        <v>9606</v>
      </c>
      <c r="P449" s="8">
        <f t="shared" si="2232"/>
        <v>8567</v>
      </c>
      <c r="Q449" s="8">
        <f t="shared" si="2232"/>
        <v>9378</v>
      </c>
      <c r="R449" s="8">
        <f t="shared" si="2232"/>
        <v>9649</v>
      </c>
      <c r="S449" s="8">
        <f t="shared" si="2232"/>
        <v>11391</v>
      </c>
      <c r="T449" s="8">
        <f t="shared" si="2232"/>
        <v>10845</v>
      </c>
      <c r="U449" s="8">
        <f t="shared" si="2232"/>
        <v>11869</v>
      </c>
      <c r="V449" s="8">
        <f t="shared" si="2232"/>
        <v>12281</v>
      </c>
      <c r="W449" s="8">
        <f t="shared" si="2232"/>
        <v>13371</v>
      </c>
      <c r="X449" s="8">
        <f t="shared" si="2232"/>
        <v>12986</v>
      </c>
      <c r="Y449" s="8">
        <f t="shared" si="2232"/>
        <v>14601</v>
      </c>
      <c r="Z449" s="8">
        <f t="shared" si="2232"/>
        <v>15118</v>
      </c>
      <c r="AA449" s="8">
        <f t="shared" si="2232"/>
        <v>17375</v>
      </c>
      <c r="AB449" s="8">
        <f t="shared" si="2232"/>
        <v>16964</v>
      </c>
      <c r="AC449" s="8">
        <f t="shared" si="2232"/>
        <v>18327</v>
      </c>
      <c r="AD449" s="8">
        <f t="shared" si="2232"/>
        <v>19051</v>
      </c>
      <c r="AE449" s="8">
        <f t="shared" si="2232"/>
        <v>20909</v>
      </c>
      <c r="AF449" s="8">
        <f t="shared" si="2232"/>
        <v>20325</v>
      </c>
      <c r="AG449" s="8">
        <f t="shared" si="2232"/>
        <v>21508</v>
      </c>
      <c r="AH449" s="8">
        <f t="shared" si="2232"/>
        <v>22081</v>
      </c>
      <c r="AI449" s="8">
        <f t="shared" si="2232"/>
        <v>23993</v>
      </c>
      <c r="AJ449" s="8">
        <f t="shared" si="2232"/>
        <v>24259</v>
      </c>
      <c r="AK449" s="8">
        <f t="shared" si="2232"/>
        <v>25880</v>
      </c>
      <c r="AL449" s="8">
        <f t="shared" si="2232"/>
        <v>26708</v>
      </c>
      <c r="AM449" s="8">
        <f t="shared" si="2232"/>
        <v>28515</v>
      </c>
      <c r="AN449" s="8">
        <f t="shared" ref="AN449:AQ449" si="2233">AN488</f>
        <v>28929.545508438696</v>
      </c>
      <c r="AO449" s="8">
        <f t="shared" si="2233"/>
        <v>31262.804439553511</v>
      </c>
      <c r="AP449" s="8">
        <f t="shared" si="2233"/>
        <v>32387.163661203394</v>
      </c>
      <c r="AQ449" s="8">
        <f t="shared" si="2233"/>
        <v>34924.556290873123</v>
      </c>
      <c r="BB449" s="8">
        <f>+BB149</f>
        <v>21735</v>
      </c>
      <c r="BC449" s="8">
        <f>+BC149</f>
        <v>23715</v>
      </c>
      <c r="BD449" s="8">
        <f>+BD149</f>
        <v>25042</v>
      </c>
      <c r="BE449" s="8">
        <f>+BE149</f>
        <v>27440</v>
      </c>
      <c r="BG449" s="8">
        <f>SUM('VA segmentation'!Y159:AB159)</f>
        <v>24952</v>
      </c>
      <c r="BH449" s="8">
        <f t="shared" ref="BH449:BM449" si="2234">+BH149</f>
        <v>27407</v>
      </c>
      <c r="BI449" s="8">
        <f t="shared" si="2234"/>
        <v>32219</v>
      </c>
      <c r="BJ449" s="8">
        <f t="shared" si="2234"/>
        <v>38985</v>
      </c>
      <c r="BK449" s="8">
        <f t="shared" si="2234"/>
        <v>48366</v>
      </c>
      <c r="BL449" s="8">
        <f t="shared" si="2234"/>
        <v>60080</v>
      </c>
      <c r="BM449" s="8">
        <f t="shared" si="2234"/>
        <v>75251</v>
      </c>
      <c r="BN449" s="8">
        <f>SUM(AF449:AI449)</f>
        <v>87907</v>
      </c>
      <c r="BO449" s="8">
        <f>SUM(AJ449:AM449)</f>
        <v>105362</v>
      </c>
      <c r="BP449" s="8">
        <f>+SUM(AN449:AQ449)</f>
        <v>127504.06990006872</v>
      </c>
    </row>
    <row r="450" spans="2:68">
      <c r="B450" s="13" t="s">
        <v>113</v>
      </c>
      <c r="L450" s="14">
        <f t="shared" ref="L450:M450" si="2235">+L449/H449-1</f>
        <v>0.13531244874528459</v>
      </c>
      <c r="M450" s="14">
        <f t="shared" si="2235"/>
        <v>0.1534477656111275</v>
      </c>
      <c r="N450" s="14">
        <f>+N449/J449-1</f>
        <v>0.17325408618127791</v>
      </c>
      <c r="O450" s="14">
        <f>+O449/K449-1</f>
        <v>0.22807466121196618</v>
      </c>
      <c r="P450" s="14">
        <f t="shared" ref="P450:V450" si="2236">+P449/L449-1</f>
        <v>0.23764807859000281</v>
      </c>
      <c r="Q450" s="14">
        <f t="shared" si="2236"/>
        <v>0.2030788967286723</v>
      </c>
      <c r="R450" s="14">
        <f t="shared" si="2236"/>
        <v>0.22201114488348539</v>
      </c>
      <c r="S450" s="14">
        <f t="shared" si="2236"/>
        <v>0.18582136164896945</v>
      </c>
      <c r="T450" s="14">
        <f t="shared" si="2236"/>
        <v>0.26590405042605347</v>
      </c>
      <c r="U450" s="14">
        <f t="shared" si="2236"/>
        <v>0.26562166773299212</v>
      </c>
      <c r="V450" s="14">
        <f t="shared" si="2236"/>
        <v>0.27277438076484617</v>
      </c>
      <c r="W450" s="14">
        <f>+W449/S449-1</f>
        <v>0.17382143797735061</v>
      </c>
      <c r="X450" s="14">
        <f>+X449/T449-1</f>
        <v>0.19741816505301979</v>
      </c>
      <c r="Y450" s="14">
        <f t="shared" ref="Y450" si="2237">+Y449/U449-1</f>
        <v>0.23017945909512183</v>
      </c>
      <c r="Z450" s="14">
        <f t="shared" ref="Z450" si="2238">+Z449/V449-1</f>
        <v>0.23100724696685937</v>
      </c>
      <c r="AA450" s="14">
        <f t="shared" ref="AA450" si="2239">+AA449/W449-1</f>
        <v>0.29945404233041661</v>
      </c>
      <c r="AB450" s="14">
        <f t="shared" ref="AB450" si="2240">+AB449/X449-1</f>
        <v>0.30632989373171116</v>
      </c>
      <c r="AC450" s="14">
        <f t="shared" ref="AC450" si="2241">+AC449/Y449-1</f>
        <v>0.25518800082186144</v>
      </c>
      <c r="AD450" s="14">
        <f t="shared" ref="AD450" si="2242">+AD449/Z449-1</f>
        <v>0.2601534594523085</v>
      </c>
      <c r="AE450" s="14">
        <f t="shared" ref="AE450" si="2243">+AE449/AA449-1</f>
        <v>0.20339568345323733</v>
      </c>
      <c r="AF450" s="14">
        <f t="shared" ref="AF450" si="2244">+AF449/AB449-1</f>
        <v>0.19812544211270922</v>
      </c>
      <c r="AG450" s="14">
        <f t="shared" ref="AG450" si="2245">+AG449/AC449-1</f>
        <v>0.17356905112675292</v>
      </c>
      <c r="AH450" s="14">
        <f t="shared" ref="AH450" si="2246">+AH449/AD449-1</f>
        <v>0.15904676919846716</v>
      </c>
      <c r="AI450" s="14">
        <f t="shared" ref="AI450" si="2247">+AI449/AE449-1</f>
        <v>0.14749629346214554</v>
      </c>
      <c r="AJ450" s="14">
        <f t="shared" ref="AJ450:AK450" si="2248">+AJ449/AF449-1</f>
        <v>0.19355473554735547</v>
      </c>
      <c r="AK450" s="14">
        <f t="shared" si="2248"/>
        <v>0.20327320066951837</v>
      </c>
      <c r="AL450" s="14">
        <f t="shared" ref="AL450" si="2249">+AL449/AH449-1</f>
        <v>0.20954666908201625</v>
      </c>
      <c r="AM450" s="14">
        <f t="shared" ref="AM450" si="2250">+AM449/AI449-1</f>
        <v>0.1884716375609552</v>
      </c>
      <c r="AN450" s="14">
        <f t="shared" ref="AN450" si="2251">+AN449/AJ449-1</f>
        <v>0.19252836095629244</v>
      </c>
      <c r="AO450" s="14">
        <f t="shared" ref="AO450" si="2252">+AO449/AK449-1</f>
        <v>0.20799089797347414</v>
      </c>
      <c r="AP450" s="14">
        <f t="shared" ref="AP450" si="2253">+AP449/AL449-1</f>
        <v>0.21263904677262979</v>
      </c>
      <c r="AQ450" s="14">
        <f t="shared" ref="AQ450" si="2254">+AQ449/AM449-1</f>
        <v>0.22477840753544176</v>
      </c>
      <c r="BC450" s="14">
        <f t="shared" ref="BC450:BE450" si="2255">+BC449/BB449-1</f>
        <v>9.109730848861286E-2</v>
      </c>
      <c r="BD450" s="14">
        <f t="shared" si="2255"/>
        <v>5.5956145899219933E-2</v>
      </c>
      <c r="BE450" s="14">
        <f t="shared" si="2255"/>
        <v>9.5759124670553364E-2</v>
      </c>
      <c r="BG450" s="829">
        <f>+BD450</f>
        <v>5.5956145899219933E-2</v>
      </c>
      <c r="BH450" s="14">
        <f>+BH449/BG449-1</f>
        <v>9.8388906700865641E-2</v>
      </c>
      <c r="BI450" s="14">
        <f>+BI449/BH449-1</f>
        <v>0.17557558288028607</v>
      </c>
      <c r="BJ450" s="14">
        <f t="shared" ref="BJ450" si="2256">+BJ449/BI449-1</f>
        <v>0.2100003103758652</v>
      </c>
      <c r="BK450" s="14">
        <f t="shared" ref="BK450" si="2257">+BK449/BJ449-1</f>
        <v>0.24063101192766445</v>
      </c>
      <c r="BL450" s="14">
        <f t="shared" ref="BL450" si="2258">+BL449/BK449-1</f>
        <v>0.24219493032295425</v>
      </c>
      <c r="BM450" s="14">
        <f t="shared" ref="BM450" si="2259">+BM449/BL449-1</f>
        <v>0.25251331557922763</v>
      </c>
      <c r="BN450" s="14">
        <f t="shared" ref="BN450" si="2260">+BN449/BM449-1</f>
        <v>0.16818381151081052</v>
      </c>
      <c r="BO450" s="14">
        <f t="shared" ref="BO450" si="2261">+BO449/BN449-1</f>
        <v>0.19856211678250868</v>
      </c>
      <c r="BP450" s="14">
        <f t="shared" ref="BP450" si="2262">+BP449/BO449-1</f>
        <v>0.21015233101183273</v>
      </c>
    </row>
    <row r="451" spans="2:68">
      <c r="B451" s="13" t="s">
        <v>270</v>
      </c>
      <c r="L451" s="22">
        <v>0.13</v>
      </c>
      <c r="M451" s="22">
        <v>0.15</v>
      </c>
      <c r="N451" s="22">
        <v>0.15</v>
      </c>
      <c r="O451" s="22">
        <v>0.2</v>
      </c>
      <c r="P451" s="22">
        <v>0.24</v>
      </c>
      <c r="Q451" s="22">
        <v>0.21</v>
      </c>
      <c r="R451" s="22">
        <v>0.24</v>
      </c>
      <c r="S451" s="22">
        <v>0.21</v>
      </c>
      <c r="T451" s="22">
        <v>0.28999999999999998</v>
      </c>
      <c r="U451" s="22">
        <v>0.28000000000000003</v>
      </c>
      <c r="V451" s="22">
        <v>0.28999999999999998</v>
      </c>
      <c r="W451" s="22">
        <v>0.19</v>
      </c>
      <c r="X451" s="22">
        <v>0.19</v>
      </c>
      <c r="Y451" s="22">
        <v>0.22</v>
      </c>
      <c r="Z451" s="22">
        <v>0.2</v>
      </c>
      <c r="AA451" s="22">
        <v>0.255</v>
      </c>
      <c r="AB451" s="22">
        <v>0.28999999999999998</v>
      </c>
      <c r="AC451" s="22">
        <v>0.26</v>
      </c>
      <c r="AD451" s="22">
        <v>0.28999999999999998</v>
      </c>
      <c r="AE451" s="22">
        <v>0.25</v>
      </c>
      <c r="AF451" s="22">
        <v>0.26</v>
      </c>
      <c r="AG451" s="22">
        <v>0.24</v>
      </c>
      <c r="AH451" s="22">
        <v>0.19</v>
      </c>
      <c r="AI451" s="22">
        <v>0.17</v>
      </c>
      <c r="AJ451" s="22">
        <v>0.19</v>
      </c>
      <c r="AK451" s="22">
        <v>0.19</v>
      </c>
      <c r="AL451" s="22">
        <v>0.21</v>
      </c>
      <c r="AM451" s="22">
        <v>0.2</v>
      </c>
      <c r="AN451" s="891">
        <f t="shared" ref="AN451:AQ451" si="2263">+AN$14-AN$13+AN450</f>
        <v>0.1864140538256942</v>
      </c>
      <c r="AO451" s="891">
        <f t="shared" si="2263"/>
        <v>0.18271740942269488</v>
      </c>
      <c r="AP451" s="891">
        <f t="shared" si="2263"/>
        <v>0.19362351167556979</v>
      </c>
      <c r="AQ451" s="891">
        <f t="shared" si="2263"/>
        <v>0.20175261254564081</v>
      </c>
      <c r="BI451" s="23">
        <f>+SUMPRODUCT(L451:O451,H449:K449)/BH449</f>
        <v>0.1598208486882913</v>
      </c>
      <c r="BJ451" s="23">
        <f>+SUMPRODUCT(P451:S451,L449:O449)/BI449</f>
        <v>0.22379744871038831</v>
      </c>
      <c r="BK451" s="23">
        <f>+SUMPRODUCT(T451:W451,P449:S449)/BJ449</f>
        <v>0.25837552904963451</v>
      </c>
      <c r="BL451" s="23">
        <f>+SUMPRODUCT(X451:AA451,T449:W449)/BK449</f>
        <v>0.21787071496505808</v>
      </c>
      <c r="BM451" s="23">
        <f>+SUMPRODUCT(AB451:AE451,X449:AA449)/BL449</f>
        <v>0.2711413115845539</v>
      </c>
      <c r="BN451" s="23">
        <f>+SUMPRODUCT(AF451:AI451,AB449:AE449)/BM449</f>
        <v>0.2124003667725346</v>
      </c>
      <c r="BO451" s="23">
        <f>+SUMPRODUCT(AJ451:AM451,AF449:AI449)/BN449</f>
        <v>0.19775307995950267</v>
      </c>
      <c r="BP451" s="23">
        <f>+SUMPRODUCT(AN451:AQ451,AJ449:AM449)/BO449</f>
        <v>0.19148476285745264</v>
      </c>
    </row>
    <row r="453" spans="2:68" s="3" customFormat="1">
      <c r="B453" t="s">
        <v>365</v>
      </c>
      <c r="H453" s="8">
        <f>+'VA segmentation'!AC165</f>
        <v>4113.9295873830997</v>
      </c>
      <c r="I453" s="8">
        <f>+'VA segmentation'!AD165</f>
        <v>4625.3397837977263</v>
      </c>
      <c r="J453" s="8">
        <f>+'VA segmentation'!AE165</f>
        <v>4565.7169680380412</v>
      </c>
      <c r="K453" s="8">
        <f>+'VA segmentation'!AF165</f>
        <v>5295.5794296899394</v>
      </c>
      <c r="L453" s="8">
        <f>+'VA segmentation'!AG165</f>
        <v>4602.4300508398401</v>
      </c>
      <c r="M453" s="8">
        <f>+'VA segmentation'!AH165</f>
        <v>5286.5945241063682</v>
      </c>
      <c r="N453" s="8">
        <f>+'VA segmentation'!AI165</f>
        <v>5336.6467105841048</v>
      </c>
      <c r="O453" s="8">
        <f>+'VA segmentation'!AJ165</f>
        <v>6547.6280147622338</v>
      </c>
      <c r="P453" s="8">
        <f>+'VA segmentation'!AK165</f>
        <v>5884.8566021103879</v>
      </c>
      <c r="Q453" s="8">
        <f>+'VA segmentation'!AL165</f>
        <v>6388.0693760762706</v>
      </c>
      <c r="R453" s="8">
        <f>+'VA segmentation'!AM165</f>
        <v>6505.8578344890229</v>
      </c>
      <c r="S453" s="8">
        <f>+'VA segmentation'!AN165</f>
        <v>7811.6232083708392</v>
      </c>
      <c r="T453" s="8">
        <f>+'VA segmentation'!AO165</f>
        <v>7505.0920513349974</v>
      </c>
      <c r="U453" s="8">
        <f>+'VA segmentation'!AP165</f>
        <v>8208.8660016121903</v>
      </c>
      <c r="V453" s="8">
        <f>+'VA segmentation'!AQ165</f>
        <v>8490.519830234145</v>
      </c>
      <c r="W453" s="8">
        <f>+'VA segmentation'!AR165</f>
        <v>9254.1317998948307</v>
      </c>
      <c r="X453" s="8">
        <f>+'VA segmentation'!AS165</f>
        <v>9425.182742361827</v>
      </c>
      <c r="Y453" s="8">
        <f>+'VA segmentation'!AT165</f>
        <v>10582.717832944454</v>
      </c>
      <c r="Z453" s="8">
        <f>+'VA segmentation'!AU165</f>
        <v>10774.086446588837</v>
      </c>
      <c r="AA453" s="8">
        <f>+'VA segmentation'!AV165</f>
        <v>12301.387861631672</v>
      </c>
      <c r="AB453" s="8">
        <f>+'VA segmentation'!AW165</f>
        <v>12084.747721576136</v>
      </c>
      <c r="AC453" s="8">
        <f>+'VA segmentation'!AX165</f>
        <v>12833.979885810901</v>
      </c>
      <c r="AD453" s="8">
        <f>+'VA segmentation'!AY165</f>
        <v>13349.484960513082</v>
      </c>
      <c r="AE453" s="8">
        <f>+'VA segmentation'!AZ165</f>
        <v>14454.49089405837</v>
      </c>
      <c r="AF453" s="8">
        <f>+AB453*(1+AF454)</f>
        <v>14501.697265891362</v>
      </c>
      <c r="AG453" s="8">
        <f>+AC453*(1+AG454)</f>
        <v>15015.756466398752</v>
      </c>
      <c r="AH453" s="8">
        <f>+AD453*(1+AH454)</f>
        <v>15351.907704590043</v>
      </c>
      <c r="AI453" s="8">
        <f t="shared" ref="AI453" si="2264">+AE453*(1+AI454)</f>
        <v>16767.209437107707</v>
      </c>
      <c r="AJ453" s="8">
        <f t="shared" ref="AJ453:AK453" si="2265">+AF453*(1+AJ454)</f>
        <v>17402.036719069634</v>
      </c>
      <c r="AK453" s="8">
        <f t="shared" si="2265"/>
        <v>18018.907759678503</v>
      </c>
      <c r="AL453" s="8">
        <f t="shared" ref="AL453" si="2266">+AH453*(1+AL454)</f>
        <v>18422.289245508051</v>
      </c>
      <c r="AM453" s="8">
        <f t="shared" ref="AM453" si="2267">+AI453*(1+AM454)</f>
        <v>19449.96294704494</v>
      </c>
      <c r="AN453" s="8"/>
      <c r="AO453" s="8"/>
      <c r="AP453" s="8"/>
      <c r="AQ453" s="8"/>
      <c r="BD453" s="8"/>
      <c r="BG453" s="8">
        <f>SUM('VA segmentation'!Y165:AB165)</f>
        <v>17972.55148329405</v>
      </c>
      <c r="BH453" s="8">
        <f>SUM('VA segmentation'!AC165:AF165)</f>
        <v>18600.565768908808</v>
      </c>
      <c r="BI453" s="8">
        <f>SUM('VA segmentation'!AG165:AJ165)</f>
        <v>21773.299300292547</v>
      </c>
      <c r="BJ453" s="8">
        <f>SUM(P453:S453)</f>
        <v>26590.407021046522</v>
      </c>
      <c r="BK453" s="8">
        <f>SUM(T453:W453)</f>
        <v>33458.60968307616</v>
      </c>
      <c r="BL453" s="8">
        <f>SUM(X453:AA453)</f>
        <v>43083.374883526791</v>
      </c>
      <c r="BM453" s="8">
        <f>+SUM(AB453:AE453)</f>
        <v>52722.703461958488</v>
      </c>
      <c r="BN453" s="8">
        <f>+SUM(AF453:AI453)</f>
        <v>61636.570873987861</v>
      </c>
      <c r="BO453" s="8">
        <f>SUM(AJ453:AM453)</f>
        <v>73293.196671301121</v>
      </c>
      <c r="BP453" s="8"/>
    </row>
    <row r="454" spans="2:68" s="3" customFormat="1">
      <c r="B454" s="13" t="s">
        <v>113</v>
      </c>
      <c r="L454" s="22">
        <v>0.1</v>
      </c>
      <c r="M454" s="22">
        <v>0.13</v>
      </c>
      <c r="N454" s="22">
        <v>0.16</v>
      </c>
      <c r="O454" s="22">
        <v>0.23</v>
      </c>
      <c r="P454" s="22">
        <v>0.28000000000000003</v>
      </c>
      <c r="Q454" s="22">
        <v>0.2</v>
      </c>
      <c r="R454" s="22">
        <v>0.21</v>
      </c>
      <c r="S454" s="22">
        <v>0.19</v>
      </c>
      <c r="T454" s="22">
        <v>0.27</v>
      </c>
      <c r="U454" s="22">
        <v>0.28000000000000003</v>
      </c>
      <c r="V454" s="22">
        <v>0.3</v>
      </c>
      <c r="W454" s="22">
        <v>0.19</v>
      </c>
      <c r="X454" s="22">
        <v>0.26</v>
      </c>
      <c r="Y454" s="22">
        <v>0.28999999999999998</v>
      </c>
      <c r="Z454" s="22">
        <v>0.27</v>
      </c>
      <c r="AA454" s="22">
        <v>0.32</v>
      </c>
      <c r="AB454" s="22">
        <v>0.28000000000000003</v>
      </c>
      <c r="AC454" s="22">
        <v>0.21</v>
      </c>
      <c r="AD454" s="22">
        <v>0.24</v>
      </c>
      <c r="AE454" s="22">
        <v>0.15</v>
      </c>
      <c r="AF454" s="22">
        <v>0.2</v>
      </c>
      <c r="AG454" s="22">
        <v>0.17</v>
      </c>
      <c r="AH454" s="22">
        <v>0.15</v>
      </c>
      <c r="AI454" s="22">
        <v>0.16</v>
      </c>
      <c r="AJ454" s="22">
        <v>0.2</v>
      </c>
      <c r="AK454" s="22">
        <v>0.2</v>
      </c>
      <c r="AL454" s="22">
        <v>0.2</v>
      </c>
      <c r="AM454" s="22">
        <v>0.16</v>
      </c>
      <c r="AN454" s="22"/>
      <c r="AO454" s="22"/>
      <c r="AP454" s="22"/>
      <c r="AQ454" s="22"/>
      <c r="BG454" s="21"/>
      <c r="BH454" s="21">
        <f>+BH453/BG453-1</f>
        <v>3.4942967680382742E-2</v>
      </c>
      <c r="BI454" s="21">
        <f t="shared" ref="BI454" si="2268">+BI453/BH453-1</f>
        <v>0.17057188317825389</v>
      </c>
      <c r="BJ454" s="21">
        <f t="shared" ref="BJ454" si="2269">+BJ453/BI453-1</f>
        <v>0.221239218472014</v>
      </c>
      <c r="BK454" s="21">
        <f t="shared" ref="BK454" si="2270">+BK453/BJ453-1</f>
        <v>0.2582962591205693</v>
      </c>
      <c r="BL454" s="21">
        <f t="shared" ref="BL454" si="2271">+BL453/BK453-1</f>
        <v>0.28766183925804234</v>
      </c>
      <c r="BM454" s="21">
        <f>+BM453/BL453-1</f>
        <v>0.22373661776708587</v>
      </c>
      <c r="BN454" s="21">
        <f t="shared" ref="BN454" si="2272">+BN453/BM453-1</f>
        <v>0.16907075750508649</v>
      </c>
      <c r="BO454" s="21">
        <f t="shared" ref="BO454" si="2273">+BO453/BN453-1</f>
        <v>0.1891186617299736</v>
      </c>
      <c r="BP454" s="21"/>
    </row>
    <row r="455" spans="2:68">
      <c r="B455" s="13" t="s">
        <v>270</v>
      </c>
      <c r="L455" s="22">
        <v>0.1</v>
      </c>
      <c r="M455" s="22">
        <v>0.13</v>
      </c>
      <c r="N455" s="22">
        <v>0.14000000000000001</v>
      </c>
      <c r="O455" s="22">
        <v>0.2</v>
      </c>
      <c r="P455" s="22">
        <v>0.27</v>
      </c>
      <c r="Q455" s="22">
        <v>0.2</v>
      </c>
      <c r="R455" s="22">
        <v>0.23</v>
      </c>
      <c r="S455" s="22">
        <v>0.21</v>
      </c>
      <c r="T455" s="22">
        <v>0.3</v>
      </c>
      <c r="U455" s="22">
        <v>0.31</v>
      </c>
      <c r="V455" s="22">
        <v>0.32</v>
      </c>
      <c r="W455" s="22">
        <v>0.21</v>
      </c>
      <c r="X455" s="22">
        <v>0.25</v>
      </c>
      <c r="Y455" s="22">
        <v>0.27</v>
      </c>
      <c r="Z455" s="22">
        <v>0.24</v>
      </c>
      <c r="AA455" s="22">
        <v>0.27</v>
      </c>
      <c r="AB455" s="22">
        <v>0.26</v>
      </c>
      <c r="AC455" s="22">
        <v>0.22</v>
      </c>
      <c r="AD455" s="22">
        <v>0.27</v>
      </c>
      <c r="AE455" s="22">
        <v>0.19</v>
      </c>
      <c r="AF455" s="22">
        <v>0.26</v>
      </c>
      <c r="AG455" s="22">
        <v>0.23</v>
      </c>
      <c r="AH455" s="22">
        <v>0.18</v>
      </c>
      <c r="AI455" s="22">
        <v>0.17</v>
      </c>
      <c r="AJ455" s="22">
        <v>0.19</v>
      </c>
      <c r="AK455" s="22">
        <v>0.18</v>
      </c>
      <c r="AL455" s="22">
        <v>0.2</v>
      </c>
      <c r="AM455" s="22">
        <v>0.16</v>
      </c>
      <c r="AN455" s="22"/>
      <c r="AO455" s="22"/>
      <c r="AP455" s="22"/>
      <c r="AQ455" s="22"/>
      <c r="BH455" s="23" t="s">
        <v>271</v>
      </c>
      <c r="BI455" s="21">
        <f>+SUMPRODUCT(L455:O455,H453:K453)/BH453</f>
        <v>0.14574843721295946</v>
      </c>
      <c r="BJ455" s="21">
        <f>+SUMPRODUCT(P455:S455,L453:O453)/BI453</f>
        <v>0.22515676551677102</v>
      </c>
      <c r="BK455" s="21">
        <f>+SUMPRODUCT(T455:W455,P453:S453)/BJ453</f>
        <v>0.28085594410420583</v>
      </c>
      <c r="BL455" s="21">
        <f>+SUMPRODUCT(X455:AA455,T453:W453)/BK453</f>
        <v>0.25790094867156166</v>
      </c>
      <c r="BM455" s="21">
        <f>+SUMPRODUCT(AB455:AE455,X453:AA453)/BL453</f>
        <v>0.2326886530512722</v>
      </c>
      <c r="BN455" s="21">
        <f>+SUMPRODUCT(AF455:AI455,AB453:AE453)/BM453</f>
        <v>0.20776666989643922</v>
      </c>
      <c r="BO455" s="21">
        <f>+SUMPRODUCT(AJ455:AM455,AF453:AI453)/BN453</f>
        <v>0.18189353392561647</v>
      </c>
      <c r="BP455" s="21"/>
    </row>
    <row r="456" spans="2:68">
      <c r="B456" s="13" t="s">
        <v>115</v>
      </c>
      <c r="H456" s="14">
        <f t="shared" ref="H456:AH456" si="2274">+H453/H449</f>
        <v>0.67474652901149745</v>
      </c>
      <c r="I456" s="14">
        <f t="shared" si="2274"/>
        <v>0.68442435392094203</v>
      </c>
      <c r="J456" s="14">
        <f t="shared" si="2274"/>
        <v>0.67841262526568225</v>
      </c>
      <c r="K456" s="14">
        <f t="shared" si="2274"/>
        <v>0.67701092171950128</v>
      </c>
      <c r="L456" s="14">
        <f t="shared" si="2274"/>
        <v>0.66489888050272172</v>
      </c>
      <c r="M456" s="14">
        <f t="shared" si="2274"/>
        <v>0.67820327442031669</v>
      </c>
      <c r="N456" s="14">
        <f t="shared" si="2274"/>
        <v>0.67586711126951682</v>
      </c>
      <c r="O456" s="14">
        <f t="shared" si="2274"/>
        <v>0.68161857326277675</v>
      </c>
      <c r="P456" s="14">
        <f t="shared" si="2274"/>
        <v>0.68692151302794302</v>
      </c>
      <c r="Q456" s="14">
        <f t="shared" si="2274"/>
        <v>0.68117609043253047</v>
      </c>
      <c r="R456" s="14">
        <f t="shared" si="2274"/>
        <v>0.67425202969105846</v>
      </c>
      <c r="S456" s="14">
        <f t="shared" si="2274"/>
        <v>0.68577150455366864</v>
      </c>
      <c r="T456" s="14">
        <f t="shared" si="2274"/>
        <v>0.69203246208713665</v>
      </c>
      <c r="U456" s="14">
        <f t="shared" si="2274"/>
        <v>0.69162237775820967</v>
      </c>
      <c r="V456" s="14">
        <f t="shared" si="2274"/>
        <v>0.69135411043352701</v>
      </c>
      <c r="W456" s="14">
        <f t="shared" si="2274"/>
        <v>0.69210468924499524</v>
      </c>
      <c r="X456" s="14">
        <f t="shared" si="2274"/>
        <v>0.7257956832251522</v>
      </c>
      <c r="Y456" s="14">
        <f t="shared" si="2274"/>
        <v>0.72479404376032153</v>
      </c>
      <c r="Z456" s="14">
        <f t="shared" si="2274"/>
        <v>0.71266612293880394</v>
      </c>
      <c r="AA456" s="14">
        <f t="shared" si="2274"/>
        <v>0.70799354599318975</v>
      </c>
      <c r="AB456" s="14">
        <f t="shared" si="2274"/>
        <v>0.71237607413205228</v>
      </c>
      <c r="AC456" s="14">
        <f t="shared" si="2274"/>
        <v>0.70027718043383536</v>
      </c>
      <c r="AD456" s="14">
        <f t="shared" si="2274"/>
        <v>0.70072358199113338</v>
      </c>
      <c r="AE456" s="14">
        <f t="shared" si="2274"/>
        <v>0.69130474408428766</v>
      </c>
      <c r="AF456" s="14">
        <f t="shared" si="2274"/>
        <v>0.71349064038825893</v>
      </c>
      <c r="AG456" s="14">
        <f t="shared" si="2274"/>
        <v>0.69814750169233553</v>
      </c>
      <c r="AH456" s="14">
        <f t="shared" si="2274"/>
        <v>0.69525418706535225</v>
      </c>
      <c r="AI456" s="14">
        <f t="shared" ref="AI456:AJ456" si="2275">+AI453/AI449</f>
        <v>0.69883755416611959</v>
      </c>
      <c r="AJ456" s="14">
        <f t="shared" si="2275"/>
        <v>0.71734353102228587</v>
      </c>
      <c r="AK456" s="14">
        <f t="shared" ref="AK456:AL456" si="2276">+AK453/AK449</f>
        <v>0.6962483678392003</v>
      </c>
      <c r="AL456" s="14">
        <f t="shared" si="2276"/>
        <v>0.68976670830867348</v>
      </c>
      <c r="AM456" s="14">
        <f t="shared" ref="AM456" si="2277">+AM453/AM449</f>
        <v>0.68209584243538279</v>
      </c>
      <c r="AN456" s="14"/>
      <c r="AO456" s="14"/>
      <c r="AP456" s="14"/>
      <c r="AQ456" s="14"/>
      <c r="BB456" s="14"/>
      <c r="BC456" s="14"/>
      <c r="BD456" s="14"/>
      <c r="BE456" s="14"/>
      <c r="BG456" s="14">
        <f t="shared" ref="BG456:BM456" si="2278">+BG453/BG449</f>
        <v>0.72028500654432714</v>
      </c>
      <c r="BH456" s="14">
        <f t="shared" si="2278"/>
        <v>0.67867938004556527</v>
      </c>
      <c r="BI456" s="14">
        <f t="shared" si="2278"/>
        <v>0.67579066079929695</v>
      </c>
      <c r="BJ456" s="14">
        <f t="shared" si="2278"/>
        <v>0.6820676419404007</v>
      </c>
      <c r="BK456" s="14">
        <f t="shared" si="2278"/>
        <v>0.69177954933375019</v>
      </c>
      <c r="BL456" s="14">
        <f t="shared" si="2278"/>
        <v>0.71710011457268297</v>
      </c>
      <c r="BM456" s="14">
        <f t="shared" si="2278"/>
        <v>0.70062462242307066</v>
      </c>
      <c r="BN456" s="14">
        <f t="shared" ref="BN456:BO456" si="2279">+BN453/BN449</f>
        <v>0.70115657312828172</v>
      </c>
      <c r="BO456" s="14">
        <f t="shared" si="2279"/>
        <v>0.69563216976994668</v>
      </c>
      <c r="BP456" s="14"/>
    </row>
    <row r="457" spans="2:68">
      <c r="B457" s="13"/>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BI457" s="21"/>
      <c r="BJ457" s="21"/>
      <c r="BK457" s="21"/>
      <c r="BL457" s="21"/>
      <c r="BM457" s="21"/>
      <c r="BN457" s="21"/>
      <c r="BO457" s="21"/>
      <c r="BP457" s="21"/>
    </row>
    <row r="458" spans="2:68">
      <c r="B458" t="s">
        <v>367</v>
      </c>
      <c r="H458" s="8">
        <f t="shared" ref="H458:AH458" si="2280">+H453-H463</f>
        <v>2336.9295873830997</v>
      </c>
      <c r="I458" s="8">
        <f t="shared" si="2280"/>
        <v>2334.3397837977263</v>
      </c>
      <c r="J458" s="8">
        <f t="shared" si="2280"/>
        <v>2417.7169680380412</v>
      </c>
      <c r="K458" s="8">
        <f t="shared" si="2280"/>
        <v>2384.5794296899394</v>
      </c>
      <c r="L458" s="8">
        <f t="shared" si="2280"/>
        <v>2465.4300508398401</v>
      </c>
      <c r="M458" s="8">
        <f t="shared" si="2280"/>
        <v>2454.5945241063682</v>
      </c>
      <c r="N458" s="8">
        <f t="shared" si="2280"/>
        <v>2682.6467105841048</v>
      </c>
      <c r="O458" s="8">
        <f t="shared" si="2280"/>
        <v>2646.6280147622338</v>
      </c>
      <c r="P458" s="8">
        <f t="shared" si="2280"/>
        <v>2953.8566021103879</v>
      </c>
      <c r="Q458" s="8">
        <f t="shared" si="2280"/>
        <v>3109.0693760762706</v>
      </c>
      <c r="R458" s="8">
        <f t="shared" si="2280"/>
        <v>3297.8578344890229</v>
      </c>
      <c r="S458" s="8">
        <f t="shared" si="2280"/>
        <v>3309.6232083708392</v>
      </c>
      <c r="T458" s="8">
        <f t="shared" si="2280"/>
        <v>3616.0920513349974</v>
      </c>
      <c r="U458" s="8">
        <f t="shared" si="2280"/>
        <v>3677.8660016121903</v>
      </c>
      <c r="V458" s="8">
        <f t="shared" si="2280"/>
        <v>3930.519830234145</v>
      </c>
      <c r="W458" s="8">
        <f t="shared" si="2280"/>
        <v>3910.1317998948307</v>
      </c>
      <c r="X458" s="8">
        <f t="shared" si="2280"/>
        <v>4003.182742361827</v>
      </c>
      <c r="Y458" s="8">
        <f t="shared" si="2280"/>
        <v>4090.7178329444541</v>
      </c>
      <c r="Z458" s="8">
        <f t="shared" si="2280"/>
        <v>4349.0864465888371</v>
      </c>
      <c r="AA458" s="8">
        <f t="shared" si="2280"/>
        <v>4514.3878616316724</v>
      </c>
      <c r="AB458" s="8">
        <f t="shared" si="2280"/>
        <v>4522.7477215761355</v>
      </c>
      <c r="AC458" s="8">
        <f t="shared" si="2280"/>
        <v>4636.9798858109007</v>
      </c>
      <c r="AD458" s="8">
        <f t="shared" si="2280"/>
        <v>5068.4849605130821</v>
      </c>
      <c r="AE458" s="8">
        <f t="shared" si="2280"/>
        <v>5773.49089405837</v>
      </c>
      <c r="AF458" s="8">
        <f t="shared" si="2280"/>
        <v>5523.6972658913619</v>
      </c>
      <c r="AG458" s="8">
        <f t="shared" si="2280"/>
        <v>5537.9664663987514</v>
      </c>
      <c r="AH458" s="8">
        <f t="shared" si="2280"/>
        <v>5875.9077045900431</v>
      </c>
      <c r="AI458" s="8">
        <f t="shared" ref="AI458:AJ458" si="2281">+AI453-AI463</f>
        <v>6241.2094371077073</v>
      </c>
      <c r="AJ458" s="8">
        <f t="shared" si="2281"/>
        <v>5651.0367190696343</v>
      </c>
      <c r="AK458" s="8">
        <f t="shared" ref="AK458:AL458" si="2282">+AK453-AK463</f>
        <v>5557.9077596785028</v>
      </c>
      <c r="AL458" s="8">
        <f t="shared" si="2282"/>
        <v>5909.289245508051</v>
      </c>
      <c r="AM458" s="8">
        <f t="shared" ref="AM458" si="2283">+AM453-AM463</f>
        <v>6590.9629470449399</v>
      </c>
      <c r="AN458" s="8"/>
      <c r="AO458" s="8"/>
      <c r="AP458" s="8"/>
      <c r="AQ458" s="8"/>
      <c r="AS458">
        <f t="shared" ref="AS458:BM458" si="2284">+AS453-AS463</f>
        <v>0</v>
      </c>
      <c r="AT458">
        <f t="shared" si="2284"/>
        <v>0</v>
      </c>
      <c r="AU458">
        <f t="shared" si="2284"/>
        <v>0</v>
      </c>
      <c r="AV458">
        <f t="shared" si="2284"/>
        <v>0</v>
      </c>
      <c r="AW458">
        <f t="shared" si="2284"/>
        <v>0</v>
      </c>
      <c r="BB458" s="8"/>
      <c r="BC458" s="8"/>
      <c r="BD458" s="8"/>
      <c r="BE458" s="8"/>
      <c r="BG458" s="8">
        <f t="shared" si="2284"/>
        <v>8834.5514832940498</v>
      </c>
      <c r="BH458" s="8">
        <f t="shared" si="2284"/>
        <v>9473.5657689088075</v>
      </c>
      <c r="BI458" s="8">
        <f t="shared" si="2284"/>
        <v>10249.299300292547</v>
      </c>
      <c r="BJ458" s="8">
        <f t="shared" si="2284"/>
        <v>12670.407021046522</v>
      </c>
      <c r="BK458" s="8">
        <f t="shared" si="2284"/>
        <v>15134.60968307616</v>
      </c>
      <c r="BL458" s="8">
        <f t="shared" si="2284"/>
        <v>16957.374883526791</v>
      </c>
      <c r="BM458" s="8">
        <f t="shared" si="2284"/>
        <v>20001.703461958488</v>
      </c>
      <c r="BN458" s="8">
        <f t="shared" ref="BN458:BO458" si="2285">+BN453-BN463</f>
        <v>23178.78087398786</v>
      </c>
      <c r="BO458" s="8">
        <f t="shared" si="2285"/>
        <v>23709.196671301121</v>
      </c>
      <c r="BP458" s="8"/>
    </row>
    <row r="459" spans="2:68">
      <c r="B459" s="13" t="s">
        <v>113</v>
      </c>
      <c r="L459" s="14">
        <f>+IFERROR(L458/H458-1,"n/a ")</f>
        <v>5.4986878573708209E-2</v>
      </c>
      <c r="M459" s="14">
        <f t="shared" ref="M459" si="2286">+IFERROR(M458/I458-1,"n/a ")</f>
        <v>5.1515525350384062E-2</v>
      </c>
      <c r="N459" s="14">
        <f t="shared" ref="N459" si="2287">+IFERROR(N458/J458-1,"n/a ")</f>
        <v>0.10957847674000165</v>
      </c>
      <c r="O459" s="14">
        <f t="shared" ref="O459" si="2288">+IFERROR(O458/K458-1,"n/a ")</f>
        <v>0.10989299907966066</v>
      </c>
      <c r="P459" s="14">
        <f t="shared" ref="P459" si="2289">+IFERROR(P458/L458-1,"n/a ")</f>
        <v>0.1981100827030835</v>
      </c>
      <c r="Q459" s="14">
        <f t="shared" ref="Q459" si="2290">+IFERROR(Q458/M458-1,"n/a ")</f>
        <v>0.2666325723219698</v>
      </c>
      <c r="R459" s="14">
        <f t="shared" ref="R459" si="2291">+IFERROR(R458/N458-1,"n/a ")</f>
        <v>0.22932990821253751</v>
      </c>
      <c r="S459" s="14">
        <f t="shared" ref="S459" si="2292">+IFERROR(S458/O458-1,"n/a ")</f>
        <v>0.250505620703243</v>
      </c>
      <c r="T459" s="14">
        <f t="shared" ref="T459" si="2293">+IFERROR(T458/P458-1,"n/a ")</f>
        <v>0.22419349969510183</v>
      </c>
      <c r="U459" s="14">
        <f t="shared" ref="U459" si="2294">+IFERROR(U458/Q458-1,"n/a ")</f>
        <v>0.18294755012953634</v>
      </c>
      <c r="V459" s="14">
        <f t="shared" ref="V459" si="2295">+IFERROR(V458/R458-1,"n/a ")</f>
        <v>0.19184028769485995</v>
      </c>
      <c r="W459" s="14">
        <f t="shared" ref="W459" si="2296">+IFERROR(W458/S458-1,"n/a ")</f>
        <v>0.1814431896673796</v>
      </c>
      <c r="X459" s="14">
        <f t="shared" ref="X459" si="2297">+IFERROR(X458/T458-1,"n/a ")</f>
        <v>0.1070466917134818</v>
      </c>
      <c r="Y459" s="14">
        <f t="shared" ref="Y459" si="2298">+IFERROR(Y458/U458-1,"n/a ")</f>
        <v>0.11225309218750512</v>
      </c>
      <c r="Z459" s="14">
        <f t="shared" ref="Z459" si="2299">+IFERROR(Z458/V458-1,"n/a ")</f>
        <v>0.10649141447780397</v>
      </c>
      <c r="AA459" s="14">
        <f t="shared" ref="AA459" si="2300">+IFERROR(AA458/W458-1,"n/a ")</f>
        <v>0.15453598309732008</v>
      </c>
      <c r="AB459" s="14">
        <f t="shared" ref="AB459" si="2301">+IFERROR(AB458/X458-1,"n/a ")</f>
        <v>0.1297879743825463</v>
      </c>
      <c r="AC459" s="14">
        <f t="shared" ref="AC459" si="2302">+IFERROR(AC458/Y458-1,"n/a ")</f>
        <v>0.13353696714721908</v>
      </c>
      <c r="AD459" s="14">
        <f t="shared" ref="AD459" si="2303">+IFERROR(AD458/Z458-1,"n/a ")</f>
        <v>0.16541370762783947</v>
      </c>
      <c r="AE459" s="14">
        <f t="shared" ref="AE459" si="2304">+IFERROR(AE458/AA458-1,"n/a ")</f>
        <v>0.27890891766920745</v>
      </c>
      <c r="AF459" s="14">
        <f t="shared" ref="AF459" si="2305">+IFERROR(AF458/AB458-1,"n/a ")</f>
        <v>0.22131447649403824</v>
      </c>
      <c r="AG459" s="14">
        <f t="shared" ref="AG459" si="2306">+IFERROR(AG458/AC458-1,"n/a ")</f>
        <v>0.19430461265205357</v>
      </c>
      <c r="AH459" s="14">
        <f t="shared" ref="AH459" si="2307">+IFERROR(AH458/AD458-1,"n/a ")</f>
        <v>0.15930258259959906</v>
      </c>
      <c r="AI459" s="14">
        <f t="shared" ref="AI459" si="2308">+IFERROR(AI458/AE458-1,"n/a ")</f>
        <v>8.1011393562719025E-2</v>
      </c>
      <c r="AJ459" s="14">
        <f t="shared" ref="AJ459:AK459" si="2309">+IFERROR(AJ458/AF458-1,"n/a ")</f>
        <v>2.3053300542842825E-2</v>
      </c>
      <c r="AK459" s="14">
        <f t="shared" si="2309"/>
        <v>3.6008331579369113E-3</v>
      </c>
      <c r="AL459" s="14">
        <f t="shared" ref="AL459" si="2310">+IFERROR(AL458/AH458-1,"n/a ")</f>
        <v>5.6810866671597182E-3</v>
      </c>
      <c r="AM459" s="14">
        <f t="shared" ref="AM459" si="2311">+IFERROR(AM458/AI458-1,"n/a ")</f>
        <v>5.6039380421643914E-2</v>
      </c>
      <c r="AN459" s="14"/>
      <c r="AO459" s="14"/>
      <c r="AP459" s="14"/>
      <c r="AQ459" s="14"/>
      <c r="BC459" s="14"/>
      <c r="BD459" s="14"/>
      <c r="BE459" s="14"/>
      <c r="BG459" s="14"/>
      <c r="BH459" s="14">
        <f>+IFERROR(BH458/BG458-1,"n/a ")</f>
        <v>7.2331265126828415E-2</v>
      </c>
      <c r="BI459" s="14">
        <f>+IFERROR(BI458/BH458-1,"n/a ")</f>
        <v>8.1884007596127129E-2</v>
      </c>
      <c r="BJ459" s="14">
        <f>+IFERROR(BJ458/BI458-1,"n/a ")</f>
        <v>0.2362217796376449</v>
      </c>
      <c r="BK459" s="14">
        <f>+IFERROR(BK458/BJ458-1,"n/a ")</f>
        <v>0.1944848857606869</v>
      </c>
      <c r="BL459" s="14">
        <f t="shared" ref="BL459" si="2312">+IFERROR(BL458/BK458-1,"n/a ")</f>
        <v>0.12043688199563451</v>
      </c>
      <c r="BM459" s="14">
        <f t="shared" ref="BM459" si="2313">+IFERROR(BM458/BL458-1,"n/a ")</f>
        <v>0.17952829369769407</v>
      </c>
      <c r="BN459" s="14">
        <f t="shared" ref="BN459" si="2314">+IFERROR(BN458/BM458-1,"n/a ")</f>
        <v>0.15884034167749261</v>
      </c>
      <c r="BO459" s="14">
        <f t="shared" ref="BO459" si="2315">+IFERROR(BO458/BN458-1,"n/a ")</f>
        <v>2.288367969812044E-2</v>
      </c>
      <c r="BP459" s="14"/>
    </row>
    <row r="460" spans="2:68">
      <c r="B460" s="13" t="s">
        <v>270</v>
      </c>
      <c r="L460" s="14">
        <f t="shared" ref="L460:AG460" si="2316">(H453*(1+L455)-H463*(1+L465))/H458-1</f>
        <v>2.3960053841849405E-2</v>
      </c>
      <c r="M460" s="14">
        <f t="shared" si="2316"/>
        <v>2.2042280327327912E-2</v>
      </c>
      <c r="N460" s="14">
        <f t="shared" si="2316"/>
        <v>7.7809097595896271E-2</v>
      </c>
      <c r="O460" s="14">
        <f t="shared" si="2316"/>
        <v>7.7923965804799655E-2</v>
      </c>
      <c r="P460" s="14">
        <f t="shared" si="2316"/>
        <v>0.20065712817860604</v>
      </c>
      <c r="Q460" s="14">
        <f t="shared" si="2316"/>
        <v>0.25768773563590974</v>
      </c>
      <c r="R460" s="14">
        <f t="shared" si="2316"/>
        <v>0.22999999999999998</v>
      </c>
      <c r="S460" s="14">
        <f t="shared" si="2316"/>
        <v>0.23947901993208864</v>
      </c>
      <c r="T460" s="14">
        <f t="shared" si="2316"/>
        <v>0.2206190307842042</v>
      </c>
      <c r="U460" s="14">
        <f t="shared" si="2316"/>
        <v>0.19398779301116775</v>
      </c>
      <c r="V460" s="14">
        <f t="shared" si="2316"/>
        <v>0.1838146267849694</v>
      </c>
      <c r="W460" s="14">
        <f t="shared" si="2316"/>
        <v>0.196397243080078</v>
      </c>
      <c r="X460" s="14">
        <f t="shared" si="2316"/>
        <v>0.11018884673763996</v>
      </c>
      <c r="Y460" s="14">
        <f t="shared" si="2316"/>
        <v>9.7524983313166391E-2</v>
      </c>
      <c r="Z460" s="14">
        <f t="shared" si="2316"/>
        <v>0.100781773497018</v>
      </c>
      <c r="AA460" s="14">
        <f t="shared" si="2316"/>
        <v>0.10599529815919517</v>
      </c>
      <c r="AB460" s="14">
        <f t="shared" si="2316"/>
        <v>0.11101354637432315</v>
      </c>
      <c r="AC460" s="14">
        <f t="shared" si="2316"/>
        <v>0.15651969883899652</v>
      </c>
      <c r="AD460" s="14">
        <f t="shared" si="2316"/>
        <v>0.18136069500242669</v>
      </c>
      <c r="AE460" s="14">
        <f t="shared" si="2316"/>
        <v>0.20724929323459929</v>
      </c>
      <c r="AF460" s="14">
        <f t="shared" si="2316"/>
        <v>0.27671992440331095</v>
      </c>
      <c r="AG460" s="14">
        <f t="shared" si="2316"/>
        <v>0.21894970406130176</v>
      </c>
      <c r="AH460" s="14">
        <f>(AD453*(1+AH455)-AD463*(1+AH465))/AD458-1</f>
        <v>0.1963382155900919</v>
      </c>
      <c r="AI460" s="14">
        <f t="shared" ref="AI460" si="2317">(AE453*(1+AI455)-AE463*(1+AI465))/AE458-1</f>
        <v>9.4820181071612719E-2</v>
      </c>
      <c r="AJ460" s="14">
        <f t="shared" ref="AJ460:AK460" si="2318">(AF453*(1+AJ455)-AF463*(1+AJ465))/AF458-1</f>
        <v>1.1210332054532701E-2</v>
      </c>
      <c r="AK460" s="14">
        <f t="shared" si="2318"/>
        <v>7.1503935168260035E-4</v>
      </c>
      <c r="AL460" s="14">
        <f t="shared" ref="AL460" si="2319">(AH453*(1+AL455)-AH463*(1+AL465))/AH458-1</f>
        <v>5.6810866671597182E-3</v>
      </c>
      <c r="AM460" s="14">
        <f t="shared" ref="AM460" si="2320">(AI453*(1+AM455)-AI463*(1+AM465))/AI458-1</f>
        <v>4.1942753656179832E-2</v>
      </c>
      <c r="AN460" s="14"/>
      <c r="AO460" s="14"/>
      <c r="AP460" s="14"/>
      <c r="AQ460" s="14"/>
      <c r="BC460" s="14"/>
      <c r="BD460" s="14"/>
      <c r="BE460" s="14"/>
      <c r="BG460" s="14"/>
      <c r="BH460" s="23" t="s">
        <v>271</v>
      </c>
      <c r="BI460" s="23">
        <f>+SUMPRODUCT(L460:O460,H458:K458)/BH458</f>
        <v>5.0813326664725787E-2</v>
      </c>
      <c r="BJ460" s="23">
        <f>+SUMPRODUCT(P460:S460,L458:O458)/BI458</f>
        <v>0.23202031430720019</v>
      </c>
      <c r="BK460" s="23">
        <f>+SUMPRODUCT(T460:W460,P458:S458)/BJ458</f>
        <v>0.19817783784215998</v>
      </c>
      <c r="BL460" s="23">
        <f>+SUMPRODUCT(X460:AA460,T458:W458)/BK458</f>
        <v>0.10358490977470623</v>
      </c>
      <c r="BM460" s="23">
        <f>+SUMPRODUCT(AB460:AE460,X458:AA458)/BL458</f>
        <v>0.16565314441916928</v>
      </c>
      <c r="BN460" s="23">
        <f>+SUMPRODUCT(AF460:AI460,AB458:AE458)/BM458</f>
        <v>0.19045280485603094</v>
      </c>
      <c r="BO460" s="23">
        <f>+SUMPRODUCT(AJ460:AM460,AF458:AI458)/BN458</f>
        <v>1.5576202962923802E-2</v>
      </c>
      <c r="BP460" s="14"/>
    </row>
    <row r="461" spans="2:68">
      <c r="B461" s="13" t="s">
        <v>115</v>
      </c>
      <c r="C461" s="14"/>
      <c r="D461" s="14" t="str">
        <f t="shared" ref="D461:AH461" si="2321">+IFERROR(D458/D449,"n/a ")</f>
        <v xml:space="preserve">n/a </v>
      </c>
      <c r="E461" s="14" t="str">
        <f t="shared" si="2321"/>
        <v xml:space="preserve">n/a </v>
      </c>
      <c r="F461" s="14" t="str">
        <f t="shared" si="2321"/>
        <v xml:space="preserve">n/a </v>
      </c>
      <c r="G461" s="14" t="str">
        <f t="shared" si="2321"/>
        <v xml:space="preserve">n/a </v>
      </c>
      <c r="H461" s="14">
        <f t="shared" si="2321"/>
        <v>0.38329171516862387</v>
      </c>
      <c r="I461" s="14">
        <f t="shared" si="2321"/>
        <v>0.34541873095556769</v>
      </c>
      <c r="J461" s="14">
        <f t="shared" si="2321"/>
        <v>0.35924472036226468</v>
      </c>
      <c r="K461" s="14">
        <f t="shared" si="2321"/>
        <v>0.30485546275759901</v>
      </c>
      <c r="L461" s="14">
        <f t="shared" si="2321"/>
        <v>0.35617307871133197</v>
      </c>
      <c r="M461" s="14">
        <f t="shared" si="2321"/>
        <v>0.31489346043699401</v>
      </c>
      <c r="N461" s="14">
        <f t="shared" si="2321"/>
        <v>0.33974755706485621</v>
      </c>
      <c r="O461" s="14">
        <f t="shared" si="2321"/>
        <v>0.27551821931732601</v>
      </c>
      <c r="P461" s="14">
        <f t="shared" si="2321"/>
        <v>0.344794747532437</v>
      </c>
      <c r="Q461" s="14">
        <f t="shared" si="2321"/>
        <v>0.33152797782856375</v>
      </c>
      <c r="R461" s="14">
        <f t="shared" si="2321"/>
        <v>0.3417823437132369</v>
      </c>
      <c r="S461" s="14">
        <f t="shared" si="2321"/>
        <v>0.29054720466779382</v>
      </c>
      <c r="T461" s="14">
        <f t="shared" si="2321"/>
        <v>0.33343402962978308</v>
      </c>
      <c r="U461" s="14">
        <f t="shared" si="2321"/>
        <v>0.30987159841706885</v>
      </c>
      <c r="V461" s="14">
        <f t="shared" si="2321"/>
        <v>0.32004884213290002</v>
      </c>
      <c r="W461" s="14">
        <f t="shared" si="2321"/>
        <v>0.29243375962118245</v>
      </c>
      <c r="X461" s="14">
        <f t="shared" si="2321"/>
        <v>0.30826911615292063</v>
      </c>
      <c r="Y461" s="14">
        <f t="shared" si="2321"/>
        <v>0.28016696342335828</v>
      </c>
      <c r="Z461" s="14">
        <f t="shared" si="2321"/>
        <v>0.28767604488615139</v>
      </c>
      <c r="AA461" s="14">
        <f t="shared" si="2321"/>
        <v>0.25982088412268617</v>
      </c>
      <c r="AB461" s="14">
        <f t="shared" si="2321"/>
        <v>0.26660856646876535</v>
      </c>
      <c r="AC461" s="14">
        <f t="shared" si="2321"/>
        <v>0.25301358028105531</v>
      </c>
      <c r="AD461" s="14">
        <f t="shared" si="2321"/>
        <v>0.26604823686489332</v>
      </c>
      <c r="AE461" s="14">
        <f t="shared" si="2321"/>
        <v>0.27612467808400065</v>
      </c>
      <c r="AF461" s="14">
        <f t="shared" si="2321"/>
        <v>0.2717686231680867</v>
      </c>
      <c r="AG461" s="14">
        <f t="shared" si="2321"/>
        <v>0.25748402763617034</v>
      </c>
      <c r="AH461" s="14">
        <f t="shared" si="2321"/>
        <v>0.2661069564145665</v>
      </c>
      <c r="AI461" s="14">
        <f t="shared" ref="AI461:AJ461" si="2322">+IFERROR(AI458/AI449,"n/a ")</f>
        <v>0.26012626337297157</v>
      </c>
      <c r="AJ461" s="14">
        <f t="shared" si="2322"/>
        <v>0.23294598784243514</v>
      </c>
      <c r="AK461" s="14">
        <f t="shared" ref="AK461:AL461" si="2323">+IFERROR(AK458/AK449,"n/a ")</f>
        <v>0.21475686861199778</v>
      </c>
      <c r="AL461" s="14">
        <f t="shared" si="2323"/>
        <v>0.22125540083525727</v>
      </c>
      <c r="AM461" s="14">
        <f t="shared" ref="AM461" si="2324">+IFERROR(AM458/AM449,"n/a ")</f>
        <v>0.2311402050515497</v>
      </c>
      <c r="AN461" s="14"/>
      <c r="AO461" s="14"/>
      <c r="AP461" s="14"/>
      <c r="AQ461" s="14"/>
      <c r="AS461" t="str">
        <f t="shared" ref="AS461:BM461" si="2325">+IFERROR(AS458/AS449,"n/a ")</f>
        <v xml:space="preserve">n/a </v>
      </c>
      <c r="AT461" t="str">
        <f t="shared" si="2325"/>
        <v xml:space="preserve">n/a </v>
      </c>
      <c r="AU461" t="str">
        <f t="shared" si="2325"/>
        <v xml:space="preserve">n/a </v>
      </c>
      <c r="AV461" t="str">
        <f t="shared" si="2325"/>
        <v xml:space="preserve">n/a </v>
      </c>
      <c r="AW461" t="str">
        <f t="shared" si="2325"/>
        <v xml:space="preserve">n/a </v>
      </c>
      <c r="BB461" s="14"/>
      <c r="BC461" s="14"/>
      <c r="BD461" s="14"/>
      <c r="BE461" s="14"/>
      <c r="BG461" s="14">
        <f t="shared" si="2325"/>
        <v>0.35406185809931268</v>
      </c>
      <c r="BH461" s="14">
        <f t="shared" si="2325"/>
        <v>0.34566226762902935</v>
      </c>
      <c r="BI461" s="14">
        <f t="shared" si="2325"/>
        <v>0.31811351377424957</v>
      </c>
      <c r="BJ461" s="14">
        <f t="shared" si="2325"/>
        <v>0.32500723409122795</v>
      </c>
      <c r="BK461" s="14">
        <f t="shared" si="2325"/>
        <v>0.31291836585775462</v>
      </c>
      <c r="BL461" s="14">
        <f t="shared" si="2325"/>
        <v>0.28224658594418761</v>
      </c>
      <c r="BM461" s="14">
        <f t="shared" si="2325"/>
        <v>0.26579983604149432</v>
      </c>
      <c r="BN461" s="14">
        <f t="shared" ref="BN461:BO461" si="2326">+IFERROR(BN458/BN449,"n/a ")</f>
        <v>0.26367389256814427</v>
      </c>
      <c r="BO461" s="14">
        <f t="shared" si="2326"/>
        <v>0.2250260688986648</v>
      </c>
      <c r="BP461" s="14"/>
    </row>
    <row r="462" spans="2:68">
      <c r="B462" s="921"/>
    </row>
    <row r="463" spans="2:68">
      <c r="B463" t="s">
        <v>351</v>
      </c>
      <c r="H463" s="8">
        <f t="shared" ref="H463:AQ463" si="2327">+H181</f>
        <v>1777</v>
      </c>
      <c r="I463" s="8">
        <f t="shared" si="2327"/>
        <v>2291</v>
      </c>
      <c r="J463" s="8">
        <f t="shared" si="2327"/>
        <v>2148</v>
      </c>
      <c r="K463" s="8">
        <f t="shared" si="2327"/>
        <v>2911</v>
      </c>
      <c r="L463" s="8">
        <f t="shared" si="2327"/>
        <v>2137</v>
      </c>
      <c r="M463" s="8">
        <f t="shared" si="2327"/>
        <v>2832</v>
      </c>
      <c r="N463" s="8">
        <f t="shared" si="2327"/>
        <v>2654</v>
      </c>
      <c r="O463" s="8">
        <f t="shared" si="2327"/>
        <v>3901</v>
      </c>
      <c r="P463" s="8">
        <f t="shared" si="2327"/>
        <v>2931</v>
      </c>
      <c r="Q463" s="8">
        <f t="shared" si="2327"/>
        <v>3279</v>
      </c>
      <c r="R463" s="8">
        <f t="shared" si="2327"/>
        <v>3208</v>
      </c>
      <c r="S463" s="8">
        <f t="shared" si="2327"/>
        <v>4502</v>
      </c>
      <c r="T463" s="8">
        <f t="shared" si="2327"/>
        <v>3889</v>
      </c>
      <c r="U463" s="8">
        <f t="shared" si="2327"/>
        <v>4531</v>
      </c>
      <c r="V463" s="8">
        <f t="shared" si="2327"/>
        <v>4560</v>
      </c>
      <c r="W463" s="8">
        <f t="shared" si="2327"/>
        <v>5344</v>
      </c>
      <c r="X463" s="8">
        <f t="shared" si="2327"/>
        <v>5422</v>
      </c>
      <c r="Y463" s="8">
        <f t="shared" si="2327"/>
        <v>6492</v>
      </c>
      <c r="Z463" s="8">
        <f t="shared" si="2327"/>
        <v>6425</v>
      </c>
      <c r="AA463" s="8">
        <f t="shared" si="2327"/>
        <v>7787</v>
      </c>
      <c r="AB463" s="8">
        <f t="shared" si="2327"/>
        <v>7562</v>
      </c>
      <c r="AC463" s="8">
        <f t="shared" si="2327"/>
        <v>8197</v>
      </c>
      <c r="AD463" s="8">
        <f t="shared" si="2327"/>
        <v>8281</v>
      </c>
      <c r="AE463" s="8">
        <f t="shared" si="2327"/>
        <v>8681</v>
      </c>
      <c r="AF463" s="8">
        <f t="shared" si="2327"/>
        <v>8978</v>
      </c>
      <c r="AG463" s="8">
        <f t="shared" si="2327"/>
        <v>9477.7900000000009</v>
      </c>
      <c r="AH463" s="8">
        <f t="shared" si="2327"/>
        <v>9476</v>
      </c>
      <c r="AI463" s="8">
        <f t="shared" si="2327"/>
        <v>10526</v>
      </c>
      <c r="AJ463" s="8">
        <f t="shared" si="2327"/>
        <v>11751</v>
      </c>
      <c r="AK463" s="8">
        <f t="shared" si="2327"/>
        <v>12461</v>
      </c>
      <c r="AL463" s="8">
        <f t="shared" si="2327"/>
        <v>12513</v>
      </c>
      <c r="AM463" s="8">
        <f t="shared" si="2327"/>
        <v>12859</v>
      </c>
      <c r="AN463" s="8">
        <f t="shared" si="2327"/>
        <v>14447.343952223973</v>
      </c>
      <c r="AO463" s="8">
        <f t="shared" si="2327"/>
        <v>15521.716646240764</v>
      </c>
      <c r="AP463" s="8">
        <f t="shared" si="2327"/>
        <v>15659.559847183966</v>
      </c>
      <c r="AQ463" s="8">
        <f t="shared" si="2327"/>
        <v>16273.293886861344</v>
      </c>
      <c r="BB463" s="8">
        <f>+BB181</f>
        <v>8446</v>
      </c>
      <c r="BC463" s="8">
        <f>+BC181</f>
        <v>9803</v>
      </c>
      <c r="BD463" s="8">
        <f>+BD181</f>
        <v>9315</v>
      </c>
      <c r="BE463" s="8">
        <f>+BE181</f>
        <v>9138</v>
      </c>
      <c r="BG463" s="61">
        <f>+BE463</f>
        <v>9138</v>
      </c>
      <c r="BH463" s="8">
        <f t="shared" ref="BH463:BM463" si="2328">+BH181</f>
        <v>9127</v>
      </c>
      <c r="BI463" s="8">
        <f t="shared" si="2328"/>
        <v>11524</v>
      </c>
      <c r="BJ463" s="8">
        <f t="shared" si="2328"/>
        <v>13920</v>
      </c>
      <c r="BK463" s="8">
        <f t="shared" si="2328"/>
        <v>18324</v>
      </c>
      <c r="BL463" s="8">
        <f t="shared" si="2328"/>
        <v>26126</v>
      </c>
      <c r="BM463" s="8">
        <f t="shared" si="2328"/>
        <v>32721</v>
      </c>
      <c r="BN463" s="8">
        <f>SUM(AF463:AI463)</f>
        <v>38457.79</v>
      </c>
      <c r="BO463" s="8">
        <f>SUM(AJ463:AM463)</f>
        <v>49584</v>
      </c>
      <c r="BP463" s="8">
        <f>+SUM(AN463:AQ463)</f>
        <v>61901.914332510045</v>
      </c>
    </row>
    <row r="464" spans="2:68">
      <c r="B464" s="13" t="s">
        <v>113</v>
      </c>
      <c r="L464" s="14">
        <f t="shared" ref="L464" si="2329">+L463/H463-1</f>
        <v>0.20258863252673054</v>
      </c>
      <c r="M464" s="14">
        <f t="shared" ref="M464" si="2330">+M463/I463-1</f>
        <v>0.23614142295940632</v>
      </c>
      <c r="N464" s="14">
        <f>+N463/J463-1</f>
        <v>0.23556797020484166</v>
      </c>
      <c r="O464" s="14">
        <f>+O463/K463-1</f>
        <v>0.34008931638612161</v>
      </c>
      <c r="P464" s="14">
        <f t="shared" ref="P464:V464" si="2331">+P463/L463-1</f>
        <v>0.37154890032756205</v>
      </c>
      <c r="Q464" s="14">
        <f t="shared" si="2331"/>
        <v>0.15783898305084754</v>
      </c>
      <c r="R464" s="14">
        <f t="shared" si="2331"/>
        <v>0.20874152223059528</v>
      </c>
      <c r="S464" s="14">
        <f t="shared" si="2331"/>
        <v>0.15406306075365284</v>
      </c>
      <c r="T464" s="14">
        <f t="shared" si="2331"/>
        <v>0.32685090412828388</v>
      </c>
      <c r="U464" s="14">
        <f t="shared" si="2331"/>
        <v>0.38182372674595921</v>
      </c>
      <c r="V464" s="14">
        <f t="shared" si="2331"/>
        <v>0.42144638403990031</v>
      </c>
      <c r="W464" s="14">
        <f t="shared" ref="W464:X464" si="2332">+W463/S463-1</f>
        <v>0.18702798756108385</v>
      </c>
      <c r="X464" s="14">
        <f t="shared" si="2332"/>
        <v>0.39418873746464378</v>
      </c>
      <c r="Y464" s="14">
        <f t="shared" ref="Y464" si="2333">+Y463/U463-1</f>
        <v>0.43279629220922544</v>
      </c>
      <c r="Z464" s="14">
        <f t="shared" ref="Z464" si="2334">+Z463/V463-1</f>
        <v>0.40899122807017552</v>
      </c>
      <c r="AA464" s="14">
        <f t="shared" ref="AA464" si="2335">+AA463/W463-1</f>
        <v>0.45714820359281427</v>
      </c>
      <c r="AB464" s="14">
        <f t="shared" ref="AB464" si="2336">+AB463/X463-1</f>
        <v>0.39468830689782375</v>
      </c>
      <c r="AC464" s="14">
        <f t="shared" ref="AC464" si="2337">+AC463/Y463-1</f>
        <v>0.26263093037584717</v>
      </c>
      <c r="AD464" s="14">
        <f t="shared" ref="AD464" si="2338">+AD463/Z463-1</f>
        <v>0.28887159533073925</v>
      </c>
      <c r="AE464" s="14">
        <f t="shared" ref="AE464" si="2339">+AE463/AA463-1</f>
        <v>0.11480672916399137</v>
      </c>
      <c r="AF464" s="14">
        <f t="shared" ref="AF464" si="2340">+AF463/AB463-1</f>
        <v>0.18725204972229559</v>
      </c>
      <c r="AG464" s="14">
        <f t="shared" ref="AG464" si="2341">+AG463/AC463-1</f>
        <v>0.15625106746370632</v>
      </c>
      <c r="AH464" s="14">
        <f t="shared" ref="AH464" si="2342">+AH463/AD463-1</f>
        <v>0.14430624320734209</v>
      </c>
      <c r="AI464" s="14">
        <f t="shared" ref="AI464" si="2343">+AI463/AE463-1</f>
        <v>0.21253311830434285</v>
      </c>
      <c r="AJ464" s="14">
        <f t="shared" ref="AJ464:AK464" si="2344">+AJ463/AF463-1</f>
        <v>0.30886611717531753</v>
      </c>
      <c r="AK464" s="14">
        <f t="shared" si="2344"/>
        <v>0.31475797627928026</v>
      </c>
      <c r="AL464" s="14">
        <f t="shared" ref="AL464" si="2345">+AL463/AH463-1</f>
        <v>0.32049387927395534</v>
      </c>
      <c r="AM464" s="14">
        <f t="shared" ref="AM464" si="2346">+AM463/AI463-1</f>
        <v>0.22164164924947749</v>
      </c>
      <c r="AN464" s="14">
        <f t="shared" ref="AN464" si="2347">+AN463/AJ463-1</f>
        <v>0.22945655282307653</v>
      </c>
      <c r="AO464" s="14">
        <f t="shared" ref="AO464" si="2348">+AO463/AK463-1</f>
        <v>0.24562367757328984</v>
      </c>
      <c r="AP464" s="14">
        <f t="shared" ref="AP464" si="2349">+AP463/AL463-1</f>
        <v>0.25146326597809998</v>
      </c>
      <c r="AQ464" s="14">
        <f t="shared" ref="AQ464" si="2350">+AQ463/AM463-1</f>
        <v>0.26551783862363676</v>
      </c>
      <c r="BC464" s="14">
        <f t="shared" ref="BC464:BE464" si="2351">+BC463/BB463-1</f>
        <v>0.16066777172626101</v>
      </c>
      <c r="BD464" s="14">
        <f t="shared" si="2351"/>
        <v>-4.9780679383862103E-2</v>
      </c>
      <c r="BE464" s="14">
        <f t="shared" si="2351"/>
        <v>-1.900161030595815E-2</v>
      </c>
      <c r="BG464" s="829">
        <f>+BE464</f>
        <v>-1.900161030595815E-2</v>
      </c>
      <c r="BH464" s="829">
        <f>+BE464</f>
        <v>-1.900161030595815E-2</v>
      </c>
      <c r="BI464" s="14">
        <f>+BI463/BH463-1</f>
        <v>0.26262736934370556</v>
      </c>
      <c r="BJ464" s="14">
        <f t="shared" ref="BJ464" si="2352">+BJ463/BI463-1</f>
        <v>0.20791391877820198</v>
      </c>
      <c r="BK464" s="14">
        <f t="shared" ref="BK464:BL464" si="2353">+BK463/BJ463-1</f>
        <v>0.31637931034482758</v>
      </c>
      <c r="BL464" s="14">
        <f t="shared" si="2353"/>
        <v>0.42578039729316752</v>
      </c>
      <c r="BM464" s="14">
        <f t="shared" ref="BM464" si="2354">+BM463/BL463-1</f>
        <v>0.25243052897496754</v>
      </c>
      <c r="BN464" s="14">
        <f t="shared" ref="BN464" si="2355">+BN463/BM463-1</f>
        <v>0.17532440940069072</v>
      </c>
      <c r="BO464" s="14">
        <f t="shared" ref="BO464:BP464" si="2356">+BO463/BN463-1</f>
        <v>0.28930965611908532</v>
      </c>
      <c r="BP464" s="14">
        <f t="shared" si="2356"/>
        <v>0.24842518418260018</v>
      </c>
    </row>
    <row r="465" spans="2:68">
      <c r="B465" s="13" t="s">
        <v>270</v>
      </c>
      <c r="L465" s="22">
        <v>0.2</v>
      </c>
      <c r="M465" s="22">
        <v>0.24</v>
      </c>
      <c r="N465" s="22">
        <v>0.21</v>
      </c>
      <c r="O465" s="22">
        <v>0.3</v>
      </c>
      <c r="P465" s="22">
        <v>0.35</v>
      </c>
      <c r="Q465" s="22">
        <v>0.15</v>
      </c>
      <c r="R465" s="22">
        <v>0.23</v>
      </c>
      <c r="S465" s="22">
        <v>0.19</v>
      </c>
      <c r="T465" s="22">
        <v>0.38</v>
      </c>
      <c r="U465" s="22">
        <v>0.42</v>
      </c>
      <c r="V465" s="22">
        <v>0.46</v>
      </c>
      <c r="W465" s="22">
        <v>0.22</v>
      </c>
      <c r="X465" s="22">
        <v>0.38</v>
      </c>
      <c r="Y465" s="22">
        <v>0.41</v>
      </c>
      <c r="Z465" s="22">
        <v>0.36</v>
      </c>
      <c r="AA465" s="22">
        <v>0.39</v>
      </c>
      <c r="AB465" s="22">
        <v>0.37</v>
      </c>
      <c r="AC465" s="22">
        <v>0.26</v>
      </c>
      <c r="AD465" s="22">
        <v>0.33</v>
      </c>
      <c r="AE465" s="22">
        <v>0.18</v>
      </c>
      <c r="AF465" s="22">
        <v>0.25</v>
      </c>
      <c r="AG465" s="93">
        <f>+AG464+8%</f>
        <v>0.23625106746370633</v>
      </c>
      <c r="AH465" s="22">
        <v>0.17</v>
      </c>
      <c r="AI465" s="22">
        <v>0.22</v>
      </c>
      <c r="AJ465" s="22">
        <v>0.3</v>
      </c>
      <c r="AK465" s="93">
        <f>+AK464-3%</f>
        <v>0.28475797627928023</v>
      </c>
      <c r="AL465" s="93">
        <f>+AL464</f>
        <v>0.32049387927395534</v>
      </c>
      <c r="AM465" s="93">
        <v>0.23</v>
      </c>
      <c r="AN465" s="22"/>
      <c r="AO465" s="22"/>
      <c r="AP465" s="22"/>
      <c r="AQ465" s="22"/>
      <c r="BC465" s="23" t="s">
        <v>271</v>
      </c>
      <c r="BG465" s="23" t="s">
        <v>271</v>
      </c>
      <c r="BH465" s="23" t="s">
        <v>271</v>
      </c>
      <c r="BI465" s="23">
        <f>+SUMPRODUCT(L465:O465,H463:K463)/BH463</f>
        <v>0.24428837515065191</v>
      </c>
      <c r="BJ465" s="23">
        <f>+SUMPRODUCT(P465:S465,L463:O463)/BI463</f>
        <v>0.21905241235682055</v>
      </c>
      <c r="BK465" s="23">
        <f>+SUMPRODUCT(T465:W465,P463:S463)/BJ463</f>
        <v>0.35611206896551723</v>
      </c>
      <c r="BL465" s="23">
        <f>+SUMPRODUCT(X465:AA465,T463:W463)/BK463</f>
        <v>0.38535745470421301</v>
      </c>
      <c r="BM465" s="23">
        <f>+SUMPRODUCT(AB465:AE465,X463:AA463)/BL463</f>
        <v>0.27619880578733824</v>
      </c>
      <c r="BN465" s="23">
        <f>+SUMPRODUCT(AF465:AI465,AB463:AE463)/BM463</f>
        <v>0.21835029491763702</v>
      </c>
      <c r="BO465" s="23">
        <f>+SUMPRODUCT(AJ465:AM465,AF463:AI463)/BN463</f>
        <v>0.28213416059529162</v>
      </c>
      <c r="BP465" s="23"/>
    </row>
    <row r="466" spans="2:68">
      <c r="B466" s="13" t="s">
        <v>115</v>
      </c>
      <c r="H466" s="14">
        <f t="shared" ref="H466:AH466" si="2357">+IFERROR(H463/H449,"n/a ")</f>
        <v>0.29145481384287353</v>
      </c>
      <c r="I466" s="14">
        <f t="shared" si="2357"/>
        <v>0.3390056229653744</v>
      </c>
      <c r="J466" s="14">
        <f t="shared" si="2357"/>
        <v>0.31916790490341751</v>
      </c>
      <c r="K466" s="14">
        <f t="shared" si="2357"/>
        <v>0.37215545896190233</v>
      </c>
      <c r="L466" s="14">
        <f t="shared" si="2357"/>
        <v>0.30872580179138975</v>
      </c>
      <c r="M466" s="14">
        <f t="shared" si="2357"/>
        <v>0.36330981398332263</v>
      </c>
      <c r="N466" s="14">
        <f t="shared" si="2357"/>
        <v>0.33611955420466061</v>
      </c>
      <c r="O466" s="14">
        <f t="shared" si="2357"/>
        <v>0.40610035394545074</v>
      </c>
      <c r="P466" s="14">
        <f t="shared" si="2357"/>
        <v>0.34212676549550602</v>
      </c>
      <c r="Q466" s="14">
        <f t="shared" si="2357"/>
        <v>0.34964811260396672</v>
      </c>
      <c r="R466" s="14">
        <f t="shared" si="2357"/>
        <v>0.33246968597782156</v>
      </c>
      <c r="S466" s="14">
        <f t="shared" si="2357"/>
        <v>0.39522429988587482</v>
      </c>
      <c r="T466" s="14">
        <f t="shared" si="2357"/>
        <v>0.35859843245735362</v>
      </c>
      <c r="U466" s="14">
        <f t="shared" si="2357"/>
        <v>0.38175077934114077</v>
      </c>
      <c r="V466" s="14">
        <f t="shared" si="2357"/>
        <v>0.37130526830062699</v>
      </c>
      <c r="W466" s="14">
        <f t="shared" si="2357"/>
        <v>0.39967092962381273</v>
      </c>
      <c r="X466" s="14">
        <f t="shared" si="2357"/>
        <v>0.41752656707223162</v>
      </c>
      <c r="Y466" s="14">
        <f t="shared" si="2357"/>
        <v>0.44462708033696324</v>
      </c>
      <c r="Z466" s="14">
        <f t="shared" si="2357"/>
        <v>0.42499007805265249</v>
      </c>
      <c r="AA466" s="14">
        <f t="shared" si="2357"/>
        <v>0.44817266187050359</v>
      </c>
      <c r="AB466" s="14">
        <f t="shared" si="2357"/>
        <v>0.44576750766328699</v>
      </c>
      <c r="AC466" s="14">
        <f t="shared" si="2357"/>
        <v>0.44726360015278005</v>
      </c>
      <c r="AD466" s="14">
        <f t="shared" si="2357"/>
        <v>0.43467534512624006</v>
      </c>
      <c r="AE466" s="14">
        <f t="shared" si="2357"/>
        <v>0.41518006600028695</v>
      </c>
      <c r="AF466" s="14">
        <f t="shared" si="2357"/>
        <v>0.44172201722017218</v>
      </c>
      <c r="AG466" s="14">
        <f t="shared" si="2357"/>
        <v>0.44066347405616518</v>
      </c>
      <c r="AH466" s="14">
        <f t="shared" si="2357"/>
        <v>0.42914723065078575</v>
      </c>
      <c r="AI466" s="14">
        <f t="shared" ref="AI466:AJ466" si="2358">+IFERROR(AI463/AI449,"n/a ")</f>
        <v>0.43871129079314802</v>
      </c>
      <c r="AJ466" s="14">
        <f t="shared" si="2358"/>
        <v>0.48439754317985079</v>
      </c>
      <c r="AK466" s="14">
        <f t="shared" ref="AK466:AL466" si="2359">+IFERROR(AK463/AK449,"n/a ")</f>
        <v>0.48149149922720247</v>
      </c>
      <c r="AL466" s="14">
        <f t="shared" si="2359"/>
        <v>0.46851130747341618</v>
      </c>
      <c r="AM466" s="14">
        <f t="shared" ref="AM466" si="2360">+IFERROR(AM463/AM449,"n/a ")</f>
        <v>0.4509556373838331</v>
      </c>
      <c r="AN466" s="14">
        <f t="shared" ref="AN466:AQ466" si="2361">+IFERROR(AN463/AN449,"n/a ")</f>
        <v>0.49939754317985086</v>
      </c>
      <c r="AO466" s="14">
        <f t="shared" si="2361"/>
        <v>0.49649149922720248</v>
      </c>
      <c r="AP466" s="14">
        <f t="shared" si="2361"/>
        <v>0.4835113074734162</v>
      </c>
      <c r="AQ466" s="14">
        <f t="shared" si="2361"/>
        <v>0.46595563738383311</v>
      </c>
      <c r="BB466" s="14">
        <f>+IFERROR(BB463/BB449,"n/a ")</f>
        <v>0.38858983206809294</v>
      </c>
      <c r="BC466" s="14">
        <f>+IFERROR(BC463/BC449,"n/a ")</f>
        <v>0.41336706725701033</v>
      </c>
      <c r="BD466" s="14">
        <f>+IFERROR(BD463/BD449,"n/a ")</f>
        <v>0.37197508186247102</v>
      </c>
      <c r="BE466" s="14">
        <f>+IFERROR(BE463/BE449,"n/a ")</f>
        <v>0.33301749271137027</v>
      </c>
      <c r="BG466" s="829">
        <f t="shared" ref="BG466:BM466" si="2362">+IFERROR(BG463/BG449,"n/a ")</f>
        <v>0.36622314844501441</v>
      </c>
      <c r="BH466" s="14">
        <f t="shared" si="2362"/>
        <v>0.33301711241653592</v>
      </c>
      <c r="BI466" s="14">
        <f t="shared" si="2362"/>
        <v>0.35767714702504733</v>
      </c>
      <c r="BJ466" s="14">
        <f t="shared" si="2362"/>
        <v>0.35706040784917276</v>
      </c>
      <c r="BK466" s="14">
        <f t="shared" si="2362"/>
        <v>0.37886118347599551</v>
      </c>
      <c r="BL466" s="14">
        <f t="shared" si="2362"/>
        <v>0.43485352862849536</v>
      </c>
      <c r="BM466" s="14">
        <f t="shared" si="2362"/>
        <v>0.43482478638157634</v>
      </c>
      <c r="BN466" s="14">
        <f t="shared" ref="BN466:BP466" si="2363">+IFERROR(BN463/BN449,"n/a ")</f>
        <v>0.43748268056013745</v>
      </c>
      <c r="BO466" s="14">
        <f t="shared" si="2363"/>
        <v>0.47060610087128185</v>
      </c>
      <c r="BP466" s="14">
        <f t="shared" si="2363"/>
        <v>0.4854897132383747</v>
      </c>
    </row>
    <row r="468" spans="2:68" ht="10.5">
      <c r="B468" s="45" t="str">
        <f>+B281</f>
        <v>Subsegment Disclosure</v>
      </c>
    </row>
    <row r="469" spans="2:68" ht="10.5">
      <c r="B469" s="45"/>
    </row>
    <row r="470" spans="2:68">
      <c r="B470" s="852" t="s">
        <v>372</v>
      </c>
      <c r="D470" s="876" t="s">
        <v>371</v>
      </c>
      <c r="E470" s="876"/>
      <c r="F470" s="876"/>
      <c r="G470" s="876"/>
    </row>
    <row r="471" spans="2:68">
      <c r="B471" s="843" t="s">
        <v>408</v>
      </c>
      <c r="D471" s="911"/>
      <c r="E471" s="911"/>
      <c r="F471" s="911"/>
      <c r="G471" s="911">
        <v>1.02</v>
      </c>
      <c r="H471" s="911">
        <v>1.1599999999999999</v>
      </c>
      <c r="I471" s="911">
        <v>0.93</v>
      </c>
      <c r="J471" s="911">
        <v>0.93</v>
      </c>
      <c r="K471" s="911">
        <v>0.97</v>
      </c>
      <c r="L471" s="911">
        <v>0.9</v>
      </c>
      <c r="M471" s="911">
        <v>0.98</v>
      </c>
      <c r="N471" s="911">
        <v>0.93</v>
      </c>
      <c r="O471" s="911">
        <v>0.89</v>
      </c>
      <c r="P471" s="911">
        <v>0.76</v>
      </c>
      <c r="Q471" s="911">
        <v>0.76</v>
      </c>
      <c r="R471" s="911">
        <v>0.73</v>
      </c>
      <c r="S471" s="911">
        <v>0.64</v>
      </c>
      <c r="T471" s="911">
        <v>0.59</v>
      </c>
      <c r="U471" s="911">
        <v>0.62</v>
      </c>
      <c r="V471" s="911">
        <v>0.59</v>
      </c>
      <c r="W471" s="911">
        <v>0.47</v>
      </c>
      <c r="X471" s="911">
        <v>0.48</v>
      </c>
      <c r="Y471" s="911">
        <v>0.5</v>
      </c>
      <c r="Z471" s="911">
        <v>0.5</v>
      </c>
      <c r="AA471" s="911">
        <v>0.51</v>
      </c>
      <c r="AB471" s="911">
        <v>0.5</v>
      </c>
      <c r="AC471" s="911">
        <v>0.46</v>
      </c>
      <c r="AD471" s="911">
        <v>0.46</v>
      </c>
      <c r="AE471" s="911">
        <v>0.4</v>
      </c>
      <c r="AF471" s="911">
        <v>0.35</v>
      </c>
      <c r="AG471" s="911">
        <v>0.31</v>
      </c>
      <c r="AH471" s="911">
        <v>0.27</v>
      </c>
      <c r="AI471" s="911">
        <v>0.26</v>
      </c>
      <c r="AJ471" s="911">
        <v>0.28999999999999998</v>
      </c>
      <c r="AK471" s="911">
        <v>0.3</v>
      </c>
      <c r="AL471" s="911">
        <v>0.31</v>
      </c>
      <c r="AM471" s="911">
        <v>0.28999999999999998</v>
      </c>
      <c r="AN471" s="911"/>
      <c r="AO471" s="911"/>
      <c r="AP471" s="911"/>
      <c r="AQ471" s="911"/>
      <c r="BG471" s="912"/>
      <c r="BH471" s="912">
        <f>+AVERAGE(H471:K471)</f>
        <v>0.99750000000000005</v>
      </c>
      <c r="BI471" s="912">
        <f>+AVERAGE(L471:O471)</f>
        <v>0.92500000000000004</v>
      </c>
      <c r="BJ471" s="912">
        <f>+AVERAGE(P471:S471)</f>
        <v>0.72250000000000003</v>
      </c>
      <c r="BK471" s="912">
        <f>+AVERAGE(T471:W471)</f>
        <v>0.56749999999999989</v>
      </c>
      <c r="BL471" s="912">
        <f>+AVERAGE(X471:AA471)</f>
        <v>0.4975</v>
      </c>
      <c r="BM471" s="912">
        <f>+AVERAGE(AB471:AE471)</f>
        <v>0.45499999999999996</v>
      </c>
      <c r="BN471" s="912">
        <f>+AVERAGE(AF471:AI471)</f>
        <v>0.29749999999999999</v>
      </c>
      <c r="BO471" s="912">
        <f>+AVERAGE(AJ471:AM471)</f>
        <v>0.29749999999999999</v>
      </c>
      <c r="BP471" s="912"/>
    </row>
    <row r="472" spans="2:68">
      <c r="B472" s="843" t="s">
        <v>409</v>
      </c>
      <c r="D472" s="911"/>
      <c r="E472" s="911"/>
      <c r="F472" s="911"/>
      <c r="G472" s="911">
        <v>0</v>
      </c>
      <c r="H472" s="911">
        <v>0.03</v>
      </c>
      <c r="I472" s="911">
        <v>0.05</v>
      </c>
      <c r="J472" s="911">
        <v>0.1</v>
      </c>
      <c r="K472" s="911">
        <v>0.02</v>
      </c>
      <c r="L472" s="911">
        <v>0.02</v>
      </c>
      <c r="M472" s="911">
        <v>0.04</v>
      </c>
      <c r="N472" s="911">
        <v>0.03</v>
      </c>
      <c r="O472" s="911">
        <v>0.08</v>
      </c>
      <c r="P472" s="911">
        <v>0.1</v>
      </c>
      <c r="Q472" s="911">
        <v>0.03</v>
      </c>
      <c r="R472" s="911">
        <v>7.0000000000000007E-2</v>
      </c>
      <c r="S472" s="911">
        <v>0.05</v>
      </c>
      <c r="T472" s="911">
        <v>0.12</v>
      </c>
      <c r="U472" s="911">
        <v>0.1</v>
      </c>
      <c r="V472" s="911">
        <v>0.11</v>
      </c>
      <c r="W472" s="911">
        <v>0</v>
      </c>
      <c r="X472" s="911">
        <v>-0.01</v>
      </c>
      <c r="Y472" s="911">
        <v>0.04</v>
      </c>
      <c r="Z472" s="911">
        <v>0.03</v>
      </c>
      <c r="AA472" s="911">
        <v>0.16</v>
      </c>
      <c r="AB472" s="911">
        <v>0.14000000000000001</v>
      </c>
      <c r="AC472" s="911">
        <v>0.06</v>
      </c>
      <c r="AD472" s="911">
        <v>0.05</v>
      </c>
      <c r="AE472" s="911">
        <v>-0.03</v>
      </c>
      <c r="AF472" s="911">
        <v>0</v>
      </c>
      <c r="AG472" s="911">
        <v>-0.02</v>
      </c>
      <c r="AH472" s="911">
        <v>-0.02</v>
      </c>
      <c r="AI472" s="911">
        <v>-0.01</v>
      </c>
      <c r="AJ472" s="911">
        <v>0.02</v>
      </c>
      <c r="AK472" s="911">
        <v>0.03</v>
      </c>
      <c r="AL472" s="911">
        <v>0.06</v>
      </c>
      <c r="AM472" s="911">
        <v>0.02</v>
      </c>
      <c r="AN472" s="911"/>
      <c r="AO472" s="911"/>
      <c r="AP472" s="911"/>
      <c r="AQ472" s="911"/>
      <c r="BG472" s="912"/>
      <c r="BH472" s="912">
        <f>+AVERAGE(H472:K472)</f>
        <v>4.9999999999999996E-2</v>
      </c>
      <c r="BI472" s="912">
        <f>+AVERAGE(L472:O472)</f>
        <v>4.2499999999999996E-2</v>
      </c>
      <c r="BJ472" s="912">
        <f>+AVERAGE(P472:S472)</f>
        <v>6.25E-2</v>
      </c>
      <c r="BK472" s="912">
        <f>+AVERAGE(T472:W472)</f>
        <v>8.2500000000000004E-2</v>
      </c>
      <c r="BL472" s="912">
        <f>+AVERAGE(X472:AA472)</f>
        <v>5.5E-2</v>
      </c>
      <c r="BM472" s="912">
        <f>+AVERAGE(AB472:AE472)</f>
        <v>5.5E-2</v>
      </c>
      <c r="BN472" s="912">
        <f t="shared" ref="BN472:BN480" si="2364">+AVERAGE(AF472:AI472)</f>
        <v>-1.2500000000000001E-2</v>
      </c>
      <c r="BO472" s="912">
        <f t="shared" ref="BO472:BO480" si="2365">+AVERAGE(AJ472:AM472)</f>
        <v>3.2500000000000001E-2</v>
      </c>
      <c r="BP472" s="912"/>
    </row>
    <row r="473" spans="2:68">
      <c r="B473" t="s">
        <v>410</v>
      </c>
      <c r="D473" s="911">
        <v>0.06</v>
      </c>
      <c r="E473" s="911">
        <v>0.03</v>
      </c>
      <c r="F473" s="911">
        <v>0</v>
      </c>
      <c r="G473" s="911">
        <v>0.05</v>
      </c>
      <c r="H473" s="911">
        <v>0.13</v>
      </c>
      <c r="I473" s="911">
        <v>0.12</v>
      </c>
      <c r="J473" s="911">
        <v>0.18</v>
      </c>
      <c r="K473" s="911">
        <v>0.12</v>
      </c>
      <c r="L473" s="911">
        <v>0.17</v>
      </c>
      <c r="M473" s="911">
        <v>0.18</v>
      </c>
      <c r="N473" s="911">
        <v>0.2</v>
      </c>
      <c r="O473" s="911">
        <v>0.26</v>
      </c>
      <c r="P473" s="911">
        <v>0.28000000000000003</v>
      </c>
      <c r="Q473" s="911">
        <v>0.24</v>
      </c>
      <c r="R473" s="911">
        <v>0.27</v>
      </c>
      <c r="S473" s="911">
        <v>0.22</v>
      </c>
      <c r="T473" s="911">
        <v>0.3</v>
      </c>
      <c r="U473" s="911">
        <v>0.3</v>
      </c>
      <c r="V473" s="911">
        <v>0.3</v>
      </c>
      <c r="W473" s="911">
        <v>0.19</v>
      </c>
      <c r="X473" s="911">
        <v>0.22</v>
      </c>
      <c r="Y473" s="911">
        <v>0.26</v>
      </c>
      <c r="Z473" s="911">
        <v>0.26</v>
      </c>
      <c r="AA473" s="911">
        <v>0.34</v>
      </c>
      <c r="AB473" s="911">
        <v>0.35</v>
      </c>
      <c r="AC473" s="911">
        <v>0.28999999999999998</v>
      </c>
      <c r="AD473" s="911">
        <v>0.28999999999999998</v>
      </c>
      <c r="AE473" s="911">
        <v>0.22</v>
      </c>
      <c r="AF473" s="911">
        <v>0.22</v>
      </c>
      <c r="AG473" s="911">
        <v>0.2</v>
      </c>
      <c r="AH473" s="911">
        <v>0.17</v>
      </c>
      <c r="AI473" s="911">
        <v>0.17</v>
      </c>
      <c r="AJ473" s="911">
        <v>0.21</v>
      </c>
      <c r="AK473" s="911">
        <v>0.22</v>
      </c>
      <c r="AL473" s="911">
        <v>0.24</v>
      </c>
      <c r="AM473" s="911">
        <v>0.21</v>
      </c>
      <c r="AN473" s="911"/>
      <c r="AO473" s="911"/>
      <c r="AP473" s="911"/>
      <c r="AQ473" s="911"/>
      <c r="BG473" s="912"/>
      <c r="BH473" s="912">
        <f>+AVERAGE(H473:K473)</f>
        <v>0.13750000000000001</v>
      </c>
      <c r="BI473" s="912">
        <f>+AVERAGE(L473:O473)</f>
        <v>0.20250000000000001</v>
      </c>
      <c r="BJ473" s="912">
        <f>+AVERAGE(P473:S473)</f>
        <v>0.2525</v>
      </c>
      <c r="BK473" s="912">
        <f>+AVERAGE(T473:W473)</f>
        <v>0.27249999999999996</v>
      </c>
      <c r="BL473" s="912">
        <f>+AVERAGE(X473:AA473)</f>
        <v>0.27</v>
      </c>
      <c r="BM473" s="912">
        <f>+AVERAGE(AB473:AE473)</f>
        <v>0.28749999999999998</v>
      </c>
      <c r="BN473" s="912">
        <f t="shared" si="2364"/>
        <v>0.19000000000000003</v>
      </c>
      <c r="BO473" s="912">
        <f t="shared" si="2365"/>
        <v>0.21999999999999997</v>
      </c>
      <c r="BP473" s="912"/>
    </row>
    <row r="474" spans="2:68">
      <c r="B474" t="s">
        <v>411</v>
      </c>
      <c r="D474" s="911">
        <v>0.09</v>
      </c>
      <c r="E474" s="911">
        <v>0.1</v>
      </c>
      <c r="F474" s="911">
        <v>0.11</v>
      </c>
      <c r="G474" s="911">
        <v>0.12</v>
      </c>
      <c r="H474" s="911">
        <v>0.01</v>
      </c>
      <c r="I474" s="911">
        <v>-0.04</v>
      </c>
      <c r="J474" s="911">
        <v>-0.01</v>
      </c>
      <c r="K474" s="911">
        <v>-0.03</v>
      </c>
      <c r="L474" s="911">
        <v>0.01</v>
      </c>
      <c r="M474" s="911">
        <v>0.05</v>
      </c>
      <c r="N474" s="911">
        <v>0.08</v>
      </c>
      <c r="O474" s="911">
        <v>0.08</v>
      </c>
      <c r="P474" s="911">
        <v>0.06</v>
      </c>
      <c r="Q474" s="911">
        <v>0.06</v>
      </c>
      <c r="R474" s="911">
        <v>0.04</v>
      </c>
      <c r="S474" s="911">
        <v>0.04</v>
      </c>
      <c r="T474" s="911">
        <v>7.0000000000000007E-2</v>
      </c>
      <c r="U474" s="911">
        <v>0.06</v>
      </c>
      <c r="V474" s="911">
        <v>0.06</v>
      </c>
      <c r="W474" s="911">
        <v>0</v>
      </c>
      <c r="X474" s="911">
        <v>0.06</v>
      </c>
      <c r="Y474" s="911">
        <v>0.05</v>
      </c>
      <c r="Z474" s="911">
        <v>0.1</v>
      </c>
      <c r="AA474" s="911">
        <v>0.12</v>
      </c>
      <c r="AB474" s="911">
        <v>0.09</v>
      </c>
      <c r="AC474" s="911">
        <v>0.08</v>
      </c>
      <c r="AD474" s="911">
        <v>0.05</v>
      </c>
      <c r="AE474" s="911">
        <v>0.05</v>
      </c>
      <c r="AF474" s="911">
        <v>0.05</v>
      </c>
      <c r="AG474" s="911">
        <v>0.02</v>
      </c>
      <c r="AH474" s="911">
        <v>0.06</v>
      </c>
      <c r="AI474" s="911">
        <v>0.04</v>
      </c>
      <c r="AJ474" s="911">
        <v>0.01</v>
      </c>
      <c r="AK474" s="911">
        <v>0.01</v>
      </c>
      <c r="AL474" s="911">
        <v>-0.09</v>
      </c>
      <c r="AM474" s="911">
        <v>-7.0000000000000007E-2</v>
      </c>
      <c r="AN474" s="911"/>
      <c r="AO474" s="911"/>
      <c r="AP474" s="911"/>
      <c r="AQ474" s="911"/>
      <c r="BG474" s="912"/>
      <c r="BH474" s="912">
        <f>+AVERAGE(H474:K474)</f>
        <v>-1.7500000000000002E-2</v>
      </c>
      <c r="BI474" s="912">
        <f>+AVERAGE(L474:O474)</f>
        <v>5.5000000000000007E-2</v>
      </c>
      <c r="BJ474" s="912">
        <f>+AVERAGE(P474:S474)</f>
        <v>0.05</v>
      </c>
      <c r="BK474" s="912">
        <f>+AVERAGE(T474:W474)</f>
        <v>4.7500000000000001E-2</v>
      </c>
      <c r="BL474" s="912">
        <f>+AVERAGE(X474:AA474)</f>
        <v>8.2500000000000004E-2</v>
      </c>
      <c r="BM474" s="912">
        <f>+AVERAGE(AB474:AE474)</f>
        <v>6.7499999999999991E-2</v>
      </c>
      <c r="BN474" s="912">
        <f t="shared" si="2364"/>
        <v>4.2500000000000003E-2</v>
      </c>
      <c r="BO474" s="912">
        <f t="shared" si="2365"/>
        <v>-3.5000000000000003E-2</v>
      </c>
      <c r="BP474" s="912"/>
    </row>
    <row r="475" spans="2:68">
      <c r="B475" s="852"/>
      <c r="D475" s="31"/>
      <c r="E475" s="31"/>
      <c r="F475" s="31"/>
      <c r="G475" s="31"/>
      <c r="BN475" s="912"/>
      <c r="BO475" s="912"/>
    </row>
    <row r="476" spans="2:68">
      <c r="B476" s="852" t="s">
        <v>379</v>
      </c>
      <c r="D476" s="31"/>
      <c r="E476" s="31"/>
      <c r="F476" s="31"/>
      <c r="G476" s="31"/>
      <c r="BN476" s="912"/>
      <c r="BO476" s="912"/>
    </row>
    <row r="477" spans="2:68">
      <c r="B477" s="843" t="s">
        <v>408</v>
      </c>
      <c r="D477" s="911">
        <v>1.35</v>
      </c>
      <c r="E477" s="911">
        <v>1.4</v>
      </c>
      <c r="F477" s="911">
        <v>1.2</v>
      </c>
      <c r="G477" s="911">
        <v>1.08</v>
      </c>
      <c r="H477" s="911">
        <v>1.21</v>
      </c>
      <c r="I477" s="911">
        <v>0.95</v>
      </c>
      <c r="J477" s="911">
        <v>0.94</v>
      </c>
      <c r="K477" s="911">
        <v>0.98</v>
      </c>
      <c r="L477" s="911">
        <v>0.89</v>
      </c>
      <c r="M477" s="911">
        <v>0.98</v>
      </c>
      <c r="N477" s="911">
        <v>0.89</v>
      </c>
      <c r="O477" s="911">
        <v>0.85</v>
      </c>
      <c r="P477" s="911">
        <v>0.76</v>
      </c>
      <c r="Q477" s="911">
        <v>0.76</v>
      </c>
      <c r="R477" s="911">
        <v>0.75</v>
      </c>
      <c r="S477" s="911">
        <v>0.68</v>
      </c>
      <c r="T477" s="911">
        <v>0.63</v>
      </c>
      <c r="U477" s="911">
        <v>0.64</v>
      </c>
      <c r="V477" s="911">
        <v>0.61</v>
      </c>
      <c r="W477" s="911">
        <v>0.5</v>
      </c>
      <c r="X477" s="911">
        <v>0.47</v>
      </c>
      <c r="Y477" s="911">
        <v>0.48</v>
      </c>
      <c r="Z477" s="911">
        <v>0.46</v>
      </c>
      <c r="AA477" s="911">
        <v>0.45</v>
      </c>
      <c r="AB477" s="911">
        <v>0.48</v>
      </c>
      <c r="AC477" s="911">
        <v>0.46</v>
      </c>
      <c r="AD477" s="911">
        <v>0.49</v>
      </c>
      <c r="AE477" s="911">
        <v>0.46</v>
      </c>
      <c r="AF477" s="911">
        <v>0.42</v>
      </c>
      <c r="AG477" s="911">
        <v>0.38</v>
      </c>
      <c r="AH477" s="911">
        <v>0.31</v>
      </c>
      <c r="AI477" s="911">
        <v>0.27</v>
      </c>
      <c r="AJ477" s="911">
        <v>0.28000000000000003</v>
      </c>
      <c r="AK477" s="911">
        <v>0.28000000000000003</v>
      </c>
      <c r="AL477" s="911">
        <v>0.31</v>
      </c>
      <c r="AM477" s="911">
        <v>0.3</v>
      </c>
      <c r="AN477" s="911"/>
      <c r="AO477" s="911"/>
      <c r="AP477" s="911"/>
      <c r="AQ477" s="911"/>
      <c r="BG477" s="912"/>
      <c r="BH477" s="912">
        <f>+AVERAGE(H477:K477)</f>
        <v>1.02</v>
      </c>
      <c r="BI477" s="912">
        <f>+AVERAGE(L477:O477)</f>
        <v>0.90250000000000008</v>
      </c>
      <c r="BJ477" s="912">
        <f>+AVERAGE(P477:S477)</f>
        <v>0.73750000000000004</v>
      </c>
      <c r="BK477" s="912">
        <f>+AVERAGE(T477:W477)</f>
        <v>0.59499999999999997</v>
      </c>
      <c r="BL477" s="912">
        <f>+AVERAGE(X477:AA477)</f>
        <v>0.46499999999999997</v>
      </c>
      <c r="BM477" s="912">
        <f>+AVERAGE(AB477:AE477)</f>
        <v>0.47249999999999998</v>
      </c>
      <c r="BN477" s="912">
        <f t="shared" si="2364"/>
        <v>0.34500000000000003</v>
      </c>
      <c r="BO477" s="912">
        <f t="shared" si="2365"/>
        <v>0.29250000000000004</v>
      </c>
      <c r="BP477" s="912"/>
    </row>
    <row r="478" spans="2:68">
      <c r="B478" s="843" t="s">
        <v>409</v>
      </c>
      <c r="D478" s="911"/>
      <c r="E478" s="911"/>
      <c r="F478" s="911"/>
      <c r="G478" s="911">
        <v>0.03</v>
      </c>
      <c r="H478" s="911">
        <v>0.05</v>
      </c>
      <c r="I478" s="911">
        <v>0.06</v>
      </c>
      <c r="J478" s="911">
        <v>0.11</v>
      </c>
      <c r="K478" s="911">
        <v>0.03</v>
      </c>
      <c r="L478" s="911">
        <v>0.02</v>
      </c>
      <c r="M478" s="911">
        <v>0.03</v>
      </c>
      <c r="N478" s="911">
        <v>0.01</v>
      </c>
      <c r="O478" s="911">
        <v>0.06</v>
      </c>
      <c r="P478" s="911">
        <v>0.09</v>
      </c>
      <c r="Q478" s="911">
        <v>0.04</v>
      </c>
      <c r="R478" s="911">
        <v>0.09</v>
      </c>
      <c r="S478" s="911">
        <v>7.0000000000000007E-2</v>
      </c>
      <c r="T478" s="911">
        <v>0.14000000000000001</v>
      </c>
      <c r="U478" s="911">
        <v>0.12</v>
      </c>
      <c r="V478" s="911">
        <v>0.12</v>
      </c>
      <c r="W478" s="911">
        <v>0.01</v>
      </c>
      <c r="X478" s="911">
        <v>-0.01</v>
      </c>
      <c r="Y478" s="911">
        <v>0.03</v>
      </c>
      <c r="Z478" s="911">
        <v>0</v>
      </c>
      <c r="AA478" s="911">
        <v>0.12</v>
      </c>
      <c r="AB478" s="911">
        <v>0.13</v>
      </c>
      <c r="AC478" s="911">
        <v>0.06</v>
      </c>
      <c r="AD478" s="911">
        <v>7.0000000000000007E-2</v>
      </c>
      <c r="AE478" s="911">
        <v>0.01</v>
      </c>
      <c r="AF478" s="911">
        <v>0.04</v>
      </c>
      <c r="AG478" s="911">
        <v>0.02</v>
      </c>
      <c r="AH478" s="911">
        <v>0</v>
      </c>
      <c r="AI478" s="911">
        <v>0</v>
      </c>
      <c r="AJ478" s="911">
        <v>0.02</v>
      </c>
      <c r="AK478" s="911">
        <v>0.02</v>
      </c>
      <c r="AL478" s="911">
        <v>0.06</v>
      </c>
      <c r="AM478" s="911">
        <v>0.03</v>
      </c>
      <c r="AN478" s="911"/>
      <c r="AO478" s="911"/>
      <c r="AP478" s="911"/>
      <c r="AQ478" s="911"/>
      <c r="BG478" s="912"/>
      <c r="BH478" s="912">
        <f>+AVERAGE(H478:K478)</f>
        <v>6.25E-2</v>
      </c>
      <c r="BI478" s="912">
        <f>+AVERAGE(L478:O478)</f>
        <v>0.03</v>
      </c>
      <c r="BJ478" s="912">
        <f>+AVERAGE(P478:S478)</f>
        <v>7.2500000000000009E-2</v>
      </c>
      <c r="BK478" s="912">
        <f>+AVERAGE(T478:W478)</f>
        <v>9.7500000000000003E-2</v>
      </c>
      <c r="BL478" s="912">
        <f>+AVERAGE(X478:AA478)</f>
        <v>3.4999999999999996E-2</v>
      </c>
      <c r="BM478" s="912">
        <f>+AVERAGE(AB478:AE478)</f>
        <v>6.7500000000000004E-2</v>
      </c>
      <c r="BN478" s="912">
        <f t="shared" si="2364"/>
        <v>1.4999999999999999E-2</v>
      </c>
      <c r="BO478" s="912">
        <f t="shared" si="2365"/>
        <v>3.2500000000000001E-2</v>
      </c>
      <c r="BP478" s="912"/>
    </row>
    <row r="479" spans="2:68">
      <c r="B479" t="s">
        <v>410</v>
      </c>
      <c r="D479" s="911">
        <v>0.13</v>
      </c>
      <c r="E479" s="911">
        <v>0.1</v>
      </c>
      <c r="F479" s="911">
        <v>0.05</v>
      </c>
      <c r="G479" s="911">
        <v>0.08</v>
      </c>
      <c r="H479" s="911">
        <v>0.14000000000000001</v>
      </c>
      <c r="I479" s="911">
        <v>0.13</v>
      </c>
      <c r="J479" s="911">
        <v>0.2</v>
      </c>
      <c r="K479" s="911">
        <v>0.13</v>
      </c>
      <c r="L479" s="911">
        <v>0.17</v>
      </c>
      <c r="M479" s="911">
        <v>0.18</v>
      </c>
      <c r="N479" s="911">
        <v>0.17</v>
      </c>
      <c r="O479" s="911">
        <v>0.24</v>
      </c>
      <c r="P479" s="911">
        <v>0.28000000000000003</v>
      </c>
      <c r="Q479" s="911">
        <v>0.24</v>
      </c>
      <c r="R479" s="911">
        <v>0.28999999999999998</v>
      </c>
      <c r="S479" s="911">
        <v>0.24</v>
      </c>
      <c r="T479" s="911">
        <v>0.33</v>
      </c>
      <c r="U479" s="911">
        <v>0.32</v>
      </c>
      <c r="V479" s="911">
        <v>0.32</v>
      </c>
      <c r="W479" s="911">
        <v>0.21</v>
      </c>
      <c r="X479" s="911">
        <v>0.21</v>
      </c>
      <c r="Y479" s="911">
        <v>0.24</v>
      </c>
      <c r="Z479" s="911">
        <v>0.23</v>
      </c>
      <c r="AA479" s="911">
        <v>0.28999999999999998</v>
      </c>
      <c r="AB479" s="911">
        <v>0.33</v>
      </c>
      <c r="AC479" s="911">
        <v>0.28999999999999998</v>
      </c>
      <c r="AD479" s="911">
        <v>0.32</v>
      </c>
      <c r="AE479" s="911">
        <v>0.26</v>
      </c>
      <c r="AF479" s="911">
        <v>0.28000000000000003</v>
      </c>
      <c r="AG479" s="911">
        <v>0.26</v>
      </c>
      <c r="AH479" s="911">
        <v>0.21</v>
      </c>
      <c r="AI479" s="911">
        <v>0.18</v>
      </c>
      <c r="AJ479" s="911">
        <v>0.21</v>
      </c>
      <c r="AK479" s="911">
        <v>0.2</v>
      </c>
      <c r="AL479" s="911">
        <v>0.24</v>
      </c>
      <c r="AM479" s="911">
        <v>0.22</v>
      </c>
      <c r="AN479" s="911"/>
      <c r="AO479" s="911"/>
      <c r="AP479" s="911"/>
      <c r="AQ479" s="911"/>
      <c r="BG479" s="912"/>
      <c r="BH479" s="912">
        <f>+AVERAGE(H479:K479)</f>
        <v>0.15000000000000002</v>
      </c>
      <c r="BI479" s="912">
        <f>+AVERAGE(L479:O479)</f>
        <v>0.19</v>
      </c>
      <c r="BJ479" s="912">
        <f>+AVERAGE(P479:S479)</f>
        <v>0.26250000000000001</v>
      </c>
      <c r="BK479" s="912">
        <f>+AVERAGE(T479:W479)</f>
        <v>0.29499999999999998</v>
      </c>
      <c r="BL479" s="912">
        <f>+AVERAGE(X479:AA479)</f>
        <v>0.24249999999999999</v>
      </c>
      <c r="BM479" s="912">
        <f>+AVERAGE(AB479:AE479)</f>
        <v>0.3</v>
      </c>
      <c r="BN479" s="912">
        <f t="shared" si="2364"/>
        <v>0.23249999999999998</v>
      </c>
      <c r="BO479" s="912">
        <f t="shared" si="2365"/>
        <v>0.2175</v>
      </c>
      <c r="BP479" s="912"/>
    </row>
    <row r="480" spans="2:68">
      <c r="B480" t="s">
        <v>411</v>
      </c>
      <c r="D480" s="911">
        <v>0.16</v>
      </c>
      <c r="E480" s="911">
        <v>0.16</v>
      </c>
      <c r="F480" s="911">
        <v>0.15</v>
      </c>
      <c r="G480" s="911">
        <v>0.14000000000000001</v>
      </c>
      <c r="H480" s="911">
        <v>0.02</v>
      </c>
      <c r="I480" s="911">
        <v>-0.02</v>
      </c>
      <c r="J480" s="911">
        <v>0</v>
      </c>
      <c r="K480" s="911">
        <v>-0.01</v>
      </c>
      <c r="L480" s="911">
        <v>0</v>
      </c>
      <c r="M480" s="911">
        <v>0.03</v>
      </c>
      <c r="N480" s="911">
        <v>0.05</v>
      </c>
      <c r="O480" s="911">
        <v>7.0000000000000007E-2</v>
      </c>
      <c r="P480" s="911">
        <v>0.06</v>
      </c>
      <c r="Q480" s="911">
        <v>7.0000000000000007E-2</v>
      </c>
      <c r="R480" s="911">
        <v>0.05</v>
      </c>
      <c r="S480" s="911">
        <v>0.06</v>
      </c>
      <c r="T480" s="911">
        <v>0.08</v>
      </c>
      <c r="U480" s="911">
        <v>7.0000000000000007E-2</v>
      </c>
      <c r="V480" s="911">
        <v>7.0000000000000007E-2</v>
      </c>
      <c r="W480" s="911">
        <v>0.02</v>
      </c>
      <c r="X480" s="911">
        <v>0.05</v>
      </c>
      <c r="Y480" s="911">
        <v>0.04</v>
      </c>
      <c r="Z480" s="911">
        <v>0.08</v>
      </c>
      <c r="AA480" s="911">
        <v>0.09</v>
      </c>
      <c r="AB480" s="911">
        <v>0.08</v>
      </c>
      <c r="AC480" s="911">
        <v>7.0000000000000007E-2</v>
      </c>
      <c r="AD480" s="911">
        <v>0.06</v>
      </c>
      <c r="AE480" s="911">
        <v>0.08</v>
      </c>
      <c r="AF480" s="911">
        <v>0.1</v>
      </c>
      <c r="AG480" s="911">
        <v>7.0000000000000007E-2</v>
      </c>
      <c r="AH480" s="911">
        <v>0.09</v>
      </c>
      <c r="AI480" s="911">
        <v>0.05</v>
      </c>
      <c r="AJ480" s="911">
        <v>0.01</v>
      </c>
      <c r="AK480" s="911">
        <v>0</v>
      </c>
      <c r="AL480" s="911">
        <v>-0.09</v>
      </c>
      <c r="AM480" s="911">
        <v>-7.0000000000000007E-2</v>
      </c>
      <c r="AN480" s="911"/>
      <c r="AO480" s="911"/>
      <c r="AP480" s="911"/>
      <c r="AQ480" s="911"/>
      <c r="BG480" s="912"/>
      <c r="BH480" s="912">
        <f>+AVERAGE(H480:K480)</f>
        <v>-2.5000000000000001E-3</v>
      </c>
      <c r="BI480" s="912">
        <f>+AVERAGE(L480:O480)</f>
        <v>3.7500000000000006E-2</v>
      </c>
      <c r="BJ480" s="912">
        <f>+AVERAGE(P480:S480)</f>
        <v>0.06</v>
      </c>
      <c r="BK480" s="912">
        <f>+AVERAGE(T480:W480)</f>
        <v>6.0000000000000005E-2</v>
      </c>
      <c r="BL480" s="912">
        <f>+AVERAGE(X480:AA480)</f>
        <v>6.5000000000000002E-2</v>
      </c>
      <c r="BM480" s="912">
        <f>+AVERAGE(AB480:AE480)</f>
        <v>7.2500000000000009E-2</v>
      </c>
      <c r="BN480" s="912">
        <f t="shared" si="2364"/>
        <v>7.7499999999999999E-2</v>
      </c>
      <c r="BO480" s="912">
        <f t="shared" si="2365"/>
        <v>-3.7500000000000006E-2</v>
      </c>
      <c r="BP480" s="912"/>
    </row>
    <row r="481" spans="2:72">
      <c r="AH481" s="9"/>
      <c r="AI481" s="911"/>
      <c r="BQ481">
        <f>BQ482/BQ485</f>
        <v>0.2481948117605953</v>
      </c>
    </row>
    <row r="482" spans="2:72" ht="10.5">
      <c r="B482" s="45" t="s">
        <v>412</v>
      </c>
      <c r="AA482" s="9"/>
      <c r="AD482" s="227"/>
      <c r="AE482" s="227"/>
      <c r="AF482" s="227"/>
      <c r="AG482" s="227"/>
      <c r="AH482" s="227"/>
      <c r="AI482" s="227"/>
      <c r="AJ482" s="227"/>
      <c r="AK482" s="227"/>
      <c r="AL482" s="227"/>
      <c r="AM482" s="227"/>
      <c r="AN482" s="227"/>
      <c r="AO482" s="227"/>
      <c r="AP482" s="227"/>
      <c r="AQ482" s="227"/>
      <c r="BK482" s="9"/>
      <c r="BL482" s="9"/>
      <c r="BM482" s="9"/>
      <c r="BN482" s="9"/>
      <c r="BQ482" s="8">
        <f>SUM(AD483:AG483)</f>
        <v>50655.071911466934</v>
      </c>
    </row>
    <row r="483" spans="2:72" s="100" customFormat="1">
      <c r="B483" s="100" t="s">
        <v>413</v>
      </c>
      <c r="H483" s="880">
        <f>+'VA segmentation'!AC185</f>
        <v>811.41105774531002</v>
      </c>
      <c r="I483" s="880">
        <f>+'VA segmentation'!AD185</f>
        <v>842.61233252092336</v>
      </c>
      <c r="J483" s="880">
        <f>+'VA segmentation'!AE185</f>
        <v>989.48344752810476</v>
      </c>
      <c r="K483" s="880">
        <f>+'VA segmentation'!AF185</f>
        <v>1295.745337170302</v>
      </c>
      <c r="L483" s="880">
        <f>+'VA segmentation'!AG185</f>
        <v>1542.8557865160546</v>
      </c>
      <c r="M483" s="880">
        <f>+'VA segmentation'!AH185</f>
        <v>1678.1076319210672</v>
      </c>
      <c r="N483" s="880">
        <f>+'VA segmentation'!AI185</f>
        <v>1908.3643867994663</v>
      </c>
      <c r="O483" s="880">
        <f>+'VA segmentation'!AJ185</f>
        <v>2473.4224949490526</v>
      </c>
      <c r="P483" s="880">
        <f>+'VA segmentation'!AK185</f>
        <v>2714.5637181541724</v>
      </c>
      <c r="Q483" s="880">
        <f>+'VA segmentation'!AL185</f>
        <v>2980.0382221601849</v>
      </c>
      <c r="R483" s="880">
        <f>+'VA segmentation'!AM185</f>
        <v>3303.4116490372553</v>
      </c>
      <c r="S483" s="880">
        <f>+'VA segmentation'!AN185</f>
        <v>4023.4569447866184</v>
      </c>
      <c r="T483" s="880">
        <f>+'VA segmentation'!AO185</f>
        <v>4318.4699362640222</v>
      </c>
      <c r="U483" s="880">
        <f>+'VA segmentation'!AP185</f>
        <v>4827.9539634351177</v>
      </c>
      <c r="V483" s="880">
        <f>+'VA segmentation'!AQ185</f>
        <v>5246.5172272705677</v>
      </c>
      <c r="W483" s="880">
        <f>+'VA segmentation'!AR185</f>
        <v>5907.4284904647411</v>
      </c>
      <c r="X483" s="880">
        <f>+'VA segmentation'!AS185</f>
        <v>6387.7208123885985</v>
      </c>
      <c r="Y483" s="880">
        <f>+'VA segmentation'!AT185</f>
        <v>7239.6495255537848</v>
      </c>
      <c r="Z483" s="880">
        <f>+'VA segmentation'!AU185</f>
        <v>7858.0017297963759</v>
      </c>
      <c r="AA483" s="880">
        <f>+'VA segmentation'!AV185</f>
        <v>8927.7595417011344</v>
      </c>
      <c r="AB483" s="880">
        <f>+'VA segmentation'!AW185</f>
        <v>9578.9385462084992</v>
      </c>
      <c r="AC483" s="880">
        <f>+'VA segmentation'!AX185</f>
        <v>10560.788326958758</v>
      </c>
      <c r="AD483" s="880">
        <f>+'VA segmentation'!AY185</f>
        <v>11429.030011195948</v>
      </c>
      <c r="AE483" s="880">
        <f>+'VA segmentation'!AZ185</f>
        <v>12451.041900270982</v>
      </c>
      <c r="AF483" s="880">
        <v>12900</v>
      </c>
      <c r="AG483" s="880">
        <v>13875</v>
      </c>
      <c r="AH483" s="880">
        <f>+AD483*(1+AH471)</f>
        <v>14514.868114218854</v>
      </c>
      <c r="AI483" s="880">
        <f>+AE483*(1+AI471)</f>
        <v>15688.312794341438</v>
      </c>
      <c r="AJ483" s="880">
        <f t="shared" ref="AJ483" si="2366">+AF483*(1+AJ471)</f>
        <v>16641</v>
      </c>
      <c r="AK483" s="880">
        <f t="shared" ref="AK483" si="2367">+AG483*(1+AK471)</f>
        <v>18037.5</v>
      </c>
      <c r="AL483" s="880">
        <f t="shared" ref="AL483" si="2368">+AH483*(1+AL471)</f>
        <v>19014.4772296267</v>
      </c>
      <c r="AM483" s="880">
        <f t="shared" ref="AM483" si="2369">+AI483*(1+AM471)</f>
        <v>20237.923504700455</v>
      </c>
      <c r="AN483" s="1154">
        <f>+Azure!AV10</f>
        <v>21554.94382798568</v>
      </c>
      <c r="AO483" s="1154">
        <f>+Azure!AW10</f>
        <v>23671.383996946024</v>
      </c>
      <c r="AP483" s="1154">
        <f>+Azure!AX10</f>
        <v>25033.588096636504</v>
      </c>
      <c r="AQ483" s="1154">
        <f>+Azure!AY10</f>
        <v>26713.110719455733</v>
      </c>
      <c r="AV483" s="880"/>
      <c r="AW483" s="880"/>
      <c r="AX483" s="880"/>
      <c r="AY483" s="880"/>
      <c r="AZ483" s="880"/>
      <c r="BA483" s="880"/>
      <c r="BB483" s="880"/>
      <c r="BC483" s="880"/>
      <c r="BD483" s="880"/>
      <c r="BE483" s="880"/>
      <c r="BF483" s="880"/>
      <c r="BG483" s="880"/>
      <c r="BH483" s="880">
        <f>SUM(H483:K483)</f>
        <v>3939.2521749646403</v>
      </c>
      <c r="BI483" s="880">
        <f t="shared" ref="BI483:BI488" si="2370">SUM(L483:O483)</f>
        <v>7602.7503001856403</v>
      </c>
      <c r="BJ483" s="880">
        <f t="shared" ref="BJ483:BJ488" si="2371">SUM(P483:S483)</f>
        <v>13021.470534138231</v>
      </c>
      <c r="BK483" s="880">
        <f t="shared" ref="BK483:BK484" si="2372">SUM(T483:W483)</f>
        <v>20300.369617434451</v>
      </c>
      <c r="BL483" s="880">
        <f t="shared" ref="BL483:BL484" si="2373">SUM(X483:AA483)</f>
        <v>30413.131609439894</v>
      </c>
      <c r="BM483" s="880">
        <f t="shared" ref="BM483:BM484" si="2374">SUM(AB483:AE483)</f>
        <v>44019.798784634186</v>
      </c>
      <c r="BN483" s="880">
        <f t="shared" ref="BN483:BN484" si="2375">SUM(AF483:AI483)</f>
        <v>56978.180908560294</v>
      </c>
      <c r="BO483" s="880">
        <f t="shared" ref="BO483:BO484" si="2376">SUM(AJ483:AM483)</f>
        <v>73930.900734327151</v>
      </c>
      <c r="BP483" s="880">
        <f t="shared" ref="BP483:BP488" si="2377">+SUM(AN483:AQ483)</f>
        <v>96973.026641023956</v>
      </c>
      <c r="BQ483" s="11">
        <f>SUM(Z483:AC483)</f>
        <v>36925.488144664763</v>
      </c>
      <c r="BR483" s="11">
        <f>BQ482-BQ483</f>
        <v>13729.58376680217</v>
      </c>
    </row>
    <row r="484" spans="2:72" s="1003" customFormat="1">
      <c r="B484" s="100" t="s">
        <v>414</v>
      </c>
      <c r="H484" s="1000">
        <f>+H485-H483</f>
        <v>3877.5889422546898</v>
      </c>
      <c r="I484" s="1000">
        <f t="shared" ref="I484:AG484" si="2378">+I485-I483</f>
        <v>4489.3876674790763</v>
      </c>
      <c r="J484" s="1000">
        <f t="shared" si="2378"/>
        <v>4307.516552471895</v>
      </c>
      <c r="K484" s="1000">
        <f t="shared" si="2378"/>
        <v>5035.2546628296977</v>
      </c>
      <c r="L484" s="1000">
        <f t="shared" si="2378"/>
        <v>3953.1442134839454</v>
      </c>
      <c r="M484" s="1000">
        <f t="shared" si="2378"/>
        <v>4620.892368078933</v>
      </c>
      <c r="N484" s="1000">
        <f t="shared" si="2378"/>
        <v>4434.635613200534</v>
      </c>
      <c r="O484" s="1000">
        <f t="shared" si="2378"/>
        <v>5517.5775050509474</v>
      </c>
      <c r="P484" s="1000">
        <f t="shared" si="2378"/>
        <v>4343.4362818458276</v>
      </c>
      <c r="Q484" s="1000">
        <f t="shared" si="2378"/>
        <v>4810.9617778398151</v>
      </c>
      <c r="R484" s="1000">
        <f t="shared" si="2378"/>
        <v>4749.5883509627447</v>
      </c>
      <c r="S484" s="1000">
        <f t="shared" si="2378"/>
        <v>5696.5430552133821</v>
      </c>
      <c r="T484" s="1000">
        <f t="shared" si="2378"/>
        <v>4873.5300637359778</v>
      </c>
      <c r="U484" s="1000">
        <f t="shared" si="2378"/>
        <v>5291.0460365648823</v>
      </c>
      <c r="V484" s="1000">
        <f t="shared" si="2378"/>
        <v>5243.4827727294323</v>
      </c>
      <c r="W484" s="1000">
        <f t="shared" si="2378"/>
        <v>5670.5715095352589</v>
      </c>
      <c r="X484" s="1000">
        <f t="shared" si="2378"/>
        <v>4807.2791876114015</v>
      </c>
      <c r="Y484" s="1000">
        <f t="shared" si="2378"/>
        <v>5489.3504744462152</v>
      </c>
      <c r="Z484" s="1000">
        <f t="shared" si="2378"/>
        <v>5345.9982702036241</v>
      </c>
      <c r="AA484" s="1000">
        <f t="shared" si="2378"/>
        <v>6533.2404582988656</v>
      </c>
      <c r="AB484" s="1000">
        <f t="shared" si="2378"/>
        <v>5490.0614537915008</v>
      </c>
      <c r="AC484" s="1000">
        <f t="shared" si="2378"/>
        <v>5821.2116730412417</v>
      </c>
      <c r="AD484" s="1000">
        <f t="shared" si="2378"/>
        <v>5608.9699888040523</v>
      </c>
      <c r="AE484" s="1000">
        <f t="shared" si="2378"/>
        <v>6379.9580997290177</v>
      </c>
      <c r="AF484" s="1000">
        <f t="shared" si="2378"/>
        <v>5488</v>
      </c>
      <c r="AG484" s="1000">
        <f t="shared" si="2378"/>
        <v>5719</v>
      </c>
      <c r="AH484" s="1000">
        <f>+AD484*(1+AH492)</f>
        <v>5496.7905890279708</v>
      </c>
      <c r="AI484" s="1000">
        <f t="shared" ref="AI484" si="2379">+AE484*(1+AI492)</f>
        <v>6316.1585187317278</v>
      </c>
      <c r="AJ484" s="1000">
        <f t="shared" ref="AJ484" si="2380">+AF484*(1+AJ492)</f>
        <v>5597.76</v>
      </c>
      <c r="AK484" s="1000">
        <f t="shared" ref="AK484" si="2381">+AG484*(1+AK492)</f>
        <v>5890.57</v>
      </c>
      <c r="AL484" s="1000">
        <f t="shared" ref="AL484" si="2382">+AH484*(1+AL492)</f>
        <v>5826.5980243696495</v>
      </c>
      <c r="AM484" s="1000">
        <f t="shared" ref="AM484" si="2383">+AI484*(1+AM492)</f>
        <v>6442.4816891063629</v>
      </c>
      <c r="AN484" s="1000">
        <f t="shared" ref="AN484" si="2384">+AJ484*(1+AN492)</f>
        <v>5541.7824000000001</v>
      </c>
      <c r="AO484" s="1000">
        <f t="shared" ref="AO484" si="2385">+AK484*(1+AO492)</f>
        <v>5772.7585999999992</v>
      </c>
      <c r="AP484" s="1000">
        <f t="shared" ref="AP484" si="2386">+AL484*(1+AP492)</f>
        <v>5535.2681231511669</v>
      </c>
      <c r="AQ484" s="1000">
        <f t="shared" ref="AQ484" si="2387">+AM484*(1+AQ492)</f>
        <v>6378.0568722152993</v>
      </c>
      <c r="AV484" s="1000"/>
      <c r="AW484" s="1000"/>
      <c r="AX484" s="1000"/>
      <c r="AY484" s="1000"/>
      <c r="AZ484" s="1000"/>
      <c r="BA484" s="1000"/>
      <c r="BB484" s="1000"/>
      <c r="BC484" s="1000"/>
      <c r="BD484" s="1000"/>
      <c r="BE484" s="1000"/>
      <c r="BF484" s="1000"/>
      <c r="BG484" s="1000"/>
      <c r="BH484" s="1000">
        <f t="shared" ref="BH484:BH488" si="2388">SUM(H484:K484)</f>
        <v>17709.74782503536</v>
      </c>
      <c r="BI484" s="1000">
        <f t="shared" si="2370"/>
        <v>18526.249699814362</v>
      </c>
      <c r="BJ484" s="1000">
        <f t="shared" si="2371"/>
        <v>19600.529465861771</v>
      </c>
      <c r="BK484" s="1000">
        <f t="shared" si="2372"/>
        <v>21078.630382565549</v>
      </c>
      <c r="BL484" s="1000">
        <f t="shared" si="2373"/>
        <v>22175.868390560106</v>
      </c>
      <c r="BM484" s="1000">
        <f t="shared" si="2374"/>
        <v>23300.201215365814</v>
      </c>
      <c r="BN484" s="1000">
        <f t="shared" si="2375"/>
        <v>23019.949107759701</v>
      </c>
      <c r="BO484" s="1000">
        <f t="shared" si="2376"/>
        <v>23757.409713476012</v>
      </c>
      <c r="BP484" s="1000">
        <f t="shared" si="2377"/>
        <v>23227.865995366465</v>
      </c>
    </row>
    <row r="485" spans="2:72" s="100" customFormat="1">
      <c r="B485" s="1096" t="s">
        <v>415</v>
      </c>
      <c r="H485" s="880">
        <f>+'VA segmentation'!AC27</f>
        <v>4689</v>
      </c>
      <c r="I485" s="880">
        <f>+'VA segmentation'!AD27</f>
        <v>5332</v>
      </c>
      <c r="J485" s="880">
        <f>+'VA segmentation'!AE27</f>
        <v>5297</v>
      </c>
      <c r="K485" s="880">
        <f>+'VA segmentation'!AF27</f>
        <v>6331</v>
      </c>
      <c r="L485" s="880">
        <f>+'VA segmentation'!AG27</f>
        <v>5496</v>
      </c>
      <c r="M485" s="880">
        <f>+'VA segmentation'!AH27</f>
        <v>6299</v>
      </c>
      <c r="N485" s="880">
        <f>+'VA segmentation'!AI27</f>
        <v>6343</v>
      </c>
      <c r="O485" s="880">
        <f>+'VA segmentation'!AJ27</f>
        <v>7991</v>
      </c>
      <c r="P485" s="880">
        <f>+'VA segmentation'!AK27</f>
        <v>7058</v>
      </c>
      <c r="Q485" s="880">
        <f>+'VA segmentation'!AL27</f>
        <v>7791</v>
      </c>
      <c r="R485" s="880">
        <f>+'VA segmentation'!AM27</f>
        <v>8053</v>
      </c>
      <c r="S485" s="880">
        <f>+'VA segmentation'!AN27</f>
        <v>9720</v>
      </c>
      <c r="T485" s="880">
        <f>+'VA segmentation'!AO27</f>
        <v>9192</v>
      </c>
      <c r="U485" s="880">
        <f>+'VA segmentation'!AP27</f>
        <v>10119</v>
      </c>
      <c r="V485" s="880">
        <f>+'VA segmentation'!AQ27</f>
        <v>10490</v>
      </c>
      <c r="W485" s="880">
        <f>+'VA segmentation'!AR27</f>
        <v>11578</v>
      </c>
      <c r="X485" s="880">
        <f>+'VA segmentation'!AS27</f>
        <v>11195</v>
      </c>
      <c r="Y485" s="880">
        <f>+'VA segmentation'!AT27</f>
        <v>12729</v>
      </c>
      <c r="Z485" s="880">
        <f>+'VA segmentation'!AU27</f>
        <v>13204</v>
      </c>
      <c r="AA485" s="880">
        <f>+'VA segmentation'!AV27</f>
        <v>15461</v>
      </c>
      <c r="AB485" s="880">
        <f>+'VA segmentation'!AW27</f>
        <v>15069</v>
      </c>
      <c r="AC485" s="880">
        <f>+'VA segmentation'!AX27</f>
        <v>16382</v>
      </c>
      <c r="AD485" s="880">
        <f>+'VA segmentation'!AY27</f>
        <v>17038</v>
      </c>
      <c r="AE485" s="880">
        <f>+'VA segmentation'!AZ27</f>
        <v>18831</v>
      </c>
      <c r="AF485" s="880">
        <f>+'VA segmentation'!BA27</f>
        <v>18388</v>
      </c>
      <c r="AG485" s="880">
        <f>+'VA segmentation'!BB27</f>
        <v>19594</v>
      </c>
      <c r="AH485" s="880">
        <f>+SUM(AH483:AH484)</f>
        <v>20011.658703246823</v>
      </c>
      <c r="AI485" s="880">
        <f t="shared" ref="AI485" si="2389">+SUM(AI483:AI484)</f>
        <v>22004.471313073165</v>
      </c>
      <c r="AJ485" s="880">
        <f t="shared" ref="AJ485:AK485" si="2390">+SUM(AJ483:AJ484)</f>
        <v>22238.760000000002</v>
      </c>
      <c r="AK485" s="880">
        <f t="shared" si="2390"/>
        <v>23928.07</v>
      </c>
      <c r="AL485" s="880">
        <f t="shared" ref="AL485:AM485" si="2391">+SUM(AL483:AL484)</f>
        <v>24841.075253996351</v>
      </c>
      <c r="AM485" s="880">
        <f t="shared" si="2391"/>
        <v>26680.405193806819</v>
      </c>
      <c r="AN485" s="880">
        <f t="shared" ref="AN485:AQ485" si="2392">+SUM(AN483:AN484)</f>
        <v>27096.72622798568</v>
      </c>
      <c r="AO485" s="880">
        <f t="shared" si="2392"/>
        <v>29444.142596946025</v>
      </c>
      <c r="AP485" s="880">
        <f t="shared" si="2392"/>
        <v>30568.856219787671</v>
      </c>
      <c r="AQ485" s="880">
        <f t="shared" si="2392"/>
        <v>33091.16759167103</v>
      </c>
      <c r="AV485" s="880"/>
      <c r="AW485" s="880"/>
      <c r="AX485" s="880"/>
      <c r="AY485" s="880"/>
      <c r="AZ485" s="880"/>
      <c r="BA485" s="880"/>
      <c r="BB485" s="880"/>
      <c r="BC485" s="880"/>
      <c r="BD485" s="880"/>
      <c r="BE485" s="880"/>
      <c r="BF485" s="880"/>
      <c r="BG485" s="880"/>
      <c r="BH485" s="880">
        <f t="shared" si="2388"/>
        <v>21649</v>
      </c>
      <c r="BI485" s="880">
        <f t="shared" si="2370"/>
        <v>26129</v>
      </c>
      <c r="BJ485" s="880">
        <f t="shared" si="2371"/>
        <v>32622</v>
      </c>
      <c r="BK485" s="880">
        <f>SUM(T485:W485)</f>
        <v>41379</v>
      </c>
      <c r="BL485" s="880">
        <f>SUM(X485:AA485)</f>
        <v>52589</v>
      </c>
      <c r="BM485" s="880">
        <f>SUM(AB485:AE485)</f>
        <v>67320</v>
      </c>
      <c r="BN485" s="880">
        <f>SUM(AF485:AI485)</f>
        <v>79998.130016319992</v>
      </c>
      <c r="BO485" s="880">
        <f>SUM(AJ485:AM485)</f>
        <v>97688.31044780316</v>
      </c>
      <c r="BP485" s="880">
        <f t="shared" si="2377"/>
        <v>120200.8926363904</v>
      </c>
      <c r="BQ485" s="11">
        <f>SUM(AD12:AG12)</f>
        <v>204094</v>
      </c>
    </row>
    <row r="486" spans="2:72" s="100" customFormat="1">
      <c r="B486" s="100" t="s">
        <v>416</v>
      </c>
      <c r="H486" s="880">
        <f>+'VA segmentation'!AC30</f>
        <v>1355</v>
      </c>
      <c r="I486" s="880">
        <f>+'VA segmentation'!AD30</f>
        <v>1371</v>
      </c>
      <c r="J486" s="880">
        <f>+'VA segmentation'!AE30</f>
        <v>1383</v>
      </c>
      <c r="K486" s="880">
        <f>+'VA segmentation'!AF30</f>
        <v>1433</v>
      </c>
      <c r="L486" s="880">
        <f>+'VA segmentation'!AG30</f>
        <v>1371</v>
      </c>
      <c r="M486" s="880">
        <f>+'VA segmentation'!AH30</f>
        <v>1435</v>
      </c>
      <c r="N486" s="880">
        <f>+'VA segmentation'!AI30</f>
        <v>1489</v>
      </c>
      <c r="O486" s="880">
        <f>+'VA segmentation'!AJ30</f>
        <v>1551</v>
      </c>
      <c r="P486" s="880">
        <f>+'VA segmentation'!AK30</f>
        <v>1450</v>
      </c>
      <c r="Q486" s="880">
        <f>+'VA segmentation'!AL30</f>
        <v>1521</v>
      </c>
      <c r="R486" s="880">
        <f>+'VA segmentation'!AM30</f>
        <v>1542</v>
      </c>
      <c r="S486" s="880">
        <f>+'VA segmentation'!AN30</f>
        <v>1611</v>
      </c>
      <c r="T486" s="880">
        <f>+'VA segmentation'!AO30</f>
        <v>1545</v>
      </c>
      <c r="U486" s="880">
        <f>+'VA segmentation'!AP30</f>
        <v>1612</v>
      </c>
      <c r="V486" s="880">
        <f>+'VA segmentation'!AQ30</f>
        <v>1633</v>
      </c>
      <c r="W486" s="880">
        <f>+'VA segmentation'!AR30</f>
        <v>1619</v>
      </c>
      <c r="X486" s="880">
        <f>+'VA segmentation'!AS30</f>
        <v>1637</v>
      </c>
      <c r="Y486" s="880">
        <f>+'VA segmentation'!AT30</f>
        <v>1695</v>
      </c>
      <c r="Z486" s="880">
        <f>+'VA segmentation'!AU30</f>
        <v>1803</v>
      </c>
      <c r="AA486" s="880">
        <f>+'VA segmentation'!AV30</f>
        <v>1808</v>
      </c>
      <c r="AB486" s="880">
        <f>+'VA segmentation'!AW30</f>
        <v>1791</v>
      </c>
      <c r="AC486" s="880">
        <f>+'VA segmentation'!AX30</f>
        <v>1823</v>
      </c>
      <c r="AD486" s="880">
        <f>+'VA segmentation'!AY30</f>
        <v>1891</v>
      </c>
      <c r="AE486" s="880">
        <f>+'VA segmentation'!AZ30</f>
        <v>1902</v>
      </c>
      <c r="AF486" s="880">
        <f>+'VA segmentation'!BA30</f>
        <v>1876</v>
      </c>
      <c r="AG486" s="880">
        <f>+'VA segmentation'!BB30</f>
        <v>1862</v>
      </c>
      <c r="AH486" s="880">
        <f>+AD486*(1+AH494)</f>
        <v>2004.46</v>
      </c>
      <c r="AI486" s="880">
        <f t="shared" ref="AI486" si="2393">+AE486*(1+AI494)</f>
        <v>1978.0800000000002</v>
      </c>
      <c r="AJ486" s="880">
        <f t="shared" ref="AJ486" si="2394">+AF486*(1+AJ494)</f>
        <v>1894.76</v>
      </c>
      <c r="AK486" s="880">
        <f t="shared" ref="AK486" si="2395">+AG486*(1+AK494)</f>
        <v>1880.6200000000001</v>
      </c>
      <c r="AL486" s="880">
        <f t="shared" ref="AL486" si="2396">+AH486*(1+AL494)</f>
        <v>1824.0586000000001</v>
      </c>
      <c r="AM486" s="880">
        <f t="shared" ref="AM486" si="2397">+AI486*(1+AM494)</f>
        <v>1839.6143999999999</v>
      </c>
      <c r="AN486" s="880">
        <f t="shared" ref="AN486" si="2398">+AJ486*(1+AN494)</f>
        <v>1837.9171999999999</v>
      </c>
      <c r="AO486" s="880">
        <f t="shared" ref="AO486" si="2399">+AK486*(1+AO494)</f>
        <v>1824.2014000000001</v>
      </c>
      <c r="AP486" s="880">
        <f t="shared" ref="AP486" si="2400">+AL486*(1+AP494)</f>
        <v>1824.0586000000001</v>
      </c>
      <c r="AQ486" s="880">
        <f t="shared" ref="AQ486" si="2401">+AM486*(1+AQ494)</f>
        <v>1839.6143999999999</v>
      </c>
      <c r="AV486" s="880"/>
      <c r="AW486" s="880"/>
      <c r="AX486" s="880"/>
      <c r="AY486" s="880"/>
      <c r="AZ486" s="880"/>
      <c r="BA486" s="880"/>
      <c r="BB486" s="880"/>
      <c r="BC486" s="880"/>
      <c r="BD486" s="880"/>
      <c r="BE486" s="880"/>
      <c r="BF486" s="880"/>
      <c r="BG486" s="880"/>
      <c r="BH486" s="880">
        <f t="shared" si="2388"/>
        <v>5542</v>
      </c>
      <c r="BI486" s="880">
        <f t="shared" si="2370"/>
        <v>5846</v>
      </c>
      <c r="BJ486" s="880">
        <f t="shared" si="2371"/>
        <v>6124</v>
      </c>
      <c r="BK486" s="880">
        <f t="shared" ref="BK486:BK488" si="2402">SUM(T486:W486)</f>
        <v>6409</v>
      </c>
      <c r="BL486" s="880">
        <f t="shared" ref="BL486:BL488" si="2403">SUM(X486:AA486)</f>
        <v>6943</v>
      </c>
      <c r="BM486" s="880">
        <f t="shared" ref="BM486:BM488" si="2404">SUM(AB486:AE486)</f>
        <v>7407</v>
      </c>
      <c r="BN486" s="880">
        <f t="shared" ref="BN486:BN488" si="2405">SUM(AF486:AI486)</f>
        <v>7720.54</v>
      </c>
      <c r="BO486" s="880">
        <f t="shared" ref="BO486:BO488" si="2406">SUM(AJ486:AM486)</f>
        <v>7439.0529999999999</v>
      </c>
      <c r="BP486" s="880">
        <f t="shared" si="2377"/>
        <v>7325.7916000000005</v>
      </c>
      <c r="BQ486" s="11">
        <f>SUM(Z12:AC12)</f>
        <v>184903</v>
      </c>
      <c r="BR486" s="11">
        <f>BQ485-BQ486</f>
        <v>19191</v>
      </c>
    </row>
    <row r="487" spans="2:72" s="100" customFormat="1" ht="11.45">
      <c r="B487" s="100" t="s">
        <v>198</v>
      </c>
      <c r="H487" s="906">
        <f>+H488-SUM(H485:H486)</f>
        <v>53</v>
      </c>
      <c r="I487" s="906">
        <f t="shared" ref="I487:AI487" si="2407">+I488-SUM(I485:I486)</f>
        <v>55</v>
      </c>
      <c r="J487" s="906">
        <f t="shared" si="2407"/>
        <v>50</v>
      </c>
      <c r="K487" s="906">
        <f t="shared" si="2407"/>
        <v>58</v>
      </c>
      <c r="L487" s="906">
        <f t="shared" si="2407"/>
        <v>55</v>
      </c>
      <c r="M487" s="906">
        <f t="shared" si="2407"/>
        <v>61</v>
      </c>
      <c r="N487" s="906">
        <f t="shared" si="2407"/>
        <v>64</v>
      </c>
      <c r="O487" s="906">
        <f t="shared" si="2407"/>
        <v>64</v>
      </c>
      <c r="P487" s="906">
        <f t="shared" si="2407"/>
        <v>59</v>
      </c>
      <c r="Q487" s="906">
        <f t="shared" si="2407"/>
        <v>66</v>
      </c>
      <c r="R487" s="906">
        <f t="shared" si="2407"/>
        <v>54</v>
      </c>
      <c r="S487" s="906">
        <f t="shared" si="2407"/>
        <v>60</v>
      </c>
      <c r="T487" s="906">
        <f t="shared" si="2407"/>
        <v>108</v>
      </c>
      <c r="U487" s="906">
        <f t="shared" si="2407"/>
        <v>138</v>
      </c>
      <c r="V487" s="906">
        <f t="shared" si="2407"/>
        <v>158</v>
      </c>
      <c r="W487" s="906">
        <f t="shared" si="2407"/>
        <v>174</v>
      </c>
      <c r="X487" s="906">
        <f t="shared" si="2407"/>
        <v>154</v>
      </c>
      <c r="Y487" s="906">
        <f t="shared" si="2407"/>
        <v>177</v>
      </c>
      <c r="Z487" s="906">
        <f t="shared" si="2407"/>
        <v>111</v>
      </c>
      <c r="AA487" s="906">
        <f t="shared" si="2407"/>
        <v>106</v>
      </c>
      <c r="AB487" s="906">
        <f t="shared" si="2407"/>
        <v>104</v>
      </c>
      <c r="AC487" s="906">
        <f t="shared" si="2407"/>
        <v>122</v>
      </c>
      <c r="AD487" s="906">
        <f t="shared" si="2407"/>
        <v>122</v>
      </c>
      <c r="AE487" s="906">
        <f t="shared" si="2407"/>
        <v>176</v>
      </c>
      <c r="AF487" s="906">
        <f t="shared" si="2407"/>
        <v>61</v>
      </c>
      <c r="AG487" s="906">
        <f t="shared" si="2407"/>
        <v>52</v>
      </c>
      <c r="AH487" s="906">
        <f t="shared" si="2407"/>
        <v>64.881296753177594</v>
      </c>
      <c r="AI487" s="906">
        <f t="shared" si="2407"/>
        <v>10.448686926833034</v>
      </c>
      <c r="AJ487" s="906">
        <f t="shared" ref="AJ487:AK487" si="2408">+AJ488-SUM(AJ485:AJ486)</f>
        <v>125.47999999999956</v>
      </c>
      <c r="AK487" s="906">
        <f t="shared" si="2408"/>
        <v>71.31000000000131</v>
      </c>
      <c r="AL487" s="906">
        <f t="shared" ref="AL487:AM487" si="2409">+AL488-SUM(AL485:AL486)</f>
        <v>42.866146003649192</v>
      </c>
      <c r="AM487" s="906">
        <f t="shared" si="2409"/>
        <v>-5.0195938068172836</v>
      </c>
      <c r="AN487" s="924">
        <f t="shared" ref="AN487" si="2410">+AM487/AM485*AN485</f>
        <v>-5.0979195469862173</v>
      </c>
      <c r="AO487" s="924">
        <f t="shared" ref="AO487" si="2411">+AN487/AN485*AO485</f>
        <v>-5.5395573925160146</v>
      </c>
      <c r="AP487" s="924">
        <f t="shared" ref="AP487" si="2412">+AO487/AO485*AP485</f>
        <v>-5.7511585842763795</v>
      </c>
      <c r="AQ487" s="924">
        <f t="shared" ref="AQ487" si="2413">+AP487/AP485*AQ485</f>
        <v>-6.2257007979047332</v>
      </c>
      <c r="AV487" s="906"/>
      <c r="AW487" s="906"/>
      <c r="AX487" s="906"/>
      <c r="AY487" s="906"/>
      <c r="AZ487" s="906"/>
      <c r="BA487" s="906"/>
      <c r="BB487" s="906"/>
      <c r="BC487" s="906"/>
      <c r="BD487" s="906"/>
      <c r="BE487" s="906"/>
      <c r="BF487" s="906"/>
      <c r="BG487" s="906"/>
      <c r="BH487" s="906">
        <f t="shared" si="2388"/>
        <v>216</v>
      </c>
      <c r="BI487" s="906">
        <f t="shared" si="2370"/>
        <v>244</v>
      </c>
      <c r="BJ487" s="906">
        <f t="shared" si="2371"/>
        <v>239</v>
      </c>
      <c r="BK487" s="906">
        <f t="shared" si="2402"/>
        <v>578</v>
      </c>
      <c r="BL487" s="906">
        <f t="shared" si="2403"/>
        <v>548</v>
      </c>
      <c r="BM487" s="906">
        <f t="shared" si="2404"/>
        <v>524</v>
      </c>
      <c r="BN487" s="906">
        <f t="shared" si="2405"/>
        <v>188.32998368001063</v>
      </c>
      <c r="BO487" s="906">
        <f t="shared" si="2406"/>
        <v>234.63655219683278</v>
      </c>
      <c r="BP487" s="906">
        <f t="shared" si="2377"/>
        <v>-22.614336321683343</v>
      </c>
      <c r="BR487" s="100">
        <f>BR483/BR486</f>
        <v>0.71541783996676411</v>
      </c>
    </row>
    <row r="488" spans="2:72" s="102" customFormat="1" ht="10.5">
      <c r="B488" s="873" t="s">
        <v>417</v>
      </c>
      <c r="H488" s="849">
        <f t="shared" ref="H488:AI488" si="2414">+H449</f>
        <v>6097</v>
      </c>
      <c r="I488" s="849">
        <f t="shared" si="2414"/>
        <v>6758</v>
      </c>
      <c r="J488" s="849">
        <f t="shared" si="2414"/>
        <v>6730</v>
      </c>
      <c r="K488" s="849">
        <f t="shared" si="2414"/>
        <v>7822</v>
      </c>
      <c r="L488" s="849">
        <f t="shared" si="2414"/>
        <v>6922</v>
      </c>
      <c r="M488" s="849">
        <f t="shared" si="2414"/>
        <v>7795</v>
      </c>
      <c r="N488" s="849">
        <f t="shared" si="2414"/>
        <v>7896</v>
      </c>
      <c r="O488" s="849">
        <f t="shared" si="2414"/>
        <v>9606</v>
      </c>
      <c r="P488" s="849">
        <f t="shared" si="2414"/>
        <v>8567</v>
      </c>
      <c r="Q488" s="849">
        <f t="shared" si="2414"/>
        <v>9378</v>
      </c>
      <c r="R488" s="849">
        <f t="shared" si="2414"/>
        <v>9649</v>
      </c>
      <c r="S488" s="849">
        <f t="shared" si="2414"/>
        <v>11391</v>
      </c>
      <c r="T488" s="849">
        <f t="shared" si="2414"/>
        <v>10845</v>
      </c>
      <c r="U488" s="849">
        <f t="shared" si="2414"/>
        <v>11869</v>
      </c>
      <c r="V488" s="849">
        <f t="shared" si="2414"/>
        <v>12281</v>
      </c>
      <c r="W488" s="849">
        <f t="shared" si="2414"/>
        <v>13371</v>
      </c>
      <c r="X488" s="849">
        <f t="shared" si="2414"/>
        <v>12986</v>
      </c>
      <c r="Y488" s="849">
        <f t="shared" si="2414"/>
        <v>14601</v>
      </c>
      <c r="Z488" s="849">
        <f t="shared" si="2414"/>
        <v>15118</v>
      </c>
      <c r="AA488" s="849">
        <f t="shared" si="2414"/>
        <v>17375</v>
      </c>
      <c r="AB488" s="849">
        <f t="shared" si="2414"/>
        <v>16964</v>
      </c>
      <c r="AC488" s="849">
        <f t="shared" si="2414"/>
        <v>18327</v>
      </c>
      <c r="AD488" s="849">
        <f t="shared" si="2414"/>
        <v>19051</v>
      </c>
      <c r="AE488" s="849">
        <f t="shared" si="2414"/>
        <v>20909</v>
      </c>
      <c r="AF488" s="849">
        <f t="shared" si="2414"/>
        <v>20325</v>
      </c>
      <c r="AG488" s="849">
        <f t="shared" si="2414"/>
        <v>21508</v>
      </c>
      <c r="AH488" s="849">
        <f t="shared" si="2414"/>
        <v>22081</v>
      </c>
      <c r="AI488" s="849">
        <f t="shared" si="2414"/>
        <v>23993</v>
      </c>
      <c r="AJ488" s="849">
        <f t="shared" ref="AJ488:AK488" si="2415">+AJ449</f>
        <v>24259</v>
      </c>
      <c r="AK488" s="849">
        <f t="shared" si="2415"/>
        <v>25880</v>
      </c>
      <c r="AL488" s="849">
        <f t="shared" ref="AL488:AM488" si="2416">+AL449</f>
        <v>26708</v>
      </c>
      <c r="AM488" s="849">
        <f t="shared" si="2416"/>
        <v>28515</v>
      </c>
      <c r="AN488" s="849">
        <f t="shared" ref="AN488:AQ488" si="2417">+SUM(AN485:AN487)</f>
        <v>28929.545508438696</v>
      </c>
      <c r="AO488" s="849">
        <f t="shared" si="2417"/>
        <v>31262.804439553511</v>
      </c>
      <c r="AP488" s="849">
        <f t="shared" si="2417"/>
        <v>32387.163661203394</v>
      </c>
      <c r="AQ488" s="849">
        <f t="shared" si="2417"/>
        <v>34924.556290873123</v>
      </c>
      <c r="AV488" s="849"/>
      <c r="AW488" s="849"/>
      <c r="AX488" s="849"/>
      <c r="AY488" s="849"/>
      <c r="AZ488" s="849"/>
      <c r="BA488" s="849"/>
      <c r="BB488" s="849"/>
      <c r="BC488" s="849"/>
      <c r="BD488" s="849"/>
      <c r="BE488" s="849"/>
      <c r="BF488" s="849"/>
      <c r="BG488" s="849"/>
      <c r="BH488" s="849">
        <f t="shared" si="2388"/>
        <v>27407</v>
      </c>
      <c r="BI488" s="849">
        <f t="shared" si="2370"/>
        <v>32219</v>
      </c>
      <c r="BJ488" s="849">
        <f t="shared" si="2371"/>
        <v>38985</v>
      </c>
      <c r="BK488" s="849">
        <f t="shared" si="2402"/>
        <v>48366</v>
      </c>
      <c r="BL488" s="849">
        <f t="shared" si="2403"/>
        <v>60080</v>
      </c>
      <c r="BM488" s="849">
        <f t="shared" si="2404"/>
        <v>75251</v>
      </c>
      <c r="BN488" s="849">
        <f t="shared" si="2405"/>
        <v>87907</v>
      </c>
      <c r="BO488" s="849">
        <f t="shared" si="2406"/>
        <v>105362</v>
      </c>
      <c r="BP488" s="849">
        <f t="shared" si="2377"/>
        <v>127504.06990006872</v>
      </c>
      <c r="BT488" s="100"/>
    </row>
    <row r="489" spans="2:72">
      <c r="AG489" s="1167"/>
      <c r="AH489" s="8"/>
      <c r="AI489" s="8"/>
      <c r="AJ489" s="8"/>
      <c r="AK489" s="8"/>
      <c r="AL489" s="8"/>
      <c r="AM489" s="8"/>
      <c r="AN489" s="8"/>
      <c r="AO489" s="8"/>
      <c r="AP489" s="8"/>
      <c r="AQ489" s="8"/>
    </row>
    <row r="490" spans="2:72" ht="11.45">
      <c r="B490" s="24" t="s">
        <v>113</v>
      </c>
      <c r="AH490" s="908"/>
      <c r="AI490" s="908"/>
      <c r="AJ490" s="908"/>
      <c r="AK490" s="908"/>
      <c r="AL490" s="908"/>
      <c r="AM490" s="908"/>
      <c r="AN490" s="908"/>
      <c r="AO490" s="908"/>
      <c r="AP490" s="908"/>
      <c r="AQ490" s="908"/>
    </row>
    <row r="491" spans="2:72" s="3" customFormat="1">
      <c r="B491" s="13" t="str">
        <f t="shared" ref="B491:B492" si="2418">+B483</f>
        <v>Azure</v>
      </c>
      <c r="D491" s="228"/>
      <c r="E491" s="228"/>
      <c r="F491" s="228"/>
      <c r="G491" s="228"/>
      <c r="H491" s="228"/>
      <c r="I491" s="228"/>
      <c r="J491" s="228"/>
      <c r="K491" s="228"/>
      <c r="L491" s="228">
        <f t="shared" ref="L491:AI491" si="2419">+L483/H483-1</f>
        <v>0.90144781955921327</v>
      </c>
      <c r="M491" s="228">
        <f t="shared" si="2419"/>
        <v>0.99155360912000079</v>
      </c>
      <c r="N491" s="228">
        <f t="shared" si="2419"/>
        <v>0.92864710528193251</v>
      </c>
      <c r="O491" s="228">
        <f t="shared" si="2419"/>
        <v>0.90888010475160708</v>
      </c>
      <c r="P491" s="228">
        <f t="shared" si="2419"/>
        <v>0.75944099369388796</v>
      </c>
      <c r="Q491" s="228">
        <f t="shared" si="2419"/>
        <v>0.77583258992076165</v>
      </c>
      <c r="R491" s="228">
        <f t="shared" si="2419"/>
        <v>0.73101723752948167</v>
      </c>
      <c r="S491" s="228">
        <f t="shared" si="2419"/>
        <v>0.62667597347516368</v>
      </c>
      <c r="T491" s="228">
        <f t="shared" si="2419"/>
        <v>0.59085230064168881</v>
      </c>
      <c r="U491" s="228">
        <f t="shared" si="2419"/>
        <v>0.62009799992947956</v>
      </c>
      <c r="V491" s="228">
        <f t="shared" si="2419"/>
        <v>0.58821175943955106</v>
      </c>
      <c r="W491" s="228">
        <f t="shared" si="2419"/>
        <v>0.46824697555649819</v>
      </c>
      <c r="X491" s="228">
        <f t="shared" si="2419"/>
        <v>0.47916296898311139</v>
      </c>
      <c r="Y491" s="228">
        <f t="shared" si="2419"/>
        <v>0.49952745622344996</v>
      </c>
      <c r="Z491" s="228">
        <f t="shared" si="2419"/>
        <v>0.49775582341590807</v>
      </c>
      <c r="AA491" s="228">
        <f t="shared" si="2419"/>
        <v>0.51127678584879188</v>
      </c>
      <c r="AB491" s="228">
        <f t="shared" si="2419"/>
        <v>0.49958628868543009</v>
      </c>
      <c r="AC491" s="228">
        <f t="shared" si="2419"/>
        <v>0.45874303578955766</v>
      </c>
      <c r="AD491" s="228">
        <f t="shared" si="2419"/>
        <v>0.45444483269312119</v>
      </c>
      <c r="AE491" s="228">
        <f t="shared" si="2419"/>
        <v>0.39464350961882055</v>
      </c>
      <c r="AF491" s="228">
        <f t="shared" si="2419"/>
        <v>0.34670453701846027</v>
      </c>
      <c r="AG491" s="228">
        <f t="shared" si="2419"/>
        <v>0.3138223748487583</v>
      </c>
      <c r="AH491" s="228">
        <f t="shared" si="2419"/>
        <v>0.27</v>
      </c>
      <c r="AI491" s="228">
        <f t="shared" si="2419"/>
        <v>0.26</v>
      </c>
      <c r="AJ491" s="228">
        <f t="shared" ref="AJ491" si="2420">+AJ483/AF483-1</f>
        <v>0.29000000000000004</v>
      </c>
      <c r="AK491" s="228">
        <f t="shared" ref="AK491" si="2421">+AK483/AG483-1</f>
        <v>0.30000000000000004</v>
      </c>
      <c r="AL491" s="228">
        <f t="shared" ref="AL491" si="2422">+AL483/AH483-1</f>
        <v>0.31000000000000005</v>
      </c>
      <c r="AM491" s="228">
        <f t="shared" ref="AM491" si="2423">+AM483/AI483-1</f>
        <v>0.29000000000000004</v>
      </c>
      <c r="AN491" s="228">
        <f t="shared" ref="AN491" si="2424">+AN483/AJ483-1</f>
        <v>0.2952913784018798</v>
      </c>
      <c r="AO491" s="228">
        <f t="shared" ref="AO491" si="2425">+AO483/AK483-1</f>
        <v>0.31234284113352873</v>
      </c>
      <c r="AP491" s="228">
        <f t="shared" ref="AP491" si="2426">+AP483/AL483-1</f>
        <v>0.31655410739514567</v>
      </c>
      <c r="AQ491" s="228">
        <f t="shared" ref="AQ491" si="2427">+AQ483/AM483-1</f>
        <v>0.31995314209243619</v>
      </c>
      <c r="AR491" s="228"/>
      <c r="AS491" s="228"/>
      <c r="AT491" s="228" t="e">
        <f t="shared" ref="AT491:AW491" si="2428">+AT483/AS483-1</f>
        <v>#DIV/0!</v>
      </c>
      <c r="AU491" s="228" t="e">
        <f t="shared" si="2428"/>
        <v>#DIV/0!</v>
      </c>
      <c r="AV491" s="228" t="e">
        <f t="shared" si="2428"/>
        <v>#DIV/0!</v>
      </c>
      <c r="AW491" s="228" t="e">
        <f t="shared" si="2428"/>
        <v>#DIV/0!</v>
      </c>
      <c r="AX491" s="228"/>
      <c r="AY491" s="228"/>
      <c r="AZ491" s="228"/>
      <c r="BA491" s="228"/>
      <c r="BB491" s="228"/>
      <c r="BC491" s="228"/>
      <c r="BD491" s="228"/>
      <c r="BE491" s="228"/>
      <c r="BF491" s="228"/>
      <c r="BG491" s="228"/>
      <c r="BH491" s="228"/>
      <c r="BI491" s="228">
        <f t="shared" ref="BI491:BI496" si="2429">+BI483/BH483-1</f>
        <v>0.92999837596177359</v>
      </c>
      <c r="BJ491" s="228">
        <f t="shared" ref="BJ491:BJ496" si="2430">+BJ483/BI483-1</f>
        <v>0.71273158002049319</v>
      </c>
      <c r="BK491" s="228">
        <f t="shared" ref="BK491:BK496" si="2431">+BK483/BJ483-1</f>
        <v>0.55899209418884133</v>
      </c>
      <c r="BL491" s="228">
        <f t="shared" ref="BL491:BO491" si="2432">+BL483/BK483-1</f>
        <v>0.49815654505720697</v>
      </c>
      <c r="BM491" s="228">
        <f t="shared" si="2432"/>
        <v>0.44739447913252506</v>
      </c>
      <c r="BN491" s="228">
        <f t="shared" si="2432"/>
        <v>0.2943762234653704</v>
      </c>
      <c r="BO491" s="228">
        <f t="shared" si="2432"/>
        <v>0.29753002913471227</v>
      </c>
      <c r="BP491" s="228">
        <f t="shared" ref="BP491:BP496" si="2433">+BP483/BO483-1</f>
        <v>0.31167111015594617</v>
      </c>
    </row>
    <row r="492" spans="2:72" s="942" customFormat="1" ht="11.45">
      <c r="B492" s="13" t="str">
        <f t="shared" si="2418"/>
        <v>Server Products and Licensing</v>
      </c>
      <c r="D492" s="840"/>
      <c r="E492" s="840"/>
      <c r="F492" s="840"/>
      <c r="G492" s="840"/>
      <c r="H492" s="840"/>
      <c r="I492" s="840"/>
      <c r="J492" s="840"/>
      <c r="K492" s="840"/>
      <c r="L492" s="840">
        <f t="shared" ref="L492:AG492" si="2434">+L484/H484-1</f>
        <v>1.9485116229293498E-2</v>
      </c>
      <c r="M492" s="840">
        <f t="shared" si="2434"/>
        <v>2.9292346827713533E-2</v>
      </c>
      <c r="N492" s="840">
        <f t="shared" si="2434"/>
        <v>2.9510986012506679E-2</v>
      </c>
      <c r="O492" s="840">
        <f t="shared" si="2434"/>
        <v>9.5789165497777384E-2</v>
      </c>
      <c r="P492" s="840">
        <f t="shared" si="2434"/>
        <v>9.8729529530093618E-2</v>
      </c>
      <c r="Q492" s="840">
        <f t="shared" si="2434"/>
        <v>4.1132619983507812E-2</v>
      </c>
      <c r="R492" s="840">
        <f t="shared" si="2434"/>
        <v>7.1021108662162602E-2</v>
      </c>
      <c r="S492" s="840">
        <f t="shared" si="2434"/>
        <v>3.2435529903948712E-2</v>
      </c>
      <c r="T492" s="840">
        <f t="shared" si="2434"/>
        <v>0.12204479299161641</v>
      </c>
      <c r="U492" s="840">
        <f t="shared" si="2434"/>
        <v>9.9789663874783718E-2</v>
      </c>
      <c r="V492" s="840">
        <f t="shared" si="2434"/>
        <v>0.10398678480558732</v>
      </c>
      <c r="W492" s="840">
        <f t="shared" si="2434"/>
        <v>-4.5591765789173566E-3</v>
      </c>
      <c r="X492" s="840">
        <f t="shared" si="2434"/>
        <v>-1.3594022250432047E-2</v>
      </c>
      <c r="Y492" s="840">
        <f t="shared" si="2434"/>
        <v>3.7479250135211251E-2</v>
      </c>
      <c r="Z492" s="840">
        <f t="shared" si="2434"/>
        <v>1.9551031617260017E-2</v>
      </c>
      <c r="AA492" s="840">
        <f t="shared" si="2434"/>
        <v>0.15213086499535367</v>
      </c>
      <c r="AB492" s="840">
        <f t="shared" si="2434"/>
        <v>0.14203091593674499</v>
      </c>
      <c r="AC492" s="840">
        <f t="shared" si="2434"/>
        <v>6.0455458280518348E-2</v>
      </c>
      <c r="AD492" s="840">
        <f t="shared" si="2434"/>
        <v>4.9190386025024235E-2</v>
      </c>
      <c r="AE492" s="840">
        <f t="shared" si="2434"/>
        <v>-2.3461919019854949E-2</v>
      </c>
      <c r="AF492" s="840">
        <f t="shared" si="2434"/>
        <v>-3.7548829076894386E-4</v>
      </c>
      <c r="AG492" s="840">
        <f t="shared" si="2434"/>
        <v>-1.7558487610851992E-2</v>
      </c>
      <c r="AH492" s="840">
        <f>+AH472</f>
        <v>-0.02</v>
      </c>
      <c r="AI492" s="840">
        <f>+AI472</f>
        <v>-0.01</v>
      </c>
      <c r="AJ492" s="840">
        <f t="shared" ref="AJ492:AK492" si="2435">+AJ472</f>
        <v>0.02</v>
      </c>
      <c r="AK492" s="840">
        <f t="shared" si="2435"/>
        <v>0.03</v>
      </c>
      <c r="AL492" s="840">
        <f t="shared" ref="AL492:AM492" si="2436">+AL472</f>
        <v>0.06</v>
      </c>
      <c r="AM492" s="840">
        <f t="shared" si="2436"/>
        <v>0.02</v>
      </c>
      <c r="AN492" s="908">
        <f t="shared" ref="AN492" si="2437">+AM492+AI492-AJ492</f>
        <v>-0.01</v>
      </c>
      <c r="AO492" s="908">
        <f t="shared" ref="AO492" si="2438">+AN492+AJ492-AK492</f>
        <v>-1.9999999999999997E-2</v>
      </c>
      <c r="AP492" s="908">
        <f t="shared" ref="AP492" si="2439">+AO492+AK492-AL492</f>
        <v>-4.9999999999999996E-2</v>
      </c>
      <c r="AQ492" s="908">
        <f t="shared" ref="AQ492" si="2440">+AP492+AL492-AM492</f>
        <v>-9.9999999999999985E-3</v>
      </c>
      <c r="AR492" s="840"/>
      <c r="AS492" s="840"/>
      <c r="AT492" s="840" t="e">
        <f t="shared" ref="AT492:AW492" si="2441">+AT484/AS484-1</f>
        <v>#DIV/0!</v>
      </c>
      <c r="AU492" s="840" t="e">
        <f t="shared" si="2441"/>
        <v>#DIV/0!</v>
      </c>
      <c r="AV492" s="840" t="e">
        <f t="shared" si="2441"/>
        <v>#DIV/0!</v>
      </c>
      <c r="AW492" s="840" t="e">
        <f t="shared" si="2441"/>
        <v>#DIV/0!</v>
      </c>
      <c r="AX492" s="840"/>
      <c r="AY492" s="840"/>
      <c r="AZ492" s="840"/>
      <c r="BA492" s="840"/>
      <c r="BB492" s="840"/>
      <c r="BC492" s="840"/>
      <c r="BD492" s="840"/>
      <c r="BE492" s="840"/>
      <c r="BF492" s="840"/>
      <c r="BG492" s="840"/>
      <c r="BH492" s="840"/>
      <c r="BI492" s="840">
        <f t="shared" si="2429"/>
        <v>4.610465845395928E-2</v>
      </c>
      <c r="BJ492" s="840">
        <f t="shared" si="2430"/>
        <v>5.7986898776290152E-2</v>
      </c>
      <c r="BK492" s="840">
        <f t="shared" si="2431"/>
        <v>7.5411274949392704E-2</v>
      </c>
      <c r="BL492" s="840">
        <f t="shared" ref="BL492:BO492" si="2442">+BL484/BK484-1</f>
        <v>5.2054521004462506E-2</v>
      </c>
      <c r="BM492" s="840">
        <f t="shared" si="2442"/>
        <v>5.0700734916172108E-2</v>
      </c>
      <c r="BN492" s="840">
        <f t="shared" si="2442"/>
        <v>-1.2027883579876275E-2</v>
      </c>
      <c r="BO492" s="840">
        <f t="shared" si="2442"/>
        <v>3.2035718335611918E-2</v>
      </c>
      <c r="BP492" s="840">
        <f t="shared" si="2433"/>
        <v>-2.2289623510982848E-2</v>
      </c>
    </row>
    <row r="493" spans="2:72" s="3" customFormat="1">
      <c r="B493" s="15" t="str">
        <f>+B485</f>
        <v>Server Products and Cloud Services</v>
      </c>
      <c r="D493" s="228"/>
      <c r="E493" s="228"/>
      <c r="F493" s="228"/>
      <c r="G493" s="228"/>
      <c r="H493" s="228"/>
      <c r="I493" s="228"/>
      <c r="J493" s="228"/>
      <c r="K493" s="228"/>
      <c r="L493" s="228">
        <f t="shared" ref="L493:U496" si="2443">+L485/H485-1</f>
        <v>0.17210492642354436</v>
      </c>
      <c r="M493" s="228">
        <f t="shared" si="2443"/>
        <v>0.18135783945986494</v>
      </c>
      <c r="N493" s="228">
        <f t="shared" si="2443"/>
        <v>0.19747026618840846</v>
      </c>
      <c r="O493" s="228">
        <f t="shared" si="2443"/>
        <v>0.26220186384457422</v>
      </c>
      <c r="P493" s="228">
        <f t="shared" si="2443"/>
        <v>0.28420669577874813</v>
      </c>
      <c r="Q493" s="228">
        <f t="shared" si="2443"/>
        <v>0.23686299412605183</v>
      </c>
      <c r="R493" s="228">
        <f t="shared" si="2443"/>
        <v>0.26958852278101841</v>
      </c>
      <c r="S493" s="228">
        <f t="shared" si="2443"/>
        <v>0.21636841446627453</v>
      </c>
      <c r="T493" s="228">
        <f t="shared" si="2443"/>
        <v>0.30235194105979035</v>
      </c>
      <c r="U493" s="228">
        <f t="shared" si="2443"/>
        <v>0.29880631497882182</v>
      </c>
      <c r="V493" s="228">
        <f t="shared" ref="V493:AE496" si="2444">+V485/R485-1</f>
        <v>0.30262014156215078</v>
      </c>
      <c r="W493" s="228">
        <f t="shared" si="2444"/>
        <v>0.19115226337448554</v>
      </c>
      <c r="X493" s="228">
        <f t="shared" si="2444"/>
        <v>0.21790687554395127</v>
      </c>
      <c r="Y493" s="228">
        <f t="shared" si="2444"/>
        <v>0.25793062555588486</v>
      </c>
      <c r="Z493" s="228">
        <f t="shared" si="2444"/>
        <v>0.25872259294566247</v>
      </c>
      <c r="AA493" s="228">
        <f t="shared" si="2444"/>
        <v>0.33537743997236147</v>
      </c>
      <c r="AB493" s="228">
        <f t="shared" si="2444"/>
        <v>0.34604734256364456</v>
      </c>
      <c r="AC493" s="228">
        <f t="shared" si="2444"/>
        <v>0.28698248094901402</v>
      </c>
      <c r="AD493" s="228">
        <f t="shared" si="2444"/>
        <v>0.29036655558921542</v>
      </c>
      <c r="AE493" s="228">
        <f t="shared" si="2444"/>
        <v>0.21796778992303212</v>
      </c>
      <c r="AF493" s="228">
        <f t="shared" ref="AF493:AI496" si="2445">+AF485/AB485-1</f>
        <v>0.220253500564072</v>
      </c>
      <c r="AG493" s="228">
        <f t="shared" si="2445"/>
        <v>0.19606885606153091</v>
      </c>
      <c r="AH493" s="228">
        <f t="shared" si="2445"/>
        <v>0.17453097213562763</v>
      </c>
      <c r="AI493" s="228">
        <f t="shared" si="2445"/>
        <v>0.16852378063157381</v>
      </c>
      <c r="AJ493" s="228">
        <f t="shared" ref="AJ493" si="2446">+AJ485/AF485-1</f>
        <v>0.20941701109419197</v>
      </c>
      <c r="AK493" s="228">
        <f t="shared" ref="AK493" si="2447">+AK485/AG485-1</f>
        <v>0.22119373277533927</v>
      </c>
      <c r="AL493" s="228">
        <f t="shared" ref="AL493" si="2448">+AL485/AH485-1</f>
        <v>0.24133014770864403</v>
      </c>
      <c r="AM493" s="228">
        <f t="shared" ref="AM493" si="2449">+AM485/AI485-1</f>
        <v>0.21249926045510659</v>
      </c>
      <c r="AN493" s="228">
        <f t="shared" ref="AN493" si="2450">+AN485/AJ485-1</f>
        <v>0.21844591281104142</v>
      </c>
      <c r="AO493" s="228">
        <f t="shared" ref="AO493" si="2451">+AO485/AK485-1</f>
        <v>0.23052726763780051</v>
      </c>
      <c r="AP493" s="228">
        <f t="shared" ref="AP493" si="2452">+AP485/AL485-1</f>
        <v>0.23057701436937017</v>
      </c>
      <c r="AQ493" s="228">
        <f t="shared" ref="AQ493" si="2453">+AQ485/AM485-1</f>
        <v>0.24027979902465302</v>
      </c>
      <c r="AR493" s="228"/>
      <c r="AS493" s="228"/>
      <c r="AT493" s="228" t="e">
        <f t="shared" ref="AT493:AW493" si="2454">+AT485/AS485-1</f>
        <v>#DIV/0!</v>
      </c>
      <c r="AU493" s="228" t="e">
        <f t="shared" si="2454"/>
        <v>#DIV/0!</v>
      </c>
      <c r="AV493" s="228" t="e">
        <f t="shared" si="2454"/>
        <v>#DIV/0!</v>
      </c>
      <c r="AW493" s="228" t="e">
        <f t="shared" si="2454"/>
        <v>#DIV/0!</v>
      </c>
      <c r="AX493" s="228"/>
      <c r="AY493" s="228"/>
      <c r="AZ493" s="228"/>
      <c r="BA493" s="228"/>
      <c r="BB493" s="228"/>
      <c r="BC493" s="228"/>
      <c r="BD493" s="228"/>
      <c r="BE493" s="228"/>
      <c r="BF493" s="228"/>
      <c r="BG493" s="228"/>
      <c r="BH493" s="228"/>
      <c r="BI493" s="228">
        <f t="shared" si="2429"/>
        <v>0.20693796480206927</v>
      </c>
      <c r="BJ493" s="228">
        <f t="shared" si="2430"/>
        <v>0.24849783765165134</v>
      </c>
      <c r="BK493" s="228">
        <f t="shared" si="2431"/>
        <v>0.26843847710134261</v>
      </c>
      <c r="BL493" s="228">
        <f t="shared" ref="BL493:BO496" si="2455">+BL485/BK485-1</f>
        <v>0.27091036516107203</v>
      </c>
      <c r="BM493" s="228">
        <f t="shared" si="2455"/>
        <v>0.28011561353134695</v>
      </c>
      <c r="BN493" s="228">
        <f t="shared" si="2455"/>
        <v>0.1883263519952465</v>
      </c>
      <c r="BO493" s="228">
        <f t="shared" si="2455"/>
        <v>0.22113242431884705</v>
      </c>
      <c r="BP493" s="228">
        <f t="shared" si="2433"/>
        <v>0.23045318406459869</v>
      </c>
    </row>
    <row r="494" spans="2:72" s="3" customFormat="1">
      <c r="B494" s="13" t="str">
        <f>+B486</f>
        <v>Enterprise Services</v>
      </c>
      <c r="D494" s="228"/>
      <c r="E494" s="228"/>
      <c r="F494" s="228"/>
      <c r="G494" s="228"/>
      <c r="H494" s="228"/>
      <c r="I494" s="228"/>
      <c r="J494" s="228"/>
      <c r="K494" s="228"/>
      <c r="L494" s="228">
        <f t="shared" si="2443"/>
        <v>1.1808118081180874E-2</v>
      </c>
      <c r="M494" s="228">
        <f t="shared" si="2443"/>
        <v>4.6681254558716301E-2</v>
      </c>
      <c r="N494" s="228">
        <f t="shared" si="2443"/>
        <v>7.6644974692696932E-2</v>
      </c>
      <c r="O494" s="228">
        <f t="shared" si="2443"/>
        <v>8.2344731332868015E-2</v>
      </c>
      <c r="P494" s="228">
        <f t="shared" si="2443"/>
        <v>5.7622173595915482E-2</v>
      </c>
      <c r="Q494" s="228">
        <f t="shared" si="2443"/>
        <v>5.9930313588850259E-2</v>
      </c>
      <c r="R494" s="228">
        <f t="shared" si="2443"/>
        <v>3.5594358629952971E-2</v>
      </c>
      <c r="S494" s="228">
        <f t="shared" si="2443"/>
        <v>3.8684719535783341E-2</v>
      </c>
      <c r="T494" s="228">
        <f t="shared" si="2443"/>
        <v>6.5517241379310365E-2</v>
      </c>
      <c r="U494" s="228">
        <f t="shared" si="2443"/>
        <v>5.9829059829059839E-2</v>
      </c>
      <c r="V494" s="228">
        <f t="shared" si="2444"/>
        <v>5.9014267185473424E-2</v>
      </c>
      <c r="W494" s="228">
        <f t="shared" si="2444"/>
        <v>4.9658597144630612E-3</v>
      </c>
      <c r="X494" s="228">
        <f t="shared" si="2444"/>
        <v>5.9546925566343001E-2</v>
      </c>
      <c r="Y494" s="228">
        <f t="shared" si="2444"/>
        <v>5.1488833746898166E-2</v>
      </c>
      <c r="Z494" s="228">
        <f t="shared" si="2444"/>
        <v>0.10410287813839569</v>
      </c>
      <c r="AA494" s="228">
        <f t="shared" si="2444"/>
        <v>0.11673872760963566</v>
      </c>
      <c r="AB494" s="228">
        <f t="shared" si="2444"/>
        <v>9.4074526572999417E-2</v>
      </c>
      <c r="AC494" s="228">
        <f t="shared" si="2444"/>
        <v>7.5516224188790559E-2</v>
      </c>
      <c r="AD494" s="228">
        <f t="shared" si="2444"/>
        <v>4.8807542983915653E-2</v>
      </c>
      <c r="AE494" s="228">
        <f t="shared" si="2444"/>
        <v>5.1991150442477929E-2</v>
      </c>
      <c r="AF494" s="228">
        <f t="shared" si="2445"/>
        <v>4.7459519821328788E-2</v>
      </c>
      <c r="AG494" s="228">
        <f t="shared" si="2445"/>
        <v>2.1393307734503653E-2</v>
      </c>
      <c r="AH494" s="228">
        <f>+AH474</f>
        <v>0.06</v>
      </c>
      <c r="AI494" s="228">
        <f>+AI474</f>
        <v>0.04</v>
      </c>
      <c r="AJ494" s="228">
        <f t="shared" ref="AJ494:AK494" si="2456">+AJ474</f>
        <v>0.01</v>
      </c>
      <c r="AK494" s="228">
        <f t="shared" si="2456"/>
        <v>0.01</v>
      </c>
      <c r="AL494" s="228">
        <f t="shared" ref="AL494:AM494" si="2457">+AL474</f>
        <v>-0.09</v>
      </c>
      <c r="AM494" s="228">
        <f t="shared" si="2457"/>
        <v>-7.0000000000000007E-2</v>
      </c>
      <c r="AN494" s="829">
        <v>-0.03</v>
      </c>
      <c r="AO494" s="829">
        <v>-0.03</v>
      </c>
      <c r="AP494" s="829">
        <v>0</v>
      </c>
      <c r="AQ494" s="829">
        <v>0</v>
      </c>
      <c r="AR494" s="228"/>
      <c r="AS494" s="228"/>
      <c r="AT494" s="228" t="e">
        <f t="shared" ref="AT494:AW494" si="2458">+AT486/AS486-1</f>
        <v>#DIV/0!</v>
      </c>
      <c r="AU494" s="228" t="e">
        <f t="shared" si="2458"/>
        <v>#DIV/0!</v>
      </c>
      <c r="AV494" s="228" t="e">
        <f t="shared" si="2458"/>
        <v>#DIV/0!</v>
      </c>
      <c r="AW494" s="228" t="e">
        <f t="shared" si="2458"/>
        <v>#DIV/0!</v>
      </c>
      <c r="AX494" s="228"/>
      <c r="AY494" s="228"/>
      <c r="AZ494" s="228"/>
      <c r="BA494" s="228"/>
      <c r="BB494" s="228"/>
      <c r="BC494" s="228"/>
      <c r="BD494" s="228"/>
      <c r="BE494" s="228"/>
      <c r="BF494" s="228"/>
      <c r="BG494" s="228"/>
      <c r="BH494" s="228"/>
      <c r="BI494" s="228">
        <f t="shared" si="2429"/>
        <v>5.4853843377841827E-2</v>
      </c>
      <c r="BJ494" s="228">
        <f t="shared" si="2430"/>
        <v>4.7553882996920871E-2</v>
      </c>
      <c r="BK494" s="228">
        <f t="shared" si="2431"/>
        <v>4.6538210320052231E-2</v>
      </c>
      <c r="BL494" s="228">
        <f t="shared" si="2455"/>
        <v>8.3320330784833807E-2</v>
      </c>
      <c r="BM494" s="228">
        <f t="shared" si="2455"/>
        <v>6.6829900619328919E-2</v>
      </c>
      <c r="BN494" s="228">
        <f t="shared" si="2455"/>
        <v>4.2330228162548833E-2</v>
      </c>
      <c r="BO494" s="228">
        <f t="shared" si="2455"/>
        <v>-3.6459496356472498E-2</v>
      </c>
      <c r="BP494" s="228">
        <f t="shared" si="2433"/>
        <v>-1.5225244396027238E-2</v>
      </c>
    </row>
    <row r="495" spans="2:72" s="839" customFormat="1" ht="11.45">
      <c r="B495" s="13" t="str">
        <f>+B487</f>
        <v>Other</v>
      </c>
      <c r="D495" s="840"/>
      <c r="E495" s="840"/>
      <c r="F495" s="840"/>
      <c r="G495" s="840"/>
      <c r="H495" s="840"/>
      <c r="I495" s="840"/>
      <c r="J495" s="840"/>
      <c r="K495" s="840"/>
      <c r="L495" s="840">
        <f t="shared" si="2443"/>
        <v>3.7735849056603765E-2</v>
      </c>
      <c r="M495" s="840">
        <f t="shared" si="2443"/>
        <v>0.10909090909090913</v>
      </c>
      <c r="N495" s="840">
        <f t="shared" si="2443"/>
        <v>0.28000000000000003</v>
      </c>
      <c r="O495" s="840">
        <f t="shared" si="2443"/>
        <v>0.10344827586206895</v>
      </c>
      <c r="P495" s="840">
        <f t="shared" si="2443"/>
        <v>7.2727272727272751E-2</v>
      </c>
      <c r="Q495" s="840">
        <f t="shared" si="2443"/>
        <v>8.1967213114754189E-2</v>
      </c>
      <c r="R495" s="840">
        <f t="shared" si="2443"/>
        <v>-0.15625</v>
      </c>
      <c r="S495" s="840">
        <f t="shared" si="2443"/>
        <v>-6.25E-2</v>
      </c>
      <c r="T495" s="840">
        <f t="shared" si="2443"/>
        <v>0.83050847457627119</v>
      </c>
      <c r="U495" s="840">
        <f t="shared" si="2443"/>
        <v>1.0909090909090908</v>
      </c>
      <c r="V495" s="840">
        <f t="shared" si="2444"/>
        <v>1.925925925925926</v>
      </c>
      <c r="W495" s="840">
        <f t="shared" si="2444"/>
        <v>1.9</v>
      </c>
      <c r="X495" s="840">
        <f t="shared" si="2444"/>
        <v>0.42592592592592582</v>
      </c>
      <c r="Y495" s="840">
        <f t="shared" si="2444"/>
        <v>0.28260869565217384</v>
      </c>
      <c r="Z495" s="840">
        <f t="shared" si="2444"/>
        <v>-0.29746835443037978</v>
      </c>
      <c r="AA495" s="840">
        <f t="shared" si="2444"/>
        <v>-0.39080459770114939</v>
      </c>
      <c r="AB495" s="840">
        <f t="shared" si="2444"/>
        <v>-0.32467532467532467</v>
      </c>
      <c r="AC495" s="840">
        <f t="shared" si="2444"/>
        <v>-0.31073446327683618</v>
      </c>
      <c r="AD495" s="840">
        <f t="shared" si="2444"/>
        <v>9.9099099099099197E-2</v>
      </c>
      <c r="AE495" s="840">
        <f t="shared" si="2444"/>
        <v>0.66037735849056611</v>
      </c>
      <c r="AF495" s="840">
        <f t="shared" si="2445"/>
        <v>-0.41346153846153844</v>
      </c>
      <c r="AG495" s="840">
        <f t="shared" si="2445"/>
        <v>-0.57377049180327866</v>
      </c>
      <c r="AH495" s="840">
        <f t="shared" si="2445"/>
        <v>-0.46818609218706886</v>
      </c>
      <c r="AI495" s="840">
        <f t="shared" si="2445"/>
        <v>-0.94063246064299411</v>
      </c>
      <c r="AJ495" s="840">
        <f t="shared" ref="AJ495:AJ496" si="2459">+AJ487/AF487-1</f>
        <v>1.0570491803278617</v>
      </c>
      <c r="AK495" s="840">
        <f t="shared" ref="AK495:AK496" si="2460">+AK487/AG487-1</f>
        <v>0.37134615384617908</v>
      </c>
      <c r="AL495" s="840">
        <f t="shared" ref="AL495:AL496" si="2461">+AL487/AH487-1</f>
        <v>-0.33931428394963759</v>
      </c>
      <c r="AM495" s="840">
        <f t="shared" ref="AM495:AM496" si="2462">+AM487/AI487-1</f>
        <v>-1.4804042691648249</v>
      </c>
      <c r="AN495" s="840">
        <f t="shared" ref="AN495:AN496" si="2463">+AN487/AJ487-1</f>
        <v>-1.0406273473620198</v>
      </c>
      <c r="AO495" s="840">
        <f t="shared" ref="AO495:AO496" si="2464">+AO487/AK487-1</f>
        <v>-1.0776827568716296</v>
      </c>
      <c r="AP495" s="840">
        <f t="shared" ref="AP495:AP496" si="2465">+AP487/AL487-1</f>
        <v>-1.1341655156912587</v>
      </c>
      <c r="AQ495" s="840">
        <f t="shared" ref="AQ495:AQ496" si="2466">+AQ487/AM487-1</f>
        <v>0.24027979902465302</v>
      </c>
      <c r="AR495" s="840"/>
      <c r="AS495" s="840"/>
      <c r="AT495" s="840" t="e">
        <f t="shared" ref="AT495:AW495" si="2467">+AT487/AS487-1</f>
        <v>#DIV/0!</v>
      </c>
      <c r="AU495" s="840" t="e">
        <f t="shared" si="2467"/>
        <v>#DIV/0!</v>
      </c>
      <c r="AV495" s="840" t="e">
        <f t="shared" si="2467"/>
        <v>#DIV/0!</v>
      </c>
      <c r="AW495" s="840" t="e">
        <f t="shared" si="2467"/>
        <v>#DIV/0!</v>
      </c>
      <c r="AX495" s="840"/>
      <c r="AY495" s="840"/>
      <c r="AZ495" s="840"/>
      <c r="BA495" s="840"/>
      <c r="BB495" s="840"/>
      <c r="BC495" s="840"/>
      <c r="BD495" s="840"/>
      <c r="BE495" s="840"/>
      <c r="BF495" s="840"/>
      <c r="BG495" s="840"/>
      <c r="BH495" s="840"/>
      <c r="BI495" s="840">
        <f t="shared" si="2429"/>
        <v>0.12962962962962954</v>
      </c>
      <c r="BJ495" s="840">
        <f t="shared" si="2430"/>
        <v>-2.0491803278688492E-2</v>
      </c>
      <c r="BK495" s="840">
        <f t="shared" si="2431"/>
        <v>1.4184100418410042</v>
      </c>
      <c r="BL495" s="840">
        <f t="shared" si="2455"/>
        <v>-5.1903114186851229E-2</v>
      </c>
      <c r="BM495" s="840">
        <f t="shared" si="2455"/>
        <v>-4.3795620437956151E-2</v>
      </c>
      <c r="BN495" s="840">
        <f t="shared" si="2455"/>
        <v>-0.640591634198453</v>
      </c>
      <c r="BO495" s="840">
        <f t="shared" si="2455"/>
        <v>0.24587995820942199</v>
      </c>
      <c r="BP495" s="840">
        <f t="shared" si="2433"/>
        <v>-1.0963802788182488</v>
      </c>
    </row>
    <row r="496" spans="2:72" s="7" customFormat="1">
      <c r="B496" s="841" t="str">
        <f>+B488</f>
        <v>Total IC Revenue</v>
      </c>
      <c r="D496" s="842"/>
      <c r="E496" s="842"/>
      <c r="F496" s="842"/>
      <c r="G496" s="842"/>
      <c r="H496" s="842"/>
      <c r="I496" s="842"/>
      <c r="J496" s="842"/>
      <c r="K496" s="842"/>
      <c r="L496" s="842">
        <f t="shared" si="2443"/>
        <v>0.13531244874528459</v>
      </c>
      <c r="M496" s="842">
        <f t="shared" si="2443"/>
        <v>0.1534477656111275</v>
      </c>
      <c r="N496" s="842">
        <f t="shared" si="2443"/>
        <v>0.17325408618127791</v>
      </c>
      <c r="O496" s="842">
        <f t="shared" si="2443"/>
        <v>0.22807466121196618</v>
      </c>
      <c r="P496" s="842">
        <f t="shared" si="2443"/>
        <v>0.23764807859000281</v>
      </c>
      <c r="Q496" s="842">
        <f t="shared" si="2443"/>
        <v>0.2030788967286723</v>
      </c>
      <c r="R496" s="842">
        <f t="shared" si="2443"/>
        <v>0.22201114488348539</v>
      </c>
      <c r="S496" s="842">
        <f t="shared" si="2443"/>
        <v>0.18582136164896945</v>
      </c>
      <c r="T496" s="842">
        <f t="shared" si="2443"/>
        <v>0.26590405042605347</v>
      </c>
      <c r="U496" s="842">
        <f t="shared" si="2443"/>
        <v>0.26562166773299212</v>
      </c>
      <c r="V496" s="842">
        <f t="shared" si="2444"/>
        <v>0.27277438076484617</v>
      </c>
      <c r="W496" s="842">
        <f t="shared" si="2444"/>
        <v>0.17382143797735061</v>
      </c>
      <c r="X496" s="842">
        <f t="shared" si="2444"/>
        <v>0.19741816505301979</v>
      </c>
      <c r="Y496" s="842">
        <f t="shared" si="2444"/>
        <v>0.23017945909512183</v>
      </c>
      <c r="Z496" s="842">
        <f t="shared" si="2444"/>
        <v>0.23100724696685937</v>
      </c>
      <c r="AA496" s="842">
        <f t="shared" si="2444"/>
        <v>0.29945404233041661</v>
      </c>
      <c r="AB496" s="842">
        <f t="shared" si="2444"/>
        <v>0.30632989373171116</v>
      </c>
      <c r="AC496" s="842">
        <f t="shared" si="2444"/>
        <v>0.25518800082186144</v>
      </c>
      <c r="AD496" s="842">
        <f t="shared" si="2444"/>
        <v>0.2601534594523085</v>
      </c>
      <c r="AE496" s="842">
        <f t="shared" si="2444"/>
        <v>0.20339568345323733</v>
      </c>
      <c r="AF496" s="842">
        <f t="shared" si="2445"/>
        <v>0.19812544211270922</v>
      </c>
      <c r="AG496" s="842">
        <f t="shared" si="2445"/>
        <v>0.17356905112675292</v>
      </c>
      <c r="AH496" s="842">
        <f t="shared" si="2445"/>
        <v>0.15904676919846716</v>
      </c>
      <c r="AI496" s="842">
        <f t="shared" si="2445"/>
        <v>0.14749629346214554</v>
      </c>
      <c r="AJ496" s="842">
        <f t="shared" si="2459"/>
        <v>0.19355473554735547</v>
      </c>
      <c r="AK496" s="842">
        <f t="shared" si="2460"/>
        <v>0.20327320066951837</v>
      </c>
      <c r="AL496" s="842">
        <f t="shared" si="2461"/>
        <v>0.20954666908201625</v>
      </c>
      <c r="AM496" s="842">
        <f t="shared" si="2462"/>
        <v>0.1884716375609552</v>
      </c>
      <c r="AN496" s="842">
        <f t="shared" si="2463"/>
        <v>0.19252836095629244</v>
      </c>
      <c r="AO496" s="842">
        <f t="shared" si="2464"/>
        <v>0.20799089797347414</v>
      </c>
      <c r="AP496" s="842">
        <f t="shared" si="2465"/>
        <v>0.21263904677262979</v>
      </c>
      <c r="AQ496" s="842">
        <f t="shared" si="2466"/>
        <v>0.22477840753544176</v>
      </c>
      <c r="AR496" s="842"/>
      <c r="AS496" s="842"/>
      <c r="AT496" s="842" t="e">
        <f t="shared" ref="AT496:AW496" si="2468">+AT488/AS488-1</f>
        <v>#DIV/0!</v>
      </c>
      <c r="AU496" s="842" t="e">
        <f t="shared" si="2468"/>
        <v>#DIV/0!</v>
      </c>
      <c r="AV496" s="842" t="e">
        <f t="shared" si="2468"/>
        <v>#DIV/0!</v>
      </c>
      <c r="AW496" s="842" t="e">
        <f t="shared" si="2468"/>
        <v>#DIV/0!</v>
      </c>
      <c r="AX496" s="842"/>
      <c r="AY496" s="842"/>
      <c r="AZ496" s="842"/>
      <c r="BA496" s="842"/>
      <c r="BB496" s="842"/>
      <c r="BC496" s="842"/>
      <c r="BD496" s="842"/>
      <c r="BE496" s="842"/>
      <c r="BF496" s="842"/>
      <c r="BG496" s="842"/>
      <c r="BH496" s="842"/>
      <c r="BI496" s="842">
        <f t="shared" si="2429"/>
        <v>0.17557558288028607</v>
      </c>
      <c r="BJ496" s="842">
        <f t="shared" si="2430"/>
        <v>0.2100003103758652</v>
      </c>
      <c r="BK496" s="842">
        <f t="shared" si="2431"/>
        <v>0.24063101192766445</v>
      </c>
      <c r="BL496" s="842">
        <f t="shared" si="2455"/>
        <v>0.24219493032295425</v>
      </c>
      <c r="BM496" s="842">
        <f t="shared" si="2455"/>
        <v>0.25251331557922763</v>
      </c>
      <c r="BN496" s="842">
        <f t="shared" si="2455"/>
        <v>0.16818381151081052</v>
      </c>
      <c r="BO496" s="842">
        <f t="shared" si="2455"/>
        <v>0.19856211678250868</v>
      </c>
      <c r="BP496" s="842">
        <f t="shared" si="2433"/>
        <v>0.21015233101183273</v>
      </c>
    </row>
    <row r="498" spans="2:68" s="100" customFormat="1" ht="11.45">
      <c r="B498" s="1160" t="str">
        <f>+B353</f>
        <v>2-yr Stack Growth %</v>
      </c>
      <c r="AH498" s="840"/>
      <c r="AI498" s="840"/>
      <c r="AJ498" s="840"/>
      <c r="AK498" s="840"/>
      <c r="AL498" s="840"/>
      <c r="AM498" s="840"/>
      <c r="AN498" s="840"/>
      <c r="AO498" s="840"/>
      <c r="AP498" s="840"/>
      <c r="AQ498" s="840"/>
    </row>
    <row r="499" spans="2:68" s="872" customFormat="1">
      <c r="B499" s="875" t="str">
        <f t="shared" ref="B499:B500" si="2469">+B491</f>
        <v>Azure</v>
      </c>
      <c r="D499" s="228"/>
      <c r="E499" s="228"/>
      <c r="F499" s="228"/>
      <c r="G499" s="228"/>
      <c r="H499" s="228"/>
      <c r="I499" s="228"/>
      <c r="J499" s="228"/>
      <c r="K499" s="228"/>
      <c r="L499" s="228"/>
      <c r="M499" s="228"/>
      <c r="N499" s="228"/>
      <c r="O499" s="228"/>
      <c r="P499" s="228">
        <f>+P491+L491</f>
        <v>1.6608888132531012</v>
      </c>
      <c r="Q499" s="228">
        <f t="shared" ref="Q499:AJ499" si="2470">+Q491+M491</f>
        <v>1.7673861990407624</v>
      </c>
      <c r="R499" s="228">
        <f t="shared" si="2470"/>
        <v>1.6596643428114142</v>
      </c>
      <c r="S499" s="228">
        <f t="shared" si="2470"/>
        <v>1.5355560782267708</v>
      </c>
      <c r="T499" s="228">
        <f t="shared" si="2470"/>
        <v>1.3502932943355768</v>
      </c>
      <c r="U499" s="228">
        <f t="shared" si="2470"/>
        <v>1.3959305898502412</v>
      </c>
      <c r="V499" s="228">
        <f t="shared" si="2470"/>
        <v>1.3192289969690327</v>
      </c>
      <c r="W499" s="228">
        <f t="shared" si="2470"/>
        <v>1.0949229490316619</v>
      </c>
      <c r="X499" s="228">
        <f t="shared" si="2470"/>
        <v>1.0700152696248002</v>
      </c>
      <c r="Y499" s="228">
        <f t="shared" si="2470"/>
        <v>1.1196254561529295</v>
      </c>
      <c r="Z499" s="228">
        <f t="shared" si="2470"/>
        <v>1.0859675828554591</v>
      </c>
      <c r="AA499" s="228">
        <f t="shared" si="2470"/>
        <v>0.97952376140529007</v>
      </c>
      <c r="AB499" s="228">
        <f t="shared" si="2470"/>
        <v>0.97874925766854148</v>
      </c>
      <c r="AC499" s="228">
        <f t="shared" si="2470"/>
        <v>0.95827049201300762</v>
      </c>
      <c r="AD499" s="228">
        <f t="shared" si="2470"/>
        <v>0.95220065610902926</v>
      </c>
      <c r="AE499" s="228">
        <f t="shared" si="2470"/>
        <v>0.90592029546761244</v>
      </c>
      <c r="AF499" s="228">
        <f t="shared" si="2470"/>
        <v>0.84629082570389036</v>
      </c>
      <c r="AG499" s="228">
        <f t="shared" si="2470"/>
        <v>0.77256541063831596</v>
      </c>
      <c r="AH499" s="228">
        <f t="shared" si="2470"/>
        <v>0.72444483269312121</v>
      </c>
      <c r="AI499" s="228">
        <f t="shared" si="2470"/>
        <v>0.65464350961882056</v>
      </c>
      <c r="AJ499" s="228">
        <f t="shared" si="2470"/>
        <v>0.6367045370184603</v>
      </c>
      <c r="AK499" s="228">
        <f t="shared" ref="AK499:AK504" si="2471">+AK491+AG491</f>
        <v>0.61382237484875835</v>
      </c>
      <c r="AL499" s="228">
        <f t="shared" ref="AL499:AL504" si="2472">+AL491+AH491</f>
        <v>0.58000000000000007</v>
      </c>
      <c r="AM499" s="228">
        <f t="shared" ref="AM499:AM504" si="2473">+AM491+AI491</f>
        <v>0.55000000000000004</v>
      </c>
      <c r="AN499" s="228">
        <f t="shared" ref="AN499:AN504" si="2474">+AN491+AJ491</f>
        <v>0.58529137840187984</v>
      </c>
      <c r="AO499" s="228">
        <f t="shared" ref="AO499:AO504" si="2475">+AO491+AK491</f>
        <v>0.61234284113352877</v>
      </c>
      <c r="AP499" s="228">
        <f t="shared" ref="AP499:AP504" si="2476">+AP491+AL491</f>
        <v>0.62655410739514572</v>
      </c>
      <c r="AQ499" s="228">
        <f t="shared" ref="AQ499:AQ504" si="2477">+AQ491+AM491</f>
        <v>0.60995314209243623</v>
      </c>
      <c r="AR499" s="228"/>
      <c r="AS499" s="228"/>
      <c r="AT499" s="228" t="e">
        <f t="shared" ref="AT499:AT504" si="2478">+AT491/AS491-1</f>
        <v>#DIV/0!</v>
      </c>
      <c r="AU499" s="228" t="e">
        <f t="shared" ref="AU499:AU504" si="2479">+AU491/AT491-1</f>
        <v>#DIV/0!</v>
      </c>
      <c r="AV499" s="228" t="e">
        <f t="shared" ref="AV499:AV504" si="2480">+AV491/AU491-1</f>
        <v>#DIV/0!</v>
      </c>
      <c r="AW499" s="228" t="e">
        <f t="shared" ref="AW499:AW504" si="2481">+AW491/AV491-1</f>
        <v>#DIV/0!</v>
      </c>
      <c r="AX499" s="228"/>
      <c r="AY499" s="228"/>
      <c r="AZ499" s="228"/>
      <c r="BA499" s="228"/>
      <c r="BB499" s="228"/>
      <c r="BC499" s="228"/>
      <c r="BD499" s="228"/>
      <c r="BE499" s="228"/>
      <c r="BF499" s="228"/>
      <c r="BG499" s="228"/>
      <c r="BH499" s="228"/>
      <c r="BI499" s="228"/>
      <c r="BJ499" s="228">
        <f t="shared" ref="BJ499:BL499" si="2482">+BJ491+BI491</f>
        <v>1.6427299559822668</v>
      </c>
      <c r="BK499" s="228">
        <f t="shared" si="2482"/>
        <v>1.2717236742093345</v>
      </c>
      <c r="BL499" s="228">
        <f t="shared" si="2482"/>
        <v>1.0571486392460483</v>
      </c>
      <c r="BM499" s="228">
        <f>+BM491+BL491</f>
        <v>0.94555102418973203</v>
      </c>
      <c r="BN499" s="228">
        <f t="shared" ref="BN499:BO499" si="2483">+BN491+BM491</f>
        <v>0.74177070259789546</v>
      </c>
      <c r="BO499" s="228">
        <f t="shared" si="2483"/>
        <v>0.59190625260008267</v>
      </c>
      <c r="BP499" s="228">
        <f t="shared" ref="BP499:BP504" si="2484">+BP491+BO491</f>
        <v>0.60920113929065844</v>
      </c>
    </row>
    <row r="500" spans="2:68" s="1161" customFormat="1" ht="11.45">
      <c r="B500" s="875" t="str">
        <f t="shared" si="2469"/>
        <v>Server Products and Licensing</v>
      </c>
      <c r="D500" s="840"/>
      <c r="E500" s="840"/>
      <c r="F500" s="840"/>
      <c r="G500" s="840"/>
      <c r="H500" s="840"/>
      <c r="I500" s="840"/>
      <c r="J500" s="840"/>
      <c r="K500" s="840"/>
      <c r="L500" s="840"/>
      <c r="M500" s="840"/>
      <c r="N500" s="840"/>
      <c r="O500" s="840"/>
      <c r="P500" s="840">
        <f t="shared" ref="P500:AJ500" si="2485">+P492+L492</f>
        <v>0.11821464575938712</v>
      </c>
      <c r="Q500" s="840">
        <f t="shared" si="2485"/>
        <v>7.0424966811221346E-2</v>
      </c>
      <c r="R500" s="840">
        <f t="shared" si="2485"/>
        <v>0.10053209467466928</v>
      </c>
      <c r="S500" s="840">
        <f t="shared" si="2485"/>
        <v>0.1282246954017261</v>
      </c>
      <c r="T500" s="840">
        <f t="shared" si="2485"/>
        <v>0.22077432252171003</v>
      </c>
      <c r="U500" s="840">
        <f t="shared" si="2485"/>
        <v>0.14092228385829153</v>
      </c>
      <c r="V500" s="840">
        <f t="shared" si="2485"/>
        <v>0.17500789346774992</v>
      </c>
      <c r="W500" s="840">
        <f t="shared" si="2485"/>
        <v>2.7876353325031356E-2</v>
      </c>
      <c r="X500" s="840">
        <f t="shared" si="2485"/>
        <v>0.10845077074118437</v>
      </c>
      <c r="Y500" s="840">
        <f t="shared" si="2485"/>
        <v>0.13726891400999497</v>
      </c>
      <c r="Z500" s="840">
        <f t="shared" si="2485"/>
        <v>0.12353781642284734</v>
      </c>
      <c r="AA500" s="840">
        <f t="shared" si="2485"/>
        <v>0.14757168841643631</v>
      </c>
      <c r="AB500" s="840">
        <f t="shared" si="2485"/>
        <v>0.12843689368631295</v>
      </c>
      <c r="AC500" s="840">
        <f t="shared" si="2485"/>
        <v>9.7934708415729599E-2</v>
      </c>
      <c r="AD500" s="840">
        <f t="shared" si="2485"/>
        <v>6.8741417642284253E-2</v>
      </c>
      <c r="AE500" s="840">
        <f t="shared" si="2485"/>
        <v>0.12866894597549872</v>
      </c>
      <c r="AF500" s="840">
        <f t="shared" si="2485"/>
        <v>0.14165542764597605</v>
      </c>
      <c r="AG500" s="840">
        <f t="shared" si="2485"/>
        <v>4.2896970669666357E-2</v>
      </c>
      <c r="AH500" s="840">
        <f t="shared" si="2485"/>
        <v>2.9190386025024235E-2</v>
      </c>
      <c r="AI500" s="840">
        <f t="shared" si="2485"/>
        <v>-3.3461919019854951E-2</v>
      </c>
      <c r="AJ500" s="840">
        <f t="shared" si="2485"/>
        <v>1.9624511709231057E-2</v>
      </c>
      <c r="AK500" s="840">
        <f t="shared" si="2471"/>
        <v>1.2441512389148007E-2</v>
      </c>
      <c r="AL500" s="840">
        <f t="shared" si="2472"/>
        <v>3.9999999999999994E-2</v>
      </c>
      <c r="AM500" s="840">
        <f t="shared" si="2473"/>
        <v>0.01</v>
      </c>
      <c r="AN500" s="840">
        <f t="shared" si="2474"/>
        <v>0.01</v>
      </c>
      <c r="AO500" s="840">
        <f t="shared" si="2475"/>
        <v>1.0000000000000002E-2</v>
      </c>
      <c r="AP500" s="840">
        <f t="shared" si="2476"/>
        <v>1.0000000000000002E-2</v>
      </c>
      <c r="AQ500" s="840">
        <f t="shared" si="2477"/>
        <v>1.0000000000000002E-2</v>
      </c>
      <c r="AR500" s="840"/>
      <c r="AS500" s="840"/>
      <c r="AT500" s="840" t="e">
        <f t="shared" si="2478"/>
        <v>#DIV/0!</v>
      </c>
      <c r="AU500" s="840" t="e">
        <f t="shared" si="2479"/>
        <v>#DIV/0!</v>
      </c>
      <c r="AV500" s="840" t="e">
        <f t="shared" si="2480"/>
        <v>#DIV/0!</v>
      </c>
      <c r="AW500" s="840" t="e">
        <f t="shared" si="2481"/>
        <v>#DIV/0!</v>
      </c>
      <c r="AX500" s="840"/>
      <c r="AY500" s="840"/>
      <c r="AZ500" s="840"/>
      <c r="BA500" s="840"/>
      <c r="BB500" s="840"/>
      <c r="BC500" s="840"/>
      <c r="BD500" s="840"/>
      <c r="BE500" s="840"/>
      <c r="BF500" s="840"/>
      <c r="BG500" s="840"/>
      <c r="BH500" s="840"/>
      <c r="BI500" s="840"/>
      <c r="BJ500" s="840">
        <f t="shared" ref="BJ500:BL500" si="2486">+BJ492+BI492</f>
        <v>0.10409155723024943</v>
      </c>
      <c r="BK500" s="840">
        <f t="shared" si="2486"/>
        <v>0.13339817372568286</v>
      </c>
      <c r="BL500" s="840">
        <f t="shared" si="2486"/>
        <v>0.12746579595385521</v>
      </c>
      <c r="BM500" s="840">
        <f t="shared" ref="BM500:BO500" si="2487">+BM492+BL492</f>
        <v>0.10275525592063461</v>
      </c>
      <c r="BN500" s="840">
        <f t="shared" si="2487"/>
        <v>3.8672851336295833E-2</v>
      </c>
      <c r="BO500" s="840">
        <f t="shared" si="2487"/>
        <v>2.0007834755735643E-2</v>
      </c>
      <c r="BP500" s="840">
        <f t="shared" si="2484"/>
        <v>9.7460948246290702E-3</v>
      </c>
    </row>
    <row r="501" spans="2:68" s="872" customFormat="1">
      <c r="B501" s="1162" t="str">
        <f>+B493</f>
        <v>Server Products and Cloud Services</v>
      </c>
      <c r="D501" s="228"/>
      <c r="E501" s="228"/>
      <c r="F501" s="228"/>
      <c r="G501" s="228"/>
      <c r="H501" s="228"/>
      <c r="I501" s="228"/>
      <c r="J501" s="228"/>
      <c r="K501" s="228"/>
      <c r="L501" s="228"/>
      <c r="M501" s="228"/>
      <c r="N501" s="228"/>
      <c r="O501" s="228"/>
      <c r="P501" s="228">
        <f t="shared" ref="P501:AJ501" si="2488">+P493+L493</f>
        <v>0.45631162220229249</v>
      </c>
      <c r="Q501" s="228">
        <f t="shared" si="2488"/>
        <v>0.41822083358591677</v>
      </c>
      <c r="R501" s="228">
        <f t="shared" si="2488"/>
        <v>0.46705878896942687</v>
      </c>
      <c r="S501" s="228">
        <f t="shared" si="2488"/>
        <v>0.47857027831084875</v>
      </c>
      <c r="T501" s="228">
        <f t="shared" si="2488"/>
        <v>0.58655863683853848</v>
      </c>
      <c r="U501" s="228">
        <f t="shared" si="2488"/>
        <v>0.53566930910487365</v>
      </c>
      <c r="V501" s="228">
        <f t="shared" si="2488"/>
        <v>0.57220866434316919</v>
      </c>
      <c r="W501" s="228">
        <f t="shared" si="2488"/>
        <v>0.40752067784076007</v>
      </c>
      <c r="X501" s="228">
        <f t="shared" si="2488"/>
        <v>0.52025881660374163</v>
      </c>
      <c r="Y501" s="228">
        <f t="shared" si="2488"/>
        <v>0.55673694053470668</v>
      </c>
      <c r="Z501" s="228">
        <f t="shared" si="2488"/>
        <v>0.56134273450781325</v>
      </c>
      <c r="AA501" s="228">
        <f t="shared" si="2488"/>
        <v>0.52652970334684701</v>
      </c>
      <c r="AB501" s="228">
        <f t="shared" si="2488"/>
        <v>0.56395421810759583</v>
      </c>
      <c r="AC501" s="228">
        <f t="shared" si="2488"/>
        <v>0.54491310650489888</v>
      </c>
      <c r="AD501" s="228">
        <f t="shared" si="2488"/>
        <v>0.54908914853487789</v>
      </c>
      <c r="AE501" s="228">
        <f t="shared" si="2488"/>
        <v>0.55334522989539359</v>
      </c>
      <c r="AF501" s="228">
        <f t="shared" si="2488"/>
        <v>0.56630084312771656</v>
      </c>
      <c r="AG501" s="228">
        <f t="shared" si="2488"/>
        <v>0.48305133701054492</v>
      </c>
      <c r="AH501" s="228">
        <f t="shared" si="2488"/>
        <v>0.46489752772484305</v>
      </c>
      <c r="AI501" s="228">
        <f t="shared" si="2488"/>
        <v>0.38649157055460592</v>
      </c>
      <c r="AJ501" s="228">
        <f t="shared" si="2488"/>
        <v>0.42967051165826398</v>
      </c>
      <c r="AK501" s="228">
        <f t="shared" si="2471"/>
        <v>0.41726258883687017</v>
      </c>
      <c r="AL501" s="228">
        <f t="shared" si="2472"/>
        <v>0.41586111984427165</v>
      </c>
      <c r="AM501" s="228">
        <f t="shared" si="2473"/>
        <v>0.38102304108668039</v>
      </c>
      <c r="AN501" s="228">
        <f t="shared" si="2474"/>
        <v>0.42786292390523339</v>
      </c>
      <c r="AO501" s="228">
        <f t="shared" si="2475"/>
        <v>0.45172100041313978</v>
      </c>
      <c r="AP501" s="228">
        <f t="shared" si="2476"/>
        <v>0.4719071620780142</v>
      </c>
      <c r="AQ501" s="228">
        <f t="shared" si="2477"/>
        <v>0.4527790594797596</v>
      </c>
      <c r="AR501" s="228"/>
      <c r="AS501" s="228"/>
      <c r="AT501" s="228" t="e">
        <f t="shared" si="2478"/>
        <v>#DIV/0!</v>
      </c>
      <c r="AU501" s="228" t="e">
        <f t="shared" si="2479"/>
        <v>#DIV/0!</v>
      </c>
      <c r="AV501" s="228" t="e">
        <f t="shared" si="2480"/>
        <v>#DIV/0!</v>
      </c>
      <c r="AW501" s="228" t="e">
        <f t="shared" si="2481"/>
        <v>#DIV/0!</v>
      </c>
      <c r="AX501" s="228"/>
      <c r="AY501" s="228"/>
      <c r="AZ501" s="228"/>
      <c r="BA501" s="228"/>
      <c r="BB501" s="228"/>
      <c r="BC501" s="228"/>
      <c r="BD501" s="228"/>
      <c r="BE501" s="228"/>
      <c r="BF501" s="228"/>
      <c r="BG501" s="228"/>
      <c r="BH501" s="228"/>
      <c r="BI501" s="228"/>
      <c r="BJ501" s="228">
        <f t="shared" ref="BJ501:BL501" si="2489">+BJ493+BI493</f>
        <v>0.45543580245372062</v>
      </c>
      <c r="BK501" s="228">
        <f t="shared" si="2489"/>
        <v>0.51693631475299395</v>
      </c>
      <c r="BL501" s="228">
        <f t="shared" si="2489"/>
        <v>0.53934884226241464</v>
      </c>
      <c r="BM501" s="228">
        <f t="shared" ref="BM501:BO501" si="2490">+BM493+BL493</f>
        <v>0.55102597869241898</v>
      </c>
      <c r="BN501" s="228">
        <f t="shared" si="2490"/>
        <v>0.46844196552659345</v>
      </c>
      <c r="BO501" s="228">
        <f t="shared" si="2490"/>
        <v>0.40945877631409355</v>
      </c>
      <c r="BP501" s="228">
        <f t="shared" si="2484"/>
        <v>0.45158560838344575</v>
      </c>
    </row>
    <row r="502" spans="2:68" s="872" customFormat="1">
      <c r="B502" s="875" t="str">
        <f>+B494</f>
        <v>Enterprise Services</v>
      </c>
      <c r="D502" s="228"/>
      <c r="E502" s="228"/>
      <c r="F502" s="228"/>
      <c r="G502" s="228"/>
      <c r="H502" s="228"/>
      <c r="I502" s="228"/>
      <c r="J502" s="228"/>
      <c r="K502" s="228"/>
      <c r="L502" s="228"/>
      <c r="M502" s="228"/>
      <c r="N502" s="228"/>
      <c r="O502" s="228"/>
      <c r="P502" s="228">
        <f t="shared" ref="P502:AJ502" si="2491">+P494+L494</f>
        <v>6.9430291677096356E-2</v>
      </c>
      <c r="Q502" s="228">
        <f t="shared" si="2491"/>
        <v>0.10661156814756656</v>
      </c>
      <c r="R502" s="228">
        <f t="shared" si="2491"/>
        <v>0.1122393333226499</v>
      </c>
      <c r="S502" s="228">
        <f t="shared" si="2491"/>
        <v>0.12102945086865136</v>
      </c>
      <c r="T502" s="228">
        <f t="shared" si="2491"/>
        <v>0.12313941497522585</v>
      </c>
      <c r="U502" s="228">
        <f t="shared" si="2491"/>
        <v>0.1197593734179101</v>
      </c>
      <c r="V502" s="228">
        <f t="shared" si="2491"/>
        <v>9.4608625815426395E-2</v>
      </c>
      <c r="W502" s="228">
        <f t="shared" si="2491"/>
        <v>4.3650579250246402E-2</v>
      </c>
      <c r="X502" s="228">
        <f t="shared" si="2491"/>
        <v>0.12506416694565337</v>
      </c>
      <c r="Y502" s="228">
        <f t="shared" si="2491"/>
        <v>0.111317893575958</v>
      </c>
      <c r="Z502" s="228">
        <f t="shared" si="2491"/>
        <v>0.16311714532386912</v>
      </c>
      <c r="AA502" s="228">
        <f t="shared" si="2491"/>
        <v>0.12170458732409872</v>
      </c>
      <c r="AB502" s="228">
        <f t="shared" si="2491"/>
        <v>0.15362145213934242</v>
      </c>
      <c r="AC502" s="228">
        <f t="shared" si="2491"/>
        <v>0.12700505793568873</v>
      </c>
      <c r="AD502" s="228">
        <f t="shared" si="2491"/>
        <v>0.15291042112231135</v>
      </c>
      <c r="AE502" s="228">
        <f t="shared" si="2491"/>
        <v>0.16872987805211359</v>
      </c>
      <c r="AF502" s="228">
        <f t="shared" si="2491"/>
        <v>0.14153404639432821</v>
      </c>
      <c r="AG502" s="228">
        <f t="shared" si="2491"/>
        <v>9.6909531923294212E-2</v>
      </c>
      <c r="AH502" s="228">
        <f t="shared" si="2491"/>
        <v>0.10880754298391565</v>
      </c>
      <c r="AI502" s="228">
        <f t="shared" si="2491"/>
        <v>9.1991150442477937E-2</v>
      </c>
      <c r="AJ502" s="228">
        <f t="shared" si="2491"/>
        <v>5.745951982132879E-2</v>
      </c>
      <c r="AK502" s="228">
        <f t="shared" si="2471"/>
        <v>3.1393307734503655E-2</v>
      </c>
      <c r="AL502" s="228">
        <f t="shared" si="2472"/>
        <v>-0.03</v>
      </c>
      <c r="AM502" s="228">
        <f t="shared" si="2473"/>
        <v>-3.0000000000000006E-2</v>
      </c>
      <c r="AN502" s="228">
        <f t="shared" si="2474"/>
        <v>-1.9999999999999997E-2</v>
      </c>
      <c r="AO502" s="228">
        <f t="shared" si="2475"/>
        <v>-1.9999999999999997E-2</v>
      </c>
      <c r="AP502" s="228">
        <f t="shared" si="2476"/>
        <v>-0.09</v>
      </c>
      <c r="AQ502" s="228">
        <f t="shared" si="2477"/>
        <v>-7.0000000000000007E-2</v>
      </c>
      <c r="AR502" s="228"/>
      <c r="AS502" s="228"/>
      <c r="AT502" s="228" t="e">
        <f t="shared" si="2478"/>
        <v>#DIV/0!</v>
      </c>
      <c r="AU502" s="228" t="e">
        <f t="shared" si="2479"/>
        <v>#DIV/0!</v>
      </c>
      <c r="AV502" s="228" t="e">
        <f t="shared" si="2480"/>
        <v>#DIV/0!</v>
      </c>
      <c r="AW502" s="228" t="e">
        <f t="shared" si="2481"/>
        <v>#DIV/0!</v>
      </c>
      <c r="AX502" s="228"/>
      <c r="AY502" s="228"/>
      <c r="AZ502" s="228"/>
      <c r="BA502" s="228"/>
      <c r="BB502" s="228"/>
      <c r="BC502" s="228"/>
      <c r="BD502" s="228"/>
      <c r="BE502" s="228"/>
      <c r="BF502" s="228"/>
      <c r="BG502" s="228"/>
      <c r="BH502" s="228"/>
      <c r="BI502" s="228"/>
      <c r="BJ502" s="228">
        <f t="shared" ref="BJ502:BL502" si="2492">+BJ494+BI494</f>
        <v>0.1024077263747627</v>
      </c>
      <c r="BK502" s="228">
        <f t="shared" si="2492"/>
        <v>9.4092093316973102E-2</v>
      </c>
      <c r="BL502" s="228">
        <f t="shared" si="2492"/>
        <v>0.12985854110488604</v>
      </c>
      <c r="BM502" s="228">
        <f t="shared" ref="BM502:BO502" si="2493">+BM494+BL494</f>
        <v>0.15015023140416273</v>
      </c>
      <c r="BN502" s="228">
        <f t="shared" si="2493"/>
        <v>0.10916012878187775</v>
      </c>
      <c r="BO502" s="228">
        <f t="shared" si="2493"/>
        <v>5.8707318060763347E-3</v>
      </c>
      <c r="BP502" s="228">
        <f t="shared" si="2484"/>
        <v>-5.1684740752499736E-2</v>
      </c>
    </row>
    <row r="503" spans="2:68" s="1163" customFormat="1" ht="11.45">
      <c r="B503" s="875" t="str">
        <f>+B495</f>
        <v>Other</v>
      </c>
      <c r="D503" s="840"/>
      <c r="E503" s="840"/>
      <c r="F503" s="840"/>
      <c r="G503" s="840"/>
      <c r="H503" s="840"/>
      <c r="I503" s="840"/>
      <c r="J503" s="840"/>
      <c r="K503" s="840"/>
      <c r="L503" s="840"/>
      <c r="M503" s="840"/>
      <c r="N503" s="840"/>
      <c r="O503" s="840"/>
      <c r="P503" s="840">
        <f t="shared" ref="P503:AJ503" si="2494">+P495+L495</f>
        <v>0.11046312178387652</v>
      </c>
      <c r="Q503" s="840">
        <f t="shared" si="2494"/>
        <v>0.19105812220566332</v>
      </c>
      <c r="R503" s="840">
        <f t="shared" si="2494"/>
        <v>0.12375000000000003</v>
      </c>
      <c r="S503" s="840">
        <f t="shared" si="2494"/>
        <v>4.094827586206895E-2</v>
      </c>
      <c r="T503" s="840">
        <f t="shared" si="2494"/>
        <v>0.90323574730354395</v>
      </c>
      <c r="U503" s="840">
        <f t="shared" si="2494"/>
        <v>1.172876304023845</v>
      </c>
      <c r="V503" s="840">
        <f t="shared" si="2494"/>
        <v>1.769675925925926</v>
      </c>
      <c r="W503" s="840">
        <f t="shared" si="2494"/>
        <v>1.8374999999999999</v>
      </c>
      <c r="X503" s="840">
        <f t="shared" si="2494"/>
        <v>1.256434400502197</v>
      </c>
      <c r="Y503" s="840">
        <f t="shared" si="2494"/>
        <v>1.3735177865612647</v>
      </c>
      <c r="Z503" s="840">
        <f t="shared" si="2494"/>
        <v>1.6284575714955463</v>
      </c>
      <c r="AA503" s="840">
        <f t="shared" si="2494"/>
        <v>1.5091954022988505</v>
      </c>
      <c r="AB503" s="840">
        <f t="shared" si="2494"/>
        <v>0.10125060125060115</v>
      </c>
      <c r="AC503" s="840">
        <f t="shared" si="2494"/>
        <v>-2.8125767624662346E-2</v>
      </c>
      <c r="AD503" s="840">
        <f t="shared" si="2494"/>
        <v>-0.19836925533128058</v>
      </c>
      <c r="AE503" s="840">
        <f t="shared" si="2494"/>
        <v>0.26957276078941672</v>
      </c>
      <c r="AF503" s="840">
        <f t="shared" si="2494"/>
        <v>-0.73813686313686311</v>
      </c>
      <c r="AG503" s="840">
        <f t="shared" si="2494"/>
        <v>-0.88450495508011484</v>
      </c>
      <c r="AH503" s="840">
        <f t="shared" si="2494"/>
        <v>-0.36908699308796966</v>
      </c>
      <c r="AI503" s="840">
        <f t="shared" si="2494"/>
        <v>-0.28025510215242799</v>
      </c>
      <c r="AJ503" s="840">
        <f t="shared" si="2494"/>
        <v>0.64358764186632322</v>
      </c>
      <c r="AK503" s="840">
        <f t="shared" si="2471"/>
        <v>-0.20242433795709958</v>
      </c>
      <c r="AL503" s="840">
        <f t="shared" si="2472"/>
        <v>-0.80750037613670644</v>
      </c>
      <c r="AM503" s="840">
        <f t="shared" si="2473"/>
        <v>-2.421036729807819</v>
      </c>
      <c r="AN503" s="840">
        <f t="shared" si="2474"/>
        <v>1.6421832965841876E-2</v>
      </c>
      <c r="AO503" s="840">
        <f t="shared" si="2475"/>
        <v>-0.70633660302545054</v>
      </c>
      <c r="AP503" s="840">
        <f t="shared" si="2476"/>
        <v>-1.4734797996408964</v>
      </c>
      <c r="AQ503" s="840">
        <f t="shared" si="2477"/>
        <v>-1.2401244701401719</v>
      </c>
      <c r="AR503" s="840"/>
      <c r="AS503" s="840"/>
      <c r="AT503" s="840" t="e">
        <f t="shared" si="2478"/>
        <v>#DIV/0!</v>
      </c>
      <c r="AU503" s="840" t="e">
        <f t="shared" si="2479"/>
        <v>#DIV/0!</v>
      </c>
      <c r="AV503" s="840" t="e">
        <f t="shared" si="2480"/>
        <v>#DIV/0!</v>
      </c>
      <c r="AW503" s="840" t="e">
        <f t="shared" si="2481"/>
        <v>#DIV/0!</v>
      </c>
      <c r="AX503" s="840"/>
      <c r="AY503" s="840"/>
      <c r="AZ503" s="840"/>
      <c r="BA503" s="840"/>
      <c r="BB503" s="840"/>
      <c r="BC503" s="840"/>
      <c r="BD503" s="840"/>
      <c r="BE503" s="840"/>
      <c r="BF503" s="840"/>
      <c r="BG503" s="840"/>
      <c r="BH503" s="840"/>
      <c r="BI503" s="840"/>
      <c r="BJ503" s="840">
        <f t="shared" ref="BJ503:BL503" si="2495">+BJ495+BI495</f>
        <v>0.10913782635094105</v>
      </c>
      <c r="BK503" s="840">
        <f t="shared" si="2495"/>
        <v>1.3979182385623157</v>
      </c>
      <c r="BL503" s="840">
        <f t="shared" si="2495"/>
        <v>1.3665069276541528</v>
      </c>
      <c r="BM503" s="840">
        <f t="shared" ref="BM503:BO503" si="2496">+BM495+BL495</f>
        <v>-9.569873462480738E-2</v>
      </c>
      <c r="BN503" s="840">
        <f t="shared" si="2496"/>
        <v>-0.68438725463640915</v>
      </c>
      <c r="BO503" s="840">
        <f t="shared" si="2496"/>
        <v>-0.39471167598903101</v>
      </c>
      <c r="BP503" s="840">
        <f t="shared" si="2484"/>
        <v>-0.85050032060882685</v>
      </c>
    </row>
    <row r="504" spans="2:68" s="1164" customFormat="1">
      <c r="B504" s="1165" t="str">
        <f>+B496</f>
        <v>Total IC Revenue</v>
      </c>
      <c r="D504" s="842"/>
      <c r="E504" s="842"/>
      <c r="F504" s="842"/>
      <c r="G504" s="842"/>
      <c r="H504" s="842"/>
      <c r="I504" s="842"/>
      <c r="J504" s="842"/>
      <c r="K504" s="842"/>
      <c r="L504" s="842"/>
      <c r="M504" s="842"/>
      <c r="N504" s="842"/>
      <c r="O504" s="842"/>
      <c r="P504" s="842">
        <f t="shared" ref="P504:AJ504" si="2497">+P496+L496</f>
        <v>0.3729605273352874</v>
      </c>
      <c r="Q504" s="842">
        <f t="shared" si="2497"/>
        <v>0.35652666233979979</v>
      </c>
      <c r="R504" s="842">
        <f t="shared" si="2497"/>
        <v>0.3952652310647633</v>
      </c>
      <c r="S504" s="842">
        <f t="shared" si="2497"/>
        <v>0.41389602286093563</v>
      </c>
      <c r="T504" s="842">
        <f t="shared" si="2497"/>
        <v>0.50355212901605628</v>
      </c>
      <c r="U504" s="842">
        <f t="shared" si="2497"/>
        <v>0.46870056446166442</v>
      </c>
      <c r="V504" s="842">
        <f t="shared" si="2497"/>
        <v>0.49478552564833156</v>
      </c>
      <c r="W504" s="842">
        <f t="shared" si="2497"/>
        <v>0.35964279962632006</v>
      </c>
      <c r="X504" s="842">
        <f t="shared" si="2497"/>
        <v>0.46332221547907326</v>
      </c>
      <c r="Y504" s="842">
        <f t="shared" si="2497"/>
        <v>0.49580112682811395</v>
      </c>
      <c r="Z504" s="842">
        <f t="shared" si="2497"/>
        <v>0.50378162773170554</v>
      </c>
      <c r="AA504" s="842">
        <f t="shared" si="2497"/>
        <v>0.47327548030776723</v>
      </c>
      <c r="AB504" s="842">
        <f t="shared" si="2497"/>
        <v>0.50374805878473095</v>
      </c>
      <c r="AC504" s="842">
        <f t="shared" si="2497"/>
        <v>0.48536745991698327</v>
      </c>
      <c r="AD504" s="842">
        <f t="shared" si="2497"/>
        <v>0.49116070641916787</v>
      </c>
      <c r="AE504" s="842">
        <f t="shared" si="2497"/>
        <v>0.50284972578365394</v>
      </c>
      <c r="AF504" s="842">
        <f t="shared" si="2497"/>
        <v>0.50445533584442037</v>
      </c>
      <c r="AG504" s="842">
        <f t="shared" si="2497"/>
        <v>0.42875705194861435</v>
      </c>
      <c r="AH504" s="842">
        <f t="shared" si="2497"/>
        <v>0.41920022865077566</v>
      </c>
      <c r="AI504" s="842">
        <f t="shared" si="2497"/>
        <v>0.35089197691538287</v>
      </c>
      <c r="AJ504" s="842">
        <f t="shared" si="2497"/>
        <v>0.39168017766006469</v>
      </c>
      <c r="AK504" s="842">
        <f t="shared" si="2471"/>
        <v>0.37684225179627129</v>
      </c>
      <c r="AL504" s="842">
        <f t="shared" si="2472"/>
        <v>0.36859343828048341</v>
      </c>
      <c r="AM504" s="842">
        <f t="shared" si="2473"/>
        <v>0.33596793102310074</v>
      </c>
      <c r="AN504" s="842">
        <f t="shared" si="2474"/>
        <v>0.38608309650364792</v>
      </c>
      <c r="AO504" s="842">
        <f t="shared" si="2475"/>
        <v>0.41126409864299251</v>
      </c>
      <c r="AP504" s="842">
        <f t="shared" si="2476"/>
        <v>0.42218571585464604</v>
      </c>
      <c r="AQ504" s="842">
        <f t="shared" si="2477"/>
        <v>0.41325004509639696</v>
      </c>
      <c r="AR504" s="842"/>
      <c r="AS504" s="842"/>
      <c r="AT504" s="842" t="e">
        <f t="shared" si="2478"/>
        <v>#DIV/0!</v>
      </c>
      <c r="AU504" s="842" t="e">
        <f t="shared" si="2479"/>
        <v>#DIV/0!</v>
      </c>
      <c r="AV504" s="842" t="e">
        <f t="shared" si="2480"/>
        <v>#DIV/0!</v>
      </c>
      <c r="AW504" s="842" t="e">
        <f t="shared" si="2481"/>
        <v>#DIV/0!</v>
      </c>
      <c r="AX504" s="842"/>
      <c r="AY504" s="842"/>
      <c r="AZ504" s="842"/>
      <c r="BA504" s="842"/>
      <c r="BB504" s="842"/>
      <c r="BC504" s="842"/>
      <c r="BD504" s="842"/>
      <c r="BE504" s="842"/>
      <c r="BF504" s="842"/>
      <c r="BG504" s="842"/>
      <c r="BH504" s="842"/>
      <c r="BI504" s="842"/>
      <c r="BJ504" s="842">
        <f t="shared" ref="BJ504:BL504" si="2498">+BJ496+BI496</f>
        <v>0.38557589325615127</v>
      </c>
      <c r="BK504" s="842">
        <f t="shared" si="2498"/>
        <v>0.45063132230352965</v>
      </c>
      <c r="BL504" s="842">
        <f t="shared" si="2498"/>
        <v>0.4828259422506187</v>
      </c>
      <c r="BM504" s="842">
        <f t="shared" ref="BM504:BO504" si="2499">+BM496+BL496</f>
        <v>0.49470824590218188</v>
      </c>
      <c r="BN504" s="842">
        <f t="shared" si="2499"/>
        <v>0.42069712709003815</v>
      </c>
      <c r="BO504" s="842">
        <f t="shared" si="2499"/>
        <v>0.3667459282933192</v>
      </c>
      <c r="BP504" s="842">
        <f t="shared" si="2484"/>
        <v>0.40871444779434141</v>
      </c>
    </row>
    <row r="505" spans="2:68" s="100" customFormat="1"/>
    <row r="506" spans="2:68" ht="10.5">
      <c r="B506" s="5" t="s">
        <v>339</v>
      </c>
      <c r="C506" s="4"/>
    </row>
    <row r="508" spans="2:68">
      <c r="B508" t="s">
        <v>418</v>
      </c>
      <c r="H508" s="8"/>
      <c r="I508" s="8"/>
      <c r="J508" s="8"/>
      <c r="K508" s="8"/>
      <c r="L508" s="8"/>
      <c r="M508" s="8"/>
      <c r="N508" s="8"/>
      <c r="O508" s="8"/>
      <c r="P508" s="8"/>
      <c r="Q508" s="8"/>
      <c r="R508" s="8"/>
      <c r="S508" s="8"/>
      <c r="T508" s="8">
        <f>+T510-T509</f>
        <v>11133</v>
      </c>
      <c r="U508" s="8">
        <f t="shared" ref="U508" si="2500">+U510-U509</f>
        <v>13211</v>
      </c>
      <c r="V508" s="8">
        <f t="shared" ref="V508" si="2501">+V510-V509</f>
        <v>10997</v>
      </c>
      <c r="W508" s="8">
        <f t="shared" ref="W508" si="2502">+W510-W509</f>
        <v>12910</v>
      </c>
      <c r="X508" s="8">
        <f t="shared" ref="X508" si="2503">+X510-X509</f>
        <v>11849</v>
      </c>
      <c r="Y508" s="8">
        <f t="shared" ref="Y508" si="2504">+Y510-Y509</f>
        <v>15122</v>
      </c>
      <c r="Z508" s="8">
        <f t="shared" ref="Z508" si="2505">+Z510-Z509</f>
        <v>13036</v>
      </c>
      <c r="AA508" s="8">
        <f t="shared" ref="AA508" si="2506">+AA510-AA509</f>
        <v>14086</v>
      </c>
      <c r="AB508" s="8">
        <f t="shared" ref="AB508" si="2507">+AB510-AB509</f>
        <v>13314</v>
      </c>
      <c r="AC508" s="8">
        <f t="shared" ref="AC508" si="2508">+AC510-AC509</f>
        <v>17465</v>
      </c>
      <c r="AD508" s="8">
        <f t="shared" ref="AD508" si="2509">+AD510-AD509</f>
        <v>14520</v>
      </c>
      <c r="AE508" s="8">
        <f t="shared" ref="AE508" si="2510">+AE510-AE509</f>
        <v>14356</v>
      </c>
      <c r="AF508" s="8">
        <f t="shared" ref="AF508" si="2511">+AF510-AF509</f>
        <v>13332</v>
      </c>
      <c r="AG508" s="8">
        <f t="shared" ref="AG508" si="2512">+AG510-AG509</f>
        <v>14237</v>
      </c>
      <c r="AH508" s="8">
        <f t="shared" ref="AH508" si="2513">+AH510-AH509</f>
        <v>13260</v>
      </c>
      <c r="AI508" s="8">
        <f t="shared" ref="AI508" si="2514">+AI510-AI509</f>
        <v>13905</v>
      </c>
      <c r="AJ508" s="8">
        <f t="shared" ref="AJ508" si="2515">+AJ510-AJ509</f>
        <v>13666</v>
      </c>
      <c r="AK508" s="8">
        <f t="shared" ref="AK508:AL508" si="2516">+AK510-AK509</f>
        <v>14811</v>
      </c>
      <c r="AL508" s="8">
        <f t="shared" si="2516"/>
        <v>13610</v>
      </c>
      <c r="AM508" s="8">
        <f t="shared" ref="AM508" si="2517">+AM510-AM509</f>
        <v>14215</v>
      </c>
      <c r="AN508" s="8">
        <f t="shared" ref="AN508:AQ508" si="2518">+AN510-AN509</f>
        <v>14029.281128482264</v>
      </c>
      <c r="AO508" s="8">
        <f t="shared" si="2518"/>
        <v>15133.339655638954</v>
      </c>
      <c r="AP508" s="8">
        <f t="shared" si="2518"/>
        <v>14663.520924861974</v>
      </c>
      <c r="AQ508" s="8">
        <f t="shared" si="2518"/>
        <v>15250.640313796221</v>
      </c>
      <c r="AS508">
        <f t="shared" ref="AS508" si="2519">+AS510-AS509</f>
        <v>0</v>
      </c>
      <c r="AT508">
        <f t="shared" ref="AT508" si="2520">+AT510-AT509</f>
        <v>0</v>
      </c>
      <c r="AU508">
        <f t="shared" ref="AU508" si="2521">+AU510-AU509</f>
        <v>0</v>
      </c>
      <c r="AV508">
        <f t="shared" ref="AV508" si="2522">+AV510-AV509</f>
        <v>0</v>
      </c>
      <c r="AW508">
        <f t="shared" ref="AW508" si="2523">+AW510-AW509</f>
        <v>0</v>
      </c>
      <c r="BB508" s="8">
        <f t="shared" ref="BB508" si="2524">+BB510-BB509</f>
        <v>38460</v>
      </c>
      <c r="BC508" s="8">
        <f t="shared" ref="BC508" si="2525">+BC510-BC509</f>
        <v>43435</v>
      </c>
      <c r="BD508" s="8">
        <f t="shared" ref="BD508" si="2526">+BD510-BD509</f>
        <v>40434</v>
      </c>
      <c r="BE508" s="8">
        <f t="shared" ref="BE508" si="2527">+BE510-BE509</f>
        <v>38773</v>
      </c>
      <c r="BG508" s="8">
        <f t="shared" ref="BG508" si="2528">+BG510-BG509</f>
        <v>40410</v>
      </c>
      <c r="BH508" s="8">
        <f t="shared" ref="BH508" si="2529">+BH510-BH509</f>
        <v>39294</v>
      </c>
      <c r="BI508" s="8">
        <f t="shared" ref="BI508" si="2530">+BI510-BI509</f>
        <v>42276</v>
      </c>
      <c r="BJ508" s="8">
        <f t="shared" ref="BJ508" si="2531">+BJ510-BJ509</f>
        <v>45698</v>
      </c>
      <c r="BK508" s="8">
        <f t="shared" ref="BK508" si="2532">+BK510-BK509</f>
        <v>48251</v>
      </c>
      <c r="BL508" s="8">
        <f t="shared" ref="BL508" si="2533">+BL510-BL509</f>
        <v>54093</v>
      </c>
      <c r="BM508" s="8">
        <f t="shared" ref="BM508" si="2534">+BM510-BM509</f>
        <v>59655</v>
      </c>
      <c r="BN508" s="8">
        <f t="shared" ref="BN508" si="2535">+BN510-BN509</f>
        <v>54734</v>
      </c>
      <c r="BO508" s="8">
        <f t="shared" ref="BO508:BO509" si="2536">SUM(AJ508:AM508)</f>
        <v>56302</v>
      </c>
      <c r="BP508" s="8">
        <f>+SUM(AN508:AQ508)</f>
        <v>59076.782022779407</v>
      </c>
    </row>
    <row r="509" spans="2:68" s="852" customFormat="1">
      <c r="B509" t="s">
        <v>419</v>
      </c>
      <c r="C509" s="853"/>
      <c r="D509" s="853">
        <v>0</v>
      </c>
      <c r="E509" s="853">
        <v>0</v>
      </c>
      <c r="F509" s="853">
        <v>0</v>
      </c>
      <c r="G509" s="853">
        <v>0</v>
      </c>
      <c r="H509" s="853">
        <v>0</v>
      </c>
      <c r="I509" s="853">
        <v>0</v>
      </c>
      <c r="J509" s="853">
        <v>0</v>
      </c>
      <c r="K509" s="853">
        <v>0</v>
      </c>
      <c r="L509" s="853">
        <v>0</v>
      </c>
      <c r="M509" s="853">
        <v>0</v>
      </c>
      <c r="N509" s="853">
        <v>0</v>
      </c>
      <c r="O509" s="853">
        <v>0</v>
      </c>
      <c r="P509" s="853">
        <v>0</v>
      </c>
      <c r="Q509" s="853">
        <v>0</v>
      </c>
      <c r="R509" s="853">
        <v>0</v>
      </c>
      <c r="S509" s="853">
        <v>0</v>
      </c>
      <c r="T509" s="853">
        <v>0</v>
      </c>
      <c r="U509" s="853">
        <v>0</v>
      </c>
      <c r="V509" s="853">
        <v>0</v>
      </c>
      <c r="W509" s="853">
        <v>0</v>
      </c>
      <c r="X509" s="853">
        <v>0</v>
      </c>
      <c r="Y509" s="853">
        <v>0</v>
      </c>
      <c r="Z509" s="853">
        <v>0</v>
      </c>
      <c r="AA509" s="853">
        <v>0</v>
      </c>
      <c r="AB509" s="853">
        <v>0</v>
      </c>
      <c r="AC509" s="853">
        <v>0</v>
      </c>
      <c r="AD509" s="853">
        <v>0</v>
      </c>
      <c r="AE509" s="853">
        <v>0</v>
      </c>
      <c r="AF509" s="853">
        <v>0</v>
      </c>
      <c r="AG509" s="853">
        <v>0</v>
      </c>
      <c r="AH509" s="853">
        <v>0</v>
      </c>
      <c r="AI509" s="853">
        <v>0</v>
      </c>
      <c r="AJ509" s="853">
        <v>0</v>
      </c>
      <c r="AK509" s="853">
        <f>+AK571</f>
        <v>2080</v>
      </c>
      <c r="AL509" s="853">
        <f t="shared" ref="AL509:AM509" si="2537">+AL571</f>
        <v>1970</v>
      </c>
      <c r="AM509" s="853">
        <f t="shared" si="2537"/>
        <v>1680</v>
      </c>
      <c r="AN509" s="853">
        <f t="shared" ref="AN509:AP509" si="2538">+AN571</f>
        <v>1573.96</v>
      </c>
      <c r="AO509" s="853">
        <f>+AO571</f>
        <v>2246.4</v>
      </c>
      <c r="AP509" s="853">
        <f t="shared" si="2538"/>
        <v>2127.6000000000004</v>
      </c>
      <c r="AQ509" s="853">
        <f>+AQ571</f>
        <v>1814.4</v>
      </c>
      <c r="AR509" s="853"/>
      <c r="AS509" s="853">
        <v>0</v>
      </c>
      <c r="AT509" s="853">
        <v>0</v>
      </c>
      <c r="AU509" s="853">
        <v>0</v>
      </c>
      <c r="AV509" s="853">
        <v>0</v>
      </c>
      <c r="AW509" s="853">
        <v>0</v>
      </c>
      <c r="AX509" s="853"/>
      <c r="AY509" s="853"/>
      <c r="AZ509" s="853"/>
      <c r="BA509" s="853"/>
      <c r="BB509" s="853">
        <v>0</v>
      </c>
      <c r="BC509" s="853">
        <v>0</v>
      </c>
      <c r="BD509" s="853">
        <v>0</v>
      </c>
      <c r="BE509" s="853">
        <v>0</v>
      </c>
      <c r="BF509" s="853"/>
      <c r="BG509" s="853">
        <v>0</v>
      </c>
      <c r="BH509" s="853">
        <v>0</v>
      </c>
      <c r="BI509" s="853">
        <v>0</v>
      </c>
      <c r="BJ509" s="853">
        <v>0</v>
      </c>
      <c r="BK509" s="853">
        <v>0</v>
      </c>
      <c r="BL509" s="853">
        <v>0</v>
      </c>
      <c r="BM509" s="853">
        <v>0</v>
      </c>
      <c r="BN509" s="853">
        <v>0</v>
      </c>
      <c r="BO509" s="853">
        <f t="shared" si="2536"/>
        <v>5730</v>
      </c>
      <c r="BP509" s="853">
        <f t="shared" ref="BP509:BP510" si="2539">+SUM(AN509:AQ509)</f>
        <v>7762.3600000000006</v>
      </c>
    </row>
    <row r="510" spans="2:68">
      <c r="B510" s="12" t="s">
        <v>86</v>
      </c>
      <c r="H510" s="8">
        <f t="shared" ref="H510:AM510" si="2540">+H150</f>
        <v>9395</v>
      </c>
      <c r="I510" s="8">
        <f t="shared" si="2540"/>
        <v>11889</v>
      </c>
      <c r="J510" s="8">
        <f t="shared" si="2540"/>
        <v>8775</v>
      </c>
      <c r="K510" s="8">
        <f t="shared" si="2540"/>
        <v>9235</v>
      </c>
      <c r="L510" s="8">
        <f t="shared" si="2540"/>
        <v>9378</v>
      </c>
      <c r="M510" s="8">
        <f t="shared" si="2540"/>
        <v>12170</v>
      </c>
      <c r="N510" s="8">
        <f t="shared" si="2540"/>
        <v>9917</v>
      </c>
      <c r="O510" s="8">
        <f t="shared" si="2540"/>
        <v>10811</v>
      </c>
      <c r="P510" s="8">
        <f t="shared" si="2540"/>
        <v>10746</v>
      </c>
      <c r="Q510" s="8">
        <f t="shared" si="2540"/>
        <v>12993</v>
      </c>
      <c r="R510" s="8">
        <f t="shared" si="2540"/>
        <v>10680</v>
      </c>
      <c r="S510" s="8">
        <f t="shared" si="2540"/>
        <v>11279</v>
      </c>
      <c r="T510" s="8">
        <f t="shared" si="2540"/>
        <v>11133</v>
      </c>
      <c r="U510" s="8">
        <f t="shared" si="2540"/>
        <v>13211</v>
      </c>
      <c r="V510" s="8">
        <f t="shared" si="2540"/>
        <v>10997</v>
      </c>
      <c r="W510" s="8">
        <f t="shared" si="2540"/>
        <v>12910</v>
      </c>
      <c r="X510" s="8">
        <f t="shared" si="2540"/>
        <v>11849</v>
      </c>
      <c r="Y510" s="8">
        <f t="shared" si="2540"/>
        <v>15122</v>
      </c>
      <c r="Z510" s="8">
        <f t="shared" si="2540"/>
        <v>13036</v>
      </c>
      <c r="AA510" s="8">
        <f t="shared" si="2540"/>
        <v>14086</v>
      </c>
      <c r="AB510" s="8">
        <f t="shared" si="2540"/>
        <v>13314</v>
      </c>
      <c r="AC510" s="8">
        <f t="shared" si="2540"/>
        <v>17465</v>
      </c>
      <c r="AD510" s="8">
        <f t="shared" si="2540"/>
        <v>14520</v>
      </c>
      <c r="AE510" s="8">
        <f t="shared" si="2540"/>
        <v>14356</v>
      </c>
      <c r="AF510" s="8">
        <f t="shared" si="2540"/>
        <v>13332</v>
      </c>
      <c r="AG510" s="8">
        <f t="shared" si="2540"/>
        <v>14237</v>
      </c>
      <c r="AH510" s="8">
        <f t="shared" si="2540"/>
        <v>13260</v>
      </c>
      <c r="AI510" s="8">
        <f t="shared" si="2540"/>
        <v>13905</v>
      </c>
      <c r="AJ510" s="8">
        <f t="shared" si="2540"/>
        <v>13666</v>
      </c>
      <c r="AK510" s="8">
        <f t="shared" si="2540"/>
        <v>16891</v>
      </c>
      <c r="AL510" s="8">
        <f t="shared" si="2540"/>
        <v>15580</v>
      </c>
      <c r="AM510" s="8">
        <f t="shared" si="2540"/>
        <v>15895</v>
      </c>
      <c r="AN510" s="8">
        <f t="shared" ref="AN510:AQ510" si="2541">+AN572</f>
        <v>15603.241128482263</v>
      </c>
      <c r="AO510" s="8">
        <f t="shared" si="2541"/>
        <v>17379.739655638954</v>
      </c>
      <c r="AP510" s="8">
        <f t="shared" si="2541"/>
        <v>16791.120924861974</v>
      </c>
      <c r="AQ510" s="8">
        <f t="shared" si="2541"/>
        <v>17065.04031379622</v>
      </c>
      <c r="BB510" s="8">
        <f>+BB150</f>
        <v>38460</v>
      </c>
      <c r="BC510" s="8">
        <f>+BC150</f>
        <v>43435</v>
      </c>
      <c r="BD510" s="8">
        <f>+BD150</f>
        <v>40434</v>
      </c>
      <c r="BE510" s="8">
        <f>+BE150</f>
        <v>38773</v>
      </c>
      <c r="BG510" s="8">
        <f t="shared" ref="BG510:BM510" si="2542">+BG150</f>
        <v>40410</v>
      </c>
      <c r="BH510" s="8">
        <f t="shared" si="2542"/>
        <v>39294</v>
      </c>
      <c r="BI510" s="8">
        <f t="shared" si="2542"/>
        <v>42276</v>
      </c>
      <c r="BJ510" s="8">
        <f t="shared" si="2542"/>
        <v>45698</v>
      </c>
      <c r="BK510" s="8">
        <f t="shared" si="2542"/>
        <v>48251</v>
      </c>
      <c r="BL510" s="8">
        <f t="shared" si="2542"/>
        <v>54093</v>
      </c>
      <c r="BM510" s="8">
        <f t="shared" si="2542"/>
        <v>59655</v>
      </c>
      <c r="BN510" s="8">
        <f>SUM(AF510:AI510)</f>
        <v>54734</v>
      </c>
      <c r="BO510" s="8">
        <f>SUM(AJ510:AM510)</f>
        <v>62032</v>
      </c>
      <c r="BP510" s="8">
        <f t="shared" si="2539"/>
        <v>66839.142022779415</v>
      </c>
    </row>
    <row r="511" spans="2:68">
      <c r="B511" s="15" t="s">
        <v>113</v>
      </c>
      <c r="L511" s="14">
        <f t="shared" ref="L511" si="2543">+L510/H510-1</f>
        <v>-1.8094731240021478E-3</v>
      </c>
      <c r="M511" s="14">
        <f t="shared" ref="M511" si="2544">+M510/I510-1</f>
        <v>2.3635293128101642E-2</v>
      </c>
      <c r="N511" s="14">
        <f>+N510/J510-1</f>
        <v>0.13014245014245018</v>
      </c>
      <c r="O511" s="14">
        <f>+O510/K510-1</f>
        <v>0.17065511640498099</v>
      </c>
      <c r="P511" s="14">
        <f t="shared" ref="P511:V511" si="2545">+P510/L510-1</f>
        <v>0.14587332053742808</v>
      </c>
      <c r="Q511" s="14">
        <f t="shared" si="2545"/>
        <v>6.7625308134757534E-2</v>
      </c>
      <c r="R511" s="14">
        <f t="shared" si="2545"/>
        <v>7.6938590299485687E-2</v>
      </c>
      <c r="S511" s="14">
        <f t="shared" si="2545"/>
        <v>4.328924243825738E-2</v>
      </c>
      <c r="T511" s="14">
        <f t="shared" si="2545"/>
        <v>3.6013400335008328E-2</v>
      </c>
      <c r="U511" s="14">
        <f t="shared" si="2545"/>
        <v>1.677826521973369E-2</v>
      </c>
      <c r="V511" s="14">
        <f t="shared" si="2545"/>
        <v>2.9681647940074996E-2</v>
      </c>
      <c r="W511" s="14">
        <f t="shared" ref="W511:X511" si="2546">+W510/S510-1</f>
        <v>0.14460501817537019</v>
      </c>
      <c r="X511" s="14">
        <f t="shared" si="2546"/>
        <v>6.4313302793496785E-2</v>
      </c>
      <c r="Y511" s="14">
        <f t="shared" ref="Y511" si="2547">+Y510/U510-1</f>
        <v>0.14465218378623868</v>
      </c>
      <c r="Z511" s="14">
        <f t="shared" ref="Z511" si="2548">+Z510/V510-1</f>
        <v>0.18541420387378382</v>
      </c>
      <c r="AA511" s="14">
        <f t="shared" ref="AA511" si="2549">+AA510/W510-1</f>
        <v>9.1092176607281194E-2</v>
      </c>
      <c r="AB511" s="14">
        <f t="shared" ref="AB511" si="2550">+AB510/X510-1</f>
        <v>0.12363912566461299</v>
      </c>
      <c r="AC511" s="14">
        <f t="shared" ref="AC511:AD511" si="2551">+AC510/Y510-1</f>
        <v>0.15493982277476515</v>
      </c>
      <c r="AD511" s="14">
        <f t="shared" si="2551"/>
        <v>0.11383860079779073</v>
      </c>
      <c r="AE511" s="14">
        <f t="shared" ref="AE511" si="2552">+AE510/AA510-1</f>
        <v>1.9167968195371365E-2</v>
      </c>
      <c r="AF511" s="14">
        <f t="shared" ref="AF511" si="2553">+AF510/AB510-1</f>
        <v>1.3519603424965165E-3</v>
      </c>
      <c r="AG511" s="14">
        <f t="shared" ref="AG511" si="2554">+AG510/AC510-1</f>
        <v>-0.18482679645004296</v>
      </c>
      <c r="AH511" s="14">
        <f t="shared" ref="AH511" si="2555">+AH510/AD510-1</f>
        <v>-8.6776859504132275E-2</v>
      </c>
      <c r="AI511" s="14">
        <f t="shared" ref="AI511" si="2556">+AI510/AE510-1</f>
        <v>-3.1415436054611279E-2</v>
      </c>
      <c r="AJ511" s="14">
        <f t="shared" ref="AJ511:AK511" si="2557">+AJ510/AF510-1</f>
        <v>2.5052505250525048E-2</v>
      </c>
      <c r="AK511" s="14">
        <f t="shared" si="2557"/>
        <v>0.1864156774601391</v>
      </c>
      <c r="AL511" s="14">
        <f t="shared" ref="AL511" si="2558">+AL510/AH510-1</f>
        <v>0.17496229260935148</v>
      </c>
      <c r="AM511" s="14">
        <f t="shared" ref="AM511" si="2559">+AM510/AI510-1</f>
        <v>0.14311398777418205</v>
      </c>
      <c r="AN511" s="14">
        <f t="shared" ref="AN511" si="2560">+AN510/AJ510-1</f>
        <v>0.14175626580435119</v>
      </c>
      <c r="AO511" s="14">
        <f t="shared" ref="AO511" si="2561">+AO510/AK510-1</f>
        <v>2.8934915377357928E-2</v>
      </c>
      <c r="AP511" s="14">
        <f t="shared" ref="AP511" si="2562">+AP510/AL510-1</f>
        <v>7.7735617770344989E-2</v>
      </c>
      <c r="AQ511" s="14">
        <f t="shared" ref="AQ511" si="2563">+AQ510/AM510-1</f>
        <v>7.3610589103253909E-2</v>
      </c>
      <c r="BC511" s="14">
        <f t="shared" ref="BC511:BE511" si="2564">+BC510/BB510-1</f>
        <v>0.12935517420696829</v>
      </c>
      <c r="BD511" s="14">
        <f t="shared" si="2564"/>
        <v>-6.9091746287556099E-2</v>
      </c>
      <c r="BE511" s="14">
        <f t="shared" si="2564"/>
        <v>-4.1079289706682509E-2</v>
      </c>
      <c r="BG511" s="829">
        <f>+BD511</f>
        <v>-6.9091746287556099E-2</v>
      </c>
      <c r="BH511" s="829">
        <f>+BE511</f>
        <v>-4.1079289706682509E-2</v>
      </c>
      <c r="BI511" s="14">
        <f>+BI510/BH510-1</f>
        <v>7.5889448770804613E-2</v>
      </c>
      <c r="BJ511" s="14">
        <f t="shared" ref="BJ511" si="2565">+BJ510/BI510-1</f>
        <v>8.0944270981171407E-2</v>
      </c>
      <c r="BK511" s="14">
        <f t="shared" ref="BK511" si="2566">+BK510/BJ510-1</f>
        <v>5.5866777539498536E-2</v>
      </c>
      <c r="BL511" s="14">
        <f t="shared" ref="BL511" si="2567">+BL510/BK510-1</f>
        <v>0.12107521087645856</v>
      </c>
      <c r="BM511" s="14">
        <f t="shared" ref="BM511" si="2568">+BM510/BL510-1</f>
        <v>0.10282291608895799</v>
      </c>
      <c r="BN511" s="14">
        <f t="shared" ref="BN511" si="2569">+BN510/BM510-1</f>
        <v>-8.2490989858352237E-2</v>
      </c>
      <c r="BO511" s="14">
        <f t="shared" ref="BO511" si="2570">+BO510/BN510-1</f>
        <v>0.133335769357255</v>
      </c>
      <c r="BP511" s="14">
        <f t="shared" ref="BP511" si="2571">+BP510/BO510-1</f>
        <v>7.7494551566601455E-2</v>
      </c>
    </row>
    <row r="512" spans="2:68">
      <c r="B512" s="15" t="s">
        <v>270</v>
      </c>
      <c r="L512" s="22">
        <v>-0.01</v>
      </c>
      <c r="M512" s="22">
        <v>0.02</v>
      </c>
      <c r="N512" s="22">
        <v>0.11</v>
      </c>
      <c r="O512" s="22">
        <v>0.16</v>
      </c>
      <c r="P512" s="22">
        <v>0.15</v>
      </c>
      <c r="Q512" s="22">
        <v>7.0000000000000007E-2</v>
      </c>
      <c r="R512" s="22">
        <v>0.09</v>
      </c>
      <c r="S512" s="22">
        <v>0.06</v>
      </c>
      <c r="T512" s="22">
        <v>0.05</v>
      </c>
      <c r="U512" s="22">
        <v>0.03</v>
      </c>
      <c r="V512" s="22">
        <v>0.04</v>
      </c>
      <c r="W512" s="22">
        <v>0.16</v>
      </c>
      <c r="X512" s="22">
        <v>0.06</v>
      </c>
      <c r="Y512" s="22">
        <v>0.13</v>
      </c>
      <c r="Z512" s="22">
        <v>0.16</v>
      </c>
      <c r="AA512" s="22">
        <v>0.06</v>
      </c>
      <c r="AB512" s="22">
        <v>0.11</v>
      </c>
      <c r="AC512" s="22">
        <v>0.15</v>
      </c>
      <c r="AD512" s="22">
        <v>0.13</v>
      </c>
      <c r="AE512" s="22">
        <v>0.05</v>
      </c>
      <c r="AF512" s="22">
        <v>0.03</v>
      </c>
      <c r="AG512" s="22">
        <v>-0.16</v>
      </c>
      <c r="AH512" s="22">
        <v>-7.0000000000000007E-2</v>
      </c>
      <c r="AI512" s="22">
        <v>-0.03</v>
      </c>
      <c r="AJ512" s="22">
        <v>0.02</v>
      </c>
      <c r="AK512" s="22">
        <v>0.18</v>
      </c>
      <c r="AL512" s="22">
        <v>0.17</v>
      </c>
      <c r="AM512" s="22">
        <v>0.15</v>
      </c>
      <c r="AN512" s="23">
        <f t="shared" ref="AN512:AQ512" si="2572">+AN$14-AN$13+AN511</f>
        <v>0.13564195867375295</v>
      </c>
      <c r="AO512" s="23">
        <f t="shared" si="2572"/>
        <v>3.661426826578662E-3</v>
      </c>
      <c r="AP512" s="23">
        <f t="shared" si="2572"/>
        <v>5.872008267328499E-2</v>
      </c>
      <c r="AQ512" s="23">
        <f t="shared" si="2572"/>
        <v>5.0584794113452958E-2</v>
      </c>
      <c r="BC512" s="23" t="s">
        <v>271</v>
      </c>
      <c r="BG512" s="23" t="s">
        <v>271</v>
      </c>
      <c r="BH512" s="23" t="s">
        <v>271</v>
      </c>
      <c r="BI512" s="23">
        <f>+SUMPRODUCT(L512:O512,H510:K510)/BH510</f>
        <v>6.5828879727184819E-2</v>
      </c>
      <c r="BJ512" s="23">
        <f>+SUMPRODUCT(P512:S512,L510:O510)/BI510</f>
        <v>8.9880546882391901E-2</v>
      </c>
      <c r="BK512" s="23">
        <f>+SUMPRODUCT(T512:W512,P510:S510)/BJ510</f>
        <v>6.9126219965862851E-2</v>
      </c>
      <c r="BL512" s="23">
        <f>+SUMPRODUCT(X512:AA512,T510:W510)/BK510</f>
        <v>0.10195705788481069</v>
      </c>
      <c r="BM512" s="23">
        <f>+SUMPRODUCT(AB512:AE512,X510:AA510)/BL510</f>
        <v>0.1103778677462888</v>
      </c>
      <c r="BN512" s="23">
        <f>+SUMPRODUCT(AF512:AI512,AB510:AE510)/BM510</f>
        <v>-6.4404660129075517E-2</v>
      </c>
      <c r="BO512" s="23">
        <f>+SUMPRODUCT(AJ512:AM512,AF510:AI510)/BN510</f>
        <v>0.13098348375781049</v>
      </c>
      <c r="BP512" s="23">
        <f>+SUMPRODUCT(AN512:AQ512,AJ510:AM510)/BO510</f>
        <v>5.8589636933298342E-2</v>
      </c>
    </row>
    <row r="513" spans="2:72">
      <c r="B513" s="15" t="s">
        <v>420</v>
      </c>
      <c r="L513" s="22"/>
      <c r="M513" s="22"/>
      <c r="N513" s="22"/>
      <c r="O513" s="22"/>
      <c r="P513" s="22"/>
      <c r="Q513" s="22"/>
      <c r="R513" s="22"/>
      <c r="S513" s="22"/>
      <c r="T513" s="22"/>
      <c r="U513" s="22"/>
      <c r="V513" s="22"/>
      <c r="W513" s="22"/>
      <c r="X513" s="22"/>
      <c r="Y513" s="22"/>
      <c r="Z513" s="22"/>
      <c r="AA513" s="22"/>
      <c r="AB513" s="23">
        <f t="shared" ref="AB513:AK513" si="2573">+AB512-AB509/X510</f>
        <v>0.11</v>
      </c>
      <c r="AC513" s="23">
        <f t="shared" si="2573"/>
        <v>0.15</v>
      </c>
      <c r="AD513" s="23">
        <f t="shared" si="2573"/>
        <v>0.13</v>
      </c>
      <c r="AE513" s="23">
        <f t="shared" si="2573"/>
        <v>0.05</v>
      </c>
      <c r="AF513" s="23">
        <f t="shared" si="2573"/>
        <v>0.03</v>
      </c>
      <c r="AG513" s="23">
        <f t="shared" si="2573"/>
        <v>-0.16</v>
      </c>
      <c r="AH513" s="23">
        <f t="shared" si="2573"/>
        <v>-7.0000000000000007E-2</v>
      </c>
      <c r="AI513" s="23">
        <f t="shared" si="2573"/>
        <v>-0.03</v>
      </c>
      <c r="AJ513" s="23">
        <f t="shared" si="2573"/>
        <v>0.02</v>
      </c>
      <c r="AK513" s="23">
        <f t="shared" si="2573"/>
        <v>3.3901805155580528E-2</v>
      </c>
      <c r="AL513" s="23">
        <f t="shared" ref="AL513" si="2574">+AL512-AL509/AH510</f>
        <v>2.1432880844645563E-2</v>
      </c>
      <c r="AM513" s="23">
        <f t="shared" ref="AM513" si="2575">+AM512-AM509/AI510</f>
        <v>2.918015102481121E-2</v>
      </c>
      <c r="AN513" s="23">
        <f>+AN508/AJ508-1</f>
        <v>2.6582842710541676E-2</v>
      </c>
      <c r="AO513" s="23">
        <f>+AO508/AK508-1</f>
        <v>2.1763530864827185E-2</v>
      </c>
      <c r="AP513" s="23">
        <f t="shared" ref="AP513:AQ513" si="2576">+AP508/AL508-1</f>
        <v>7.740785634547942E-2</v>
      </c>
      <c r="AQ513" s="23">
        <f t="shared" si="2576"/>
        <v>7.2855456475288127E-2</v>
      </c>
      <c r="AR513" s="9"/>
      <c r="BC513" s="23" t="s">
        <v>271</v>
      </c>
      <c r="BG513" s="23" t="s">
        <v>271</v>
      </c>
      <c r="BH513" s="23" t="s">
        <v>271</v>
      </c>
      <c r="BI513" s="23">
        <f t="shared" ref="BI513:BN513" si="2577">+BI512-BI509/BH510</f>
        <v>6.5828879727184819E-2</v>
      </c>
      <c r="BJ513" s="23">
        <f t="shared" si="2577"/>
        <v>8.9880546882391901E-2</v>
      </c>
      <c r="BK513" s="23">
        <f t="shared" si="2577"/>
        <v>6.9126219965862851E-2</v>
      </c>
      <c r="BL513" s="23">
        <f t="shared" si="2577"/>
        <v>0.10195705788481069</v>
      </c>
      <c r="BM513" s="23">
        <f t="shared" si="2577"/>
        <v>0.1103778677462888</v>
      </c>
      <c r="BN513" s="23">
        <f t="shared" si="2577"/>
        <v>-6.4404660129075517E-2</v>
      </c>
      <c r="BO513" s="23">
        <f>+BO508/BN508-1+BO512-BO511</f>
        <v>2.6295355720393265E-2</v>
      </c>
      <c r="BP513" s="23">
        <f>+BP508/BO508-1+BP512-BP511</f>
        <v>3.037898332377488E-2</v>
      </c>
    </row>
    <row r="514" spans="2:72">
      <c r="L514" s="9"/>
      <c r="AK514" s="8"/>
      <c r="AL514" s="8"/>
      <c r="AM514" s="23"/>
      <c r="AN514" s="8"/>
      <c r="AO514" s="8"/>
      <c r="AP514" s="8"/>
      <c r="AQ514" s="8"/>
    </row>
    <row r="515" spans="2:72">
      <c r="B515" t="s">
        <v>418</v>
      </c>
      <c r="H515" s="8"/>
      <c r="I515" s="8"/>
      <c r="J515" s="8"/>
      <c r="K515" s="8"/>
      <c r="L515" s="8"/>
      <c r="M515" s="8"/>
      <c r="N515" s="8"/>
      <c r="O515" s="8"/>
      <c r="P515" s="8"/>
      <c r="Q515" s="8"/>
      <c r="R515" s="8"/>
      <c r="S515" s="8"/>
      <c r="T515" s="8">
        <f>+T518-T517</f>
        <v>6586.1400397401176</v>
      </c>
      <c r="U515" s="8">
        <f t="shared" ref="U515" si="2578">+U518-U517</f>
        <v>7048.9471647284226</v>
      </c>
      <c r="V515" s="8">
        <f t="shared" ref="V515" si="2579">+V518-V517</f>
        <v>6379.8605819087879</v>
      </c>
      <c r="W515" s="8">
        <f t="shared" ref="W515" si="2580">+W518-W517</f>
        <v>7700.8313617698532</v>
      </c>
      <c r="X515" s="8">
        <f t="shared" ref="X515" si="2581">+X518-X517</f>
        <v>7086.113291519574</v>
      </c>
      <c r="Y515" s="8">
        <f t="shared" ref="Y515" si="2582">+Y518-Y517</f>
        <v>7809.1945109784101</v>
      </c>
      <c r="Z515" s="8">
        <f t="shared" ref="Z515" si="2583">+Z518-Z517</f>
        <v>7304.7998377201729</v>
      </c>
      <c r="AA515" s="8">
        <f t="shared" ref="AA515" si="2584">+AA518-AA517</f>
        <v>8375.8429153959369</v>
      </c>
      <c r="AB515" s="8">
        <f t="shared" ref="AB515" si="2585">+AB518-AB517</f>
        <v>7800.6245935288571</v>
      </c>
      <c r="AC515" s="8">
        <f t="shared" ref="AC515" si="2586">+AC518-AC517</f>
        <v>9393.6678030710373</v>
      </c>
      <c r="AD515" s="8">
        <f t="shared" ref="AD515" si="2587">+AD518-AD517</f>
        <v>8086.0509320436158</v>
      </c>
      <c r="AE515" s="8">
        <f t="shared" ref="AE515" si="2588">+AE518-AE517</f>
        <v>8094.4121401966113</v>
      </c>
      <c r="AF515" s="8">
        <f t="shared" ref="AF515" si="2589">+AF518-AF517</f>
        <v>7086.2560038751762</v>
      </c>
      <c r="AG515" s="8">
        <f t="shared" ref="AG515" si="2590">+AG518-AG517</f>
        <v>6699.6630375937366</v>
      </c>
      <c r="AH515" s="8">
        <f t="shared" ref="AH515" si="2591">+AH518-AH517</f>
        <v>7344.303212924593</v>
      </c>
      <c r="AI515" s="8">
        <f t="shared" ref="AI515" si="2592">+AI518-AI517</f>
        <v>7935.5000219429676</v>
      </c>
      <c r="AJ515" s="8">
        <f t="shared" ref="AJ515:AK515" si="2593">+AJ518-AJ517</f>
        <v>8030.2504757665556</v>
      </c>
      <c r="AK515" s="8">
        <f t="shared" si="2593"/>
        <v>7778.4104748729333</v>
      </c>
      <c r="AL515" s="8">
        <f t="shared" ref="AL515:AM515" si="2594">+AL518-AL517</f>
        <v>8364.3148729331951</v>
      </c>
      <c r="AM515" s="8">
        <f t="shared" si="2594"/>
        <v>8799.5303633202966</v>
      </c>
      <c r="AN515" s="61">
        <f>+AN508*AJ522</f>
        <v>8243.7173610901118</v>
      </c>
      <c r="AO515" s="61">
        <f t="shared" ref="AO515:AQ515" si="2595">+AO508*AK522</f>
        <v>8527.9343258565968</v>
      </c>
      <c r="AP515" s="61">
        <f t="shared" si="2595"/>
        <v>9434.6438316213735</v>
      </c>
      <c r="AQ515" s="61">
        <f t="shared" si="2595"/>
        <v>9853.2188589246216</v>
      </c>
      <c r="AS515">
        <f t="shared" ref="AS515" si="2596">+AS518-AS517</f>
        <v>0</v>
      </c>
      <c r="AT515">
        <f t="shared" ref="AT515" si="2597">+AT518-AT517</f>
        <v>0</v>
      </c>
      <c r="AU515">
        <f t="shared" ref="AU515" si="2598">+AU518-AU517</f>
        <v>0</v>
      </c>
      <c r="AV515">
        <f t="shared" ref="AV515" si="2599">+AV518-AV517</f>
        <v>0</v>
      </c>
      <c r="AW515">
        <f t="shared" ref="AW515" si="2600">+AW518-AW517</f>
        <v>0</v>
      </c>
      <c r="AX515" s="8"/>
      <c r="AY515" s="8"/>
      <c r="AZ515" s="8"/>
      <c r="BA515" s="8"/>
      <c r="BB515" s="8"/>
      <c r="BC515" s="8"/>
      <c r="BD515" s="8"/>
      <c r="BE515" s="8"/>
      <c r="BG515" s="8">
        <f t="shared" ref="BG515" si="2601">+BG518-BG517</f>
        <v>19102.371535075905</v>
      </c>
      <c r="BH515" s="8">
        <f t="shared" ref="BH515" si="2602">+BH518-BH517</f>
        <v>20537.880590806108</v>
      </c>
      <c r="BI515" s="8">
        <f t="shared" ref="BI515" si="2603">+BI518-BI517</f>
        <v>22659.946961608122</v>
      </c>
      <c r="BJ515" s="8">
        <f t="shared" ref="BJ515" si="2604">+BJ518-BJ517</f>
        <v>24711.566893478725</v>
      </c>
      <c r="BK515" s="8">
        <f t="shared" ref="BK515" si="2605">+BK518-BK517</f>
        <v>27715.779148147187</v>
      </c>
      <c r="BL515" s="8">
        <f t="shared" ref="BL515" si="2606">+BL518-BL517</f>
        <v>30575.950555614094</v>
      </c>
      <c r="BM515" s="8">
        <f t="shared" ref="BM515" si="2607">+BM518-BM517</f>
        <v>33374.755468840114</v>
      </c>
      <c r="BN515" s="8">
        <f t="shared" ref="BN515" si="2608">+BN518-BN517</f>
        <v>29065.722276336484</v>
      </c>
      <c r="BO515" s="8">
        <f t="shared" ref="BO515:BO517" si="2609">SUM(AJ515:AM515)</f>
        <v>32972.506186892977</v>
      </c>
      <c r="BP515" s="8">
        <f t="shared" ref="BP515:BP518" si="2610">+SUM(AN515:AQ515)</f>
        <v>36059.514377492706</v>
      </c>
      <c r="BR515" t="s">
        <v>421</v>
      </c>
    </row>
    <row r="516" spans="2:72" hidden="1" outlineLevel="1">
      <c r="B516" t="s">
        <v>422</v>
      </c>
      <c r="C516" s="8"/>
      <c r="D516" s="8">
        <v>0</v>
      </c>
      <c r="E516" s="8">
        <v>0</v>
      </c>
      <c r="F516" s="8">
        <v>0</v>
      </c>
      <c r="G516" s="8">
        <v>0</v>
      </c>
      <c r="H516" s="8">
        <v>0</v>
      </c>
      <c r="I516" s="8">
        <v>0</v>
      </c>
      <c r="J516" s="8">
        <v>0</v>
      </c>
      <c r="K516" s="8">
        <v>0</v>
      </c>
      <c r="L516" s="8">
        <v>0</v>
      </c>
      <c r="M516" s="8">
        <v>0</v>
      </c>
      <c r="N516" s="8">
        <v>0</v>
      </c>
      <c r="O516" s="8">
        <v>0</v>
      </c>
      <c r="P516" s="8">
        <v>0</v>
      </c>
      <c r="Q516" s="8">
        <v>0</v>
      </c>
      <c r="R516" s="8">
        <v>0</v>
      </c>
      <c r="S516" s="8">
        <v>0</v>
      </c>
      <c r="T516" s="8">
        <v>0</v>
      </c>
      <c r="U516" s="8">
        <v>0</v>
      </c>
      <c r="V516" s="8">
        <v>0</v>
      </c>
      <c r="W516" s="8">
        <v>0</v>
      </c>
      <c r="X516" s="8">
        <v>0</v>
      </c>
      <c r="Y516" s="8">
        <v>0</v>
      </c>
      <c r="Z516" s="8">
        <v>0</v>
      </c>
      <c r="AA516" s="8">
        <v>0</v>
      </c>
      <c r="AB516" s="8">
        <v>0</v>
      </c>
      <c r="AC516" s="8">
        <v>0</v>
      </c>
      <c r="AD516" s="8">
        <v>0</v>
      </c>
      <c r="AE516" s="8">
        <v>0</v>
      </c>
      <c r="AF516" s="8">
        <v>0</v>
      </c>
      <c r="AG516" s="8">
        <v>0</v>
      </c>
      <c r="AH516" s="8">
        <v>0</v>
      </c>
      <c r="AI516" s="8">
        <v>0</v>
      </c>
      <c r="AJ516" s="8">
        <v>0</v>
      </c>
      <c r="AK516" s="61">
        <v>0</v>
      </c>
      <c r="AL516" s="61">
        <v>0</v>
      </c>
      <c r="AM516" s="61">
        <v>0</v>
      </c>
      <c r="AN516" s="61">
        <v>0</v>
      </c>
      <c r="AO516" s="61">
        <v>0</v>
      </c>
      <c r="AP516" s="61">
        <v>0</v>
      </c>
      <c r="AQ516" s="61">
        <v>0</v>
      </c>
      <c r="AX516" s="8"/>
      <c r="AY516" s="8"/>
      <c r="AZ516" s="8"/>
      <c r="BA516" s="8"/>
      <c r="BB516" s="8"/>
      <c r="BC516" s="8"/>
      <c r="BD516" s="8"/>
      <c r="BE516" s="8"/>
      <c r="BG516" s="8"/>
      <c r="BH516" s="8">
        <v>0</v>
      </c>
      <c r="BI516" s="8">
        <v>0</v>
      </c>
      <c r="BJ516" s="8">
        <v>0</v>
      </c>
      <c r="BK516" s="8">
        <v>0</v>
      </c>
      <c r="BL516" s="8">
        <v>0</v>
      </c>
      <c r="BM516" s="8">
        <v>0</v>
      </c>
      <c r="BN516" s="8">
        <v>0</v>
      </c>
      <c r="BO516" s="8">
        <f t="shared" si="2609"/>
        <v>0</v>
      </c>
      <c r="BP516" s="8">
        <f t="shared" si="2610"/>
        <v>0</v>
      </c>
      <c r="BR516" s="61">
        <v>-500</v>
      </c>
      <c r="BS516" s="61">
        <v>-500</v>
      </c>
      <c r="BT516" s="61">
        <v>-500</v>
      </c>
    </row>
    <row r="517" spans="2:72" s="852" customFormat="1" collapsed="1">
      <c r="B517" t="s">
        <v>419</v>
      </c>
      <c r="C517" s="853"/>
      <c r="D517" s="853">
        <v>0</v>
      </c>
      <c r="E517" s="853">
        <v>0</v>
      </c>
      <c r="F517" s="853">
        <v>0</v>
      </c>
      <c r="G517" s="853">
        <v>0</v>
      </c>
      <c r="H517" s="853">
        <v>0</v>
      </c>
      <c r="I517" s="853">
        <v>0</v>
      </c>
      <c r="J517" s="853">
        <v>0</v>
      </c>
      <c r="K517" s="853">
        <v>0</v>
      </c>
      <c r="L517" s="853">
        <v>0</v>
      </c>
      <c r="M517" s="853">
        <v>0</v>
      </c>
      <c r="N517" s="853">
        <v>0</v>
      </c>
      <c r="O517" s="853">
        <v>0</v>
      </c>
      <c r="P517" s="853">
        <v>0</v>
      </c>
      <c r="Q517" s="853">
        <v>0</v>
      </c>
      <c r="R517" s="853">
        <v>0</v>
      </c>
      <c r="S517" s="853">
        <v>0</v>
      </c>
      <c r="T517" s="853">
        <v>0</v>
      </c>
      <c r="U517" s="853">
        <v>0</v>
      </c>
      <c r="V517" s="853">
        <v>0</v>
      </c>
      <c r="W517" s="853">
        <v>0</v>
      </c>
      <c r="X517" s="853">
        <v>0</v>
      </c>
      <c r="Y517" s="853">
        <v>0</v>
      </c>
      <c r="Z517" s="853">
        <v>0</v>
      </c>
      <c r="AA517" s="853">
        <v>0</v>
      </c>
      <c r="AB517" s="853">
        <v>0</v>
      </c>
      <c r="AC517" s="853">
        <v>0</v>
      </c>
      <c r="AD517" s="853">
        <v>0</v>
      </c>
      <c r="AE517" s="853">
        <v>0</v>
      </c>
      <c r="AF517" s="853">
        <v>0</v>
      </c>
      <c r="AG517" s="853">
        <v>0</v>
      </c>
      <c r="AH517" s="853">
        <v>0</v>
      </c>
      <c r="AI517" s="853">
        <v>0</v>
      </c>
      <c r="AJ517" s="853">
        <v>0</v>
      </c>
      <c r="AK517" s="939">
        <f>1160+580</f>
        <v>1740</v>
      </c>
      <c r="AL517" s="939">
        <f>990+670</f>
        <v>1660</v>
      </c>
      <c r="AM517" s="939">
        <f>780+690</f>
        <v>1470</v>
      </c>
      <c r="AN517" s="1209">
        <f>+(AM517/AM509+2%)*AN509</f>
        <v>1408.6942000000001</v>
      </c>
      <c r="AO517" s="1209">
        <f>+AK517/AK509*AO509</f>
        <v>1879.2</v>
      </c>
      <c r="AP517" s="1209">
        <f t="shared" ref="AP517:AQ517" si="2611">+AL517/AL509*AP509</f>
        <v>1792.8000000000002</v>
      </c>
      <c r="AQ517" s="1209">
        <f t="shared" si="2611"/>
        <v>1587.6000000000001</v>
      </c>
      <c r="AR517" s="853"/>
      <c r="AS517" s="853">
        <v>0</v>
      </c>
      <c r="AT517" s="853">
        <v>0</v>
      </c>
      <c r="AU517" s="853">
        <v>0</v>
      </c>
      <c r="AV517" s="853">
        <v>0</v>
      </c>
      <c r="AW517" s="853">
        <v>0</v>
      </c>
      <c r="AX517" s="853"/>
      <c r="AY517" s="853"/>
      <c r="AZ517" s="853"/>
      <c r="BA517" s="853"/>
      <c r="BB517" s="853"/>
      <c r="BC517" s="853"/>
      <c r="BD517" s="853"/>
      <c r="BE517" s="853"/>
      <c r="BF517" s="853"/>
      <c r="BG517" s="853">
        <v>0</v>
      </c>
      <c r="BH517" s="853">
        <v>0</v>
      </c>
      <c r="BI517" s="853">
        <v>0</v>
      </c>
      <c r="BJ517" s="853">
        <v>0</v>
      </c>
      <c r="BK517" s="853">
        <v>0</v>
      </c>
      <c r="BL517" s="853">
        <v>0</v>
      </c>
      <c r="BM517" s="853">
        <v>0</v>
      </c>
      <c r="BN517" s="853">
        <v>0</v>
      </c>
      <c r="BO517" s="853">
        <f t="shared" si="2609"/>
        <v>4870</v>
      </c>
      <c r="BP517" s="853">
        <f t="shared" si="2610"/>
        <v>6668.2942000000003</v>
      </c>
    </row>
    <row r="518" spans="2:72">
      <c r="B518" s="12" t="s">
        <v>365</v>
      </c>
      <c r="H518" s="8">
        <f t="shared" ref="H518:AM518" si="2612">+H22-H260-H453</f>
        <v>4916.9675943888942</v>
      </c>
      <c r="I518" s="8">
        <f t="shared" si="2612"/>
        <v>5672.8616559341644</v>
      </c>
      <c r="J518" s="8">
        <f t="shared" si="2612"/>
        <v>4703.306622022641</v>
      </c>
      <c r="K518" s="8">
        <f t="shared" si="2612"/>
        <v>5244.7447184604034</v>
      </c>
      <c r="L518" s="8">
        <f t="shared" si="2612"/>
        <v>5368.1013712096874</v>
      </c>
      <c r="M518" s="8">
        <f t="shared" si="2612"/>
        <v>5635.6695648777395</v>
      </c>
      <c r="N518" s="8">
        <f t="shared" si="2612"/>
        <v>5303.9660643260022</v>
      </c>
      <c r="O518" s="8">
        <f t="shared" si="2612"/>
        <v>6352.2099611946951</v>
      </c>
      <c r="P518" s="8">
        <f t="shared" si="2612"/>
        <v>5900.0161288474255</v>
      </c>
      <c r="Q518" s="8">
        <f t="shared" si="2612"/>
        <v>5944.4625548556496</v>
      </c>
      <c r="R518" s="8">
        <f t="shared" si="2612"/>
        <v>5980.9288814852043</v>
      </c>
      <c r="S518" s="8">
        <f t="shared" si="2612"/>
        <v>6886.1593282904441</v>
      </c>
      <c r="T518" s="8">
        <f t="shared" si="2612"/>
        <v>6586.1400397401176</v>
      </c>
      <c r="U518" s="8">
        <f t="shared" si="2612"/>
        <v>7048.9471647284226</v>
      </c>
      <c r="V518" s="8">
        <f t="shared" si="2612"/>
        <v>6379.8605819087879</v>
      </c>
      <c r="W518" s="8">
        <f t="shared" si="2612"/>
        <v>7700.8313617698532</v>
      </c>
      <c r="X518" s="8">
        <f t="shared" si="2612"/>
        <v>7086.113291519574</v>
      </c>
      <c r="Y518" s="8">
        <f t="shared" si="2612"/>
        <v>7809.1945109784101</v>
      </c>
      <c r="Z518" s="8">
        <f t="shared" si="2612"/>
        <v>7304.7998377201729</v>
      </c>
      <c r="AA518" s="8">
        <f t="shared" si="2612"/>
        <v>8375.8429153959369</v>
      </c>
      <c r="AB518" s="8">
        <f t="shared" si="2612"/>
        <v>7800.6245935288571</v>
      </c>
      <c r="AC518" s="8">
        <f t="shared" si="2612"/>
        <v>9393.6678030710373</v>
      </c>
      <c r="AD518" s="8">
        <f t="shared" si="2612"/>
        <v>8086.0509320436158</v>
      </c>
      <c r="AE518" s="8">
        <f t="shared" si="2612"/>
        <v>8094.4121401966113</v>
      </c>
      <c r="AF518" s="8">
        <f t="shared" si="2612"/>
        <v>7086.2560038751762</v>
      </c>
      <c r="AG518" s="8">
        <f t="shared" si="2612"/>
        <v>6699.6630375937366</v>
      </c>
      <c r="AH518" s="8">
        <f t="shared" si="2612"/>
        <v>7344.303212924593</v>
      </c>
      <c r="AI518" s="8">
        <f t="shared" si="2612"/>
        <v>7935.5000219429676</v>
      </c>
      <c r="AJ518" s="8">
        <f t="shared" si="2612"/>
        <v>8030.2504757665556</v>
      </c>
      <c r="AK518" s="8">
        <f t="shared" si="2612"/>
        <v>9518.4104748729333</v>
      </c>
      <c r="AL518" s="8">
        <f t="shared" si="2612"/>
        <v>10024.314872933195</v>
      </c>
      <c r="AM518" s="8">
        <f t="shared" si="2612"/>
        <v>10269.530363320297</v>
      </c>
      <c r="AN518" s="8">
        <f t="shared" ref="AN518:AQ518" si="2613">+SUM(AN515:AN517)</f>
        <v>9652.4115610901117</v>
      </c>
      <c r="AO518" s="8">
        <f t="shared" si="2613"/>
        <v>10407.134325856598</v>
      </c>
      <c r="AP518" s="8">
        <f t="shared" si="2613"/>
        <v>11227.443831621375</v>
      </c>
      <c r="AQ518" s="8">
        <f t="shared" si="2613"/>
        <v>11440.818858924622</v>
      </c>
      <c r="AX518" s="8"/>
      <c r="AY518" s="8"/>
      <c r="AZ518" s="8"/>
      <c r="BA518" s="8"/>
      <c r="BB518" s="8"/>
      <c r="BC518" s="8"/>
      <c r="BD518" s="8"/>
      <c r="BE518" s="8"/>
      <c r="BG518" s="8">
        <f t="shared" ref="BG518:BN518" si="2614">+BG22-BG260-BG453</f>
        <v>19102.371535075905</v>
      </c>
      <c r="BH518" s="8">
        <f t="shared" si="2614"/>
        <v>20537.880590806108</v>
      </c>
      <c r="BI518" s="8">
        <f t="shared" si="2614"/>
        <v>22659.946961608122</v>
      </c>
      <c r="BJ518" s="8">
        <f t="shared" si="2614"/>
        <v>24711.566893478725</v>
      </c>
      <c r="BK518" s="8">
        <f t="shared" si="2614"/>
        <v>27715.779148147187</v>
      </c>
      <c r="BL518" s="8">
        <f t="shared" si="2614"/>
        <v>30575.950555614094</v>
      </c>
      <c r="BM518" s="8">
        <f t="shared" si="2614"/>
        <v>33374.755468840114</v>
      </c>
      <c r="BN518" s="8">
        <f t="shared" si="2614"/>
        <v>29065.722276336484</v>
      </c>
      <c r="BO518" s="8">
        <f>SUM(AJ518:AM518)</f>
        <v>37842.506186892977</v>
      </c>
      <c r="BP518" s="8">
        <f t="shared" si="2610"/>
        <v>42727.808577492709</v>
      </c>
    </row>
    <row r="519" spans="2:72" s="3" customFormat="1">
      <c r="B519" s="15" t="s">
        <v>113</v>
      </c>
      <c r="L519" s="22">
        <v>0.1</v>
      </c>
      <c r="M519" s="22">
        <v>0.13</v>
      </c>
      <c r="N519" s="22">
        <v>0.16</v>
      </c>
      <c r="O519" s="22">
        <v>0.23</v>
      </c>
      <c r="P519" s="22">
        <v>0.1</v>
      </c>
      <c r="Q519" s="22">
        <v>0.06</v>
      </c>
      <c r="R519" s="22">
        <v>0.13</v>
      </c>
      <c r="S519" s="22">
        <v>0.08</v>
      </c>
      <c r="T519" s="22">
        <v>0.12</v>
      </c>
      <c r="U519" s="22">
        <v>0.18</v>
      </c>
      <c r="V519" s="22">
        <v>0.06</v>
      </c>
      <c r="W519" s="22">
        <v>0.12</v>
      </c>
      <c r="X519" s="22">
        <v>0.08</v>
      </c>
      <c r="Y519" s="22">
        <v>0.11</v>
      </c>
      <c r="Z519" s="22">
        <v>0.14000000000000001</v>
      </c>
      <c r="AA519" s="22">
        <v>0.08</v>
      </c>
      <c r="AB519" s="22">
        <v>0.1</v>
      </c>
      <c r="AC519" s="22">
        <v>0.2</v>
      </c>
      <c r="AD519" s="22">
        <v>0.13</v>
      </c>
      <c r="AE519" s="22">
        <v>0</v>
      </c>
      <c r="AF519" s="22">
        <v>-0.09</v>
      </c>
      <c r="AG519" s="22">
        <v>-0.28999999999999998</v>
      </c>
      <c r="AH519" s="22">
        <v>-0.09</v>
      </c>
      <c r="AI519" s="22">
        <v>-0.02</v>
      </c>
      <c r="AJ519" s="22">
        <v>0.13</v>
      </c>
      <c r="AK519" s="891">
        <f>+AK518/AG518-1</f>
        <v>0.4207297324451087</v>
      </c>
      <c r="AL519" s="891">
        <f t="shared" ref="AL519" si="2615">+AL518/AH518-1</f>
        <v>0.36491026885876465</v>
      </c>
      <c r="AM519" s="891">
        <f t="shared" ref="AM519" si="2616">+AM518/AI518-1</f>
        <v>0.29412517609770639</v>
      </c>
      <c r="AN519" s="891">
        <f t="shared" ref="AN519" si="2617">+AN518/AJ518-1</f>
        <v>0.20200628737781767</v>
      </c>
      <c r="AO519" s="891">
        <f t="shared" ref="AO519" si="2618">+AO518/AK518-1</f>
        <v>9.3368935215575322E-2</v>
      </c>
      <c r="AP519" s="891">
        <f t="shared" ref="AP519" si="2619">+AP518/AL518-1</f>
        <v>0.12002106617149133</v>
      </c>
      <c r="AQ519" s="891">
        <f t="shared" ref="AQ519" si="2620">+AQ518/AM518-1</f>
        <v>0.11405472832407404</v>
      </c>
      <c r="BH519" s="21">
        <f>+BH518/BG518-1</f>
        <v>7.5148211471769866E-2</v>
      </c>
      <c r="BI519" s="21">
        <f>+BI518/BH518-1</f>
        <v>0.10332450621764599</v>
      </c>
      <c r="BJ519" s="21">
        <f t="shared" ref="BJ519" si="2621">+BJ518/BI518-1</f>
        <v>9.0539485169430556E-2</v>
      </c>
      <c r="BK519" s="21">
        <f t="shared" ref="BK519" si="2622">+BK518/BJ518-1</f>
        <v>0.12157109533435784</v>
      </c>
      <c r="BL519" s="21">
        <f t="shared" ref="BL519" si="2623">+BL518/BK518-1</f>
        <v>0.10319650016615567</v>
      </c>
      <c r="BM519" s="21">
        <f t="shared" ref="BM519" si="2624">+BM518/BL518-1</f>
        <v>9.1536153819169686E-2</v>
      </c>
      <c r="BN519" s="21">
        <f t="shared" ref="BN519:BP519" si="2625">+BN518/BM518-1</f>
        <v>-0.12911055472830957</v>
      </c>
      <c r="BO519" s="21">
        <f t="shared" si="2625"/>
        <v>0.30196338584374383</v>
      </c>
      <c r="BP519" s="21">
        <f t="shared" si="2625"/>
        <v>0.12909563564507764</v>
      </c>
    </row>
    <row r="520" spans="2:72" hidden="1" outlineLevel="1">
      <c r="B520" s="15" t="s">
        <v>270</v>
      </c>
      <c r="L520" s="22">
        <v>0.1</v>
      </c>
      <c r="M520" s="22">
        <v>0.13</v>
      </c>
      <c r="N520" s="22">
        <v>0.14000000000000001</v>
      </c>
      <c r="O520" s="22">
        <v>0.2</v>
      </c>
      <c r="P520" s="22">
        <v>0.1</v>
      </c>
      <c r="Q520" s="22">
        <v>7.0000000000000007E-2</v>
      </c>
      <c r="R520" s="22">
        <v>0.15</v>
      </c>
      <c r="S520" s="22">
        <v>0.12</v>
      </c>
      <c r="T520" s="22">
        <v>0.13</v>
      </c>
      <c r="U520" s="22">
        <v>0.2</v>
      </c>
      <c r="V520" s="22">
        <v>0.08</v>
      </c>
      <c r="W520" s="22">
        <v>0.15</v>
      </c>
      <c r="X520" s="22">
        <v>0.08</v>
      </c>
      <c r="Y520" s="22">
        <v>0.09</v>
      </c>
      <c r="Z520" s="22">
        <v>0.11</v>
      </c>
      <c r="AA520" s="22">
        <v>0.04</v>
      </c>
      <c r="AB520" s="22">
        <v>0.08</v>
      </c>
      <c r="AC520" s="22">
        <v>0.2</v>
      </c>
      <c r="AD520" s="22">
        <v>0.13</v>
      </c>
      <c r="AE520" s="22">
        <v>0.04</v>
      </c>
      <c r="AF520" s="22">
        <v>-0.04</v>
      </c>
      <c r="AG520" s="22">
        <v>-0.24</v>
      </c>
      <c r="AH520" s="22">
        <v>-0.05</v>
      </c>
      <c r="AI520" s="22">
        <v>0</v>
      </c>
      <c r="AJ520" s="22">
        <v>0.12</v>
      </c>
      <c r="AK520" s="93">
        <f>+AK519-2%</f>
        <v>0.40072973244510868</v>
      </c>
      <c r="AL520" s="93">
        <f>+AL519-1%</f>
        <v>0.35491026885876464</v>
      </c>
      <c r="AM520" s="93">
        <f t="shared" ref="AM520" si="2626">+AM519-1%</f>
        <v>0.28412517609770638</v>
      </c>
      <c r="AN520" s="22"/>
      <c r="AO520" s="22"/>
      <c r="AP520" s="22"/>
      <c r="AQ520" s="22"/>
      <c r="BH520" s="23" t="s">
        <v>271</v>
      </c>
      <c r="BI520" s="21">
        <f>+SUMPRODUCT(L520:O520,H510:K510)/BH510</f>
        <v>0.14151193566447806</v>
      </c>
      <c r="BJ520" s="23">
        <f>+SUMPRODUCT(P520:S520,L510:O510)/BI510</f>
        <v>0.10820725707257071</v>
      </c>
      <c r="BK520" s="23">
        <f>+SUMPRODUCT(T520:W520,P510:S510)/BJ510</f>
        <v>0.14315352969495382</v>
      </c>
      <c r="BL520" s="23">
        <f>+SUMPRODUCT(X520:AA520,T510:W510)/BK510</f>
        <v>7.8872976725870972E-2</v>
      </c>
      <c r="BM520" s="23">
        <f>+SUMPRODUCT(AB520:AE520,X510:AA510)/BL510</f>
        <v>0.11518015269997968</v>
      </c>
      <c r="BN520" s="23">
        <f>+SUMPRODUCT(AF520:AI520,AB510:AE510)/BM510</f>
        <v>-9.1361327633894887E-2</v>
      </c>
      <c r="BO520" s="23"/>
      <c r="BP520" s="23"/>
    </row>
    <row r="521" spans="2:72" hidden="1" outlineLevel="1">
      <c r="B521" s="15" t="s">
        <v>420</v>
      </c>
      <c r="L521" s="22"/>
      <c r="M521" s="22"/>
      <c r="N521" s="22"/>
      <c r="O521" s="22"/>
      <c r="P521" s="22"/>
      <c r="Q521" s="22"/>
      <c r="R521" s="22"/>
      <c r="S521" s="22"/>
      <c r="T521" s="22"/>
      <c r="U521" s="22"/>
      <c r="V521" s="22"/>
      <c r="W521" s="22"/>
      <c r="X521" s="22"/>
      <c r="Y521" s="22"/>
      <c r="Z521" s="22"/>
      <c r="AA521" s="22"/>
      <c r="AB521" s="23">
        <f t="shared" ref="AB521" si="2627">+AB520-AB517/X518</f>
        <v>0.08</v>
      </c>
      <c r="AC521" s="23">
        <f t="shared" ref="AC521" si="2628">+AC520-AC517/Y518</f>
        <v>0.2</v>
      </c>
      <c r="AD521" s="23">
        <f t="shared" ref="AD521" si="2629">+AD520-AD517/Z518</f>
        <v>0.13</v>
      </c>
      <c r="AE521" s="23">
        <f t="shared" ref="AE521" si="2630">+AE520-AE517/AA518</f>
        <v>0.04</v>
      </c>
      <c r="AF521" s="23">
        <f t="shared" ref="AF521" si="2631">+AF520-AF517/AB518</f>
        <v>-0.04</v>
      </c>
      <c r="AG521" s="23">
        <f t="shared" ref="AG521" si="2632">+AG520-AG517/AC518</f>
        <v>-0.24</v>
      </c>
      <c r="AH521" s="23">
        <f t="shared" ref="AH521" si="2633">+AH520-AH517/AD518</f>
        <v>-0.05</v>
      </c>
      <c r="AI521" s="23">
        <f t="shared" ref="AI521" si="2634">+AI520-AI517/AE518</f>
        <v>0</v>
      </c>
      <c r="AJ521" s="23">
        <f t="shared" ref="AJ521" si="2635">+AJ520-AJ517/AF518</f>
        <v>0.12</v>
      </c>
      <c r="AK521" s="23">
        <f t="shared" ref="AK521" si="2636">+AK520-AK517/AG518</f>
        <v>0.14101517811060565</v>
      </c>
      <c r="AL521" s="23">
        <f t="shared" ref="AL521" si="2637">+AL520-AL517/AH518</f>
        <v>0.12888474242370243</v>
      </c>
      <c r="AM521" s="23">
        <f t="shared" ref="AM521" si="2638">+AM520-AM517/AI518</f>
        <v>9.8881650682142469E-2</v>
      </c>
      <c r="AN521" s="22"/>
      <c r="AO521" s="22"/>
      <c r="AP521" s="22"/>
      <c r="AQ521" s="22"/>
      <c r="BH521" s="23" t="s">
        <v>271</v>
      </c>
      <c r="BI521" s="23">
        <f t="shared" ref="BI521" si="2639">+BI520-BI517/BH518</f>
        <v>0.14151193566447806</v>
      </c>
      <c r="BJ521" s="23">
        <f t="shared" ref="BJ521" si="2640">+BJ520-BJ517/BI518</f>
        <v>0.10820725707257071</v>
      </c>
      <c r="BK521" s="23">
        <f t="shared" ref="BK521" si="2641">+BK520-BK517/BJ518</f>
        <v>0.14315352969495382</v>
      </c>
      <c r="BL521" s="23">
        <f t="shared" ref="BL521" si="2642">+BL520-BL517/BK518</f>
        <v>7.8872976725870972E-2</v>
      </c>
      <c r="BM521" s="23">
        <f t="shared" ref="BM521" si="2643">+BM520-BM517/BL518</f>
        <v>0.11518015269997968</v>
      </c>
      <c r="BN521" s="23">
        <f t="shared" ref="BN521" si="2644">+BN520-BN517/BM518</f>
        <v>-9.1361327633894887E-2</v>
      </c>
      <c r="BO521" s="23"/>
      <c r="BP521" s="23"/>
    </row>
    <row r="522" spans="2:72" collapsed="1">
      <c r="B522" s="15" t="s">
        <v>115</v>
      </c>
      <c r="H522" s="14">
        <f t="shared" ref="H522:AJ522" si="2645">+H518/H510</f>
        <v>0.52336004197859443</v>
      </c>
      <c r="I522" s="14">
        <f t="shared" si="2645"/>
        <v>0.47715212851662581</v>
      </c>
      <c r="J522" s="14">
        <f t="shared" si="2645"/>
        <v>0.53598935863505881</v>
      </c>
      <c r="K522" s="14">
        <f t="shared" si="2645"/>
        <v>0.56792038099192244</v>
      </c>
      <c r="L522" s="14">
        <f t="shared" si="2645"/>
        <v>0.57241430701745444</v>
      </c>
      <c r="M522" s="14">
        <f t="shared" si="2645"/>
        <v>0.46307884674426786</v>
      </c>
      <c r="N522" s="14">
        <f t="shared" si="2645"/>
        <v>0.53483574310033299</v>
      </c>
      <c r="O522" s="14">
        <f t="shared" si="2645"/>
        <v>0.58756913895057761</v>
      </c>
      <c r="P522" s="14">
        <f t="shared" si="2645"/>
        <v>0.54904300473175371</v>
      </c>
      <c r="Q522" s="14">
        <f t="shared" si="2645"/>
        <v>0.45751270336763256</v>
      </c>
      <c r="R522" s="14">
        <f t="shared" si="2645"/>
        <v>0.56001206755479438</v>
      </c>
      <c r="S522" s="14">
        <f t="shared" si="2645"/>
        <v>0.61052924268910758</v>
      </c>
      <c r="T522" s="14">
        <f t="shared" si="2645"/>
        <v>0.59158717683823925</v>
      </c>
      <c r="U522" s="14">
        <f t="shared" si="2645"/>
        <v>0.53356651008465839</v>
      </c>
      <c r="V522" s="14">
        <f t="shared" si="2645"/>
        <v>0.58014554714092825</v>
      </c>
      <c r="W522" s="14">
        <f t="shared" si="2645"/>
        <v>0.59650126737179343</v>
      </c>
      <c r="X522" s="14">
        <f t="shared" si="2645"/>
        <v>0.59803471107431627</v>
      </c>
      <c r="Y522" s="14">
        <f t="shared" si="2645"/>
        <v>0.5164128098782178</v>
      </c>
      <c r="Z522" s="14">
        <f t="shared" si="2645"/>
        <v>0.56035592495552111</v>
      </c>
      <c r="AA522" s="14">
        <f t="shared" si="2645"/>
        <v>0.59462181708050099</v>
      </c>
      <c r="AB522" s="14">
        <f t="shared" si="2645"/>
        <v>0.58589639428637952</v>
      </c>
      <c r="AC522" s="14">
        <f t="shared" si="2645"/>
        <v>0.53785673077990481</v>
      </c>
      <c r="AD522" s="14">
        <f t="shared" si="2645"/>
        <v>0.55689056005810023</v>
      </c>
      <c r="AE522" s="14">
        <f t="shared" si="2645"/>
        <v>0.56383478268296261</v>
      </c>
      <c r="AF522" s="14">
        <f t="shared" si="2645"/>
        <v>0.53152235252589086</v>
      </c>
      <c r="AG522" s="14">
        <f t="shared" si="2645"/>
        <v>0.4705810941626562</v>
      </c>
      <c r="AH522" s="14">
        <f t="shared" si="2645"/>
        <v>0.5538690205825485</v>
      </c>
      <c r="AI522" s="14">
        <f t="shared" si="2645"/>
        <v>0.57069399654390274</v>
      </c>
      <c r="AJ522" s="14">
        <f t="shared" si="2645"/>
        <v>0.58760796690813377</v>
      </c>
      <c r="AK522" s="14">
        <f t="shared" ref="AK522" si="2646">+AK518/AK510</f>
        <v>0.5635196539502062</v>
      </c>
      <c r="AL522" s="14">
        <f t="shared" ref="AL522:AM522" si="2647">+AL518/AL510</f>
        <v>0.6434091702781255</v>
      </c>
      <c r="AM522" s="14">
        <f t="shared" si="2647"/>
        <v>0.6460855843548472</v>
      </c>
      <c r="AN522" s="14">
        <f t="shared" ref="AN522:AQ522" si="2648">+AN518/AN510</f>
        <v>0.61861580434532504</v>
      </c>
      <c r="AO522" s="14">
        <f t="shared" si="2648"/>
        <v>0.59880841324800538</v>
      </c>
      <c r="AP522" s="14">
        <f t="shared" si="2648"/>
        <v>0.66865362246288906</v>
      </c>
      <c r="AQ522" s="14">
        <f t="shared" si="2648"/>
        <v>0.67042436751088719</v>
      </c>
      <c r="BA522" s="14"/>
      <c r="BB522" s="14"/>
      <c r="BC522" s="14"/>
      <c r="BD522" s="14"/>
      <c r="BE522" s="14"/>
      <c r="BG522" s="14">
        <f t="shared" ref="BG522:BP522" si="2649">+BG518/BG510</f>
        <v>0.4727139701825267</v>
      </c>
      <c r="BH522" s="14">
        <f t="shared" si="2649"/>
        <v>0.52267217872464267</v>
      </c>
      <c r="BI522" s="14">
        <f t="shared" si="2649"/>
        <v>0.53600025928678496</v>
      </c>
      <c r="BJ522" s="14">
        <f t="shared" si="2649"/>
        <v>0.54075817089322786</v>
      </c>
      <c r="BK522" s="14">
        <f t="shared" si="2649"/>
        <v>0.57440838838878339</v>
      </c>
      <c r="BL522" s="14">
        <f t="shared" si="2649"/>
        <v>0.5652478242215091</v>
      </c>
      <c r="BM522" s="14">
        <f t="shared" si="2649"/>
        <v>0.55946283578644063</v>
      </c>
      <c r="BN522" s="14">
        <f t="shared" si="2649"/>
        <v>0.53103596076180226</v>
      </c>
      <c r="BO522" s="14">
        <f t="shared" si="2649"/>
        <v>0.6100481394585533</v>
      </c>
      <c r="BP522" s="14">
        <f t="shared" si="2649"/>
        <v>0.63926327125699289</v>
      </c>
    </row>
    <row r="523" spans="2:72">
      <c r="B523" s="13"/>
      <c r="AG523" s="8"/>
      <c r="AI523" s="9"/>
      <c r="AJ523" s="9"/>
      <c r="AK523" s="9"/>
    </row>
    <row r="524" spans="2:72">
      <c r="B524" t="s">
        <v>418</v>
      </c>
      <c r="H524" s="8"/>
      <c r="I524" s="8"/>
      <c r="J524" s="8"/>
      <c r="K524" s="8"/>
      <c r="L524" s="8"/>
      <c r="M524" s="8"/>
      <c r="N524" s="8"/>
      <c r="O524" s="8"/>
      <c r="P524" s="8"/>
      <c r="Q524" s="8"/>
      <c r="R524" s="8"/>
      <c r="S524" s="8"/>
      <c r="T524" s="8">
        <f>+T527-T526</f>
        <v>2571.1400397401176</v>
      </c>
      <c r="U524" s="8">
        <f t="shared" ref="U524" si="2650">+U527-U526</f>
        <v>2870.9471647284226</v>
      </c>
      <c r="V524" s="8">
        <f t="shared" ref="V524" si="2651">+V527-V526</f>
        <v>2752.8605819087879</v>
      </c>
      <c r="W524" s="8">
        <f t="shared" ref="W524" si="2652">+W527-W526</f>
        <v>3609.8313617698532</v>
      </c>
      <c r="X524" s="8">
        <f t="shared" ref="X524" si="2653">+X527-X526</f>
        <v>2338.113291519574</v>
      </c>
      <c r="Y524" s="8">
        <f t="shared" ref="Y524" si="2654">+Y527-Y526</f>
        <v>2585.1945109784101</v>
      </c>
      <c r="Z524" s="8">
        <f t="shared" ref="Z524" si="2655">+Z527-Z526</f>
        <v>2710.7998377201729</v>
      </c>
      <c r="AA524" s="8">
        <f t="shared" ref="AA524" si="2656">+AA527-AA526</f>
        <v>3502.8429153959369</v>
      </c>
      <c r="AB524" s="8">
        <f t="shared" ref="AB524" si="2657">+AB527-AB526</f>
        <v>2705.6245935288571</v>
      </c>
      <c r="AC524" s="8">
        <f t="shared" ref="AC524" si="2658">+AC527-AC526</f>
        <v>3031.6678030710373</v>
      </c>
      <c r="AD524" s="8">
        <f t="shared" ref="AD524" si="2659">+AD527-AD526</f>
        <v>3187.0509320436158</v>
      </c>
      <c r="AE524" s="8">
        <f t="shared" ref="AE524" si="2660">+AE527-AE526</f>
        <v>3475.4121401966113</v>
      </c>
      <c r="AF524" s="8">
        <f t="shared" ref="AF524" si="2661">+AF527-AF526</f>
        <v>2869.2560038751762</v>
      </c>
      <c r="AG524" s="8">
        <f t="shared" ref="AG524" si="2662">+AG527-AG526</f>
        <v>2997.9430375937368</v>
      </c>
      <c r="AH524" s="8">
        <f t="shared" ref="AH524" si="2663">+AH527-AH526</f>
        <v>3107.303212924593</v>
      </c>
      <c r="AI524" s="8">
        <f t="shared" ref="AI524" si="2664">+AI527-AI526</f>
        <v>3259.5000219429676</v>
      </c>
      <c r="AJ524" s="8">
        <f t="shared" ref="AJ524" si="2665">+AJ527-AJ526</f>
        <v>2856.2504757665556</v>
      </c>
      <c r="AK524" s="8">
        <f>+AK527-AK526-AK525</f>
        <v>3061.4104748729333</v>
      </c>
      <c r="AL524" s="8">
        <f t="shared" ref="AL524" si="2666">+AL527-AL526-AL525</f>
        <v>3089.3148729331951</v>
      </c>
      <c r="AM524" s="8">
        <f t="shared" ref="AM524" si="2667">+AM527-AM526-AM525</f>
        <v>3306.5303633202966</v>
      </c>
      <c r="AN524" s="8">
        <f t="shared" ref="AN524:AQ524" si="2668">+AN527-AN526-AN525</f>
        <v>2651.5921103361234</v>
      </c>
      <c r="AO524" s="8">
        <f t="shared" si="2668"/>
        <v>3395.3913223457803</v>
      </c>
      <c r="AP524" s="8">
        <f t="shared" si="2668"/>
        <v>3458.0469709017307</v>
      </c>
      <c r="AQ524" s="8">
        <f t="shared" si="2668"/>
        <v>3891.0392306545027</v>
      </c>
      <c r="AR524" s="8"/>
      <c r="AS524">
        <f t="shared" ref="AS524" si="2669">+AS527-AS526</f>
        <v>0</v>
      </c>
      <c r="AT524">
        <f t="shared" ref="AT524" si="2670">+AT527-AT526</f>
        <v>0</v>
      </c>
      <c r="AU524">
        <f t="shared" ref="AU524" si="2671">+AU527-AU526</f>
        <v>0</v>
      </c>
      <c r="AV524">
        <f t="shared" ref="AV524" si="2672">+AV527-AV526</f>
        <v>0</v>
      </c>
      <c r="AW524">
        <f t="shared" ref="AW524" si="2673">+AW527-AW526</f>
        <v>0</v>
      </c>
      <c r="BB524" s="8"/>
      <c r="BC524" s="8"/>
      <c r="BD524" s="8"/>
      <c r="BE524" s="8"/>
      <c r="BG524" s="8">
        <f t="shared" ref="BG524" si="2674">+BG527-BG526</f>
        <v>12919.371535075905</v>
      </c>
      <c r="BH524" s="8">
        <f t="shared" ref="BH524" si="2675">+BH527-BH526</f>
        <v>11722.880590806108</v>
      </c>
      <c r="BI524" s="8">
        <f t="shared" ref="BI524" si="2676">+BI527-BI526</f>
        <v>12049.946961608122</v>
      </c>
      <c r="BJ524" s="8">
        <f t="shared" ref="BJ524" si="2677">+BJ527-BJ526</f>
        <v>11891.566893478725</v>
      </c>
      <c r="BK524" s="8">
        <f t="shared" ref="BK524" si="2678">+BK527-BK526</f>
        <v>11804.779148147187</v>
      </c>
      <c r="BL524" s="8">
        <f t="shared" ref="BL524" si="2679">+BL527-BL526</f>
        <v>11136.950555614094</v>
      </c>
      <c r="BM524" s="8">
        <f t="shared" ref="BM524" si="2680">+BM527-BM526</f>
        <v>12399.755468840114</v>
      </c>
      <c r="BN524" s="8">
        <f t="shared" ref="BN524" si="2681">+BN527-BN526</f>
        <v>12234.002276336483</v>
      </c>
      <c r="BO524" s="8">
        <f t="shared" ref="BO524:BO526" si="2682">SUM(AJ524:AM524)</f>
        <v>12313.506186892981</v>
      </c>
      <c r="BP524" s="8">
        <f t="shared" ref="BP524:BP527" si="2683">+SUM(AN524:AQ524)</f>
        <v>13396.069634238138</v>
      </c>
      <c r="BR524" t="s">
        <v>423</v>
      </c>
    </row>
    <row r="525" spans="2:72" hidden="1" outlineLevel="1">
      <c r="B525" t="s">
        <v>424</v>
      </c>
      <c r="H525" s="8"/>
      <c r="I525" s="8"/>
      <c r="J525" s="8"/>
      <c r="K525" s="8"/>
      <c r="L525" s="8"/>
      <c r="M525" s="8"/>
      <c r="N525" s="8"/>
      <c r="O525" s="8"/>
      <c r="P525" s="8"/>
      <c r="Q525" s="8"/>
      <c r="R525" s="8"/>
      <c r="S525" s="8"/>
      <c r="T525" s="8">
        <v>0</v>
      </c>
      <c r="U525" s="8">
        <v>0</v>
      </c>
      <c r="V525" s="8">
        <v>0</v>
      </c>
      <c r="W525" s="8">
        <v>0</v>
      </c>
      <c r="X525" s="8">
        <v>0</v>
      </c>
      <c r="Y525" s="8">
        <v>0</v>
      </c>
      <c r="Z525" s="8">
        <v>0</v>
      </c>
      <c r="AA525" s="8">
        <v>0</v>
      </c>
      <c r="AB525" s="8">
        <v>0</v>
      </c>
      <c r="AC525" s="8">
        <v>0</v>
      </c>
      <c r="AD525" s="8">
        <v>0</v>
      </c>
      <c r="AE525" s="8">
        <v>0</v>
      </c>
      <c r="AF525" s="8">
        <v>0</v>
      </c>
      <c r="AG525" s="8">
        <v>0</v>
      </c>
      <c r="AH525" s="8">
        <v>0</v>
      </c>
      <c r="AI525" s="8">
        <v>0</v>
      </c>
      <c r="AJ525" s="8">
        <v>0</v>
      </c>
      <c r="AK525" s="61">
        <v>0</v>
      </c>
      <c r="AL525" s="8">
        <v>0</v>
      </c>
      <c r="AM525" s="8">
        <v>0</v>
      </c>
      <c r="AN525" s="8">
        <v>0</v>
      </c>
      <c r="AO525" s="8">
        <v>0</v>
      </c>
      <c r="AP525" s="8">
        <v>0</v>
      </c>
      <c r="AQ525" s="8">
        <v>0</v>
      </c>
      <c r="AR525" s="8"/>
      <c r="BB525" s="8"/>
      <c r="BC525" s="8"/>
      <c r="BD525" s="8"/>
      <c r="BE525" s="8"/>
      <c r="BG525" s="8"/>
      <c r="BH525" s="8">
        <v>0</v>
      </c>
      <c r="BI525" s="8">
        <v>0</v>
      </c>
      <c r="BJ525" s="8">
        <v>0</v>
      </c>
      <c r="BK525" s="8">
        <v>0</v>
      </c>
      <c r="BL525" s="8">
        <v>0</v>
      </c>
      <c r="BM525" s="8">
        <v>0</v>
      </c>
      <c r="BN525" s="8">
        <v>0</v>
      </c>
      <c r="BO525" s="8">
        <f t="shared" si="2682"/>
        <v>0</v>
      </c>
      <c r="BP525" s="8">
        <f t="shared" si="2683"/>
        <v>0</v>
      </c>
      <c r="BR525" s="61">
        <v>400</v>
      </c>
      <c r="BS525" s="8">
        <v>0</v>
      </c>
      <c r="BT525" s="8">
        <v>0</v>
      </c>
    </row>
    <row r="526" spans="2:72" s="852" customFormat="1" collapsed="1">
      <c r="B526" t="s">
        <v>419</v>
      </c>
      <c r="C526" s="853"/>
      <c r="D526" s="853">
        <v>0</v>
      </c>
      <c r="E526" s="853">
        <v>0</v>
      </c>
      <c r="F526" s="853">
        <v>0</v>
      </c>
      <c r="G526" s="853">
        <v>0</v>
      </c>
      <c r="H526" s="853">
        <v>0</v>
      </c>
      <c r="I526" s="853">
        <v>0</v>
      </c>
      <c r="J526" s="853">
        <v>0</v>
      </c>
      <c r="K526" s="853">
        <v>0</v>
      </c>
      <c r="L526" s="853">
        <v>0</v>
      </c>
      <c r="M526" s="853">
        <v>0</v>
      </c>
      <c r="N526" s="853">
        <v>0</v>
      </c>
      <c r="O526" s="853">
        <v>0</v>
      </c>
      <c r="P526" s="853">
        <v>0</v>
      </c>
      <c r="Q526" s="853">
        <v>0</v>
      </c>
      <c r="R526" s="853">
        <v>0</v>
      </c>
      <c r="S526" s="853">
        <v>0</v>
      </c>
      <c r="T526" s="853">
        <v>0</v>
      </c>
      <c r="U526" s="853">
        <v>0</v>
      </c>
      <c r="V526" s="853">
        <v>0</v>
      </c>
      <c r="W526" s="853">
        <v>0</v>
      </c>
      <c r="X526" s="853">
        <v>0</v>
      </c>
      <c r="Y526" s="853">
        <v>0</v>
      </c>
      <c r="Z526" s="853">
        <v>0</v>
      </c>
      <c r="AA526" s="853">
        <v>0</v>
      </c>
      <c r="AB526" s="853">
        <v>0</v>
      </c>
      <c r="AC526" s="853">
        <v>0</v>
      </c>
      <c r="AD526" s="853">
        <v>0</v>
      </c>
      <c r="AE526" s="853">
        <v>0</v>
      </c>
      <c r="AF526" s="853">
        <v>0</v>
      </c>
      <c r="AG526" s="853">
        <v>0</v>
      </c>
      <c r="AH526" s="853">
        <v>0</v>
      </c>
      <c r="AI526" s="853">
        <v>0</v>
      </c>
      <c r="AJ526" s="853">
        <v>0</v>
      </c>
      <c r="AK526" s="939">
        <v>1040</v>
      </c>
      <c r="AL526" s="939">
        <v>1070</v>
      </c>
      <c r="AM526" s="939">
        <f>1350-250</f>
        <v>1100</v>
      </c>
      <c r="AN526" s="1209">
        <v>900</v>
      </c>
      <c r="AO526" s="1209">
        <v>950</v>
      </c>
      <c r="AP526" s="1209">
        <v>1000</v>
      </c>
      <c r="AQ526" s="1209">
        <v>835</v>
      </c>
      <c r="AR526" s="8"/>
      <c r="AS526" s="853">
        <v>0</v>
      </c>
      <c r="AT526" s="853">
        <v>0</v>
      </c>
      <c r="AU526" s="853">
        <v>0</v>
      </c>
      <c r="AV526" s="853">
        <v>0</v>
      </c>
      <c r="AW526" s="853">
        <v>0</v>
      </c>
      <c r="AX526"/>
      <c r="AY526" s="853"/>
      <c r="AZ526" s="853"/>
      <c r="BA526" s="853"/>
      <c r="BB526" s="853"/>
      <c r="BC526" s="853"/>
      <c r="BD526" s="853"/>
      <c r="BE526" s="853"/>
      <c r="BF526" s="853"/>
      <c r="BG526" s="853">
        <v>0</v>
      </c>
      <c r="BH526" s="853">
        <v>0</v>
      </c>
      <c r="BI526" s="853">
        <v>0</v>
      </c>
      <c r="BJ526" s="853">
        <v>0</v>
      </c>
      <c r="BK526" s="853">
        <v>0</v>
      </c>
      <c r="BL526" s="853">
        <v>0</v>
      </c>
      <c r="BM526" s="853">
        <v>0</v>
      </c>
      <c r="BN526" s="853">
        <v>0</v>
      </c>
      <c r="BO526" s="853">
        <f t="shared" si="2682"/>
        <v>3210</v>
      </c>
      <c r="BP526" s="853">
        <f t="shared" si="2683"/>
        <v>3685</v>
      </c>
    </row>
    <row r="527" spans="2:72">
      <c r="B527" s="12" t="str">
        <f>+B458</f>
        <v>Operating Expense</v>
      </c>
      <c r="H527" s="8">
        <f t="shared" ref="H527:AJ527" si="2684">+H518-H537</f>
        <v>2883.9675943888942</v>
      </c>
      <c r="I527" s="8">
        <f t="shared" si="2684"/>
        <v>3111.8616559341644</v>
      </c>
      <c r="J527" s="8">
        <f t="shared" si="2684"/>
        <v>2668.306622022641</v>
      </c>
      <c r="K527" s="8">
        <f t="shared" si="2684"/>
        <v>3058.7447184604034</v>
      </c>
      <c r="L527" s="8">
        <f t="shared" si="2684"/>
        <v>2803.1013712096874</v>
      </c>
      <c r="M527" s="8">
        <f t="shared" si="2684"/>
        <v>3125.6695648777395</v>
      </c>
      <c r="N527" s="8">
        <f t="shared" si="2684"/>
        <v>2780.9660643260022</v>
      </c>
      <c r="O527" s="8">
        <f t="shared" si="2684"/>
        <v>3340.2099611946951</v>
      </c>
      <c r="P527" s="8">
        <f t="shared" si="2684"/>
        <v>2757.0161288474255</v>
      </c>
      <c r="Q527" s="8">
        <f t="shared" si="2684"/>
        <v>2980.4625548556496</v>
      </c>
      <c r="R527" s="8">
        <f t="shared" si="2684"/>
        <v>2826.9288814852043</v>
      </c>
      <c r="S527" s="8">
        <f t="shared" si="2684"/>
        <v>3327.1593282904441</v>
      </c>
      <c r="T527" s="8">
        <f t="shared" si="2684"/>
        <v>2571.1400397401176</v>
      </c>
      <c r="U527" s="8">
        <f t="shared" si="2684"/>
        <v>2870.9471647284226</v>
      </c>
      <c r="V527" s="8">
        <f t="shared" si="2684"/>
        <v>2752.8605819087879</v>
      </c>
      <c r="W527" s="8">
        <f t="shared" si="2684"/>
        <v>3609.8313617698532</v>
      </c>
      <c r="X527" s="8">
        <f t="shared" si="2684"/>
        <v>2338.113291519574</v>
      </c>
      <c r="Y527" s="8">
        <f t="shared" si="2684"/>
        <v>2585.1945109784101</v>
      </c>
      <c r="Z527" s="8">
        <f t="shared" si="2684"/>
        <v>2710.7998377201729</v>
      </c>
      <c r="AA527" s="8">
        <f t="shared" si="2684"/>
        <v>3502.8429153959369</v>
      </c>
      <c r="AB527" s="8">
        <f t="shared" si="2684"/>
        <v>2705.6245935288571</v>
      </c>
      <c r="AC527" s="8">
        <f t="shared" si="2684"/>
        <v>3031.6678030710373</v>
      </c>
      <c r="AD527" s="8">
        <f t="shared" si="2684"/>
        <v>3187.0509320436158</v>
      </c>
      <c r="AE527" s="8">
        <f t="shared" si="2684"/>
        <v>3475.4121401966113</v>
      </c>
      <c r="AF527" s="8">
        <f t="shared" si="2684"/>
        <v>2869.2560038751762</v>
      </c>
      <c r="AG527" s="8">
        <f t="shared" si="2684"/>
        <v>2997.9430375937368</v>
      </c>
      <c r="AH527" s="8">
        <f t="shared" si="2684"/>
        <v>3107.303212924593</v>
      </c>
      <c r="AI527" s="8">
        <f t="shared" si="2684"/>
        <v>3259.5000219429676</v>
      </c>
      <c r="AJ527" s="8">
        <f t="shared" si="2684"/>
        <v>2856.2504757665556</v>
      </c>
      <c r="AK527" s="8">
        <f>+AK518-AK537</f>
        <v>4101.4104748729333</v>
      </c>
      <c r="AL527" s="8">
        <f t="shared" ref="AL527" si="2685">+AL518-AL537</f>
        <v>4159.3148729331951</v>
      </c>
      <c r="AM527" s="8">
        <f t="shared" ref="AM527" si="2686">+AM518-AM537</f>
        <v>4406.5303633202966</v>
      </c>
      <c r="AN527" s="8">
        <f t="shared" ref="AN527:AQ527" si="2687">+AN518-AN537</f>
        <v>3551.5921103361234</v>
      </c>
      <c r="AO527" s="8">
        <f t="shared" si="2687"/>
        <v>4345.3913223457803</v>
      </c>
      <c r="AP527" s="8">
        <f t="shared" si="2687"/>
        <v>4458.0469709017307</v>
      </c>
      <c r="AQ527" s="8">
        <f t="shared" si="2687"/>
        <v>4726.0392306545027</v>
      </c>
      <c r="AR527" s="8"/>
      <c r="BB527" s="8"/>
      <c r="BC527" s="8"/>
      <c r="BD527" s="8"/>
      <c r="BE527" s="8"/>
      <c r="BG527" s="8">
        <f t="shared" ref="BG527:BN527" si="2688">+BG518-BG537</f>
        <v>12919.371535075905</v>
      </c>
      <c r="BH527" s="8">
        <f t="shared" si="2688"/>
        <v>11722.880590806108</v>
      </c>
      <c r="BI527" s="8">
        <f t="shared" si="2688"/>
        <v>12049.946961608122</v>
      </c>
      <c r="BJ527" s="8">
        <f t="shared" si="2688"/>
        <v>11891.566893478725</v>
      </c>
      <c r="BK527" s="8">
        <f t="shared" si="2688"/>
        <v>11804.779148147187</v>
      </c>
      <c r="BL527" s="8">
        <f t="shared" si="2688"/>
        <v>11136.950555614094</v>
      </c>
      <c r="BM527" s="8">
        <f t="shared" si="2688"/>
        <v>12399.755468840114</v>
      </c>
      <c r="BN527" s="8">
        <f t="shared" si="2688"/>
        <v>12234.002276336483</v>
      </c>
      <c r="BO527" s="8">
        <f>SUM(AJ527:AM527)</f>
        <v>15523.506186892981</v>
      </c>
      <c r="BP527" s="8">
        <f t="shared" si="2683"/>
        <v>17081.069634238138</v>
      </c>
    </row>
    <row r="528" spans="2:72">
      <c r="B528" s="15" t="s">
        <v>113</v>
      </c>
      <c r="L528" s="14">
        <f t="shared" ref="L528" si="2689">+L527/H527-1</f>
        <v>-2.8039920884181169E-2</v>
      </c>
      <c r="M528" s="14">
        <f t="shared" ref="M528" si="2690">+M527/I527-1</f>
        <v>4.4371859903360455E-3</v>
      </c>
      <c r="N528" s="14">
        <f>+N527/J527-1</f>
        <v>4.2221325455453984E-2</v>
      </c>
      <c r="O528" s="14">
        <f>+O527/K527-1</f>
        <v>9.2019854104060439E-2</v>
      </c>
      <c r="P528" s="14">
        <f t="shared" ref="P528" si="2691">+P527/L527-1</f>
        <v>-1.6440804758471317E-2</v>
      </c>
      <c r="Q528" s="14">
        <f t="shared" ref="Q528" si="2692">+Q527/M527-1</f>
        <v>-4.6456289447144306E-2</v>
      </c>
      <c r="R528" s="14">
        <f t="shared" ref="R528" si="2693">+R527/N527-1</f>
        <v>1.6527644025869037E-2</v>
      </c>
      <c r="S528" s="14">
        <f t="shared" ref="S528" si="2694">+S527/O527-1</f>
        <v>-3.907129508584295E-3</v>
      </c>
      <c r="T528" s="14">
        <f t="shared" ref="T528" si="2695">+T527/P527-1</f>
        <v>-6.7419296957473285E-2</v>
      </c>
      <c r="U528" s="14">
        <f t="shared" ref="U528" si="2696">+U527/Q527-1</f>
        <v>-3.674442745432549E-2</v>
      </c>
      <c r="V528" s="14">
        <f t="shared" ref="V528" si="2697">+V527/R527-1</f>
        <v>-2.6200977343831422E-2</v>
      </c>
      <c r="W528" s="14">
        <f t="shared" ref="W528" si="2698">+W527/S527-1</f>
        <v>8.4958971178771714E-2</v>
      </c>
      <c r="X528" s="14">
        <f t="shared" ref="X528" si="2699">+X527/T527-1</f>
        <v>-9.0631682685046289E-2</v>
      </c>
      <c r="Y528" s="14">
        <f t="shared" ref="Y528" si="2700">+Y527/U527-1</f>
        <v>-9.953253660000505E-2</v>
      </c>
      <c r="Z528" s="14">
        <f t="shared" ref="Z528" si="2701">+Z527/V527-1</f>
        <v>-1.5278922755852298E-2</v>
      </c>
      <c r="AA528" s="14">
        <f t="shared" ref="AA528" si="2702">+AA527/W527-1</f>
        <v>-2.9638073264857789E-2</v>
      </c>
      <c r="AB528" s="14">
        <f t="shared" ref="AB528" si="2703">+AB527/X527-1</f>
        <v>0.15718284624712608</v>
      </c>
      <c r="AC528" s="14">
        <f t="shared" ref="AC528" si="2704">+AC527/Y527-1</f>
        <v>0.17270394556255342</v>
      </c>
      <c r="AD528" s="14">
        <f t="shared" ref="AD528" si="2705">+AD527/Z527-1</f>
        <v>0.17568655851919246</v>
      </c>
      <c r="AE528" s="14">
        <f t="shared" ref="AE528" si="2706">+AE527/AA527-1</f>
        <v>-7.8310035196725858E-3</v>
      </c>
      <c r="AF528" s="14">
        <f t="shared" ref="AF528" si="2707">+AF527/AB527-1</f>
        <v>6.0478238827989195E-2</v>
      </c>
      <c r="AG528" s="14">
        <f t="shared" ref="AG528" si="2708">+AG527/AC527-1</f>
        <v>-1.1124162562645479E-2</v>
      </c>
      <c r="AH528" s="14">
        <f t="shared" ref="AH528" si="2709">+AH527/AD527-1</f>
        <v>-2.5022417532526431E-2</v>
      </c>
      <c r="AI528" s="14">
        <f t="shared" ref="AI528" si="2710">+AI527/AE527-1</f>
        <v>-6.2125615479213137E-2</v>
      </c>
      <c r="AJ528" s="14">
        <f t="shared" ref="AJ528" si="2711">+AJ527/AF527-1</f>
        <v>-4.5327179209716517E-3</v>
      </c>
      <c r="AK528" s="14">
        <f t="shared" ref="AK528" si="2712">+AK527/AG527-1</f>
        <v>0.36807485113689209</v>
      </c>
      <c r="AL528" s="14">
        <f t="shared" ref="AL528" si="2713">+AL527/AH527-1</f>
        <v>0.33856099257801398</v>
      </c>
      <c r="AM528" s="14">
        <f t="shared" ref="AM528" si="2714">+AM527/AI527-1</f>
        <v>0.3519037685704911</v>
      </c>
      <c r="AN528" s="14">
        <f t="shared" ref="AN528" si="2715">+AN527/AJ527-1</f>
        <v>0.24344560831379924</v>
      </c>
      <c r="AO528" s="14">
        <f t="shared" ref="AO528" si="2716">+AO527/AK527-1</f>
        <v>5.9487059139186949E-2</v>
      </c>
      <c r="AP528" s="14">
        <f t="shared" ref="AP528" si="2717">+AP527/AL527-1</f>
        <v>7.1822429196822579E-2</v>
      </c>
      <c r="AQ528" s="14">
        <f t="shared" ref="AQ528" si="2718">+AQ527/AM527-1</f>
        <v>7.2508037160887273E-2</v>
      </c>
      <c r="BC528" s="14"/>
      <c r="BD528" s="14"/>
      <c r="BE528" s="14"/>
      <c r="BH528" s="14">
        <f>+BH527/BG527-1</f>
        <v>-9.2612163139773607E-2</v>
      </c>
      <c r="BI528" s="14">
        <f>+BI527/BH527-1</f>
        <v>2.7899829591245817E-2</v>
      </c>
      <c r="BJ528" s="14">
        <f>+BJ527/BI527-1</f>
        <v>-1.3143631970664038E-2</v>
      </c>
      <c r="BK528" s="14">
        <f t="shared" ref="BK528" si="2719">+BK527/BJ527-1</f>
        <v>-7.2982598600300763E-3</v>
      </c>
      <c r="BL528" s="14">
        <f t="shared" ref="BL528" si="2720">+BL527/BK527-1</f>
        <v>-5.6572730768784552E-2</v>
      </c>
      <c r="BM528" s="14">
        <f t="shared" ref="BM528" si="2721">+BM527/BL527-1</f>
        <v>0.1133887509799032</v>
      </c>
      <c r="BN528" s="14">
        <f t="shared" ref="BN528:BP528" si="2722">+BN527/BM527-1</f>
        <v>-1.336745655349092E-2</v>
      </c>
      <c r="BO528" s="14">
        <f t="shared" si="2722"/>
        <v>0.26888207442295431</v>
      </c>
      <c r="BP528" s="14">
        <f t="shared" si="2722"/>
        <v>0.10033580227257288</v>
      </c>
    </row>
    <row r="529" spans="2:68" hidden="1" outlineLevel="1">
      <c r="B529" s="15" t="s">
        <v>270</v>
      </c>
      <c r="L529" s="14">
        <f t="shared" ref="L529:AK529" si="2723">(H518*(1+L520)-H537*(1+L539))/H527-1</f>
        <v>2.9506836208720078E-2</v>
      </c>
      <c r="M529" s="14">
        <f t="shared" si="2723"/>
        <v>3.94721966631153E-2</v>
      </c>
      <c r="N529" s="14">
        <f t="shared" si="2723"/>
        <v>8.6614081446150015E-2</v>
      </c>
      <c r="O529" s="14">
        <f t="shared" si="2723"/>
        <v>0.12853277402305374</v>
      </c>
      <c r="P529" s="14">
        <f t="shared" si="2723"/>
        <v>-1.8957524485137545E-2</v>
      </c>
      <c r="Q529" s="14">
        <f t="shared" si="2723"/>
        <v>-2.6363353114640997E-2</v>
      </c>
      <c r="R529" s="14">
        <f t="shared" si="2723"/>
        <v>3.20589707269614E-2</v>
      </c>
      <c r="S529" s="14">
        <f t="shared" si="2723"/>
        <v>2.982602785476729E-2</v>
      </c>
      <c r="T529" s="14">
        <f t="shared" si="2723"/>
        <v>-7.5200105316942323E-2</v>
      </c>
      <c r="U529" s="14">
        <f t="shared" si="2723"/>
        <v>-4.8619127521932093E-2</v>
      </c>
      <c r="V529" s="14">
        <f t="shared" si="2723"/>
        <v>-2.0412855045318756E-2</v>
      </c>
      <c r="W529" s="14">
        <f t="shared" si="2723"/>
        <v>0.10721274938968794</v>
      </c>
      <c r="X529" s="14">
        <f t="shared" si="2723"/>
        <v>-7.6156410694993459E-2</v>
      </c>
      <c r="Y529" s="14">
        <f t="shared" si="2723"/>
        <v>-9.9184951458825443E-2</v>
      </c>
      <c r="Z529" s="14">
        <f t="shared" si="2723"/>
        <v>-3.4929242919872094E-2</v>
      </c>
      <c r="AA529" s="14">
        <f t="shared" si="2723"/>
        <v>-6.1996454432564074E-2</v>
      </c>
      <c r="AB529" s="14">
        <f t="shared" si="2723"/>
        <v>0.14092091453251432</v>
      </c>
      <c r="AC529" s="14">
        <f t="shared" si="2723"/>
        <v>0.17979262303932786</v>
      </c>
      <c r="AD529" s="14">
        <f t="shared" si="2723"/>
        <v>0.1808410831675078</v>
      </c>
      <c r="AE529" s="14">
        <f t="shared" si="2723"/>
        <v>9.5646229279444217E-2</v>
      </c>
      <c r="AF529" s="14">
        <f t="shared" si="2723"/>
        <v>5.4155708300883454E-2</v>
      </c>
      <c r="AG529" s="14">
        <f t="shared" si="2723"/>
        <v>-1.3042416024933723E-2</v>
      </c>
      <c r="AH529" s="14">
        <f t="shared" si="2723"/>
        <v>-1.9256845249983834E-2</v>
      </c>
      <c r="AI529" s="14">
        <f t="shared" si="2723"/>
        <v>-7.9743060339405369E-2</v>
      </c>
      <c r="AJ529" s="14">
        <f t="shared" si="2723"/>
        <v>-2.6971897742988693E-2</v>
      </c>
      <c r="AK529" s="14">
        <f t="shared" si="2723"/>
        <v>0.36042238394048765</v>
      </c>
      <c r="AL529" s="14">
        <f t="shared" ref="AL529" si="2724">(AH518*(1+AL520)-AH537*(1+AL539))/AH527-1</f>
        <v>0.32856099257801397</v>
      </c>
      <c r="AM529" s="14">
        <f t="shared" ref="AM529" si="2725">(AI518*(1+AM520)-AI537*(1+AM539))/AI527-1</f>
        <v>0.31321225165979216</v>
      </c>
      <c r="AN529" s="14"/>
      <c r="AO529" s="14"/>
      <c r="AP529" s="14"/>
      <c r="AQ529" s="14"/>
      <c r="BC529" s="14"/>
      <c r="BD529" s="14"/>
      <c r="BE529" s="14"/>
      <c r="BH529" s="14" t="s">
        <v>271</v>
      </c>
      <c r="BI529" s="14">
        <f>+SUMPRODUCT(L529:O529,H527:K527)/BH527</f>
        <v>7.0988579900595636E-2</v>
      </c>
      <c r="BJ529" s="14">
        <f>+SUMPRODUCT(P529:S529,L527:O527)/BI527</f>
        <v>4.4180370108094945E-3</v>
      </c>
      <c r="BK529" s="14">
        <f>+SUMPRODUCT(T529:W529,P527:S527)/BJ527</f>
        <v>-4.476044493809438E-3</v>
      </c>
      <c r="BL529" s="14">
        <f>+SUMPRODUCT(X529:AA529,T527:W527)/BK527</f>
        <v>-6.7812842872211954E-2</v>
      </c>
      <c r="BM529" s="14">
        <f>+SUMPRODUCT(AB529:AE529,X527:AA527)/BL527</f>
        <v>0.14542092585840716</v>
      </c>
      <c r="BN529" s="14">
        <f>+SUMPRODUCT(AF529:AI529,AB527:AE527)/BM527</f>
        <v>-1.8671965238524376E-2</v>
      </c>
      <c r="BO529" s="14"/>
      <c r="BP529" s="14"/>
    </row>
    <row r="530" spans="2:68" hidden="1" outlineLevel="1">
      <c r="B530" s="15" t="s">
        <v>420</v>
      </c>
      <c r="L530" s="22"/>
      <c r="M530" s="22"/>
      <c r="N530" s="22"/>
      <c r="O530" s="22"/>
      <c r="P530" s="22"/>
      <c r="Q530" s="22"/>
      <c r="R530" s="22"/>
      <c r="S530" s="22"/>
      <c r="T530" s="22"/>
      <c r="U530" s="22"/>
      <c r="V530" s="22"/>
      <c r="W530" s="22"/>
      <c r="X530" s="22"/>
      <c r="Y530" s="22"/>
      <c r="Z530" s="22"/>
      <c r="AA530" s="22"/>
      <c r="AB530" s="23">
        <f t="shared" ref="AB530" si="2726">+AB529-AB526/X527</f>
        <v>0.14092091453251432</v>
      </c>
      <c r="AC530" s="23">
        <f t="shared" ref="AC530" si="2727">+AC529-AC526/Y527</f>
        <v>0.17979262303932786</v>
      </c>
      <c r="AD530" s="23">
        <f t="shared" ref="AD530" si="2728">+AD529-AD526/Z527</f>
        <v>0.1808410831675078</v>
      </c>
      <c r="AE530" s="23">
        <f t="shared" ref="AE530" si="2729">+AE529-AE526/AA527</f>
        <v>9.5646229279444217E-2</v>
      </c>
      <c r="AF530" s="23">
        <f t="shared" ref="AF530" si="2730">+AF529-AF526/AB527</f>
        <v>5.4155708300883454E-2</v>
      </c>
      <c r="AG530" s="23">
        <f t="shared" ref="AG530" si="2731">+AG529-AG526/AC527</f>
        <v>-1.3042416024933723E-2</v>
      </c>
      <c r="AH530" s="23">
        <f t="shared" ref="AH530" si="2732">+AH529-AH526/AD527</f>
        <v>-1.9256845249983834E-2</v>
      </c>
      <c r="AI530" s="23">
        <f t="shared" ref="AI530" si="2733">+AI529-AI526/AE527</f>
        <v>-7.9743060339405369E-2</v>
      </c>
      <c r="AJ530" s="23">
        <f t="shared" ref="AJ530" si="2734">+AJ529-AJ526/AF527</f>
        <v>-2.6971897742988693E-2</v>
      </c>
      <c r="AK530" s="23">
        <f t="shared" ref="AK530" si="2735">+AK529-AK526/AG527</f>
        <v>1.3517860752901123E-2</v>
      </c>
      <c r="AL530" s="23">
        <f t="shared" ref="AL530" si="2736">+AL529-AL526/AH527</f>
        <v>-1.5789052036047468E-2</v>
      </c>
      <c r="AM530" s="23">
        <f t="shared" ref="AM530" si="2737">+AM529-AM526/AI527</f>
        <v>-2.4262818932260455E-2</v>
      </c>
      <c r="AN530" s="22"/>
      <c r="AO530" s="22"/>
      <c r="AP530" s="22"/>
      <c r="AQ530" s="22"/>
      <c r="BH530" s="23" t="s">
        <v>271</v>
      </c>
      <c r="BI530" s="23">
        <f t="shared" ref="BI530" si="2738">+BI529-BI526/BH527</f>
        <v>7.0988579900595636E-2</v>
      </c>
      <c r="BJ530" s="23">
        <f t="shared" ref="BJ530" si="2739">+BJ529-BJ526/BI527</f>
        <v>4.4180370108094945E-3</v>
      </c>
      <c r="BK530" s="23">
        <f t="shared" ref="BK530" si="2740">+BK529-BK526/BJ527</f>
        <v>-4.476044493809438E-3</v>
      </c>
      <c r="BL530" s="23">
        <f t="shared" ref="BL530" si="2741">+BL529-BL526/BK527</f>
        <v>-6.7812842872211954E-2</v>
      </c>
      <c r="BM530" s="23">
        <f t="shared" ref="BM530" si="2742">+BM529-BM526/BL527</f>
        <v>0.14542092585840716</v>
      </c>
      <c r="BN530" s="23">
        <f t="shared" ref="BN530" si="2743">+BN529-BN526/BM527</f>
        <v>-1.8671965238524376E-2</v>
      </c>
      <c r="BO530" s="23"/>
      <c r="BP530" s="23"/>
    </row>
    <row r="531" spans="2:68" collapsed="1">
      <c r="B531" s="15" t="s">
        <v>115</v>
      </c>
      <c r="H531" s="14">
        <f t="shared" ref="H531:AJ531" si="2744">+H527/H510</f>
        <v>0.30696834426704567</v>
      </c>
      <c r="I531" s="14">
        <f t="shared" si="2744"/>
        <v>0.26174292673346494</v>
      </c>
      <c r="J531" s="14">
        <f t="shared" si="2744"/>
        <v>0.30408052672622687</v>
      </c>
      <c r="K531" s="14">
        <f t="shared" si="2744"/>
        <v>0.33121220557232306</v>
      </c>
      <c r="L531" s="14">
        <f t="shared" si="2744"/>
        <v>0.29890183100977685</v>
      </c>
      <c r="M531" s="14">
        <f t="shared" si="2744"/>
        <v>0.25683398232356119</v>
      </c>
      <c r="N531" s="14">
        <f t="shared" si="2744"/>
        <v>0.28042412668407807</v>
      </c>
      <c r="O531" s="14">
        <f t="shared" si="2744"/>
        <v>0.30896401454025485</v>
      </c>
      <c r="P531" s="14">
        <f t="shared" si="2744"/>
        <v>0.25656208159756427</v>
      </c>
      <c r="Q531" s="14">
        <f t="shared" si="2744"/>
        <v>0.22938986799473945</v>
      </c>
      <c r="R531" s="14">
        <f t="shared" si="2744"/>
        <v>0.26469371549486931</v>
      </c>
      <c r="S531" s="14">
        <f t="shared" si="2744"/>
        <v>0.29498708469637769</v>
      </c>
      <c r="T531" s="14">
        <f t="shared" si="2744"/>
        <v>0.23094763673224805</v>
      </c>
      <c r="U531" s="14">
        <f t="shared" si="2744"/>
        <v>0.21731490157659697</v>
      </c>
      <c r="V531" s="14">
        <f t="shared" si="2744"/>
        <v>0.25032832426196128</v>
      </c>
      <c r="W531" s="14">
        <f t="shared" si="2744"/>
        <v>0.27961513259255255</v>
      </c>
      <c r="X531" s="14">
        <f t="shared" si="2744"/>
        <v>0.19732579049030077</v>
      </c>
      <c r="Y531" s="14">
        <f t="shared" si="2744"/>
        <v>0.17095585973934732</v>
      </c>
      <c r="Z531" s="14">
        <f t="shared" si="2744"/>
        <v>0.20794721062597216</v>
      </c>
      <c r="AA531" s="14">
        <f t="shared" si="2744"/>
        <v>0.24867548739144801</v>
      </c>
      <c r="AB531" s="14">
        <f t="shared" si="2744"/>
        <v>0.20321650845191958</v>
      </c>
      <c r="AC531" s="14">
        <f t="shared" si="2744"/>
        <v>0.17358533083716216</v>
      </c>
      <c r="AD531" s="14">
        <f t="shared" si="2744"/>
        <v>0.21949386584322422</v>
      </c>
      <c r="AE531" s="14">
        <f t="shared" si="2744"/>
        <v>0.24208777794626715</v>
      </c>
      <c r="AF531" s="14">
        <f t="shared" si="2744"/>
        <v>0.21521572186282451</v>
      </c>
      <c r="AG531" s="14">
        <f t="shared" si="2744"/>
        <v>0.21057407021098101</v>
      </c>
      <c r="AH531" s="14">
        <f t="shared" si="2744"/>
        <v>0.23433659222659073</v>
      </c>
      <c r="AI531" s="14">
        <f t="shared" si="2744"/>
        <v>0.23441208356296064</v>
      </c>
      <c r="AJ531" s="14">
        <f t="shared" si="2744"/>
        <v>0.20900413257475162</v>
      </c>
      <c r="AK531" s="14">
        <f t="shared" ref="AK531" si="2745">+AK527/AK510</f>
        <v>0.24281632081421664</v>
      </c>
      <c r="AL531" s="14">
        <f t="shared" ref="AL531:AM531" si="2746">+AL527/AL510</f>
        <v>0.26696501109969162</v>
      </c>
      <c r="AM531" s="14">
        <f t="shared" si="2746"/>
        <v>0.27722745286695794</v>
      </c>
      <c r="AN531" s="14">
        <f t="shared" ref="AN531:AQ531" si="2747">+AN527/AN510</f>
        <v>0.22761886976501458</v>
      </c>
      <c r="AO531" s="14">
        <f t="shared" si="2747"/>
        <v>0.25002626094780961</v>
      </c>
      <c r="AP531" s="14">
        <f t="shared" si="2747"/>
        <v>0.2655002599797176</v>
      </c>
      <c r="AQ531" s="14">
        <f t="shared" si="2747"/>
        <v>0.27694275218522274</v>
      </c>
      <c r="BA531" s="14"/>
      <c r="BB531" s="14"/>
      <c r="BC531" s="14"/>
      <c r="BD531" s="14"/>
      <c r="BE531" s="14"/>
      <c r="BG531" s="14">
        <f t="shared" ref="BG531:BP531" si="2748">+BG527/BG510</f>
        <v>0.31970728866805009</v>
      </c>
      <c r="BH531" s="14">
        <f t="shared" si="2748"/>
        <v>0.2983376747291217</v>
      </c>
      <c r="BI531" s="14">
        <f t="shared" si="2748"/>
        <v>0.28503044189630339</v>
      </c>
      <c r="BJ531" s="14">
        <f t="shared" si="2748"/>
        <v>0.26022072942970642</v>
      </c>
      <c r="BK531" s="14">
        <f t="shared" si="2748"/>
        <v>0.24465356465456026</v>
      </c>
      <c r="BL531" s="14">
        <f t="shared" si="2748"/>
        <v>0.20588524495986715</v>
      </c>
      <c r="BM531" s="14">
        <f t="shared" si="2748"/>
        <v>0.20785777334406361</v>
      </c>
      <c r="BN531" s="14">
        <f t="shared" si="2748"/>
        <v>0.22351741652969787</v>
      </c>
      <c r="BO531" s="14">
        <f t="shared" si="2748"/>
        <v>0.25024997077142414</v>
      </c>
      <c r="BP531" s="14">
        <f t="shared" si="2748"/>
        <v>0.25555489070186965</v>
      </c>
    </row>
    <row r="532" spans="2:68">
      <c r="B532" s="13"/>
      <c r="AG532" s="8"/>
    </row>
    <row r="533" spans="2:68">
      <c r="B533" t="s">
        <v>418</v>
      </c>
      <c r="H533" s="8"/>
      <c r="I533" s="8"/>
      <c r="J533" s="8"/>
      <c r="K533" s="8"/>
      <c r="L533" s="8"/>
      <c r="M533" s="8"/>
      <c r="N533" s="8"/>
      <c r="O533" s="8"/>
      <c r="P533" s="8"/>
      <c r="Q533" s="8"/>
      <c r="R533" s="8"/>
      <c r="S533" s="8"/>
      <c r="T533" s="8">
        <f>+T537-T536</f>
        <v>4015</v>
      </c>
      <c r="U533" s="8">
        <f t="shared" ref="U533:AK533" si="2749">+U537-U536</f>
        <v>4178</v>
      </c>
      <c r="V533" s="8">
        <f t="shared" si="2749"/>
        <v>3627</v>
      </c>
      <c r="W533" s="8">
        <f t="shared" si="2749"/>
        <v>4091</v>
      </c>
      <c r="X533" s="8">
        <f t="shared" si="2749"/>
        <v>4748</v>
      </c>
      <c r="Y533" s="8">
        <f t="shared" si="2749"/>
        <v>5224</v>
      </c>
      <c r="Z533" s="8">
        <f t="shared" si="2749"/>
        <v>4594</v>
      </c>
      <c r="AA533" s="8">
        <f t="shared" si="2749"/>
        <v>4873</v>
      </c>
      <c r="AB533" s="8">
        <f t="shared" si="2749"/>
        <v>5095</v>
      </c>
      <c r="AC533" s="8">
        <f t="shared" si="2749"/>
        <v>6362</v>
      </c>
      <c r="AD533" s="8">
        <f t="shared" si="2749"/>
        <v>4899</v>
      </c>
      <c r="AE533" s="8">
        <f t="shared" si="2749"/>
        <v>4619</v>
      </c>
      <c r="AF533" s="8">
        <f t="shared" si="2749"/>
        <v>4217</v>
      </c>
      <c r="AG533" s="8">
        <f t="shared" si="2749"/>
        <v>3701.72</v>
      </c>
      <c r="AH533" s="8">
        <f t="shared" si="2749"/>
        <v>4237</v>
      </c>
      <c r="AI533" s="8">
        <f t="shared" si="2749"/>
        <v>4676</v>
      </c>
      <c r="AJ533" s="8">
        <f t="shared" si="2749"/>
        <v>5174</v>
      </c>
      <c r="AK533" s="8">
        <f t="shared" si="2749"/>
        <v>4727</v>
      </c>
      <c r="AL533" s="8">
        <f t="shared" ref="AL533:AM533" si="2750">+AL537-AL536</f>
        <v>5275</v>
      </c>
      <c r="AM533" s="8">
        <f t="shared" si="2750"/>
        <v>5273</v>
      </c>
      <c r="AN533" s="8">
        <f>+AN508*(AJ543+2%)</f>
        <v>5592.1252507539884</v>
      </c>
      <c r="AO533" s="8">
        <f t="shared" ref="AO533:AQ533" si="2751">+AO508*(AK543+2%)</f>
        <v>5132.5430035108175</v>
      </c>
      <c r="AP533" s="8">
        <f t="shared" si="2751"/>
        <v>5976.5968607196437</v>
      </c>
      <c r="AQ533" s="8">
        <f t="shared" si="2751"/>
        <v>5962.1796282701189</v>
      </c>
      <c r="AR533" s="8"/>
      <c r="BB533" s="8">
        <f t="shared" ref="BB533" si="2752">+BB537-BB536</f>
        <v>5605</v>
      </c>
      <c r="BC533" s="8">
        <f t="shared" ref="BC533" si="2753">+BC537-BC536</f>
        <v>5095</v>
      </c>
      <c r="BD533" s="8">
        <f t="shared" ref="BD533" si="2754">+BD537-BD536</f>
        <v>6202</v>
      </c>
      <c r="BE533" s="8">
        <f t="shared" ref="BE533" si="2755">+BE537-BE536</f>
        <v>8288</v>
      </c>
      <c r="BG533" s="8">
        <f t="shared" ref="BG533" si="2756">+BG537-BG536</f>
        <v>6183</v>
      </c>
      <c r="BH533" s="8">
        <f t="shared" ref="BH533" si="2757">+BH537-BH536</f>
        <v>8815</v>
      </c>
      <c r="BI533" s="8">
        <f t="shared" ref="BI533" si="2758">+BI537-BI536</f>
        <v>10610</v>
      </c>
      <c r="BJ533" s="8">
        <f t="shared" ref="BJ533" si="2759">+BJ537-BJ536</f>
        <v>12820</v>
      </c>
      <c r="BK533" s="8">
        <f t="shared" ref="BK533" si="2760">+BK537-BK536</f>
        <v>15911</v>
      </c>
      <c r="BL533" s="8">
        <f t="shared" ref="BL533" si="2761">+BL537-BL536</f>
        <v>19439</v>
      </c>
      <c r="BM533" s="8">
        <f t="shared" ref="BM533" si="2762">+BM537-BM536</f>
        <v>20975</v>
      </c>
      <c r="BN533" s="8">
        <f t="shared" ref="BN533" si="2763">+BN537-BN536</f>
        <v>16831.72</v>
      </c>
      <c r="BO533" s="8">
        <f t="shared" ref="BO533:BO536" si="2764">SUM(AJ533:AM533)</f>
        <v>20449</v>
      </c>
      <c r="BP533" s="8">
        <f t="shared" ref="BP533:BP537" si="2765">+SUM(AN533:AQ533)</f>
        <v>22663.444743254568</v>
      </c>
    </row>
    <row r="534" spans="2:68" hidden="1" outlineLevel="1">
      <c r="B534" t="s">
        <v>422</v>
      </c>
      <c r="C534" s="8"/>
      <c r="D534" s="8">
        <v>0</v>
      </c>
      <c r="E534" s="8">
        <v>0</v>
      </c>
      <c r="F534" s="8">
        <v>0</v>
      </c>
      <c r="G534" s="8">
        <v>0</v>
      </c>
      <c r="H534" s="8">
        <v>0</v>
      </c>
      <c r="I534" s="8">
        <v>0</v>
      </c>
      <c r="J534" s="8">
        <v>0</v>
      </c>
      <c r="K534" s="8">
        <v>0</v>
      </c>
      <c r="L534" s="8">
        <v>0</v>
      </c>
      <c r="M534" s="8">
        <v>0</v>
      </c>
      <c r="N534" s="8">
        <v>0</v>
      </c>
      <c r="O534" s="8">
        <v>0</v>
      </c>
      <c r="P534" s="8">
        <v>0</v>
      </c>
      <c r="Q534" s="8">
        <v>0</v>
      </c>
      <c r="R534" s="8">
        <v>0</v>
      </c>
      <c r="S534" s="8">
        <v>0</v>
      </c>
      <c r="T534" s="8">
        <v>0</v>
      </c>
      <c r="U534" s="8">
        <v>0</v>
      </c>
      <c r="V534" s="8">
        <v>0</v>
      </c>
      <c r="W534" s="8">
        <v>0</v>
      </c>
      <c r="X534" s="8">
        <v>0</v>
      </c>
      <c r="Y534" s="8">
        <v>0</v>
      </c>
      <c r="Z534" s="8">
        <v>0</v>
      </c>
      <c r="AA534" s="8">
        <v>0</v>
      </c>
      <c r="AB534" s="8">
        <v>0</v>
      </c>
      <c r="AC534" s="8">
        <v>0</v>
      </c>
      <c r="AD534" s="8">
        <v>0</v>
      </c>
      <c r="AE534" s="8">
        <v>0</v>
      </c>
      <c r="AF534" s="8">
        <v>0</v>
      </c>
      <c r="AG534" s="8">
        <v>0</v>
      </c>
      <c r="AH534" s="8">
        <v>0</v>
      </c>
      <c r="AI534" s="8">
        <v>0</v>
      </c>
      <c r="AJ534" s="8">
        <v>0</v>
      </c>
      <c r="AK534" s="61">
        <f>AK516</f>
        <v>0</v>
      </c>
      <c r="AL534" s="61">
        <f t="shared" ref="AL534:AM534" si="2766">AL516</f>
        <v>0</v>
      </c>
      <c r="AM534" s="61">
        <f t="shared" si="2766"/>
        <v>0</v>
      </c>
      <c r="AN534" s="61">
        <f t="shared" ref="AN534:AQ534" si="2767">AN516</f>
        <v>0</v>
      </c>
      <c r="AO534" s="61">
        <f t="shared" si="2767"/>
        <v>0</v>
      </c>
      <c r="AP534" s="61">
        <f t="shared" si="2767"/>
        <v>0</v>
      </c>
      <c r="AQ534" s="61">
        <f t="shared" si="2767"/>
        <v>0</v>
      </c>
      <c r="AR534" s="8"/>
      <c r="BB534" s="8"/>
      <c r="BC534" s="8"/>
      <c r="BD534" s="8"/>
      <c r="BE534" s="8"/>
      <c r="BG534" s="8"/>
      <c r="BH534" s="8">
        <v>0</v>
      </c>
      <c r="BI534" s="8">
        <v>0</v>
      </c>
      <c r="BJ534" s="8">
        <v>0</v>
      </c>
      <c r="BK534" s="8">
        <v>0</v>
      </c>
      <c r="BL534" s="8">
        <v>0</v>
      </c>
      <c r="BM534" s="8">
        <v>0</v>
      </c>
      <c r="BN534" s="8">
        <v>0</v>
      </c>
      <c r="BO534" s="8">
        <f t="shared" si="2764"/>
        <v>0</v>
      </c>
      <c r="BP534" s="8">
        <f t="shared" si="2765"/>
        <v>0</v>
      </c>
    </row>
    <row r="535" spans="2:68" hidden="1" outlineLevel="1">
      <c r="B535" t="s">
        <v>425</v>
      </c>
      <c r="H535" s="8"/>
      <c r="I535" s="8"/>
      <c r="J535" s="8"/>
      <c r="K535" s="8"/>
      <c r="L535" s="8"/>
      <c r="M535" s="8"/>
      <c r="N535" s="8"/>
      <c r="O535" s="8"/>
      <c r="P535" s="8"/>
      <c r="Q535" s="8"/>
      <c r="R535" s="8"/>
      <c r="S535" s="8"/>
      <c r="T535" s="8">
        <v>0</v>
      </c>
      <c r="U535" s="8">
        <v>0</v>
      </c>
      <c r="V535" s="8">
        <v>0</v>
      </c>
      <c r="W535" s="8">
        <v>0</v>
      </c>
      <c r="X535" s="8">
        <v>0</v>
      </c>
      <c r="Y535" s="8">
        <v>0</v>
      </c>
      <c r="Z535" s="8">
        <v>0</v>
      </c>
      <c r="AA535" s="8">
        <v>0</v>
      </c>
      <c r="AB535" s="8">
        <v>0</v>
      </c>
      <c r="AC535" s="8">
        <v>0</v>
      </c>
      <c r="AD535" s="8">
        <v>0</v>
      </c>
      <c r="AE535" s="8">
        <v>0</v>
      </c>
      <c r="AF535" s="8">
        <v>0</v>
      </c>
      <c r="AG535" s="8">
        <v>0</v>
      </c>
      <c r="AH535" s="8">
        <v>0</v>
      </c>
      <c r="AI535" s="8">
        <v>0</v>
      </c>
      <c r="AJ535" s="8">
        <v>0</v>
      </c>
      <c r="AK535" s="61">
        <f>-AK525</f>
        <v>0</v>
      </c>
      <c r="AL535" s="61">
        <f t="shared" ref="AL535:AM535" si="2768">-AL525</f>
        <v>0</v>
      </c>
      <c r="AM535" s="61">
        <f t="shared" si="2768"/>
        <v>0</v>
      </c>
      <c r="AN535" s="8">
        <v>0</v>
      </c>
      <c r="AO535" s="8">
        <v>0</v>
      </c>
      <c r="AP535" s="8">
        <v>0</v>
      </c>
      <c r="AQ535" s="8">
        <v>0</v>
      </c>
      <c r="AR535" s="8"/>
      <c r="BB535" s="8"/>
      <c r="BC535" s="8"/>
      <c r="BD535" s="8"/>
      <c r="BE535" s="8"/>
      <c r="BG535" s="8"/>
      <c r="BH535" s="8">
        <v>0</v>
      </c>
      <c r="BI535" s="8">
        <v>0</v>
      </c>
      <c r="BJ535" s="8">
        <v>0</v>
      </c>
      <c r="BK535" s="8">
        <v>0</v>
      </c>
      <c r="BL535" s="8">
        <v>0</v>
      </c>
      <c r="BM535" s="8">
        <v>0</v>
      </c>
      <c r="BN535" s="8">
        <v>0</v>
      </c>
      <c r="BO535" s="8">
        <f t="shared" si="2764"/>
        <v>0</v>
      </c>
      <c r="BP535" s="8">
        <f t="shared" si="2765"/>
        <v>0</v>
      </c>
    </row>
    <row r="536" spans="2:68" s="852" customFormat="1" collapsed="1">
      <c r="B536" t="s">
        <v>419</v>
      </c>
      <c r="C536" s="853"/>
      <c r="D536" s="853">
        <v>0</v>
      </c>
      <c r="E536" s="853">
        <v>0</v>
      </c>
      <c r="F536" s="853">
        <v>0</v>
      </c>
      <c r="G536" s="853">
        <v>0</v>
      </c>
      <c r="H536" s="853">
        <v>0</v>
      </c>
      <c r="I536" s="853">
        <v>0</v>
      </c>
      <c r="J536" s="853">
        <v>0</v>
      </c>
      <c r="K536" s="853">
        <v>0</v>
      </c>
      <c r="L536" s="853">
        <v>0</v>
      </c>
      <c r="M536" s="853">
        <v>0</v>
      </c>
      <c r="N536" s="853">
        <v>0</v>
      </c>
      <c r="O536" s="853">
        <v>0</v>
      </c>
      <c r="P536" s="853">
        <v>0</v>
      </c>
      <c r="Q536" s="853">
        <v>0</v>
      </c>
      <c r="R536" s="853">
        <v>0</v>
      </c>
      <c r="S536" s="853">
        <v>0</v>
      </c>
      <c r="T536" s="853">
        <v>0</v>
      </c>
      <c r="U536" s="853">
        <v>0</v>
      </c>
      <c r="V536" s="853">
        <v>0</v>
      </c>
      <c r="W536" s="853">
        <v>0</v>
      </c>
      <c r="X536" s="853">
        <v>0</v>
      </c>
      <c r="Y536" s="853">
        <v>0</v>
      </c>
      <c r="Z536" s="853">
        <v>0</v>
      </c>
      <c r="AA536" s="853">
        <v>0</v>
      </c>
      <c r="AB536" s="853">
        <v>0</v>
      </c>
      <c r="AC536" s="853">
        <v>0</v>
      </c>
      <c r="AD536" s="853">
        <v>0</v>
      </c>
      <c r="AE536" s="853">
        <v>0</v>
      </c>
      <c r="AF536" s="853">
        <v>0</v>
      </c>
      <c r="AG536" s="853">
        <v>0</v>
      </c>
      <c r="AH536" s="853">
        <v>0</v>
      </c>
      <c r="AI536" s="853">
        <v>0</v>
      </c>
      <c r="AJ536" s="853">
        <v>0</v>
      </c>
      <c r="AK536" s="853">
        <f>-440+550+580</f>
        <v>690</v>
      </c>
      <c r="AL536" s="853">
        <f>-350+270+670</f>
        <v>590</v>
      </c>
      <c r="AM536" s="853">
        <f t="shared" ref="AM536" si="2769">-350+270+670</f>
        <v>590</v>
      </c>
      <c r="AN536" s="853">
        <f t="shared" ref="AN536:AQ536" si="2770">+AN517-AN526</f>
        <v>508.69420000000014</v>
      </c>
      <c r="AO536" s="853">
        <f t="shared" si="2770"/>
        <v>929.2</v>
      </c>
      <c r="AP536" s="853">
        <f t="shared" si="2770"/>
        <v>792.80000000000018</v>
      </c>
      <c r="AQ536" s="853">
        <f t="shared" si="2770"/>
        <v>752.60000000000014</v>
      </c>
      <c r="AR536" s="8"/>
      <c r="AS536" s="853"/>
      <c r="AT536" s="853"/>
      <c r="AU536" s="853"/>
      <c r="AV536" s="853"/>
      <c r="AW536" s="853"/>
      <c r="AX536" s="853"/>
      <c r="AY536" s="853"/>
      <c r="AZ536" s="853"/>
      <c r="BA536" s="853"/>
      <c r="BB536" s="853">
        <v>0</v>
      </c>
      <c r="BC536" s="853">
        <v>0</v>
      </c>
      <c r="BD536" s="853">
        <v>0</v>
      </c>
      <c r="BE536" s="853">
        <v>0</v>
      </c>
      <c r="BF536" s="853"/>
      <c r="BG536" s="853">
        <v>0</v>
      </c>
      <c r="BH536" s="853">
        <v>0</v>
      </c>
      <c r="BI536" s="853">
        <v>0</v>
      </c>
      <c r="BJ536" s="853">
        <v>0</v>
      </c>
      <c r="BK536" s="853">
        <v>0</v>
      </c>
      <c r="BL536" s="853">
        <v>0</v>
      </c>
      <c r="BM536" s="853">
        <v>0</v>
      </c>
      <c r="BN536" s="853">
        <v>0</v>
      </c>
      <c r="BO536" s="853">
        <f t="shared" si="2764"/>
        <v>1870</v>
      </c>
      <c r="BP536" s="853">
        <f t="shared" si="2765"/>
        <v>2983.2942000000003</v>
      </c>
    </row>
    <row r="537" spans="2:68">
      <c r="B537" s="12" t="s">
        <v>351</v>
      </c>
      <c r="H537" s="8">
        <f t="shared" ref="H537:AM537" si="2771">+H182</f>
        <v>2033</v>
      </c>
      <c r="I537" s="8">
        <f t="shared" si="2771"/>
        <v>2561</v>
      </c>
      <c r="J537" s="8">
        <f t="shared" si="2771"/>
        <v>2035</v>
      </c>
      <c r="K537" s="8">
        <f t="shared" si="2771"/>
        <v>2186</v>
      </c>
      <c r="L537" s="8">
        <f t="shared" si="2771"/>
        <v>2565</v>
      </c>
      <c r="M537" s="8">
        <f t="shared" si="2771"/>
        <v>2510</v>
      </c>
      <c r="N537" s="8">
        <f t="shared" si="2771"/>
        <v>2523</v>
      </c>
      <c r="O537" s="8">
        <f t="shared" si="2771"/>
        <v>3012</v>
      </c>
      <c r="P537" s="8">
        <f t="shared" si="2771"/>
        <v>3143</v>
      </c>
      <c r="Q537" s="8">
        <f t="shared" si="2771"/>
        <v>2964</v>
      </c>
      <c r="R537" s="8">
        <f t="shared" si="2771"/>
        <v>3154</v>
      </c>
      <c r="S537" s="8">
        <f t="shared" si="2771"/>
        <v>3559</v>
      </c>
      <c r="T537" s="8">
        <f t="shared" si="2771"/>
        <v>4015</v>
      </c>
      <c r="U537" s="8">
        <f t="shared" si="2771"/>
        <v>4178</v>
      </c>
      <c r="V537" s="8">
        <f t="shared" si="2771"/>
        <v>3627</v>
      </c>
      <c r="W537" s="8">
        <f t="shared" si="2771"/>
        <v>4091</v>
      </c>
      <c r="X537" s="8">
        <f t="shared" si="2771"/>
        <v>4748</v>
      </c>
      <c r="Y537" s="8">
        <f t="shared" si="2771"/>
        <v>5224</v>
      </c>
      <c r="Z537" s="8">
        <f t="shared" si="2771"/>
        <v>4594</v>
      </c>
      <c r="AA537" s="8">
        <f t="shared" si="2771"/>
        <v>4873</v>
      </c>
      <c r="AB537" s="8">
        <f t="shared" si="2771"/>
        <v>5095</v>
      </c>
      <c r="AC537" s="8">
        <f t="shared" si="2771"/>
        <v>6362</v>
      </c>
      <c r="AD537" s="8">
        <f t="shared" si="2771"/>
        <v>4899</v>
      </c>
      <c r="AE537" s="8">
        <f t="shared" si="2771"/>
        <v>4619</v>
      </c>
      <c r="AF537" s="8">
        <f t="shared" si="2771"/>
        <v>4217</v>
      </c>
      <c r="AG537" s="8">
        <f t="shared" si="2771"/>
        <v>3701.72</v>
      </c>
      <c r="AH537" s="8">
        <f t="shared" si="2771"/>
        <v>4237</v>
      </c>
      <c r="AI537" s="8">
        <f t="shared" si="2771"/>
        <v>4676</v>
      </c>
      <c r="AJ537" s="8">
        <f t="shared" si="2771"/>
        <v>5174</v>
      </c>
      <c r="AK537" s="8">
        <f t="shared" si="2771"/>
        <v>5417</v>
      </c>
      <c r="AL537" s="8">
        <f t="shared" si="2771"/>
        <v>5865</v>
      </c>
      <c r="AM537" s="8">
        <f t="shared" si="2771"/>
        <v>5863</v>
      </c>
      <c r="AN537" s="8">
        <f t="shared" ref="AN537:AQ537" si="2772">+SUM(AN533:AN536)</f>
        <v>6100.8194507539883</v>
      </c>
      <c r="AO537" s="8">
        <f t="shared" si="2772"/>
        <v>6061.7430035108173</v>
      </c>
      <c r="AP537" s="8">
        <f t="shared" si="2772"/>
        <v>6769.3968607196439</v>
      </c>
      <c r="AQ537" s="8">
        <f t="shared" si="2772"/>
        <v>6714.7796282701192</v>
      </c>
      <c r="AR537" s="8"/>
      <c r="BB537" s="8">
        <f>+BB182</f>
        <v>5605</v>
      </c>
      <c r="BC537" s="8">
        <f>+BC182</f>
        <v>5095</v>
      </c>
      <c r="BD537" s="8">
        <f>+BD182</f>
        <v>6202</v>
      </c>
      <c r="BE537" s="8">
        <f>+BE182</f>
        <v>8288</v>
      </c>
      <c r="BG537" s="8">
        <f t="shared" ref="BG537:BM537" si="2773">+BG182</f>
        <v>6183</v>
      </c>
      <c r="BH537" s="8">
        <f t="shared" si="2773"/>
        <v>8815</v>
      </c>
      <c r="BI537" s="8">
        <f t="shared" si="2773"/>
        <v>10610</v>
      </c>
      <c r="BJ537" s="8">
        <f t="shared" si="2773"/>
        <v>12820</v>
      </c>
      <c r="BK537" s="8">
        <f t="shared" si="2773"/>
        <v>15911</v>
      </c>
      <c r="BL537" s="8">
        <f t="shared" si="2773"/>
        <v>19439</v>
      </c>
      <c r="BM537" s="8">
        <f t="shared" si="2773"/>
        <v>20975</v>
      </c>
      <c r="BN537" s="8">
        <f>SUM(AF537:AI537)</f>
        <v>16831.72</v>
      </c>
      <c r="BO537" s="8">
        <f>SUM(AJ537:AM537)</f>
        <v>22319</v>
      </c>
      <c r="BP537" s="8">
        <f t="shared" si="2765"/>
        <v>25646.738943254571</v>
      </c>
    </row>
    <row r="538" spans="2:68">
      <c r="B538" s="15" t="s">
        <v>113</v>
      </c>
      <c r="L538" s="14">
        <f t="shared" ref="L538" si="2774">+L537/H537-1</f>
        <v>0.26168224299065423</v>
      </c>
      <c r="M538" s="14">
        <f t="shared" ref="M538" si="2775">+M537/I537-1</f>
        <v>-1.991409605622807E-2</v>
      </c>
      <c r="N538" s="14">
        <f>+N537/J537-1</f>
        <v>0.23980343980343988</v>
      </c>
      <c r="O538" s="14">
        <f>+O537/K537-1</f>
        <v>0.37785910338517836</v>
      </c>
      <c r="P538" s="14">
        <f t="shared" ref="P538:V538" si="2776">+P537/L537-1</f>
        <v>0.22534113060428851</v>
      </c>
      <c r="Q538" s="14">
        <f t="shared" si="2776"/>
        <v>0.18087649402390449</v>
      </c>
      <c r="R538" s="14">
        <f t="shared" si="2776"/>
        <v>0.25009908838684103</v>
      </c>
      <c r="S538" s="14">
        <f t="shared" si="2776"/>
        <v>0.18160690571049143</v>
      </c>
      <c r="T538" s="14">
        <f t="shared" si="2776"/>
        <v>0.27744193445752474</v>
      </c>
      <c r="U538" s="14">
        <f t="shared" si="2776"/>
        <v>0.40958164642375161</v>
      </c>
      <c r="V538" s="14">
        <f t="shared" si="2776"/>
        <v>0.14996829422954971</v>
      </c>
      <c r="W538" s="14">
        <f t="shared" ref="W538:X538" si="2777">+W537/S537-1</f>
        <v>0.14948019106490595</v>
      </c>
      <c r="X538" s="14">
        <f t="shared" si="2777"/>
        <v>0.18256537982565391</v>
      </c>
      <c r="Y538" s="14">
        <f t="shared" ref="Y538" si="2778">+Y537/U537-1</f>
        <v>0.2503590234561992</v>
      </c>
      <c r="Z538" s="14">
        <f t="shared" ref="Z538" si="2779">+Z537/V537-1</f>
        <v>0.26661152467604077</v>
      </c>
      <c r="AA538" s="14">
        <f t="shared" ref="AA538" si="2780">+AA537/W537-1</f>
        <v>0.1911513077487168</v>
      </c>
      <c r="AB538" s="14">
        <f t="shared" ref="AB538" si="2781">+AB537/X537-1</f>
        <v>7.308340353833187E-2</v>
      </c>
      <c r="AC538" s="14">
        <f t="shared" ref="AC538:AD538" si="2782">+AC537/Y537-1</f>
        <v>0.21784073506891266</v>
      </c>
      <c r="AD538" s="14">
        <f t="shared" si="2782"/>
        <v>6.6390944710492006E-2</v>
      </c>
      <c r="AE538" s="14">
        <f t="shared" ref="AE538" si="2783">+AE537/AA537-1</f>
        <v>-5.2123948286476485E-2</v>
      </c>
      <c r="AF538" s="14">
        <f t="shared" ref="AF538" si="2784">+AF537/AB537-1</f>
        <v>-0.17232580961727184</v>
      </c>
      <c r="AG538" s="14">
        <f t="shared" ref="AG538" si="2785">+AG537/AC537-1</f>
        <v>-0.41815152467777428</v>
      </c>
      <c r="AH538" s="14">
        <f t="shared" ref="AH538" si="2786">+AH537/AD537-1</f>
        <v>-0.13512961828944681</v>
      </c>
      <c r="AI538" s="14">
        <f t="shared" ref="AI538" si="2787">+AI537/AE537-1</f>
        <v>1.2340333405499004E-2</v>
      </c>
      <c r="AJ538" s="14">
        <f t="shared" ref="AJ538" si="2788">+AJ537/AF537-1</f>
        <v>0.22693858193028227</v>
      </c>
      <c r="AK538" s="14">
        <f t="shared" ref="AK538" si="2789">+AK537/AG537-1</f>
        <v>0.46337378299817389</v>
      </c>
      <c r="AL538" s="14">
        <f t="shared" ref="AL538" si="2790">+AL537/AH537-1</f>
        <v>0.38423412792069866</v>
      </c>
      <c r="AM538" s="14">
        <f t="shared" ref="AM538" si="2791">+AM537/AI537-1</f>
        <v>0.2538494439692045</v>
      </c>
      <c r="AN538" s="14">
        <f t="shared" ref="AN538" si="2792">+AN537/AJ537-1</f>
        <v>0.1791301605631983</v>
      </c>
      <c r="AO538" s="14">
        <f t="shared" ref="AO538" si="2793">+AO537/AK537-1</f>
        <v>0.11902215313103515</v>
      </c>
      <c r="AP538" s="14">
        <f t="shared" ref="AP538" si="2794">+AP537/AL537-1</f>
        <v>0.15420236329405701</v>
      </c>
      <c r="AQ538" s="14">
        <f t="shared" ref="AQ538" si="2795">+AQ537/AM537-1</f>
        <v>0.1452805096827765</v>
      </c>
      <c r="BC538" s="14">
        <f t="shared" ref="BC538" si="2796">+BC537/BB537-1</f>
        <v>-9.099018733273867E-2</v>
      </c>
      <c r="BD538" s="14">
        <f t="shared" ref="BD538" si="2797">+BD537/BC537-1</f>
        <v>0.21727183513248272</v>
      </c>
      <c r="BE538" s="14">
        <f t="shared" ref="BE538" si="2798">+BE537/BD537-1</f>
        <v>0.3363431151241536</v>
      </c>
      <c r="BG538" s="829">
        <f>+BD538</f>
        <v>0.21727183513248272</v>
      </c>
      <c r="BH538" s="829">
        <f>+BE538</f>
        <v>0.3363431151241536</v>
      </c>
      <c r="BI538" s="14">
        <f>+BI537/BH537-1</f>
        <v>0.20363017583664211</v>
      </c>
      <c r="BJ538" s="14">
        <f>+BJ537/BI537-1</f>
        <v>0.20829406220546653</v>
      </c>
      <c r="BK538" s="14">
        <f t="shared" ref="BK538" si="2799">+BK537/BJ537-1</f>
        <v>0.24110764430577225</v>
      </c>
      <c r="BL538" s="14">
        <f t="shared" ref="BL538" si="2800">+BL537/BK537-1</f>
        <v>0.22173339199296094</v>
      </c>
      <c r="BM538" s="14">
        <f t="shared" ref="BM538" si="2801">+BM537/BL537-1</f>
        <v>7.9016410309172391E-2</v>
      </c>
      <c r="BN538" s="14">
        <f t="shared" ref="BN538" si="2802">+BN537/BM537-1</f>
        <v>-0.19753420738974969</v>
      </c>
      <c r="BO538" s="14">
        <f t="shared" ref="BO538:BP538" si="2803">+BO537/BN537-1</f>
        <v>0.32600827485248085</v>
      </c>
      <c r="BP538" s="14">
        <f t="shared" si="2803"/>
        <v>0.1490989266210212</v>
      </c>
    </row>
    <row r="539" spans="2:68">
      <c r="B539" s="15" t="s">
        <v>270</v>
      </c>
      <c r="L539" s="22">
        <v>0.2</v>
      </c>
      <c r="M539" s="22">
        <v>0.24</v>
      </c>
      <c r="N539" s="22">
        <v>0.21</v>
      </c>
      <c r="O539" s="22">
        <v>0.3</v>
      </c>
      <c r="P539" s="22">
        <v>0.23</v>
      </c>
      <c r="Q539" s="22">
        <v>0.19</v>
      </c>
      <c r="R539" s="22">
        <v>0.28000000000000003</v>
      </c>
      <c r="S539" s="22">
        <v>0.22</v>
      </c>
      <c r="T539" s="22">
        <v>0.31</v>
      </c>
      <c r="U539" s="22">
        <v>0.45</v>
      </c>
      <c r="V539" s="22">
        <v>0.17</v>
      </c>
      <c r="W539" s="22">
        <v>0.19</v>
      </c>
      <c r="X539" s="22">
        <v>0.18</v>
      </c>
      <c r="Y539" s="22">
        <v>0.22</v>
      </c>
      <c r="Z539" s="22">
        <v>0.22</v>
      </c>
      <c r="AA539" s="22">
        <v>0.13</v>
      </c>
      <c r="AB539" s="22">
        <v>0.05</v>
      </c>
      <c r="AC539" s="22">
        <v>0.21</v>
      </c>
      <c r="AD539" s="22">
        <v>0.1</v>
      </c>
      <c r="AE539" s="22">
        <v>0</v>
      </c>
      <c r="AF539" s="22">
        <v>-0.09</v>
      </c>
      <c r="AG539" s="93">
        <f>+AG538+7%</f>
        <v>-0.34815152467777427</v>
      </c>
      <c r="AH539" s="22">
        <v>-7.0000000000000007E-2</v>
      </c>
      <c r="AI539" s="22">
        <v>0.06</v>
      </c>
      <c r="AJ539" s="22">
        <v>0.22</v>
      </c>
      <c r="AK539" s="93">
        <f>+AK538-3%</f>
        <v>0.43337378299817386</v>
      </c>
      <c r="AL539" s="93">
        <f>+AL538-1%</f>
        <v>0.37423412792069866</v>
      </c>
      <c r="AM539" s="93">
        <f>+AM538+1%</f>
        <v>0.26384944396920451</v>
      </c>
      <c r="AN539" s="14">
        <f>+AN538+AN14-AN13</f>
        <v>0.17301585343260006</v>
      </c>
      <c r="AO539" s="14">
        <f>+AO538+AO14-AO13</f>
        <v>9.374866458025588E-2</v>
      </c>
      <c r="AP539" s="14">
        <f>+AP538+AP14-AP13</f>
        <v>0.13518682819699701</v>
      </c>
      <c r="AQ539" s="14">
        <f>+AQ538+AQ14-AQ13</f>
        <v>0.12225471469297555</v>
      </c>
      <c r="BC539" s="23" t="s">
        <v>271</v>
      </c>
      <c r="BG539" s="23" t="s">
        <v>271</v>
      </c>
      <c r="BH539" s="23" t="s">
        <v>271</v>
      </c>
      <c r="BI539" s="23">
        <f>+SUMPRODUCT(L539:O539,H537:K537)/BH537</f>
        <v>0.23872830402722631</v>
      </c>
      <c r="BJ539" s="23">
        <f>+SUMPRODUCT(P539:S539,L537:O537)/BI537</f>
        <v>0.22958812441093307</v>
      </c>
      <c r="BK539" s="23">
        <f>+SUMPRODUCT(T539:W539,P537:S537)/BJ537</f>
        <v>0.27461154446177849</v>
      </c>
      <c r="BL539" s="23">
        <f>+SUMPRODUCT(X539:AA539,T537:W537)/BK537</f>
        <v>0.18676575953742694</v>
      </c>
      <c r="BM539" s="23">
        <f>+SUMPRODUCT(AB539:AE539,X537:AA537)/BL537</f>
        <v>9.2280467102217198E-2</v>
      </c>
      <c r="BN539" s="23">
        <f>+SUMPRODUCT(AF539:AI539,AB537:AE537)/BM537</f>
        <v>-0.1305973778307509</v>
      </c>
      <c r="BO539" s="23">
        <f>+SUMPRODUCT(AJ539:AM539,AF537:AI537)/BN537</f>
        <v>0.31793295040554381</v>
      </c>
      <c r="BP539" s="23">
        <f>+SUMPRODUCT(AN539:AQ539,AJ537:AM537)/BO537</f>
        <v>0.13050184512351906</v>
      </c>
    </row>
    <row r="540" spans="2:68">
      <c r="B540" s="15" t="s">
        <v>420</v>
      </c>
      <c r="L540" s="22"/>
      <c r="M540" s="22"/>
      <c r="N540" s="22"/>
      <c r="O540" s="22"/>
      <c r="P540" s="22"/>
      <c r="Q540" s="22"/>
      <c r="R540" s="22"/>
      <c r="S540" s="22"/>
      <c r="T540" s="22"/>
      <c r="U540" s="22"/>
      <c r="V540" s="22"/>
      <c r="W540" s="22"/>
      <c r="X540" s="22"/>
      <c r="Y540" s="22"/>
      <c r="Z540" s="22"/>
      <c r="AA540" s="22"/>
      <c r="AB540" s="23">
        <f t="shared" ref="AB540" si="2804">+AB539-AB536/X537</f>
        <v>0.05</v>
      </c>
      <c r="AC540" s="23">
        <f t="shared" ref="AC540" si="2805">+AC539-AC536/Y537</f>
        <v>0.21</v>
      </c>
      <c r="AD540" s="23">
        <f t="shared" ref="AD540" si="2806">+AD539-AD536/Z537</f>
        <v>0.1</v>
      </c>
      <c r="AE540" s="23">
        <f t="shared" ref="AE540" si="2807">+AE539-AE536/AA537</f>
        <v>0</v>
      </c>
      <c r="AF540" s="23">
        <f t="shared" ref="AF540" si="2808">+AF539-AF536/AB537</f>
        <v>-0.09</v>
      </c>
      <c r="AG540" s="23">
        <f t="shared" ref="AG540" si="2809">+AG539-AG536/AC537</f>
        <v>-0.34815152467777427</v>
      </c>
      <c r="AH540" s="23">
        <f t="shared" ref="AH540" si="2810">+AH539-AH536/AD537</f>
        <v>-7.0000000000000007E-2</v>
      </c>
      <c r="AI540" s="23">
        <f t="shared" ref="AI540" si="2811">+AI539-AI536/AE537</f>
        <v>0.06</v>
      </c>
      <c r="AJ540" s="23">
        <f t="shared" ref="AJ540" si="2812">+AJ539-AJ536/AF537</f>
        <v>0.22</v>
      </c>
      <c r="AK540" s="23">
        <f t="shared" ref="AK540" si="2813">+AK539-AK536/AG537</f>
        <v>0.24697394724614508</v>
      </c>
      <c r="AL540" s="23">
        <f t="shared" ref="AL540" si="2814">+AL539-AL536/AH537</f>
        <v>0.23498465895680912</v>
      </c>
      <c r="AM540" s="23">
        <f t="shared" ref="AM540" si="2815">+AM539-AM536/AI537</f>
        <v>0.13767322497861426</v>
      </c>
      <c r="AN540" s="14">
        <f t="shared" ref="AN540" si="2816">+AN539-AN536/AJ537</f>
        <v>7.4698458766964168E-2</v>
      </c>
      <c r="AO540" s="14">
        <f>+AO533/AK533-1+AO539-AO538</f>
        <v>6.0519404089546036E-2</v>
      </c>
      <c r="AP540" s="14">
        <f t="shared" ref="AP540:AQ540" si="2817">+AP533/AL533-1+AP539-AP538</f>
        <v>0.11398860911519471</v>
      </c>
      <c r="AQ540" s="14">
        <f t="shared" si="2817"/>
        <v>0.10767392590345115</v>
      </c>
      <c r="BC540" s="23" t="s">
        <v>271</v>
      </c>
      <c r="BG540" s="23" t="s">
        <v>271</v>
      </c>
      <c r="BH540" s="23" t="s">
        <v>271</v>
      </c>
      <c r="BI540" s="23">
        <f t="shared" ref="BI540" si="2818">+BI539-BI536/BH537</f>
        <v>0.23872830402722631</v>
      </c>
      <c r="BJ540" s="23">
        <f t="shared" ref="BJ540" si="2819">+BJ539-BJ536/BI537</f>
        <v>0.22958812441093307</v>
      </c>
      <c r="BK540" s="23">
        <f t="shared" ref="BK540" si="2820">+BK539-BK536/BJ537</f>
        <v>0.27461154446177849</v>
      </c>
      <c r="BL540" s="23">
        <f t="shared" ref="BL540" si="2821">+BL539-BL536/BK537</f>
        <v>0.18676575953742694</v>
      </c>
      <c r="BM540" s="23">
        <f t="shared" ref="BM540" si="2822">+BM539-BM536/BL537</f>
        <v>9.2280467102217198E-2</v>
      </c>
      <c r="BN540" s="23">
        <f t="shared" ref="BN540" si="2823">+BN539-BN536/BM537</f>
        <v>-0.1305973778307509</v>
      </c>
      <c r="BO540" s="23">
        <f t="shared" ref="BO540" si="2824">+BO539-BO536/BN537</f>
        <v>0.20683319351795301</v>
      </c>
      <c r="BP540" s="23">
        <f>+BP533/BO533-1+BP539-BP538</f>
        <v>8.9694020427020599E-2</v>
      </c>
    </row>
    <row r="541" spans="2:68">
      <c r="B541" s="15" t="s">
        <v>115</v>
      </c>
      <c r="H541" s="14">
        <f t="shared" ref="H541:AK541" si="2825">+IFERROR(H537/H510,"n/a ")</f>
        <v>0.2163916977115487</v>
      </c>
      <c r="I541" s="14">
        <f t="shared" si="2825"/>
        <v>0.21540920178316089</v>
      </c>
      <c r="J541" s="14">
        <f t="shared" si="2825"/>
        <v>0.23190883190883191</v>
      </c>
      <c r="K541" s="14">
        <f t="shared" si="2825"/>
        <v>0.23670817541959935</v>
      </c>
      <c r="L541" s="14">
        <f t="shared" si="2825"/>
        <v>0.27351247600767753</v>
      </c>
      <c r="M541" s="14">
        <f t="shared" si="2825"/>
        <v>0.20624486442070666</v>
      </c>
      <c r="N541" s="14">
        <f t="shared" si="2825"/>
        <v>0.25441161641625493</v>
      </c>
      <c r="O541" s="14">
        <f t="shared" si="2825"/>
        <v>0.27860512441032281</v>
      </c>
      <c r="P541" s="14">
        <f t="shared" si="2825"/>
        <v>0.29248092313418944</v>
      </c>
      <c r="Q541" s="14">
        <f t="shared" si="2825"/>
        <v>0.2281228353728931</v>
      </c>
      <c r="R541" s="14">
        <f t="shared" si="2825"/>
        <v>0.29531835205992507</v>
      </c>
      <c r="S541" s="14">
        <f t="shared" si="2825"/>
        <v>0.31554215799272983</v>
      </c>
      <c r="T541" s="14">
        <f t="shared" si="2825"/>
        <v>0.3606395401059912</v>
      </c>
      <c r="U541" s="14">
        <f t="shared" si="2825"/>
        <v>0.31625160850806144</v>
      </c>
      <c r="V541" s="14">
        <f t="shared" si="2825"/>
        <v>0.32981722287896698</v>
      </c>
      <c r="W541" s="14">
        <f t="shared" si="2825"/>
        <v>0.31688613477924088</v>
      </c>
      <c r="X541" s="14">
        <f t="shared" si="2825"/>
        <v>0.40070892058401553</v>
      </c>
      <c r="Y541" s="14">
        <f t="shared" si="2825"/>
        <v>0.34545695013887051</v>
      </c>
      <c r="Z541" s="14">
        <f t="shared" si="2825"/>
        <v>0.35240871432954896</v>
      </c>
      <c r="AA541" s="14">
        <f t="shared" si="2825"/>
        <v>0.34594632968905298</v>
      </c>
      <c r="AB541" s="14">
        <f t="shared" si="2825"/>
        <v>0.38267988583445994</v>
      </c>
      <c r="AC541" s="14">
        <f t="shared" si="2825"/>
        <v>0.3642713999427426</v>
      </c>
      <c r="AD541" s="14">
        <f t="shared" si="2825"/>
        <v>0.33739669421487606</v>
      </c>
      <c r="AE541" s="14">
        <f t="shared" si="2825"/>
        <v>0.32174700473669549</v>
      </c>
      <c r="AF541" s="14">
        <f t="shared" si="2825"/>
        <v>0.3163066306630663</v>
      </c>
      <c r="AG541" s="14">
        <f t="shared" si="2825"/>
        <v>0.26000702395167519</v>
      </c>
      <c r="AH541" s="14">
        <f t="shared" si="2825"/>
        <v>0.31953242835595774</v>
      </c>
      <c r="AI541" s="14">
        <f t="shared" si="2825"/>
        <v>0.33628191298094212</v>
      </c>
      <c r="AJ541" s="14">
        <f t="shared" si="2825"/>
        <v>0.37860383433338213</v>
      </c>
      <c r="AK541" s="14">
        <f t="shared" si="2825"/>
        <v>0.32070333313598959</v>
      </c>
      <c r="AL541" s="14">
        <f t="shared" ref="AL541:AM541" si="2826">+IFERROR(AL537/AL510,"n/a ")</f>
        <v>0.37644415917843388</v>
      </c>
      <c r="AM541" s="14">
        <f t="shared" si="2826"/>
        <v>0.36885813148788926</v>
      </c>
      <c r="AN541" s="14">
        <f t="shared" ref="AN541:AQ541" si="2827">+IFERROR(AN537/AN510,"n/a ")</f>
        <v>0.39099693458031043</v>
      </c>
      <c r="AO541" s="14">
        <f t="shared" si="2827"/>
        <v>0.34878215230019577</v>
      </c>
      <c r="AP541" s="14">
        <f t="shared" si="2827"/>
        <v>0.40315336248317141</v>
      </c>
      <c r="AQ541" s="14">
        <f t="shared" si="2827"/>
        <v>0.39348161532566439</v>
      </c>
      <c r="BA541" s="14"/>
      <c r="BB541" s="14">
        <f>+IFERROR(BB537/BB510,"n/a ")</f>
        <v>0.14573582943317734</v>
      </c>
      <c r="BC541" s="14">
        <f>+IFERROR(BC537/BC510,"n/a ")</f>
        <v>0.1173017152066306</v>
      </c>
      <c r="BD541" s="14">
        <f>+IFERROR(BD537/BD510,"n/a ")</f>
        <v>0.15338576445565613</v>
      </c>
      <c r="BE541" s="14">
        <f>+IFERROR(BE537/BE510,"n/a ")</f>
        <v>0.21375699584762592</v>
      </c>
      <c r="BG541" s="14">
        <f t="shared" ref="BG541:BP541" si="2828">+IFERROR(BG537/BG510,"n/a ")</f>
        <v>0.15300668151447661</v>
      </c>
      <c r="BH541" s="14">
        <f t="shared" si="2828"/>
        <v>0.22433450399552093</v>
      </c>
      <c r="BI541" s="14">
        <f t="shared" si="2828"/>
        <v>0.25096981739048158</v>
      </c>
      <c r="BJ541" s="14">
        <f t="shared" si="2828"/>
        <v>0.28053744146352139</v>
      </c>
      <c r="BK541" s="14">
        <f t="shared" si="2828"/>
        <v>0.3297548237342231</v>
      </c>
      <c r="BL541" s="14">
        <f t="shared" si="2828"/>
        <v>0.359362579261642</v>
      </c>
      <c r="BM541" s="14">
        <f t="shared" si="2828"/>
        <v>0.35160506244237699</v>
      </c>
      <c r="BN541" s="14">
        <f t="shared" si="2828"/>
        <v>0.3075185442321044</v>
      </c>
      <c r="BO541" s="14">
        <f t="shared" si="2828"/>
        <v>0.35979816868712922</v>
      </c>
      <c r="BP541" s="14">
        <f t="shared" si="2828"/>
        <v>0.38370838055512319</v>
      </c>
    </row>
    <row r="542" spans="2:68" outlineLevel="1"/>
    <row r="543" spans="2:68" outlineLevel="1">
      <c r="B543" s="15" t="s">
        <v>426</v>
      </c>
      <c r="T543" s="14">
        <f t="shared" ref="T543:AM543" si="2829">+T533/T508</f>
        <v>0.3606395401059912</v>
      </c>
      <c r="U543" s="14">
        <f t="shared" si="2829"/>
        <v>0.31625160850806144</v>
      </c>
      <c r="V543" s="14">
        <f t="shared" si="2829"/>
        <v>0.32981722287896698</v>
      </c>
      <c r="W543" s="14">
        <f t="shared" si="2829"/>
        <v>0.31688613477924088</v>
      </c>
      <c r="X543" s="14">
        <f t="shared" si="2829"/>
        <v>0.40070892058401553</v>
      </c>
      <c r="Y543" s="14">
        <f t="shared" si="2829"/>
        <v>0.34545695013887051</v>
      </c>
      <c r="Z543" s="14">
        <f t="shared" si="2829"/>
        <v>0.35240871432954896</v>
      </c>
      <c r="AA543" s="14">
        <f t="shared" si="2829"/>
        <v>0.34594632968905298</v>
      </c>
      <c r="AB543" s="14">
        <f t="shared" si="2829"/>
        <v>0.38267988583445994</v>
      </c>
      <c r="AC543" s="14">
        <f t="shared" si="2829"/>
        <v>0.3642713999427426</v>
      </c>
      <c r="AD543" s="14">
        <f t="shared" si="2829"/>
        <v>0.33739669421487606</v>
      </c>
      <c r="AE543" s="14">
        <f t="shared" si="2829"/>
        <v>0.32174700473669549</v>
      </c>
      <c r="AF543" s="14">
        <f t="shared" si="2829"/>
        <v>0.3163066306630663</v>
      </c>
      <c r="AG543" s="14">
        <f t="shared" si="2829"/>
        <v>0.26000702395167519</v>
      </c>
      <c r="AH543" s="14">
        <f t="shared" si="2829"/>
        <v>0.31953242835595774</v>
      </c>
      <c r="AI543" s="14">
        <f t="shared" si="2829"/>
        <v>0.33628191298094212</v>
      </c>
      <c r="AJ543" s="14">
        <f t="shared" si="2829"/>
        <v>0.37860383433338213</v>
      </c>
      <c r="AK543" s="14">
        <f t="shared" si="2829"/>
        <v>0.31915468233070016</v>
      </c>
      <c r="AL543" s="14">
        <f t="shared" ref="AL543" si="2830">+AL533/AL508</f>
        <v>0.387582659808964</v>
      </c>
      <c r="AM543" s="14">
        <f t="shared" si="2829"/>
        <v>0.37094618360886389</v>
      </c>
      <c r="AN543" s="14">
        <f t="shared" ref="AN543:AQ543" si="2831">+AN533/AN508</f>
        <v>0.39860383433338215</v>
      </c>
      <c r="AO543" s="14">
        <f t="shared" si="2831"/>
        <v>0.33915468233070017</v>
      </c>
      <c r="AP543" s="14">
        <f t="shared" si="2831"/>
        <v>0.40758265980896402</v>
      </c>
      <c r="AQ543" s="14">
        <f t="shared" si="2831"/>
        <v>0.39094618360886391</v>
      </c>
      <c r="AS543" t="e">
        <f t="shared" ref="AS543:BO543" si="2832">+AS533/AS508</f>
        <v>#DIV/0!</v>
      </c>
      <c r="AT543" t="e">
        <f t="shared" si="2832"/>
        <v>#DIV/0!</v>
      </c>
      <c r="AU543" t="e">
        <f t="shared" si="2832"/>
        <v>#DIV/0!</v>
      </c>
      <c r="AV543" t="e">
        <f t="shared" si="2832"/>
        <v>#DIV/0!</v>
      </c>
      <c r="AW543" t="e">
        <f t="shared" si="2832"/>
        <v>#DIV/0!</v>
      </c>
      <c r="BA543" s="14"/>
      <c r="BB543" s="14">
        <f t="shared" si="2832"/>
        <v>0.14573582943317734</v>
      </c>
      <c r="BC543" s="14">
        <f t="shared" si="2832"/>
        <v>0.1173017152066306</v>
      </c>
      <c r="BD543" s="14">
        <f t="shared" si="2832"/>
        <v>0.15338576445565613</v>
      </c>
      <c r="BE543" s="14">
        <f t="shared" si="2832"/>
        <v>0.21375699584762592</v>
      </c>
      <c r="BG543" s="14">
        <f t="shared" si="2832"/>
        <v>0.15300668151447661</v>
      </c>
      <c r="BH543" s="14">
        <f t="shared" si="2832"/>
        <v>0.22433450399552093</v>
      </c>
      <c r="BI543" s="14">
        <f t="shared" si="2832"/>
        <v>0.25096981739048158</v>
      </c>
      <c r="BJ543" s="14">
        <f t="shared" si="2832"/>
        <v>0.28053744146352139</v>
      </c>
      <c r="BK543" s="14">
        <f t="shared" si="2832"/>
        <v>0.3297548237342231</v>
      </c>
      <c r="BL543" s="14">
        <f t="shared" si="2832"/>
        <v>0.359362579261642</v>
      </c>
      <c r="BM543" s="14">
        <f t="shared" si="2832"/>
        <v>0.35160506244237699</v>
      </c>
      <c r="BN543" s="14">
        <f t="shared" si="2832"/>
        <v>0.3075185442321044</v>
      </c>
      <c r="BO543" s="14">
        <f t="shared" si="2832"/>
        <v>0.36320201769031296</v>
      </c>
      <c r="BP543" s="14">
        <f t="shared" ref="BP543" si="2833">+BP533/BP508</f>
        <v>0.38362693375065304</v>
      </c>
    </row>
    <row r="544" spans="2:68" outlineLevel="1">
      <c r="B544" s="15" t="s">
        <v>427</v>
      </c>
      <c r="AJ544" s="14"/>
      <c r="AK544" s="14">
        <f>+AK536/AK509</f>
        <v>0.33173076923076922</v>
      </c>
      <c r="AL544" s="14">
        <f t="shared" ref="AL544" si="2834">+AL536/AL509</f>
        <v>0.29949238578680204</v>
      </c>
      <c r="AM544" s="14">
        <f t="shared" ref="AM544" si="2835">+AM536/AM509</f>
        <v>0.35119047619047616</v>
      </c>
      <c r="AN544" s="14">
        <f t="shared" ref="AN544:AP544" si="2836">+AN536/AN509</f>
        <v>0.32319385498996173</v>
      </c>
      <c r="AO544" s="14">
        <f>+AO536/AO509</f>
        <v>0.41363960113960113</v>
      </c>
      <c r="AP544" s="14">
        <f t="shared" si="2836"/>
        <v>0.37262643354013913</v>
      </c>
      <c r="AQ544" s="14">
        <f>+AQ536/AQ509</f>
        <v>0.41479276895943568</v>
      </c>
      <c r="BO544" s="14">
        <f t="shared" ref="BO544:BP544" si="2837">+BO536/BO509</f>
        <v>0.32635253054101221</v>
      </c>
      <c r="BP544" s="14">
        <f t="shared" si="2837"/>
        <v>0.38432824553357486</v>
      </c>
    </row>
    <row r="546" spans="2:71">
      <c r="B546" s="852" t="s">
        <v>372</v>
      </c>
      <c r="D546" s="876" t="s">
        <v>371</v>
      </c>
      <c r="E546" s="876"/>
      <c r="F546" s="876"/>
      <c r="G546" s="876"/>
    </row>
    <row r="547" spans="2:71">
      <c r="B547" t="s">
        <v>428</v>
      </c>
      <c r="D547" s="911">
        <v>-7.0000000000000007E-2</v>
      </c>
      <c r="E547" s="911">
        <v>-0.06</v>
      </c>
      <c r="F547" s="911">
        <v>-0.11</v>
      </c>
      <c r="G547" s="911">
        <v>0.02</v>
      </c>
      <c r="H547" s="911">
        <v>-0.02</v>
      </c>
      <c r="I547" s="911">
        <v>0.04</v>
      </c>
      <c r="J547" s="911">
        <v>0.09</v>
      </c>
      <c r="K547" s="911">
        <v>0.04</v>
      </c>
      <c r="L547" s="911">
        <v>7.0000000000000007E-2</v>
      </c>
      <c r="M547" s="911">
        <v>0.11</v>
      </c>
      <c r="N547" s="911">
        <v>0.11</v>
      </c>
      <c r="O547" s="911">
        <v>0.14000000000000001</v>
      </c>
      <c r="P547" s="911">
        <v>0.08</v>
      </c>
      <c r="Q547" s="911">
        <v>-0.02</v>
      </c>
      <c r="R547" s="911">
        <v>0.15</v>
      </c>
      <c r="S547" s="911">
        <v>0.18</v>
      </c>
      <c r="T547" s="911">
        <v>0.19</v>
      </c>
      <c r="U547" s="911">
        <v>0.26</v>
      </c>
      <c r="V547" s="911">
        <v>0.05</v>
      </c>
      <c r="W547" s="911">
        <v>-0.04</v>
      </c>
      <c r="X547" s="911">
        <v>-0.22</v>
      </c>
      <c r="Y547" s="911">
        <v>-0.09</v>
      </c>
      <c r="Z547" s="911">
        <v>-0.02</v>
      </c>
      <c r="AA547" s="911">
        <v>-0.02</v>
      </c>
      <c r="AB547" s="911"/>
      <c r="AC547" s="911"/>
      <c r="AD547" s="911"/>
      <c r="AE547" s="911"/>
      <c r="AF547" s="911"/>
      <c r="AG547" s="911"/>
      <c r="AH547" s="911"/>
      <c r="AI547" s="911"/>
      <c r="AJ547" s="911"/>
      <c r="AK547" s="911"/>
      <c r="AL547" s="911"/>
      <c r="AM547" s="911"/>
      <c r="AN547" s="911"/>
      <c r="AO547" s="911"/>
      <c r="AP547" s="911"/>
      <c r="AQ547" s="911"/>
      <c r="BH547" s="912">
        <f>+AVERAGE(H547:K547)</f>
        <v>3.7499999999999999E-2</v>
      </c>
      <c r="BI547" s="912">
        <f>+AVERAGE(L547:O547)</f>
        <v>0.1075</v>
      </c>
      <c r="BJ547" s="912">
        <f>+AVERAGE(P547:S547)</f>
        <v>9.7500000000000003E-2</v>
      </c>
      <c r="BK547" s="912">
        <f>AVERAGE(T547:W547)</f>
        <v>0.115</v>
      </c>
      <c r="BL547" s="912">
        <f>AVERAGE(X547:AA547)</f>
        <v>-8.7500000000000008E-2</v>
      </c>
      <c r="BM547" s="912"/>
      <c r="BN547" s="912"/>
      <c r="BO547" s="912"/>
      <c r="BP547" s="912"/>
    </row>
    <row r="548" spans="2:71">
      <c r="B548" t="s">
        <v>429</v>
      </c>
      <c r="D548" s="911">
        <v>-0.04</v>
      </c>
      <c r="E548" s="911">
        <v>-0.03</v>
      </c>
      <c r="F548" s="911">
        <v>0.15</v>
      </c>
      <c r="G548" s="911">
        <v>0.27</v>
      </c>
      <c r="H548" s="911">
        <v>0</v>
      </c>
      <c r="I548" s="911">
        <v>0.08</v>
      </c>
      <c r="J548" s="911">
        <v>0.01</v>
      </c>
      <c r="K548" s="911">
        <v>0.02</v>
      </c>
      <c r="L548" s="911">
        <v>-0.01</v>
      </c>
      <c r="M548" s="911">
        <v>-0.05</v>
      </c>
      <c r="N548" s="911">
        <v>-0.08</v>
      </c>
      <c r="O548" s="911">
        <v>-0.03</v>
      </c>
      <c r="P548" s="911">
        <v>-0.05</v>
      </c>
      <c r="Q548" s="911">
        <v>-0.11</v>
      </c>
      <c r="R548" s="911">
        <v>-0.01</v>
      </c>
      <c r="S548" s="911">
        <v>-0.08</v>
      </c>
      <c r="T548" s="911">
        <v>-7.0000000000000007E-2</v>
      </c>
      <c r="U548" s="911">
        <v>0.04</v>
      </c>
      <c r="V548" s="911">
        <v>-0.1</v>
      </c>
      <c r="W548" s="911">
        <v>0.34</v>
      </c>
      <c r="X548" s="911">
        <v>0.31</v>
      </c>
      <c r="Y548" s="911">
        <v>0.24</v>
      </c>
      <c r="Z548" s="911">
        <v>0.44</v>
      </c>
      <c r="AA548" s="911">
        <v>-0.04</v>
      </c>
      <c r="AB548" s="911"/>
      <c r="AC548" s="911"/>
      <c r="AD548" s="911"/>
      <c r="AE548" s="911"/>
      <c r="AF548" s="911"/>
      <c r="AG548" s="911"/>
      <c r="AH548" s="911"/>
      <c r="AI548" s="911"/>
      <c r="AJ548" s="911"/>
      <c r="AK548" s="911"/>
      <c r="AL548" s="911"/>
      <c r="AM548" s="911"/>
      <c r="AN548" s="911"/>
      <c r="AO548" s="911"/>
      <c r="AP548" s="911"/>
      <c r="AQ548" s="911"/>
      <c r="BH548" s="912">
        <f>+AVERAGE(H548:K548)</f>
        <v>2.75E-2</v>
      </c>
      <c r="BI548" s="912">
        <f>+AVERAGE(L548:O548)</f>
        <v>-4.2500000000000003E-2</v>
      </c>
      <c r="BJ548" s="912">
        <f>+AVERAGE(P548:S548)</f>
        <v>-6.25E-2</v>
      </c>
      <c r="BK548" s="912">
        <f>AVERAGE(T548:W548)</f>
        <v>5.2500000000000005E-2</v>
      </c>
      <c r="BL548" s="912">
        <f>AVERAGE(X548:AA548)</f>
        <v>0.23749999999999999</v>
      </c>
      <c r="BM548" s="912"/>
      <c r="BN548" s="912"/>
      <c r="BO548" s="912"/>
      <c r="BP548" s="912"/>
    </row>
    <row r="549" spans="2:71">
      <c r="B549" t="s">
        <v>430</v>
      </c>
      <c r="D549" s="911"/>
      <c r="E549" s="911"/>
      <c r="F549" s="911"/>
      <c r="G549" s="911"/>
      <c r="H549" s="911"/>
      <c r="I549" s="911"/>
      <c r="J549" s="911"/>
      <c r="K549" s="911"/>
      <c r="L549" s="911"/>
      <c r="M549" s="911"/>
      <c r="N549" s="911"/>
      <c r="O549" s="911"/>
      <c r="P549" s="911"/>
      <c r="Q549" s="911"/>
      <c r="R549" s="911"/>
      <c r="S549" s="911"/>
      <c r="T549" s="911"/>
      <c r="U549" s="911"/>
      <c r="V549" s="911"/>
      <c r="W549" s="911"/>
      <c r="X549" s="911">
        <v>-0.05</v>
      </c>
      <c r="Y549" s="911">
        <v>0.01</v>
      </c>
      <c r="Z549" s="911">
        <v>0.1</v>
      </c>
      <c r="AA549" s="911">
        <v>-0.03</v>
      </c>
      <c r="AB549" s="911">
        <v>0.1</v>
      </c>
      <c r="AC549" s="911">
        <v>0.25</v>
      </c>
      <c r="AD549" s="911">
        <v>0.11</v>
      </c>
      <c r="AE549" s="911">
        <v>-0.02</v>
      </c>
      <c r="AF549" s="911">
        <v>-0.15</v>
      </c>
      <c r="AG549" s="911">
        <v>-0.39</v>
      </c>
      <c r="AH549" s="911">
        <v>-0.28000000000000003</v>
      </c>
      <c r="AI549" s="911">
        <v>-0.12</v>
      </c>
      <c r="AJ549" s="911">
        <v>0.04</v>
      </c>
      <c r="AK549" s="911">
        <v>0.11</v>
      </c>
      <c r="AL549" s="911">
        <v>0.11</v>
      </c>
      <c r="AM549" s="911">
        <v>0.04</v>
      </c>
      <c r="AN549" s="911"/>
      <c r="AO549" s="911"/>
      <c r="AP549" s="911"/>
      <c r="AQ549" s="911"/>
      <c r="BH549" s="912"/>
      <c r="BI549" s="912"/>
      <c r="BJ549" s="912"/>
      <c r="BK549" s="912"/>
      <c r="BL549" s="912">
        <f>AVERAGE(X549:AA549)</f>
        <v>7.5000000000000015E-3</v>
      </c>
      <c r="BM549" s="912">
        <f>AVERAGE(AB549:AE549)</f>
        <v>0.10999999999999999</v>
      </c>
      <c r="BN549" s="912">
        <f>AVERAGE(AF549:AI549)</f>
        <v>-0.23500000000000001</v>
      </c>
      <c r="BO549" s="912">
        <f>AVERAGE(AJ549:AM549)</f>
        <v>7.4999999999999997E-2</v>
      </c>
      <c r="BP549" s="912"/>
    </row>
    <row r="550" spans="2:71">
      <c r="B550" t="s">
        <v>431</v>
      </c>
      <c r="D550" s="911">
        <v>-0.03</v>
      </c>
      <c r="E550" s="911">
        <v>-0.04</v>
      </c>
      <c r="F550" s="911">
        <v>-0.02</v>
      </c>
      <c r="G550" s="911">
        <v>0.03</v>
      </c>
      <c r="H550" s="911">
        <v>0.11</v>
      </c>
      <c r="I550" s="911">
        <v>0.2</v>
      </c>
      <c r="J550" s="911">
        <v>0.08</v>
      </c>
      <c r="K550" s="911">
        <v>0.16</v>
      </c>
      <c r="L550" s="911">
        <v>7.0000000000000007E-2</v>
      </c>
      <c r="M550" s="911">
        <v>-0.04</v>
      </c>
      <c r="N550" s="911">
        <v>0.21</v>
      </c>
      <c r="O550" s="911">
        <v>0.23</v>
      </c>
      <c r="P550" s="911">
        <v>0.12</v>
      </c>
      <c r="Q550" s="911">
        <v>0.13</v>
      </c>
      <c r="R550" s="911">
        <v>0.18</v>
      </c>
      <c r="S550" s="911">
        <v>0.13</v>
      </c>
      <c r="T550" s="911">
        <v>0.26</v>
      </c>
      <c r="U550" s="911">
        <v>0.25</v>
      </c>
      <c r="V550" s="911">
        <v>0.17</v>
      </c>
      <c r="W550" s="911">
        <v>0.09</v>
      </c>
      <c r="X550" s="911">
        <v>0.13</v>
      </c>
      <c r="Y550" s="911">
        <v>0.1</v>
      </c>
      <c r="Z550" s="911">
        <v>0.1</v>
      </c>
      <c r="AA550" s="911">
        <v>0.2</v>
      </c>
      <c r="AB550" s="911">
        <v>0.12</v>
      </c>
      <c r="AC550" s="911">
        <v>0.13</v>
      </c>
      <c r="AD550" s="911">
        <v>0.14000000000000001</v>
      </c>
      <c r="AE550" s="911">
        <v>0.06</v>
      </c>
      <c r="AF550" s="911">
        <v>0.08</v>
      </c>
      <c r="AG550" s="911">
        <v>-0.03</v>
      </c>
      <c r="AH550" s="911">
        <v>0.14000000000000001</v>
      </c>
      <c r="AI550" s="911">
        <v>0.02</v>
      </c>
      <c r="AJ550" s="911">
        <v>0.08</v>
      </c>
      <c r="AK550" s="911">
        <v>0.09</v>
      </c>
      <c r="AL550" s="911">
        <v>0.13</v>
      </c>
      <c r="AM550" s="911">
        <v>0.11</v>
      </c>
      <c r="AN550" s="911"/>
      <c r="AO550" s="911"/>
      <c r="AP550" s="911"/>
      <c r="AQ550" s="911"/>
      <c r="BH550" s="912">
        <f>+AVERAGE(H550:K550)</f>
        <v>0.13750000000000001</v>
      </c>
      <c r="BI550" s="912">
        <f>+AVERAGE(L550:O550)</f>
        <v>0.11749999999999999</v>
      </c>
      <c r="BJ550" s="912">
        <f>+AVERAGE(P550:S550)</f>
        <v>0.14000000000000001</v>
      </c>
      <c r="BK550" s="912">
        <f>AVERAGE(T550:W550)</f>
        <v>0.1925</v>
      </c>
      <c r="BL550" s="912">
        <f>AVERAGE(X550:AA550)</f>
        <v>0.13250000000000001</v>
      </c>
      <c r="BM550" s="912">
        <f>+AVERAGE(AB550:AE550)</f>
        <v>0.1125</v>
      </c>
      <c r="BN550" s="912">
        <f t="shared" ref="BN550:BN551" si="2838">AVERAGE(AF550:AI550)</f>
        <v>5.2499999999999998E-2</v>
      </c>
      <c r="BO550" s="912">
        <f t="shared" ref="BO550:BO555" si="2839">AVERAGE(AJ550:AM550)</f>
        <v>0.10249999999999999</v>
      </c>
      <c r="BP550" s="912"/>
    </row>
    <row r="551" spans="2:71">
      <c r="B551" t="s">
        <v>432</v>
      </c>
      <c r="D551" s="911">
        <v>0.23</v>
      </c>
      <c r="E551" s="911">
        <v>0.17</v>
      </c>
      <c r="F551" s="911">
        <v>0.14000000000000001</v>
      </c>
      <c r="G551" s="911">
        <v>0.16</v>
      </c>
      <c r="H551" s="911">
        <v>0.09</v>
      </c>
      <c r="I551" s="911">
        <v>0.1</v>
      </c>
      <c r="J551" s="911">
        <v>0.08</v>
      </c>
      <c r="K551" s="911">
        <v>0.1</v>
      </c>
      <c r="L551" s="911">
        <v>0.15</v>
      </c>
      <c r="M551" s="911">
        <v>0.15</v>
      </c>
      <c r="N551" s="911">
        <v>0.16</v>
      </c>
      <c r="O551" s="911">
        <v>0.17</v>
      </c>
      <c r="P551" s="911">
        <v>0.17</v>
      </c>
      <c r="Q551" s="911">
        <v>0.14000000000000001</v>
      </c>
      <c r="R551" s="911">
        <v>0.12</v>
      </c>
      <c r="S551" s="911">
        <v>0.09</v>
      </c>
      <c r="T551" s="911">
        <v>0.11</v>
      </c>
      <c r="U551" s="911">
        <v>0.06</v>
      </c>
      <c r="V551" s="911">
        <v>0.01</v>
      </c>
      <c r="W551" s="911">
        <v>-0.18</v>
      </c>
      <c r="X551" s="911">
        <v>-0.12</v>
      </c>
      <c r="Y551" s="911">
        <v>0</v>
      </c>
      <c r="Z551" s="911">
        <v>0.13</v>
      </c>
      <c r="AA551" s="911">
        <v>0.48</v>
      </c>
      <c r="AB551" s="911">
        <v>0.4</v>
      </c>
      <c r="AC551" s="911">
        <v>0.32</v>
      </c>
      <c r="AD551" s="911">
        <v>0.23</v>
      </c>
      <c r="AE551" s="911">
        <v>0.18</v>
      </c>
      <c r="AF551" s="911">
        <v>0.16</v>
      </c>
      <c r="AG551" s="911">
        <v>0.1</v>
      </c>
      <c r="AH551" s="911">
        <v>0.1</v>
      </c>
      <c r="AI551" s="911">
        <v>0.08</v>
      </c>
      <c r="AJ551" s="911">
        <v>0.1</v>
      </c>
      <c r="AK551" s="911">
        <v>0.08</v>
      </c>
      <c r="AL551" s="911">
        <v>0.12</v>
      </c>
      <c r="AM551" s="911">
        <v>0.19</v>
      </c>
      <c r="AN551" s="911"/>
      <c r="AO551" s="911"/>
      <c r="AP551" s="911"/>
      <c r="AQ551" s="911"/>
      <c r="BH551" s="912">
        <f>+AVERAGE(H551:K551)</f>
        <v>9.2499999999999999E-2</v>
      </c>
      <c r="BI551" s="912">
        <f>+AVERAGE(L551:O551)</f>
        <v>0.1575</v>
      </c>
      <c r="BJ551" s="912">
        <f>+AVERAGE(P551:S551)</f>
        <v>0.13</v>
      </c>
      <c r="BK551" s="912">
        <f>+AVERAGE(T551:W551)</f>
        <v>0</v>
      </c>
      <c r="BL551" s="912">
        <v>0.1</v>
      </c>
      <c r="BM551" s="912">
        <f>+AVERAGE(AB551:AE551)</f>
        <v>0.28249999999999997</v>
      </c>
      <c r="BN551" s="912">
        <f t="shared" si="2838"/>
        <v>0.11</v>
      </c>
      <c r="BO551" s="912">
        <f t="shared" si="2839"/>
        <v>0.1225</v>
      </c>
      <c r="BP551" s="912"/>
      <c r="BS551" s="912"/>
    </row>
    <row r="552" spans="2:71">
      <c r="D552" s="911"/>
      <c r="E552" s="911"/>
      <c r="F552" s="911"/>
      <c r="G552" s="911"/>
      <c r="H552" s="911"/>
      <c r="I552" s="911"/>
      <c r="J552" s="911"/>
      <c r="K552" s="911"/>
      <c r="L552" s="911"/>
      <c r="M552" s="911"/>
      <c r="N552" s="911"/>
      <c r="O552" s="911"/>
      <c r="P552" s="911"/>
      <c r="Q552" s="911"/>
      <c r="R552" s="911"/>
      <c r="S552" s="911"/>
      <c r="T552" s="911"/>
      <c r="U552" s="911"/>
      <c r="V552" s="911"/>
      <c r="W552" s="911"/>
      <c r="X552" s="911"/>
      <c r="Y552" s="911"/>
      <c r="Z552" s="911"/>
      <c r="AA552" s="911"/>
      <c r="AB552" s="911"/>
      <c r="AC552" s="911"/>
      <c r="AD552" s="911"/>
      <c r="AE552" s="911"/>
      <c r="AF552" s="911"/>
      <c r="AG552" s="911"/>
      <c r="AH552" s="911"/>
      <c r="AI552" s="911"/>
      <c r="AJ552" s="911"/>
      <c r="AK552" s="911"/>
      <c r="AL552" s="911"/>
      <c r="AM552" s="911"/>
      <c r="AN552" s="911"/>
      <c r="AO552" s="911"/>
      <c r="AP552" s="911"/>
      <c r="AQ552" s="911"/>
      <c r="BH552" s="912"/>
      <c r="BI552" s="912"/>
      <c r="BJ552" s="912"/>
      <c r="BK552" s="912"/>
      <c r="BL552" s="912"/>
      <c r="BM552" s="912"/>
      <c r="BN552" s="912"/>
      <c r="BO552" s="912"/>
      <c r="BP552" s="912"/>
    </row>
    <row r="553" spans="2:71">
      <c r="B553" s="852" t="s">
        <v>379</v>
      </c>
      <c r="D553" s="911"/>
      <c r="E553" s="911"/>
      <c r="F553" s="911"/>
      <c r="G553" s="911"/>
      <c r="H553" s="911"/>
      <c r="I553" s="911"/>
      <c r="J553" s="911"/>
      <c r="K553" s="911"/>
      <c r="L553" s="911"/>
      <c r="M553" s="911"/>
      <c r="N553" s="911"/>
      <c r="O553" s="911"/>
      <c r="P553" s="911"/>
      <c r="Q553" s="911"/>
      <c r="R553" s="911"/>
      <c r="S553" s="911"/>
      <c r="T553" s="911"/>
      <c r="U553" s="911"/>
      <c r="V553" s="911"/>
      <c r="W553" s="911"/>
      <c r="X553" s="911"/>
      <c r="Y553" s="911"/>
      <c r="Z553" s="911"/>
      <c r="AA553" s="911"/>
      <c r="AB553" s="911"/>
      <c r="AC553" s="911"/>
      <c r="AD553" s="911"/>
      <c r="AE553" s="911"/>
      <c r="AF553" s="911"/>
      <c r="AG553" s="911"/>
      <c r="AH553" s="911"/>
      <c r="AI553" s="911"/>
      <c r="AJ553" s="911"/>
      <c r="AK553" s="911"/>
      <c r="AL553" s="911"/>
      <c r="AM553" s="911"/>
      <c r="AN553" s="911"/>
      <c r="AO553" s="911"/>
      <c r="AP553" s="911"/>
      <c r="AQ553" s="911"/>
      <c r="BH553" s="912"/>
      <c r="BI553" s="912"/>
      <c r="BJ553" s="912"/>
      <c r="BK553" s="912"/>
      <c r="BL553" s="912"/>
      <c r="BM553" s="912"/>
      <c r="BN553" s="912"/>
      <c r="BO553" s="912"/>
      <c r="BP553" s="912"/>
    </row>
    <row r="554" spans="2:71">
      <c r="B554" t="s">
        <v>431</v>
      </c>
      <c r="D554" s="911">
        <v>0.04</v>
      </c>
      <c r="E554" s="911">
        <v>0.03</v>
      </c>
      <c r="F554" s="911">
        <v>0.06</v>
      </c>
      <c r="G554" s="911">
        <v>0.09</v>
      </c>
      <c r="H554" s="911">
        <v>0.13</v>
      </c>
      <c r="I554" s="911">
        <v>0.22</v>
      </c>
      <c r="J554" s="911">
        <v>0.08</v>
      </c>
      <c r="K554" s="911">
        <v>0.16</v>
      </c>
      <c r="L554" s="911">
        <v>0.06</v>
      </c>
      <c r="M554" s="911">
        <v>-0.05</v>
      </c>
      <c r="N554" s="911">
        <v>0.17</v>
      </c>
      <c r="O554" s="911">
        <v>0.19</v>
      </c>
      <c r="P554" s="911">
        <v>0.12</v>
      </c>
      <c r="Q554" s="911">
        <v>0.14000000000000001</v>
      </c>
      <c r="R554" s="911">
        <v>0.2</v>
      </c>
      <c r="S554" s="911">
        <v>0.16</v>
      </c>
      <c r="T554" s="911">
        <v>0.28999999999999998</v>
      </c>
      <c r="U554" s="911">
        <v>0.27</v>
      </c>
      <c r="V554" s="911">
        <v>0.18</v>
      </c>
      <c r="W554" s="911">
        <v>0.11</v>
      </c>
      <c r="X554" s="911">
        <v>0.12</v>
      </c>
      <c r="Y554" s="911">
        <v>0.08</v>
      </c>
      <c r="Z554" s="911">
        <v>7.0000000000000007E-2</v>
      </c>
      <c r="AA554" s="911">
        <v>0.14000000000000001</v>
      </c>
      <c r="AB554" s="911">
        <v>0.1</v>
      </c>
      <c r="AC554" s="911">
        <v>0.14000000000000001</v>
      </c>
      <c r="AD554" s="911">
        <v>0.19</v>
      </c>
      <c r="AE554" s="911">
        <v>0.12</v>
      </c>
      <c r="AF554" s="911">
        <v>0.15</v>
      </c>
      <c r="AG554" s="911">
        <v>0.03</v>
      </c>
      <c r="AH554" s="911">
        <v>0.18</v>
      </c>
      <c r="AI554" s="911">
        <v>0.03</v>
      </c>
      <c r="AJ554" s="911">
        <v>0.08</v>
      </c>
      <c r="AK554" s="911">
        <v>7.0000000000000007E-2</v>
      </c>
      <c r="AL554" s="911">
        <v>0.12</v>
      </c>
      <c r="AM554" s="911">
        <v>0.12</v>
      </c>
      <c r="AN554" s="911"/>
      <c r="AO554" s="911"/>
      <c r="AP554" s="911"/>
      <c r="AQ554" s="911"/>
      <c r="BH554" s="912">
        <f>+AVERAGE(H554:K554)</f>
        <v>0.14749999999999999</v>
      </c>
      <c r="BI554" s="912">
        <f>+AVERAGE(L554:O554)</f>
        <v>9.2499999999999999E-2</v>
      </c>
      <c r="BJ554" s="912">
        <f>+AVERAGE(P554:S554)</f>
        <v>0.155</v>
      </c>
      <c r="BK554" s="912">
        <f>AVERAGE(T554:W554)</f>
        <v>0.21249999999999999</v>
      </c>
      <c r="BL554" s="912">
        <f>AVERAGE(X554:AA554)</f>
        <v>0.10250000000000001</v>
      </c>
      <c r="BM554" s="912">
        <f>+AVERAGE(AB554:AE554)</f>
        <v>0.13750000000000001</v>
      </c>
      <c r="BN554" s="912">
        <f t="shared" ref="BN554:BN555" si="2840">AVERAGE(AF554:AI554)</f>
        <v>9.7500000000000003E-2</v>
      </c>
      <c r="BO554" s="912">
        <f t="shared" si="2839"/>
        <v>9.7500000000000003E-2</v>
      </c>
      <c r="BP554" s="912"/>
    </row>
    <row r="555" spans="2:71">
      <c r="B555" t="s">
        <v>432</v>
      </c>
      <c r="D555" s="911">
        <v>0.28999999999999998</v>
      </c>
      <c r="E555" s="911">
        <v>0.21</v>
      </c>
      <c r="F555" s="911">
        <v>0.18</v>
      </c>
      <c r="G555" s="911">
        <v>0.17</v>
      </c>
      <c r="H555" s="911">
        <v>0.1</v>
      </c>
      <c r="I555" s="911">
        <v>0.11</v>
      </c>
      <c r="J555" s="911">
        <v>0.09</v>
      </c>
      <c r="K555" s="911">
        <v>0.11</v>
      </c>
      <c r="L555" s="911">
        <v>0.15</v>
      </c>
      <c r="M555" s="911">
        <v>0.15</v>
      </c>
      <c r="N555" s="911">
        <v>0.14000000000000001</v>
      </c>
      <c r="O555" s="911">
        <v>0.16</v>
      </c>
      <c r="P555" s="911">
        <v>0.17</v>
      </c>
      <c r="Q555" s="911">
        <v>0.14000000000000001</v>
      </c>
      <c r="R555" s="911">
        <v>0.14000000000000001</v>
      </c>
      <c r="S555" s="911">
        <v>0.1</v>
      </c>
      <c r="T555" s="911">
        <v>0.13</v>
      </c>
      <c r="U555" s="911">
        <v>7.0000000000000007E-2</v>
      </c>
      <c r="V555" s="911">
        <v>0.01</v>
      </c>
      <c r="W555" s="911">
        <v>-0.17</v>
      </c>
      <c r="X555" s="911">
        <v>-0.13</v>
      </c>
      <c r="Y555" s="911">
        <v>-0.01</v>
      </c>
      <c r="Z555" s="911">
        <v>0.11</v>
      </c>
      <c r="AA555" s="911">
        <v>0.45</v>
      </c>
      <c r="AB555" s="911">
        <v>0.39</v>
      </c>
      <c r="AC555" s="911">
        <v>0.32</v>
      </c>
      <c r="AD555" s="911">
        <v>0.25</v>
      </c>
      <c r="AE555" s="911">
        <v>0.21</v>
      </c>
      <c r="AF555" s="911">
        <v>0.21</v>
      </c>
      <c r="AG555" s="911">
        <v>0.15</v>
      </c>
      <c r="AH555" s="911">
        <v>0.13</v>
      </c>
      <c r="AI555" s="911">
        <v>0.09</v>
      </c>
      <c r="AJ555" s="911">
        <v>0.09</v>
      </c>
      <c r="AK555" s="911">
        <v>7.0000000000000007E-2</v>
      </c>
      <c r="AL555" s="911">
        <v>0.12</v>
      </c>
      <c r="AM555" s="911">
        <v>0.19</v>
      </c>
      <c r="AN555" s="911"/>
      <c r="AO555" s="911"/>
      <c r="AP555" s="911"/>
      <c r="AQ555" s="911"/>
      <c r="BH555" s="912">
        <f>+AVERAGE(H555:K555)</f>
        <v>0.10250000000000001</v>
      </c>
      <c r="BI555" s="912">
        <f>+AVERAGE(L555:O555)</f>
        <v>0.15</v>
      </c>
      <c r="BJ555" s="912">
        <f>+AVERAGE(P555:S555)</f>
        <v>0.13750000000000001</v>
      </c>
      <c r="BK555" s="912">
        <f>+AVERAGE(T555:W555)</f>
        <v>1.0000000000000002E-2</v>
      </c>
      <c r="BL555" s="912">
        <v>0.1</v>
      </c>
      <c r="BM555" s="912">
        <f>+AVERAGE(AB555:AE555)</f>
        <v>0.29249999999999998</v>
      </c>
      <c r="BN555" s="912">
        <f t="shared" si="2840"/>
        <v>0.14499999999999999</v>
      </c>
      <c r="BO555" s="912">
        <f t="shared" si="2839"/>
        <v>0.11750000000000001</v>
      </c>
      <c r="BP555" s="912"/>
      <c r="BS555" s="912"/>
    </row>
    <row r="556" spans="2:71">
      <c r="B556" s="13"/>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BH556" s="21"/>
      <c r="BI556" s="21"/>
      <c r="BJ556" s="21"/>
      <c r="BK556" s="21"/>
      <c r="BL556" s="21"/>
      <c r="BM556" s="21"/>
      <c r="BN556" s="21"/>
      <c r="BO556" s="21"/>
      <c r="BP556" s="21"/>
    </row>
    <row r="557" spans="2:71">
      <c r="B557" s="852" t="s">
        <v>380</v>
      </c>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BH557" s="21"/>
      <c r="BI557" s="21"/>
      <c r="BJ557" s="21"/>
      <c r="BK557" s="21"/>
      <c r="BL557" s="21"/>
      <c r="BM557" s="21"/>
      <c r="BN557" s="21"/>
      <c r="BO557" s="21"/>
      <c r="BP557" s="21"/>
    </row>
    <row r="558" spans="2:71">
      <c r="B558" t="s">
        <v>433</v>
      </c>
      <c r="D558" s="879">
        <v>672</v>
      </c>
      <c r="E558" s="879">
        <v>1352</v>
      </c>
      <c r="F558" s="879">
        <v>1111</v>
      </c>
      <c r="G558" s="879">
        <v>965</v>
      </c>
      <c r="H558" s="879">
        <v>926</v>
      </c>
      <c r="I558" s="879">
        <v>1321</v>
      </c>
      <c r="J558" s="879">
        <v>831</v>
      </c>
      <c r="K558" s="879">
        <v>948</v>
      </c>
      <c r="L558" s="879">
        <v>1037</v>
      </c>
      <c r="M558" s="879">
        <v>1335</v>
      </c>
      <c r="N558" s="879">
        <v>1094</v>
      </c>
      <c r="O558" s="879">
        <v>1185</v>
      </c>
      <c r="P558" s="879">
        <v>1180</v>
      </c>
      <c r="Q558" s="879">
        <v>1860</v>
      </c>
      <c r="R558" s="879">
        <v>1329</v>
      </c>
      <c r="S558" s="879">
        <v>1350</v>
      </c>
      <c r="T558" s="879">
        <v>1136</v>
      </c>
      <c r="U558" s="879">
        <v>1976</v>
      </c>
      <c r="V558" s="879">
        <v>1340</v>
      </c>
      <c r="W558" s="879">
        <v>1724</v>
      </c>
      <c r="X558" s="879">
        <v>1553</v>
      </c>
      <c r="Y558" s="879">
        <v>2045</v>
      </c>
      <c r="Z558" s="879">
        <v>1504</v>
      </c>
      <c r="AA558" s="879">
        <f>+W558*0.8</f>
        <v>1379.2</v>
      </c>
      <c r="AB558" s="879">
        <f>+X558*(1+AB559)</f>
        <v>1273.46</v>
      </c>
      <c r="AC558" s="879">
        <f>+Y558*(1+AC559)</f>
        <v>2147.25</v>
      </c>
      <c r="AD558" s="879">
        <f>+Z558*(1+AD559)</f>
        <v>1654.4</v>
      </c>
      <c r="AE558" s="879">
        <f t="shared" ref="AE558" si="2841">+AA558*(1+AE559)</f>
        <v>1544.7040000000002</v>
      </c>
      <c r="AF558" s="879">
        <f t="shared" ref="AF558" si="2842">+AB558*(1+AF559)</f>
        <v>1298.9292</v>
      </c>
      <c r="AG558" s="879">
        <f>+AC558*(1-0.39)</f>
        <v>1309.8225</v>
      </c>
      <c r="AH558" s="879">
        <f>+AD558*(1-0.3)</f>
        <v>1158.08</v>
      </c>
      <c r="AI558" s="879">
        <f>+AE558*(1-0.2)</f>
        <v>1235.7632000000003</v>
      </c>
      <c r="AJ558" s="879">
        <f>+AF558*(1-0.22)</f>
        <v>1013.1647760000001</v>
      </c>
      <c r="AK558" s="879">
        <f>+AG558*(1-0.09)</f>
        <v>1191.9384749999999</v>
      </c>
      <c r="AL558" s="879">
        <f>+AH558*(1-0.17)</f>
        <v>961.20639999999992</v>
      </c>
      <c r="AM558" s="879">
        <f>+AI558*(1-0.11)</f>
        <v>1099.8292480000002</v>
      </c>
      <c r="AN558" s="879"/>
      <c r="AO558" s="879"/>
      <c r="AP558" s="879"/>
      <c r="AQ558" s="879"/>
      <c r="BH558" s="8">
        <f>+SUM(H558:K558)</f>
        <v>4026</v>
      </c>
      <c r="BI558" s="8">
        <f>+SUM(L558:O558)</f>
        <v>4651</v>
      </c>
      <c r="BJ558" s="8">
        <f>SUM(P558:S558)</f>
        <v>5719</v>
      </c>
      <c r="BK558" s="8">
        <f>SUM(T558:W558)</f>
        <v>6176</v>
      </c>
      <c r="BL558" s="8">
        <f>SUM(X558:AA558)</f>
        <v>6481.2</v>
      </c>
      <c r="BM558" s="8">
        <f>SUM(AB558:AE558)</f>
        <v>6619.8140000000003</v>
      </c>
      <c r="BN558" s="8">
        <f>SUM(AF558:AI558)</f>
        <v>5002.5949000000001</v>
      </c>
      <c r="BO558" s="8">
        <f>SUM(AJ558:AM558)</f>
        <v>4266.1388990000005</v>
      </c>
      <c r="BP558" s="8"/>
    </row>
    <row r="559" spans="2:71" s="3" customFormat="1">
      <c r="B559" s="13" t="s">
        <v>113</v>
      </c>
      <c r="D559" s="931"/>
      <c r="E559" s="931"/>
      <c r="F559" s="931"/>
      <c r="G559" s="931"/>
      <c r="H559" s="23">
        <f>+H558/D558-1</f>
        <v>0.37797619047619047</v>
      </c>
      <c r="I559" s="23">
        <f t="shared" ref="I559:K559" si="2843">+I558/E558-1</f>
        <v>-2.2928994082840215E-2</v>
      </c>
      <c r="J559" s="23">
        <f t="shared" si="2843"/>
        <v>-0.25202520252025207</v>
      </c>
      <c r="K559" s="23">
        <f t="shared" si="2843"/>
        <v>-1.7616580310880869E-2</v>
      </c>
      <c r="L559" s="23">
        <f>+L558/H558-1</f>
        <v>0.11987041036717061</v>
      </c>
      <c r="M559" s="23">
        <f t="shared" ref="M559:O559" si="2844">+M558/I558-1</f>
        <v>1.0598031794095464E-2</v>
      </c>
      <c r="N559" s="23">
        <f t="shared" si="2844"/>
        <v>0.31648616125150419</v>
      </c>
      <c r="O559" s="23">
        <f t="shared" si="2844"/>
        <v>0.25</v>
      </c>
      <c r="P559" s="23">
        <f t="shared" ref="P559" si="2845">+P558/L558-1</f>
        <v>0.13789778206364511</v>
      </c>
      <c r="Q559" s="23">
        <f t="shared" ref="Q559" si="2846">+Q558/M558-1</f>
        <v>0.39325842696629221</v>
      </c>
      <c r="R559" s="23">
        <f t="shared" ref="R559" si="2847">+R558/N558-1</f>
        <v>0.21480804387568564</v>
      </c>
      <c r="S559" s="23">
        <f t="shared" ref="S559" si="2848">+S558/O558-1</f>
        <v>0.139240506329114</v>
      </c>
      <c r="T559" s="23">
        <f t="shared" ref="T559" si="2849">+T558/P558-1</f>
        <v>-3.7288135593220306E-2</v>
      </c>
      <c r="U559" s="23">
        <f t="shared" ref="U559" si="2850">+U558/Q558-1</f>
        <v>6.2365591397849363E-2</v>
      </c>
      <c r="V559" s="23">
        <f t="shared" ref="V559" si="2851">+V558/R558-1</f>
        <v>8.2768999247555541E-3</v>
      </c>
      <c r="W559" s="23">
        <f t="shared" ref="W559" si="2852">+W558/S558-1</f>
        <v>0.27703703703703697</v>
      </c>
      <c r="X559" s="23">
        <f t="shared" ref="X559:Y559" si="2853">+X558/T558-1</f>
        <v>0.36707746478873249</v>
      </c>
      <c r="Y559" s="23">
        <f t="shared" si="2853"/>
        <v>3.4919028340080871E-2</v>
      </c>
      <c r="Z559" s="23">
        <f>+Z558/V558-1</f>
        <v>0.12238805970149258</v>
      </c>
      <c r="AA559" s="23">
        <f t="shared" ref="AA559" si="2854">+AA558/W558-1</f>
        <v>-0.19999999999999996</v>
      </c>
      <c r="AB559" s="23">
        <v>-0.18</v>
      </c>
      <c r="AC559" s="23">
        <v>0.05</v>
      </c>
      <c r="AD559" s="23">
        <v>0.1</v>
      </c>
      <c r="AE559" s="23">
        <v>0.12</v>
      </c>
      <c r="AF559" s="23">
        <v>0.02</v>
      </c>
      <c r="AG559" s="23">
        <f>+AG558/AC558-1</f>
        <v>-0.39</v>
      </c>
      <c r="AH559" s="23">
        <f>+AH558/AD558-1</f>
        <v>-0.30000000000000004</v>
      </c>
      <c r="AI559" s="23">
        <f t="shared" ref="AI559:AK559" si="2855">+AI558/AE558-1</f>
        <v>-0.19999999999999984</v>
      </c>
      <c r="AJ559" s="23">
        <f t="shared" si="2855"/>
        <v>-0.21999999999999997</v>
      </c>
      <c r="AK559" s="23">
        <f t="shared" si="2855"/>
        <v>-9.000000000000008E-2</v>
      </c>
      <c r="AL559" s="23">
        <f t="shared" ref="AL559" si="2856">+AL558/AH558-1</f>
        <v>-0.17000000000000004</v>
      </c>
      <c r="AM559" s="23">
        <f t="shared" ref="AM559" si="2857">+AM558/AI558-1</f>
        <v>-0.1100000000000001</v>
      </c>
      <c r="AN559" s="23"/>
      <c r="AO559" s="23"/>
      <c r="AP559" s="23"/>
      <c r="AQ559" s="23"/>
      <c r="BI559" s="23">
        <f t="shared" ref="BI559:BO559" si="2858">+BI558/BH558-1</f>
        <v>0.15524093392945848</v>
      </c>
      <c r="BJ559" s="23">
        <f t="shared" si="2858"/>
        <v>0.22962803698129441</v>
      </c>
      <c r="BK559" s="23">
        <f t="shared" si="2858"/>
        <v>7.9909075013114172E-2</v>
      </c>
      <c r="BL559" s="23">
        <f t="shared" si="2858"/>
        <v>4.941709844559572E-2</v>
      </c>
      <c r="BM559" s="23">
        <f t="shared" si="2858"/>
        <v>2.1387088810714161E-2</v>
      </c>
      <c r="BN559" s="23">
        <f t="shared" si="2858"/>
        <v>-0.24429977941978431</v>
      </c>
      <c r="BO559" s="23">
        <f t="shared" si="2858"/>
        <v>-0.14721479866378939</v>
      </c>
      <c r="BP559" s="23"/>
    </row>
    <row r="560" spans="2:71" s="3" customFormat="1">
      <c r="B560" s="13"/>
      <c r="D560" s="931"/>
      <c r="E560" s="931"/>
      <c r="F560" s="931"/>
      <c r="G560" s="931"/>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BI560" s="23"/>
      <c r="BJ560" s="23"/>
      <c r="BK560" s="23"/>
      <c r="BL560" s="23"/>
      <c r="BM560" s="23"/>
      <c r="BN560" s="23"/>
      <c r="BO560" s="23"/>
      <c r="BP560" s="23"/>
    </row>
    <row r="561" spans="2:72">
      <c r="B561" t="s">
        <v>434</v>
      </c>
      <c r="H561" s="879">
        <v>1885</v>
      </c>
      <c r="I561" s="879">
        <v>3617</v>
      </c>
      <c r="J561" s="879">
        <v>1906</v>
      </c>
      <c r="K561" s="879">
        <v>1643</v>
      </c>
      <c r="L561" s="879">
        <v>1896</v>
      </c>
      <c r="M561" s="879">
        <v>3920</v>
      </c>
      <c r="N561" s="879">
        <v>2251</v>
      </c>
      <c r="O561" s="879">
        <v>2286</v>
      </c>
      <c r="P561" s="880">
        <f>+L561*(1+P562)</f>
        <v>2730.24</v>
      </c>
      <c r="Q561" s="880">
        <f t="shared" ref="Q561:V561" si="2859">+M561*(1+Q562)</f>
        <v>4233.6000000000004</v>
      </c>
      <c r="R561" s="880">
        <f t="shared" si="2859"/>
        <v>2363.5500000000002</v>
      </c>
      <c r="S561" s="880">
        <f t="shared" si="2859"/>
        <v>2057.4</v>
      </c>
      <c r="T561" s="880">
        <f t="shared" si="2859"/>
        <v>2539.1231999999995</v>
      </c>
      <c r="U561" s="880">
        <f t="shared" si="2859"/>
        <v>3344.5440000000003</v>
      </c>
      <c r="V561" s="880">
        <f t="shared" si="2859"/>
        <v>2339.9145000000003</v>
      </c>
      <c r="W561" s="880">
        <f t="shared" ref="W561:X561" si="2860">+S561*(1+W562)</f>
        <v>3374.1360000000004</v>
      </c>
      <c r="X561" s="880">
        <f t="shared" si="2860"/>
        <v>3097.7303039999993</v>
      </c>
      <c r="Y561" s="880">
        <f t="shared" ref="Y561" si="2861">+U561*(1+Y562)</f>
        <v>5050.2614400000002</v>
      </c>
      <c r="Z561" s="880">
        <f t="shared" ref="Z561" si="2862">+V561*(1+Z562)</f>
        <v>3509.8717500000002</v>
      </c>
      <c r="AA561" s="880">
        <f t="shared" ref="AA561:AB561" si="2863">+W561*(1+AA562)</f>
        <v>3745.2909600000007</v>
      </c>
      <c r="AB561" s="880">
        <f t="shared" si="2863"/>
        <v>3593.3671526399989</v>
      </c>
      <c r="AC561" s="880">
        <f t="shared" ref="AC561:AD561" si="2864">+Y561*(1+AC562)</f>
        <v>5454.2823552000009</v>
      </c>
      <c r="AD561" s="880">
        <f t="shared" si="2864"/>
        <v>3720.4640550000004</v>
      </c>
      <c r="AE561" s="880">
        <f t="shared" ref="AE561" si="2865">+AA561*(1+AE562)</f>
        <v>3483.1205928000004</v>
      </c>
      <c r="AF561" s="880">
        <f t="shared" ref="AF561" si="2866">+AB561*(1+AF562)</f>
        <v>3737.1018387455993</v>
      </c>
      <c r="AG561" s="880">
        <f t="shared" ref="AG561" si="2867">+AC561*(1+AG562)</f>
        <v>4745.2256490240006</v>
      </c>
      <c r="AH561" s="880">
        <f t="shared" ref="AH561" si="2868">+AD561*(1+AH562)</f>
        <v>3571.6454928000003</v>
      </c>
      <c r="AI561" s="880">
        <f t="shared" ref="AI561:AK561" si="2869">+AE561*(1+AI562)</f>
        <v>3517.9517987280005</v>
      </c>
      <c r="AJ561" s="880">
        <f t="shared" si="2869"/>
        <v>4073.4410042327036</v>
      </c>
      <c r="AK561" s="880">
        <f t="shared" si="2869"/>
        <v>7070.3862170457605</v>
      </c>
      <c r="AL561" s="880">
        <f t="shared" ref="AL561" si="2870">+AH561*(1+AL562)</f>
        <v>5393.184694128</v>
      </c>
      <c r="AM561" s="880">
        <f t="shared" ref="AM561" si="2871">+AI561*(1+AM562)</f>
        <v>5065.8505901683202</v>
      </c>
      <c r="AN561" s="879"/>
      <c r="AO561" s="879"/>
      <c r="AP561" s="879"/>
      <c r="AQ561" s="879"/>
      <c r="BH561" s="8">
        <f>+SUM(H561:K561)</f>
        <v>9051</v>
      </c>
      <c r="BI561" s="8">
        <f>+SUM(L561:O561)</f>
        <v>10353</v>
      </c>
      <c r="BJ561" s="8">
        <f>SUM(P561:S561)</f>
        <v>11384.789999999999</v>
      </c>
      <c r="BK561" s="8">
        <f>SUM(T561:W561)</f>
        <v>11597.717700000001</v>
      </c>
      <c r="BL561" s="8">
        <f>SUM(X561:AA561)</f>
        <v>15403.154454</v>
      </c>
      <c r="BM561" s="8">
        <f>SUM(AB561:AE561)</f>
        <v>16251.234155640001</v>
      </c>
      <c r="BN561" s="8">
        <f>SUM(AF561:AI561)</f>
        <v>15571.924779297602</v>
      </c>
      <c r="BO561" s="8">
        <f>SUM(AJ561:AM561)</f>
        <v>21602.862505574787</v>
      </c>
      <c r="BP561" s="8"/>
    </row>
    <row r="562" spans="2:72">
      <c r="B562" s="13" t="s">
        <v>113</v>
      </c>
      <c r="G562" s="22"/>
      <c r="H562" s="22">
        <v>-0.05</v>
      </c>
      <c r="I562" s="22">
        <v>-0.03</v>
      </c>
      <c r="J562" s="22">
        <v>0.04</v>
      </c>
      <c r="K562" s="22">
        <v>0.03</v>
      </c>
      <c r="L562" s="23">
        <f>+L561/H561-1</f>
        <v>5.8355437665782439E-3</v>
      </c>
      <c r="M562" s="23">
        <f t="shared" ref="M562" si="2872">+M561/I561-1</f>
        <v>8.3771081006358772E-2</v>
      </c>
      <c r="N562" s="23">
        <f t="shared" ref="N562" si="2873">+N561/J561-1</f>
        <v>0.18100734522560336</v>
      </c>
      <c r="O562" s="23">
        <f t="shared" ref="O562" si="2874">+O561/K561-1</f>
        <v>0.39135727328058434</v>
      </c>
      <c r="P562" s="22">
        <v>0.44</v>
      </c>
      <c r="Q562" s="22">
        <v>0.08</v>
      </c>
      <c r="R562" s="22">
        <v>0.05</v>
      </c>
      <c r="S562" s="22">
        <v>-0.1</v>
      </c>
      <c r="T562" s="22">
        <v>-7.0000000000000007E-2</v>
      </c>
      <c r="U562" s="22">
        <v>-0.21</v>
      </c>
      <c r="V562" s="22">
        <v>-0.01</v>
      </c>
      <c r="W562" s="22">
        <v>0.64</v>
      </c>
      <c r="X562" s="22">
        <v>0.22</v>
      </c>
      <c r="Y562" s="22">
        <v>0.51</v>
      </c>
      <c r="Z562" s="22">
        <v>0.5</v>
      </c>
      <c r="AA562" s="22">
        <v>0.11</v>
      </c>
      <c r="AB562" s="22">
        <v>0.16</v>
      </c>
      <c r="AC562" s="22">
        <v>0.08</v>
      </c>
      <c r="AD562" s="22">
        <v>0.06</v>
      </c>
      <c r="AE562" s="22">
        <v>-7.0000000000000007E-2</v>
      </c>
      <c r="AF562" s="22">
        <v>0.04</v>
      </c>
      <c r="AG562" s="22">
        <v>-0.13</v>
      </c>
      <c r="AH562" s="22">
        <v>-0.04</v>
      </c>
      <c r="AI562" s="22">
        <v>0.01</v>
      </c>
      <c r="AJ562" s="22">
        <v>0.09</v>
      </c>
      <c r="AK562" s="22">
        <v>0.49</v>
      </c>
      <c r="AL562" s="22">
        <v>0.51</v>
      </c>
      <c r="AM562" s="22">
        <v>0.44</v>
      </c>
      <c r="AN562" s="23"/>
      <c r="AO562" s="23"/>
      <c r="AP562" s="23"/>
      <c r="AQ562" s="23"/>
      <c r="BH562" s="8"/>
      <c r="BI562" s="23">
        <f>+BI561/BH561-1</f>
        <v>0.14385150812064973</v>
      </c>
      <c r="BJ562" s="23">
        <f>+BJ561/BI561-1</f>
        <v>9.9660967835409897E-2</v>
      </c>
      <c r="BK562" s="23">
        <f>+BK561/BJ561-1</f>
        <v>1.8702821922934154E-2</v>
      </c>
      <c r="BL562" s="23">
        <f>+BL561/BK561-1</f>
        <v>0.32811945008801158</v>
      </c>
      <c r="BM562" s="23">
        <f t="shared" ref="BM562:BO562" si="2875">+BM561/BL561-1</f>
        <v>5.5058832538017244E-2</v>
      </c>
      <c r="BN562" s="23">
        <f t="shared" si="2875"/>
        <v>-4.1800479264317514E-2</v>
      </c>
      <c r="BO562" s="23">
        <f t="shared" si="2875"/>
        <v>0.38729558559742938</v>
      </c>
      <c r="BP562" s="23"/>
    </row>
    <row r="563" spans="2:72">
      <c r="AK563" s="9"/>
    </row>
    <row r="564" spans="2:72" ht="10.5">
      <c r="B564" s="45" t="s">
        <v>435</v>
      </c>
      <c r="AA564" s="9"/>
      <c r="AC564" s="9"/>
      <c r="AG564" s="8"/>
      <c r="AK564" s="9"/>
      <c r="BK564" s="9"/>
      <c r="BL564" s="9"/>
      <c r="BM564" s="9"/>
      <c r="BN564" s="9"/>
    </row>
    <row r="565" spans="2:72" s="100" customFormat="1">
      <c r="B565" s="100" t="s">
        <v>436</v>
      </c>
      <c r="H565" s="880">
        <v>2955.4280972923148</v>
      </c>
      <c r="I565" s="880">
        <v>3002.8494671961698</v>
      </c>
      <c r="J565" s="880">
        <v>2704.583035157154</v>
      </c>
      <c r="K565" s="11">
        <v>2933.9740834197792</v>
      </c>
      <c r="L565" s="880">
        <v>3040.9078141014156</v>
      </c>
      <c r="M565" s="880">
        <v>3110.1077652850854</v>
      </c>
      <c r="N565" s="880">
        <v>2816.1564813988643</v>
      </c>
      <c r="O565" s="11">
        <v>3148.2438291158132</v>
      </c>
      <c r="P565" s="880">
        <v>3124.9619680638589</v>
      </c>
      <c r="Q565" s="880">
        <v>2937.405824168467</v>
      </c>
      <c r="R565" s="880">
        <v>3061.5523811302801</v>
      </c>
      <c r="S565" s="11">
        <v>3432.103087089512</v>
      </c>
      <c r="T565" s="880">
        <v>3406.8555019030559</v>
      </c>
      <c r="U565" s="880">
        <v>3479.3762392136173</v>
      </c>
      <c r="V565" s="880">
        <v>3051.2126537303793</v>
      </c>
      <c r="W565" s="880">
        <v>3579.1874370088094</v>
      </c>
      <c r="X565" s="880">
        <v>3235.3037798967353</v>
      </c>
      <c r="Y565" s="880">
        <v>3524.5584549231007</v>
      </c>
      <c r="Z565" s="880">
        <v>3360.8575466128373</v>
      </c>
      <c r="AA565" s="880">
        <v>3582.536468540683</v>
      </c>
      <c r="AB565" s="880">
        <v>3552.7514418169508</v>
      </c>
      <c r="AC565" s="880">
        <v>4382.7906903824678</v>
      </c>
      <c r="AD565" s="880">
        <v>3721.5642183242271</v>
      </c>
      <c r="AE565" s="880">
        <v>3502.3913551873493</v>
      </c>
      <c r="AF565" s="880">
        <v>3027.8865095877313</v>
      </c>
      <c r="AG565" s="880">
        <v>2678.3732910283975</v>
      </c>
      <c r="AH565" s="880">
        <f>+AD565*(1+AH575)</f>
        <v>2679.5262371934436</v>
      </c>
      <c r="AI565" s="11">
        <f>+AE565*(1+AI575)</f>
        <v>3082.1043925648673</v>
      </c>
      <c r="AJ565" s="11">
        <f>+AF565*(1+AJ575)</f>
        <v>3149.0019699712407</v>
      </c>
      <c r="AK565" s="11">
        <f>+AG565*(1+AK575)</f>
        <v>2972.9943530415217</v>
      </c>
      <c r="AL565" s="11">
        <f t="shared" ref="AL565:AL566" si="2876">+AH565*(1+AL575)</f>
        <v>2974.2741232847229</v>
      </c>
      <c r="AM565" s="11">
        <f t="shared" ref="AM565:AM566" si="2877">+AI565*(1+AM575)</f>
        <v>3205.3885682674622</v>
      </c>
      <c r="AN565" s="1098">
        <f>+'Windows OEM'!AO36</f>
        <v>3149.0019699712407</v>
      </c>
      <c r="AO565" s="1098">
        <f>+'Windows OEM'!AP36</f>
        <v>2972.9943530415217</v>
      </c>
      <c r="AP565" s="1098">
        <f>+'Windows OEM'!AQ36</f>
        <v>3122.987829448959</v>
      </c>
      <c r="AQ565" s="1098">
        <f>+'Windows OEM'!AR36</f>
        <v>3365.6579966808354</v>
      </c>
      <c r="AV565" s="880"/>
      <c r="AW565" s="880"/>
      <c r="AX565" s="880"/>
      <c r="AY565" s="880"/>
      <c r="AZ565" s="880"/>
      <c r="BA565" s="880"/>
      <c r="BB565" s="880"/>
      <c r="BC565" s="880"/>
      <c r="BD565" s="880"/>
      <c r="BH565" s="880">
        <f t="shared" ref="BH565:BH572" si="2878">SUM(H565:K565)</f>
        <v>11596.834683065419</v>
      </c>
      <c r="BI565" s="880">
        <f t="shared" ref="BI565:BI572" si="2879">SUM(L565:O565)</f>
        <v>12115.415889901178</v>
      </c>
      <c r="BJ565" s="880">
        <f t="shared" ref="BJ565:BJ572" si="2880">SUM(P565:S565)</f>
        <v>12556.023260452119</v>
      </c>
      <c r="BK565" s="880">
        <f>SUM(T565:W565)</f>
        <v>13516.631831855862</v>
      </c>
      <c r="BL565" s="880">
        <f>SUM(X565:AA565)</f>
        <v>13703.256249973358</v>
      </c>
      <c r="BM565" s="880">
        <f>SUM(AB565:AE565)</f>
        <v>15159.497705710994</v>
      </c>
      <c r="BN565" s="880">
        <f>SUM(AF565:AI565)</f>
        <v>11467.890430374438</v>
      </c>
      <c r="BO565" s="880">
        <f>SUM(AJ565:AM565)</f>
        <v>12301.659014564948</v>
      </c>
      <c r="BP565" s="880">
        <f>+SUM(AN565:AQ565)</f>
        <v>12610.642149142557</v>
      </c>
    </row>
    <row r="566" spans="2:72" s="100" customFormat="1" ht="11.45">
      <c r="B566" s="100" t="s">
        <v>437</v>
      </c>
      <c r="H566" s="906">
        <f t="shared" ref="H566:S566" si="2881">+H567-H565</f>
        <v>1687.5719027076852</v>
      </c>
      <c r="I566" s="906">
        <f t="shared" si="2881"/>
        <v>1802.1505328038302</v>
      </c>
      <c r="J566" s="906">
        <f t="shared" si="2881"/>
        <v>1548.416964842846</v>
      </c>
      <c r="K566" s="34">
        <f t="shared" si="2881"/>
        <v>1958.0259165802208</v>
      </c>
      <c r="L566" s="906">
        <f t="shared" si="2881"/>
        <v>1602.0921858985844</v>
      </c>
      <c r="M566" s="906">
        <f t="shared" si="2881"/>
        <v>1728.8922347149146</v>
      </c>
      <c r="N566" s="906">
        <f t="shared" si="2881"/>
        <v>1795.8435186011357</v>
      </c>
      <c r="O566" s="34">
        <f t="shared" si="2881"/>
        <v>2275.7561708841868</v>
      </c>
      <c r="P566" s="906">
        <f t="shared" si="2881"/>
        <v>1776.0380319361411</v>
      </c>
      <c r="Q566" s="906">
        <f t="shared" si="2881"/>
        <v>1820.594175831533</v>
      </c>
      <c r="R566" s="906">
        <f t="shared" si="2881"/>
        <v>1882.4476188697199</v>
      </c>
      <c r="S566" s="34">
        <f t="shared" si="2881"/>
        <v>2359.896912910488</v>
      </c>
      <c r="T566" s="906">
        <f>+T567-T565</f>
        <v>1946.1444980969441</v>
      </c>
      <c r="U566" s="906">
        <f t="shared" ref="U566:AG566" si="2882">+U567-U565</f>
        <v>2113.6237607863827</v>
      </c>
      <c r="V566" s="906">
        <f t="shared" si="2882"/>
        <v>2168.7873462696207</v>
      </c>
      <c r="W566" s="906">
        <f t="shared" si="2882"/>
        <v>2548.8125629911906</v>
      </c>
      <c r="X566" s="906">
        <f t="shared" si="2882"/>
        <v>1915.6962201032647</v>
      </c>
      <c r="Y566" s="906">
        <f t="shared" si="2882"/>
        <v>1989.4415450768993</v>
      </c>
      <c r="Z566" s="906">
        <f t="shared" si="2882"/>
        <v>2102.1424533871627</v>
      </c>
      <c r="AA566" s="906">
        <f t="shared" si="2882"/>
        <v>2777.463531459317</v>
      </c>
      <c r="AB566" s="906">
        <f t="shared" si="2882"/>
        <v>2123.2485581830492</v>
      </c>
      <c r="AC566" s="906">
        <f t="shared" si="2882"/>
        <v>2211.2093096175322</v>
      </c>
      <c r="AD566" s="906">
        <f t="shared" si="2882"/>
        <v>2355.4357816757729</v>
      </c>
      <c r="AE566" s="906">
        <f t="shared" si="2882"/>
        <v>2911.6086448126507</v>
      </c>
      <c r="AF566" s="906">
        <f t="shared" si="2882"/>
        <v>2285.1134904122687</v>
      </c>
      <c r="AG566" s="906">
        <f t="shared" si="2882"/>
        <v>2129.6267089716025</v>
      </c>
      <c r="AH566" s="34">
        <f>+AD566*(1+AH576)</f>
        <v>2685.1967911103816</v>
      </c>
      <c r="AI566" s="34">
        <f t="shared" ref="AI566" si="2883">+AE566*(1+AI576)</f>
        <v>2969.8408177089036</v>
      </c>
      <c r="AJ566" s="34">
        <f t="shared" ref="AJ566:AK566" si="2884">+AF566*(1+AJ576)</f>
        <v>2467.9225696452504</v>
      </c>
      <c r="AK566" s="34">
        <f t="shared" si="2884"/>
        <v>2321.2931127790471</v>
      </c>
      <c r="AL566" s="34">
        <f t="shared" si="2876"/>
        <v>3034.2723739547309</v>
      </c>
      <c r="AM566" s="34">
        <f t="shared" si="2877"/>
        <v>3296.5233076568834</v>
      </c>
      <c r="AN566" s="34">
        <f t="shared" ref="AN566" si="2885">+AJ566*(1+AN576)</f>
        <v>2591.318698127513</v>
      </c>
      <c r="AO566" s="34">
        <f t="shared" ref="AO566" si="2886">+AK566*(1+AO576)</f>
        <v>2437.3577684179995</v>
      </c>
      <c r="AP566" s="34">
        <f t="shared" ref="AP566" si="2887">+AL566*(1+AP576)</f>
        <v>3185.9859926524678</v>
      </c>
      <c r="AQ566" s="34">
        <f t="shared" ref="AQ566" si="2888">+AM566*(1+AQ576)</f>
        <v>3461.3494730397279</v>
      </c>
      <c r="AV566" s="906"/>
      <c r="AW566" s="906"/>
      <c r="AX566" s="906"/>
      <c r="AY566" s="906"/>
      <c r="AZ566" s="906"/>
      <c r="BA566" s="906"/>
      <c r="BB566" s="906"/>
      <c r="BC566" s="906"/>
      <c r="BD566" s="906"/>
      <c r="BH566" s="906">
        <f t="shared" si="2878"/>
        <v>6996.1653169345818</v>
      </c>
      <c r="BI566" s="906">
        <f t="shared" si="2879"/>
        <v>7402.5841100988209</v>
      </c>
      <c r="BJ566" s="906">
        <f t="shared" si="2880"/>
        <v>7838.9767395478821</v>
      </c>
      <c r="BK566" s="906">
        <f t="shared" ref="BK566:BK572" si="2889">SUM(T566:W566)</f>
        <v>8777.3681681441376</v>
      </c>
      <c r="BL566" s="906">
        <f t="shared" ref="BL566:BL572" si="2890">SUM(X566:AA566)</f>
        <v>8784.7437500266424</v>
      </c>
      <c r="BM566" s="906">
        <f t="shared" ref="BM566:BM572" si="2891">SUM(AB566:AE566)</f>
        <v>9601.5022942890064</v>
      </c>
      <c r="BN566" s="906">
        <f t="shared" ref="BN566:BN572" si="2892">SUM(AF566:AI566)</f>
        <v>10069.777808203156</v>
      </c>
      <c r="BO566" s="906">
        <f t="shared" ref="BO566:BO572" si="2893">SUM(AJ566:AM566)</f>
        <v>11120.011364035912</v>
      </c>
      <c r="BP566" s="906">
        <f t="shared" ref="BP566:BP572" si="2894">+SUM(AN566:AQ566)</f>
        <v>11676.011932237707</v>
      </c>
    </row>
    <row r="567" spans="2:72" s="100" customFormat="1">
      <c r="B567" s="1096" t="s">
        <v>438</v>
      </c>
      <c r="H567" s="11">
        <v>4643</v>
      </c>
      <c r="I567" s="11">
        <v>4805</v>
      </c>
      <c r="J567" s="11">
        <v>4253</v>
      </c>
      <c r="K567" s="11">
        <v>4892</v>
      </c>
      <c r="L567" s="11">
        <v>4643</v>
      </c>
      <c r="M567" s="11">
        <v>4839</v>
      </c>
      <c r="N567" s="11">
        <v>4612</v>
      </c>
      <c r="O567" s="11">
        <v>5424</v>
      </c>
      <c r="P567" s="11">
        <v>4901</v>
      </c>
      <c r="Q567" s="11">
        <v>4758</v>
      </c>
      <c r="R567" s="11">
        <v>4944</v>
      </c>
      <c r="S567" s="11">
        <v>5792</v>
      </c>
      <c r="T567" s="11">
        <v>5353</v>
      </c>
      <c r="U567" s="11">
        <v>5593</v>
      </c>
      <c r="V567" s="11">
        <v>5220</v>
      </c>
      <c r="W567" s="11">
        <v>6128</v>
      </c>
      <c r="X567" s="11">
        <v>5151</v>
      </c>
      <c r="Y567" s="11">
        <v>5514</v>
      </c>
      <c r="Z567" s="11">
        <v>5463</v>
      </c>
      <c r="AA567" s="11">
        <v>6360</v>
      </c>
      <c r="AB567" s="11">
        <v>5676</v>
      </c>
      <c r="AC567" s="11">
        <v>6594</v>
      </c>
      <c r="AD567" s="11">
        <v>6077</v>
      </c>
      <c r="AE567" s="11">
        <v>6414</v>
      </c>
      <c r="AF567" s="11">
        <v>5313</v>
      </c>
      <c r="AG567" s="11">
        <v>4808</v>
      </c>
      <c r="AH567" s="11">
        <f>SUM(AH565:AH566)</f>
        <v>5364.7230283038252</v>
      </c>
      <c r="AI567" s="11">
        <f t="shared" ref="AI567" si="2895">SUM(AI565:AI566)</f>
        <v>6051.9452102737705</v>
      </c>
      <c r="AJ567" s="11">
        <f t="shared" ref="AJ567:AK567" si="2896">SUM(AJ565:AJ566)</f>
        <v>5616.9245396164915</v>
      </c>
      <c r="AK567" s="11">
        <f t="shared" si="2896"/>
        <v>5294.2874658205692</v>
      </c>
      <c r="AL567" s="11">
        <f t="shared" ref="AL567:AM567" si="2897">SUM(AL565:AL566)</f>
        <v>6008.5464972394539</v>
      </c>
      <c r="AM567" s="11">
        <f t="shared" si="2897"/>
        <v>6501.9118759243456</v>
      </c>
      <c r="AN567" s="11">
        <f t="shared" ref="AN567:AQ567" si="2898">SUM(AN565:AN566)</f>
        <v>5740.3206680987532</v>
      </c>
      <c r="AO567" s="11">
        <f t="shared" si="2898"/>
        <v>5410.3521214595212</v>
      </c>
      <c r="AP567" s="11">
        <f t="shared" si="2898"/>
        <v>6308.9738221014268</v>
      </c>
      <c r="AQ567" s="11">
        <f t="shared" si="2898"/>
        <v>6827.0074697205637</v>
      </c>
      <c r="AV567" s="11"/>
      <c r="AW567" s="11"/>
      <c r="AX567" s="11"/>
      <c r="AY567" s="11"/>
      <c r="AZ567" s="11"/>
      <c r="BA567" s="11"/>
      <c r="BB567" s="11"/>
      <c r="BC567" s="11"/>
      <c r="BD567" s="11"/>
      <c r="BH567" s="11">
        <f t="shared" si="2878"/>
        <v>18593</v>
      </c>
      <c r="BI567" s="11">
        <f t="shared" si="2879"/>
        <v>19518</v>
      </c>
      <c r="BJ567" s="11">
        <f t="shared" si="2880"/>
        <v>20395</v>
      </c>
      <c r="BK567" s="11">
        <f t="shared" si="2889"/>
        <v>22294</v>
      </c>
      <c r="BL567" s="11">
        <f t="shared" si="2890"/>
        <v>22488</v>
      </c>
      <c r="BM567" s="11">
        <f t="shared" si="2891"/>
        <v>24761</v>
      </c>
      <c r="BN567" s="11">
        <f t="shared" si="2892"/>
        <v>21537.668238577597</v>
      </c>
      <c r="BO567" s="11">
        <f t="shared" si="2893"/>
        <v>23421.670378600862</v>
      </c>
      <c r="BP567" s="11">
        <f t="shared" si="2894"/>
        <v>24286.654081380264</v>
      </c>
    </row>
    <row r="568" spans="2:72" s="100" customFormat="1">
      <c r="B568" s="100" t="s">
        <v>439</v>
      </c>
      <c r="H568" s="880">
        <v>1885</v>
      </c>
      <c r="I568" s="880">
        <v>3617</v>
      </c>
      <c r="J568" s="880">
        <v>1906</v>
      </c>
      <c r="K568" s="11">
        <v>1643</v>
      </c>
      <c r="L568" s="880">
        <v>1896</v>
      </c>
      <c r="M568" s="880">
        <v>3920</v>
      </c>
      <c r="N568" s="880">
        <v>2251</v>
      </c>
      <c r="O568" s="11">
        <v>2286</v>
      </c>
      <c r="P568" s="880">
        <v>2738</v>
      </c>
      <c r="Q568" s="880">
        <v>4232</v>
      </c>
      <c r="R568" s="880">
        <v>2363</v>
      </c>
      <c r="S568" s="11">
        <v>2053</v>
      </c>
      <c r="T568" s="880">
        <v>2542</v>
      </c>
      <c r="U568" s="880">
        <v>3327</v>
      </c>
      <c r="V568" s="880">
        <v>2349</v>
      </c>
      <c r="W568" s="880">
        <v>3357</v>
      </c>
      <c r="X568" s="880">
        <v>3092</v>
      </c>
      <c r="Y568" s="880">
        <v>5031</v>
      </c>
      <c r="Z568" s="880">
        <v>3533</v>
      </c>
      <c r="AA568" s="880">
        <v>3714</v>
      </c>
      <c r="AB568" s="880">
        <v>3593</v>
      </c>
      <c r="AC568" s="880">
        <v>5442</v>
      </c>
      <c r="AD568" s="880">
        <v>3740</v>
      </c>
      <c r="AE568" s="880">
        <v>3455</v>
      </c>
      <c r="AF568" s="880">
        <v>3610</v>
      </c>
      <c r="AG568" s="880">
        <v>4758</v>
      </c>
      <c r="AH568" s="11">
        <f t="shared" ref="AH568" si="2899">+AD568*(1+AH578)</f>
        <v>3590.4</v>
      </c>
      <c r="AI568" s="11">
        <f t="shared" ref="AI568" si="2900">+AE568*(1+AI578)</f>
        <v>3489.55</v>
      </c>
      <c r="AJ568" s="11">
        <f t="shared" ref="AJ568:AK569" si="2901">+AF568*(1+AJ578)</f>
        <v>3934.9</v>
      </c>
      <c r="AK568" s="11">
        <f>+AG568*(1+AK562)-AK571</f>
        <v>5009.42</v>
      </c>
      <c r="AL568" s="11">
        <f t="shared" ref="AL568" si="2902">+AH568*(1+AL562)-AL571</f>
        <v>3451.5039999999999</v>
      </c>
      <c r="AM568" s="11">
        <f t="shared" ref="AM568" si="2903">+AI568*(1+AM562)-AM571</f>
        <v>3344.9520000000002</v>
      </c>
      <c r="AN568" s="11">
        <f t="shared" ref="AN568:AN570" si="2904">+AJ568*(1+AN578)</f>
        <v>3659.4569999999999</v>
      </c>
      <c r="AO568" s="11">
        <f t="shared" ref="AO568:AO570" si="2905">+AK568*(1+AO578)</f>
        <v>4658.7605999999996</v>
      </c>
      <c r="AP568" s="11">
        <f t="shared" ref="AP568:AP570" si="2906">+AL568*(1+AP578)</f>
        <v>3624.0792000000001</v>
      </c>
      <c r="AQ568" s="11">
        <f t="shared" ref="AQ568:AQ570" si="2907">+AM568*(1+AQ578)</f>
        <v>3679.4472000000005</v>
      </c>
      <c r="AV568" s="880"/>
      <c r="AW568" s="880"/>
      <c r="AX568" s="880"/>
      <c r="AY568" s="880"/>
      <c r="AZ568" s="880"/>
      <c r="BA568" s="880"/>
      <c r="BB568" s="880"/>
      <c r="BC568" s="880"/>
      <c r="BD568" s="880"/>
      <c r="BH568" s="880">
        <f t="shared" si="2878"/>
        <v>9051</v>
      </c>
      <c r="BI568" s="880">
        <f t="shared" si="2879"/>
        <v>10353</v>
      </c>
      <c r="BJ568" s="880">
        <f t="shared" si="2880"/>
        <v>11386</v>
      </c>
      <c r="BK568" s="880">
        <f t="shared" si="2889"/>
        <v>11575</v>
      </c>
      <c r="BL568" s="880">
        <f t="shared" si="2890"/>
        <v>15370</v>
      </c>
      <c r="BM568" s="880">
        <f t="shared" si="2891"/>
        <v>16230</v>
      </c>
      <c r="BN568" s="880">
        <f t="shared" si="2892"/>
        <v>15447.95</v>
      </c>
      <c r="BO568" s="880">
        <f t="shared" si="2893"/>
        <v>15740.776000000002</v>
      </c>
      <c r="BP568" s="880">
        <f t="shared" si="2894"/>
        <v>15621.744000000001</v>
      </c>
    </row>
    <row r="569" spans="2:72" s="100" customFormat="1">
      <c r="B569" s="100" t="s">
        <v>440</v>
      </c>
      <c r="H569" s="880">
        <v>1429</v>
      </c>
      <c r="I569" s="880">
        <v>1605</v>
      </c>
      <c r="J569" s="880">
        <v>1599</v>
      </c>
      <c r="K569" s="11">
        <v>1586</v>
      </c>
      <c r="L569" s="880">
        <v>1639</v>
      </c>
      <c r="M569" s="880">
        <v>1820</v>
      </c>
      <c r="N569" s="880">
        <v>1784</v>
      </c>
      <c r="O569" s="11">
        <v>1769</v>
      </c>
      <c r="P569" s="880">
        <v>1788</v>
      </c>
      <c r="Q569" s="880">
        <v>1976</v>
      </c>
      <c r="R569" s="880">
        <v>1911</v>
      </c>
      <c r="S569" s="11">
        <v>1953</v>
      </c>
      <c r="T569" s="880">
        <v>1991</v>
      </c>
      <c r="U569" s="880">
        <v>2163</v>
      </c>
      <c r="V569" s="880">
        <v>1986</v>
      </c>
      <c r="W569" s="880">
        <v>1600</v>
      </c>
      <c r="X569" s="880">
        <v>1943</v>
      </c>
      <c r="Y569" s="880">
        <v>2386</v>
      </c>
      <c r="Z569" s="880">
        <v>2401</v>
      </c>
      <c r="AA569" s="880">
        <v>2537</v>
      </c>
      <c r="AB569" s="880">
        <v>2656</v>
      </c>
      <c r="AC569" s="880">
        <v>3064</v>
      </c>
      <c r="AD569" s="880">
        <v>2945</v>
      </c>
      <c r="AE569" s="880">
        <v>2926</v>
      </c>
      <c r="AF569" s="880">
        <v>2928</v>
      </c>
      <c r="AG569" s="880">
        <v>3223</v>
      </c>
      <c r="AH569" s="11">
        <f>+AD569*(1+AH579)</f>
        <v>3239.5000000000005</v>
      </c>
      <c r="AI569" s="11">
        <f t="shared" ref="AI569" si="2908">+AE569*(1+AI579)</f>
        <v>3160.0800000000004</v>
      </c>
      <c r="AJ569" s="11">
        <f t="shared" si="2901"/>
        <v>3220.8</v>
      </c>
      <c r="AK569" s="11">
        <f t="shared" si="2901"/>
        <v>3480.84</v>
      </c>
      <c r="AL569" s="11">
        <f t="shared" ref="AL569" si="2909">+AH569*(1+AL579)</f>
        <v>3628.2400000000007</v>
      </c>
      <c r="AM569" s="11">
        <f t="shared" ref="AM569" si="2910">+AI569*(1+AM579)</f>
        <v>3760.4952000000003</v>
      </c>
      <c r="AN569" s="11">
        <f t="shared" si="2904"/>
        <v>3736.1280000000002</v>
      </c>
      <c r="AO569" s="11">
        <f t="shared" si="2905"/>
        <v>4037.7743999999998</v>
      </c>
      <c r="AP569" s="11">
        <f t="shared" si="2906"/>
        <v>4208.7584000000006</v>
      </c>
      <c r="AQ569" s="11">
        <f t="shared" si="2907"/>
        <v>4136.5447200000008</v>
      </c>
      <c r="AV569" s="880"/>
      <c r="AW569" s="880"/>
      <c r="AX569" s="880"/>
      <c r="AY569" s="880"/>
      <c r="AZ569" s="880"/>
      <c r="BA569" s="880"/>
      <c r="BB569" s="880"/>
      <c r="BC569" s="880"/>
      <c r="BD569" s="880"/>
      <c r="BH569" s="880">
        <f t="shared" si="2878"/>
        <v>6219</v>
      </c>
      <c r="BI569" s="880">
        <f t="shared" si="2879"/>
        <v>7012</v>
      </c>
      <c r="BJ569" s="880">
        <f t="shared" si="2880"/>
        <v>7628</v>
      </c>
      <c r="BK569" s="880">
        <f t="shared" si="2889"/>
        <v>7740</v>
      </c>
      <c r="BL569" s="880">
        <f t="shared" si="2890"/>
        <v>9267</v>
      </c>
      <c r="BM569" s="880">
        <f t="shared" si="2891"/>
        <v>11591</v>
      </c>
      <c r="BN569" s="880">
        <f t="shared" si="2892"/>
        <v>12550.58</v>
      </c>
      <c r="BO569" s="880">
        <f t="shared" si="2893"/>
        <v>14090.375200000002</v>
      </c>
      <c r="BP569" s="880">
        <f t="shared" si="2894"/>
        <v>16119.205520000003</v>
      </c>
    </row>
    <row r="570" spans="2:72" s="100" customFormat="1">
      <c r="B570" s="100" t="s">
        <v>441</v>
      </c>
      <c r="H570" s="880">
        <f t="shared" ref="H570" si="2911">+H572-SUM(H567:H569)</f>
        <v>1438</v>
      </c>
      <c r="I570" s="880">
        <f t="shared" ref="I570" si="2912">+I572-SUM(I567:I569)</f>
        <v>1862</v>
      </c>
      <c r="J570" s="880">
        <f t="shared" ref="J570" si="2913">+J572-SUM(J567:J569)</f>
        <v>1017</v>
      </c>
      <c r="K570" s="11">
        <f t="shared" ref="K570" si="2914">+K572-SUM(K567:K569)</f>
        <v>1114</v>
      </c>
      <c r="L570" s="880">
        <f t="shared" ref="L570" si="2915">+L572-SUM(L567:L569)</f>
        <v>1200</v>
      </c>
      <c r="M570" s="880">
        <f t="shared" ref="M570" si="2916">+M572-SUM(M567:M569)</f>
        <v>1591</v>
      </c>
      <c r="N570" s="880">
        <f t="shared" ref="N570" si="2917">+N572-SUM(N567:N569)</f>
        <v>1270</v>
      </c>
      <c r="O570" s="11">
        <f t="shared" ref="O570" si="2918">+O572-SUM(O567:O569)</f>
        <v>1332</v>
      </c>
      <c r="P570" s="880">
        <f t="shared" ref="P570" si="2919">+P572-SUM(P567:P569)</f>
        <v>1319</v>
      </c>
      <c r="Q570" s="880">
        <f t="shared" ref="Q570" si="2920">+Q572-SUM(Q567:Q569)</f>
        <v>2027</v>
      </c>
      <c r="R570" s="880">
        <f t="shared" ref="R570" si="2921">+R572-SUM(R567:R569)</f>
        <v>1462</v>
      </c>
      <c r="S570" s="11">
        <f t="shared" ref="S570" si="2922">+S572-SUM(S567:S569)</f>
        <v>1481</v>
      </c>
      <c r="T570" s="880">
        <f t="shared" ref="T570:AF570" si="2923">+T572-SUM(T567:T569)</f>
        <v>1247</v>
      </c>
      <c r="U570" s="880">
        <f t="shared" si="2923"/>
        <v>2128</v>
      </c>
      <c r="V570" s="880">
        <f t="shared" si="2923"/>
        <v>1442</v>
      </c>
      <c r="W570" s="880">
        <f t="shared" si="2923"/>
        <v>1825</v>
      </c>
      <c r="X570" s="880">
        <f t="shared" si="2923"/>
        <v>1663</v>
      </c>
      <c r="Y570" s="880">
        <f t="shared" si="2923"/>
        <v>2191</v>
      </c>
      <c r="Z570" s="880">
        <f t="shared" si="2923"/>
        <v>1639</v>
      </c>
      <c r="AA570" s="880">
        <f t="shared" si="2923"/>
        <v>1475</v>
      </c>
      <c r="AB570" s="880">
        <f t="shared" si="2923"/>
        <v>1389</v>
      </c>
      <c r="AC570" s="880">
        <f t="shared" si="2923"/>
        <v>2365</v>
      </c>
      <c r="AD570" s="880">
        <f t="shared" si="2923"/>
        <v>1758</v>
      </c>
      <c r="AE570" s="880">
        <f t="shared" si="2923"/>
        <v>1561</v>
      </c>
      <c r="AF570" s="880">
        <f t="shared" si="2923"/>
        <v>1481</v>
      </c>
      <c r="AG570" s="880">
        <f>+AG572-SUM(AG567:AG569)</f>
        <v>1448</v>
      </c>
      <c r="AH570" s="11">
        <f>+AH572-SUM(AH567:AH569)</f>
        <v>1065.3769716961742</v>
      </c>
      <c r="AI570" s="11">
        <f t="shared" ref="AI570" si="2924">+AI572-SUM(AI567:AI569)</f>
        <v>1203.4247897262303</v>
      </c>
      <c r="AJ570" s="11">
        <f>+AJ572-SUM(AJ567:AJ569)-AJ571</f>
        <v>893.37546038350774</v>
      </c>
      <c r="AK570" s="11">
        <f>+AK572-SUM(AK567:AK569)-AK571</f>
        <v>1026.4525341794306</v>
      </c>
      <c r="AL570" s="11">
        <f t="shared" ref="AL570:AM570" si="2925">+AL572-SUM(AL567:AL569)-AL571</f>
        <v>521.70950276054646</v>
      </c>
      <c r="AM570" s="11">
        <f t="shared" si="2925"/>
        <v>607.64092407565477</v>
      </c>
      <c r="AN570" s="11">
        <f t="shared" si="2904"/>
        <v>893.37546038350774</v>
      </c>
      <c r="AO570" s="11">
        <f t="shared" si="2905"/>
        <v>1026.4525341794306</v>
      </c>
      <c r="AP570" s="11">
        <f t="shared" si="2906"/>
        <v>521.70950276054646</v>
      </c>
      <c r="AQ570" s="11">
        <f t="shared" si="2907"/>
        <v>607.64092407565477</v>
      </c>
      <c r="AV570" s="880"/>
      <c r="AW570" s="880"/>
      <c r="AX570" s="880"/>
      <c r="AY570" s="880"/>
      <c r="AZ570" s="880"/>
      <c r="BA570" s="880"/>
      <c r="BB570" s="880"/>
      <c r="BC570" s="880"/>
      <c r="BD570" s="880"/>
      <c r="BH570" s="880">
        <f t="shared" si="2878"/>
        <v>5431</v>
      </c>
      <c r="BI570" s="880">
        <f t="shared" si="2879"/>
        <v>5393</v>
      </c>
      <c r="BJ570" s="880">
        <f t="shared" si="2880"/>
        <v>6289</v>
      </c>
      <c r="BK570" s="880">
        <f t="shared" si="2889"/>
        <v>6642</v>
      </c>
      <c r="BL570" s="880">
        <f t="shared" si="2890"/>
        <v>6968</v>
      </c>
      <c r="BM570" s="880">
        <f t="shared" si="2891"/>
        <v>7073</v>
      </c>
      <c r="BN570" s="880">
        <f t="shared" si="2892"/>
        <v>5197.8017614224045</v>
      </c>
      <c r="BO570" s="880">
        <f t="shared" si="2893"/>
        <v>3049.1784213991396</v>
      </c>
      <c r="BP570" s="880">
        <f t="shared" si="2894"/>
        <v>3049.1784213991396</v>
      </c>
    </row>
    <row r="571" spans="2:72" s="100" customFormat="1" ht="11.45">
      <c r="B571" s="100" t="s">
        <v>419</v>
      </c>
      <c r="C571" s="34"/>
      <c r="D571" s="34">
        <v>0</v>
      </c>
      <c r="E571" s="34">
        <v>0</v>
      </c>
      <c r="F571" s="34">
        <v>0</v>
      </c>
      <c r="G571" s="34">
        <v>0</v>
      </c>
      <c r="H571" s="34">
        <v>0</v>
      </c>
      <c r="I571" s="34">
        <v>0</v>
      </c>
      <c r="J571" s="34">
        <v>0</v>
      </c>
      <c r="K571" s="34">
        <v>0</v>
      </c>
      <c r="L571" s="34">
        <v>0</v>
      </c>
      <c r="M571" s="34">
        <v>0</v>
      </c>
      <c r="N571" s="34">
        <v>0</v>
      </c>
      <c r="O571" s="34">
        <v>0</v>
      </c>
      <c r="P571" s="34">
        <v>0</v>
      </c>
      <c r="Q571" s="34">
        <v>0</v>
      </c>
      <c r="R571" s="34">
        <v>0</v>
      </c>
      <c r="S571" s="34">
        <v>0</v>
      </c>
      <c r="T571" s="34">
        <v>0</v>
      </c>
      <c r="U571" s="34">
        <v>0</v>
      </c>
      <c r="V571" s="34">
        <v>0</v>
      </c>
      <c r="W571" s="34">
        <v>0</v>
      </c>
      <c r="X571" s="34">
        <v>0</v>
      </c>
      <c r="Y571" s="34">
        <v>0</v>
      </c>
      <c r="Z571" s="34">
        <v>0</v>
      </c>
      <c r="AA571" s="34">
        <v>0</v>
      </c>
      <c r="AB571" s="34">
        <v>0</v>
      </c>
      <c r="AC571" s="34">
        <v>0</v>
      </c>
      <c r="AD571" s="34">
        <v>0</v>
      </c>
      <c r="AE571" s="34">
        <v>0</v>
      </c>
      <c r="AF571" s="34">
        <v>0</v>
      </c>
      <c r="AG571" s="34">
        <v>0</v>
      </c>
      <c r="AH571" s="34">
        <v>0</v>
      </c>
      <c r="AI571" s="34">
        <v>0</v>
      </c>
      <c r="AJ571" s="34">
        <v>0</v>
      </c>
      <c r="AK571" s="30">
        <v>2080</v>
      </c>
      <c r="AL571" s="30">
        <v>1970</v>
      </c>
      <c r="AM571" s="30">
        <v>1680</v>
      </c>
      <c r="AN571" s="58">
        <f>+AJ568*0.4</f>
        <v>1573.96</v>
      </c>
      <c r="AO571" s="58">
        <f>+AK571*1.08</f>
        <v>2246.4</v>
      </c>
      <c r="AP571" s="34">
        <f t="shared" ref="AP571" si="2926">+AL571*(1+AP581)</f>
        <v>2127.6000000000004</v>
      </c>
      <c r="AQ571" s="34">
        <f t="shared" ref="AQ571" si="2927">+AM571*(1+AQ581)</f>
        <v>1814.4</v>
      </c>
      <c r="AR571" s="34"/>
      <c r="AS571" s="34">
        <v>0</v>
      </c>
      <c r="AT571" s="34">
        <v>0</v>
      </c>
      <c r="AU571" s="34">
        <v>0</v>
      </c>
      <c r="AV571" s="34">
        <v>0</v>
      </c>
      <c r="AW571" s="34">
        <v>0</v>
      </c>
      <c r="AX571" s="34"/>
      <c r="AY571" s="34"/>
      <c r="AZ571" s="34"/>
      <c r="BA571" s="34"/>
      <c r="BB571" s="34"/>
      <c r="BC571" s="34"/>
      <c r="BD571" s="34"/>
      <c r="BE571" s="34"/>
      <c r="BF571" s="34"/>
      <c r="BG571" s="34"/>
      <c r="BH571" s="34">
        <v>0</v>
      </c>
      <c r="BI571" s="34">
        <v>0</v>
      </c>
      <c r="BJ571" s="34">
        <v>0</v>
      </c>
      <c r="BK571" s="34">
        <v>0</v>
      </c>
      <c r="BL571" s="34">
        <v>0</v>
      </c>
      <c r="BM571" s="34">
        <v>0</v>
      </c>
      <c r="BN571" s="34">
        <v>0</v>
      </c>
      <c r="BO571" s="906">
        <f t="shared" si="2893"/>
        <v>5730</v>
      </c>
      <c r="BP571" s="906">
        <f t="shared" si="2894"/>
        <v>7762.3600000000006</v>
      </c>
    </row>
    <row r="572" spans="2:72" s="102" customFormat="1" ht="10.5">
      <c r="B572" s="873" t="s">
        <v>442</v>
      </c>
      <c r="H572" s="849">
        <f t="shared" ref="H572:AM572" si="2928">+H510</f>
        <v>9395</v>
      </c>
      <c r="I572" s="849">
        <f t="shared" si="2928"/>
        <v>11889</v>
      </c>
      <c r="J572" s="849">
        <f t="shared" si="2928"/>
        <v>8775</v>
      </c>
      <c r="K572" s="849">
        <f t="shared" si="2928"/>
        <v>9235</v>
      </c>
      <c r="L572" s="849">
        <f t="shared" si="2928"/>
        <v>9378</v>
      </c>
      <c r="M572" s="849">
        <f t="shared" si="2928"/>
        <v>12170</v>
      </c>
      <c r="N572" s="849">
        <f t="shared" si="2928"/>
        <v>9917</v>
      </c>
      <c r="O572" s="849">
        <f t="shared" si="2928"/>
        <v>10811</v>
      </c>
      <c r="P572" s="849">
        <f t="shared" si="2928"/>
        <v>10746</v>
      </c>
      <c r="Q572" s="849">
        <f t="shared" si="2928"/>
        <v>12993</v>
      </c>
      <c r="R572" s="849">
        <f t="shared" si="2928"/>
        <v>10680</v>
      </c>
      <c r="S572" s="849">
        <f t="shared" si="2928"/>
        <v>11279</v>
      </c>
      <c r="T572" s="849">
        <f t="shared" si="2928"/>
        <v>11133</v>
      </c>
      <c r="U572" s="849">
        <f t="shared" si="2928"/>
        <v>13211</v>
      </c>
      <c r="V572" s="849">
        <f t="shared" si="2928"/>
        <v>10997</v>
      </c>
      <c r="W572" s="849">
        <f t="shared" si="2928"/>
        <v>12910</v>
      </c>
      <c r="X572" s="849">
        <f t="shared" si="2928"/>
        <v>11849</v>
      </c>
      <c r="Y572" s="849">
        <f t="shared" si="2928"/>
        <v>15122</v>
      </c>
      <c r="Z572" s="849">
        <f t="shared" si="2928"/>
        <v>13036</v>
      </c>
      <c r="AA572" s="849">
        <f t="shared" si="2928"/>
        <v>14086</v>
      </c>
      <c r="AB572" s="849">
        <f t="shared" si="2928"/>
        <v>13314</v>
      </c>
      <c r="AC572" s="849">
        <f t="shared" si="2928"/>
        <v>17465</v>
      </c>
      <c r="AD572" s="849">
        <f t="shared" si="2928"/>
        <v>14520</v>
      </c>
      <c r="AE572" s="849">
        <f t="shared" si="2928"/>
        <v>14356</v>
      </c>
      <c r="AF572" s="849">
        <f t="shared" si="2928"/>
        <v>13332</v>
      </c>
      <c r="AG572" s="849">
        <f t="shared" si="2928"/>
        <v>14237</v>
      </c>
      <c r="AH572" s="849">
        <f t="shared" si="2928"/>
        <v>13260</v>
      </c>
      <c r="AI572" s="849">
        <f t="shared" si="2928"/>
        <v>13905</v>
      </c>
      <c r="AJ572" s="849">
        <f t="shared" si="2928"/>
        <v>13666</v>
      </c>
      <c r="AK572" s="849">
        <f t="shared" si="2928"/>
        <v>16891</v>
      </c>
      <c r="AL572" s="849">
        <f t="shared" si="2928"/>
        <v>15580</v>
      </c>
      <c r="AM572" s="849">
        <f t="shared" si="2928"/>
        <v>15895</v>
      </c>
      <c r="AN572" s="849">
        <f t="shared" ref="AN572:AQ572" si="2929">SUM(AN567:AN571)</f>
        <v>15603.241128482263</v>
      </c>
      <c r="AO572" s="849">
        <f t="shared" si="2929"/>
        <v>17379.739655638954</v>
      </c>
      <c r="AP572" s="849">
        <f t="shared" si="2929"/>
        <v>16791.120924861974</v>
      </c>
      <c r="AQ572" s="849">
        <f t="shared" si="2929"/>
        <v>17065.04031379622</v>
      </c>
      <c r="AV572" s="849"/>
      <c r="AW572" s="849"/>
      <c r="AX572" s="849"/>
      <c r="AY572" s="849"/>
      <c r="AZ572" s="849"/>
      <c r="BA572" s="849"/>
      <c r="BB572" s="849"/>
      <c r="BC572" s="849"/>
      <c r="BD572" s="849"/>
      <c r="BH572" s="849">
        <f t="shared" si="2878"/>
        <v>39294</v>
      </c>
      <c r="BI572" s="849">
        <f t="shared" si="2879"/>
        <v>42276</v>
      </c>
      <c r="BJ572" s="849">
        <f t="shared" si="2880"/>
        <v>45698</v>
      </c>
      <c r="BK572" s="849">
        <f t="shared" si="2889"/>
        <v>48251</v>
      </c>
      <c r="BL572" s="849">
        <f t="shared" si="2890"/>
        <v>54093</v>
      </c>
      <c r="BM572" s="849">
        <f t="shared" si="2891"/>
        <v>59655</v>
      </c>
      <c r="BN572" s="849">
        <f t="shared" si="2892"/>
        <v>54734</v>
      </c>
      <c r="BO572" s="849">
        <f t="shared" si="2893"/>
        <v>62032</v>
      </c>
      <c r="BP572" s="849">
        <f t="shared" si="2894"/>
        <v>66839.142022779415</v>
      </c>
      <c r="BT572" s="100"/>
    </row>
    <row r="573" spans="2:72">
      <c r="AG573" s="8"/>
      <c r="AH573" s="8"/>
      <c r="AI573" s="8"/>
      <c r="AJ573" s="8"/>
      <c r="AK573" s="8"/>
      <c r="AL573" s="8"/>
      <c r="AM573" s="8"/>
      <c r="AN573" s="8"/>
      <c r="AO573" s="8"/>
      <c r="AP573" s="8"/>
      <c r="AQ573" s="8"/>
    </row>
    <row r="574" spans="2:72">
      <c r="B574" s="24" t="s">
        <v>113</v>
      </c>
      <c r="AH574" s="9"/>
      <c r="AI574" s="9"/>
      <c r="AJ574" s="9"/>
      <c r="AK574" s="9"/>
      <c r="AL574" s="9"/>
      <c r="AM574" s="9"/>
      <c r="AN574" s="9"/>
      <c r="AO574" s="9"/>
      <c r="AP574" s="9"/>
      <c r="AQ574" s="9"/>
    </row>
    <row r="575" spans="2:72" s="3" customFormat="1">
      <c r="B575" s="13" t="str">
        <f t="shared" ref="B575:B582" si="2930">+B565</f>
        <v>Windows OEM</v>
      </c>
      <c r="D575" s="228"/>
      <c r="E575" s="228"/>
      <c r="F575" s="228"/>
      <c r="G575" s="228"/>
      <c r="H575" s="228"/>
      <c r="I575" s="228"/>
      <c r="J575" s="228"/>
      <c r="K575" s="228"/>
      <c r="L575" s="228">
        <f t="shared" ref="L575:W580" si="2931">+L565/H565-1</f>
        <v>2.8922955996599997E-2</v>
      </c>
      <c r="M575" s="228">
        <f t="shared" si="2931"/>
        <v>3.5718839475847863E-2</v>
      </c>
      <c r="N575" s="228">
        <f t="shared" si="2931"/>
        <v>4.1253474118322808E-2</v>
      </c>
      <c r="O575" s="228">
        <f t="shared" si="2931"/>
        <v>7.3030551601289462E-2</v>
      </c>
      <c r="P575" s="228">
        <f t="shared" si="2931"/>
        <v>2.7641138469461035E-2</v>
      </c>
      <c r="Q575" s="228">
        <f t="shared" si="2931"/>
        <v>-5.5529246621069395E-2</v>
      </c>
      <c r="R575" s="228">
        <f t="shared" si="2931"/>
        <v>8.7138588126154382E-2</v>
      </c>
      <c r="S575" s="228">
        <f t="shared" si="2931"/>
        <v>9.0164318071075389E-2</v>
      </c>
      <c r="T575" s="228">
        <f t="shared" si="2931"/>
        <v>9.0207028667888212E-2</v>
      </c>
      <c r="U575" s="228">
        <f t="shared" si="2931"/>
        <v>0.18450648207541209</v>
      </c>
      <c r="V575" s="228">
        <f t="shared" si="2931"/>
        <v>-3.3772825392860417E-3</v>
      </c>
      <c r="W575" s="228">
        <f t="shared" si="2931"/>
        <v>4.2855458063769225E-2</v>
      </c>
      <c r="X575" s="228">
        <f t="shared" ref="X575:AG575" si="2932">+X565/T565-1</f>
        <v>-5.0354857113984575E-2</v>
      </c>
      <c r="Y575" s="228">
        <f t="shared" si="2932"/>
        <v>1.2985722900635599E-2</v>
      </c>
      <c r="Z575" s="228">
        <f t="shared" si="2932"/>
        <v>0.10148256710455406</v>
      </c>
      <c r="AA575" s="228">
        <f t="shared" si="2932"/>
        <v>9.3569604576848597E-4</v>
      </c>
      <c r="AB575" s="228">
        <f t="shared" si="2932"/>
        <v>9.8119893375313127E-2</v>
      </c>
      <c r="AC575" s="228">
        <f t="shared" si="2932"/>
        <v>0.24350063885607831</v>
      </c>
      <c r="AD575" s="228">
        <f t="shared" si="2932"/>
        <v>0.10732578418115923</v>
      </c>
      <c r="AE575" s="228">
        <f t="shared" si="2932"/>
        <v>-2.2371053039407118E-2</v>
      </c>
      <c r="AF575" s="228">
        <f t="shared" si="2932"/>
        <v>-0.14773477425169734</v>
      </c>
      <c r="AG575" s="228">
        <f t="shared" si="2932"/>
        <v>-0.38888861452914447</v>
      </c>
      <c r="AH575" s="228">
        <f t="shared" ref="AH575:AK576" si="2933">+AH549</f>
        <v>-0.28000000000000003</v>
      </c>
      <c r="AI575" s="228">
        <f t="shared" si="2933"/>
        <v>-0.12</v>
      </c>
      <c r="AJ575" s="228">
        <f t="shared" si="2933"/>
        <v>0.04</v>
      </c>
      <c r="AK575" s="228">
        <f t="shared" si="2933"/>
        <v>0.11</v>
      </c>
      <c r="AL575" s="228">
        <f t="shared" ref="AL575:AM575" si="2934">+AL549</f>
        <v>0.11</v>
      </c>
      <c r="AM575" s="228">
        <f t="shared" si="2934"/>
        <v>0.04</v>
      </c>
      <c r="AN575" s="228">
        <f t="shared" ref="AN575:AQ575" si="2935">+AN565/AJ565-1</f>
        <v>0</v>
      </c>
      <c r="AO575" s="228">
        <f t="shared" si="2935"/>
        <v>0</v>
      </c>
      <c r="AP575" s="228">
        <f t="shared" si="2935"/>
        <v>5.0000000000000044E-2</v>
      </c>
      <c r="AQ575" s="228">
        <f t="shared" si="2935"/>
        <v>5.0000000000000044E-2</v>
      </c>
      <c r="AR575" s="228"/>
      <c r="AS575" s="228"/>
      <c r="AT575" s="228"/>
      <c r="AU575" s="228"/>
      <c r="AV575" s="228"/>
      <c r="AW575" s="228"/>
      <c r="AX575" s="228"/>
      <c r="AY575" s="228"/>
      <c r="AZ575" s="228"/>
      <c r="BA575" s="228"/>
      <c r="BB575" s="228"/>
      <c r="BC575" s="228"/>
      <c r="BD575" s="228"/>
      <c r="BE575" s="228"/>
      <c r="BF575" s="228"/>
      <c r="BG575" s="228"/>
      <c r="BH575" s="228"/>
      <c r="BI575" s="228">
        <f t="shared" ref="BI575:BK580" si="2936">+BI565/BH565-1</f>
        <v>4.47174786058675E-2</v>
      </c>
      <c r="BJ575" s="228">
        <f t="shared" si="2936"/>
        <v>3.6367498611270088E-2</v>
      </c>
      <c r="BK575" s="228">
        <f t="shared" si="2936"/>
        <v>7.6505797375303164E-2</v>
      </c>
      <c r="BL575" s="228">
        <f t="shared" ref="BL575" si="2937">+BL565/BK565-1</f>
        <v>1.3807020893893185E-2</v>
      </c>
      <c r="BM575" s="228">
        <f t="shared" ref="BM575" si="2938">+BM565/BL565-1</f>
        <v>0.10626973831423947</v>
      </c>
      <c r="BN575" s="228">
        <f t="shared" ref="BN575:BO575" si="2939">+BN565/BM565-1</f>
        <v>-0.24351778317469097</v>
      </c>
      <c r="BO575" s="228">
        <f t="shared" si="2939"/>
        <v>7.2704617231269308E-2</v>
      </c>
      <c r="BP575" s="228">
        <f t="shared" ref="BP575:BP580" si="2940">+BP565/BO565-1</f>
        <v>2.5117192259334953E-2</v>
      </c>
    </row>
    <row r="576" spans="2:72" s="942" customFormat="1" ht="11.45">
      <c r="B576" s="13" t="str">
        <f t="shared" si="2930"/>
        <v>Windows Other</v>
      </c>
      <c r="D576" s="840"/>
      <c r="E576" s="840"/>
      <c r="F576" s="840"/>
      <c r="G576" s="840"/>
      <c r="H576" s="840"/>
      <c r="I576" s="840"/>
      <c r="J576" s="840"/>
      <c r="K576" s="840"/>
      <c r="L576" s="840">
        <f t="shared" si="2931"/>
        <v>-5.065248874548689E-2</v>
      </c>
      <c r="M576" s="840">
        <f t="shared" si="2931"/>
        <v>-4.0650487711999528E-2</v>
      </c>
      <c r="N576" s="840">
        <f t="shared" si="2931"/>
        <v>0.15979323359028275</v>
      </c>
      <c r="O576" s="840">
        <f t="shared" si="2931"/>
        <v>0.1622707092962774</v>
      </c>
      <c r="P576" s="840">
        <f t="shared" si="2931"/>
        <v>0.10857418041771028</v>
      </c>
      <c r="Q576" s="840">
        <f t="shared" si="2931"/>
        <v>5.3040865865037423E-2</v>
      </c>
      <c r="R576" s="840">
        <f t="shared" si="2931"/>
        <v>4.8224747519229449E-2</v>
      </c>
      <c r="S576" s="840">
        <f t="shared" si="2931"/>
        <v>3.6972652476038537E-2</v>
      </c>
      <c r="T576" s="840">
        <f t="shared" si="2931"/>
        <v>9.5778616843785747E-2</v>
      </c>
      <c r="U576" s="840">
        <f t="shared" si="2931"/>
        <v>0.16095272018598661</v>
      </c>
      <c r="V576" s="840">
        <f t="shared" si="2931"/>
        <v>0.15211032940817137</v>
      </c>
      <c r="W576" s="840">
        <f t="shared" si="2931"/>
        <v>8.0052501042391144E-2</v>
      </c>
      <c r="X576" s="840">
        <f t="shared" ref="X576:AG576" si="2941">+X566/T566-1</f>
        <v>-1.5645435384398998E-2</v>
      </c>
      <c r="Y576" s="840">
        <f t="shared" si="2941"/>
        <v>-5.8753226573910688E-2</v>
      </c>
      <c r="Z576" s="840">
        <f t="shared" si="2941"/>
        <v>-3.0729104444974342E-2</v>
      </c>
      <c r="AA576" s="840">
        <f t="shared" si="2941"/>
        <v>8.9708820408429757E-2</v>
      </c>
      <c r="AB576" s="840">
        <f t="shared" si="2941"/>
        <v>0.1083430326278958</v>
      </c>
      <c r="AC576" s="840">
        <f t="shared" si="2941"/>
        <v>0.11147237026864287</v>
      </c>
      <c r="AD576" s="840">
        <f t="shared" si="2941"/>
        <v>0.12049294179872594</v>
      </c>
      <c r="AE576" s="840">
        <f t="shared" si="2941"/>
        <v>4.8297704662517038E-2</v>
      </c>
      <c r="AF576" s="840">
        <f t="shared" si="2941"/>
        <v>7.6234565946312838E-2</v>
      </c>
      <c r="AG576" s="840">
        <f t="shared" si="2941"/>
        <v>-3.6895014999751785E-2</v>
      </c>
      <c r="AH576" s="840">
        <f t="shared" si="2933"/>
        <v>0.14000000000000001</v>
      </c>
      <c r="AI576" s="840">
        <f t="shared" si="2933"/>
        <v>0.02</v>
      </c>
      <c r="AJ576" s="840">
        <f t="shared" si="2933"/>
        <v>0.08</v>
      </c>
      <c r="AK576" s="840">
        <f t="shared" si="2933"/>
        <v>0.09</v>
      </c>
      <c r="AL576" s="840">
        <f t="shared" ref="AL576:AM576" si="2942">+AL550</f>
        <v>0.13</v>
      </c>
      <c r="AM576" s="840">
        <f t="shared" si="2942"/>
        <v>0.11</v>
      </c>
      <c r="AN576" s="908">
        <v>0.05</v>
      </c>
      <c r="AO576" s="908">
        <v>0.05</v>
      </c>
      <c r="AP576" s="908">
        <v>0.05</v>
      </c>
      <c r="AQ576" s="908">
        <v>0.05</v>
      </c>
      <c r="AR576" s="840"/>
      <c r="AS576" s="840"/>
      <c r="AT576" s="840"/>
      <c r="AU576" s="840"/>
      <c r="AV576" s="840"/>
      <c r="AW576" s="840"/>
      <c r="AX576" s="840"/>
      <c r="AY576" s="840"/>
      <c r="AZ576" s="840"/>
      <c r="BA576" s="840"/>
      <c r="BB576" s="840"/>
      <c r="BC576" s="840"/>
      <c r="BD576" s="840"/>
      <c r="BE576" s="840"/>
      <c r="BF576" s="840"/>
      <c r="BG576" s="840"/>
      <c r="BH576" s="840"/>
      <c r="BI576" s="840">
        <f t="shared" si="2936"/>
        <v>5.8091650890593094E-2</v>
      </c>
      <c r="BJ576" s="840">
        <f t="shared" si="2936"/>
        <v>5.8951390887098665E-2</v>
      </c>
      <c r="BK576" s="840">
        <f t="shared" si="2936"/>
        <v>0.11970840835156982</v>
      </c>
      <c r="BL576" s="840">
        <f t="shared" ref="BL576" si="2943">+BL566/BK566-1</f>
        <v>8.4029537569962898E-4</v>
      </c>
      <c r="BM576" s="840">
        <f t="shared" ref="BM576" si="2944">+BM566/BL566-1</f>
        <v>9.2974657827655793E-2</v>
      </c>
      <c r="BN576" s="840">
        <f t="shared" ref="BN576:BO576" si="2945">+BN566/BM566-1</f>
        <v>4.8771067231081267E-2</v>
      </c>
      <c r="BO576" s="840">
        <f t="shared" si="2945"/>
        <v>0.10429560371999491</v>
      </c>
      <c r="BP576" s="840">
        <f t="shared" si="2940"/>
        <v>4.9999999999999822E-2</v>
      </c>
    </row>
    <row r="577" spans="2:68" s="3" customFormat="1">
      <c r="B577" s="15" t="str">
        <f t="shared" si="2930"/>
        <v>Total Windows</v>
      </c>
      <c r="D577" s="228"/>
      <c r="E577" s="228"/>
      <c r="F577" s="228"/>
      <c r="G577" s="228"/>
      <c r="H577" s="228"/>
      <c r="I577" s="228"/>
      <c r="J577" s="228"/>
      <c r="K577" s="228"/>
      <c r="L577" s="228">
        <f t="shared" si="2931"/>
        <v>0</v>
      </c>
      <c r="M577" s="228">
        <f t="shared" si="2931"/>
        <v>7.0759625390217629E-3</v>
      </c>
      <c r="N577" s="228">
        <f t="shared" si="2931"/>
        <v>8.441100399717838E-2</v>
      </c>
      <c r="O577" s="228">
        <f t="shared" si="2931"/>
        <v>0.10874897792313987</v>
      </c>
      <c r="P577" s="228">
        <f t="shared" si="2931"/>
        <v>5.5567520999353803E-2</v>
      </c>
      <c r="Q577" s="228">
        <f t="shared" si="2931"/>
        <v>-1.6738995660260381E-2</v>
      </c>
      <c r="R577" s="228">
        <f t="shared" si="2931"/>
        <v>7.1986123156981829E-2</v>
      </c>
      <c r="S577" s="228">
        <f t="shared" si="2931"/>
        <v>6.7846607669616477E-2</v>
      </c>
      <c r="T577" s="228">
        <f t="shared" si="2931"/>
        <v>9.2226076310957028E-2</v>
      </c>
      <c r="U577" s="228">
        <f t="shared" si="2931"/>
        <v>0.17549390500210182</v>
      </c>
      <c r="V577" s="228">
        <f t="shared" si="2931"/>
        <v>5.5825242718446688E-2</v>
      </c>
      <c r="W577" s="228">
        <f t="shared" si="2931"/>
        <v>5.8011049723756924E-2</v>
      </c>
      <c r="X577" s="228">
        <f t="shared" ref="X577:AG577" si="2946">+X567/T567-1</f>
        <v>-3.7735849056603765E-2</v>
      </c>
      <c r="Y577" s="228">
        <f t="shared" si="2946"/>
        <v>-1.4124798855712495E-2</v>
      </c>
      <c r="Z577" s="228">
        <f t="shared" si="2946"/>
        <v>4.6551724137930961E-2</v>
      </c>
      <c r="AA577" s="228">
        <f t="shared" si="2946"/>
        <v>3.7859007832898195E-2</v>
      </c>
      <c r="AB577" s="228">
        <f t="shared" si="2946"/>
        <v>0.10192195690157257</v>
      </c>
      <c r="AC577" s="228">
        <f t="shared" si="2946"/>
        <v>0.19586507072905324</v>
      </c>
      <c r="AD577" s="228">
        <f t="shared" si="2946"/>
        <v>0.11239245835621459</v>
      </c>
      <c r="AE577" s="228">
        <f t="shared" si="2946"/>
        <v>8.4905660377359027E-3</v>
      </c>
      <c r="AF577" s="228">
        <f t="shared" si="2946"/>
        <v>-6.3953488372093026E-2</v>
      </c>
      <c r="AG577" s="228">
        <f t="shared" si="2946"/>
        <v>-0.2708522899605702</v>
      </c>
      <c r="AH577" s="228">
        <f>+AH567/AD567-1</f>
        <v>-0.1172086509291056</v>
      </c>
      <c r="AI577" s="228">
        <f t="shared" ref="AI577" si="2947">+AI567/AE567-1</f>
        <v>-5.6447581809515035E-2</v>
      </c>
      <c r="AJ577" s="228">
        <f t="shared" ref="AJ577:AK578" si="2948">+AJ567/AF567-1</f>
        <v>5.720394120393224E-2</v>
      </c>
      <c r="AK577" s="228">
        <f t="shared" si="2948"/>
        <v>0.10114131984620833</v>
      </c>
      <c r="AL577" s="228">
        <f t="shared" ref="AL577:AL578" si="2949">+AL567/AH567-1</f>
        <v>0.12001057007768545</v>
      </c>
      <c r="AM577" s="228">
        <f t="shared" ref="AM577:AM578" si="2950">+AM567/AI567-1</f>
        <v>7.435075005086178E-2</v>
      </c>
      <c r="AN577" s="228">
        <f t="shared" ref="AN577:AQ577" si="2951">+AN567/AJ567-1</f>
        <v>2.1968628492681663E-2</v>
      </c>
      <c r="AO577" s="228">
        <f t="shared" si="2951"/>
        <v>2.1922620633702872E-2</v>
      </c>
      <c r="AP577" s="228">
        <f t="shared" si="2951"/>
        <v>5.0000000000000044E-2</v>
      </c>
      <c r="AQ577" s="228">
        <f t="shared" si="2951"/>
        <v>5.0000000000000044E-2</v>
      </c>
      <c r="AR577" s="228"/>
      <c r="AS577" s="228"/>
      <c r="AT577" s="228"/>
      <c r="AU577" s="228"/>
      <c r="AV577" s="228"/>
      <c r="AW577" s="228"/>
      <c r="AX577" s="228"/>
      <c r="AY577" s="228"/>
      <c r="AZ577" s="228"/>
      <c r="BA577" s="228"/>
      <c r="BB577" s="228"/>
      <c r="BC577" s="228"/>
      <c r="BD577" s="228"/>
      <c r="BE577" s="228"/>
      <c r="BF577" s="228"/>
      <c r="BG577" s="228"/>
      <c r="BH577" s="228"/>
      <c r="BI577" s="228">
        <f t="shared" si="2936"/>
        <v>4.9749905878556433E-2</v>
      </c>
      <c r="BJ577" s="228">
        <f t="shared" si="2936"/>
        <v>4.4932882467465962E-2</v>
      </c>
      <c r="BK577" s="228">
        <f t="shared" si="2936"/>
        <v>9.3111056631527411E-2</v>
      </c>
      <c r="BL577" s="228">
        <f t="shared" ref="BL577" si="2952">+BL567/BK567-1</f>
        <v>8.7018928859783351E-3</v>
      </c>
      <c r="BM577" s="228">
        <f t="shared" ref="BM577" si="2953">+BM567/BL567-1</f>
        <v>0.10107612949128431</v>
      </c>
      <c r="BN577" s="228">
        <f t="shared" ref="BN577:BO577" si="2954">+BN567/BM567-1</f>
        <v>-0.13017776993749863</v>
      </c>
      <c r="BO577" s="228">
        <f t="shared" si="2954"/>
        <v>8.7474749780419581E-2</v>
      </c>
      <c r="BP577" s="228">
        <f t="shared" si="2940"/>
        <v>3.6930914353986211E-2</v>
      </c>
    </row>
    <row r="578" spans="2:68" s="3" customFormat="1">
      <c r="B578" s="13" t="str">
        <f t="shared" si="2930"/>
        <v>Gaming</v>
      </c>
      <c r="D578" s="228"/>
      <c r="E578" s="228"/>
      <c r="F578" s="228"/>
      <c r="G578" s="228"/>
      <c r="H578" s="228"/>
      <c r="I578" s="228"/>
      <c r="J578" s="228"/>
      <c r="K578" s="228"/>
      <c r="L578" s="228">
        <f t="shared" si="2931"/>
        <v>5.8355437665782439E-3</v>
      </c>
      <c r="M578" s="228">
        <f t="shared" si="2931"/>
        <v>8.3771081006358772E-2</v>
      </c>
      <c r="N578" s="228">
        <f t="shared" si="2931"/>
        <v>0.18100734522560336</v>
      </c>
      <c r="O578" s="228">
        <f t="shared" si="2931"/>
        <v>0.39135727328058434</v>
      </c>
      <c r="P578" s="228">
        <f t="shared" si="2931"/>
        <v>0.44409282700421948</v>
      </c>
      <c r="Q578" s="228">
        <f t="shared" si="2931"/>
        <v>7.9591836734693944E-2</v>
      </c>
      <c r="R578" s="228">
        <f t="shared" si="2931"/>
        <v>4.9755664149266909E-2</v>
      </c>
      <c r="S578" s="228">
        <f t="shared" si="2931"/>
        <v>-0.10192475940507439</v>
      </c>
      <c r="T578" s="228">
        <f t="shared" si="2931"/>
        <v>-7.1585098612125586E-2</v>
      </c>
      <c r="U578" s="228">
        <f t="shared" si="2931"/>
        <v>-0.21384688090737236</v>
      </c>
      <c r="V578" s="228">
        <f t="shared" si="2931"/>
        <v>-5.9246720270842435E-3</v>
      </c>
      <c r="W578" s="228">
        <f t="shared" si="2931"/>
        <v>0.63516804676083782</v>
      </c>
      <c r="X578" s="228">
        <f t="shared" ref="X578:AG580" si="2955">+X568/T568-1</f>
        <v>0.21636506687647517</v>
      </c>
      <c r="Y578" s="228">
        <f t="shared" si="2955"/>
        <v>0.51217312894499556</v>
      </c>
      <c r="Z578" s="228">
        <f t="shared" si="2955"/>
        <v>0.5040442741592166</v>
      </c>
      <c r="AA578" s="228">
        <f t="shared" si="2955"/>
        <v>0.10634495084897222</v>
      </c>
      <c r="AB578" s="228">
        <f t="shared" si="2955"/>
        <v>0.16203104786545919</v>
      </c>
      <c r="AC578" s="228">
        <f t="shared" si="2955"/>
        <v>8.1693500298151367E-2</v>
      </c>
      <c r="AD578" s="228">
        <f t="shared" si="2955"/>
        <v>5.8590433059722669E-2</v>
      </c>
      <c r="AE578" s="228">
        <f t="shared" si="2955"/>
        <v>-6.9736133548734536E-2</v>
      </c>
      <c r="AF578" s="228">
        <f t="shared" si="2955"/>
        <v>4.7314222098524539E-3</v>
      </c>
      <c r="AG578" s="228">
        <f t="shared" si="2955"/>
        <v>-0.1256890848952591</v>
      </c>
      <c r="AH578" s="228">
        <f>+AH562</f>
        <v>-0.04</v>
      </c>
      <c r="AI578" s="228">
        <f>+AI562</f>
        <v>0.01</v>
      </c>
      <c r="AJ578" s="228">
        <f t="shared" ref="AJ578" si="2956">+AJ562</f>
        <v>0.09</v>
      </c>
      <c r="AK578" s="228">
        <f t="shared" si="2948"/>
        <v>5.2841530054644759E-2</v>
      </c>
      <c r="AL578" s="228">
        <f t="shared" si="2949"/>
        <v>-3.8685383244206784E-2</v>
      </c>
      <c r="AM578" s="228">
        <f t="shared" si="2950"/>
        <v>-4.1437434626241165E-2</v>
      </c>
      <c r="AN578" s="829">
        <v>-7.0000000000000007E-2</v>
      </c>
      <c r="AO578" s="829">
        <v>-7.0000000000000007E-2</v>
      </c>
      <c r="AP578" s="829">
        <v>0.05</v>
      </c>
      <c r="AQ578" s="829">
        <v>0.1</v>
      </c>
      <c r="AR578" s="228"/>
      <c r="AS578" s="228"/>
      <c r="AT578" s="228"/>
      <c r="AU578" s="228"/>
      <c r="AV578" s="228"/>
      <c r="AW578" s="228"/>
      <c r="AX578" s="228"/>
      <c r="AY578" s="228"/>
      <c r="AZ578" s="228"/>
      <c r="BA578" s="228"/>
      <c r="BB578" s="228"/>
      <c r="BC578" s="228"/>
      <c r="BD578" s="228"/>
      <c r="BE578" s="228"/>
      <c r="BF578" s="228"/>
      <c r="BG578" s="228"/>
      <c r="BH578" s="228"/>
      <c r="BI578" s="228">
        <f t="shared" si="2936"/>
        <v>0.14385150812064973</v>
      </c>
      <c r="BJ578" s="228">
        <f t="shared" si="2936"/>
        <v>9.9777842171351327E-2</v>
      </c>
      <c r="BK578" s="228">
        <f t="shared" si="2936"/>
        <v>1.6599332513613119E-2</v>
      </c>
      <c r="BL578" s="228">
        <f t="shared" ref="BL578" si="2957">+BL568/BK568-1</f>
        <v>0.32786177105831538</v>
      </c>
      <c r="BM578" s="228">
        <f>+BM568/BL568-1</f>
        <v>5.595315549772284E-2</v>
      </c>
      <c r="BN578" s="228">
        <f t="shared" ref="BN578:BO578" si="2958">+BN568/BM568-1</f>
        <v>-4.8185459026494071E-2</v>
      </c>
      <c r="BO578" s="228">
        <f t="shared" si="2958"/>
        <v>1.8955654310118808E-2</v>
      </c>
      <c r="BP578" s="228">
        <f t="shared" si="2940"/>
        <v>-7.5620160022606964E-3</v>
      </c>
    </row>
    <row r="579" spans="2:68" s="3" customFormat="1">
      <c r="B579" s="13" t="str">
        <f t="shared" si="2930"/>
        <v>Search and Advertising</v>
      </c>
      <c r="D579" s="228"/>
      <c r="E579" s="228"/>
      <c r="F579" s="228"/>
      <c r="G579" s="228"/>
      <c r="H579" s="228"/>
      <c r="I579" s="228"/>
      <c r="J579" s="228"/>
      <c r="K579" s="228"/>
      <c r="L579" s="228">
        <f t="shared" si="2931"/>
        <v>0.1469559132260323</v>
      </c>
      <c r="M579" s="228">
        <f t="shared" si="2931"/>
        <v>0.13395638629283479</v>
      </c>
      <c r="N579" s="228">
        <f t="shared" si="2931"/>
        <v>0.11569731081926204</v>
      </c>
      <c r="O579" s="228">
        <f t="shared" si="2931"/>
        <v>0.11538461538461542</v>
      </c>
      <c r="P579" s="228">
        <f t="shared" si="2931"/>
        <v>9.0909090909090828E-2</v>
      </c>
      <c r="Q579" s="228">
        <f t="shared" si="2931"/>
        <v>8.5714285714285632E-2</v>
      </c>
      <c r="R579" s="228">
        <f t="shared" si="2931"/>
        <v>7.1188340807174955E-2</v>
      </c>
      <c r="S579" s="228">
        <f t="shared" si="2931"/>
        <v>0.10401356698699837</v>
      </c>
      <c r="T579" s="228">
        <f t="shared" si="2931"/>
        <v>0.11353467561521247</v>
      </c>
      <c r="U579" s="228">
        <f t="shared" si="2931"/>
        <v>9.4635627530364363E-2</v>
      </c>
      <c r="V579" s="228">
        <f t="shared" si="2931"/>
        <v>3.9246467817896313E-2</v>
      </c>
      <c r="W579" s="228">
        <f t="shared" si="2931"/>
        <v>-0.18074756784434198</v>
      </c>
      <c r="X579" s="228">
        <f t="shared" si="2955"/>
        <v>-2.4108488196885935E-2</v>
      </c>
      <c r="Y579" s="228">
        <f t="shared" si="2955"/>
        <v>0.10309754969949148</v>
      </c>
      <c r="Z579" s="228">
        <f t="shared" si="2955"/>
        <v>0.20896273917421948</v>
      </c>
      <c r="AA579" s="228">
        <f t="shared" si="2955"/>
        <v>0.58562500000000006</v>
      </c>
      <c r="AB579" s="228">
        <f t="shared" si="2955"/>
        <v>0.36695831188883177</v>
      </c>
      <c r="AC579" s="228">
        <f t="shared" si="2955"/>
        <v>0.28415758591785423</v>
      </c>
      <c r="AD579" s="228">
        <f t="shared" si="2955"/>
        <v>0.2265722615576844</v>
      </c>
      <c r="AE579" s="228">
        <f t="shared" si="2955"/>
        <v>0.15333070555774531</v>
      </c>
      <c r="AF579" s="228">
        <f t="shared" si="2955"/>
        <v>0.10240963855421681</v>
      </c>
      <c r="AG579" s="228">
        <f t="shared" si="2955"/>
        <v>5.1892950391644987E-2</v>
      </c>
      <c r="AH579" s="228">
        <f>+AH551</f>
        <v>0.1</v>
      </c>
      <c r="AI579" s="228">
        <f>+AI551</f>
        <v>0.08</v>
      </c>
      <c r="AJ579" s="228">
        <f>+AJ551</f>
        <v>0.1</v>
      </c>
      <c r="AK579" s="228">
        <f>+AK551</f>
        <v>0.08</v>
      </c>
      <c r="AL579" s="228">
        <f t="shared" ref="AL579:AM579" si="2959">+AL551</f>
        <v>0.12</v>
      </c>
      <c r="AM579" s="228">
        <f t="shared" si="2959"/>
        <v>0.19</v>
      </c>
      <c r="AN579" s="829">
        <v>0.16</v>
      </c>
      <c r="AO579" s="829">
        <v>0.16</v>
      </c>
      <c r="AP579" s="829">
        <v>0.16</v>
      </c>
      <c r="AQ579" s="829">
        <v>0.1</v>
      </c>
      <c r="AR579" s="228"/>
      <c r="AS579" s="228"/>
      <c r="AT579" s="228"/>
      <c r="AU579" s="228"/>
      <c r="AV579" s="228"/>
      <c r="AW579" s="228"/>
      <c r="AX579" s="228"/>
      <c r="AY579" s="228"/>
      <c r="AZ579" s="228"/>
      <c r="BA579" s="228"/>
      <c r="BB579" s="228"/>
      <c r="BC579" s="228"/>
      <c r="BD579" s="228"/>
      <c r="BE579" s="228"/>
      <c r="BF579" s="228"/>
      <c r="BG579" s="228"/>
      <c r="BH579" s="228"/>
      <c r="BI579" s="228">
        <f t="shared" si="2936"/>
        <v>0.12751246181058051</v>
      </c>
      <c r="BJ579" s="228">
        <f t="shared" si="2936"/>
        <v>8.7849401026811158E-2</v>
      </c>
      <c r="BK579" s="228">
        <f t="shared" si="2936"/>
        <v>1.4682747771368687E-2</v>
      </c>
      <c r="BL579" s="228">
        <f t="shared" ref="BL579" si="2960">+BL569/BK569-1</f>
        <v>0.19728682170542644</v>
      </c>
      <c r="BM579" s="228">
        <f>+BM569/BL569-1</f>
        <v>0.25078234595877835</v>
      </c>
      <c r="BN579" s="228">
        <f t="shared" ref="BN579:BO579" si="2961">+BN569/BM569-1</f>
        <v>8.2786644810628918E-2</v>
      </c>
      <c r="BO579" s="228">
        <f t="shared" si="2961"/>
        <v>0.12268717461663137</v>
      </c>
      <c r="BP579" s="228">
        <f t="shared" si="2940"/>
        <v>0.14398696210729733</v>
      </c>
    </row>
    <row r="580" spans="2:68" s="3" customFormat="1">
      <c r="B580" s="13" t="str">
        <f t="shared" si="2930"/>
        <v>Surface and HW</v>
      </c>
      <c r="D580" s="228"/>
      <c r="E580" s="228"/>
      <c r="F580" s="228"/>
      <c r="G580" s="228"/>
      <c r="H580" s="228"/>
      <c r="I580" s="228"/>
      <c r="J580" s="228"/>
      <c r="K580" s="228"/>
      <c r="L580" s="228">
        <f t="shared" si="2931"/>
        <v>-0.16550764951321284</v>
      </c>
      <c r="M580" s="228">
        <f t="shared" si="2931"/>
        <v>-0.14554242749731472</v>
      </c>
      <c r="N580" s="228">
        <f t="shared" si="2931"/>
        <v>0.24877089478859382</v>
      </c>
      <c r="O580" s="228">
        <f t="shared" si="2931"/>
        <v>0.1956912028725315</v>
      </c>
      <c r="P580" s="228">
        <f t="shared" si="2931"/>
        <v>9.9166666666666625E-2</v>
      </c>
      <c r="Q580" s="228">
        <f t="shared" si="2931"/>
        <v>0.27404148334380896</v>
      </c>
      <c r="R580" s="228">
        <f t="shared" si="2931"/>
        <v>0.15118110236220472</v>
      </c>
      <c r="S580" s="228">
        <f t="shared" si="2931"/>
        <v>0.11186186186186187</v>
      </c>
      <c r="T580" s="228">
        <f t="shared" si="2931"/>
        <v>-5.4586808188021196E-2</v>
      </c>
      <c r="U580" s="228">
        <f t="shared" si="2931"/>
        <v>4.9827331031080391E-2</v>
      </c>
      <c r="V580" s="228">
        <f t="shared" si="2931"/>
        <v>-1.3679890560875485E-2</v>
      </c>
      <c r="W580" s="228">
        <f t="shared" si="2931"/>
        <v>0.2322754895340986</v>
      </c>
      <c r="X580" s="228">
        <f t="shared" si="2955"/>
        <v>0.33360064153969526</v>
      </c>
      <c r="Y580" s="228">
        <f t="shared" si="2955"/>
        <v>2.960526315789469E-2</v>
      </c>
      <c r="Z580" s="228">
        <f t="shared" si="2955"/>
        <v>0.13661581137309287</v>
      </c>
      <c r="AA580" s="228">
        <f t="shared" si="2955"/>
        <v>-0.19178082191780821</v>
      </c>
      <c r="AB580" s="228">
        <f t="shared" si="2955"/>
        <v>-0.16476247745039085</v>
      </c>
      <c r="AC580" s="228">
        <f t="shared" si="2955"/>
        <v>7.941579187585579E-2</v>
      </c>
      <c r="AD580" s="228">
        <f t="shared" si="2955"/>
        <v>7.2605247101891424E-2</v>
      </c>
      <c r="AE580" s="228">
        <f t="shared" si="2955"/>
        <v>5.8305084745762681E-2</v>
      </c>
      <c r="AF580" s="228">
        <f t="shared" si="2955"/>
        <v>6.6234701223902182E-2</v>
      </c>
      <c r="AG580" s="228">
        <f t="shared" si="2955"/>
        <v>-0.38773784355179708</v>
      </c>
      <c r="AH580" s="228">
        <f>+AH570/AD570-1</f>
        <v>-0.39398352008181214</v>
      </c>
      <c r="AI580" s="228">
        <f>+AI570/AE570-1</f>
        <v>-0.22906803989351032</v>
      </c>
      <c r="AJ580" s="228">
        <f t="shared" ref="AJ580:AK580" si="2962">+AJ570/AF570-1</f>
        <v>-0.3967755162839246</v>
      </c>
      <c r="AK580" s="228">
        <f t="shared" si="2962"/>
        <v>-0.29112394048381862</v>
      </c>
      <c r="AL580" s="228">
        <f t="shared" ref="AL580" si="2963">+AL570/AH570-1</f>
        <v>-0.5103052566173466</v>
      </c>
      <c r="AM580" s="228">
        <f t="shared" ref="AM580" si="2964">+AM570/AI570-1</f>
        <v>-0.49507361883920609</v>
      </c>
      <c r="AN580" s="829">
        <v>0</v>
      </c>
      <c r="AO580" s="829">
        <v>0</v>
      </c>
      <c r="AP580" s="829">
        <v>0</v>
      </c>
      <c r="AQ580" s="829">
        <v>0</v>
      </c>
      <c r="AR580" s="228"/>
      <c r="AS580" s="228"/>
      <c r="AT580" s="228"/>
      <c r="AU580" s="228"/>
      <c r="AV580" s="228"/>
      <c r="AW580" s="228"/>
      <c r="AX580" s="228"/>
      <c r="AY580" s="228"/>
      <c r="AZ580" s="228"/>
      <c r="BA580" s="228"/>
      <c r="BB580" s="228"/>
      <c r="BC580" s="228"/>
      <c r="BD580" s="228"/>
      <c r="BE580" s="228"/>
      <c r="BF580" s="228"/>
      <c r="BG580" s="228"/>
      <c r="BH580" s="228"/>
      <c r="BI580" s="228">
        <f t="shared" si="2936"/>
        <v>-6.9968698213956904E-3</v>
      </c>
      <c r="BJ580" s="228">
        <f t="shared" si="2936"/>
        <v>0.1661412942703504</v>
      </c>
      <c r="BK580" s="228">
        <f t="shared" si="2936"/>
        <v>5.6129750357767572E-2</v>
      </c>
      <c r="BL580" s="228">
        <f t="shared" ref="BL580" si="2965">+BL570/BK570-1</f>
        <v>4.9081601927130292E-2</v>
      </c>
      <c r="BM580" s="228">
        <f>+BM570/BL570-1</f>
        <v>1.5068886337542997E-2</v>
      </c>
      <c r="BN580" s="228">
        <f t="shared" ref="BN580:BO580" si="2966">+BN570/BM570-1</f>
        <v>-0.26512063319349577</v>
      </c>
      <c r="BO580" s="228">
        <f t="shared" si="2966"/>
        <v>-0.41337154409584165</v>
      </c>
      <c r="BP580" s="228">
        <f t="shared" si="2940"/>
        <v>0</v>
      </c>
    </row>
    <row r="581" spans="2:68" s="839" customFormat="1" ht="11.45">
      <c r="B581" s="13" t="str">
        <f t="shared" si="2930"/>
        <v>ATVI</v>
      </c>
      <c r="D581" s="840"/>
      <c r="E581" s="840"/>
      <c r="F581" s="840"/>
      <c r="G581" s="840"/>
      <c r="H581" s="840"/>
      <c r="I581" s="840"/>
      <c r="J581" s="840"/>
      <c r="K581" s="840"/>
      <c r="L581" s="840"/>
      <c r="M581" s="840"/>
      <c r="N581" s="840"/>
      <c r="O581" s="840"/>
      <c r="P581" s="840"/>
      <c r="Q581" s="840"/>
      <c r="R581" s="840"/>
      <c r="S581" s="840"/>
      <c r="T581" s="840">
        <v>0</v>
      </c>
      <c r="U581" s="840">
        <v>0</v>
      </c>
      <c r="V581" s="840">
        <v>0</v>
      </c>
      <c r="W581" s="840">
        <v>0</v>
      </c>
      <c r="X581" s="840">
        <v>0</v>
      </c>
      <c r="Y581" s="840">
        <v>0</v>
      </c>
      <c r="Z581" s="840">
        <v>0</v>
      </c>
      <c r="AA581" s="840">
        <v>0</v>
      </c>
      <c r="AB581" s="840">
        <v>0</v>
      </c>
      <c r="AC581" s="840">
        <v>0</v>
      </c>
      <c r="AD581" s="840">
        <v>0</v>
      </c>
      <c r="AE581" s="840">
        <v>0</v>
      </c>
      <c r="AF581" s="840">
        <v>0</v>
      </c>
      <c r="AG581" s="840">
        <v>0</v>
      </c>
      <c r="AH581" s="840">
        <v>0</v>
      </c>
      <c r="AI581" s="840">
        <v>0</v>
      </c>
      <c r="AJ581" s="840">
        <v>0</v>
      </c>
      <c r="AK581" s="840">
        <v>0</v>
      </c>
      <c r="AL581" s="840">
        <v>0</v>
      </c>
      <c r="AM581" s="840">
        <v>0</v>
      </c>
      <c r="AN581" s="840" t="s">
        <v>271</v>
      </c>
      <c r="AO581" s="840">
        <f t="shared" ref="AO581" si="2967">+AO571/AK571-1</f>
        <v>8.0000000000000071E-2</v>
      </c>
      <c r="AP581" s="908">
        <v>0.08</v>
      </c>
      <c r="AQ581" s="908">
        <v>0.08</v>
      </c>
      <c r="AR581" s="840"/>
      <c r="AS581" s="840"/>
      <c r="AT581" s="840"/>
      <c r="AU581" s="840"/>
      <c r="AV581" s="840"/>
      <c r="AW581" s="840"/>
      <c r="AX581" s="840"/>
      <c r="AY581" s="840"/>
      <c r="AZ581" s="840"/>
      <c r="BA581" s="840"/>
      <c r="BB581" s="840"/>
      <c r="BC581" s="840"/>
      <c r="BD581" s="840"/>
      <c r="BE581" s="840"/>
      <c r="BF581" s="840"/>
      <c r="BG581" s="840"/>
      <c r="BH581" s="840"/>
      <c r="BI581" s="840">
        <v>0</v>
      </c>
      <c r="BJ581" s="840">
        <v>0</v>
      </c>
      <c r="BK581" s="840">
        <v>0</v>
      </c>
      <c r="BL581" s="840">
        <v>0</v>
      </c>
      <c r="BM581" s="840">
        <v>0</v>
      </c>
      <c r="BN581" s="840">
        <v>0</v>
      </c>
      <c r="BO581" s="840" t="s">
        <v>271</v>
      </c>
      <c r="BP581" s="840" t="s">
        <v>271</v>
      </c>
    </row>
    <row r="582" spans="2:68" s="7" customFormat="1">
      <c r="B582" s="841" t="str">
        <f t="shared" si="2930"/>
        <v>Total MPC Revenue</v>
      </c>
      <c r="D582" s="842"/>
      <c r="E582" s="842"/>
      <c r="F582" s="842"/>
      <c r="G582" s="842"/>
      <c r="H582" s="842"/>
      <c r="I582" s="842"/>
      <c r="J582" s="842"/>
      <c r="K582" s="842"/>
      <c r="L582" s="842">
        <f t="shared" ref="L582" si="2968">+L572/H572-1</f>
        <v>-1.8094731240021478E-3</v>
      </c>
      <c r="M582" s="842">
        <f t="shared" ref="M582" si="2969">+M572/I572-1</f>
        <v>2.3635293128101642E-2</v>
      </c>
      <c r="N582" s="842">
        <f t="shared" ref="N582" si="2970">+N572/J572-1</f>
        <v>0.13014245014245018</v>
      </c>
      <c r="O582" s="842">
        <f t="shared" ref="O582" si="2971">+O572/K572-1</f>
        <v>0.17065511640498099</v>
      </c>
      <c r="P582" s="842">
        <f t="shared" ref="P582" si="2972">+P572/L572-1</f>
        <v>0.14587332053742808</v>
      </c>
      <c r="Q582" s="842">
        <f t="shared" ref="Q582" si="2973">+Q572/M572-1</f>
        <v>6.7625308134757534E-2</v>
      </c>
      <c r="R582" s="842">
        <f t="shared" ref="R582" si="2974">+R572/N572-1</f>
        <v>7.6938590299485687E-2</v>
      </c>
      <c r="S582" s="842">
        <f t="shared" ref="S582" si="2975">+S572/O572-1</f>
        <v>4.328924243825738E-2</v>
      </c>
      <c r="T582" s="842">
        <f t="shared" ref="T582" si="2976">+T572/P572-1</f>
        <v>3.6013400335008328E-2</v>
      </c>
      <c r="U582" s="842">
        <f t="shared" ref="U582" si="2977">+U572/Q572-1</f>
        <v>1.677826521973369E-2</v>
      </c>
      <c r="V582" s="842">
        <f t="shared" ref="V582" si="2978">+V572/R572-1</f>
        <v>2.9681647940074996E-2</v>
      </c>
      <c r="W582" s="842">
        <f t="shared" ref="W582" si="2979">+W572/S572-1</f>
        <v>0.14460501817537019</v>
      </c>
      <c r="X582" s="842">
        <f t="shared" ref="X582:AG582" si="2980">+X572/T572-1</f>
        <v>6.4313302793496785E-2</v>
      </c>
      <c r="Y582" s="842">
        <f t="shared" si="2980"/>
        <v>0.14465218378623868</v>
      </c>
      <c r="Z582" s="842">
        <f t="shared" si="2980"/>
        <v>0.18541420387378382</v>
      </c>
      <c r="AA582" s="842">
        <f t="shared" si="2980"/>
        <v>9.1092176607281194E-2</v>
      </c>
      <c r="AB582" s="842">
        <f t="shared" si="2980"/>
        <v>0.12363912566461299</v>
      </c>
      <c r="AC582" s="842">
        <f t="shared" si="2980"/>
        <v>0.15493982277476515</v>
      </c>
      <c r="AD582" s="842">
        <f t="shared" si="2980"/>
        <v>0.11383860079779073</v>
      </c>
      <c r="AE582" s="842">
        <f t="shared" si="2980"/>
        <v>1.9167968195371365E-2</v>
      </c>
      <c r="AF582" s="842">
        <f t="shared" si="2980"/>
        <v>1.3519603424965165E-3</v>
      </c>
      <c r="AG582" s="842">
        <f t="shared" si="2980"/>
        <v>-0.18482679645004296</v>
      </c>
      <c r="AH582" s="842">
        <f t="shared" ref="AH582" si="2981">+AH572/AD572-1</f>
        <v>-8.6776859504132275E-2</v>
      </c>
      <c r="AI582" s="842">
        <f t="shared" ref="AI582" si="2982">+AI572/AE572-1</f>
        <v>-3.1415436054611279E-2</v>
      </c>
      <c r="AJ582" s="842">
        <f t="shared" ref="AJ582:AK582" si="2983">+AJ572/AF572-1</f>
        <v>2.5052505250525048E-2</v>
      </c>
      <c r="AK582" s="842">
        <f t="shared" si="2983"/>
        <v>0.1864156774601391</v>
      </c>
      <c r="AL582" s="842">
        <f t="shared" ref="AL582" si="2984">+AL572/AH572-1</f>
        <v>0.17496229260935148</v>
      </c>
      <c r="AM582" s="842">
        <f t="shared" ref="AM582" si="2985">+AM572/AI572-1</f>
        <v>0.14311398777418205</v>
      </c>
      <c r="AN582" s="842">
        <f t="shared" ref="AN582" si="2986">+AN572/AJ572-1</f>
        <v>0.14175626580435119</v>
      </c>
      <c r="AO582" s="842">
        <f t="shared" ref="AO582" si="2987">+AO572/AK572-1</f>
        <v>2.8934915377357928E-2</v>
      </c>
      <c r="AP582" s="842">
        <f t="shared" ref="AP582" si="2988">+AP572/AL572-1</f>
        <v>7.7735617770344989E-2</v>
      </c>
      <c r="AQ582" s="842">
        <f t="shared" ref="AQ582" si="2989">+AQ572/AM572-1</f>
        <v>7.3610589103253909E-2</v>
      </c>
      <c r="AR582" s="842"/>
      <c r="AS582" s="842"/>
      <c r="AT582" s="842"/>
      <c r="AU582" s="842"/>
      <c r="AV582" s="842"/>
      <c r="AW582" s="842"/>
      <c r="AX582" s="842"/>
      <c r="AY582" s="842"/>
      <c r="AZ582" s="842"/>
      <c r="BA582" s="842"/>
      <c r="BB582" s="842"/>
      <c r="BC582" s="842"/>
      <c r="BD582" s="842"/>
      <c r="BE582" s="842"/>
      <c r="BF582" s="842"/>
      <c r="BG582" s="842"/>
      <c r="BH582" s="842"/>
      <c r="BI582" s="842">
        <f t="shared" ref="BI582" si="2990">+BI572/BH572-1</f>
        <v>7.5889448770804613E-2</v>
      </c>
      <c r="BJ582" s="842">
        <f t="shared" ref="BJ582" si="2991">+BJ572/BI572-1</f>
        <v>8.0944270981171407E-2</v>
      </c>
      <c r="BK582" s="842">
        <f t="shared" ref="BK582" si="2992">+BK572/BJ572-1</f>
        <v>5.5866777539498536E-2</v>
      </c>
      <c r="BL582" s="842">
        <f t="shared" ref="BL582" si="2993">+BL572/BK572-1</f>
        <v>0.12107521087645856</v>
      </c>
      <c r="BM582" s="842">
        <f>+BM572/BL572-1</f>
        <v>0.10282291608895799</v>
      </c>
      <c r="BN582" s="842">
        <f t="shared" ref="BN582:BO582" si="2994">+BN572/BM572-1</f>
        <v>-8.2490989858352237E-2</v>
      </c>
      <c r="BO582" s="842">
        <f t="shared" si="2994"/>
        <v>0.133335769357255</v>
      </c>
      <c r="BP582" s="842">
        <f t="shared" ref="BP582" si="2995">+BP572/BO572-1</f>
        <v>7.7494551566601455E-2</v>
      </c>
    </row>
    <row r="583" spans="2:68" s="7" customFormat="1">
      <c r="B583" s="841" t="s">
        <v>443</v>
      </c>
      <c r="C583" s="842"/>
      <c r="D583" s="842">
        <f t="shared" ref="D583:S583" si="2996">+D582</f>
        <v>0</v>
      </c>
      <c r="E583" s="842">
        <f t="shared" si="2996"/>
        <v>0</v>
      </c>
      <c r="F583" s="842">
        <f t="shared" si="2996"/>
        <v>0</v>
      </c>
      <c r="G583" s="842">
        <f t="shared" si="2996"/>
        <v>0</v>
      </c>
      <c r="H583" s="842">
        <f t="shared" si="2996"/>
        <v>0</v>
      </c>
      <c r="I583" s="842">
        <f t="shared" si="2996"/>
        <v>0</v>
      </c>
      <c r="J583" s="842">
        <f t="shared" si="2996"/>
        <v>0</v>
      </c>
      <c r="K583" s="842">
        <f t="shared" si="2996"/>
        <v>0</v>
      </c>
      <c r="L583" s="842">
        <f t="shared" si="2996"/>
        <v>-1.8094731240021478E-3</v>
      </c>
      <c r="M583" s="842">
        <f t="shared" si="2996"/>
        <v>2.3635293128101642E-2</v>
      </c>
      <c r="N583" s="842">
        <f t="shared" si="2996"/>
        <v>0.13014245014245018</v>
      </c>
      <c r="O583" s="842">
        <f t="shared" si="2996"/>
        <v>0.17065511640498099</v>
      </c>
      <c r="P583" s="842">
        <f t="shared" si="2996"/>
        <v>0.14587332053742808</v>
      </c>
      <c r="Q583" s="842">
        <f t="shared" si="2996"/>
        <v>6.7625308134757534E-2</v>
      </c>
      <c r="R583" s="842">
        <f t="shared" si="2996"/>
        <v>7.6938590299485687E-2</v>
      </c>
      <c r="S583" s="842">
        <f t="shared" si="2996"/>
        <v>4.328924243825738E-2</v>
      </c>
      <c r="T583" s="842">
        <f>+T582</f>
        <v>3.6013400335008328E-2</v>
      </c>
      <c r="U583" s="842">
        <f t="shared" ref="U583:AI583" si="2997">+U582</f>
        <v>1.677826521973369E-2</v>
      </c>
      <c r="V583" s="842">
        <f t="shared" si="2997"/>
        <v>2.9681647940074996E-2</v>
      </c>
      <c r="W583" s="842">
        <f t="shared" si="2997"/>
        <v>0.14460501817537019</v>
      </c>
      <c r="X583" s="842">
        <f t="shared" si="2997"/>
        <v>6.4313302793496785E-2</v>
      </c>
      <c r="Y583" s="842">
        <f t="shared" si="2997"/>
        <v>0.14465218378623868</v>
      </c>
      <c r="Z583" s="842">
        <f t="shared" si="2997"/>
        <v>0.18541420387378382</v>
      </c>
      <c r="AA583" s="842">
        <f t="shared" si="2997"/>
        <v>9.1092176607281194E-2</v>
      </c>
      <c r="AB583" s="842">
        <f t="shared" si="2997"/>
        <v>0.12363912566461299</v>
      </c>
      <c r="AC583" s="842">
        <f t="shared" si="2997"/>
        <v>0.15493982277476515</v>
      </c>
      <c r="AD583" s="842">
        <f t="shared" si="2997"/>
        <v>0.11383860079779073</v>
      </c>
      <c r="AE583" s="842">
        <f t="shared" si="2997"/>
        <v>1.9167968195371365E-2</v>
      </c>
      <c r="AF583" s="842">
        <f t="shared" si="2997"/>
        <v>1.3519603424965165E-3</v>
      </c>
      <c r="AG583" s="842">
        <f t="shared" si="2997"/>
        <v>-0.18482679645004296</v>
      </c>
      <c r="AH583" s="842">
        <f t="shared" si="2997"/>
        <v>-8.6776859504132275E-2</v>
      </c>
      <c r="AI583" s="842">
        <f t="shared" si="2997"/>
        <v>-3.1415436054611279E-2</v>
      </c>
      <c r="AJ583" s="842">
        <f t="shared" ref="AJ583" si="2998">+AJ582</f>
        <v>2.5052505250525048E-2</v>
      </c>
      <c r="AK583" s="842">
        <f t="shared" ref="AK583" si="2999">+(AK572-AK571)/AG572-1</f>
        <v>4.0317482615719547E-2</v>
      </c>
      <c r="AL583" s="842">
        <f t="shared" ref="AL583" si="3000">+(AL572-AL571)/AH572-1</f>
        <v>2.639517345399689E-2</v>
      </c>
      <c r="AM583" s="842">
        <f t="shared" ref="AM583" si="3001">+(AM572-AM571)/AI572-1</f>
        <v>2.2294138798993224E-2</v>
      </c>
      <c r="AN583" s="842">
        <f t="shared" ref="AN583" si="3002">+(AN572-AN571)/AJ572-1</f>
        <v>2.6582842710541676E-2</v>
      </c>
      <c r="AO583" s="842">
        <f>+(AO572-AO571)/(AK572-AK571)-1</f>
        <v>2.1763530864827185E-2</v>
      </c>
      <c r="AP583" s="842">
        <f t="shared" ref="AP583:AQ583" si="3003">+(AP572-AP571)/(AL572-AL571)-1</f>
        <v>7.740785634547942E-2</v>
      </c>
      <c r="AQ583" s="842">
        <f t="shared" si="3003"/>
        <v>7.2855456475288127E-2</v>
      </c>
      <c r="AR583" s="842"/>
      <c r="AS583" s="842"/>
      <c r="AT583" s="842"/>
      <c r="AU583" s="842"/>
      <c r="AV583" s="842"/>
      <c r="AW583" s="842"/>
      <c r="AX583" s="842"/>
      <c r="AY583" s="842"/>
      <c r="AZ583" s="842"/>
      <c r="BA583" s="842"/>
      <c r="BB583" s="842"/>
      <c r="BC583" s="842"/>
      <c r="BD583" s="842"/>
      <c r="BE583" s="842"/>
      <c r="BF583" s="842"/>
      <c r="BG583" s="842"/>
      <c r="BH583" s="842"/>
      <c r="BI583" s="842">
        <f t="shared" ref="BI583:BM583" si="3004">+BI582</f>
        <v>7.5889448770804613E-2</v>
      </c>
      <c r="BJ583" s="842">
        <f t="shared" si="3004"/>
        <v>8.0944270981171407E-2</v>
      </c>
      <c r="BK583" s="842">
        <f t="shared" si="3004"/>
        <v>5.5866777539498536E-2</v>
      </c>
      <c r="BL583" s="842">
        <f t="shared" si="3004"/>
        <v>0.12107521087645856</v>
      </c>
      <c r="BM583" s="842">
        <f t="shared" si="3004"/>
        <v>0.10282291608895799</v>
      </c>
      <c r="BN583" s="842">
        <f>+BN582</f>
        <v>-8.2490989858352237E-2</v>
      </c>
      <c r="BO583" s="842">
        <f>+(BO572-BO571)/BN572-1</f>
        <v>2.8647641319837769E-2</v>
      </c>
      <c r="BP583" s="842">
        <f>+(BP572-BP571)/(BO572-BO571)-1</f>
        <v>4.9283897957078215E-2</v>
      </c>
    </row>
    <row r="585" spans="2:68" s="100" customFormat="1">
      <c r="B585" s="1160" t="str">
        <f>+B498</f>
        <v>2-yr Stack Growth %</v>
      </c>
      <c r="AH585" s="945"/>
      <c r="AI585" s="945"/>
      <c r="AJ585" s="945"/>
      <c r="AK585" s="945"/>
      <c r="AL585" s="945"/>
      <c r="AM585" s="945"/>
      <c r="AN585" s="945"/>
      <c r="AO585" s="945"/>
      <c r="AP585" s="945"/>
      <c r="AQ585" s="945"/>
    </row>
    <row r="586" spans="2:68" s="872" customFormat="1">
      <c r="B586" s="875" t="str">
        <f t="shared" ref="B586:B593" si="3005">+B575</f>
        <v>Windows OEM</v>
      </c>
      <c r="D586" s="228"/>
      <c r="E586" s="228"/>
      <c r="F586" s="228"/>
      <c r="G586" s="228"/>
      <c r="H586" s="228"/>
      <c r="I586" s="228"/>
      <c r="J586" s="228"/>
      <c r="K586" s="228"/>
      <c r="L586" s="228"/>
      <c r="M586" s="228"/>
      <c r="N586" s="228"/>
      <c r="O586" s="228"/>
      <c r="P586" s="228">
        <f>+P575+L575</f>
        <v>5.6564094466061032E-2</v>
      </c>
      <c r="Q586" s="228">
        <f t="shared" ref="Q586:AK586" si="3006">+Q575+M575</f>
        <v>-1.9810407145221531E-2</v>
      </c>
      <c r="R586" s="228">
        <f t="shared" si="3006"/>
        <v>0.12839206224447719</v>
      </c>
      <c r="S586" s="228">
        <f t="shared" si="3006"/>
        <v>0.16319486967236485</v>
      </c>
      <c r="T586" s="228">
        <f t="shared" si="3006"/>
        <v>0.11784816713734925</v>
      </c>
      <c r="U586" s="228">
        <f t="shared" si="3006"/>
        <v>0.1289772354543427</v>
      </c>
      <c r="V586" s="228">
        <f t="shared" si="3006"/>
        <v>8.376130558686834E-2</v>
      </c>
      <c r="W586" s="228">
        <f t="shared" si="3006"/>
        <v>0.13301977613484461</v>
      </c>
      <c r="X586" s="228">
        <f t="shared" si="3006"/>
        <v>3.9852171553903637E-2</v>
      </c>
      <c r="Y586" s="228">
        <f t="shared" si="3006"/>
        <v>0.19749220497604769</v>
      </c>
      <c r="Z586" s="228">
        <f t="shared" si="3006"/>
        <v>9.8105284565268014E-2</v>
      </c>
      <c r="AA586" s="228">
        <f t="shared" si="3006"/>
        <v>4.3791154109537711E-2</v>
      </c>
      <c r="AB586" s="228">
        <f t="shared" si="3006"/>
        <v>4.7765036261328553E-2</v>
      </c>
      <c r="AC586" s="228">
        <f t="shared" si="3006"/>
        <v>0.25648636175671391</v>
      </c>
      <c r="AD586" s="228">
        <f t="shared" si="3006"/>
        <v>0.20880835128571329</v>
      </c>
      <c r="AE586" s="228">
        <f t="shared" si="3006"/>
        <v>-2.1435356993638632E-2</v>
      </c>
      <c r="AF586" s="228">
        <f t="shared" si="3006"/>
        <v>-4.9614880876384215E-2</v>
      </c>
      <c r="AG586" s="228">
        <f t="shared" si="3006"/>
        <v>-0.14538797567306616</v>
      </c>
      <c r="AH586" s="228">
        <f t="shared" si="3006"/>
        <v>-0.17267421581884079</v>
      </c>
      <c r="AI586" s="228">
        <f t="shared" si="3006"/>
        <v>-0.14237105303940711</v>
      </c>
      <c r="AJ586" s="228">
        <f t="shared" ref="AJ586:AJ594" si="3007">+AJ575+AF575</f>
        <v>-0.10773477425169734</v>
      </c>
      <c r="AK586" s="228">
        <f t="shared" si="3006"/>
        <v>-0.27888861452914449</v>
      </c>
      <c r="AL586" s="228">
        <f t="shared" ref="AL586:AL591" si="3008">+AL575+AH575</f>
        <v>-0.17000000000000004</v>
      </c>
      <c r="AM586" s="228">
        <f t="shared" ref="AM586:AM591" si="3009">+AM575+AI575</f>
        <v>-7.9999999999999988E-2</v>
      </c>
      <c r="AN586" s="228">
        <f t="shared" ref="AN586:AN591" si="3010">+AN575+AJ575</f>
        <v>0.04</v>
      </c>
      <c r="AO586" s="228">
        <f t="shared" ref="AO586:AO591" si="3011">+AO575+AK575</f>
        <v>0.11</v>
      </c>
      <c r="AP586" s="228">
        <f t="shared" ref="AP586:AP591" si="3012">+AP575+AL575</f>
        <v>0.16000000000000003</v>
      </c>
      <c r="AQ586" s="228">
        <f t="shared" ref="AQ586:AQ591" si="3013">+AQ575+AM575</f>
        <v>9.0000000000000052E-2</v>
      </c>
      <c r="AR586" s="228"/>
      <c r="AS586" s="228"/>
      <c r="AT586" s="228"/>
      <c r="AU586" s="228"/>
      <c r="AV586" s="228"/>
      <c r="AW586" s="228"/>
      <c r="AX586" s="228"/>
      <c r="AY586" s="228"/>
      <c r="AZ586" s="228"/>
      <c r="BA586" s="228"/>
      <c r="BB586" s="228"/>
      <c r="BC586" s="228"/>
      <c r="BD586" s="228"/>
      <c r="BE586" s="228"/>
      <c r="BF586" s="228"/>
      <c r="BG586" s="228"/>
      <c r="BH586" s="228"/>
      <c r="BI586" s="228"/>
      <c r="BJ586" s="228">
        <f t="shared" ref="BJ586:BK586" si="3014">+BJ575+BI575</f>
        <v>8.1084977217137588E-2</v>
      </c>
      <c r="BK586" s="228">
        <f t="shared" si="3014"/>
        <v>0.11287329598657325</v>
      </c>
      <c r="BL586" s="228">
        <f t="shared" ref="BL586:BN586" si="3015">+BL575+BK575</f>
        <v>9.0312818269196349E-2</v>
      </c>
      <c r="BM586" s="228">
        <f t="shared" si="3015"/>
        <v>0.12007675920813266</v>
      </c>
      <c r="BN586" s="228">
        <f t="shared" si="3015"/>
        <v>-0.1372480448604515</v>
      </c>
      <c r="BO586" s="228">
        <f>+BO575+BN575</f>
        <v>-0.17081316594342166</v>
      </c>
      <c r="BP586" s="228">
        <f t="shared" ref="BP586:BP591" si="3016">+BP575+BO575</f>
        <v>9.7821809490604261E-2</v>
      </c>
    </row>
    <row r="587" spans="2:68" s="1161" customFormat="1" ht="11.45">
      <c r="B587" s="875" t="str">
        <f t="shared" si="3005"/>
        <v>Windows Other</v>
      </c>
      <c r="D587" s="840"/>
      <c r="E587" s="840"/>
      <c r="F587" s="840"/>
      <c r="G587" s="840"/>
      <c r="H587" s="840"/>
      <c r="I587" s="840"/>
      <c r="J587" s="840"/>
      <c r="K587" s="840"/>
      <c r="L587" s="840"/>
      <c r="M587" s="840"/>
      <c r="N587" s="840"/>
      <c r="O587" s="840"/>
      <c r="P587" s="840">
        <f t="shared" ref="P587:AK587" si="3017">+P576+L576</f>
        <v>5.7921691672223385E-2</v>
      </c>
      <c r="Q587" s="840">
        <f t="shared" si="3017"/>
        <v>1.2390378153037895E-2</v>
      </c>
      <c r="R587" s="840">
        <f t="shared" si="3017"/>
        <v>0.2080179811095122</v>
      </c>
      <c r="S587" s="840">
        <f t="shared" si="3017"/>
        <v>0.19924336177231594</v>
      </c>
      <c r="T587" s="840">
        <f t="shared" si="3017"/>
        <v>0.20435279726149602</v>
      </c>
      <c r="U587" s="840">
        <f t="shared" si="3017"/>
        <v>0.21399358605102403</v>
      </c>
      <c r="V587" s="840">
        <f t="shared" si="3017"/>
        <v>0.20033507692740082</v>
      </c>
      <c r="W587" s="840">
        <f t="shared" si="3017"/>
        <v>0.11702515351842968</v>
      </c>
      <c r="X587" s="840">
        <f t="shared" si="3017"/>
        <v>8.0133181459386749E-2</v>
      </c>
      <c r="Y587" s="840">
        <f t="shared" si="3017"/>
        <v>0.10219949361207592</v>
      </c>
      <c r="Z587" s="840">
        <f t="shared" si="3017"/>
        <v>0.12138122496319703</v>
      </c>
      <c r="AA587" s="840">
        <f t="shared" si="3017"/>
        <v>0.1697613214508209</v>
      </c>
      <c r="AB587" s="840">
        <f t="shared" si="3017"/>
        <v>9.2697597243496799E-2</v>
      </c>
      <c r="AC587" s="840">
        <f t="shared" si="3017"/>
        <v>5.2719143694732185E-2</v>
      </c>
      <c r="AD587" s="840">
        <f t="shared" si="3017"/>
        <v>8.9763837353751597E-2</v>
      </c>
      <c r="AE587" s="840">
        <f t="shared" si="3017"/>
        <v>0.13800652507094679</v>
      </c>
      <c r="AF587" s="840">
        <f t="shared" si="3017"/>
        <v>0.18457759857420863</v>
      </c>
      <c r="AG587" s="840">
        <f t="shared" si="3017"/>
        <v>7.4577355268891088E-2</v>
      </c>
      <c r="AH587" s="840">
        <f t="shared" si="3017"/>
        <v>0.26049294179872595</v>
      </c>
      <c r="AI587" s="840">
        <f t="shared" si="3017"/>
        <v>6.8297704662517042E-2</v>
      </c>
      <c r="AJ587" s="840">
        <f t="shared" si="3007"/>
        <v>0.15623456594631285</v>
      </c>
      <c r="AK587" s="840">
        <f t="shared" si="3017"/>
        <v>5.3104985000248212E-2</v>
      </c>
      <c r="AL587" s="840">
        <f t="shared" si="3008"/>
        <v>0.27</v>
      </c>
      <c r="AM587" s="840">
        <f t="shared" si="3009"/>
        <v>0.13</v>
      </c>
      <c r="AN587" s="840">
        <f t="shared" si="3010"/>
        <v>0.13</v>
      </c>
      <c r="AO587" s="840">
        <f t="shared" si="3011"/>
        <v>0.14000000000000001</v>
      </c>
      <c r="AP587" s="840">
        <f t="shared" si="3012"/>
        <v>0.18</v>
      </c>
      <c r="AQ587" s="840">
        <f t="shared" si="3013"/>
        <v>0.16</v>
      </c>
      <c r="AR587" s="840"/>
      <c r="AS587" s="840"/>
      <c r="AT587" s="840"/>
      <c r="AU587" s="840"/>
      <c r="AV587" s="840"/>
      <c r="AW587" s="840"/>
      <c r="AX587" s="840"/>
      <c r="AY587" s="840"/>
      <c r="AZ587" s="840"/>
      <c r="BA587" s="840"/>
      <c r="BB587" s="840"/>
      <c r="BC587" s="840"/>
      <c r="BD587" s="840"/>
      <c r="BE587" s="840"/>
      <c r="BF587" s="840"/>
      <c r="BG587" s="840"/>
      <c r="BH587" s="840"/>
      <c r="BI587" s="840"/>
      <c r="BJ587" s="840">
        <f t="shared" ref="BJ587:BK587" si="3018">+BJ576+BI576</f>
        <v>0.11704304177769176</v>
      </c>
      <c r="BK587" s="840">
        <f t="shared" si="3018"/>
        <v>0.17865979923866848</v>
      </c>
      <c r="BL587" s="840">
        <f t="shared" ref="BL587:BO587" si="3019">+BL576+BK576</f>
        <v>0.12054870372726945</v>
      </c>
      <c r="BM587" s="840">
        <f t="shared" si="3019"/>
        <v>9.3814953203355422E-2</v>
      </c>
      <c r="BN587" s="840">
        <f t="shared" si="3019"/>
        <v>0.14174572505873706</v>
      </c>
      <c r="BO587" s="840">
        <f t="shared" si="3019"/>
        <v>0.15306667095107618</v>
      </c>
      <c r="BP587" s="840">
        <f t="shared" si="3016"/>
        <v>0.15429560371999473</v>
      </c>
    </row>
    <row r="588" spans="2:68" s="872" customFormat="1">
      <c r="B588" s="1162" t="str">
        <f t="shared" si="3005"/>
        <v>Total Windows</v>
      </c>
      <c r="D588" s="228"/>
      <c r="E588" s="228"/>
      <c r="F588" s="228"/>
      <c r="G588" s="228"/>
      <c r="H588" s="228"/>
      <c r="I588" s="228"/>
      <c r="J588" s="228"/>
      <c r="K588" s="228"/>
      <c r="L588" s="228"/>
      <c r="M588" s="228"/>
      <c r="N588" s="228"/>
      <c r="O588" s="228"/>
      <c r="P588" s="228">
        <f t="shared" ref="P588:AK588" si="3020">+P577+L577</f>
        <v>5.5567520999353803E-2</v>
      </c>
      <c r="Q588" s="228">
        <f t="shared" si="3020"/>
        <v>-9.6630331212386178E-3</v>
      </c>
      <c r="R588" s="228">
        <f t="shared" si="3020"/>
        <v>0.15639712715416021</v>
      </c>
      <c r="S588" s="228">
        <f t="shared" si="3020"/>
        <v>0.17659558559275634</v>
      </c>
      <c r="T588" s="228">
        <f t="shared" si="3020"/>
        <v>0.14779359731031083</v>
      </c>
      <c r="U588" s="228">
        <f t="shared" si="3020"/>
        <v>0.15875490934184144</v>
      </c>
      <c r="V588" s="228">
        <f t="shared" si="3020"/>
        <v>0.12781136587542852</v>
      </c>
      <c r="W588" s="228">
        <f t="shared" si="3020"/>
        <v>0.1258576573933734</v>
      </c>
      <c r="X588" s="228">
        <f t="shared" si="3020"/>
        <v>5.4490227254353263E-2</v>
      </c>
      <c r="Y588" s="228">
        <f t="shared" si="3020"/>
        <v>0.16136910614638933</v>
      </c>
      <c r="Z588" s="228">
        <f t="shared" si="3020"/>
        <v>0.10237696685637765</v>
      </c>
      <c r="AA588" s="228">
        <f t="shared" si="3020"/>
        <v>9.5870057556655119E-2</v>
      </c>
      <c r="AB588" s="228">
        <f t="shared" si="3020"/>
        <v>6.4186107844968809E-2</v>
      </c>
      <c r="AC588" s="228">
        <f t="shared" si="3020"/>
        <v>0.18174027187334074</v>
      </c>
      <c r="AD588" s="228">
        <f t="shared" si="3020"/>
        <v>0.15894418249414555</v>
      </c>
      <c r="AE588" s="228">
        <f t="shared" si="3020"/>
        <v>4.6349573870634098E-2</v>
      </c>
      <c r="AF588" s="228">
        <f t="shared" si="3020"/>
        <v>3.7968468529479549E-2</v>
      </c>
      <c r="AG588" s="228">
        <f t="shared" si="3020"/>
        <v>-7.4987219231516966E-2</v>
      </c>
      <c r="AH588" s="228">
        <f t="shared" si="3020"/>
        <v>-4.8161925728910093E-3</v>
      </c>
      <c r="AI588" s="228">
        <f t="shared" si="3020"/>
        <v>-4.7957015771779132E-2</v>
      </c>
      <c r="AJ588" s="228">
        <f t="shared" si="3007"/>
        <v>-6.7495471681607855E-3</v>
      </c>
      <c r="AK588" s="228">
        <f t="shared" si="3020"/>
        <v>-0.16971097011436187</v>
      </c>
      <c r="AL588" s="228">
        <f t="shared" si="3008"/>
        <v>2.8019191485798567E-3</v>
      </c>
      <c r="AM588" s="228">
        <f t="shared" si="3009"/>
        <v>1.7903168241346745E-2</v>
      </c>
      <c r="AN588" s="228">
        <f t="shared" si="3010"/>
        <v>7.9172569696613904E-2</v>
      </c>
      <c r="AO588" s="228">
        <f t="shared" si="3011"/>
        <v>0.1230639404799112</v>
      </c>
      <c r="AP588" s="228">
        <f t="shared" si="3012"/>
        <v>0.1700105700776855</v>
      </c>
      <c r="AQ588" s="228">
        <f t="shared" si="3013"/>
        <v>0.12435075005086182</v>
      </c>
      <c r="AR588" s="228"/>
      <c r="AS588" s="228"/>
      <c r="AT588" s="228"/>
      <c r="AU588" s="228"/>
      <c r="AV588" s="228"/>
      <c r="AW588" s="228"/>
      <c r="AX588" s="228"/>
      <c r="AY588" s="228"/>
      <c r="AZ588" s="228"/>
      <c r="BA588" s="228"/>
      <c r="BB588" s="228"/>
      <c r="BC588" s="228"/>
      <c r="BD588" s="228"/>
      <c r="BE588" s="228"/>
      <c r="BF588" s="228"/>
      <c r="BG588" s="228"/>
      <c r="BH588" s="228"/>
      <c r="BI588" s="228"/>
      <c r="BJ588" s="228">
        <f t="shared" ref="BJ588:BK588" si="3021">+BJ577+BI577</f>
        <v>9.4682788346022395E-2</v>
      </c>
      <c r="BK588" s="228">
        <f t="shared" si="3021"/>
        <v>0.13804393909899337</v>
      </c>
      <c r="BL588" s="228">
        <f t="shared" ref="BL588:BO588" si="3022">+BL577+BK577</f>
        <v>0.10181294951750575</v>
      </c>
      <c r="BM588" s="228">
        <f t="shared" si="3022"/>
        <v>0.10977802237726264</v>
      </c>
      <c r="BN588" s="228">
        <f t="shared" si="3022"/>
        <v>-2.9101640446214327E-2</v>
      </c>
      <c r="BO588" s="228">
        <f t="shared" si="3022"/>
        <v>-4.2703020157079052E-2</v>
      </c>
      <c r="BP588" s="228">
        <f t="shared" si="3016"/>
        <v>0.12440566413440579</v>
      </c>
    </row>
    <row r="589" spans="2:68" s="872" customFormat="1">
      <c r="B589" s="875" t="str">
        <f t="shared" si="3005"/>
        <v>Gaming</v>
      </c>
      <c r="D589" s="228"/>
      <c r="E589" s="228"/>
      <c r="F589" s="228"/>
      <c r="G589" s="228"/>
      <c r="H589" s="228"/>
      <c r="I589" s="228"/>
      <c r="J589" s="228"/>
      <c r="K589" s="228"/>
      <c r="L589" s="228"/>
      <c r="M589" s="228"/>
      <c r="N589" s="228"/>
      <c r="O589" s="228"/>
      <c r="P589" s="228">
        <f t="shared" ref="P589:AK589" si="3023">+P578+L578</f>
        <v>0.44992837077079773</v>
      </c>
      <c r="Q589" s="228">
        <f t="shared" si="3023"/>
        <v>0.16336291774105272</v>
      </c>
      <c r="R589" s="228">
        <f t="shared" si="3023"/>
        <v>0.23076300937487026</v>
      </c>
      <c r="S589" s="228">
        <f t="shared" si="3023"/>
        <v>0.28943251387550994</v>
      </c>
      <c r="T589" s="228">
        <f t="shared" si="3023"/>
        <v>0.3725077283920939</v>
      </c>
      <c r="U589" s="228">
        <f t="shared" si="3023"/>
        <v>-0.13425504417267842</v>
      </c>
      <c r="V589" s="228">
        <f t="shared" si="3023"/>
        <v>4.3830992122182666E-2</v>
      </c>
      <c r="W589" s="228">
        <f t="shared" si="3023"/>
        <v>0.53324328735576343</v>
      </c>
      <c r="X589" s="228">
        <f t="shared" si="3023"/>
        <v>0.14477996826434958</v>
      </c>
      <c r="Y589" s="228">
        <f t="shared" si="3023"/>
        <v>0.2983262480376232</v>
      </c>
      <c r="Z589" s="228">
        <f t="shared" si="3023"/>
        <v>0.49811960213213236</v>
      </c>
      <c r="AA589" s="228">
        <f t="shared" si="3023"/>
        <v>0.74151299760981004</v>
      </c>
      <c r="AB589" s="228">
        <f t="shared" si="3023"/>
        <v>0.37839611474193435</v>
      </c>
      <c r="AC589" s="228">
        <f t="shared" si="3023"/>
        <v>0.59386662924314693</v>
      </c>
      <c r="AD589" s="228">
        <f t="shared" si="3023"/>
        <v>0.56263470721893927</v>
      </c>
      <c r="AE589" s="228">
        <f t="shared" si="3023"/>
        <v>3.6608817300237684E-2</v>
      </c>
      <c r="AF589" s="228">
        <f t="shared" si="3023"/>
        <v>0.16676247007531164</v>
      </c>
      <c r="AG589" s="228">
        <f t="shared" si="3023"/>
        <v>-4.3995584597107729E-2</v>
      </c>
      <c r="AH589" s="228">
        <f t="shared" si="3023"/>
        <v>1.8590433059722668E-2</v>
      </c>
      <c r="AI589" s="228">
        <f t="shared" si="3023"/>
        <v>-5.9736133548734534E-2</v>
      </c>
      <c r="AJ589" s="228">
        <f t="shared" si="3007"/>
        <v>9.4731422209852451E-2</v>
      </c>
      <c r="AK589" s="228">
        <f t="shared" si="3023"/>
        <v>-7.2847554840614337E-2</v>
      </c>
      <c r="AL589" s="228">
        <f t="shared" si="3008"/>
        <v>-7.8685383244206791E-2</v>
      </c>
      <c r="AM589" s="228">
        <f t="shared" si="3009"/>
        <v>-3.1437434626241163E-2</v>
      </c>
      <c r="AN589" s="228">
        <f t="shared" si="3010"/>
        <v>1.999999999999999E-2</v>
      </c>
      <c r="AO589" s="228">
        <f t="shared" si="3011"/>
        <v>-1.7158469945355248E-2</v>
      </c>
      <c r="AP589" s="228">
        <f t="shared" si="3012"/>
        <v>1.1314616755793219E-2</v>
      </c>
      <c r="AQ589" s="228">
        <f t="shared" si="3013"/>
        <v>5.856256537375884E-2</v>
      </c>
      <c r="AR589" s="228"/>
      <c r="AS589" s="228"/>
      <c r="AT589" s="228"/>
      <c r="AU589" s="228"/>
      <c r="AV589" s="228"/>
      <c r="AW589" s="228"/>
      <c r="AX589" s="228"/>
      <c r="AY589" s="228"/>
      <c r="AZ589" s="228"/>
      <c r="BA589" s="228"/>
      <c r="BB589" s="228"/>
      <c r="BC589" s="228"/>
      <c r="BD589" s="228"/>
      <c r="BE589" s="228"/>
      <c r="BF589" s="228"/>
      <c r="BG589" s="228"/>
      <c r="BH589" s="228"/>
      <c r="BI589" s="228"/>
      <c r="BJ589" s="228">
        <f t="shared" ref="BJ589:BK589" si="3024">+BJ578+BI578</f>
        <v>0.24362935029200106</v>
      </c>
      <c r="BK589" s="228">
        <f t="shared" si="3024"/>
        <v>0.11637717468496445</v>
      </c>
      <c r="BL589" s="228">
        <f t="shared" ref="BL589:BO589" si="3025">+BL578+BK578</f>
        <v>0.3444611035719285</v>
      </c>
      <c r="BM589" s="228">
        <f t="shared" si="3025"/>
        <v>0.38381492655603822</v>
      </c>
      <c r="BN589" s="228">
        <f t="shared" si="3025"/>
        <v>7.7676964712287688E-3</v>
      </c>
      <c r="BO589" s="228">
        <f t="shared" si="3025"/>
        <v>-2.9229804716375263E-2</v>
      </c>
      <c r="BP589" s="228">
        <f t="shared" si="3016"/>
        <v>1.1393638307858112E-2</v>
      </c>
    </row>
    <row r="590" spans="2:68" s="872" customFormat="1">
      <c r="B590" s="875" t="str">
        <f t="shared" si="3005"/>
        <v>Search and Advertising</v>
      </c>
      <c r="D590" s="228"/>
      <c r="E590" s="228"/>
      <c r="F590" s="228"/>
      <c r="G590" s="228"/>
      <c r="H590" s="228"/>
      <c r="I590" s="228"/>
      <c r="J590" s="228"/>
      <c r="K590" s="228"/>
      <c r="L590" s="228"/>
      <c r="M590" s="228"/>
      <c r="N590" s="228"/>
      <c r="O590" s="228"/>
      <c r="P590" s="228">
        <f t="shared" ref="P590:AK590" si="3026">+P579+L579</f>
        <v>0.23786500413512313</v>
      </c>
      <c r="Q590" s="228">
        <f t="shared" si="3026"/>
        <v>0.21967067200712043</v>
      </c>
      <c r="R590" s="228">
        <f t="shared" si="3026"/>
        <v>0.186885651626437</v>
      </c>
      <c r="S590" s="228">
        <f t="shared" si="3026"/>
        <v>0.21939818237161379</v>
      </c>
      <c r="T590" s="228">
        <f t="shared" si="3026"/>
        <v>0.20444376652430329</v>
      </c>
      <c r="U590" s="228">
        <f t="shared" si="3026"/>
        <v>0.18034991324465</v>
      </c>
      <c r="V590" s="228">
        <f t="shared" si="3026"/>
        <v>0.11043480862507127</v>
      </c>
      <c r="W590" s="228">
        <f t="shared" si="3026"/>
        <v>-7.6734000857343609E-2</v>
      </c>
      <c r="X590" s="228">
        <f t="shared" si="3026"/>
        <v>8.942618741832653E-2</v>
      </c>
      <c r="Y590" s="228">
        <f t="shared" si="3026"/>
        <v>0.19773317722985584</v>
      </c>
      <c r="Z590" s="228">
        <f t="shared" si="3026"/>
        <v>0.24820920699211579</v>
      </c>
      <c r="AA590" s="228">
        <f t="shared" si="3026"/>
        <v>0.40487743215565808</v>
      </c>
      <c r="AB590" s="228">
        <f t="shared" si="3026"/>
        <v>0.34284982369194583</v>
      </c>
      <c r="AC590" s="228">
        <f t="shared" si="3026"/>
        <v>0.3872551356173457</v>
      </c>
      <c r="AD590" s="228">
        <f t="shared" si="3026"/>
        <v>0.43553500073190388</v>
      </c>
      <c r="AE590" s="228">
        <f t="shared" si="3026"/>
        <v>0.73895570555774537</v>
      </c>
      <c r="AF590" s="228">
        <f t="shared" si="3026"/>
        <v>0.46936795044304858</v>
      </c>
      <c r="AG590" s="228">
        <f t="shared" si="3026"/>
        <v>0.33605053630949921</v>
      </c>
      <c r="AH590" s="228">
        <f t="shared" si="3026"/>
        <v>0.32657226155768437</v>
      </c>
      <c r="AI590" s="228">
        <f t="shared" si="3026"/>
        <v>0.23333070555774532</v>
      </c>
      <c r="AJ590" s="228">
        <f t="shared" si="3007"/>
        <v>0.20240963855421681</v>
      </c>
      <c r="AK590" s="228">
        <f t="shared" si="3026"/>
        <v>0.131892950391645</v>
      </c>
      <c r="AL590" s="228">
        <f t="shared" si="3008"/>
        <v>0.22</v>
      </c>
      <c r="AM590" s="228">
        <f t="shared" si="3009"/>
        <v>0.27</v>
      </c>
      <c r="AN590" s="228">
        <f t="shared" si="3010"/>
        <v>0.26</v>
      </c>
      <c r="AO590" s="228">
        <f t="shared" si="3011"/>
        <v>0.24</v>
      </c>
      <c r="AP590" s="228">
        <f t="shared" si="3012"/>
        <v>0.28000000000000003</v>
      </c>
      <c r="AQ590" s="228">
        <f t="shared" si="3013"/>
        <v>0.29000000000000004</v>
      </c>
      <c r="AR590" s="228"/>
      <c r="AS590" s="228"/>
      <c r="AT590" s="228"/>
      <c r="AU590" s="228"/>
      <c r="AV590" s="228"/>
      <c r="AW590" s="228"/>
      <c r="AX590" s="228"/>
      <c r="AY590" s="228"/>
      <c r="AZ590" s="228"/>
      <c r="BA590" s="228"/>
      <c r="BB590" s="228"/>
      <c r="BC590" s="228"/>
      <c r="BD590" s="228"/>
      <c r="BE590" s="228"/>
      <c r="BF590" s="228"/>
      <c r="BG590" s="228"/>
      <c r="BH590" s="228"/>
      <c r="BI590" s="228"/>
      <c r="BJ590" s="228">
        <f t="shared" ref="BJ590:BK590" si="3027">+BJ579+BI579</f>
        <v>0.21536186283739167</v>
      </c>
      <c r="BK590" s="228">
        <f t="shared" si="3027"/>
        <v>0.10253214879817985</v>
      </c>
      <c r="BL590" s="228">
        <f t="shared" ref="BL590:BO590" si="3028">+BL579+BK579</f>
        <v>0.21196956947679513</v>
      </c>
      <c r="BM590" s="228">
        <f t="shared" si="3028"/>
        <v>0.44806916766420479</v>
      </c>
      <c r="BN590" s="228">
        <f t="shared" si="3028"/>
        <v>0.33356899076940727</v>
      </c>
      <c r="BO590" s="228">
        <f t="shared" si="3028"/>
        <v>0.20547381942726028</v>
      </c>
      <c r="BP590" s="228">
        <f t="shared" si="3016"/>
        <v>0.2666741367239287</v>
      </c>
    </row>
    <row r="591" spans="2:68" s="872" customFormat="1">
      <c r="B591" s="875" t="str">
        <f t="shared" si="3005"/>
        <v>Surface and HW</v>
      </c>
      <c r="D591" s="228"/>
      <c r="E591" s="228"/>
      <c r="F591" s="228"/>
      <c r="G591" s="228"/>
      <c r="H591" s="228"/>
      <c r="I591" s="228"/>
      <c r="J591" s="228"/>
      <c r="K591" s="228"/>
      <c r="L591" s="228"/>
      <c r="M591" s="228"/>
      <c r="N591" s="228"/>
      <c r="O591" s="228"/>
      <c r="P591" s="228">
        <f t="shared" ref="P591:AK591" si="3029">+P580+L580</f>
        <v>-6.6340982846546215E-2</v>
      </c>
      <c r="Q591" s="228">
        <f t="shared" si="3029"/>
        <v>0.12849905584649424</v>
      </c>
      <c r="R591" s="228">
        <f t="shared" si="3029"/>
        <v>0.39995199715079854</v>
      </c>
      <c r="S591" s="228">
        <f t="shared" si="3029"/>
        <v>0.30755306473439337</v>
      </c>
      <c r="T591" s="228">
        <f t="shared" si="3029"/>
        <v>4.4579858478645429E-2</v>
      </c>
      <c r="U591" s="228">
        <f t="shared" si="3029"/>
        <v>0.32386881437488935</v>
      </c>
      <c r="V591" s="228">
        <f t="shared" si="3029"/>
        <v>0.13750121180132924</v>
      </c>
      <c r="W591" s="228">
        <f t="shared" si="3029"/>
        <v>0.34413735139596047</v>
      </c>
      <c r="X591" s="228">
        <f t="shared" si="3029"/>
        <v>0.27901383335167407</v>
      </c>
      <c r="Y591" s="228">
        <f t="shared" si="3029"/>
        <v>7.9432594188975081E-2</v>
      </c>
      <c r="Z591" s="228">
        <f t="shared" si="3029"/>
        <v>0.12293592081221738</v>
      </c>
      <c r="AA591" s="228">
        <f t="shared" si="3029"/>
        <v>4.0494667616290392E-2</v>
      </c>
      <c r="AB591" s="228">
        <f t="shared" si="3029"/>
        <v>0.16883816408930441</v>
      </c>
      <c r="AC591" s="228">
        <f t="shared" si="3029"/>
        <v>0.10902105503375048</v>
      </c>
      <c r="AD591" s="228">
        <f t="shared" si="3029"/>
        <v>0.20922105847498429</v>
      </c>
      <c r="AE591" s="228">
        <f t="shared" si="3029"/>
        <v>-0.13347573717204553</v>
      </c>
      <c r="AF591" s="228">
        <f t="shared" si="3029"/>
        <v>-9.8527776226488673E-2</v>
      </c>
      <c r="AG591" s="228">
        <f t="shared" si="3029"/>
        <v>-0.30832205167594129</v>
      </c>
      <c r="AH591" s="228">
        <f t="shared" si="3029"/>
        <v>-0.32137827297992072</v>
      </c>
      <c r="AI591" s="228">
        <f t="shared" si="3029"/>
        <v>-0.17076295514774764</v>
      </c>
      <c r="AJ591" s="228">
        <f t="shared" si="3007"/>
        <v>-0.33054081506002242</v>
      </c>
      <c r="AK591" s="228">
        <f t="shared" si="3029"/>
        <v>-0.6788617840356157</v>
      </c>
      <c r="AL591" s="228">
        <f t="shared" si="3008"/>
        <v>-0.90428877669915875</v>
      </c>
      <c r="AM591" s="228">
        <f t="shared" si="3009"/>
        <v>-0.72414165873271641</v>
      </c>
      <c r="AN591" s="228">
        <f t="shared" si="3010"/>
        <v>-0.3967755162839246</v>
      </c>
      <c r="AO591" s="228">
        <f t="shared" si="3011"/>
        <v>-0.29112394048381862</v>
      </c>
      <c r="AP591" s="228">
        <f t="shared" si="3012"/>
        <v>-0.5103052566173466</v>
      </c>
      <c r="AQ591" s="228">
        <f t="shared" si="3013"/>
        <v>-0.49507361883920609</v>
      </c>
      <c r="AR591" s="228"/>
      <c r="AS591" s="228"/>
      <c r="AT591" s="228"/>
      <c r="AU591" s="228"/>
      <c r="AV591" s="228"/>
      <c r="AW591" s="228"/>
      <c r="AX591" s="228"/>
      <c r="AY591" s="228"/>
      <c r="AZ591" s="228"/>
      <c r="BA591" s="228"/>
      <c r="BB591" s="228"/>
      <c r="BC591" s="228"/>
      <c r="BD591" s="228"/>
      <c r="BE591" s="228"/>
      <c r="BF591" s="228"/>
      <c r="BG591" s="228"/>
      <c r="BH591" s="228"/>
      <c r="BI591" s="228"/>
      <c r="BJ591" s="228">
        <f t="shared" ref="BJ591:BK591" si="3030">+BJ580+BI580</f>
        <v>0.15914442444895471</v>
      </c>
      <c r="BK591" s="228">
        <f t="shared" si="3030"/>
        <v>0.22227104462811798</v>
      </c>
      <c r="BL591" s="228">
        <f t="shared" ref="BL591:BO591" si="3031">+BL580+BK580</f>
        <v>0.10521135228489786</v>
      </c>
      <c r="BM591" s="228">
        <f t="shared" si="3031"/>
        <v>6.4150488264673289E-2</v>
      </c>
      <c r="BN591" s="228">
        <f t="shared" si="3031"/>
        <v>-0.25005174685595277</v>
      </c>
      <c r="BO591" s="228">
        <f t="shared" si="3031"/>
        <v>-0.67849217728933742</v>
      </c>
      <c r="BP591" s="228">
        <f t="shared" si="3016"/>
        <v>-0.41337154409584165</v>
      </c>
    </row>
    <row r="592" spans="2:68" s="1161" customFormat="1" ht="11.45">
      <c r="B592" s="875" t="str">
        <f t="shared" si="3005"/>
        <v>ATVI</v>
      </c>
      <c r="D592" s="840"/>
      <c r="E592" s="840"/>
      <c r="F592" s="840"/>
      <c r="G592" s="840"/>
      <c r="H592" s="840"/>
      <c r="I592" s="840"/>
      <c r="J592" s="840"/>
      <c r="K592" s="840"/>
      <c r="L592" s="840"/>
      <c r="M592" s="840"/>
      <c r="N592" s="840"/>
      <c r="O592" s="840"/>
      <c r="P592" s="840"/>
      <c r="Q592" s="840"/>
      <c r="R592" s="840"/>
      <c r="S592" s="840"/>
      <c r="T592" s="840">
        <f>+T581+P581</f>
        <v>0</v>
      </c>
      <c r="U592" s="840">
        <f t="shared" ref="U592" si="3032">+U581+Q581</f>
        <v>0</v>
      </c>
      <c r="V592" s="840">
        <f t="shared" ref="V592" si="3033">+V581+R581</f>
        <v>0</v>
      </c>
      <c r="W592" s="840">
        <f t="shared" ref="W592" si="3034">+W581+S581</f>
        <v>0</v>
      </c>
      <c r="X592" s="840">
        <f t="shared" ref="X592" si="3035">+X581+T581</f>
        <v>0</v>
      </c>
      <c r="Y592" s="840">
        <f t="shared" ref="Y592" si="3036">+Y581+U581</f>
        <v>0</v>
      </c>
      <c r="Z592" s="840">
        <f t="shared" ref="Z592" si="3037">+Z581+V581</f>
        <v>0</v>
      </c>
      <c r="AA592" s="840">
        <f t="shared" ref="AA592" si="3038">+AA581+W581</f>
        <v>0</v>
      </c>
      <c r="AB592" s="840">
        <f t="shared" ref="AB592" si="3039">+AB581+X581</f>
        <v>0</v>
      </c>
      <c r="AC592" s="840">
        <f t="shared" ref="AC592" si="3040">+AC581+Y581</f>
        <v>0</v>
      </c>
      <c r="AD592" s="840">
        <f t="shared" ref="AD592" si="3041">+AD581+Z581</f>
        <v>0</v>
      </c>
      <c r="AE592" s="840">
        <f t="shared" ref="AE592" si="3042">+AE581+AA581</f>
        <v>0</v>
      </c>
      <c r="AF592" s="840">
        <f t="shared" ref="AF592" si="3043">+AF581+AB581</f>
        <v>0</v>
      </c>
      <c r="AG592" s="840">
        <f t="shared" ref="AG592" si="3044">+AG581+AC581</f>
        <v>0</v>
      </c>
      <c r="AH592" s="840">
        <f t="shared" ref="AH592" si="3045">+AH581+AD581</f>
        <v>0</v>
      </c>
      <c r="AI592" s="840">
        <f t="shared" ref="AI592" si="3046">+AI581+AE581</f>
        <v>0</v>
      </c>
      <c r="AJ592" s="840">
        <f t="shared" si="3007"/>
        <v>0</v>
      </c>
      <c r="AK592" s="840" t="s">
        <v>271</v>
      </c>
      <c r="AL592" s="840" t="s">
        <v>271</v>
      </c>
      <c r="AM592" s="840" t="s">
        <v>271</v>
      </c>
      <c r="AN592" s="840" t="s">
        <v>271</v>
      </c>
      <c r="AO592" s="840" t="s">
        <v>271</v>
      </c>
      <c r="AP592" s="840" t="s">
        <v>271</v>
      </c>
      <c r="AQ592" s="840" t="s">
        <v>271</v>
      </c>
      <c r="AR592" s="840"/>
      <c r="AS592" s="840"/>
      <c r="AT592" s="840"/>
      <c r="AU592" s="840"/>
      <c r="AV592" s="840"/>
      <c r="AW592" s="840"/>
      <c r="AX592" s="840"/>
      <c r="AY592" s="840"/>
      <c r="AZ592" s="840"/>
      <c r="BA592" s="840"/>
      <c r="BB592" s="840"/>
      <c r="BC592" s="840"/>
      <c r="BD592" s="840"/>
      <c r="BE592" s="840"/>
      <c r="BF592" s="840"/>
      <c r="BG592" s="840"/>
      <c r="BH592" s="840"/>
      <c r="BI592" s="840"/>
      <c r="BJ592" s="840">
        <v>0</v>
      </c>
      <c r="BK592" s="840">
        <v>0</v>
      </c>
      <c r="BL592" s="840">
        <v>0</v>
      </c>
      <c r="BM592" s="840">
        <v>0</v>
      </c>
      <c r="BN592" s="840">
        <v>0</v>
      </c>
      <c r="BO592" s="840" t="s">
        <v>271</v>
      </c>
      <c r="BP592" s="840" t="s">
        <v>271</v>
      </c>
    </row>
    <row r="593" spans="2:68" s="1164" customFormat="1">
      <c r="B593" s="1165" t="str">
        <f t="shared" si="3005"/>
        <v>Total MPC Revenue</v>
      </c>
      <c r="D593" s="842"/>
      <c r="E593" s="842"/>
      <c r="F593" s="842"/>
      <c r="G593" s="842"/>
      <c r="H593" s="842"/>
      <c r="I593" s="842"/>
      <c r="J593" s="842"/>
      <c r="K593" s="842"/>
      <c r="L593" s="842"/>
      <c r="M593" s="842"/>
      <c r="N593" s="842"/>
      <c r="O593" s="842"/>
      <c r="P593" s="842">
        <f t="shared" ref="P593:AK593" si="3047">+P582+L582</f>
        <v>0.14406384741342593</v>
      </c>
      <c r="Q593" s="842">
        <f t="shared" si="3047"/>
        <v>9.1260601262859176E-2</v>
      </c>
      <c r="R593" s="842">
        <f t="shared" si="3047"/>
        <v>0.20708104044193587</v>
      </c>
      <c r="S593" s="842">
        <f t="shared" si="3047"/>
        <v>0.21394435884323837</v>
      </c>
      <c r="T593" s="842">
        <f t="shared" si="3047"/>
        <v>0.1818867208724364</v>
      </c>
      <c r="U593" s="842">
        <f t="shared" si="3047"/>
        <v>8.4403573354491224E-2</v>
      </c>
      <c r="V593" s="842">
        <f t="shared" si="3047"/>
        <v>0.10662023823956068</v>
      </c>
      <c r="W593" s="842">
        <f t="shared" si="3047"/>
        <v>0.18789426061362757</v>
      </c>
      <c r="X593" s="842">
        <f t="shared" si="3047"/>
        <v>0.10032670312850511</v>
      </c>
      <c r="Y593" s="842">
        <f t="shared" si="3047"/>
        <v>0.16143044900597237</v>
      </c>
      <c r="Z593" s="842">
        <f t="shared" si="3047"/>
        <v>0.21509585181385882</v>
      </c>
      <c r="AA593" s="842">
        <f t="shared" si="3047"/>
        <v>0.23569719478265139</v>
      </c>
      <c r="AB593" s="842">
        <f t="shared" si="3047"/>
        <v>0.18795242845810978</v>
      </c>
      <c r="AC593" s="842">
        <f t="shared" si="3047"/>
        <v>0.29959200656100382</v>
      </c>
      <c r="AD593" s="842">
        <f t="shared" si="3047"/>
        <v>0.29925280467157456</v>
      </c>
      <c r="AE593" s="842">
        <f t="shared" si="3047"/>
        <v>0.11026014480265256</v>
      </c>
      <c r="AF593" s="842">
        <f t="shared" si="3047"/>
        <v>0.12499108600710951</v>
      </c>
      <c r="AG593" s="842">
        <f t="shared" si="3047"/>
        <v>-2.9886973675277817E-2</v>
      </c>
      <c r="AH593" s="842">
        <f t="shared" si="3047"/>
        <v>2.7061741293658459E-2</v>
      </c>
      <c r="AI593" s="842">
        <f t="shared" si="3047"/>
        <v>-1.2247467859239913E-2</v>
      </c>
      <c r="AJ593" s="842">
        <f t="shared" si="3007"/>
        <v>2.6404465593021564E-2</v>
      </c>
      <c r="AK593" s="842">
        <f t="shared" si="3047"/>
        <v>1.5888810100961326E-3</v>
      </c>
      <c r="AL593" s="842">
        <f t="shared" ref="AL593:AL594" si="3048">+AL582+AH582</f>
        <v>8.8185433105219202E-2</v>
      </c>
      <c r="AM593" s="842">
        <f t="shared" ref="AM593:AM594" si="3049">+AM582+AI582</f>
        <v>0.11169855171957077</v>
      </c>
      <c r="AN593" s="842">
        <f t="shared" ref="AN593:AN594" si="3050">+AN582+AJ582</f>
        <v>0.16680877105487624</v>
      </c>
      <c r="AO593" s="842">
        <f t="shared" ref="AO593:AO594" si="3051">+AO582+AK582</f>
        <v>0.21535059283749702</v>
      </c>
      <c r="AP593" s="842">
        <f t="shared" ref="AP593:AP594" si="3052">+AP582+AL582</f>
        <v>0.25269791037969647</v>
      </c>
      <c r="AQ593" s="842">
        <f t="shared" ref="AQ593:AQ594" si="3053">+AQ582+AM582</f>
        <v>0.21672457687743596</v>
      </c>
      <c r="AR593" s="842"/>
      <c r="AS593" s="842"/>
      <c r="AT593" s="842"/>
      <c r="AU593" s="842"/>
      <c r="AV593" s="842"/>
      <c r="AW593" s="842"/>
      <c r="AX593" s="842"/>
      <c r="AY593" s="842"/>
      <c r="AZ593" s="842"/>
      <c r="BA593" s="842"/>
      <c r="BB593" s="842"/>
      <c r="BC593" s="842"/>
      <c r="BD593" s="842"/>
      <c r="BE593" s="842"/>
      <c r="BF593" s="842"/>
      <c r="BG593" s="842"/>
      <c r="BH593" s="842"/>
      <c r="BI593" s="842"/>
      <c r="BJ593" s="842">
        <f t="shared" ref="BJ593:BK593" si="3054">+BJ582+BI582</f>
        <v>0.15683371975197602</v>
      </c>
      <c r="BK593" s="842">
        <f t="shared" si="3054"/>
        <v>0.13681104852066994</v>
      </c>
      <c r="BL593" s="842">
        <f t="shared" ref="BL593:BO593" si="3055">+BL582+BK582</f>
        <v>0.1769419884159571</v>
      </c>
      <c r="BM593" s="842">
        <f t="shared" si="3055"/>
        <v>0.22389812696541656</v>
      </c>
      <c r="BN593" s="842">
        <f t="shared" si="3055"/>
        <v>2.0331926230605757E-2</v>
      </c>
      <c r="BO593" s="842">
        <f t="shared" si="3055"/>
        <v>5.0844779498902759E-2</v>
      </c>
      <c r="BP593" s="842">
        <f t="shared" ref="BP593:BP594" si="3056">+BP582+BO582</f>
        <v>0.21083032092385645</v>
      </c>
    </row>
    <row r="594" spans="2:68" s="1164" customFormat="1">
      <c r="B594" s="841" t="s">
        <v>443</v>
      </c>
      <c r="D594" s="842"/>
      <c r="E594" s="842"/>
      <c r="F594" s="842"/>
      <c r="G594" s="842"/>
      <c r="H594" s="842"/>
      <c r="I594" s="842"/>
      <c r="J594" s="842"/>
      <c r="K594" s="842"/>
      <c r="L594" s="842"/>
      <c r="M594" s="842"/>
      <c r="N594" s="842"/>
      <c r="O594" s="842"/>
      <c r="P594" s="842"/>
      <c r="Q594" s="842"/>
      <c r="R594" s="842"/>
      <c r="S594" s="842"/>
      <c r="T594" s="842">
        <f t="shared" ref="T594" si="3057">+T583+P583</f>
        <v>0.1818867208724364</v>
      </c>
      <c r="U594" s="842">
        <f t="shared" ref="U594" si="3058">+U583+Q583</f>
        <v>8.4403573354491224E-2</v>
      </c>
      <c r="V594" s="842">
        <f t="shared" ref="V594" si="3059">+V583+R583</f>
        <v>0.10662023823956068</v>
      </c>
      <c r="W594" s="842">
        <f t="shared" ref="W594" si="3060">+W583+S583</f>
        <v>0.18789426061362757</v>
      </c>
      <c r="X594" s="842">
        <f t="shared" ref="X594" si="3061">+X583+T583</f>
        <v>0.10032670312850511</v>
      </c>
      <c r="Y594" s="842">
        <f t="shared" ref="Y594" si="3062">+Y583+U583</f>
        <v>0.16143044900597237</v>
      </c>
      <c r="Z594" s="842">
        <f t="shared" ref="Z594" si="3063">+Z583+V583</f>
        <v>0.21509585181385882</v>
      </c>
      <c r="AA594" s="842">
        <f t="shared" ref="AA594" si="3064">+AA583+W583</f>
        <v>0.23569719478265139</v>
      </c>
      <c r="AB594" s="842">
        <f t="shared" ref="AB594" si="3065">+AB583+X583</f>
        <v>0.18795242845810978</v>
      </c>
      <c r="AC594" s="842">
        <f t="shared" ref="AC594" si="3066">+AC583+Y583</f>
        <v>0.29959200656100382</v>
      </c>
      <c r="AD594" s="842">
        <f t="shared" ref="AD594" si="3067">+AD583+Z583</f>
        <v>0.29925280467157456</v>
      </c>
      <c r="AE594" s="842">
        <f t="shared" ref="AE594" si="3068">+AE583+AA583</f>
        <v>0.11026014480265256</v>
      </c>
      <c r="AF594" s="842">
        <f t="shared" ref="AF594" si="3069">+AF583+AB583</f>
        <v>0.12499108600710951</v>
      </c>
      <c r="AG594" s="842">
        <f t="shared" ref="AG594" si="3070">+AG583+AC583</f>
        <v>-2.9886973675277817E-2</v>
      </c>
      <c r="AH594" s="842">
        <f t="shared" ref="AH594" si="3071">+AH583+AD583</f>
        <v>2.7061741293658459E-2</v>
      </c>
      <c r="AI594" s="842">
        <f t="shared" ref="AI594" si="3072">+AI583+AE583</f>
        <v>-1.2247467859239913E-2</v>
      </c>
      <c r="AJ594" s="842">
        <f t="shared" si="3007"/>
        <v>2.6404465593021564E-2</v>
      </c>
      <c r="AK594" s="842">
        <f t="shared" ref="AK594" si="3073">+AK583+AG583</f>
        <v>-0.14450931383432342</v>
      </c>
      <c r="AL594" s="842">
        <f t="shared" si="3048"/>
        <v>-6.0381686050135386E-2</v>
      </c>
      <c r="AM594" s="842">
        <f t="shared" si="3049"/>
        <v>-9.1212972556180549E-3</v>
      </c>
      <c r="AN594" s="842">
        <f t="shared" si="3050"/>
        <v>5.1635347961066724E-2</v>
      </c>
      <c r="AO594" s="842">
        <f t="shared" si="3051"/>
        <v>6.2081013480546732E-2</v>
      </c>
      <c r="AP594" s="842">
        <f t="shared" si="3052"/>
        <v>0.10380302979947631</v>
      </c>
      <c r="AQ594" s="842">
        <f t="shared" si="3053"/>
        <v>9.5149595274281351E-2</v>
      </c>
      <c r="AR594" s="842"/>
      <c r="AS594" s="842"/>
      <c r="AT594" s="842"/>
      <c r="AU594" s="842"/>
      <c r="AV594" s="842"/>
      <c r="AW594" s="842"/>
      <c r="AX594" s="842"/>
      <c r="AY594" s="842"/>
      <c r="AZ594" s="842"/>
      <c r="BA594" s="842"/>
      <c r="BB594" s="842"/>
      <c r="BC594" s="842"/>
      <c r="BD594" s="842"/>
      <c r="BE594" s="842"/>
      <c r="BF594" s="842"/>
      <c r="BG594" s="842"/>
      <c r="BH594" s="842"/>
      <c r="BI594" s="842"/>
      <c r="BJ594" s="842">
        <f t="shared" ref="BJ594" si="3074">+BJ583+BI583</f>
        <v>0.15683371975197602</v>
      </c>
      <c r="BK594" s="842">
        <f t="shared" ref="BK594" si="3075">+BK583+BJ583</f>
        <v>0.13681104852066994</v>
      </c>
      <c r="BL594" s="842">
        <f t="shared" ref="BL594" si="3076">+BL583+BK583</f>
        <v>0.1769419884159571</v>
      </c>
      <c r="BM594" s="842">
        <f t="shared" ref="BM594" si="3077">+BM583+BL583</f>
        <v>0.22389812696541656</v>
      </c>
      <c r="BN594" s="842">
        <f t="shared" ref="BN594" si="3078">+BN583+BM583</f>
        <v>2.0331926230605757E-2</v>
      </c>
      <c r="BO594" s="842">
        <f t="shared" ref="BO594" si="3079">+BO583+BN583</f>
        <v>-5.3843348538514468E-2</v>
      </c>
      <c r="BP594" s="842">
        <f t="shared" si="3056"/>
        <v>7.7931539276915984E-2</v>
      </c>
    </row>
    <row r="595" spans="2:68" s="1164" customFormat="1">
      <c r="B595" s="1165"/>
      <c r="D595" s="842"/>
      <c r="E595" s="842"/>
      <c r="F595" s="842"/>
      <c r="G595" s="842"/>
      <c r="H595" s="842"/>
      <c r="I595" s="842"/>
      <c r="J595" s="842"/>
      <c r="K595" s="842"/>
      <c r="L595" s="842"/>
      <c r="M595" s="842"/>
      <c r="N595" s="842"/>
      <c r="O595" s="842"/>
      <c r="P595" s="842"/>
      <c r="Q595" s="842"/>
      <c r="R595" s="842"/>
      <c r="S595" s="842"/>
      <c r="T595" s="842"/>
      <c r="U595" s="842"/>
      <c r="V595" s="842"/>
      <c r="W595" s="842"/>
      <c r="X595" s="842"/>
      <c r="Y595" s="842"/>
      <c r="Z595" s="842"/>
      <c r="AA595" s="842"/>
      <c r="AB595" s="842"/>
      <c r="AC595" s="842"/>
      <c r="AD595" s="842"/>
      <c r="AE595" s="842"/>
      <c r="AF595" s="842"/>
      <c r="AG595" s="842"/>
      <c r="AH595" s="842"/>
      <c r="AI595" s="842"/>
      <c r="AJ595" s="842"/>
      <c r="AK595" s="842"/>
      <c r="AL595" s="842"/>
      <c r="AM595" s="842"/>
      <c r="AN595" s="842"/>
      <c r="AO595" s="842"/>
      <c r="AP595" s="842"/>
      <c r="AQ595" s="842"/>
      <c r="AR595" s="842"/>
      <c r="AS595" s="842"/>
      <c r="AT595" s="842"/>
      <c r="AU595" s="842"/>
      <c r="AV595" s="842"/>
      <c r="AW595" s="842"/>
      <c r="AX595" s="842"/>
      <c r="AY595" s="842"/>
      <c r="AZ595" s="842"/>
      <c r="BA595" s="842"/>
      <c r="BB595" s="842"/>
      <c r="BC595" s="842"/>
      <c r="BD595" s="842"/>
      <c r="BE595" s="842"/>
      <c r="BF595" s="842"/>
      <c r="BG595" s="842"/>
      <c r="BH595" s="842"/>
      <c r="BI595" s="842"/>
      <c r="BJ595" s="842"/>
      <c r="BK595" s="842"/>
      <c r="BL595" s="842"/>
      <c r="BM595" s="842"/>
      <c r="BN595" s="842"/>
      <c r="BO595" s="842"/>
      <c r="BP595" s="842"/>
    </row>
    <row r="596" spans="2:68" ht="10.5">
      <c r="B596" s="45" t="s">
        <v>444</v>
      </c>
    </row>
    <row r="597" spans="2:68" s="100" customFormat="1">
      <c r="B597" s="100" t="s">
        <v>86</v>
      </c>
      <c r="H597" s="880"/>
      <c r="I597" s="880"/>
      <c r="J597" s="880"/>
      <c r="K597" s="11"/>
      <c r="L597" s="880"/>
      <c r="M597" s="880"/>
      <c r="N597" s="880"/>
      <c r="O597" s="11"/>
      <c r="P597" s="880">
        <v>1512</v>
      </c>
      <c r="Q597" s="880">
        <v>2381</v>
      </c>
      <c r="R597" s="880">
        <v>1825</v>
      </c>
      <c r="S597" s="11">
        <v>1396</v>
      </c>
      <c r="T597" s="880">
        <v>1282</v>
      </c>
      <c r="U597" s="880">
        <v>1986</v>
      </c>
      <c r="V597" s="880">
        <v>1788</v>
      </c>
      <c r="W597" s="880">
        <v>1932</v>
      </c>
      <c r="X597" s="880">
        <v>1954</v>
      </c>
      <c r="Y597" s="880">
        <v>2413</v>
      </c>
      <c r="Z597" s="880">
        <v>2275</v>
      </c>
      <c r="AA597" s="880">
        <v>2296</v>
      </c>
      <c r="AB597" s="880">
        <v>2070</v>
      </c>
      <c r="AC597" s="880">
        <v>2163</v>
      </c>
      <c r="AD597" s="880">
        <v>1768</v>
      </c>
      <c r="AE597" s="880">
        <v>1644</v>
      </c>
      <c r="AF597" s="880">
        <v>1782</v>
      </c>
      <c r="AG597" s="880">
        <v>2334</v>
      </c>
      <c r="AH597" s="11">
        <v>2383</v>
      </c>
      <c r="AI597" s="11">
        <v>2207</v>
      </c>
      <c r="AJ597" s="11">
        <v>2299.1692499999999</v>
      </c>
      <c r="AK597" s="11">
        <v>2668.5320000000002</v>
      </c>
      <c r="AL597" s="11">
        <v>2737.2384097035037</v>
      </c>
      <c r="AM597" s="11">
        <v>2021.4615000000001</v>
      </c>
      <c r="AN597" s="11"/>
      <c r="AO597" s="11"/>
      <c r="AP597" s="11"/>
      <c r="AQ597" s="11"/>
      <c r="AV597" s="880"/>
      <c r="AW597" s="880"/>
      <c r="AX597" s="880"/>
      <c r="AY597" s="880"/>
      <c r="AZ597" s="880"/>
      <c r="BA597" s="880"/>
      <c r="BB597" s="880"/>
      <c r="BC597" s="880"/>
      <c r="BD597" s="880"/>
      <c r="BH597" s="880"/>
      <c r="BI597" s="880"/>
      <c r="BJ597" s="880">
        <f>SUM(P597:S597)</f>
        <v>7114</v>
      </c>
      <c r="BK597" s="880">
        <f>SUM(T597:W597)</f>
        <v>6988</v>
      </c>
      <c r="BL597" s="880">
        <f>SUM(X597:AA597)</f>
        <v>8938</v>
      </c>
      <c r="BM597" s="880">
        <f>SUM(AB597:AE597)</f>
        <v>7645</v>
      </c>
      <c r="BN597" s="880">
        <f>SUM(AF597:AI597)</f>
        <v>8706</v>
      </c>
      <c r="BO597" s="880">
        <f>SUM(AJ597:AM597)</f>
        <v>9726.4011597035042</v>
      </c>
      <c r="BP597" s="880"/>
    </row>
    <row r="598" spans="2:68">
      <c r="B598" s="13" t="s">
        <v>113</v>
      </c>
      <c r="L598" s="14"/>
      <c r="M598" s="14"/>
      <c r="N598" s="14"/>
      <c r="O598" s="14"/>
      <c r="P598" s="14"/>
      <c r="Q598" s="14"/>
      <c r="R598" s="14"/>
      <c r="S598" s="14"/>
      <c r="T598" s="14">
        <f t="shared" ref="T598" si="3080">+T597/P597-1</f>
        <v>-0.15211640211640209</v>
      </c>
      <c r="U598" s="14">
        <f t="shared" ref="U598" si="3081">+U597/Q597-1</f>
        <v>-0.16589668206635866</v>
      </c>
      <c r="V598" s="14">
        <f t="shared" ref="V598" si="3082">+V597/R597-1</f>
        <v>-2.0273972602739776E-2</v>
      </c>
      <c r="W598" s="14">
        <f t="shared" ref="W598" si="3083">+W597/S597-1</f>
        <v>0.3839541547277936</v>
      </c>
      <c r="X598" s="14">
        <f t="shared" ref="X598" si="3084">+X597/T597-1</f>
        <v>0.52418096723868945</v>
      </c>
      <c r="Y598" s="14">
        <f t="shared" ref="Y598" si="3085">+Y597/U597-1</f>
        <v>0.21500503524672698</v>
      </c>
      <c r="Z598" s="14">
        <f t="shared" ref="Z598" si="3086">+Z597/V597-1</f>
        <v>0.27237136465324374</v>
      </c>
      <c r="AA598" s="14">
        <f t="shared" ref="AA598" si="3087">+AA597/W597-1</f>
        <v>0.18840579710144922</v>
      </c>
      <c r="AB598" s="14">
        <f t="shared" ref="AB598" si="3088">+AB597/X597-1</f>
        <v>5.9365404298874047E-2</v>
      </c>
      <c r="AC598" s="14">
        <f t="shared" ref="AC598" si="3089">+AC597/Y597-1</f>
        <v>-0.10360547036883549</v>
      </c>
      <c r="AD598" s="14">
        <f t="shared" ref="AD598" si="3090">+AD597/Z597-1</f>
        <v>-0.22285714285714286</v>
      </c>
      <c r="AE598" s="14">
        <f t="shared" ref="AE598" si="3091">+AE597/AA597-1</f>
        <v>-0.28397212543554007</v>
      </c>
      <c r="AF598" s="14">
        <f t="shared" ref="AF598" si="3092">+AF597/AB597-1</f>
        <v>-0.13913043478260867</v>
      </c>
      <c r="AG598" s="14">
        <f t="shared" ref="AG598" si="3093">+AG597/AC597-1</f>
        <v>7.905686546463242E-2</v>
      </c>
      <c r="AH598" s="14">
        <f t="shared" ref="AH598" si="3094">+AH597/AD597-1</f>
        <v>0.34785067873303177</v>
      </c>
      <c r="AI598" s="14">
        <f t="shared" ref="AI598" si="3095">+AI597/AE597-1</f>
        <v>0.34245742092457432</v>
      </c>
      <c r="AJ598" s="14">
        <f t="shared" ref="AJ598" si="3096">+AJ597/AF597-1</f>
        <v>0.2902184343434342</v>
      </c>
      <c r="AK598" s="14">
        <f t="shared" ref="AK598" si="3097">+AK597/AG597-1</f>
        <v>0.14332990574121696</v>
      </c>
      <c r="AL598" s="14">
        <f t="shared" ref="AL598" si="3098">+AL597/AH597-1</f>
        <v>0.14865229110512113</v>
      </c>
      <c r="AM598" s="14">
        <f t="shared" ref="AM598" si="3099">+AM597/AI597-1</f>
        <v>-8.4068192115994478E-2</v>
      </c>
      <c r="AN598" s="14"/>
      <c r="AO598" s="14"/>
      <c r="AP598" s="14"/>
      <c r="AQ598" s="14"/>
      <c r="BC598" s="14"/>
      <c r="BD598" s="14"/>
      <c r="BE598" s="14"/>
      <c r="BI598" s="14"/>
      <c r="BJ598" s="14"/>
      <c r="BK598" s="14">
        <f t="shared" ref="BK598:BN598" si="3100">+BK597/BJ597-1</f>
        <v>-1.7711554680910901E-2</v>
      </c>
      <c r="BL598" s="14">
        <f t="shared" si="3100"/>
        <v>0.27904979965655419</v>
      </c>
      <c r="BM598" s="14">
        <f t="shared" si="3100"/>
        <v>-0.14466323562318195</v>
      </c>
      <c r="BN598" s="14">
        <f t="shared" si="3100"/>
        <v>0.13878351863963378</v>
      </c>
      <c r="BO598" s="14">
        <f>+BO597/BN597-1</f>
        <v>0.11720665744354508</v>
      </c>
      <c r="BP598" s="14"/>
    </row>
    <row r="599" spans="2:68" s="1077" customFormat="1" hidden="1" outlineLevel="1">
      <c r="B599" s="1254" t="s">
        <v>445</v>
      </c>
      <c r="L599" s="1255"/>
      <c r="M599" s="1255"/>
      <c r="N599" s="1255"/>
      <c r="O599" s="1255"/>
      <c r="P599" s="1255"/>
      <c r="Q599" s="1255"/>
      <c r="R599" s="1255"/>
      <c r="S599" s="1255"/>
      <c r="T599" s="1255"/>
      <c r="U599" s="1255"/>
      <c r="V599" s="1255"/>
      <c r="W599" s="1255"/>
      <c r="X599" s="1255"/>
      <c r="Y599" s="1255"/>
      <c r="Z599" s="1255"/>
      <c r="AA599" s="1255"/>
      <c r="AB599" s="1255"/>
      <c r="AC599" s="1255"/>
      <c r="AD599" s="1255"/>
      <c r="AE599" s="1255"/>
      <c r="AF599" s="1255"/>
      <c r="AG599" s="1255"/>
      <c r="AH599" s="1255"/>
      <c r="AI599" s="1255"/>
      <c r="AJ599" s="1255"/>
      <c r="AK599" s="1255"/>
      <c r="AL599" s="1255"/>
      <c r="AM599" s="1255"/>
      <c r="AN599" s="1255"/>
      <c r="AO599" s="1255"/>
      <c r="AP599" s="1255"/>
      <c r="AQ599" s="1255"/>
      <c r="BC599" s="1255"/>
      <c r="BD599" s="1255"/>
      <c r="BE599" s="1255"/>
      <c r="BI599" s="1255"/>
      <c r="BJ599" s="1255"/>
      <c r="BK599" s="1255"/>
      <c r="BL599" s="1255"/>
      <c r="BM599" s="1255"/>
      <c r="BN599" s="1255"/>
      <c r="BO599" s="1255"/>
      <c r="BP599" s="1255"/>
    </row>
    <row r="600" spans="2:68" collapsed="1"/>
    <row r="601" spans="2:68" s="953" customFormat="1" ht="11.45">
      <c r="B601" t="s">
        <v>446</v>
      </c>
      <c r="P601" s="1211">
        <v>-485</v>
      </c>
      <c r="Q601" s="1211">
        <v>-822</v>
      </c>
      <c r="R601" s="1211">
        <v>-374</v>
      </c>
      <c r="S601" s="1211">
        <v>-329</v>
      </c>
      <c r="T601" s="1211">
        <v>-374</v>
      </c>
      <c r="U601" s="1211">
        <v>-742</v>
      </c>
      <c r="V601" s="1211">
        <v>-374</v>
      </c>
      <c r="W601" s="1211">
        <v>-450</v>
      </c>
      <c r="X601" s="1211">
        <v>-418</v>
      </c>
      <c r="Y601" s="1211">
        <v>-1030</v>
      </c>
      <c r="Z601" s="1211">
        <v>-492</v>
      </c>
      <c r="AA601" s="1211">
        <v>-450</v>
      </c>
      <c r="AB601" s="1211">
        <v>-487</v>
      </c>
      <c r="AC601" s="1211">
        <v>-758</v>
      </c>
      <c r="AD601" s="1211">
        <v>-421</v>
      </c>
      <c r="AE601" s="1211">
        <v>-476</v>
      </c>
      <c r="AF601" s="1211">
        <v>-520</v>
      </c>
      <c r="AG601" s="1211">
        <v>-907</v>
      </c>
      <c r="AH601" s="1211">
        <v>-581</v>
      </c>
      <c r="AI601" s="1211">
        <v>-724</v>
      </c>
      <c r="AJ601" s="1211">
        <v>-606.12312521186459</v>
      </c>
      <c r="AK601" s="1211">
        <v>-823.39758681295552</v>
      </c>
      <c r="AL601" s="1211">
        <v>-635.40573113207552</v>
      </c>
      <c r="AM601" s="1211">
        <v>-687.74722960178792</v>
      </c>
      <c r="AN601" s="1211"/>
      <c r="AO601" s="1211"/>
      <c r="AP601" s="1211"/>
      <c r="AQ601" s="1211"/>
      <c r="AR601" s="1211"/>
      <c r="AS601" s="1211"/>
      <c r="AT601" s="1211"/>
      <c r="AU601" s="1211"/>
      <c r="AV601" s="1211"/>
      <c r="AW601" s="1211"/>
      <c r="AX601" s="1211"/>
      <c r="AY601" s="1211"/>
      <c r="AZ601" s="1211"/>
      <c r="BA601" s="1211"/>
      <c r="BB601" s="1211"/>
      <c r="BC601" s="1211"/>
      <c r="BD601" s="1211"/>
      <c r="BE601" s="1211"/>
      <c r="BF601" s="1211"/>
      <c r="BG601" s="1211"/>
      <c r="BH601" s="1211"/>
      <c r="BI601" s="1211"/>
      <c r="BJ601" s="1211">
        <f t="shared" ref="BJ601" si="3101">SUM(P601:S601)</f>
        <v>-2010</v>
      </c>
      <c r="BK601" s="1211">
        <f t="shared" ref="BK601" si="3102">SUM(T601:W601)</f>
        <v>-1940</v>
      </c>
      <c r="BL601" s="1211">
        <f t="shared" ref="BL601" si="3103">SUM(X601:AA601)</f>
        <v>-2390</v>
      </c>
      <c r="BM601" s="1211">
        <f t="shared" ref="BM601" si="3104">SUM(AB601:AE601)</f>
        <v>-2142</v>
      </c>
      <c r="BN601" s="1211">
        <f t="shared" ref="BN601" si="3105">SUM(AF601:AI601)</f>
        <v>-2732</v>
      </c>
      <c r="BO601" s="1211">
        <f t="shared" ref="BO601" si="3106">SUM(AJ601:AM601)</f>
        <v>-2752.6736727586831</v>
      </c>
      <c r="BP601" s="1211"/>
    </row>
    <row r="602" spans="2:68">
      <c r="B602" s="12" t="s">
        <v>447</v>
      </c>
      <c r="P602" s="227">
        <f>+P601+P597</f>
        <v>1027</v>
      </c>
      <c r="Q602" s="227">
        <f t="shared" ref="Q602:AM602" si="3107">+Q601+Q597</f>
        <v>1559</v>
      </c>
      <c r="R602" s="227">
        <f t="shared" si="3107"/>
        <v>1451</v>
      </c>
      <c r="S602" s="227">
        <f t="shared" si="3107"/>
        <v>1067</v>
      </c>
      <c r="T602" s="227">
        <f t="shared" si="3107"/>
        <v>908</v>
      </c>
      <c r="U602" s="227">
        <f t="shared" si="3107"/>
        <v>1244</v>
      </c>
      <c r="V602" s="227">
        <f t="shared" si="3107"/>
        <v>1414</v>
      </c>
      <c r="W602" s="227">
        <f t="shared" si="3107"/>
        <v>1482</v>
      </c>
      <c r="X602" s="227">
        <f t="shared" si="3107"/>
        <v>1536</v>
      </c>
      <c r="Y602" s="227">
        <f t="shared" si="3107"/>
        <v>1383</v>
      </c>
      <c r="Z602" s="227">
        <f t="shared" si="3107"/>
        <v>1783</v>
      </c>
      <c r="AA602" s="227">
        <f t="shared" si="3107"/>
        <v>1846</v>
      </c>
      <c r="AB602" s="227">
        <f t="shared" si="3107"/>
        <v>1583</v>
      </c>
      <c r="AC602" s="227">
        <f t="shared" si="3107"/>
        <v>1405</v>
      </c>
      <c r="AD602" s="227">
        <f t="shared" si="3107"/>
        <v>1347</v>
      </c>
      <c r="AE602" s="227">
        <f t="shared" si="3107"/>
        <v>1168</v>
      </c>
      <c r="AF602" s="227">
        <f t="shared" si="3107"/>
        <v>1262</v>
      </c>
      <c r="AG602" s="227">
        <f t="shared" si="3107"/>
        <v>1427</v>
      </c>
      <c r="AH602" s="227">
        <f t="shared" si="3107"/>
        <v>1802</v>
      </c>
      <c r="AI602" s="227">
        <f t="shared" si="3107"/>
        <v>1483</v>
      </c>
      <c r="AJ602" s="227">
        <f t="shared" si="3107"/>
        <v>1693.0461247881353</v>
      </c>
      <c r="AK602" s="227">
        <f t="shared" si="3107"/>
        <v>1845.1344131870446</v>
      </c>
      <c r="AL602" s="227">
        <f t="shared" si="3107"/>
        <v>2101.832678571428</v>
      </c>
      <c r="AM602" s="227">
        <f t="shared" si="3107"/>
        <v>1333.7142703982122</v>
      </c>
      <c r="AN602" s="227"/>
      <c r="AO602" s="227"/>
      <c r="AP602" s="227"/>
      <c r="AQ602" s="227"/>
      <c r="AR602" s="227"/>
      <c r="AS602" s="227"/>
      <c r="AT602" s="227"/>
      <c r="AU602" s="227"/>
      <c r="AV602" s="227"/>
      <c r="AW602" s="227"/>
      <c r="AX602" s="227"/>
      <c r="AY602" s="227"/>
      <c r="AZ602" s="227"/>
      <c r="BA602" s="227"/>
      <c r="BB602" s="227"/>
      <c r="BC602" s="227"/>
      <c r="BD602" s="227"/>
      <c r="BE602" s="227"/>
      <c r="BF602" s="227"/>
      <c r="BG602" s="227"/>
      <c r="BH602" s="227"/>
      <c r="BI602" s="227"/>
      <c r="BJ602" s="227">
        <f t="shared" ref="BJ602:BJ603" si="3108">SUM(P602:S602)</f>
        <v>5104</v>
      </c>
      <c r="BK602" s="227">
        <f t="shared" ref="BK602:BK603" si="3109">SUM(T602:W602)</f>
        <v>5048</v>
      </c>
      <c r="BL602" s="227">
        <f t="shared" ref="BL602:BL603" si="3110">SUM(X602:AA602)</f>
        <v>6548</v>
      </c>
      <c r="BM602" s="227">
        <f t="shared" ref="BM602:BM603" si="3111">SUM(AB602:AE602)</f>
        <v>5503</v>
      </c>
      <c r="BN602" s="227">
        <f t="shared" ref="BN602:BN603" si="3112">SUM(AF602:AI602)</f>
        <v>5974</v>
      </c>
      <c r="BO602" s="227">
        <f t="shared" ref="BO602:BO603" si="3113">SUM(AJ602:AM602)</f>
        <v>6973.7274869448192</v>
      </c>
      <c r="BP602" s="227"/>
    </row>
    <row r="603" spans="2:68" s="953" customFormat="1" ht="11.45">
      <c r="B603" t="s">
        <v>142</v>
      </c>
      <c r="P603" s="1211">
        <v>-4</v>
      </c>
      <c r="Q603" s="1211">
        <v>-8</v>
      </c>
      <c r="R603" s="1211">
        <v>-10</v>
      </c>
      <c r="S603" s="1211">
        <v>-4</v>
      </c>
      <c r="T603" s="1211">
        <v>-1</v>
      </c>
      <c r="U603" s="1211">
        <v>-4</v>
      </c>
      <c r="V603" s="1211">
        <v>-5</v>
      </c>
      <c r="W603" s="1211">
        <v>-1</v>
      </c>
      <c r="X603" s="1211">
        <v>-2</v>
      </c>
      <c r="Y603" s="1211">
        <v>-6</v>
      </c>
      <c r="Z603" s="1211">
        <v>-6</v>
      </c>
      <c r="AA603" s="1211">
        <v>-6</v>
      </c>
      <c r="AB603" s="1211">
        <v>-4</v>
      </c>
      <c r="AC603" s="1211">
        <v>-8</v>
      </c>
      <c r="AD603" s="1211">
        <v>-6</v>
      </c>
      <c r="AE603" s="1211">
        <v>-3</v>
      </c>
      <c r="AF603" s="1211">
        <v>-1</v>
      </c>
      <c r="AG603" s="1211">
        <v>-19</v>
      </c>
      <c r="AH603" s="1211">
        <v>-24</v>
      </c>
      <c r="AI603" s="1211">
        <v>-24</v>
      </c>
      <c r="AJ603" s="1211">
        <v>-1.1972033898305083</v>
      </c>
      <c r="AK603" s="1211">
        <v>-17.772752383623107</v>
      </c>
      <c r="AL603" s="1211">
        <v>-27.567654986522914</v>
      </c>
      <c r="AM603" s="1211">
        <v>-23.192425843153188</v>
      </c>
      <c r="AN603" s="1211"/>
      <c r="AO603" s="1211"/>
      <c r="AP603" s="1211"/>
      <c r="AQ603" s="1211"/>
      <c r="AR603" s="1211"/>
      <c r="AS603" s="1211"/>
      <c r="AT603" s="1211"/>
      <c r="AU603" s="1211"/>
      <c r="AV603" s="1211"/>
      <c r="AW603" s="1211"/>
      <c r="AX603" s="1211"/>
      <c r="AY603" s="1211"/>
      <c r="AZ603" s="1211"/>
      <c r="BA603" s="1211"/>
      <c r="BB603" s="1211"/>
      <c r="BC603" s="1211"/>
      <c r="BD603" s="1211"/>
      <c r="BE603" s="1211"/>
      <c r="BF603" s="1211"/>
      <c r="BG603" s="1211"/>
      <c r="BH603" s="1211"/>
      <c r="BI603" s="1211"/>
      <c r="BJ603" s="1211">
        <f t="shared" si="3108"/>
        <v>-26</v>
      </c>
      <c r="BK603" s="1211">
        <f t="shared" si="3109"/>
        <v>-11</v>
      </c>
      <c r="BL603" s="1211">
        <f t="shared" si="3110"/>
        <v>-20</v>
      </c>
      <c r="BM603" s="1211">
        <f t="shared" si="3111"/>
        <v>-21</v>
      </c>
      <c r="BN603" s="1211">
        <f t="shared" si="3112"/>
        <v>-68</v>
      </c>
      <c r="BO603" s="1211">
        <f t="shared" si="3113"/>
        <v>-69.730036603129719</v>
      </c>
      <c r="BP603" s="1211"/>
    </row>
    <row r="604" spans="2:68" s="100" customFormat="1">
      <c r="B604" s="1096" t="s">
        <v>448</v>
      </c>
      <c r="H604" s="880"/>
      <c r="I604" s="880"/>
      <c r="J604" s="880"/>
      <c r="K604" s="11"/>
      <c r="L604" s="880"/>
      <c r="M604" s="880"/>
      <c r="N604" s="880"/>
      <c r="O604" s="11"/>
      <c r="P604" s="880">
        <f>+P603+P602</f>
        <v>1023</v>
      </c>
      <c r="Q604" s="880">
        <f t="shared" ref="Q604:AM604" si="3114">+Q603+Q602</f>
        <v>1551</v>
      </c>
      <c r="R604" s="880">
        <f t="shared" si="3114"/>
        <v>1441</v>
      </c>
      <c r="S604" s="880">
        <f t="shared" si="3114"/>
        <v>1063</v>
      </c>
      <c r="T604" s="880">
        <f t="shared" si="3114"/>
        <v>907</v>
      </c>
      <c r="U604" s="880">
        <f t="shared" si="3114"/>
        <v>1240</v>
      </c>
      <c r="V604" s="880">
        <f t="shared" si="3114"/>
        <v>1409</v>
      </c>
      <c r="W604" s="880">
        <f t="shared" si="3114"/>
        <v>1481</v>
      </c>
      <c r="X604" s="880">
        <f t="shared" si="3114"/>
        <v>1534</v>
      </c>
      <c r="Y604" s="880">
        <f t="shared" si="3114"/>
        <v>1377</v>
      </c>
      <c r="Z604" s="880">
        <f t="shared" si="3114"/>
        <v>1777</v>
      </c>
      <c r="AA604" s="880">
        <f t="shared" si="3114"/>
        <v>1840</v>
      </c>
      <c r="AB604" s="880">
        <f t="shared" si="3114"/>
        <v>1579</v>
      </c>
      <c r="AC604" s="880">
        <f t="shared" si="3114"/>
        <v>1397</v>
      </c>
      <c r="AD604" s="880">
        <f t="shared" si="3114"/>
        <v>1341</v>
      </c>
      <c r="AE604" s="880">
        <f t="shared" si="3114"/>
        <v>1165</v>
      </c>
      <c r="AF604" s="880">
        <f t="shared" si="3114"/>
        <v>1261</v>
      </c>
      <c r="AG604" s="880">
        <f t="shared" si="3114"/>
        <v>1408</v>
      </c>
      <c r="AH604" s="880">
        <f t="shared" si="3114"/>
        <v>1778</v>
      </c>
      <c r="AI604" s="880">
        <f t="shared" si="3114"/>
        <v>1459</v>
      </c>
      <c r="AJ604" s="880">
        <f t="shared" si="3114"/>
        <v>1691.8489213983048</v>
      </c>
      <c r="AK604" s="880">
        <f t="shared" si="3114"/>
        <v>1827.3616608034215</v>
      </c>
      <c r="AL604" s="880">
        <f t="shared" si="3114"/>
        <v>2074.2650235849051</v>
      </c>
      <c r="AM604" s="880">
        <f t="shared" si="3114"/>
        <v>1310.521844555059</v>
      </c>
      <c r="AN604" s="880"/>
      <c r="AO604" s="880"/>
      <c r="AP604" s="880"/>
      <c r="AQ604" s="880"/>
      <c r="AR604" s="880"/>
      <c r="AS604" s="880"/>
      <c r="AT604" s="880"/>
      <c r="AU604" s="880"/>
      <c r="AV604" s="880"/>
      <c r="AW604" s="880"/>
      <c r="AX604" s="880"/>
      <c r="AY604" s="880"/>
      <c r="AZ604" s="880"/>
      <c r="BA604" s="880"/>
      <c r="BB604" s="880"/>
      <c r="BC604" s="880"/>
      <c r="BD604" s="880"/>
      <c r="BE604" s="880"/>
      <c r="BF604" s="880"/>
      <c r="BG604" s="880"/>
      <c r="BH604" s="880"/>
      <c r="BI604" s="880"/>
      <c r="BJ604" s="880">
        <f>SUM(P604:S604)</f>
        <v>5078</v>
      </c>
      <c r="BK604" s="880">
        <f>SUM(T604:W604)</f>
        <v>5037</v>
      </c>
      <c r="BL604" s="880">
        <f>SUM(X604:AA604)</f>
        <v>6528</v>
      </c>
      <c r="BM604" s="880">
        <f>SUM(AB604:AE604)</f>
        <v>5482</v>
      </c>
      <c r="BN604" s="880">
        <f>SUM(AF604:AI604)</f>
        <v>5906</v>
      </c>
      <c r="BO604" s="880">
        <f>SUM(AJ604:AM604)</f>
        <v>6903.9974503416906</v>
      </c>
      <c r="BP604" s="880"/>
    </row>
    <row r="605" spans="2:68">
      <c r="B605" s="15" t="s">
        <v>115</v>
      </c>
      <c r="L605" s="14"/>
      <c r="M605" s="14"/>
      <c r="N605" s="14"/>
      <c r="O605" s="14"/>
      <c r="P605" s="14">
        <f t="shared" ref="P605" si="3115">+P604/P597</f>
        <v>0.67658730158730163</v>
      </c>
      <c r="Q605" s="14">
        <f t="shared" ref="Q605" si="3116">+Q604/Q597</f>
        <v>0.65140697186056273</v>
      </c>
      <c r="R605" s="14">
        <f t="shared" ref="R605" si="3117">+R604/R597</f>
        <v>0.78958904109589045</v>
      </c>
      <c r="S605" s="14">
        <f t="shared" ref="S605" si="3118">+S604/S597</f>
        <v>0.76146131805157591</v>
      </c>
      <c r="T605" s="14">
        <f t="shared" ref="T605:W605" si="3119">+T604/T597</f>
        <v>0.70748829953198122</v>
      </c>
      <c r="U605" s="14">
        <f t="shared" si="3119"/>
        <v>0.62437059415911378</v>
      </c>
      <c r="V605" s="14">
        <f t="shared" si="3119"/>
        <v>0.78803131991051456</v>
      </c>
      <c r="W605" s="14">
        <f t="shared" si="3119"/>
        <v>0.7665631469979296</v>
      </c>
      <c r="X605" s="14">
        <f>+X604/X597</f>
        <v>0.78505629477993855</v>
      </c>
      <c r="Y605" s="14">
        <f t="shared" ref="Y605:AM605" si="3120">+Y604/Y597</f>
        <v>0.57065893079154584</v>
      </c>
      <c r="Z605" s="14">
        <f t="shared" si="3120"/>
        <v>0.78109890109890112</v>
      </c>
      <c r="AA605" s="14">
        <f t="shared" si="3120"/>
        <v>0.80139372822299648</v>
      </c>
      <c r="AB605" s="14">
        <f t="shared" si="3120"/>
        <v>0.76280193236714977</v>
      </c>
      <c r="AC605" s="14">
        <f t="shared" si="3120"/>
        <v>0.6458622283865002</v>
      </c>
      <c r="AD605" s="14">
        <f t="shared" si="3120"/>
        <v>0.75848416289592757</v>
      </c>
      <c r="AE605" s="14">
        <f t="shared" si="3120"/>
        <v>0.70863746958637475</v>
      </c>
      <c r="AF605" s="14">
        <f t="shared" si="3120"/>
        <v>0.70763187429854102</v>
      </c>
      <c r="AG605" s="14">
        <f t="shared" si="3120"/>
        <v>0.60325621251071126</v>
      </c>
      <c r="AH605" s="14">
        <f t="shared" si="3120"/>
        <v>0.74611833822912299</v>
      </c>
      <c r="AI605" s="14">
        <f t="shared" si="3120"/>
        <v>0.66107838695061172</v>
      </c>
      <c r="AJ605" s="14">
        <f t="shared" si="3120"/>
        <v>0.73585227420656607</v>
      </c>
      <c r="AK605" s="14">
        <f t="shared" si="3120"/>
        <v>0.68478161805945048</v>
      </c>
      <c r="AL605" s="14">
        <f t="shared" si="3120"/>
        <v>0.75779479647503134</v>
      </c>
      <c r="AM605" s="14">
        <f t="shared" si="3120"/>
        <v>0.64830413270549991</v>
      </c>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f t="shared" ref="BJ605:BO605" si="3121">+BJ604/BJ$597</f>
        <v>0.71380376721956706</v>
      </c>
      <c r="BK605" s="14">
        <f t="shared" si="3121"/>
        <v>0.72080709788208353</v>
      </c>
      <c r="BL605" s="14">
        <f t="shared" si="3121"/>
        <v>0.73036473484000897</v>
      </c>
      <c r="BM605" s="14">
        <f t="shared" si="3121"/>
        <v>0.71706998037933289</v>
      </c>
      <c r="BN605" s="14">
        <f t="shared" si="3121"/>
        <v>0.67838272455777626</v>
      </c>
      <c r="BO605" s="14">
        <f t="shared" si="3121"/>
        <v>0.70982034742150713</v>
      </c>
      <c r="BP605" s="14"/>
    </row>
    <row r="607" spans="2:68" s="100" customFormat="1">
      <c r="B607" s="100" t="s">
        <v>449</v>
      </c>
      <c r="H607" s="880"/>
      <c r="I607" s="880"/>
      <c r="J607" s="880"/>
      <c r="K607" s="11"/>
      <c r="L607" s="880"/>
      <c r="M607" s="880"/>
      <c r="N607" s="880"/>
      <c r="O607" s="11"/>
      <c r="P607" s="880">
        <f t="shared" ref="P607:W607" si="3122">+P604-P615</f>
        <v>758</v>
      </c>
      <c r="Q607" s="880">
        <f t="shared" si="3122"/>
        <v>857</v>
      </c>
      <c r="R607" s="880">
        <f t="shared" si="3122"/>
        <v>871</v>
      </c>
      <c r="S607" s="880">
        <f t="shared" si="3122"/>
        <v>727</v>
      </c>
      <c r="T607" s="880">
        <f t="shared" si="3122"/>
        <v>660</v>
      </c>
      <c r="U607" s="880">
        <f t="shared" si="3122"/>
        <v>786</v>
      </c>
      <c r="V607" s="880">
        <f t="shared" si="3122"/>
        <v>797</v>
      </c>
      <c r="W607" s="880">
        <f t="shared" si="3122"/>
        <v>732</v>
      </c>
      <c r="X607" s="880">
        <f t="shared" ref="X607:AL607" si="3123">+X604-X615</f>
        <v>756</v>
      </c>
      <c r="Y607" s="880">
        <f t="shared" si="3123"/>
        <v>783</v>
      </c>
      <c r="Z607" s="880">
        <f t="shared" si="3123"/>
        <v>982</v>
      </c>
      <c r="AA607" s="880">
        <f t="shared" si="3123"/>
        <v>881</v>
      </c>
      <c r="AB607" s="880">
        <f t="shared" si="3123"/>
        <v>755</v>
      </c>
      <c r="AC607" s="880">
        <f t="shared" si="3123"/>
        <v>715</v>
      </c>
      <c r="AD607" s="880">
        <f t="shared" si="3123"/>
        <v>862</v>
      </c>
      <c r="AE607" s="880">
        <f t="shared" si="3123"/>
        <v>827</v>
      </c>
      <c r="AF607" s="880">
        <f t="shared" si="3123"/>
        <v>776</v>
      </c>
      <c r="AG607" s="880">
        <f t="shared" si="3123"/>
        <v>1040</v>
      </c>
      <c r="AH607" s="880">
        <f t="shared" si="3123"/>
        <v>978</v>
      </c>
      <c r="AI607" s="880">
        <f t="shared" si="3123"/>
        <v>876</v>
      </c>
      <c r="AJ607" s="880">
        <f t="shared" si="3123"/>
        <v>990.30358681732582</v>
      </c>
      <c r="AK607" s="880">
        <f t="shared" si="3123"/>
        <v>947.40619267384727</v>
      </c>
      <c r="AL607" s="880">
        <f t="shared" si="3123"/>
        <v>1095.2113596003098</v>
      </c>
      <c r="AM607" s="880">
        <f>+AM604-AM615</f>
        <v>856.69601370905514</v>
      </c>
      <c r="AN607" s="880"/>
      <c r="AO607" s="880"/>
      <c r="AP607" s="880"/>
      <c r="AQ607" s="880"/>
      <c r="AR607" s="880"/>
      <c r="AS607" s="880"/>
      <c r="AT607" s="880"/>
      <c r="AU607" s="880"/>
      <c r="AV607" s="880"/>
      <c r="AW607" s="880"/>
      <c r="AX607" s="880"/>
      <c r="AY607" s="880"/>
      <c r="AZ607" s="880"/>
      <c r="BA607" s="880"/>
      <c r="BB607" s="880"/>
      <c r="BC607" s="880"/>
      <c r="BD607" s="880"/>
      <c r="BE607" s="880"/>
      <c r="BF607" s="880"/>
      <c r="BG607" s="880"/>
      <c r="BH607" s="880"/>
      <c r="BI607" s="880"/>
      <c r="BJ607" s="880">
        <f>SUM(P607:S607)</f>
        <v>3213</v>
      </c>
      <c r="BK607" s="880">
        <f>SUM(T607:W607)</f>
        <v>2975</v>
      </c>
      <c r="BL607" s="880">
        <f>SUM(X607:AA607)</f>
        <v>3402</v>
      </c>
      <c r="BM607" s="880">
        <f>SUM(AB607:AE607)</f>
        <v>3159</v>
      </c>
      <c r="BN607" s="880">
        <f>SUM(AF607:AI607)</f>
        <v>3670</v>
      </c>
      <c r="BO607" s="880">
        <f>SUM(AJ607:AM607)</f>
        <v>3889.617152800538</v>
      </c>
      <c r="BP607" s="880"/>
    </row>
    <row r="608" spans="2:68">
      <c r="B608" s="13" t="s">
        <v>113</v>
      </c>
      <c r="L608" s="14"/>
      <c r="M608" s="14"/>
      <c r="N608" s="14"/>
      <c r="O608" s="14"/>
      <c r="P608" s="14"/>
      <c r="Q608" s="14"/>
      <c r="R608" s="14"/>
      <c r="S608" s="14"/>
      <c r="T608" s="14">
        <f t="shared" ref="T608" si="3124">+T607/P607-1</f>
        <v>-0.12928759894459108</v>
      </c>
      <c r="U608" s="14">
        <f t="shared" ref="U608" si="3125">+U607/Q607-1</f>
        <v>-8.2847141190198315E-2</v>
      </c>
      <c r="V608" s="14">
        <f t="shared" ref="V608" si="3126">+V607/R607-1</f>
        <v>-8.49598163030999E-2</v>
      </c>
      <c r="W608" s="14">
        <f t="shared" ref="W608" si="3127">+W607/S607-1</f>
        <v>6.8775790921595803E-3</v>
      </c>
      <c r="X608" s="14">
        <f t="shared" ref="X608" si="3128">+X607/T607-1</f>
        <v>0.1454545454545455</v>
      </c>
      <c r="Y608" s="14">
        <f t="shared" ref="Y608" si="3129">+Y607/U607-1</f>
        <v>-3.8167938931297218E-3</v>
      </c>
      <c r="Z608" s="14">
        <f t="shared" ref="Z608" si="3130">+Z607/V607-1</f>
        <v>0.23212045169385198</v>
      </c>
      <c r="AA608" s="14">
        <f t="shared" ref="AA608" si="3131">+AA607/W607-1</f>
        <v>0.20355191256830607</v>
      </c>
      <c r="AB608" s="14">
        <f t="shared" ref="AB608" si="3132">+AB607/X607-1</f>
        <v>-1.322751322751281E-3</v>
      </c>
      <c r="AC608" s="14">
        <f t="shared" ref="AC608" si="3133">+AC607/Y607-1</f>
        <v>-8.6845466155811013E-2</v>
      </c>
      <c r="AD608" s="14">
        <f t="shared" ref="AD608" si="3134">+AD607/Z607-1</f>
        <v>-0.12219959266802449</v>
      </c>
      <c r="AE608" s="14">
        <f t="shared" ref="AE608" si="3135">+AE607/AA607-1</f>
        <v>-6.1293984108967137E-2</v>
      </c>
      <c r="AF608" s="14">
        <f t="shared" ref="AF608" si="3136">+AF607/AB607-1</f>
        <v>2.7814569536423805E-2</v>
      </c>
      <c r="AG608" s="14">
        <f t="shared" ref="AG608" si="3137">+AG607/AC607-1</f>
        <v>0.45454545454545459</v>
      </c>
      <c r="AH608" s="14">
        <f t="shared" ref="AH608" si="3138">+AH607/AD607-1</f>
        <v>0.13457076566125292</v>
      </c>
      <c r="AI608" s="14">
        <f t="shared" ref="AI608" si="3139">+AI607/AE607-1</f>
        <v>5.9250302297460644E-2</v>
      </c>
      <c r="AJ608" s="14">
        <f t="shared" ref="AJ608" si="3140">+AJ607/AF607-1</f>
        <v>0.27616441600170849</v>
      </c>
      <c r="AK608" s="14">
        <f t="shared" ref="AK608" si="3141">+AK607/AG607-1</f>
        <v>-8.9032507044377596E-2</v>
      </c>
      <c r="AL608" s="14">
        <f t="shared" ref="AL608" si="3142">+AL607/AH607-1</f>
        <v>0.11984801595123695</v>
      </c>
      <c r="AM608" s="14">
        <f t="shared" ref="AM608" si="3143">+AM607/AI607-1</f>
        <v>-2.2036514030759013E-2</v>
      </c>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f t="shared" ref="BK608" si="3144">+BK607/BJ607-1</f>
        <v>-7.407407407407407E-2</v>
      </c>
      <c r="BL608" s="14">
        <f t="shared" ref="BL608" si="3145">+BL607/BK607-1</f>
        <v>0.14352941176470591</v>
      </c>
      <c r="BM608" s="14">
        <f t="shared" ref="BM608" si="3146">+BM607/BL607-1</f>
        <v>-7.1428571428571397E-2</v>
      </c>
      <c r="BN608" s="14">
        <f t="shared" ref="BN608" si="3147">+BN607/BM607-1</f>
        <v>0.16176005064893961</v>
      </c>
      <c r="BO608" s="14">
        <f>+BO607/BN607-1</f>
        <v>5.9841186049192974E-2</v>
      </c>
      <c r="BP608" s="14"/>
    </row>
    <row r="609" spans="2:68">
      <c r="B609" s="13" t="s">
        <v>115</v>
      </c>
      <c r="L609" s="14"/>
      <c r="M609" s="14"/>
      <c r="N609" s="14"/>
      <c r="O609" s="14"/>
      <c r="P609" s="14">
        <f t="shared" ref="P609:W609" si="3148">+P607/P597</f>
        <v>0.50132275132275128</v>
      </c>
      <c r="Q609" s="14">
        <f t="shared" si="3148"/>
        <v>0.3599328013439731</v>
      </c>
      <c r="R609" s="14">
        <f t="shared" si="3148"/>
        <v>0.47726027397260273</v>
      </c>
      <c r="S609" s="14">
        <f t="shared" si="3148"/>
        <v>0.52077363896848139</v>
      </c>
      <c r="T609" s="14">
        <f t="shared" si="3148"/>
        <v>0.51482059282371295</v>
      </c>
      <c r="U609" s="14">
        <f t="shared" si="3148"/>
        <v>0.39577039274924469</v>
      </c>
      <c r="V609" s="14">
        <f t="shared" si="3148"/>
        <v>0.44574944071588368</v>
      </c>
      <c r="W609" s="14">
        <f t="shared" si="3148"/>
        <v>0.37888198757763975</v>
      </c>
      <c r="X609" s="14">
        <f t="shared" ref="X609:AM609" si="3149">+X607/X597</f>
        <v>0.38689866939611056</v>
      </c>
      <c r="Y609" s="14">
        <f t="shared" si="3149"/>
        <v>0.32449233319519272</v>
      </c>
      <c r="Z609" s="14">
        <f t="shared" si="3149"/>
        <v>0.43164835164835164</v>
      </c>
      <c r="AA609" s="14">
        <f t="shared" si="3149"/>
        <v>0.38371080139372821</v>
      </c>
      <c r="AB609" s="14">
        <f t="shared" si="3149"/>
        <v>0.36473429951690822</v>
      </c>
      <c r="AC609" s="14">
        <f t="shared" si="3149"/>
        <v>0.33055940822931112</v>
      </c>
      <c r="AD609" s="14">
        <f t="shared" si="3149"/>
        <v>0.48755656108597284</v>
      </c>
      <c r="AE609" s="14">
        <f t="shared" si="3149"/>
        <v>0.50304136253041365</v>
      </c>
      <c r="AF609" s="14">
        <f t="shared" si="3149"/>
        <v>0.43546576879910215</v>
      </c>
      <c r="AG609" s="14">
        <f t="shared" si="3149"/>
        <v>0.44558697514995715</v>
      </c>
      <c r="AH609" s="14">
        <f t="shared" si="3149"/>
        <v>0.41040704993705412</v>
      </c>
      <c r="AI609" s="14">
        <f t="shared" si="3149"/>
        <v>0.39691889442682377</v>
      </c>
      <c r="AJ609" s="14">
        <f t="shared" si="3149"/>
        <v>0.43072235191790509</v>
      </c>
      <c r="AK609" s="14">
        <f t="shared" si="3149"/>
        <v>0.35502897948154538</v>
      </c>
      <c r="AL609" s="14">
        <f t="shared" si="3149"/>
        <v>0.40011544325762349</v>
      </c>
      <c r="AM609" s="14">
        <f t="shared" si="3149"/>
        <v>0.42380031166018006</v>
      </c>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f>+BJ607/BJ$597</f>
        <v>0.45164464436322743</v>
      </c>
      <c r="BK609" s="14">
        <f t="shared" ref="BK609:BO609" si="3150">+BK607/BK$597</f>
        <v>0.42572982255294789</v>
      </c>
      <c r="BL609" s="14">
        <f t="shared" si="3150"/>
        <v>0.38062206310136498</v>
      </c>
      <c r="BM609" s="14">
        <f t="shared" si="3150"/>
        <v>0.41321124918247221</v>
      </c>
      <c r="BN609" s="14">
        <f t="shared" si="3150"/>
        <v>0.42154835745462899</v>
      </c>
      <c r="BO609" s="14">
        <f t="shared" si="3150"/>
        <v>0.39990301540463169</v>
      </c>
      <c r="BP609" s="14"/>
    </row>
    <row r="611" spans="2:68" s="953" customFormat="1" ht="11.45">
      <c r="B611" t="s">
        <v>450</v>
      </c>
      <c r="P611" s="1211">
        <v>-681</v>
      </c>
      <c r="Q611" s="1211">
        <v>-807</v>
      </c>
      <c r="R611" s="1211">
        <v>-581</v>
      </c>
      <c r="S611" s="1211">
        <v>-569.90817901234573</v>
      </c>
      <c r="T611" s="1211">
        <v>-541</v>
      </c>
      <c r="U611" s="1211">
        <v>-798</v>
      </c>
      <c r="V611" s="1211">
        <v>-608</v>
      </c>
      <c r="W611" s="1211">
        <v>-665</v>
      </c>
      <c r="X611" s="1211">
        <v>-643</v>
      </c>
      <c r="Y611" s="1211">
        <v>-867</v>
      </c>
      <c r="Z611" s="1211">
        <v>-725</v>
      </c>
      <c r="AA611" s="1211">
        <v>-730</v>
      </c>
      <c r="AB611" s="1211">
        <v>-654</v>
      </c>
      <c r="AC611" s="1211">
        <v>-551</v>
      </c>
      <c r="AD611" s="1211">
        <v>-686</v>
      </c>
      <c r="AE611" s="1211">
        <v>-709</v>
      </c>
      <c r="AF611" s="1211">
        <v>-679</v>
      </c>
      <c r="AG611" s="1211">
        <v>-1031</v>
      </c>
      <c r="AH611" s="1211">
        <v>-792</v>
      </c>
      <c r="AI611" s="1211">
        <v>-871</v>
      </c>
      <c r="AJ611" s="1211">
        <v>-897.77085</v>
      </c>
      <c r="AK611" s="1211">
        <v>-959.00368749999996</v>
      </c>
      <c r="AL611" s="1211">
        <v>-914.87294989680606</v>
      </c>
      <c r="AM611" s="1211">
        <v>-865.58635604413587</v>
      </c>
      <c r="AN611" s="1211"/>
      <c r="AO611" s="1211"/>
      <c r="AP611" s="1211"/>
      <c r="AQ611" s="1211"/>
      <c r="AR611" s="1211"/>
      <c r="AS611" s="1211"/>
      <c r="AT611" s="1211"/>
      <c r="AU611" s="1211"/>
      <c r="AV611" s="1211"/>
      <c r="AW611" s="1211"/>
      <c r="AX611" s="1211"/>
      <c r="AY611" s="1211"/>
      <c r="AZ611" s="1211"/>
      <c r="BA611" s="1211"/>
      <c r="BB611" s="1211"/>
      <c r="BC611" s="1211"/>
      <c r="BD611" s="1211"/>
      <c r="BE611" s="1211"/>
      <c r="BF611" s="1211"/>
      <c r="BG611" s="1211"/>
      <c r="BH611" s="1211"/>
      <c r="BI611" s="1211"/>
      <c r="BJ611" s="1211">
        <f t="shared" ref="BJ611" si="3151">SUM(P611:S611)</f>
        <v>-2638.9081790123455</v>
      </c>
      <c r="BK611" s="1211">
        <f t="shared" ref="BK611" si="3152">SUM(T611:W611)</f>
        <v>-2612</v>
      </c>
      <c r="BL611" s="1211">
        <f t="shared" ref="BL611" si="3153">SUM(X611:AA611)</f>
        <v>-2965</v>
      </c>
      <c r="BM611" s="1211">
        <f t="shared" ref="BM611" si="3154">SUM(AB611:AE611)</f>
        <v>-2600</v>
      </c>
      <c r="BN611" s="1211">
        <f t="shared" ref="BN611" si="3155">SUM(AF611:AI611)</f>
        <v>-3373</v>
      </c>
      <c r="BO611" s="1211">
        <f t="shared" ref="BO611" si="3156">SUM(AJ611:AM611)</f>
        <v>-3637.2338434409417</v>
      </c>
      <c r="BP611" s="1211"/>
    </row>
    <row r="612" spans="2:68">
      <c r="B612" s="1096" t="s">
        <v>451</v>
      </c>
      <c r="P612" s="227">
        <f>+P611+P602</f>
        <v>346</v>
      </c>
      <c r="Q612" s="227">
        <f t="shared" ref="Q612:AM612" si="3157">+Q611+Q602</f>
        <v>752</v>
      </c>
      <c r="R612" s="227">
        <f t="shared" si="3157"/>
        <v>870</v>
      </c>
      <c r="S612" s="227">
        <f t="shared" si="3157"/>
        <v>497.09182098765427</v>
      </c>
      <c r="T612" s="227">
        <f t="shared" si="3157"/>
        <v>367</v>
      </c>
      <c r="U612" s="227">
        <f t="shared" si="3157"/>
        <v>446</v>
      </c>
      <c r="V612" s="227">
        <f t="shared" si="3157"/>
        <v>806</v>
      </c>
      <c r="W612" s="227">
        <f t="shared" si="3157"/>
        <v>817</v>
      </c>
      <c r="X612" s="227">
        <f t="shared" si="3157"/>
        <v>893</v>
      </c>
      <c r="Y612" s="227">
        <f t="shared" si="3157"/>
        <v>516</v>
      </c>
      <c r="Z612" s="227">
        <f t="shared" si="3157"/>
        <v>1058</v>
      </c>
      <c r="AA612" s="227">
        <f t="shared" si="3157"/>
        <v>1116</v>
      </c>
      <c r="AB612" s="227">
        <f t="shared" si="3157"/>
        <v>929</v>
      </c>
      <c r="AC612" s="227">
        <f t="shared" si="3157"/>
        <v>854</v>
      </c>
      <c r="AD612" s="227">
        <f t="shared" si="3157"/>
        <v>661</v>
      </c>
      <c r="AE612" s="227">
        <f t="shared" si="3157"/>
        <v>459</v>
      </c>
      <c r="AF612" s="227">
        <f t="shared" si="3157"/>
        <v>583</v>
      </c>
      <c r="AG612" s="227">
        <f t="shared" si="3157"/>
        <v>396</v>
      </c>
      <c r="AH612" s="227">
        <f t="shared" si="3157"/>
        <v>1010</v>
      </c>
      <c r="AI612" s="227">
        <f t="shared" si="3157"/>
        <v>612</v>
      </c>
      <c r="AJ612" s="227">
        <f t="shared" si="3157"/>
        <v>795.27527478813533</v>
      </c>
      <c r="AK612" s="227">
        <f t="shared" si="3157"/>
        <v>886.13072568704467</v>
      </c>
      <c r="AL612" s="227">
        <f t="shared" si="3157"/>
        <v>1186.9597286746221</v>
      </c>
      <c r="AM612" s="227">
        <f t="shared" si="3157"/>
        <v>468.12791435407632</v>
      </c>
      <c r="AN612" s="227"/>
      <c r="AO612" s="227"/>
      <c r="AP612" s="227"/>
      <c r="AQ612" s="227"/>
      <c r="AR612" s="227"/>
      <c r="AS612" s="227"/>
      <c r="AT612" s="227"/>
      <c r="AU612" s="227"/>
      <c r="AV612" s="227"/>
      <c r="AW612" s="227"/>
      <c r="AX612" s="227"/>
      <c r="AY612" s="227"/>
      <c r="AZ612" s="227"/>
      <c r="BA612" s="227"/>
      <c r="BB612" s="227"/>
      <c r="BC612" s="227"/>
      <c r="BD612" s="227"/>
      <c r="BE612" s="227"/>
      <c r="BF612" s="227"/>
      <c r="BG612" s="227"/>
      <c r="BH612" s="227"/>
      <c r="BI612" s="227"/>
      <c r="BJ612" s="227">
        <f t="shared" ref="BJ612:BJ614" si="3158">SUM(P612:S612)</f>
        <v>2465.0918209876545</v>
      </c>
      <c r="BK612" s="227">
        <f t="shared" ref="BK612:BK614" si="3159">SUM(T612:W612)</f>
        <v>2436</v>
      </c>
      <c r="BL612" s="227">
        <f t="shared" ref="BL612:BL614" si="3160">SUM(X612:AA612)</f>
        <v>3583</v>
      </c>
      <c r="BM612" s="227">
        <f t="shared" ref="BM612:BM614" si="3161">SUM(AB612:AE612)</f>
        <v>2903</v>
      </c>
      <c r="BN612" s="227">
        <f t="shared" ref="BN612:BN614" si="3162">SUM(AF612:AI612)</f>
        <v>2601</v>
      </c>
      <c r="BO612" s="227">
        <f t="shared" ref="BO612:BO614" si="3163">SUM(AJ612:AM612)</f>
        <v>3336.4936435038785</v>
      </c>
      <c r="BP612" s="227"/>
    </row>
    <row r="613" spans="2:68">
      <c r="B613" t="s">
        <v>452</v>
      </c>
      <c r="P613" s="227">
        <f t="shared" ref="P613:AL613" si="3164">+P615-P614-P612</f>
        <v>-30</v>
      </c>
      <c r="Q613" s="227">
        <f t="shared" si="3164"/>
        <v>-23</v>
      </c>
      <c r="R613" s="227">
        <f t="shared" si="3164"/>
        <v>-247</v>
      </c>
      <c r="S613" s="227">
        <f t="shared" si="3164"/>
        <v>-127.09182098765427</v>
      </c>
      <c r="T613" s="227">
        <f t="shared" si="3164"/>
        <v>-94</v>
      </c>
      <c r="U613" s="227">
        <f t="shared" si="3164"/>
        <v>43</v>
      </c>
      <c r="V613" s="227">
        <f t="shared" si="3164"/>
        <v>-156</v>
      </c>
      <c r="W613" s="227">
        <f t="shared" si="3164"/>
        <v>-27</v>
      </c>
      <c r="X613" s="227">
        <f t="shared" si="3164"/>
        <v>-64</v>
      </c>
      <c r="Y613" s="227">
        <f t="shared" si="3164"/>
        <v>152</v>
      </c>
      <c r="Z613" s="227">
        <f t="shared" si="3164"/>
        <v>-118</v>
      </c>
      <c r="AA613" s="227">
        <f t="shared" si="3164"/>
        <v>-120</v>
      </c>
      <c r="AB613" s="227">
        <f t="shared" si="3164"/>
        <v>-45</v>
      </c>
      <c r="AC613" s="227">
        <f t="shared" si="3164"/>
        <v>69</v>
      </c>
      <c r="AD613" s="227">
        <f t="shared" si="3164"/>
        <v>-90</v>
      </c>
      <c r="AE613" s="227">
        <f t="shared" si="3164"/>
        <v>-24</v>
      </c>
      <c r="AF613" s="227">
        <f t="shared" si="3164"/>
        <v>3</v>
      </c>
      <c r="AG613" s="227">
        <f t="shared" si="3164"/>
        <v>114</v>
      </c>
      <c r="AH613" s="227">
        <f t="shared" si="3164"/>
        <v>-110</v>
      </c>
      <c r="AI613" s="227">
        <f t="shared" si="3164"/>
        <v>49</v>
      </c>
      <c r="AJ613" s="227">
        <f t="shared" si="3164"/>
        <v>27.187602165725025</v>
      </c>
      <c r="AK613" s="227">
        <f t="shared" si="3164"/>
        <v>126.65268130960749</v>
      </c>
      <c r="AL613" s="227">
        <f t="shared" si="3164"/>
        <v>-93.040835579514805</v>
      </c>
      <c r="AM613" s="227">
        <f>+AM615-AM614-AM612</f>
        <v>61.073300482175455</v>
      </c>
      <c r="AN613" s="227"/>
      <c r="AO613" s="227"/>
      <c r="AP613" s="227"/>
      <c r="AQ613" s="227"/>
      <c r="AR613" s="227"/>
      <c r="AS613" s="227"/>
      <c r="AT613" s="227"/>
      <c r="AU613" s="227"/>
      <c r="AV613" s="227"/>
      <c r="AW613" s="227"/>
      <c r="AX613" s="227"/>
      <c r="AY613" s="227"/>
      <c r="AZ613" s="227"/>
      <c r="BA613" s="227"/>
      <c r="BB613" s="227"/>
      <c r="BC613" s="227"/>
      <c r="BD613" s="227"/>
      <c r="BE613" s="227"/>
      <c r="BF613" s="227"/>
      <c r="BG613" s="227"/>
      <c r="BH613" s="227"/>
      <c r="BI613" s="227"/>
      <c r="BJ613" s="227">
        <f t="shared" ref="BJ613" si="3165">SUM(P613:S613)</f>
        <v>-427.09182098765427</v>
      </c>
      <c r="BK613" s="227">
        <f t="shared" ref="BK613" si="3166">SUM(T613:W613)</f>
        <v>-234</v>
      </c>
      <c r="BL613" s="227">
        <f t="shared" ref="BL613" si="3167">SUM(X613:AA613)</f>
        <v>-150</v>
      </c>
      <c r="BM613" s="227">
        <f t="shared" ref="BM613" si="3168">SUM(AB613:AE613)</f>
        <v>-90</v>
      </c>
      <c r="BN613" s="227">
        <f t="shared" ref="BN613" si="3169">SUM(AF613:AI613)</f>
        <v>56</v>
      </c>
      <c r="BO613" s="227">
        <f t="shared" ref="BO613" si="3170">SUM(AJ613:AM613)</f>
        <v>121.87274837799316</v>
      </c>
      <c r="BP613" s="227"/>
    </row>
    <row r="614" spans="2:68" s="953" customFormat="1" ht="11.45">
      <c r="B614" t="s">
        <v>142</v>
      </c>
      <c r="P614" s="1211">
        <v>-51</v>
      </c>
      <c r="Q614" s="1211">
        <v>-35</v>
      </c>
      <c r="R614" s="1211">
        <v>-53</v>
      </c>
      <c r="S614" s="1211">
        <v>-34</v>
      </c>
      <c r="T614" s="1211">
        <v>-26</v>
      </c>
      <c r="U614" s="1211">
        <v>-35</v>
      </c>
      <c r="V614" s="1211">
        <v>-38</v>
      </c>
      <c r="W614" s="1211">
        <v>-41</v>
      </c>
      <c r="X614" s="1211">
        <v>-51</v>
      </c>
      <c r="Y614" s="1211">
        <v>-74</v>
      </c>
      <c r="Z614" s="1211">
        <v>-145</v>
      </c>
      <c r="AA614" s="1211">
        <v>-37</v>
      </c>
      <c r="AB614" s="1211">
        <v>-60</v>
      </c>
      <c r="AC614" s="1211">
        <v>-241</v>
      </c>
      <c r="AD614" s="1211">
        <v>-92</v>
      </c>
      <c r="AE614" s="1211">
        <v>-97</v>
      </c>
      <c r="AF614" s="1211">
        <v>-101</v>
      </c>
      <c r="AG614" s="1211">
        <v>-142</v>
      </c>
      <c r="AH614" s="1211">
        <v>-100</v>
      </c>
      <c r="AI614" s="1211">
        <v>-78</v>
      </c>
      <c r="AJ614" s="1211">
        <v>-120.91754237288134</v>
      </c>
      <c r="AK614" s="1211">
        <v>-132.82793886707796</v>
      </c>
      <c r="AL614" s="1211">
        <v>-114.86522911051213</v>
      </c>
      <c r="AM614" s="1211">
        <v>-75.375383990247855</v>
      </c>
      <c r="AN614" s="1211"/>
      <c r="AO614" s="1211"/>
      <c r="AP614" s="1211"/>
      <c r="AQ614" s="1211"/>
      <c r="AR614" s="1211"/>
      <c r="AS614" s="1211"/>
      <c r="AT614" s="1211"/>
      <c r="AU614" s="1211"/>
      <c r="AV614" s="1211"/>
      <c r="AW614" s="1211"/>
      <c r="AX614" s="1211"/>
      <c r="AY614" s="1211"/>
      <c r="AZ614" s="1211"/>
      <c r="BA614" s="1211"/>
      <c r="BB614" s="1211"/>
      <c r="BC614" s="1211"/>
      <c r="BD614" s="1211"/>
      <c r="BE614" s="1211"/>
      <c r="BF614" s="1211"/>
      <c r="BG614" s="1211"/>
      <c r="BH614" s="1211"/>
      <c r="BI614" s="1211"/>
      <c r="BJ614" s="1211">
        <f t="shared" si="3158"/>
        <v>-173</v>
      </c>
      <c r="BK614" s="1211">
        <f t="shared" si="3159"/>
        <v>-140</v>
      </c>
      <c r="BL614" s="1211">
        <f t="shared" si="3160"/>
        <v>-307</v>
      </c>
      <c r="BM614" s="1211">
        <f t="shared" si="3161"/>
        <v>-490</v>
      </c>
      <c r="BN614" s="1211">
        <f t="shared" si="3162"/>
        <v>-421</v>
      </c>
      <c r="BO614" s="1211">
        <f t="shared" si="3163"/>
        <v>-443.98609434071932</v>
      </c>
      <c r="BP614" s="1211"/>
    </row>
    <row r="615" spans="2:68" s="100" customFormat="1">
      <c r="B615" s="1096" t="s">
        <v>453</v>
      </c>
      <c r="H615" s="880"/>
      <c r="I615" s="880"/>
      <c r="J615" s="880"/>
      <c r="K615" s="11"/>
      <c r="L615" s="880"/>
      <c r="M615" s="880"/>
      <c r="N615" s="880"/>
      <c r="O615" s="11"/>
      <c r="P615" s="880">
        <v>265</v>
      </c>
      <c r="Q615" s="880">
        <v>694</v>
      </c>
      <c r="R615" s="880">
        <v>570</v>
      </c>
      <c r="S615" s="880">
        <v>336</v>
      </c>
      <c r="T615" s="880">
        <v>247</v>
      </c>
      <c r="U615" s="880">
        <v>454</v>
      </c>
      <c r="V615" s="880">
        <v>612</v>
      </c>
      <c r="W615" s="880">
        <v>749</v>
      </c>
      <c r="X615" s="880">
        <v>778</v>
      </c>
      <c r="Y615" s="880">
        <v>594</v>
      </c>
      <c r="Z615" s="880">
        <v>795</v>
      </c>
      <c r="AA615" s="880">
        <v>959</v>
      </c>
      <c r="AB615" s="880">
        <v>824</v>
      </c>
      <c r="AC615" s="880">
        <v>682</v>
      </c>
      <c r="AD615" s="880">
        <v>479</v>
      </c>
      <c r="AE615" s="880">
        <v>338</v>
      </c>
      <c r="AF615" s="880">
        <v>485</v>
      </c>
      <c r="AG615" s="880">
        <v>368</v>
      </c>
      <c r="AH615" s="880">
        <v>800</v>
      </c>
      <c r="AI615" s="880">
        <v>583</v>
      </c>
      <c r="AJ615" s="880">
        <v>701.54533458097899</v>
      </c>
      <c r="AK615" s="880">
        <v>879.95546812957423</v>
      </c>
      <c r="AL615" s="880">
        <v>979.05366398459523</v>
      </c>
      <c r="AM615" s="880">
        <v>453.8258308460039</v>
      </c>
      <c r="AN615" s="880"/>
      <c r="AO615" s="880"/>
      <c r="AP615" s="880"/>
      <c r="AQ615" s="880"/>
      <c r="AR615" s="880"/>
      <c r="AS615" s="880"/>
      <c r="AT615" s="880"/>
      <c r="AU615" s="880"/>
      <c r="AV615" s="880"/>
      <c r="AW615" s="880"/>
      <c r="AX615" s="880"/>
      <c r="AY615" s="880"/>
      <c r="AZ615" s="880"/>
      <c r="BA615" s="880"/>
      <c r="BB615" s="880"/>
      <c r="BC615" s="880"/>
      <c r="BD615" s="880"/>
      <c r="BE615" s="880"/>
      <c r="BF615" s="880"/>
      <c r="BG615" s="880"/>
      <c r="BH615" s="880"/>
      <c r="BI615" s="880"/>
      <c r="BJ615" s="880">
        <f>SUM(P615:S615)</f>
        <v>1865</v>
      </c>
      <c r="BK615" s="880">
        <f>SUM(T615:W615)</f>
        <v>2062</v>
      </c>
      <c r="BL615" s="880">
        <f>SUM(X615:AA615)</f>
        <v>3126</v>
      </c>
      <c r="BM615" s="880">
        <f>SUM(AB615:AE615)</f>
        <v>2323</v>
      </c>
      <c r="BN615" s="880">
        <f>SUM(AF615:AI615)</f>
        <v>2236</v>
      </c>
      <c r="BO615" s="880">
        <f>SUM(AJ615:AM615)</f>
        <v>3014.3802975411522</v>
      </c>
      <c r="BP615" s="880"/>
    </row>
    <row r="616" spans="2:68">
      <c r="B616" s="15" t="s">
        <v>113</v>
      </c>
      <c r="L616" s="14"/>
      <c r="M616" s="14"/>
      <c r="N616" s="14"/>
      <c r="O616" s="14"/>
      <c r="P616" s="14"/>
      <c r="Q616" s="14"/>
      <c r="R616" s="14"/>
      <c r="S616" s="14"/>
      <c r="T616" s="14">
        <f t="shared" ref="T616" si="3171">+T615/P615-1</f>
        <v>-6.7924528301886777E-2</v>
      </c>
      <c r="U616" s="14">
        <f t="shared" ref="U616" si="3172">+U615/Q615-1</f>
        <v>-0.34582132564841495</v>
      </c>
      <c r="V616" s="14">
        <f t="shared" ref="V616" si="3173">+V615/R615-1</f>
        <v>7.3684210526315796E-2</v>
      </c>
      <c r="W616" s="14">
        <f t="shared" ref="W616" si="3174">+W615/S615-1</f>
        <v>1.2291666666666665</v>
      </c>
      <c r="X616" s="14">
        <f t="shared" ref="X616" si="3175">+X615/T615-1</f>
        <v>2.1497975708502026</v>
      </c>
      <c r="Y616" s="14">
        <f t="shared" ref="Y616" si="3176">+Y615/U615-1</f>
        <v>0.30837004405286339</v>
      </c>
      <c r="Z616" s="14">
        <f t="shared" ref="Z616" si="3177">+Z615/V615-1</f>
        <v>0.2990196078431373</v>
      </c>
      <c r="AA616" s="14">
        <f t="shared" ref="AA616" si="3178">+AA615/W615-1</f>
        <v>0.28037383177570097</v>
      </c>
      <c r="AB616" s="14">
        <f t="shared" ref="AB616" si="3179">+AB615/X615-1</f>
        <v>5.9125964010282805E-2</v>
      </c>
      <c r="AC616" s="14">
        <f t="shared" ref="AC616" si="3180">+AC615/Y615-1</f>
        <v>0.14814814814814814</v>
      </c>
      <c r="AD616" s="14">
        <f t="shared" ref="AD616" si="3181">+AD615/Z615-1</f>
        <v>-0.39748427672955977</v>
      </c>
      <c r="AE616" s="14">
        <f t="shared" ref="AE616" si="3182">+AE615/AA615-1</f>
        <v>-0.64754953076120958</v>
      </c>
      <c r="AF616" s="14">
        <f t="shared" ref="AF616" si="3183">+AF615/AB615-1</f>
        <v>-0.41140776699029125</v>
      </c>
      <c r="AG616" s="14">
        <f t="shared" ref="AG616" si="3184">+AG615/AC615-1</f>
        <v>-0.46041055718475077</v>
      </c>
      <c r="AH616" s="14">
        <f t="shared" ref="AH616" si="3185">+AH615/AD615-1</f>
        <v>0.67014613778705634</v>
      </c>
      <c r="AI616" s="14">
        <f t="shared" ref="AI616" si="3186">+AI615/AE615-1</f>
        <v>0.7248520710059172</v>
      </c>
      <c r="AJ616" s="14">
        <f t="shared" ref="AJ616" si="3187">+AJ615/AF615-1</f>
        <v>0.44648522594016282</v>
      </c>
      <c r="AK616" s="14">
        <f t="shared" ref="AK616" si="3188">+AK615/AG615-1</f>
        <v>1.3911833373086258</v>
      </c>
      <c r="AL616" s="14">
        <f t="shared" ref="AL616" si="3189">+AL615/AH615-1</f>
        <v>0.22381707998074396</v>
      </c>
      <c r="AM616" s="14">
        <f t="shared" ref="AM616" si="3190">+AM615/AI615-1</f>
        <v>-0.22156804314579093</v>
      </c>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c r="BK616" s="14">
        <f t="shared" ref="BK616" si="3191">+BK615/BJ615-1</f>
        <v>0.1056300268096515</v>
      </c>
      <c r="BL616" s="14">
        <f t="shared" ref="BL616" si="3192">+BL615/BK615-1</f>
        <v>0.51600387972841899</v>
      </c>
      <c r="BM616" s="14">
        <f t="shared" ref="BM616" si="3193">+BM615/BL615-1</f>
        <v>-0.25687779910428665</v>
      </c>
      <c r="BN616" s="14">
        <f t="shared" ref="BN616" si="3194">+BN615/BM615-1</f>
        <v>-3.7451571244080939E-2</v>
      </c>
      <c r="BO616" s="14">
        <f>+BO615/BN615-1</f>
        <v>0.34811283432073004</v>
      </c>
      <c r="BP616" s="14"/>
    </row>
    <row r="617" spans="2:68">
      <c r="B617" s="15" t="s">
        <v>115</v>
      </c>
      <c r="L617" s="14"/>
      <c r="M617" s="14"/>
      <c r="N617" s="14"/>
      <c r="O617" s="14"/>
      <c r="P617" s="14">
        <f t="shared" ref="P617:S617" si="3195">+P615/P597</f>
        <v>0.17526455026455026</v>
      </c>
      <c r="Q617" s="14">
        <f t="shared" si="3195"/>
        <v>0.29147417051658969</v>
      </c>
      <c r="R617" s="14">
        <f t="shared" si="3195"/>
        <v>0.31232876712328766</v>
      </c>
      <c r="S617" s="14">
        <f t="shared" si="3195"/>
        <v>0.24068767908309455</v>
      </c>
      <c r="T617" s="14">
        <f t="shared" ref="T617:W617" si="3196">+T615/T597</f>
        <v>0.19266770670826833</v>
      </c>
      <c r="U617" s="14">
        <f t="shared" si="3196"/>
        <v>0.22860020140986909</v>
      </c>
      <c r="V617" s="14">
        <f t="shared" si="3196"/>
        <v>0.34228187919463088</v>
      </c>
      <c r="W617" s="14">
        <f t="shared" si="3196"/>
        <v>0.38768115942028986</v>
      </c>
      <c r="X617" s="14">
        <f>+X615/X597</f>
        <v>0.39815762538382804</v>
      </c>
      <c r="Y617" s="14">
        <f t="shared" ref="Y617:AM617" si="3197">+Y615/Y597</f>
        <v>0.24616659759635309</v>
      </c>
      <c r="Z617" s="14">
        <f t="shared" si="3197"/>
        <v>0.34945054945054943</v>
      </c>
      <c r="AA617" s="14">
        <f t="shared" si="3197"/>
        <v>0.41768292682926828</v>
      </c>
      <c r="AB617" s="14">
        <f t="shared" si="3197"/>
        <v>0.39806763285024155</v>
      </c>
      <c r="AC617" s="14">
        <f t="shared" si="3197"/>
        <v>0.31530282015718908</v>
      </c>
      <c r="AD617" s="14">
        <f t="shared" si="3197"/>
        <v>0.27092760180995473</v>
      </c>
      <c r="AE617" s="14">
        <f t="shared" si="3197"/>
        <v>0.20559610705596107</v>
      </c>
      <c r="AF617" s="14">
        <f t="shared" si="3197"/>
        <v>0.27216610549943882</v>
      </c>
      <c r="AG617" s="14">
        <f t="shared" si="3197"/>
        <v>0.15766923736075408</v>
      </c>
      <c r="AH617" s="14">
        <f t="shared" si="3197"/>
        <v>0.33571128829206881</v>
      </c>
      <c r="AI617" s="14">
        <f t="shared" si="3197"/>
        <v>0.26415949252378795</v>
      </c>
      <c r="AJ617" s="14">
        <f t="shared" si="3197"/>
        <v>0.30512992228866098</v>
      </c>
      <c r="AK617" s="14">
        <f t="shared" si="3197"/>
        <v>0.3297526385779051</v>
      </c>
      <c r="AL617" s="14">
        <f t="shared" si="3197"/>
        <v>0.35767935321740785</v>
      </c>
      <c r="AM617" s="14">
        <f t="shared" si="3197"/>
        <v>0.22450382104531988</v>
      </c>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f>+BJ615/BJ$597</f>
        <v>0.26215912285633963</v>
      </c>
      <c r="BK617" s="14">
        <f t="shared" ref="BK617:BO617" si="3198">+BK615/BK$597</f>
        <v>0.29507727532913564</v>
      </c>
      <c r="BL617" s="14">
        <f t="shared" si="3198"/>
        <v>0.34974267173864398</v>
      </c>
      <c r="BM617" s="14">
        <f t="shared" si="3198"/>
        <v>0.30385873119686069</v>
      </c>
      <c r="BN617" s="14">
        <f t="shared" si="3198"/>
        <v>0.25683436710314728</v>
      </c>
      <c r="BO617" s="14">
        <f t="shared" si="3198"/>
        <v>0.30991733201687532</v>
      </c>
      <c r="BP617" s="14"/>
    </row>
    <row r="618" spans="2:68">
      <c r="B618" s="15" t="s">
        <v>454</v>
      </c>
      <c r="L618" s="14"/>
      <c r="M618" s="14"/>
      <c r="N618" s="14"/>
      <c r="O618" s="14"/>
      <c r="P618" s="14">
        <f>+P615/P604</f>
        <v>0.25904203323558161</v>
      </c>
      <c r="Q618" s="14">
        <f t="shared" ref="Q618:AM618" si="3199">+Q615/Q604</f>
        <v>0.44745325596389424</v>
      </c>
      <c r="R618" s="14">
        <f t="shared" si="3199"/>
        <v>0.39555863983344897</v>
      </c>
      <c r="S618" s="14">
        <f t="shared" si="3199"/>
        <v>0.3160865475070555</v>
      </c>
      <c r="T618" s="14">
        <f t="shared" si="3199"/>
        <v>0.27232635060639471</v>
      </c>
      <c r="U618" s="14">
        <f t="shared" si="3199"/>
        <v>0.36612903225806454</v>
      </c>
      <c r="V618" s="14">
        <f t="shared" si="3199"/>
        <v>0.43435060326472674</v>
      </c>
      <c r="W618" s="14">
        <f t="shared" si="3199"/>
        <v>0.50573936529372043</v>
      </c>
      <c r="X618" s="14">
        <f t="shared" si="3199"/>
        <v>0.50717079530638853</v>
      </c>
      <c r="Y618" s="14">
        <f t="shared" si="3199"/>
        <v>0.43137254901960786</v>
      </c>
      <c r="Z618" s="14">
        <f t="shared" si="3199"/>
        <v>0.44738323016319642</v>
      </c>
      <c r="AA618" s="14">
        <f t="shared" si="3199"/>
        <v>0.52119565217391306</v>
      </c>
      <c r="AB618" s="14">
        <f t="shared" si="3199"/>
        <v>0.52184927169094364</v>
      </c>
      <c r="AC618" s="14">
        <f t="shared" si="3199"/>
        <v>0.48818897637795278</v>
      </c>
      <c r="AD618" s="14">
        <f t="shared" si="3199"/>
        <v>0.35719612229679343</v>
      </c>
      <c r="AE618" s="14">
        <f t="shared" si="3199"/>
        <v>0.29012875536480687</v>
      </c>
      <c r="AF618" s="14">
        <f t="shared" si="3199"/>
        <v>0.38461538461538464</v>
      </c>
      <c r="AG618" s="14">
        <f t="shared" si="3199"/>
        <v>0.26136363636363635</v>
      </c>
      <c r="AH618" s="14">
        <f t="shared" si="3199"/>
        <v>0.44994375703037121</v>
      </c>
      <c r="AI618" s="14">
        <f t="shared" si="3199"/>
        <v>0.3995887594242632</v>
      </c>
      <c r="AJ618" s="14">
        <f t="shared" si="3199"/>
        <v>0.41466192737892649</v>
      </c>
      <c r="AK618" s="14">
        <f t="shared" si="3199"/>
        <v>0.48154423232382537</v>
      </c>
      <c r="AL618" s="14">
        <f t="shared" si="3199"/>
        <v>0.47200027617132506</v>
      </c>
      <c r="AM618" s="14">
        <f t="shared" si="3199"/>
        <v>0.34629398413430057</v>
      </c>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f t="shared" ref="BJ618:BO618" si="3200">+BJ615/BJ604</f>
        <v>0.36727057896809767</v>
      </c>
      <c r="BK618" s="14">
        <f t="shared" si="3200"/>
        <v>0.40937065713718485</v>
      </c>
      <c r="BL618" s="14">
        <f t="shared" si="3200"/>
        <v>0.47886029411764708</v>
      </c>
      <c r="BM618" s="14">
        <f t="shared" si="3200"/>
        <v>0.42375045603794237</v>
      </c>
      <c r="BN618" s="14">
        <f t="shared" si="3200"/>
        <v>0.37859803589569929</v>
      </c>
      <c r="BO618" s="14">
        <f t="shared" si="3200"/>
        <v>0.43661376169714045</v>
      </c>
      <c r="BP618" s="14"/>
    </row>
    <row r="619" spans="2:68">
      <c r="B619" s="15"/>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c r="BK619" s="14"/>
      <c r="BL619" s="14"/>
      <c r="BM619" s="14"/>
      <c r="BN619" s="14"/>
      <c r="BO619" s="14"/>
      <c r="BP619" s="14"/>
    </row>
    <row r="620" spans="2:68" ht="10.5">
      <c r="B620" s="5" t="s">
        <v>455</v>
      </c>
      <c r="C620" s="4"/>
      <c r="H620" s="911"/>
      <c r="I620" s="911"/>
      <c r="J620" s="911"/>
      <c r="K620" s="911"/>
      <c r="L620" s="911"/>
      <c r="M620" s="911"/>
      <c r="N620" s="911"/>
      <c r="O620" s="911"/>
      <c r="P620" s="911"/>
      <c r="Q620" s="911"/>
      <c r="R620" s="911"/>
      <c r="S620" s="911"/>
      <c r="T620" s="911"/>
      <c r="U620" s="911"/>
      <c r="V620" s="911"/>
      <c r="W620" s="911"/>
      <c r="X620" s="911"/>
      <c r="Y620" s="911"/>
      <c r="Z620" s="911"/>
      <c r="AA620" s="911"/>
      <c r="AB620" s="911"/>
      <c r="AC620" s="911"/>
      <c r="AD620" s="911"/>
      <c r="AE620" s="911"/>
      <c r="AF620" s="911"/>
      <c r="AG620" s="911"/>
      <c r="AH620" s="911"/>
      <c r="AI620" s="911"/>
      <c r="AJ620" s="911"/>
      <c r="AK620" s="911"/>
      <c r="AL620" s="911"/>
      <c r="AM620" s="911"/>
      <c r="AN620" s="911"/>
      <c r="AO620" s="911"/>
      <c r="AP620" s="911"/>
      <c r="AQ620" s="911"/>
      <c r="BH620" s="912"/>
      <c r="BI620" s="912"/>
      <c r="BJ620" s="912"/>
      <c r="BK620" s="912"/>
      <c r="BL620" s="912"/>
      <c r="BM620" s="912"/>
      <c r="BN620" s="912"/>
      <c r="BO620" s="912"/>
      <c r="BP620" s="912"/>
    </row>
    <row r="621" spans="2:68">
      <c r="H621" s="911"/>
      <c r="I621" s="911"/>
      <c r="J621" s="911"/>
      <c r="K621" s="911"/>
      <c r="L621" s="911"/>
      <c r="M621" s="911"/>
      <c r="N621" s="911"/>
      <c r="O621" s="911"/>
      <c r="P621" s="911"/>
      <c r="Q621" s="911"/>
      <c r="R621" s="911"/>
      <c r="S621" s="911"/>
      <c r="T621" s="911"/>
      <c r="U621" s="911"/>
      <c r="V621" s="911"/>
      <c r="W621" s="911"/>
      <c r="X621" s="911"/>
      <c r="Y621" s="911"/>
      <c r="Z621" s="911"/>
      <c r="AA621" s="911"/>
      <c r="AB621" s="911"/>
      <c r="AC621" s="911"/>
      <c r="AD621" s="911"/>
      <c r="AE621" s="911"/>
      <c r="AF621" s="911"/>
      <c r="AG621" s="911"/>
      <c r="AH621" s="911"/>
      <c r="AI621" s="911"/>
      <c r="AJ621" s="911"/>
      <c r="AK621" s="911"/>
      <c r="AL621" s="911"/>
      <c r="AM621" s="911"/>
      <c r="AN621" s="911"/>
      <c r="AO621" s="911"/>
      <c r="AP621" s="911"/>
      <c r="AQ621" s="911"/>
      <c r="BH621" s="912"/>
      <c r="BI621" s="912"/>
      <c r="BJ621" s="912"/>
      <c r="BK621" s="912"/>
      <c r="BL621" s="912"/>
      <c r="BM621" s="912"/>
      <c r="BN621" s="912"/>
      <c r="BO621" s="912"/>
      <c r="BP621" s="912"/>
    </row>
    <row r="622" spans="2:68" ht="10.5">
      <c r="B622" s="45" t="s">
        <v>277</v>
      </c>
      <c r="AF622" s="828"/>
      <c r="AG622" s="992"/>
    </row>
    <row r="623" spans="2:68">
      <c r="B623" t="s">
        <v>279</v>
      </c>
      <c r="D623" s="8">
        <f t="shared" ref="D623:AM623" si="3201">+D29</f>
        <v>2962</v>
      </c>
      <c r="E623" s="8">
        <f t="shared" si="3201"/>
        <v>2900</v>
      </c>
      <c r="F623" s="8">
        <f t="shared" si="3201"/>
        <v>2980</v>
      </c>
      <c r="G623" s="8">
        <f t="shared" si="3201"/>
        <v>3146</v>
      </c>
      <c r="H623" s="8">
        <f t="shared" si="3201"/>
        <v>3106</v>
      </c>
      <c r="I623" s="8">
        <f t="shared" si="3201"/>
        <v>3062</v>
      </c>
      <c r="J623" s="8">
        <f t="shared" si="3201"/>
        <v>3355</v>
      </c>
      <c r="K623" s="8">
        <f t="shared" si="3201"/>
        <v>3514</v>
      </c>
      <c r="L623" s="8">
        <f t="shared" si="3201"/>
        <v>3574</v>
      </c>
      <c r="M623" s="8">
        <f t="shared" si="3201"/>
        <v>3504</v>
      </c>
      <c r="N623" s="8">
        <f t="shared" si="3201"/>
        <v>3715</v>
      </c>
      <c r="O623" s="8">
        <f t="shared" si="3201"/>
        <v>3933</v>
      </c>
      <c r="P623" s="8">
        <f t="shared" si="3201"/>
        <v>3977</v>
      </c>
      <c r="Q623" s="8">
        <f t="shared" si="3201"/>
        <v>4070</v>
      </c>
      <c r="R623" s="8">
        <f t="shared" si="3201"/>
        <v>4316</v>
      </c>
      <c r="S623" s="8">
        <f t="shared" si="3201"/>
        <v>4513</v>
      </c>
      <c r="T623" s="8">
        <f t="shared" si="3201"/>
        <v>4565</v>
      </c>
      <c r="U623" s="8">
        <f t="shared" si="3201"/>
        <v>4603</v>
      </c>
      <c r="V623" s="8">
        <f t="shared" si="3201"/>
        <v>4887</v>
      </c>
      <c r="W623" s="8">
        <f t="shared" si="3201"/>
        <v>5214</v>
      </c>
      <c r="X623" s="8">
        <f t="shared" si="3201"/>
        <v>4926</v>
      </c>
      <c r="Y623" s="8">
        <f t="shared" si="3201"/>
        <v>4899</v>
      </c>
      <c r="Z623" s="8">
        <f t="shared" si="3201"/>
        <v>5204</v>
      </c>
      <c r="AA623" s="8">
        <f t="shared" si="3201"/>
        <v>5687</v>
      </c>
      <c r="AB623" s="8">
        <f t="shared" si="3201"/>
        <v>5599</v>
      </c>
      <c r="AC623" s="8">
        <f t="shared" si="3201"/>
        <v>5758</v>
      </c>
      <c r="AD623" s="8">
        <f t="shared" si="3201"/>
        <v>6306</v>
      </c>
      <c r="AE623" s="8">
        <f t="shared" si="3201"/>
        <v>6849</v>
      </c>
      <c r="AF623" s="8">
        <f t="shared" si="3201"/>
        <v>6628</v>
      </c>
      <c r="AG623" s="8">
        <f t="shared" si="3201"/>
        <v>6844</v>
      </c>
      <c r="AH623" s="8">
        <f t="shared" si="3201"/>
        <v>6984</v>
      </c>
      <c r="AI623" s="8">
        <f t="shared" si="3201"/>
        <v>6739</v>
      </c>
      <c r="AJ623" s="8">
        <f t="shared" si="3201"/>
        <v>6659</v>
      </c>
      <c r="AK623" s="8">
        <f t="shared" si="3201"/>
        <v>7142</v>
      </c>
      <c r="AL623" s="8">
        <f t="shared" si="3201"/>
        <v>7653</v>
      </c>
      <c r="AM623" s="8">
        <f t="shared" si="3201"/>
        <v>8056</v>
      </c>
      <c r="AN623" s="8"/>
      <c r="AO623" s="8"/>
      <c r="AP623" s="8"/>
      <c r="AQ623" s="8"/>
      <c r="AS623" s="8"/>
      <c r="AT623" s="8"/>
      <c r="AU623" s="8"/>
      <c r="AV623" s="8"/>
      <c r="AW623" s="8"/>
      <c r="AX623" s="8"/>
      <c r="AY623" s="8"/>
      <c r="AZ623" s="8"/>
      <c r="BA623" s="8"/>
      <c r="BB623" s="8"/>
      <c r="BC623" s="8"/>
      <c r="BD623" s="8"/>
      <c r="BE623" s="8"/>
      <c r="BG623" s="8">
        <f t="shared" ref="BG623:BN625" si="3202">+BG29</f>
        <v>11988</v>
      </c>
      <c r="BH623" s="8">
        <f t="shared" si="3202"/>
        <v>13037</v>
      </c>
      <c r="BI623" s="8">
        <f t="shared" si="3202"/>
        <v>14726</v>
      </c>
      <c r="BJ623" s="8">
        <f t="shared" si="3202"/>
        <v>16876</v>
      </c>
      <c r="BK623" s="8">
        <f t="shared" si="3202"/>
        <v>19269</v>
      </c>
      <c r="BL623" s="8">
        <f t="shared" si="3202"/>
        <v>20716</v>
      </c>
      <c r="BM623" s="8">
        <f t="shared" si="3202"/>
        <v>24512</v>
      </c>
      <c r="BN623" s="8">
        <f t="shared" si="3202"/>
        <v>27195</v>
      </c>
      <c r="BO623" s="8">
        <f>+SUM(AJ623:AM623)</f>
        <v>29510</v>
      </c>
      <c r="BP623" s="8"/>
    </row>
    <row r="624" spans="2:68">
      <c r="B624" t="s">
        <v>280</v>
      </c>
      <c r="D624" s="8">
        <f t="shared" ref="D624:AM624" si="3203">+D30</f>
        <v>3341</v>
      </c>
      <c r="E624" s="8">
        <f t="shared" si="3203"/>
        <v>3954</v>
      </c>
      <c r="F624" s="8">
        <f t="shared" si="3203"/>
        <v>3398</v>
      </c>
      <c r="G624" s="8">
        <f t="shared" si="3203"/>
        <v>3942</v>
      </c>
      <c r="H624" s="8">
        <f t="shared" si="3203"/>
        <v>3218</v>
      </c>
      <c r="I624" s="8">
        <f t="shared" si="3203"/>
        <v>4079</v>
      </c>
      <c r="J624" s="8">
        <f t="shared" si="3203"/>
        <v>3872</v>
      </c>
      <c r="K624" s="8">
        <f t="shared" si="3203"/>
        <v>4292</v>
      </c>
      <c r="L624" s="8">
        <f t="shared" si="3203"/>
        <v>3812</v>
      </c>
      <c r="M624" s="8">
        <f t="shared" si="3203"/>
        <v>4562</v>
      </c>
      <c r="N624" s="8">
        <f t="shared" si="3203"/>
        <v>4335</v>
      </c>
      <c r="O624" s="8">
        <f t="shared" si="3203"/>
        <v>4760</v>
      </c>
      <c r="P624" s="8">
        <f t="shared" si="3203"/>
        <v>4098</v>
      </c>
      <c r="Q624" s="8">
        <f t="shared" si="3203"/>
        <v>4588</v>
      </c>
      <c r="R624" s="8">
        <f t="shared" si="3203"/>
        <v>4565</v>
      </c>
      <c r="S624" s="8">
        <f t="shared" si="3203"/>
        <v>4962</v>
      </c>
      <c r="T624" s="8">
        <f t="shared" si="3203"/>
        <v>4337</v>
      </c>
      <c r="U624" s="8">
        <f t="shared" si="3203"/>
        <v>4933</v>
      </c>
      <c r="V624" s="8">
        <f t="shared" si="3203"/>
        <v>4911</v>
      </c>
      <c r="W624" s="8">
        <f t="shared" si="3203"/>
        <v>5417</v>
      </c>
      <c r="X624" s="8">
        <f t="shared" si="3203"/>
        <v>4231</v>
      </c>
      <c r="Y624" s="8">
        <f t="shared" si="3203"/>
        <v>4947</v>
      </c>
      <c r="Z624" s="8">
        <f t="shared" si="3203"/>
        <v>5082</v>
      </c>
      <c r="AA624" s="8">
        <f t="shared" si="3203"/>
        <v>5857</v>
      </c>
      <c r="AB624" s="8">
        <f t="shared" si="3203"/>
        <v>4547</v>
      </c>
      <c r="AC624" s="8">
        <f t="shared" si="3203"/>
        <v>5379</v>
      </c>
      <c r="AD624" s="8">
        <f t="shared" si="3203"/>
        <v>5595</v>
      </c>
      <c r="AE624" s="8">
        <f t="shared" si="3203"/>
        <v>6304</v>
      </c>
      <c r="AF624" s="8">
        <f t="shared" si="3203"/>
        <v>5126</v>
      </c>
      <c r="AG624" s="8">
        <f t="shared" si="3203"/>
        <v>5679</v>
      </c>
      <c r="AH624" s="8">
        <f t="shared" si="3203"/>
        <v>5750</v>
      </c>
      <c r="AI624" s="8">
        <f t="shared" si="3203"/>
        <v>6204</v>
      </c>
      <c r="AJ624" s="8">
        <f t="shared" si="3203"/>
        <v>5187</v>
      </c>
      <c r="AK624" s="8">
        <f t="shared" si="3203"/>
        <v>6246</v>
      </c>
      <c r="AL624" s="8">
        <f t="shared" si="3203"/>
        <v>6207</v>
      </c>
      <c r="AM624" s="8">
        <f t="shared" si="3203"/>
        <v>6816</v>
      </c>
      <c r="AN624" s="8"/>
      <c r="AO624" s="8"/>
      <c r="AP624" s="8"/>
      <c r="AQ624" s="8"/>
      <c r="AS624" s="8"/>
      <c r="AT624" s="8"/>
      <c r="AU624" s="8"/>
      <c r="AV624" s="8"/>
      <c r="AW624" s="8"/>
      <c r="AX624" s="8"/>
      <c r="AY624" s="8"/>
      <c r="AZ624" s="8"/>
      <c r="BA624" s="8"/>
      <c r="BB624" s="8"/>
      <c r="BC624" s="8"/>
      <c r="BD624" s="8"/>
      <c r="BE624" s="8"/>
      <c r="BG624" s="8">
        <f t="shared" si="3202"/>
        <v>14635</v>
      </c>
      <c r="BH624" s="8">
        <f t="shared" si="3202"/>
        <v>15461</v>
      </c>
      <c r="BI624" s="8">
        <f t="shared" si="3202"/>
        <v>17469</v>
      </c>
      <c r="BJ624" s="8">
        <f t="shared" si="3202"/>
        <v>18213</v>
      </c>
      <c r="BK624" s="8">
        <f t="shared" si="3202"/>
        <v>19598</v>
      </c>
      <c r="BL624" s="8">
        <f t="shared" si="3202"/>
        <v>20117</v>
      </c>
      <c r="BM624" s="8">
        <f t="shared" si="3202"/>
        <v>21825</v>
      </c>
      <c r="BN624" s="8">
        <f t="shared" si="3202"/>
        <v>22759</v>
      </c>
      <c r="BO624" s="8">
        <f t="shared" ref="BO624:BO626" si="3204">+SUM(AJ624:AM624)</f>
        <v>24456</v>
      </c>
      <c r="BP624" s="8"/>
    </row>
    <row r="625" spans="2:69" ht="11.45">
      <c r="B625" t="s">
        <v>281</v>
      </c>
      <c r="D625" s="10">
        <f t="shared" ref="D625:AM625" si="3205">+D31</f>
        <v>1084</v>
      </c>
      <c r="E625" s="10">
        <f t="shared" si="3205"/>
        <v>1038</v>
      </c>
      <c r="F625" s="10">
        <f t="shared" si="3205"/>
        <v>1140</v>
      </c>
      <c r="G625" s="10">
        <f t="shared" si="3205"/>
        <v>1301</v>
      </c>
      <c r="H625" s="10">
        <f t="shared" si="3205"/>
        <v>1045</v>
      </c>
      <c r="I625" s="10">
        <f t="shared" si="3205"/>
        <v>879</v>
      </c>
      <c r="J625" s="10">
        <f t="shared" si="3205"/>
        <v>1202</v>
      </c>
      <c r="K625" s="10">
        <f t="shared" si="3205"/>
        <v>1355</v>
      </c>
      <c r="L625" s="10">
        <f t="shared" si="3205"/>
        <v>1166</v>
      </c>
      <c r="M625" s="10">
        <f t="shared" si="3205"/>
        <v>1109</v>
      </c>
      <c r="N625" s="10">
        <f t="shared" si="3205"/>
        <v>1208</v>
      </c>
      <c r="O625" s="10">
        <f t="shared" si="3205"/>
        <v>1271</v>
      </c>
      <c r="P625" s="10">
        <f t="shared" si="3205"/>
        <v>1149</v>
      </c>
      <c r="Q625" s="10">
        <f t="shared" si="3205"/>
        <v>1132</v>
      </c>
      <c r="R625" s="10">
        <f t="shared" si="3205"/>
        <v>1179</v>
      </c>
      <c r="S625" s="10">
        <f t="shared" si="3205"/>
        <v>1425</v>
      </c>
      <c r="T625" s="10">
        <f t="shared" si="3205"/>
        <v>1061</v>
      </c>
      <c r="U625" s="10">
        <f t="shared" si="3205"/>
        <v>1121</v>
      </c>
      <c r="V625" s="10">
        <f t="shared" si="3205"/>
        <v>1273</v>
      </c>
      <c r="W625" s="10">
        <f t="shared" si="3205"/>
        <v>1656</v>
      </c>
      <c r="X625" s="10">
        <f t="shared" si="3205"/>
        <v>1119</v>
      </c>
      <c r="Y625" s="10">
        <f t="shared" si="3205"/>
        <v>1139</v>
      </c>
      <c r="Z625" s="10">
        <f t="shared" si="3205"/>
        <v>1327</v>
      </c>
      <c r="AA625" s="10">
        <f t="shared" si="3205"/>
        <v>1522</v>
      </c>
      <c r="AB625" s="10">
        <f t="shared" si="3205"/>
        <v>1287</v>
      </c>
      <c r="AC625" s="10">
        <f t="shared" si="3205"/>
        <v>1384</v>
      </c>
      <c r="AD625" s="10">
        <f t="shared" si="3205"/>
        <v>1480</v>
      </c>
      <c r="AE625" s="10">
        <f t="shared" si="3205"/>
        <v>1749</v>
      </c>
      <c r="AF625" s="10">
        <f t="shared" si="3205"/>
        <v>1398</v>
      </c>
      <c r="AG625" s="10">
        <f t="shared" si="3205"/>
        <v>1166</v>
      </c>
      <c r="AH625" s="10">
        <f t="shared" si="3205"/>
        <v>1643</v>
      </c>
      <c r="AI625" s="10">
        <f t="shared" si="3205"/>
        <v>2197</v>
      </c>
      <c r="AJ625" s="10">
        <f t="shared" si="3205"/>
        <v>1474</v>
      </c>
      <c r="AK625" s="10">
        <f t="shared" si="3205"/>
        <v>1427</v>
      </c>
      <c r="AL625" s="10">
        <f t="shared" si="3205"/>
        <v>1642</v>
      </c>
      <c r="AM625" s="10">
        <f t="shared" si="3205"/>
        <v>1996</v>
      </c>
      <c r="AN625" s="10"/>
      <c r="AO625" s="10"/>
      <c r="AP625" s="10"/>
      <c r="AQ625" s="10"/>
      <c r="AS625" s="10"/>
      <c r="AT625" s="10"/>
      <c r="AU625" s="10"/>
      <c r="AV625" s="10"/>
      <c r="AW625" s="10"/>
      <c r="AX625" s="10"/>
      <c r="AY625" s="10"/>
      <c r="AZ625" s="10"/>
      <c r="BA625" s="838"/>
      <c r="BB625" s="10"/>
      <c r="BC625" s="10"/>
      <c r="BD625" s="10"/>
      <c r="BE625" s="10"/>
      <c r="BG625" s="10">
        <f t="shared" si="3202"/>
        <v>4563</v>
      </c>
      <c r="BH625" s="10">
        <f t="shared" si="3202"/>
        <v>4481</v>
      </c>
      <c r="BI625" s="10">
        <f t="shared" si="3202"/>
        <v>4754</v>
      </c>
      <c r="BJ625" s="10">
        <f t="shared" si="3202"/>
        <v>4885</v>
      </c>
      <c r="BK625" s="10">
        <f t="shared" si="3202"/>
        <v>5111</v>
      </c>
      <c r="BL625" s="10">
        <f t="shared" si="3202"/>
        <v>5107</v>
      </c>
      <c r="BM625" s="10">
        <f t="shared" si="3202"/>
        <v>5900</v>
      </c>
      <c r="BN625" s="10">
        <f t="shared" si="3202"/>
        <v>6404</v>
      </c>
      <c r="BO625" s="10">
        <f t="shared" si="3204"/>
        <v>6539</v>
      </c>
      <c r="BP625" s="10"/>
    </row>
    <row r="626" spans="2:69" s="1" customFormat="1" ht="10.5">
      <c r="B626" s="837" t="s">
        <v>456</v>
      </c>
      <c r="D626" s="838">
        <f>SUM(D623:D625)</f>
        <v>7387</v>
      </c>
      <c r="E626" s="838">
        <f t="shared" ref="E626:AF626" si="3206">SUM(E623:E625)</f>
        <v>7892</v>
      </c>
      <c r="F626" s="838">
        <f t="shared" si="3206"/>
        <v>7518</v>
      </c>
      <c r="G626" s="838">
        <f t="shared" si="3206"/>
        <v>8389</v>
      </c>
      <c r="H626" s="838">
        <f t="shared" si="3206"/>
        <v>7369</v>
      </c>
      <c r="I626" s="838">
        <f t="shared" si="3206"/>
        <v>8020</v>
      </c>
      <c r="J626" s="838">
        <f t="shared" si="3206"/>
        <v>8429</v>
      </c>
      <c r="K626" s="838">
        <f t="shared" si="3206"/>
        <v>9161</v>
      </c>
      <c r="L626" s="838">
        <f t="shared" si="3206"/>
        <v>8552</v>
      </c>
      <c r="M626" s="838">
        <f t="shared" si="3206"/>
        <v>9175</v>
      </c>
      <c r="N626" s="838">
        <f t="shared" si="3206"/>
        <v>9258</v>
      </c>
      <c r="O626" s="838">
        <f t="shared" si="3206"/>
        <v>9964</v>
      </c>
      <c r="P626" s="838">
        <f t="shared" si="3206"/>
        <v>9224</v>
      </c>
      <c r="Q626" s="838">
        <f t="shared" si="3206"/>
        <v>9790</v>
      </c>
      <c r="R626" s="838">
        <f t="shared" si="3206"/>
        <v>10060</v>
      </c>
      <c r="S626" s="838">
        <f t="shared" si="3206"/>
        <v>10900</v>
      </c>
      <c r="T626" s="838">
        <f t="shared" si="3206"/>
        <v>9963</v>
      </c>
      <c r="U626" s="838">
        <f t="shared" si="3206"/>
        <v>10657</v>
      </c>
      <c r="V626" s="838">
        <f t="shared" si="3206"/>
        <v>11071</v>
      </c>
      <c r="W626" s="838">
        <f t="shared" si="3206"/>
        <v>12287</v>
      </c>
      <c r="X626" s="838">
        <f t="shared" si="3206"/>
        <v>10276</v>
      </c>
      <c r="Y626" s="838">
        <f t="shared" si="3206"/>
        <v>10985</v>
      </c>
      <c r="Z626" s="838">
        <f t="shared" si="3206"/>
        <v>11613</v>
      </c>
      <c r="AA626" s="838">
        <f t="shared" si="3206"/>
        <v>13066</v>
      </c>
      <c r="AB626" s="838">
        <f t="shared" si="3206"/>
        <v>11433</v>
      </c>
      <c r="AC626" s="838">
        <f t="shared" si="3206"/>
        <v>12521</v>
      </c>
      <c r="AD626" s="838">
        <f t="shared" si="3206"/>
        <v>13381</v>
      </c>
      <c r="AE626" s="838">
        <f t="shared" si="3206"/>
        <v>14902</v>
      </c>
      <c r="AF626" s="838">
        <f t="shared" si="3206"/>
        <v>13152</v>
      </c>
      <c r="AG626" s="838">
        <f t="shared" ref="AG626:AH626" si="3207">SUM(AG623:AG625)</f>
        <v>13689</v>
      </c>
      <c r="AH626" s="838">
        <f t="shared" si="3207"/>
        <v>14377</v>
      </c>
      <c r="AI626" s="838">
        <f t="shared" ref="AI626:AJ626" si="3208">SUM(AI623:AI625)</f>
        <v>15140</v>
      </c>
      <c r="AJ626" s="838">
        <f t="shared" si="3208"/>
        <v>13320</v>
      </c>
      <c r="AK626" s="838">
        <f t="shared" ref="AK626:AL626" si="3209">SUM(AK623:AK625)</f>
        <v>14815</v>
      </c>
      <c r="AL626" s="838">
        <f t="shared" si="3209"/>
        <v>15502</v>
      </c>
      <c r="AM626" s="838">
        <f t="shared" ref="AM626" si="3210">SUM(AM623:AM625)</f>
        <v>16868</v>
      </c>
      <c r="AN626" s="838"/>
      <c r="AO626" s="838"/>
      <c r="AP626" s="838"/>
      <c r="AQ626" s="838"/>
      <c r="AS626" s="838"/>
      <c r="AT626" s="838"/>
      <c r="AU626" s="838"/>
      <c r="AV626" s="838"/>
      <c r="AW626" s="838"/>
      <c r="AX626" s="838"/>
      <c r="AY626" s="838"/>
      <c r="AZ626" s="838"/>
      <c r="BA626" s="838"/>
      <c r="BB626" s="838"/>
      <c r="BC626" s="838"/>
      <c r="BD626" s="838"/>
      <c r="BE626" s="838"/>
      <c r="BG626" s="838">
        <f t="shared" ref="BG626" si="3211">SUM(BG623:BG625)</f>
        <v>31186</v>
      </c>
      <c r="BH626" s="838">
        <f t="shared" ref="BH626" si="3212">SUM(BH623:BH625)</f>
        <v>32979</v>
      </c>
      <c r="BI626" s="838">
        <f t="shared" ref="BI626:BM626" si="3213">SUM(BI623:BI625)</f>
        <v>36949</v>
      </c>
      <c r="BJ626" s="838">
        <f t="shared" si="3213"/>
        <v>39974</v>
      </c>
      <c r="BK626" s="838">
        <f t="shared" si="3213"/>
        <v>43978</v>
      </c>
      <c r="BL626" s="838">
        <f t="shared" si="3213"/>
        <v>45940</v>
      </c>
      <c r="BM626" s="838">
        <f t="shared" si="3213"/>
        <v>52237</v>
      </c>
      <c r="BN626" s="838">
        <f t="shared" ref="BN626" si="3214">SUM(BN623:BN625)</f>
        <v>56358</v>
      </c>
      <c r="BO626" s="838">
        <f t="shared" si="3204"/>
        <v>60505</v>
      </c>
      <c r="BP626" s="838"/>
    </row>
    <row r="627" spans="2:69" ht="10.5">
      <c r="B627" s="13"/>
      <c r="H627" s="14"/>
      <c r="I627" s="14"/>
      <c r="J627" s="14"/>
      <c r="K627" s="14"/>
      <c r="L627" s="14"/>
      <c r="M627" s="14"/>
      <c r="N627" s="14"/>
      <c r="O627" s="14"/>
      <c r="P627" s="14"/>
      <c r="Q627" s="14"/>
      <c r="R627" s="14"/>
      <c r="S627" s="14"/>
      <c r="T627" s="14"/>
      <c r="U627" s="14"/>
      <c r="V627" s="14"/>
      <c r="W627" s="14"/>
      <c r="X627" s="14"/>
      <c r="Y627" s="14"/>
      <c r="Z627" s="14"/>
      <c r="AB627" s="14"/>
      <c r="AC627" s="14"/>
      <c r="AD627" s="14"/>
      <c r="AE627" s="14"/>
      <c r="AF627" s="14"/>
      <c r="AG627" s="14"/>
      <c r="AH627" s="14"/>
      <c r="AI627" s="14"/>
      <c r="AJ627" s="14"/>
      <c r="AK627" s="14"/>
      <c r="AL627" s="14"/>
      <c r="AM627" s="14"/>
      <c r="AN627" s="838"/>
      <c r="AO627" s="838"/>
      <c r="AP627" s="838"/>
      <c r="AQ627" s="838"/>
      <c r="AR627" s="3"/>
      <c r="AS627" s="3"/>
      <c r="AT627" s="14"/>
      <c r="AU627" s="14"/>
      <c r="AV627" s="14"/>
      <c r="AW627" s="14"/>
      <c r="AX627" s="14"/>
      <c r="AY627" s="14"/>
      <c r="AZ627" s="14"/>
      <c r="BA627" s="14"/>
      <c r="BB627" s="14"/>
      <c r="BC627" s="14"/>
      <c r="BD627" s="14"/>
      <c r="BE627" s="14"/>
      <c r="BH627" s="14"/>
      <c r="BI627" s="14"/>
      <c r="BJ627" s="14"/>
      <c r="BK627" s="14"/>
      <c r="BL627" s="14"/>
      <c r="BM627" s="14"/>
      <c r="BN627" s="14"/>
      <c r="BO627" s="14"/>
      <c r="BP627" s="14"/>
    </row>
    <row r="628" spans="2:69">
      <c r="B628" s="24" t="s">
        <v>113</v>
      </c>
    </row>
    <row r="629" spans="2:69" s="3" customFormat="1">
      <c r="B629" s="13" t="str">
        <f>+B623</f>
        <v>R&amp;D</v>
      </c>
      <c r="D629" s="228"/>
      <c r="E629" s="228"/>
      <c r="F629" s="228"/>
      <c r="G629" s="228"/>
      <c r="H629" s="228">
        <f t="shared" ref="H629:H632" si="3215">+H623/D623-1</f>
        <v>4.8615800135043852E-2</v>
      </c>
      <c r="I629" s="228">
        <f t="shared" ref="I629:I632" si="3216">+I623/E623-1</f>
        <v>5.5862068965517153E-2</v>
      </c>
      <c r="J629" s="228">
        <f t="shared" ref="J629:J632" si="3217">+J623/F623-1</f>
        <v>0.12583892617449655</v>
      </c>
      <c r="K629" s="228">
        <f t="shared" ref="K629:K632" si="3218">+K623/G623-1</f>
        <v>0.11697393515575327</v>
      </c>
      <c r="L629" s="228">
        <f t="shared" ref="L629:L632" si="3219">+L623/H623-1</f>
        <v>0.1506761107533805</v>
      </c>
      <c r="M629" s="228">
        <f t="shared" ref="M629:M632" si="3220">+M623/I623-1</f>
        <v>0.14435009797517973</v>
      </c>
      <c r="N629" s="228">
        <f t="shared" ref="N629:N632" si="3221">+N623/J623-1</f>
        <v>0.10730253353204167</v>
      </c>
      <c r="O629" s="228">
        <f t="shared" ref="O629:O632" si="3222">+O623/K623-1</f>
        <v>0.1192373363688104</v>
      </c>
      <c r="P629" s="228">
        <f t="shared" ref="P629:P632" si="3223">+P623/L623-1</f>
        <v>0.11275881365416907</v>
      </c>
      <c r="Q629" s="228">
        <f t="shared" ref="Q629:Q632" si="3224">+Q623/M623-1</f>
        <v>0.1615296803652968</v>
      </c>
      <c r="R629" s="228">
        <f t="shared" ref="R629:R632" si="3225">+R623/N623-1</f>
        <v>0.16177658142664875</v>
      </c>
      <c r="S629" s="228">
        <f t="shared" ref="S629:S632" si="3226">+S623/O623-1</f>
        <v>0.14747012458682929</v>
      </c>
      <c r="T629" s="228">
        <f t="shared" ref="T629:T632" si="3227">+T623/P623-1</f>
        <v>0.14785013829519733</v>
      </c>
      <c r="U629" s="228">
        <f t="shared" ref="U629:U632" si="3228">+U623/Q623-1</f>
        <v>0.13095823095823089</v>
      </c>
      <c r="V629" s="228">
        <f>+V623/R623-1</f>
        <v>0.13229842446709927</v>
      </c>
      <c r="W629" s="228">
        <f t="shared" ref="W629:W632" si="3229">+W623/S623-1</f>
        <v>0.15532904941280745</v>
      </c>
      <c r="X629" s="228">
        <f t="shared" ref="X629:X632" si="3230">+X623/T623-1</f>
        <v>7.9079956188389922E-2</v>
      </c>
      <c r="Y629" s="228">
        <f t="shared" ref="Y629:Y632" si="3231">+Y623/U623-1</f>
        <v>6.4305887464696898E-2</v>
      </c>
      <c r="Z629" s="228">
        <f t="shared" ref="Z629:Z632" si="3232">+Z623/V623-1</f>
        <v>6.4865970943319029E-2</v>
      </c>
      <c r="AA629" s="228">
        <f t="shared" ref="AA629:AA632" si="3233">+AA623/W623-1</f>
        <v>9.0717299578058963E-2</v>
      </c>
      <c r="AB629" s="228">
        <f t="shared" ref="AB629:AB632" si="3234">+AB623/X623-1</f>
        <v>0.13662200568412497</v>
      </c>
      <c r="AC629" s="228">
        <f t="shared" ref="AC629:AC632" si="3235">+AC623/Y623-1</f>
        <v>0.17534190651153292</v>
      </c>
      <c r="AD629" s="228">
        <f t="shared" ref="AD629:AD632" si="3236">+AD623/Z623-1</f>
        <v>0.21176018447348199</v>
      </c>
      <c r="AE629" s="228">
        <f t="shared" ref="AE629:AE632" si="3237">+AE623/AA623-1</f>
        <v>0.20432565500263755</v>
      </c>
      <c r="AF629" s="228">
        <f t="shared" ref="AF629:AF632" si="3238">+AF623/AB623-1</f>
        <v>0.18378281836042154</v>
      </c>
      <c r="AG629" s="228">
        <f t="shared" ref="AG629:AG632" si="3239">+AG623/AC623-1</f>
        <v>0.18860715526224392</v>
      </c>
      <c r="AH629" s="228">
        <f t="shared" ref="AH629:AH632" si="3240">+AH623/AD623-1</f>
        <v>0.1075166508087535</v>
      </c>
      <c r="AI629" s="228">
        <f t="shared" ref="AI629:AI632" si="3241">+AI623/AE623-1</f>
        <v>-1.6060738793984508E-2</v>
      </c>
      <c r="AJ629" s="228">
        <f t="shared" ref="AJ629:AJ632" si="3242">+AJ623/AF623-1</f>
        <v>4.6771273385637357E-3</v>
      </c>
      <c r="AK629" s="228">
        <f t="shared" ref="AK629:AK632" si="3243">+AK623/AG623-1</f>
        <v>4.3541788427819972E-2</v>
      </c>
      <c r="AL629" s="228">
        <f t="shared" ref="AL629:AL632" si="3244">+AL623/AH623-1</f>
        <v>9.5790378006872956E-2</v>
      </c>
      <c r="AM629" s="228">
        <f t="shared" ref="AM629:AM632" si="3245">+AM623/AI623-1</f>
        <v>0.19542958895978635</v>
      </c>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f t="shared" ref="BH629:BH631" si="3246">+BH623/BG623-1</f>
        <v>8.7504170837504169E-2</v>
      </c>
      <c r="BI629" s="228">
        <f t="shared" ref="BI629:BI632" si="3247">+BI623/BH623-1</f>
        <v>0.12955434532484467</v>
      </c>
      <c r="BJ629" s="228">
        <f>+BJ623/BI623-1</f>
        <v>0.14600027162841234</v>
      </c>
      <c r="BK629" s="228">
        <f t="shared" ref="BK629:BK632" si="3248">+BK623/BJ623-1</f>
        <v>0.14179900450343674</v>
      </c>
      <c r="BL629" s="228">
        <f t="shared" ref="BL629:BL632" si="3249">+BL623/BK623-1</f>
        <v>7.5094711713114437E-2</v>
      </c>
      <c r="BM629" s="228">
        <f t="shared" ref="BM629:BM632" si="3250">+BM623/BL623-1</f>
        <v>0.1832400077234988</v>
      </c>
      <c r="BN629" s="228">
        <f t="shared" ref="BN629:BN632" si="3251">+BN623/BM623-1</f>
        <v>0.10945659268929497</v>
      </c>
      <c r="BO629" s="228">
        <f t="shared" ref="BO629:BO632" si="3252">+BO623/BN623-1</f>
        <v>8.5125942268799326E-2</v>
      </c>
      <c r="BP629" s="228"/>
    </row>
    <row r="630" spans="2:69" s="3" customFormat="1">
      <c r="B630" s="13" t="str">
        <f t="shared" ref="B630:B632" si="3253">+B624</f>
        <v>S&amp;M</v>
      </c>
      <c r="D630" s="228"/>
      <c r="E630" s="228"/>
      <c r="F630" s="228"/>
      <c r="G630" s="228"/>
      <c r="H630" s="228">
        <f t="shared" si="3215"/>
        <v>-3.6815324753067924E-2</v>
      </c>
      <c r="I630" s="228">
        <f t="shared" si="3216"/>
        <v>3.161355589276682E-2</v>
      </c>
      <c r="J630" s="228">
        <f t="shared" si="3217"/>
        <v>0.1394938198940554</v>
      </c>
      <c r="K630" s="228">
        <f t="shared" si="3218"/>
        <v>8.8787417554540893E-2</v>
      </c>
      <c r="L630" s="228">
        <f t="shared" si="3219"/>
        <v>0.1845866998135488</v>
      </c>
      <c r="M630" s="228">
        <f t="shared" si="3220"/>
        <v>0.11841137533709234</v>
      </c>
      <c r="N630" s="228">
        <f t="shared" si="3221"/>
        <v>0.11957644628099184</v>
      </c>
      <c r="O630" s="228">
        <f t="shared" si="3222"/>
        <v>0.1090400745573159</v>
      </c>
      <c r="P630" s="228">
        <f t="shared" si="3223"/>
        <v>7.5026232948583349E-2</v>
      </c>
      <c r="Q630" s="228">
        <f t="shared" si="3224"/>
        <v>5.6992547128451587E-3</v>
      </c>
      <c r="R630" s="228">
        <f t="shared" si="3225"/>
        <v>5.3056516724336866E-2</v>
      </c>
      <c r="S630" s="228">
        <f t="shared" si="3226"/>
        <v>4.2436974789916038E-2</v>
      </c>
      <c r="T630" s="228">
        <f t="shared" si="3227"/>
        <v>5.8321132259638864E-2</v>
      </c>
      <c r="U630" s="228">
        <f t="shared" si="3228"/>
        <v>7.5196163905841384E-2</v>
      </c>
      <c r="V630" s="228">
        <f t="shared" ref="V630:V631" si="3254">+V624/R624-1</f>
        <v>7.5794085432639546E-2</v>
      </c>
      <c r="W630" s="228">
        <f t="shared" si="3229"/>
        <v>9.1696896412736706E-2</v>
      </c>
      <c r="X630" s="228">
        <f t="shared" si="3230"/>
        <v>-2.44408577357621E-2</v>
      </c>
      <c r="Y630" s="228">
        <f t="shared" si="3231"/>
        <v>2.8380295965944047E-3</v>
      </c>
      <c r="Z630" s="228">
        <f t="shared" si="3232"/>
        <v>3.4819792302993369E-2</v>
      </c>
      <c r="AA630" s="228">
        <f t="shared" si="3233"/>
        <v>8.1225770721801815E-2</v>
      </c>
      <c r="AB630" s="228">
        <f t="shared" si="3234"/>
        <v>7.4686835263531037E-2</v>
      </c>
      <c r="AC630" s="228">
        <f t="shared" si="3235"/>
        <v>8.7325651910248547E-2</v>
      </c>
      <c r="AD630" s="228">
        <f t="shared" si="3236"/>
        <v>0.10094451003541915</v>
      </c>
      <c r="AE630" s="228">
        <f t="shared" si="3237"/>
        <v>7.6318934608161193E-2</v>
      </c>
      <c r="AF630" s="228">
        <f t="shared" si="3238"/>
        <v>0.12733670552012311</v>
      </c>
      <c r="AG630" s="228">
        <f t="shared" si="3239"/>
        <v>5.577244841048512E-2</v>
      </c>
      <c r="AH630" s="228">
        <f t="shared" si="3240"/>
        <v>2.7703306523681803E-2</v>
      </c>
      <c r="AI630" s="228">
        <f t="shared" si="3241"/>
        <v>-1.5862944162436499E-2</v>
      </c>
      <c r="AJ630" s="228">
        <f t="shared" si="3242"/>
        <v>1.1900117050331671E-2</v>
      </c>
      <c r="AK630" s="228">
        <f t="shared" si="3243"/>
        <v>9.9841521394611776E-2</v>
      </c>
      <c r="AL630" s="228">
        <f t="shared" si="3244"/>
        <v>7.947826086956522E-2</v>
      </c>
      <c r="AM630" s="228">
        <f t="shared" si="3245"/>
        <v>9.8646034816247674E-2</v>
      </c>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f t="shared" si="3246"/>
        <v>5.6440040997608465E-2</v>
      </c>
      <c r="BI630" s="228">
        <f t="shared" si="3247"/>
        <v>0.12987516978203217</v>
      </c>
      <c r="BJ630" s="228">
        <f t="shared" ref="BJ630:BJ632" si="3255">+BJ624/BI624-1</f>
        <v>4.2589730379529511E-2</v>
      </c>
      <c r="BK630" s="228">
        <f t="shared" si="3248"/>
        <v>7.604458353923027E-2</v>
      </c>
      <c r="BL630" s="228">
        <f t="shared" si="3249"/>
        <v>2.6482294111644045E-2</v>
      </c>
      <c r="BM630" s="228">
        <f t="shared" si="3250"/>
        <v>8.4903315603718221E-2</v>
      </c>
      <c r="BN630" s="228">
        <f t="shared" si="3251"/>
        <v>4.2794959908361907E-2</v>
      </c>
      <c r="BO630" s="228">
        <f t="shared" si="3252"/>
        <v>7.4563908783338517E-2</v>
      </c>
      <c r="BP630" s="228"/>
    </row>
    <row r="631" spans="2:69" s="839" customFormat="1" ht="11.45">
      <c r="B631" s="13" t="str">
        <f t="shared" si="3253"/>
        <v>G&amp;A</v>
      </c>
      <c r="D631" s="840"/>
      <c r="E631" s="840"/>
      <c r="F631" s="840"/>
      <c r="G631" s="840"/>
      <c r="H631" s="840">
        <f t="shared" si="3215"/>
        <v>-3.5977859778597798E-2</v>
      </c>
      <c r="I631" s="840">
        <f t="shared" si="3216"/>
        <v>-0.15317919075144504</v>
      </c>
      <c r="J631" s="840">
        <f t="shared" si="3217"/>
        <v>5.4385964912280649E-2</v>
      </c>
      <c r="K631" s="840">
        <f t="shared" si="3218"/>
        <v>4.1506533435818671E-2</v>
      </c>
      <c r="L631" s="840">
        <f t="shared" si="3219"/>
        <v>0.11578947368421044</v>
      </c>
      <c r="M631" s="840">
        <f t="shared" si="3220"/>
        <v>0.26166097838452784</v>
      </c>
      <c r="N631" s="840">
        <f t="shared" si="3221"/>
        <v>4.991680532445919E-3</v>
      </c>
      <c r="O631" s="840">
        <f t="shared" si="3222"/>
        <v>-6.199261992619931E-2</v>
      </c>
      <c r="P631" s="840">
        <f t="shared" si="3223"/>
        <v>-1.4579759862778707E-2</v>
      </c>
      <c r="Q631" s="840">
        <f t="shared" si="3224"/>
        <v>2.0739404869251521E-2</v>
      </c>
      <c r="R631" s="840">
        <f t="shared" si="3225"/>
        <v>-2.4006622516556275E-2</v>
      </c>
      <c r="S631" s="840">
        <f t="shared" si="3226"/>
        <v>0.12116443745082606</v>
      </c>
      <c r="T631" s="840">
        <f t="shared" si="3227"/>
        <v>-7.6588337684943442E-2</v>
      </c>
      <c r="U631" s="840">
        <f t="shared" si="3228"/>
        <v>-9.7173144876324669E-3</v>
      </c>
      <c r="V631" s="840">
        <f t="shared" si="3254"/>
        <v>7.9728583545377374E-2</v>
      </c>
      <c r="W631" s="840">
        <f t="shared" si="3229"/>
        <v>0.16210526315789475</v>
      </c>
      <c r="X631" s="840">
        <f t="shared" si="3230"/>
        <v>5.4665409990575009E-2</v>
      </c>
      <c r="Y631" s="840">
        <f t="shared" si="3231"/>
        <v>1.605709188224802E-2</v>
      </c>
      <c r="Z631" s="840">
        <f t="shared" si="3232"/>
        <v>4.2419481539670123E-2</v>
      </c>
      <c r="AA631" s="840">
        <f t="shared" si="3233"/>
        <v>-8.0917874396135292E-2</v>
      </c>
      <c r="AB631" s="840">
        <f t="shared" si="3234"/>
        <v>0.15013404825737275</v>
      </c>
      <c r="AC631" s="840">
        <f t="shared" si="3235"/>
        <v>0.21510096575943805</v>
      </c>
      <c r="AD631" s="840">
        <f t="shared" si="3236"/>
        <v>0.1152976639035419</v>
      </c>
      <c r="AE631" s="840">
        <f t="shared" si="3237"/>
        <v>0.14914586070959257</v>
      </c>
      <c r="AF631" s="840">
        <f t="shared" si="3238"/>
        <v>8.6247086247086324E-2</v>
      </c>
      <c r="AG631" s="840">
        <f t="shared" si="3239"/>
        <v>-0.15751445086705207</v>
      </c>
      <c r="AH631" s="840">
        <f t="shared" si="3240"/>
        <v>0.11013513513513518</v>
      </c>
      <c r="AI631" s="840">
        <f t="shared" si="3241"/>
        <v>0.25614636935391655</v>
      </c>
      <c r="AJ631" s="840">
        <f t="shared" si="3242"/>
        <v>5.4363376251788331E-2</v>
      </c>
      <c r="AK631" s="840">
        <f t="shared" si="3243"/>
        <v>0.22384219554030871</v>
      </c>
      <c r="AL631" s="840">
        <f t="shared" si="3244"/>
        <v>-6.0864272671945496E-4</v>
      </c>
      <c r="AM631" s="840">
        <f t="shared" si="3245"/>
        <v>-9.148839326354119E-2</v>
      </c>
      <c r="AN631" s="840"/>
      <c r="AO631" s="840"/>
      <c r="AP631" s="840"/>
      <c r="AQ631" s="840"/>
      <c r="AR631" s="840"/>
      <c r="AS631" s="840"/>
      <c r="AT631" s="840"/>
      <c r="AU631" s="840"/>
      <c r="AV631" s="840"/>
      <c r="AW631" s="840"/>
      <c r="AX631" s="840"/>
      <c r="AY631" s="840"/>
      <c r="AZ631" s="840"/>
      <c r="BA631" s="840"/>
      <c r="BB631" s="840"/>
      <c r="BC631" s="840"/>
      <c r="BD631" s="840"/>
      <c r="BE631" s="840"/>
      <c r="BF631" s="840"/>
      <c r="BG631" s="840"/>
      <c r="BH631" s="840">
        <f t="shared" si="3246"/>
        <v>-1.7970633355248733E-2</v>
      </c>
      <c r="BI631" s="840">
        <f t="shared" si="3247"/>
        <v>6.0923900914974238E-2</v>
      </c>
      <c r="BJ631" s="840">
        <f t="shared" si="3255"/>
        <v>2.7555742532604066E-2</v>
      </c>
      <c r="BK631" s="840">
        <f t="shared" si="3248"/>
        <v>4.6264073694984642E-2</v>
      </c>
      <c r="BL631" s="840">
        <f t="shared" si="3249"/>
        <v>-7.8262570925458075E-4</v>
      </c>
      <c r="BM631" s="840">
        <f t="shared" si="3250"/>
        <v>0.15527707068729191</v>
      </c>
      <c r="BN631" s="840">
        <f t="shared" si="3251"/>
        <v>8.5423728813559308E-2</v>
      </c>
      <c r="BO631" s="840">
        <f t="shared" si="3252"/>
        <v>2.1080574640849559E-2</v>
      </c>
      <c r="BP631" s="840"/>
    </row>
    <row r="632" spans="2:69" s="7" customFormat="1">
      <c r="B632" s="841" t="str">
        <f t="shared" si="3253"/>
        <v>Total Opex (excl. 1x)</v>
      </c>
      <c r="D632" s="842"/>
      <c r="E632" s="842"/>
      <c r="F632" s="842"/>
      <c r="G632" s="842"/>
      <c r="H632" s="842">
        <f t="shared" si="3215"/>
        <v>-2.4367131447137202E-3</v>
      </c>
      <c r="I632" s="842">
        <f t="shared" si="3216"/>
        <v>1.6218955904713672E-2</v>
      </c>
      <c r="J632" s="842">
        <f t="shared" si="3217"/>
        <v>0.12117584463953168</v>
      </c>
      <c r="K632" s="842">
        <f t="shared" si="3218"/>
        <v>9.2025271188461044E-2</v>
      </c>
      <c r="L632" s="842">
        <f t="shared" si="3219"/>
        <v>0.16053738634821557</v>
      </c>
      <c r="M632" s="842">
        <f t="shared" si="3220"/>
        <v>0.14401496259351632</v>
      </c>
      <c r="N632" s="842">
        <f t="shared" si="3221"/>
        <v>9.8350931308577527E-2</v>
      </c>
      <c r="O632" s="842">
        <f t="shared" si="3222"/>
        <v>8.7654186224211283E-2</v>
      </c>
      <c r="P632" s="842">
        <f t="shared" si="3223"/>
        <v>7.8578110383535904E-2</v>
      </c>
      <c r="Q632" s="842">
        <f t="shared" si="3224"/>
        <v>6.7029972752043587E-2</v>
      </c>
      <c r="R632" s="842">
        <f t="shared" si="3225"/>
        <v>8.6627781378267432E-2</v>
      </c>
      <c r="S632" s="842">
        <f t="shared" si="3226"/>
        <v>9.3938177438779524E-2</v>
      </c>
      <c r="T632" s="842">
        <f t="shared" si="3227"/>
        <v>8.0117085862966064E-2</v>
      </c>
      <c r="U632" s="842">
        <f t="shared" si="3228"/>
        <v>8.8559754851889716E-2</v>
      </c>
      <c r="V632" s="842">
        <f>+V626/R626-1</f>
        <v>0.10049701789264409</v>
      </c>
      <c r="W632" s="842">
        <f t="shared" si="3229"/>
        <v>0.12724770642201833</v>
      </c>
      <c r="X632" s="842">
        <f t="shared" si="3230"/>
        <v>3.1416240088326886E-2</v>
      </c>
      <c r="Y632" s="842">
        <f t="shared" si="3231"/>
        <v>3.0777892465046364E-2</v>
      </c>
      <c r="Z632" s="842">
        <f t="shared" si="3232"/>
        <v>4.8956733809050634E-2</v>
      </c>
      <c r="AA632" s="842">
        <f t="shared" si="3233"/>
        <v>6.3400341824692674E-2</v>
      </c>
      <c r="AB632" s="842">
        <f t="shared" si="3234"/>
        <v>0.11259244842351102</v>
      </c>
      <c r="AC632" s="842">
        <f t="shared" si="3235"/>
        <v>0.13982703686845688</v>
      </c>
      <c r="AD632" s="842">
        <f t="shared" si="3236"/>
        <v>0.15224317575131319</v>
      </c>
      <c r="AE632" s="842">
        <f t="shared" si="3237"/>
        <v>0.14051737333537417</v>
      </c>
      <c r="AF632" s="842">
        <f t="shared" si="3238"/>
        <v>0.15035423773287859</v>
      </c>
      <c r="AG632" s="842">
        <f t="shared" si="3239"/>
        <v>9.3283284082740892E-2</v>
      </c>
      <c r="AH632" s="842">
        <f t="shared" si="3240"/>
        <v>7.4433898811748112E-2</v>
      </c>
      <c r="AI632" s="842">
        <f t="shared" si="3241"/>
        <v>1.5971010602603641E-2</v>
      </c>
      <c r="AJ632" s="842">
        <f t="shared" si="3242"/>
        <v>1.2773722627737127E-2</v>
      </c>
      <c r="AK632" s="842">
        <f t="shared" si="3243"/>
        <v>8.2255825845569452E-2</v>
      </c>
      <c r="AL632" s="842">
        <f t="shared" si="3244"/>
        <v>7.8249982611114932E-2</v>
      </c>
      <c r="AM632" s="842">
        <f t="shared" si="3245"/>
        <v>0.11413474240422716</v>
      </c>
      <c r="AN632" s="842"/>
      <c r="AO632" s="842"/>
      <c r="AP632" s="842"/>
      <c r="AQ632" s="842"/>
      <c r="AR632" s="842"/>
      <c r="AS632" s="842"/>
      <c r="AT632" s="842"/>
      <c r="AU632" s="842"/>
      <c r="AV632" s="842"/>
      <c r="AW632" s="842"/>
      <c r="AX632" s="842"/>
      <c r="AY632" s="842"/>
      <c r="AZ632" s="842"/>
      <c r="BA632" s="842"/>
      <c r="BB632" s="842"/>
      <c r="BC632" s="842"/>
      <c r="BD632" s="842"/>
      <c r="BE632" s="842"/>
      <c r="BF632" s="842"/>
      <c r="BG632" s="842"/>
      <c r="BH632" s="842">
        <f>+BH626/BG626-1</f>
        <v>5.7493747194253819E-2</v>
      </c>
      <c r="BI632" s="842">
        <f t="shared" si="3247"/>
        <v>0.12037963552563746</v>
      </c>
      <c r="BJ632" s="842">
        <f t="shared" si="3255"/>
        <v>8.1869604048824041E-2</v>
      </c>
      <c r="BK632" s="842">
        <f t="shared" si="3248"/>
        <v>0.10016510731975781</v>
      </c>
      <c r="BL632" s="842">
        <f t="shared" si="3249"/>
        <v>4.4613215698758424E-2</v>
      </c>
      <c r="BM632" s="842">
        <f t="shared" si="3250"/>
        <v>0.13707009142359605</v>
      </c>
      <c r="BN632" s="842">
        <f t="shared" si="3251"/>
        <v>7.8890441640982356E-2</v>
      </c>
      <c r="BO632" s="842">
        <f t="shared" si="3252"/>
        <v>7.3583164768089793E-2</v>
      </c>
      <c r="BP632" s="842"/>
    </row>
    <row r="633" spans="2:69" s="7" customFormat="1">
      <c r="B633" s="841"/>
      <c r="D633" s="842"/>
      <c r="E633" s="842"/>
      <c r="F633" s="842"/>
      <c r="G633" s="842"/>
      <c r="H633" s="842"/>
      <c r="I633" s="842"/>
      <c r="J633" s="842"/>
      <c r="K633" s="842"/>
      <c r="L633" s="842"/>
      <c r="M633" s="842"/>
      <c r="N633" s="842"/>
      <c r="O633" s="842"/>
      <c r="P633" s="842"/>
      <c r="Q633" s="842"/>
      <c r="R633" s="842"/>
      <c r="S633" s="842"/>
      <c r="T633" s="842"/>
      <c r="U633" s="842"/>
      <c r="V633" s="842"/>
      <c r="W633" s="842"/>
      <c r="X633" s="842"/>
      <c r="Y633" s="842"/>
      <c r="Z633" s="842"/>
      <c r="AA633" s="842"/>
      <c r="AB633" s="842"/>
      <c r="AC633" s="842"/>
      <c r="AD633" s="842"/>
      <c r="AE633" s="842"/>
      <c r="AF633" s="842"/>
      <c r="AG633" s="842"/>
      <c r="AH633" s="842"/>
      <c r="AI633" s="842"/>
      <c r="AJ633" s="842"/>
      <c r="AK633" s="842"/>
      <c r="AL633" s="842"/>
      <c r="AM633" s="842"/>
      <c r="AN633" s="842"/>
      <c r="AO633" s="842"/>
      <c r="AP633" s="842"/>
      <c r="AQ633" s="842"/>
      <c r="AR633" s="842"/>
      <c r="AS633" s="842"/>
      <c r="AT633" s="842"/>
      <c r="AU633" s="842"/>
      <c r="AV633" s="842"/>
      <c r="AW633" s="842"/>
      <c r="AX633" s="842"/>
      <c r="AY633" s="842"/>
      <c r="AZ633" s="842"/>
      <c r="BA633" s="842"/>
      <c r="BB633" s="842"/>
      <c r="BC633" s="842"/>
      <c r="BD633" s="842"/>
      <c r="BE633" s="842"/>
      <c r="BF633" s="842"/>
      <c r="BG633" s="842"/>
      <c r="BH633" s="842"/>
      <c r="BI633" s="842"/>
      <c r="BJ633" s="842"/>
      <c r="BK633" s="842"/>
      <c r="BL633" s="842"/>
      <c r="BM633" s="842"/>
      <c r="BN633" s="842"/>
      <c r="BO633" s="842"/>
      <c r="BP633" s="842"/>
    </row>
    <row r="634" spans="2:69">
      <c r="B634" t="s">
        <v>457</v>
      </c>
      <c r="H634" s="911"/>
      <c r="I634" s="911"/>
      <c r="J634" s="911"/>
      <c r="K634" s="911"/>
      <c r="L634" s="911"/>
      <c r="M634" s="911"/>
      <c r="N634" s="911"/>
      <c r="O634" s="911"/>
      <c r="P634" s="911"/>
      <c r="Q634" s="911"/>
      <c r="R634" s="911"/>
      <c r="S634" s="911"/>
      <c r="T634" s="911"/>
      <c r="U634" s="911"/>
      <c r="V634" s="911"/>
      <c r="W634" s="911"/>
      <c r="X634" s="911"/>
      <c r="Y634" s="911">
        <v>0.1</v>
      </c>
      <c r="Z634" s="911">
        <v>0.12</v>
      </c>
      <c r="AA634" s="911">
        <v>0.12</v>
      </c>
      <c r="AB634" s="911">
        <v>0.14000000000000001</v>
      </c>
      <c r="AC634" s="911">
        <v>0.16</v>
      </c>
      <c r="AD634" s="911">
        <v>0.2</v>
      </c>
      <c r="AE634" s="911">
        <v>0.22</v>
      </c>
      <c r="AF634" s="911">
        <v>0.22</v>
      </c>
      <c r="AG634" s="911">
        <v>0.19</v>
      </c>
      <c r="AH634" s="911">
        <v>0.09</v>
      </c>
      <c r="AI634" s="911">
        <f>+AI646</f>
        <v>0</v>
      </c>
      <c r="AJ634" s="911">
        <v>-7.0000000000000007E-2</v>
      </c>
      <c r="AK634" s="911">
        <v>-0.02</v>
      </c>
      <c r="AL634" s="911">
        <v>-0.01</v>
      </c>
      <c r="AM634" s="911">
        <f>+AM636</f>
        <v>4.2095159742218557E-2</v>
      </c>
      <c r="AN634" s="911"/>
      <c r="AO634" s="911"/>
      <c r="AP634" s="911"/>
      <c r="AQ634" s="911"/>
      <c r="BH634" s="912">
        <f>+BH646</f>
        <v>8.7719298245614086E-2</v>
      </c>
      <c r="BI634" s="912">
        <f t="shared" ref="BI634:BO634" si="3256">+BI646</f>
        <v>5.6451612903225756E-2</v>
      </c>
      <c r="BJ634" s="912">
        <f t="shared" si="3256"/>
        <v>9.92366412213741E-2</v>
      </c>
      <c r="BK634" s="912">
        <f t="shared" si="3256"/>
        <v>0.13194444444444442</v>
      </c>
      <c r="BL634" s="912">
        <f t="shared" si="3256"/>
        <v>0.11042944785276076</v>
      </c>
      <c r="BM634" s="912">
        <f t="shared" si="3256"/>
        <v>0.22099447513812165</v>
      </c>
      <c r="BN634" s="912">
        <f t="shared" si="3256"/>
        <v>0</v>
      </c>
      <c r="BO634" s="912">
        <f t="shared" si="3256"/>
        <v>3.167420814479649E-2</v>
      </c>
      <c r="BP634" s="912"/>
    </row>
    <row r="635" spans="2:69">
      <c r="B635" t="s">
        <v>458</v>
      </c>
      <c r="H635" s="911"/>
      <c r="I635" s="911"/>
      <c r="J635" s="911"/>
      <c r="K635" s="911"/>
      <c r="L635" s="911"/>
      <c r="M635" s="911"/>
      <c r="N635" s="911"/>
      <c r="O635" s="911"/>
      <c r="P635" s="911"/>
      <c r="Q635" s="911"/>
      <c r="R635" s="911"/>
      <c r="S635" s="911"/>
      <c r="T635" s="911"/>
      <c r="U635" s="911"/>
      <c r="V635" s="911"/>
      <c r="W635" s="911"/>
      <c r="X635" s="911"/>
      <c r="Y635" s="911"/>
      <c r="Z635" s="911"/>
      <c r="AA635" s="911"/>
      <c r="AB635" s="911"/>
      <c r="AC635" s="911"/>
      <c r="AD635" s="911">
        <f>+AD634-4%</f>
        <v>0.16</v>
      </c>
      <c r="AE635" s="911">
        <f>+AE634-6%</f>
        <v>0.16</v>
      </c>
      <c r="AF635" s="911">
        <f>+AF634-6%</f>
        <v>0.16</v>
      </c>
      <c r="AG635" s="911">
        <f t="shared" ref="AG635" si="3257">+AG634-6%</f>
        <v>0.13</v>
      </c>
      <c r="AH635" s="911"/>
      <c r="AI635" s="911"/>
      <c r="AJ635" s="911"/>
      <c r="AK635" s="911"/>
      <c r="AL635" s="911"/>
      <c r="AM635" s="911"/>
      <c r="AN635" s="911"/>
      <c r="AO635" s="911"/>
      <c r="AP635" s="911"/>
      <c r="AQ635" s="911"/>
      <c r="BH635" s="912"/>
      <c r="BI635" s="912"/>
      <c r="BJ635" s="912"/>
      <c r="BK635" s="912"/>
      <c r="BL635" s="912"/>
      <c r="BM635" s="912">
        <f>+AE635</f>
        <v>0.16</v>
      </c>
      <c r="BN635" s="912"/>
      <c r="BO635" s="912"/>
      <c r="BP635" s="912"/>
    </row>
    <row r="636" spans="2:69">
      <c r="B636" t="s">
        <v>459</v>
      </c>
      <c r="H636" s="911"/>
      <c r="I636" s="911"/>
      <c r="J636" s="911"/>
      <c r="K636" s="911"/>
      <c r="L636" s="911"/>
      <c r="M636" s="911"/>
      <c r="N636" s="911"/>
      <c r="O636" s="911"/>
      <c r="P636" s="911"/>
      <c r="Q636" s="911"/>
      <c r="R636" s="911"/>
      <c r="S636" s="911"/>
      <c r="T636" s="911"/>
      <c r="U636" s="911"/>
      <c r="V636" s="911"/>
      <c r="W636" s="911"/>
      <c r="X636" s="911"/>
      <c r="Y636" s="911"/>
      <c r="Z636" s="911"/>
      <c r="AA636" s="911"/>
      <c r="AB636" s="911"/>
      <c r="AC636" s="911"/>
      <c r="AD636" s="911"/>
      <c r="AE636" s="911"/>
      <c r="AF636" s="228">
        <f>+AF641/AE641-1</f>
        <v>0</v>
      </c>
      <c r="AG636" s="911" t="s">
        <v>460</v>
      </c>
      <c r="AH636" s="228">
        <f t="shared" ref="AH636:AM636" si="3258">+AH641/AG641-1</f>
        <v>0</v>
      </c>
      <c r="AI636" s="228">
        <f t="shared" si="3258"/>
        <v>0</v>
      </c>
      <c r="AJ636" s="228">
        <f t="shared" si="3258"/>
        <v>-6.9999999999999951E-2</v>
      </c>
      <c r="AK636" s="228">
        <f t="shared" si="3258"/>
        <v>5.3763440860215006E-2</v>
      </c>
      <c r="AL636" s="228">
        <f t="shared" si="3258"/>
        <v>1.0204081632652962E-2</v>
      </c>
      <c r="AM636" s="228">
        <f t="shared" si="3258"/>
        <v>4.2095159742218557E-2</v>
      </c>
      <c r="AN636" s="911"/>
      <c r="AO636" s="911"/>
      <c r="AP636" s="911"/>
      <c r="AQ636" s="911"/>
      <c r="BH636" s="912"/>
      <c r="BI636" s="912"/>
      <c r="BJ636" s="912"/>
      <c r="BK636" s="912"/>
      <c r="BL636" s="912"/>
      <c r="BM636" s="912"/>
      <c r="BN636" s="912"/>
      <c r="BO636" s="912"/>
      <c r="BP636" s="912"/>
    </row>
    <row r="637" spans="2:69">
      <c r="H637" s="911"/>
      <c r="I637" s="911"/>
      <c r="J637" s="911"/>
      <c r="K637" s="911"/>
      <c r="L637" s="911"/>
      <c r="M637" s="911"/>
      <c r="N637" s="911"/>
      <c r="O637" s="911"/>
      <c r="P637" s="911"/>
      <c r="Q637" s="911"/>
      <c r="R637" s="911"/>
      <c r="S637" s="911"/>
      <c r="T637" s="911"/>
      <c r="U637" s="911"/>
      <c r="V637" s="911"/>
      <c r="W637" s="911"/>
      <c r="X637" s="911"/>
      <c r="Y637" s="911"/>
      <c r="Z637" s="911"/>
      <c r="AA637" s="911"/>
      <c r="AB637" s="911"/>
      <c r="AC637" s="911"/>
      <c r="AD637" s="911"/>
      <c r="AE637" s="911"/>
      <c r="AF637" s="911"/>
      <c r="AG637" s="911"/>
      <c r="AH637" s="911"/>
      <c r="AI637" s="911"/>
      <c r="AJ637" s="911"/>
      <c r="AK637" s="911"/>
      <c r="AL637" s="911"/>
      <c r="AM637" s="911"/>
      <c r="AN637" s="911"/>
      <c r="AO637" s="911"/>
      <c r="AP637" s="911"/>
      <c r="AQ637" s="911"/>
      <c r="BH637" s="912"/>
      <c r="BI637" s="912"/>
      <c r="BJ637" s="912"/>
      <c r="BK637" s="912"/>
      <c r="BL637" s="912"/>
      <c r="BM637" s="912"/>
      <c r="BN637" s="912"/>
      <c r="BO637" s="912"/>
      <c r="BP637" s="912"/>
    </row>
    <row r="638" spans="2:69" ht="10.5">
      <c r="B638" s="45" t="s">
        <v>461</v>
      </c>
      <c r="H638" s="911"/>
      <c r="I638" s="911"/>
      <c r="J638" s="911"/>
      <c r="K638" s="911"/>
      <c r="L638" s="911"/>
      <c r="M638" s="911"/>
      <c r="N638" s="911"/>
      <c r="O638" s="911"/>
      <c r="P638" s="911"/>
      <c r="Q638" s="911"/>
      <c r="R638" s="911"/>
      <c r="S638" s="911"/>
      <c r="T638" s="911"/>
      <c r="U638" s="911"/>
      <c r="V638" s="911"/>
      <c r="W638" s="911"/>
      <c r="X638" s="911"/>
      <c r="Y638" s="911"/>
      <c r="Z638" s="911"/>
      <c r="AA638" s="911"/>
      <c r="AB638" s="911"/>
      <c r="AC638" s="911"/>
      <c r="AD638" s="911"/>
      <c r="AE638" s="911"/>
      <c r="AF638" s="911"/>
      <c r="AG638" s="911"/>
      <c r="AH638" s="911"/>
      <c r="AI638" s="911"/>
      <c r="AJ638" s="911"/>
      <c r="AK638" s="911"/>
      <c r="AL638" s="911"/>
      <c r="AM638" s="911"/>
      <c r="AN638" s="911"/>
      <c r="AO638" s="911"/>
      <c r="AP638" s="911"/>
      <c r="AQ638" s="911"/>
      <c r="BH638" s="912"/>
      <c r="BI638" s="912"/>
      <c r="BJ638" s="912"/>
      <c r="BK638" s="912"/>
      <c r="BL638" s="912"/>
      <c r="BM638" s="912"/>
      <c r="BN638" s="912"/>
      <c r="BO638" s="912"/>
      <c r="BP638" s="912"/>
    </row>
    <row r="639" spans="2:69" ht="13.5">
      <c r="B639" t="s">
        <v>462</v>
      </c>
      <c r="H639" s="903"/>
      <c r="I639" s="821"/>
      <c r="J639" s="31"/>
      <c r="K639" s="31"/>
      <c r="L639" s="879"/>
      <c r="M639" s="879"/>
      <c r="N639" s="879"/>
      <c r="O639" s="880">
        <f>+BI639</f>
        <v>78000</v>
      </c>
      <c r="P639" s="880"/>
      <c r="Q639" s="880"/>
      <c r="R639" s="880"/>
      <c r="S639" s="880">
        <f>+BJ639</f>
        <v>85000</v>
      </c>
      <c r="T639" s="880"/>
      <c r="U639" s="880"/>
      <c r="V639" s="880"/>
      <c r="W639" s="880">
        <f>+BK639</f>
        <v>96000</v>
      </c>
      <c r="X639" s="880"/>
      <c r="Y639" s="880"/>
      <c r="Z639" s="880"/>
      <c r="AA639" s="880">
        <f>+BL639</f>
        <v>103000</v>
      </c>
      <c r="AB639" s="880"/>
      <c r="AC639" s="880"/>
      <c r="AD639" s="880"/>
      <c r="AE639" s="880">
        <f>+BM639</f>
        <v>122000</v>
      </c>
      <c r="AF639" s="879"/>
      <c r="AG639" s="879"/>
      <c r="AH639" s="879"/>
      <c r="AI639" s="880">
        <f>+BN639</f>
        <v>120000</v>
      </c>
      <c r="AJ639" s="879"/>
      <c r="AK639" s="879"/>
      <c r="AL639" s="879"/>
      <c r="AM639" s="880">
        <f>+BO639</f>
        <v>126000</v>
      </c>
      <c r="AN639" s="879"/>
      <c r="AO639" s="879"/>
      <c r="AP639" s="879"/>
      <c r="AQ639" s="879"/>
      <c r="BB639" s="879"/>
      <c r="BC639" s="879"/>
      <c r="BD639" s="879"/>
      <c r="BE639" s="879"/>
      <c r="BF639" s="879"/>
      <c r="BG639" s="856">
        <v>63000</v>
      </c>
      <c r="BH639" s="856">
        <v>73000</v>
      </c>
      <c r="BI639" s="880">
        <v>78000</v>
      </c>
      <c r="BJ639" s="880">
        <v>85000</v>
      </c>
      <c r="BK639" s="880">
        <v>96000</v>
      </c>
      <c r="BL639" s="880">
        <v>103000</v>
      </c>
      <c r="BM639" s="880">
        <v>122000</v>
      </c>
      <c r="BN639" s="880">
        <v>120000</v>
      </c>
      <c r="BO639" s="8">
        <v>126000</v>
      </c>
      <c r="BP639" s="8"/>
      <c r="BQ639" s="8"/>
    </row>
    <row r="640" spans="2:69" s="852" customFormat="1">
      <c r="B640" t="s">
        <v>463</v>
      </c>
      <c r="H640" s="853"/>
      <c r="I640" s="853"/>
      <c r="J640" s="853"/>
      <c r="K640" s="853"/>
      <c r="L640" s="853"/>
      <c r="M640" s="853"/>
      <c r="N640" s="853"/>
      <c r="O640" s="940">
        <f t="shared" ref="O640:O641" si="3259">+BI640</f>
        <v>53000</v>
      </c>
      <c r="P640" s="940"/>
      <c r="Q640" s="940"/>
      <c r="R640" s="940"/>
      <c r="S640" s="940">
        <f t="shared" ref="S640:S641" si="3260">+BJ640</f>
        <v>59000</v>
      </c>
      <c r="T640" s="940"/>
      <c r="U640" s="940"/>
      <c r="V640" s="940"/>
      <c r="W640" s="940">
        <f t="shared" ref="W640:W641" si="3261">+BK640</f>
        <v>67000</v>
      </c>
      <c r="X640" s="940"/>
      <c r="Y640" s="940"/>
      <c r="Z640" s="940"/>
      <c r="AA640" s="940">
        <f t="shared" ref="AA640:AA641" si="3262">+BL640</f>
        <v>78000</v>
      </c>
      <c r="AB640" s="940"/>
      <c r="AC640" s="940"/>
      <c r="AD640" s="940"/>
      <c r="AE640" s="940">
        <f t="shared" ref="AE640:AE641" si="3263">+BM640</f>
        <v>99000</v>
      </c>
      <c r="AF640" s="853"/>
      <c r="AG640" s="853"/>
      <c r="AH640" s="853"/>
      <c r="AI640" s="940">
        <f t="shared" ref="AI640:AI641" si="3264">+BN640</f>
        <v>101000</v>
      </c>
      <c r="AJ640" s="853"/>
      <c r="AK640" s="853"/>
      <c r="AL640" s="853"/>
      <c r="AM640" s="853">
        <f t="shared" ref="AM640:AM641" si="3265">+BO640</f>
        <v>102000</v>
      </c>
      <c r="AN640" s="853"/>
      <c r="AO640" s="853"/>
      <c r="AP640" s="853"/>
      <c r="AQ640" s="853"/>
      <c r="AR640" s="1001"/>
      <c r="AS640" s="1001"/>
      <c r="AT640" s="1001"/>
      <c r="AU640" s="1001"/>
      <c r="AV640" s="1001"/>
      <c r="AW640" s="1001"/>
      <c r="AX640" s="1001"/>
      <c r="AY640" s="1001"/>
      <c r="AZ640" s="1001"/>
      <c r="BA640" s="1001"/>
      <c r="BB640" s="1001"/>
      <c r="BC640" s="1001"/>
      <c r="BD640" s="1001"/>
      <c r="BE640" s="1001"/>
      <c r="BF640" s="1001"/>
      <c r="BG640" s="1001">
        <v>51000</v>
      </c>
      <c r="BH640" s="1001">
        <v>51000</v>
      </c>
      <c r="BI640" s="853">
        <v>53000</v>
      </c>
      <c r="BJ640" s="853">
        <v>59000</v>
      </c>
      <c r="BK640" s="1000">
        <v>67000</v>
      </c>
      <c r="BL640" s="1000">
        <v>78000</v>
      </c>
      <c r="BM640" s="1000">
        <v>99000</v>
      </c>
      <c r="BN640" s="1000">
        <v>101000</v>
      </c>
      <c r="BO640" s="853">
        <v>102000</v>
      </c>
      <c r="BP640" s="853"/>
    </row>
    <row r="641" spans="2:69" s="1" customFormat="1" ht="10.5">
      <c r="B641" s="837" t="s">
        <v>464</v>
      </c>
      <c r="D641" s="838"/>
      <c r="E641" s="838"/>
      <c r="F641" s="838"/>
      <c r="G641" s="838"/>
      <c r="H641" s="838"/>
      <c r="I641" s="838"/>
      <c r="J641" s="838"/>
      <c r="K641" s="838"/>
      <c r="L641" s="838"/>
      <c r="M641" s="838"/>
      <c r="N641" s="838"/>
      <c r="O641" s="849">
        <f t="shared" si="3259"/>
        <v>131000</v>
      </c>
      <c r="P641" s="849"/>
      <c r="Q641" s="849"/>
      <c r="R641" s="849"/>
      <c r="S641" s="849">
        <f t="shared" si="3260"/>
        <v>144000</v>
      </c>
      <c r="T641" s="849"/>
      <c r="U641" s="849">
        <f t="shared" ref="U641" si="3266">+Y641/(1+Y634)</f>
        <v>145544.11106135242</v>
      </c>
      <c r="V641" s="849">
        <f t="shared" ref="V641" si="3267">+Z641/(1+Z634)</f>
        <v>150857.36129314109</v>
      </c>
      <c r="W641" s="849">
        <f t="shared" si="3261"/>
        <v>163000</v>
      </c>
      <c r="X641" s="849">
        <f t="shared" ref="X641:Z641" si="3268">+AB641/(1+AB634)</f>
        <v>158901.35174000575</v>
      </c>
      <c r="Y641" s="849">
        <f t="shared" si="3268"/>
        <v>160098.52216748768</v>
      </c>
      <c r="Z641" s="849">
        <f t="shared" si="3268"/>
        <v>168960.24464831804</v>
      </c>
      <c r="AA641" s="849">
        <f t="shared" si="3262"/>
        <v>181000</v>
      </c>
      <c r="AB641" s="849">
        <f>+AF641/(1+AF634)</f>
        <v>181147.54098360657</v>
      </c>
      <c r="AC641" s="849">
        <f t="shared" ref="AC641:AD641" si="3269">+AG641/(1+AG634)</f>
        <v>185714.28571428571</v>
      </c>
      <c r="AD641" s="849">
        <f t="shared" si="3269"/>
        <v>202752.29357798165</v>
      </c>
      <c r="AE641" s="849">
        <f t="shared" si="3263"/>
        <v>221000</v>
      </c>
      <c r="AF641" s="1221">
        <f>+AE641</f>
        <v>221000</v>
      </c>
      <c r="AG641" s="1221">
        <f t="shared" ref="AG641:AH641" si="3270">+AF641</f>
        <v>221000</v>
      </c>
      <c r="AH641" s="1221">
        <f t="shared" si="3270"/>
        <v>221000</v>
      </c>
      <c r="AI641" s="849">
        <f t="shared" si="3264"/>
        <v>221000</v>
      </c>
      <c r="AJ641" s="838">
        <f>+AF641*(1+AJ634)</f>
        <v>205530</v>
      </c>
      <c r="AK641" s="838">
        <f t="shared" ref="AK641:AL641" si="3271">+AG641*(1+AK634)</f>
        <v>216580</v>
      </c>
      <c r="AL641" s="838">
        <f t="shared" si="3271"/>
        <v>218790</v>
      </c>
      <c r="AM641" s="838">
        <f t="shared" si="3265"/>
        <v>228000</v>
      </c>
      <c r="AN641" s="838"/>
      <c r="AO641" s="838"/>
      <c r="AP641" s="838"/>
      <c r="AQ641" s="838"/>
      <c r="AR641" s="838"/>
      <c r="AS641" s="838"/>
      <c r="AT641" s="838"/>
      <c r="AU641" s="838"/>
      <c r="AV641" s="838"/>
      <c r="AW641" s="838"/>
      <c r="AX641" s="838"/>
      <c r="AY641" s="838"/>
      <c r="AZ641" s="838"/>
      <c r="BA641" s="838"/>
      <c r="BB641" s="838"/>
      <c r="BC641" s="838"/>
      <c r="BD641" s="838"/>
      <c r="BE641" s="838"/>
      <c r="BF641" s="838"/>
      <c r="BG641" s="838">
        <f t="shared" ref="BG641:BL641" si="3272">+SUM(BG639:BG640)</f>
        <v>114000</v>
      </c>
      <c r="BH641" s="838">
        <f t="shared" si="3272"/>
        <v>124000</v>
      </c>
      <c r="BI641" s="838">
        <f t="shared" si="3272"/>
        <v>131000</v>
      </c>
      <c r="BJ641" s="838">
        <f t="shared" si="3272"/>
        <v>144000</v>
      </c>
      <c r="BK641" s="838">
        <f t="shared" si="3272"/>
        <v>163000</v>
      </c>
      <c r="BL641" s="838">
        <f t="shared" si="3272"/>
        <v>181000</v>
      </c>
      <c r="BM641" s="838">
        <f>+SUM(BM639:BM640)</f>
        <v>221000</v>
      </c>
      <c r="BN641" s="838">
        <v>221000</v>
      </c>
      <c r="BO641" s="838">
        <f>+SUM(BO639:BO640)</f>
        <v>228000</v>
      </c>
      <c r="BP641" s="838"/>
    </row>
    <row r="642" spans="2:69" ht="10.5">
      <c r="H642" s="911"/>
      <c r="I642" s="911"/>
      <c r="J642" s="911"/>
      <c r="K642" s="911"/>
      <c r="L642" s="911"/>
      <c r="M642" s="911"/>
      <c r="N642" s="911"/>
      <c r="O642" s="911"/>
      <c r="P642" s="911"/>
      <c r="Q642" s="911"/>
      <c r="R642" s="911"/>
      <c r="S642" s="911"/>
      <c r="T642" s="911"/>
      <c r="U642" s="911"/>
      <c r="V642" s="911"/>
      <c r="W642" s="911"/>
      <c r="X642" s="911"/>
      <c r="Y642" s="911"/>
      <c r="Z642" s="911"/>
      <c r="AA642" s="911"/>
      <c r="AB642" s="911"/>
      <c r="AC642" s="911"/>
      <c r="AD642" s="911"/>
      <c r="AE642" s="911"/>
      <c r="AF642" s="911"/>
      <c r="AG642" s="1221"/>
      <c r="AH642" s="911"/>
      <c r="AI642" s="911"/>
      <c r="AJ642" s="911"/>
      <c r="AK642" s="911"/>
      <c r="AL642" s="911"/>
      <c r="AM642" s="911"/>
      <c r="AN642" s="911"/>
      <c r="AO642" s="911"/>
      <c r="AP642" s="911"/>
      <c r="AQ642" s="911"/>
      <c r="BH642" s="912"/>
      <c r="BI642" s="912"/>
      <c r="BJ642" s="912"/>
      <c r="BK642" s="912"/>
      <c r="BL642" s="912"/>
      <c r="BM642" s="912"/>
      <c r="BN642" s="912"/>
      <c r="BO642" s="912"/>
      <c r="BP642" s="912"/>
    </row>
    <row r="643" spans="2:69" s="3" customFormat="1">
      <c r="B643" s="883" t="s">
        <v>113</v>
      </c>
    </row>
    <row r="644" spans="2:69" s="3" customFormat="1">
      <c r="B644" s="884" t="str">
        <f>+B639</f>
        <v>US</v>
      </c>
      <c r="L644" s="228"/>
      <c r="M644" s="228"/>
      <c r="N644" s="228"/>
      <c r="O644" s="228">
        <f>+BI644</f>
        <v>6.8493150684931559E-2</v>
      </c>
      <c r="P644" s="228"/>
      <c r="Q644" s="228"/>
      <c r="R644" s="228"/>
      <c r="S644" s="228">
        <f>+S639/O639-1</f>
        <v>8.9743589743589647E-2</v>
      </c>
      <c r="T644" s="228"/>
      <c r="U644" s="228"/>
      <c r="V644" s="228"/>
      <c r="W644" s="228">
        <f>+W639/S639-1</f>
        <v>0.12941176470588234</v>
      </c>
      <c r="X644" s="228"/>
      <c r="Y644" s="228"/>
      <c r="Z644" s="228"/>
      <c r="AA644" s="228">
        <f>+AA639/W639-1</f>
        <v>7.2916666666666741E-2</v>
      </c>
      <c r="AB644" s="228"/>
      <c r="AC644" s="228"/>
      <c r="AD644" s="228"/>
      <c r="AE644" s="228">
        <f>+AE639/AA639-1</f>
        <v>0.18446601941747565</v>
      </c>
      <c r="AF644" s="228"/>
      <c r="AG644" s="228"/>
      <c r="AH644" s="228"/>
      <c r="AI644" s="228">
        <f>+AI639/AE639-1</f>
        <v>-1.6393442622950838E-2</v>
      </c>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f t="shared" ref="BH644:BH645" si="3273">+IFERROR(BH639/BG639-1,"NA ")</f>
        <v>0.15873015873015883</v>
      </c>
      <c r="BI644" s="228">
        <f t="shared" ref="BH644:BI646" si="3274">+IFERROR(BI639/BH639-1,"NA ")</f>
        <v>6.8493150684931559E-2</v>
      </c>
      <c r="BJ644" s="228">
        <f t="shared" ref="BJ644:BJ646" si="3275">+IFERROR(BJ639/BI639-1,"NA ")</f>
        <v>8.9743589743589647E-2</v>
      </c>
      <c r="BK644" s="228">
        <f t="shared" ref="BK644:BK646" si="3276">+IFERROR(BK639/BJ639-1,"NA ")</f>
        <v>0.12941176470588234</v>
      </c>
      <c r="BL644" s="228">
        <f t="shared" ref="BL644:BL646" si="3277">+IFERROR(BL639/BK639-1,"NA ")</f>
        <v>7.2916666666666741E-2</v>
      </c>
      <c r="BM644" s="228">
        <f t="shared" ref="BM644:BM646" si="3278">+IFERROR(BM639/BL639-1,"NA ")</f>
        <v>0.18446601941747565</v>
      </c>
      <c r="BN644" s="228">
        <f t="shared" ref="BN644:BN646" si="3279">+IFERROR(BN639/BM639-1,"NA ")</f>
        <v>-1.6393442622950838E-2</v>
      </c>
      <c r="BO644" s="228">
        <f t="shared" ref="BO644:BO646" si="3280">+IFERROR(BO639/BN639-1,"NA ")</f>
        <v>5.0000000000000044E-2</v>
      </c>
      <c r="BP644" s="228"/>
    </row>
    <row r="645" spans="2:69" s="3" customFormat="1" ht="11.45">
      <c r="B645" s="884" t="str">
        <f t="shared" ref="B645:B646" si="3281">+B640</f>
        <v>International</v>
      </c>
      <c r="L645" s="840"/>
      <c r="M645" s="840"/>
      <c r="N645" s="840"/>
      <c r="O645" s="840">
        <f t="shared" ref="O645:O646" si="3282">+BI645</f>
        <v>3.9215686274509887E-2</v>
      </c>
      <c r="P645" s="840"/>
      <c r="Q645" s="840"/>
      <c r="R645" s="840"/>
      <c r="S645" s="840">
        <f t="shared" ref="S645:S646" si="3283">+S640/O640-1</f>
        <v>0.1132075471698113</v>
      </c>
      <c r="T645" s="840"/>
      <c r="U645" s="840"/>
      <c r="V645" s="840"/>
      <c r="W645" s="840">
        <f t="shared" ref="W645:W646" si="3284">+W640/S640-1</f>
        <v>0.13559322033898313</v>
      </c>
      <c r="X645" s="840"/>
      <c r="Y645" s="840"/>
      <c r="Z645" s="840"/>
      <c r="AA645" s="840">
        <f t="shared" ref="AA645:AA646" si="3285">+AA640/W640-1</f>
        <v>0.16417910447761197</v>
      </c>
      <c r="AB645" s="840"/>
      <c r="AC645" s="840"/>
      <c r="AD645" s="840"/>
      <c r="AE645" s="840">
        <f t="shared" ref="AE645:AE646" si="3286">+AE640/AA640-1</f>
        <v>0.26923076923076916</v>
      </c>
      <c r="AF645" s="840"/>
      <c r="AG645" s="840"/>
      <c r="AH645" s="840"/>
      <c r="AI645" s="840">
        <f t="shared" ref="AI645:AI646" si="3287">+AI640/AE640-1</f>
        <v>2.020202020202011E-2</v>
      </c>
      <c r="AJ645" s="840"/>
      <c r="AK645" s="840"/>
      <c r="AL645" s="840"/>
      <c r="AM645" s="840"/>
      <c r="AN645" s="840"/>
      <c r="AO645" s="840"/>
      <c r="AP645" s="840"/>
      <c r="AQ645" s="840"/>
      <c r="AR645" s="840"/>
      <c r="AS645" s="840"/>
      <c r="AT645" s="840"/>
      <c r="AU645" s="840"/>
      <c r="AV645" s="840"/>
      <c r="AW645" s="840"/>
      <c r="AX645" s="840"/>
      <c r="AY645" s="840"/>
      <c r="AZ645" s="840"/>
      <c r="BA645" s="840"/>
      <c r="BB645" s="840"/>
      <c r="BC645" s="840"/>
      <c r="BD645" s="840"/>
      <c r="BE645" s="840"/>
      <c r="BF645" s="840"/>
      <c r="BG645" s="840"/>
      <c r="BH645" s="840">
        <f t="shared" si="3273"/>
        <v>0</v>
      </c>
      <c r="BI645" s="840">
        <f t="shared" si="3274"/>
        <v>3.9215686274509887E-2</v>
      </c>
      <c r="BJ645" s="840">
        <f t="shared" si="3275"/>
        <v>0.1132075471698113</v>
      </c>
      <c r="BK645" s="840">
        <f t="shared" si="3276"/>
        <v>0.13559322033898313</v>
      </c>
      <c r="BL645" s="840">
        <f t="shared" si="3277"/>
        <v>0.16417910447761197</v>
      </c>
      <c r="BM645" s="840">
        <f t="shared" si="3278"/>
        <v>0.26923076923076916</v>
      </c>
      <c r="BN645" s="840">
        <f t="shared" si="3279"/>
        <v>2.020202020202011E-2</v>
      </c>
      <c r="BO645" s="840">
        <f t="shared" si="3280"/>
        <v>9.9009900990099098E-3</v>
      </c>
      <c r="BP645" s="840"/>
    </row>
    <row r="646" spans="2:69" s="7" customFormat="1">
      <c r="B646" s="887" t="str">
        <f t="shared" si="3281"/>
        <v>Total Employees</v>
      </c>
      <c r="L646" s="842"/>
      <c r="M646" s="842"/>
      <c r="N646" s="842"/>
      <c r="O646" s="842">
        <f t="shared" si="3282"/>
        <v>5.6451612903225756E-2</v>
      </c>
      <c r="P646" s="842"/>
      <c r="Q646" s="842"/>
      <c r="R646" s="842"/>
      <c r="S646" s="842">
        <f t="shared" si="3283"/>
        <v>9.92366412213741E-2</v>
      </c>
      <c r="T646" s="842"/>
      <c r="U646" s="842"/>
      <c r="V646" s="842"/>
      <c r="W646" s="842">
        <f t="shared" si="3284"/>
        <v>0.13194444444444442</v>
      </c>
      <c r="X646" s="842"/>
      <c r="Y646" s="842"/>
      <c r="Z646" s="842"/>
      <c r="AA646" s="842">
        <f t="shared" si="3285"/>
        <v>0.11042944785276076</v>
      </c>
      <c r="AB646" s="842"/>
      <c r="AC646" s="842"/>
      <c r="AD646" s="842"/>
      <c r="AE646" s="842">
        <f t="shared" si="3286"/>
        <v>0.22099447513812165</v>
      </c>
      <c r="AF646" s="842"/>
      <c r="AG646" s="842"/>
      <c r="AH646" s="842"/>
      <c r="AI646" s="842">
        <f t="shared" si="3287"/>
        <v>0</v>
      </c>
      <c r="AJ646" s="842"/>
      <c r="AK646" s="842"/>
      <c r="AL646" s="842"/>
      <c r="AM646" s="842"/>
      <c r="AN646" s="842"/>
      <c r="AO646" s="842"/>
      <c r="AP646" s="842"/>
      <c r="AQ646" s="842"/>
      <c r="AR646" s="842"/>
      <c r="AS646" s="842"/>
      <c r="AT646" s="842"/>
      <c r="AU646" s="842"/>
      <c r="AV646" s="842"/>
      <c r="AW646" s="842"/>
      <c r="AX646" s="842"/>
      <c r="AY646" s="842"/>
      <c r="AZ646" s="842"/>
      <c r="BA646" s="842"/>
      <c r="BB646" s="842"/>
      <c r="BC646" s="842"/>
      <c r="BD646" s="842"/>
      <c r="BE646" s="842"/>
      <c r="BF646" s="842"/>
      <c r="BG646" s="842"/>
      <c r="BH646" s="842">
        <f t="shared" si="3274"/>
        <v>8.7719298245614086E-2</v>
      </c>
      <c r="BI646" s="842">
        <f t="shared" si="3274"/>
        <v>5.6451612903225756E-2</v>
      </c>
      <c r="BJ646" s="842">
        <f t="shared" si="3275"/>
        <v>9.92366412213741E-2</v>
      </c>
      <c r="BK646" s="842">
        <f t="shared" si="3276"/>
        <v>0.13194444444444442</v>
      </c>
      <c r="BL646" s="842">
        <f t="shared" si="3277"/>
        <v>0.11042944785276076</v>
      </c>
      <c r="BM646" s="842">
        <f t="shared" si="3278"/>
        <v>0.22099447513812165</v>
      </c>
      <c r="BN646" s="842">
        <f t="shared" si="3279"/>
        <v>0</v>
      </c>
      <c r="BO646" s="842">
        <f t="shared" si="3280"/>
        <v>3.167420814479649E-2</v>
      </c>
      <c r="BP646" s="842"/>
    </row>
    <row r="647" spans="2:69">
      <c r="H647" s="911"/>
      <c r="I647" s="911"/>
      <c r="J647" s="911"/>
      <c r="K647" s="911"/>
      <c r="L647" s="911"/>
      <c r="M647" s="911"/>
      <c r="N647" s="911"/>
      <c r="O647" s="911"/>
      <c r="P647" s="911"/>
      <c r="Q647" s="911"/>
      <c r="R647" s="911"/>
      <c r="S647" s="911"/>
      <c r="T647" s="911"/>
      <c r="U647" s="911"/>
      <c r="V647" s="911"/>
      <c r="W647" s="911"/>
      <c r="X647" s="911"/>
      <c r="Y647" s="911"/>
      <c r="Z647" s="911"/>
      <c r="AA647" s="911"/>
      <c r="AB647" s="911"/>
      <c r="AC647" s="911"/>
      <c r="AD647" s="911"/>
      <c r="AE647" s="911"/>
      <c r="AF647" s="911"/>
      <c r="AG647" s="911"/>
      <c r="AH647" s="911"/>
      <c r="AI647" s="911"/>
      <c r="AJ647" s="911"/>
      <c r="AK647" s="911"/>
      <c r="AL647" s="911"/>
      <c r="AM647" s="911"/>
      <c r="AN647" s="911"/>
      <c r="AO647" s="911"/>
      <c r="AP647" s="911"/>
      <c r="AQ647" s="911"/>
      <c r="BH647" s="912"/>
      <c r="BI647" s="912"/>
      <c r="BJ647" s="912"/>
      <c r="BK647" s="912"/>
      <c r="BL647" s="912"/>
      <c r="BM647" s="912"/>
      <c r="BN647" s="912"/>
      <c r="BO647" s="912"/>
      <c r="BP647" s="912"/>
    </row>
    <row r="648" spans="2:69" ht="10.5">
      <c r="B648" s="45" t="s">
        <v>461</v>
      </c>
      <c r="H648" s="911"/>
      <c r="I648" s="911"/>
      <c r="J648" s="911"/>
      <c r="K648" s="911"/>
      <c r="L648" s="911"/>
      <c r="M648" s="911"/>
      <c r="N648" s="911"/>
      <c r="O648" s="911"/>
      <c r="P648" s="911"/>
      <c r="Q648" s="911"/>
      <c r="R648" s="911"/>
      <c r="S648" s="911"/>
      <c r="T648" s="911"/>
      <c r="U648" s="911"/>
      <c r="V648" s="911"/>
      <c r="W648" s="911"/>
      <c r="X648" s="911"/>
      <c r="Y648" s="911"/>
      <c r="Z648" s="911"/>
      <c r="AA648" s="911"/>
      <c r="AB648" s="911"/>
      <c r="AC648" s="911"/>
      <c r="AD648" s="911"/>
      <c r="AE648" s="911"/>
      <c r="AF648" s="911"/>
      <c r="AG648" s="911"/>
      <c r="AH648" s="911"/>
      <c r="AI648" s="911"/>
      <c r="AJ648" s="911"/>
      <c r="AK648" s="911"/>
      <c r="AL648" s="911"/>
      <c r="AM648" s="911"/>
      <c r="AN648" s="911"/>
      <c r="AO648" s="911"/>
      <c r="AP648" s="911"/>
      <c r="AQ648" s="911"/>
      <c r="BH648" s="912"/>
      <c r="BI648" s="912"/>
      <c r="BJ648" s="912"/>
      <c r="BK648" s="912"/>
      <c r="BL648" s="912"/>
      <c r="BM648" s="912"/>
      <c r="BN648" s="912"/>
      <c r="BO648" s="912"/>
      <c r="BP648" s="912"/>
    </row>
    <row r="649" spans="2:69" ht="13.5">
      <c r="B649" t="s">
        <v>465</v>
      </c>
      <c r="H649" s="903"/>
      <c r="I649" s="821"/>
      <c r="J649" s="31"/>
      <c r="K649" s="31"/>
      <c r="L649" s="879"/>
      <c r="M649" s="879"/>
      <c r="N649" s="879"/>
      <c r="O649" s="880">
        <f>+BI649</f>
        <v>36000</v>
      </c>
      <c r="P649" s="880"/>
      <c r="Q649" s="880"/>
      <c r="R649" s="880"/>
      <c r="S649" s="880">
        <f>+BJ649</f>
        <v>38000</v>
      </c>
      <c r="T649" s="880"/>
      <c r="U649" s="880"/>
      <c r="V649" s="880"/>
      <c r="W649" s="880">
        <f>+BK649</f>
        <v>40000</v>
      </c>
      <c r="X649" s="880"/>
      <c r="Y649" s="880"/>
      <c r="Z649" s="880"/>
      <c r="AA649" s="880">
        <f>+BL649</f>
        <v>40000</v>
      </c>
      <c r="AB649" s="880"/>
      <c r="AC649" s="880"/>
      <c r="AD649" s="880"/>
      <c r="AE649" s="880">
        <f>+BM649</f>
        <v>47000</v>
      </c>
      <c r="AF649" s="879"/>
      <c r="AG649" s="879"/>
      <c r="AH649" s="879"/>
      <c r="AI649" s="880">
        <f>+BN649</f>
        <v>45000</v>
      </c>
      <c r="AJ649" s="879"/>
      <c r="AK649" s="879"/>
      <c r="AL649" s="879"/>
      <c r="AM649" s="880">
        <f>+BO649</f>
        <v>45000</v>
      </c>
      <c r="AN649" s="879"/>
      <c r="AO649" s="879"/>
      <c r="AP649" s="879"/>
      <c r="AQ649" s="879"/>
      <c r="BB649" s="879"/>
      <c r="BC649" s="879"/>
      <c r="BD649" s="879"/>
      <c r="BE649" s="879"/>
      <c r="BF649" s="879"/>
      <c r="BG649" s="856">
        <v>29000</v>
      </c>
      <c r="BH649" s="856">
        <v>34000</v>
      </c>
      <c r="BI649" s="880">
        <v>36000</v>
      </c>
      <c r="BJ649" s="880">
        <v>38000</v>
      </c>
      <c r="BK649" s="880">
        <v>40000</v>
      </c>
      <c r="BL649" s="880">
        <v>40000</v>
      </c>
      <c r="BM649" s="880">
        <v>47000</v>
      </c>
      <c r="BN649" s="880">
        <v>45000</v>
      </c>
      <c r="BO649" s="8">
        <v>45000</v>
      </c>
      <c r="BP649" s="8"/>
      <c r="BQ649" s="8"/>
    </row>
    <row r="650" spans="2:69" ht="13.5">
      <c r="B650" t="s">
        <v>466</v>
      </c>
      <c r="H650" s="903"/>
      <c r="I650" s="821"/>
      <c r="J650" s="31"/>
      <c r="K650" s="31"/>
      <c r="L650" s="879"/>
      <c r="M650" s="879"/>
      <c r="N650" s="879"/>
      <c r="O650" s="880">
        <f t="shared" ref="O650:O652" si="3288">+BI650</f>
        <v>11000</v>
      </c>
      <c r="P650" s="880"/>
      <c r="Q650" s="880"/>
      <c r="R650" s="880"/>
      <c r="S650" s="880">
        <f t="shared" ref="S650:S652" si="3289">+BJ650</f>
        <v>12000</v>
      </c>
      <c r="T650" s="880"/>
      <c r="U650" s="880"/>
      <c r="V650" s="880"/>
      <c r="W650" s="880">
        <f t="shared" ref="W650:W652" si="3290">+BK650</f>
        <v>12000</v>
      </c>
      <c r="X650" s="880"/>
      <c r="Y650" s="880"/>
      <c r="Z650" s="880"/>
      <c r="AA650" s="880">
        <f t="shared" ref="AA650:AA652" si="3291">+BL650</f>
        <v>14000</v>
      </c>
      <c r="AB650" s="880"/>
      <c r="AC650" s="880"/>
      <c r="AD650" s="880"/>
      <c r="AE650" s="880">
        <f t="shared" ref="AE650:AE652" si="3292">+BM650</f>
        <v>16000</v>
      </c>
      <c r="AF650" s="879"/>
      <c r="AG650" s="879"/>
      <c r="AH650" s="879"/>
      <c r="AI650" s="880">
        <f t="shared" ref="AI650:AI653" si="3293">+BN650</f>
        <v>15000</v>
      </c>
      <c r="AJ650" s="879"/>
      <c r="AK650" s="879"/>
      <c r="AL650" s="879"/>
      <c r="AM650" s="880">
        <f t="shared" ref="AM650:AM653" si="3294">+BO650</f>
        <v>16000</v>
      </c>
      <c r="AN650" s="879"/>
      <c r="AO650" s="879"/>
      <c r="AP650" s="879"/>
      <c r="AQ650" s="879"/>
      <c r="BB650" s="879"/>
      <c r="BC650" s="879"/>
      <c r="BD650" s="879"/>
      <c r="BE650" s="879"/>
      <c r="BF650" s="879"/>
      <c r="BG650" s="856">
        <v>10000</v>
      </c>
      <c r="BH650" s="856">
        <v>11000</v>
      </c>
      <c r="BI650" s="880">
        <v>11000</v>
      </c>
      <c r="BJ650" s="880">
        <v>12000</v>
      </c>
      <c r="BK650" s="880">
        <v>12000</v>
      </c>
      <c r="BL650" s="880">
        <v>14000</v>
      </c>
      <c r="BM650" s="880">
        <v>16000</v>
      </c>
      <c r="BN650" s="880">
        <v>15000</v>
      </c>
      <c r="BO650" s="8">
        <v>16000</v>
      </c>
      <c r="BP650" s="8"/>
      <c r="BQ650" s="8"/>
    </row>
    <row r="651" spans="2:69" ht="13.5">
      <c r="B651" t="s">
        <v>467</v>
      </c>
      <c r="H651" s="903"/>
      <c r="I651" s="821"/>
      <c r="J651" s="31"/>
      <c r="K651" s="31"/>
      <c r="L651" s="879"/>
      <c r="M651" s="879"/>
      <c r="N651" s="879"/>
      <c r="O651" s="880">
        <f t="shared" si="3288"/>
        <v>42000</v>
      </c>
      <c r="P651" s="880"/>
      <c r="Q651" s="880"/>
      <c r="R651" s="880"/>
      <c r="S651" s="880">
        <f t="shared" si="3289"/>
        <v>47000</v>
      </c>
      <c r="T651" s="880"/>
      <c r="U651" s="880"/>
      <c r="V651" s="880"/>
      <c r="W651" s="880">
        <f t="shared" si="3290"/>
        <v>56000</v>
      </c>
      <c r="X651" s="880"/>
      <c r="Y651" s="880"/>
      <c r="Z651" s="880"/>
      <c r="AA651" s="880">
        <f t="shared" si="3291"/>
        <v>67000</v>
      </c>
      <c r="AB651" s="880"/>
      <c r="AC651" s="880"/>
      <c r="AD651" s="880"/>
      <c r="AE651" s="880">
        <f t="shared" si="3292"/>
        <v>85000</v>
      </c>
      <c r="AF651" s="879"/>
      <c r="AG651" s="879"/>
      <c r="AH651" s="879"/>
      <c r="AI651" s="880">
        <f t="shared" si="3293"/>
        <v>89000</v>
      </c>
      <c r="AJ651" s="879"/>
      <c r="AK651" s="879"/>
      <c r="AL651" s="879"/>
      <c r="AM651" s="880">
        <f t="shared" si="3294"/>
        <v>86000</v>
      </c>
      <c r="AN651" s="879"/>
      <c r="AO651" s="879"/>
      <c r="AP651" s="879"/>
      <c r="AQ651" s="879"/>
      <c r="BB651" s="879"/>
      <c r="BC651" s="879"/>
      <c r="BD651" s="879"/>
      <c r="BE651" s="879"/>
      <c r="BF651" s="879"/>
      <c r="BG651" s="856">
        <v>38000</v>
      </c>
      <c r="BH651" s="856">
        <v>39000</v>
      </c>
      <c r="BI651" s="880">
        <v>42000</v>
      </c>
      <c r="BJ651" s="880">
        <v>47000</v>
      </c>
      <c r="BK651" s="880">
        <v>56000</v>
      </c>
      <c r="BL651" s="880">
        <v>67000</v>
      </c>
      <c r="BM651" s="880">
        <v>85000</v>
      </c>
      <c r="BN651" s="880">
        <v>89000</v>
      </c>
      <c r="BO651" s="8">
        <v>86000</v>
      </c>
      <c r="BP651" s="8"/>
      <c r="BQ651" s="8"/>
    </row>
    <row r="652" spans="2:69" s="852" customFormat="1">
      <c r="B652" t="s">
        <v>468</v>
      </c>
      <c r="H652" s="853"/>
      <c r="I652" s="853"/>
      <c r="J652" s="853"/>
      <c r="K652" s="853"/>
      <c r="L652" s="853"/>
      <c r="M652" s="853"/>
      <c r="N652" s="853"/>
      <c r="O652" s="940">
        <f t="shared" si="3288"/>
        <v>42000</v>
      </c>
      <c r="P652" s="940"/>
      <c r="Q652" s="940"/>
      <c r="R652" s="940"/>
      <c r="S652" s="940">
        <f t="shared" si="3289"/>
        <v>47000</v>
      </c>
      <c r="T652" s="940"/>
      <c r="U652" s="940"/>
      <c r="V652" s="940"/>
      <c r="W652" s="940">
        <f t="shared" si="3290"/>
        <v>55000</v>
      </c>
      <c r="X652" s="940"/>
      <c r="Y652" s="940"/>
      <c r="Z652" s="940"/>
      <c r="AA652" s="940">
        <f t="shared" si="3291"/>
        <v>60000</v>
      </c>
      <c r="AB652" s="940"/>
      <c r="AC652" s="940"/>
      <c r="AD652" s="940"/>
      <c r="AE652" s="940">
        <f t="shared" si="3292"/>
        <v>73000</v>
      </c>
      <c r="AF652" s="853"/>
      <c r="AG652" s="853"/>
      <c r="AH652" s="853"/>
      <c r="AI652" s="940">
        <f t="shared" si="3293"/>
        <v>72000</v>
      </c>
      <c r="AJ652" s="853"/>
      <c r="AK652" s="853"/>
      <c r="AL652" s="853"/>
      <c r="AM652" s="940">
        <f t="shared" si="3294"/>
        <v>81000</v>
      </c>
      <c r="AN652" s="853"/>
      <c r="AO652" s="853"/>
      <c r="AP652" s="853"/>
      <c r="AQ652" s="853"/>
      <c r="AR652" s="1001"/>
      <c r="AS652" s="1001"/>
      <c r="AT652" s="1001"/>
      <c r="AU652" s="1001"/>
      <c r="AV652" s="1001"/>
      <c r="AW652" s="1001"/>
      <c r="AX652" s="1001"/>
      <c r="AY652" s="1001"/>
      <c r="AZ652" s="1001"/>
      <c r="BA652" s="1001"/>
      <c r="BB652" s="1001"/>
      <c r="BC652" s="1001"/>
      <c r="BD652" s="1001"/>
      <c r="BE652" s="1001"/>
      <c r="BF652" s="1001"/>
      <c r="BG652" s="1001">
        <v>37000</v>
      </c>
      <c r="BH652" s="1001">
        <v>40000</v>
      </c>
      <c r="BI652" s="853">
        <v>42000</v>
      </c>
      <c r="BJ652" s="853">
        <v>47000</v>
      </c>
      <c r="BK652" s="1000">
        <v>55000</v>
      </c>
      <c r="BL652" s="1000">
        <v>60000</v>
      </c>
      <c r="BM652" s="1000">
        <v>73000</v>
      </c>
      <c r="BN652" s="1000">
        <v>72000</v>
      </c>
      <c r="BO652" s="853">
        <v>81000</v>
      </c>
      <c r="BP652" s="853"/>
    </row>
    <row r="653" spans="2:69" s="1" customFormat="1" ht="10.5">
      <c r="B653" s="837" t="s">
        <v>464</v>
      </c>
      <c r="D653" s="838"/>
      <c r="E653" s="838"/>
      <c r="F653" s="838"/>
      <c r="G653" s="838"/>
      <c r="H653" s="838"/>
      <c r="I653" s="838"/>
      <c r="J653" s="838"/>
      <c r="K653" s="838"/>
      <c r="L653" s="838"/>
      <c r="M653" s="838"/>
      <c r="N653" s="838"/>
      <c r="O653" s="849">
        <f t="shared" ref="O653" si="3295">+BI653</f>
        <v>131000</v>
      </c>
      <c r="P653" s="849"/>
      <c r="Q653" s="849"/>
      <c r="R653" s="849"/>
      <c r="S653" s="849">
        <f t="shared" ref="S653" si="3296">+BJ653</f>
        <v>144000</v>
      </c>
      <c r="T653" s="849"/>
      <c r="U653" s="849"/>
      <c r="V653" s="849"/>
      <c r="W653" s="849">
        <f t="shared" ref="W653" si="3297">+BK653</f>
        <v>163000</v>
      </c>
      <c r="X653" s="849"/>
      <c r="Y653" s="849"/>
      <c r="Z653" s="849"/>
      <c r="AA653" s="849">
        <f t="shared" ref="AA653" si="3298">+BL653</f>
        <v>181000</v>
      </c>
      <c r="AB653" s="849"/>
      <c r="AC653" s="849"/>
      <c r="AD653" s="849"/>
      <c r="AE653" s="849">
        <f t="shared" ref="AE653" si="3299">+BM653</f>
        <v>221000</v>
      </c>
      <c r="AF653" s="1221"/>
      <c r="AG653" s="1221"/>
      <c r="AH653" s="1221"/>
      <c r="AI653" s="849">
        <f t="shared" si="3293"/>
        <v>221000</v>
      </c>
      <c r="AJ653" s="838"/>
      <c r="AK653" s="838"/>
      <c r="AL653" s="838"/>
      <c r="AM653" s="849">
        <f t="shared" si="3294"/>
        <v>228000</v>
      </c>
      <c r="AN653" s="838"/>
      <c r="AO653" s="838"/>
      <c r="AP653" s="838"/>
      <c r="AQ653" s="838"/>
      <c r="AR653" s="838"/>
      <c r="AS653" s="838"/>
      <c r="AT653" s="838"/>
      <c r="AU653" s="838"/>
      <c r="AV653" s="838"/>
      <c r="AW653" s="838"/>
      <c r="AX653" s="838"/>
      <c r="AY653" s="838"/>
      <c r="AZ653" s="838"/>
      <c r="BA653" s="838"/>
      <c r="BB653" s="838"/>
      <c r="BC653" s="838"/>
      <c r="BD653" s="838"/>
      <c r="BE653" s="838"/>
      <c r="BF653" s="838"/>
      <c r="BG653" s="838">
        <f t="shared" ref="BG653:BO653" si="3300">+SUM(BG649:BG652)</f>
        <v>114000</v>
      </c>
      <c r="BH653" s="838">
        <f t="shared" si="3300"/>
        <v>124000</v>
      </c>
      <c r="BI653" s="838">
        <f t="shared" si="3300"/>
        <v>131000</v>
      </c>
      <c r="BJ653" s="838">
        <f t="shared" si="3300"/>
        <v>144000</v>
      </c>
      <c r="BK653" s="838">
        <f t="shared" si="3300"/>
        <v>163000</v>
      </c>
      <c r="BL653" s="838">
        <f t="shared" si="3300"/>
        <v>181000</v>
      </c>
      <c r="BM653" s="838">
        <f t="shared" si="3300"/>
        <v>221000</v>
      </c>
      <c r="BN653" s="838">
        <f t="shared" si="3300"/>
        <v>221000</v>
      </c>
      <c r="BO653" s="838">
        <f t="shared" si="3300"/>
        <v>228000</v>
      </c>
      <c r="BP653" s="838"/>
    </row>
    <row r="654" spans="2:69">
      <c r="H654" s="911"/>
      <c r="I654" s="911"/>
      <c r="J654" s="911"/>
      <c r="K654" s="911"/>
      <c r="L654" s="911"/>
      <c r="M654" s="911"/>
      <c r="N654" s="911"/>
      <c r="O654" s="911"/>
      <c r="P654" s="911"/>
      <c r="Q654" s="911"/>
      <c r="R654" s="911"/>
      <c r="S654" s="911"/>
      <c r="T654" s="911"/>
      <c r="U654" s="911"/>
      <c r="V654" s="911"/>
      <c r="W654" s="911"/>
      <c r="X654" s="911"/>
      <c r="Y654" s="911"/>
      <c r="Z654" s="911"/>
      <c r="AA654" s="911"/>
      <c r="AB654" s="911"/>
      <c r="AC654" s="911"/>
      <c r="AD654" s="911"/>
      <c r="AE654" s="911"/>
      <c r="AF654" s="911"/>
      <c r="AG654" s="911"/>
      <c r="AH654" s="911"/>
      <c r="AI654" s="911"/>
      <c r="AJ654" s="911"/>
      <c r="AK654" s="911"/>
      <c r="AL654" s="911"/>
      <c r="AM654" s="911"/>
      <c r="AN654" s="911"/>
      <c r="AO654" s="911"/>
      <c r="AP654" s="911"/>
      <c r="AQ654" s="911"/>
      <c r="BH654" s="912"/>
      <c r="BI654" s="912"/>
      <c r="BJ654" s="912"/>
      <c r="BK654" s="912"/>
      <c r="BL654" s="912"/>
      <c r="BM654" s="912"/>
      <c r="BN654" s="912"/>
      <c r="BO654" s="912"/>
      <c r="BP654" s="912"/>
    </row>
    <row r="655" spans="2:69" s="3" customFormat="1">
      <c r="B655" s="883" t="s">
        <v>113</v>
      </c>
    </row>
    <row r="656" spans="2:69" s="3" customFormat="1">
      <c r="B656" s="884" t="str">
        <f>+B649</f>
        <v>Sales and marketing</v>
      </c>
      <c r="L656" s="228"/>
      <c r="M656" s="228"/>
      <c r="N656" s="228"/>
      <c r="O656" s="228">
        <f>+BI656</f>
        <v>5.8823529411764719E-2</v>
      </c>
      <c r="P656" s="228"/>
      <c r="Q656" s="228"/>
      <c r="R656" s="228"/>
      <c r="S656" s="228">
        <f>+S649/O649-1</f>
        <v>5.555555555555558E-2</v>
      </c>
      <c r="T656" s="228"/>
      <c r="U656" s="228"/>
      <c r="V656" s="228"/>
      <c r="W656" s="228">
        <f>+W649/S649-1</f>
        <v>5.2631578947368363E-2</v>
      </c>
      <c r="X656" s="228"/>
      <c r="Y656" s="228"/>
      <c r="Z656" s="228"/>
      <c r="AA656" s="228">
        <f>+AA649/W649-1</f>
        <v>0</v>
      </c>
      <c r="AB656" s="228"/>
      <c r="AC656" s="228"/>
      <c r="AD656" s="228"/>
      <c r="AE656" s="228">
        <f>+AE649/AA649-1</f>
        <v>0.17500000000000004</v>
      </c>
      <c r="AF656" s="228"/>
      <c r="AG656" s="228"/>
      <c r="AH656" s="228"/>
      <c r="AI656" s="228">
        <f>+AI649/AE649-1</f>
        <v>-4.2553191489361653E-2</v>
      </c>
      <c r="AJ656" s="228"/>
      <c r="AK656" s="228"/>
      <c r="AL656" s="228"/>
      <c r="AM656" s="228">
        <f>+AM649/AI649-1</f>
        <v>0</v>
      </c>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f t="shared" ref="BH656:BM656" si="3301">+IFERROR(BH649/BG649-1,"NA ")</f>
        <v>0.17241379310344818</v>
      </c>
      <c r="BI656" s="228">
        <f t="shared" si="3301"/>
        <v>5.8823529411764719E-2</v>
      </c>
      <c r="BJ656" s="228">
        <f t="shared" si="3301"/>
        <v>5.555555555555558E-2</v>
      </c>
      <c r="BK656" s="228">
        <f t="shared" si="3301"/>
        <v>5.2631578947368363E-2</v>
      </c>
      <c r="BL656" s="228">
        <f t="shared" si="3301"/>
        <v>0</v>
      </c>
      <c r="BM656" s="228">
        <f t="shared" si="3301"/>
        <v>0.17500000000000004</v>
      </c>
      <c r="BN656" s="228">
        <f t="shared" ref="BN656:BN660" si="3302">+IFERROR(BN649/BM649-1,"NA ")</f>
        <v>-4.2553191489361653E-2</v>
      </c>
      <c r="BO656" s="228">
        <f t="shared" ref="BO656:BO660" si="3303">+IFERROR(BO649/BN649-1,"NA ")</f>
        <v>0</v>
      </c>
      <c r="BP656" s="228"/>
    </row>
    <row r="657" spans="2:68" s="3" customFormat="1">
      <c r="B657" s="884" t="str">
        <f t="shared" ref="B657:B660" si="3304">+B650</f>
        <v>General and administration</v>
      </c>
      <c r="L657" s="228"/>
      <c r="M657" s="228"/>
      <c r="N657" s="228"/>
      <c r="O657" s="228">
        <f t="shared" ref="O657:O660" si="3305">+BI657</f>
        <v>0</v>
      </c>
      <c r="P657" s="228"/>
      <c r="Q657" s="228"/>
      <c r="R657" s="228"/>
      <c r="S657" s="228">
        <f t="shared" ref="S657:S660" si="3306">+S650/O650-1</f>
        <v>9.0909090909090828E-2</v>
      </c>
      <c r="T657" s="228"/>
      <c r="U657" s="228"/>
      <c r="V657" s="228"/>
      <c r="W657" s="228">
        <f t="shared" ref="W657:W660" si="3307">+W650/S650-1</f>
        <v>0</v>
      </c>
      <c r="X657" s="228"/>
      <c r="Y657" s="228"/>
      <c r="Z657" s="228"/>
      <c r="AA657" s="228">
        <f t="shared" ref="AA657:AA660" si="3308">+AA650/W650-1</f>
        <v>0.16666666666666674</v>
      </c>
      <c r="AB657" s="228"/>
      <c r="AC657" s="228"/>
      <c r="AD657" s="228"/>
      <c r="AE657" s="228">
        <f t="shared" ref="AE657:AE660" si="3309">+AE650/AA650-1</f>
        <v>0.14285714285714279</v>
      </c>
      <c r="AF657" s="228"/>
      <c r="AG657" s="228"/>
      <c r="AH657" s="228"/>
      <c r="AI657" s="228">
        <f t="shared" ref="AI657:AI660" si="3310">+AI650/AE650-1</f>
        <v>-6.25E-2</v>
      </c>
      <c r="AJ657" s="228"/>
      <c r="AK657" s="228"/>
      <c r="AL657" s="228"/>
      <c r="AM657" s="228">
        <f t="shared" ref="AM657:AM660" si="3311">+AM650/AI650-1</f>
        <v>6.6666666666666652E-2</v>
      </c>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f t="shared" ref="BH657:BM657" si="3312">+IFERROR(BH650/BG650-1,"NA ")</f>
        <v>0.10000000000000009</v>
      </c>
      <c r="BI657" s="228">
        <f t="shared" si="3312"/>
        <v>0</v>
      </c>
      <c r="BJ657" s="228">
        <f t="shared" si="3312"/>
        <v>9.0909090909090828E-2</v>
      </c>
      <c r="BK657" s="228">
        <f t="shared" si="3312"/>
        <v>0</v>
      </c>
      <c r="BL657" s="228">
        <f t="shared" si="3312"/>
        <v>0.16666666666666674</v>
      </c>
      <c r="BM657" s="228">
        <f t="shared" si="3312"/>
        <v>0.14285714285714279</v>
      </c>
      <c r="BN657" s="228">
        <f t="shared" si="3302"/>
        <v>-6.25E-2</v>
      </c>
      <c r="BO657" s="228">
        <f t="shared" si="3303"/>
        <v>6.6666666666666652E-2</v>
      </c>
      <c r="BP657" s="228"/>
    </row>
    <row r="658" spans="2:68" s="3" customFormat="1">
      <c r="B658" s="884" t="str">
        <f t="shared" si="3304"/>
        <v>Operations</v>
      </c>
      <c r="L658" s="228"/>
      <c r="M658" s="228"/>
      <c r="N658" s="228"/>
      <c r="O658" s="228">
        <f t="shared" si="3305"/>
        <v>7.6923076923076872E-2</v>
      </c>
      <c r="P658" s="228"/>
      <c r="Q658" s="228"/>
      <c r="R658" s="228"/>
      <c r="S658" s="228">
        <f t="shared" si="3306"/>
        <v>0.11904761904761907</v>
      </c>
      <c r="T658" s="228"/>
      <c r="U658" s="228"/>
      <c r="V658" s="228"/>
      <c r="W658" s="228">
        <f t="shared" si="3307"/>
        <v>0.1914893617021276</v>
      </c>
      <c r="X658" s="228"/>
      <c r="Y658" s="228"/>
      <c r="Z658" s="228"/>
      <c r="AA658" s="228">
        <f t="shared" si="3308"/>
        <v>0.1964285714285714</v>
      </c>
      <c r="AB658" s="228"/>
      <c r="AC658" s="228"/>
      <c r="AD658" s="228"/>
      <c r="AE658" s="228">
        <f t="shared" si="3309"/>
        <v>0.26865671641791056</v>
      </c>
      <c r="AF658" s="228"/>
      <c r="AG658" s="228"/>
      <c r="AH658" s="228"/>
      <c r="AI658" s="228">
        <f t="shared" si="3310"/>
        <v>4.705882352941182E-2</v>
      </c>
      <c r="AJ658" s="228"/>
      <c r="AK658" s="228"/>
      <c r="AL658" s="228"/>
      <c r="AM658" s="228">
        <f t="shared" si="3311"/>
        <v>-3.3707865168539297E-2</v>
      </c>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f t="shared" ref="BH658:BM658" si="3313">+IFERROR(BH651/BG651-1,"NA ")</f>
        <v>2.6315789473684292E-2</v>
      </c>
      <c r="BI658" s="228">
        <f t="shared" si="3313"/>
        <v>7.6923076923076872E-2</v>
      </c>
      <c r="BJ658" s="228">
        <f t="shared" si="3313"/>
        <v>0.11904761904761907</v>
      </c>
      <c r="BK658" s="228">
        <f t="shared" si="3313"/>
        <v>0.1914893617021276</v>
      </c>
      <c r="BL658" s="228">
        <f t="shared" si="3313"/>
        <v>0.1964285714285714</v>
      </c>
      <c r="BM658" s="228">
        <f t="shared" si="3313"/>
        <v>0.26865671641791056</v>
      </c>
      <c r="BN658" s="228">
        <f t="shared" si="3302"/>
        <v>4.705882352941182E-2</v>
      </c>
      <c r="BO658" s="228">
        <f t="shared" si="3303"/>
        <v>-3.3707865168539297E-2</v>
      </c>
      <c r="BP658" s="228"/>
    </row>
    <row r="659" spans="2:68" s="3" customFormat="1" ht="11.45">
      <c r="B659" s="884" t="str">
        <f t="shared" si="3304"/>
        <v>Product research and development</v>
      </c>
      <c r="L659" s="840"/>
      <c r="M659" s="840"/>
      <c r="N659" s="840"/>
      <c r="O659" s="840">
        <f t="shared" si="3305"/>
        <v>5.0000000000000044E-2</v>
      </c>
      <c r="P659" s="840"/>
      <c r="Q659" s="840"/>
      <c r="R659" s="840"/>
      <c r="S659" s="840">
        <f t="shared" si="3306"/>
        <v>0.11904761904761907</v>
      </c>
      <c r="T659" s="840"/>
      <c r="U659" s="840"/>
      <c r="V659" s="840"/>
      <c r="W659" s="840">
        <f t="shared" si="3307"/>
        <v>0.17021276595744683</v>
      </c>
      <c r="X659" s="840"/>
      <c r="Y659" s="840"/>
      <c r="Z659" s="840"/>
      <c r="AA659" s="840">
        <f t="shared" si="3308"/>
        <v>9.0909090909090828E-2</v>
      </c>
      <c r="AB659" s="840"/>
      <c r="AC659" s="840"/>
      <c r="AD659" s="840"/>
      <c r="AE659" s="840">
        <f t="shared" si="3309"/>
        <v>0.21666666666666656</v>
      </c>
      <c r="AF659" s="840"/>
      <c r="AG659" s="840"/>
      <c r="AH659" s="840"/>
      <c r="AI659" s="840">
        <f t="shared" si="3310"/>
        <v>-1.3698630136986356E-2</v>
      </c>
      <c r="AJ659" s="840"/>
      <c r="AK659" s="840"/>
      <c r="AL659" s="840"/>
      <c r="AM659" s="840">
        <f t="shared" si="3311"/>
        <v>0.125</v>
      </c>
      <c r="AN659" s="840"/>
      <c r="AO659" s="840"/>
      <c r="AP659" s="840"/>
      <c r="AQ659" s="840"/>
      <c r="AR659" s="840"/>
      <c r="AS659" s="840"/>
      <c r="AT659" s="840"/>
      <c r="AU659" s="840"/>
      <c r="AV659" s="840"/>
      <c r="AW659" s="840"/>
      <c r="AX659" s="840"/>
      <c r="AY659" s="840"/>
      <c r="AZ659" s="840"/>
      <c r="BA659" s="840"/>
      <c r="BB659" s="840"/>
      <c r="BC659" s="840"/>
      <c r="BD659" s="840"/>
      <c r="BE659" s="840"/>
      <c r="BF659" s="840"/>
      <c r="BG659" s="840"/>
      <c r="BH659" s="840">
        <f t="shared" ref="BH659:BM659" si="3314">+IFERROR(BH652/BG652-1,"NA ")</f>
        <v>8.1081081081081141E-2</v>
      </c>
      <c r="BI659" s="840">
        <f t="shared" si="3314"/>
        <v>5.0000000000000044E-2</v>
      </c>
      <c r="BJ659" s="840">
        <f t="shared" si="3314"/>
        <v>0.11904761904761907</v>
      </c>
      <c r="BK659" s="840">
        <f t="shared" si="3314"/>
        <v>0.17021276595744683</v>
      </c>
      <c r="BL659" s="840">
        <f t="shared" si="3314"/>
        <v>9.0909090909090828E-2</v>
      </c>
      <c r="BM659" s="840">
        <f t="shared" si="3314"/>
        <v>0.21666666666666656</v>
      </c>
      <c r="BN659" s="840">
        <f t="shared" si="3302"/>
        <v>-1.3698630136986356E-2</v>
      </c>
      <c r="BO659" s="840">
        <f t="shared" si="3303"/>
        <v>0.125</v>
      </c>
      <c r="BP659" s="840"/>
    </row>
    <row r="660" spans="2:68" s="7" customFormat="1">
      <c r="B660" s="887" t="str">
        <f t="shared" si="3304"/>
        <v>Total Employees</v>
      </c>
      <c r="L660" s="842"/>
      <c r="M660" s="842"/>
      <c r="N660" s="842"/>
      <c r="O660" s="842">
        <f t="shared" si="3305"/>
        <v>5.6451612903225756E-2</v>
      </c>
      <c r="P660" s="842"/>
      <c r="Q660" s="842"/>
      <c r="R660" s="842"/>
      <c r="S660" s="842">
        <f t="shared" si="3306"/>
        <v>9.92366412213741E-2</v>
      </c>
      <c r="T660" s="842"/>
      <c r="U660" s="842"/>
      <c r="V660" s="842"/>
      <c r="W660" s="842">
        <f t="shared" si="3307"/>
        <v>0.13194444444444442</v>
      </c>
      <c r="X660" s="842"/>
      <c r="Y660" s="842"/>
      <c r="Z660" s="842"/>
      <c r="AA660" s="842">
        <f t="shared" si="3308"/>
        <v>0.11042944785276076</v>
      </c>
      <c r="AB660" s="842"/>
      <c r="AC660" s="842"/>
      <c r="AD660" s="842"/>
      <c r="AE660" s="842">
        <f t="shared" si="3309"/>
        <v>0.22099447513812165</v>
      </c>
      <c r="AF660" s="842"/>
      <c r="AG660" s="842"/>
      <c r="AH660" s="842"/>
      <c r="AI660" s="842">
        <f t="shared" si="3310"/>
        <v>0</v>
      </c>
      <c r="AJ660" s="842"/>
      <c r="AK660" s="842"/>
      <c r="AL660" s="842"/>
      <c r="AM660" s="842">
        <f t="shared" si="3311"/>
        <v>3.167420814479649E-2</v>
      </c>
      <c r="AN660" s="842"/>
      <c r="AO660" s="842"/>
      <c r="AP660" s="842"/>
      <c r="AQ660" s="842"/>
      <c r="AR660" s="842"/>
      <c r="AS660" s="842"/>
      <c r="AT660" s="842"/>
      <c r="AU660" s="842"/>
      <c r="AV660" s="842"/>
      <c r="AW660" s="842"/>
      <c r="AX660" s="842"/>
      <c r="AY660" s="842"/>
      <c r="AZ660" s="842"/>
      <c r="BA660" s="842"/>
      <c r="BB660" s="842"/>
      <c r="BC660" s="842"/>
      <c r="BD660" s="842"/>
      <c r="BE660" s="842"/>
      <c r="BF660" s="842"/>
      <c r="BG660" s="842"/>
      <c r="BH660" s="842">
        <f t="shared" ref="BH660:BM660" si="3315">+IFERROR(BH653/BG653-1,"NA ")</f>
        <v>8.7719298245614086E-2</v>
      </c>
      <c r="BI660" s="842">
        <f t="shared" si="3315"/>
        <v>5.6451612903225756E-2</v>
      </c>
      <c r="BJ660" s="842">
        <f t="shared" si="3315"/>
        <v>9.92366412213741E-2</v>
      </c>
      <c r="BK660" s="842">
        <f t="shared" si="3315"/>
        <v>0.13194444444444442</v>
      </c>
      <c r="BL660" s="842">
        <f t="shared" si="3315"/>
        <v>0.11042944785276076</v>
      </c>
      <c r="BM660" s="842">
        <f t="shared" si="3315"/>
        <v>0.22099447513812165</v>
      </c>
      <c r="BN660" s="842">
        <f t="shared" si="3302"/>
        <v>0</v>
      </c>
      <c r="BO660" s="842">
        <f t="shared" si="3303"/>
        <v>3.167420814479649E-2</v>
      </c>
      <c r="BP660" s="842"/>
    </row>
    <row r="661" spans="2:68">
      <c r="H661" s="911"/>
      <c r="I661" s="911"/>
      <c r="J661" s="911"/>
      <c r="K661" s="911"/>
      <c r="L661" s="911"/>
      <c r="M661" s="911"/>
      <c r="N661" s="911"/>
      <c r="O661" s="911"/>
      <c r="P661" s="911"/>
      <c r="Q661" s="911"/>
      <c r="R661" s="911"/>
      <c r="S661" s="911"/>
      <c r="T661" s="911"/>
      <c r="U661" s="911"/>
      <c r="V661" s="911"/>
      <c r="W661" s="911"/>
      <c r="X661" s="911"/>
      <c r="Y661" s="911"/>
      <c r="Z661" s="911"/>
      <c r="AA661" s="911"/>
      <c r="AB661" s="911"/>
      <c r="AC661" s="911"/>
      <c r="AD661" s="911"/>
      <c r="AE661" s="911"/>
      <c r="AF661" s="911"/>
      <c r="AG661" s="911"/>
      <c r="AH661" s="911"/>
      <c r="AI661" s="911"/>
      <c r="AJ661" s="911"/>
      <c r="AK661" s="911"/>
      <c r="AL661" s="911"/>
      <c r="AM661" s="911"/>
      <c r="AN661" s="911"/>
      <c r="AO661" s="911"/>
      <c r="AP661" s="911"/>
      <c r="AQ661" s="911"/>
      <c r="BH661" s="912"/>
      <c r="BI661" s="912"/>
      <c r="BJ661" s="912"/>
      <c r="BK661" s="912"/>
      <c r="BL661" s="912"/>
      <c r="BM661" s="912"/>
      <c r="BN661" s="912"/>
      <c r="BO661" s="912"/>
      <c r="BP661" s="912"/>
    </row>
    <row r="662" spans="2:68">
      <c r="B662" t="s">
        <v>469</v>
      </c>
      <c r="H662" s="911"/>
      <c r="I662" s="911"/>
      <c r="J662" s="911"/>
      <c r="K662" s="911"/>
      <c r="L662" s="911"/>
      <c r="M662" s="911"/>
      <c r="N662" s="911"/>
      <c r="O662" s="911"/>
      <c r="P662" s="911"/>
      <c r="Q662" s="911"/>
      <c r="R662" s="911"/>
      <c r="S662" s="911"/>
      <c r="T662" s="911"/>
      <c r="U662" s="911"/>
      <c r="V662" s="911"/>
      <c r="W662" s="911"/>
      <c r="X662" s="911"/>
      <c r="Y662" s="911"/>
      <c r="Z662" s="911"/>
      <c r="AA662" s="911"/>
      <c r="AB662" s="911"/>
      <c r="AC662" s="911"/>
      <c r="AD662" s="911"/>
      <c r="AE662" s="911"/>
      <c r="AF662" s="911"/>
      <c r="AG662" s="879">
        <v>13000</v>
      </c>
      <c r="AH662" s="911"/>
      <c r="AI662" s="911"/>
      <c r="AJ662" s="911"/>
      <c r="AK662" s="911"/>
      <c r="AL662" s="911"/>
      <c r="AM662" s="911"/>
      <c r="AN662" s="911"/>
      <c r="AO662" s="911"/>
      <c r="AP662" s="911"/>
      <c r="AQ662" s="911"/>
      <c r="BH662" s="912"/>
      <c r="BI662" s="912"/>
      <c r="BJ662" s="912"/>
      <c r="BK662" s="912"/>
      <c r="BL662" s="912"/>
      <c r="BM662" s="912"/>
      <c r="BN662" s="912"/>
      <c r="BO662" s="912"/>
      <c r="BP662" s="912"/>
    </row>
    <row r="663" spans="2:68">
      <c r="B663" t="s">
        <v>470</v>
      </c>
      <c r="H663" s="911"/>
      <c r="I663" s="911"/>
      <c r="J663" s="911"/>
      <c r="K663" s="911"/>
      <c r="L663" s="911"/>
      <c r="M663" s="911"/>
      <c r="N663" s="911"/>
      <c r="O663" s="911"/>
      <c r="P663" s="911"/>
      <c r="Q663" s="911"/>
      <c r="R663" s="911"/>
      <c r="S663" s="911"/>
      <c r="T663" s="911"/>
      <c r="U663" s="911"/>
      <c r="V663" s="911"/>
      <c r="W663" s="911"/>
      <c r="X663" s="911"/>
      <c r="Y663" s="911"/>
      <c r="Z663" s="911"/>
      <c r="AA663" s="911"/>
      <c r="AB663" s="911"/>
      <c r="AC663" s="911"/>
      <c r="AD663" s="911"/>
      <c r="AE663" s="911"/>
      <c r="AF663" s="911"/>
      <c r="AG663" s="911"/>
      <c r="AH663" s="911"/>
      <c r="AI663" s="911"/>
      <c r="AJ663" s="911"/>
      <c r="AK663" s="879"/>
      <c r="AL663" s="879">
        <v>-1900</v>
      </c>
      <c r="AM663" s="911"/>
      <c r="AN663" s="911"/>
      <c r="AO663" s="911"/>
      <c r="AP663" s="911"/>
      <c r="AQ663" s="911"/>
      <c r="BH663" s="912"/>
      <c r="BI663" s="912"/>
      <c r="BJ663" s="912"/>
      <c r="BK663" s="912"/>
      <c r="BL663" s="912"/>
      <c r="BM663" s="912"/>
      <c r="BN663" s="912"/>
      <c r="BO663" s="912"/>
      <c r="BP663" s="912"/>
    </row>
    <row r="664" spans="2:68">
      <c r="H664" s="911"/>
      <c r="I664" s="911"/>
      <c r="J664" s="911"/>
      <c r="K664" s="911"/>
      <c r="L664" s="911"/>
      <c r="M664" s="911"/>
      <c r="N664" s="911"/>
      <c r="O664" s="911"/>
      <c r="P664" s="911"/>
      <c r="Q664" s="911"/>
      <c r="R664" s="911"/>
      <c r="S664" s="911"/>
      <c r="T664" s="911"/>
      <c r="U664" s="911"/>
      <c r="V664" s="911"/>
      <c r="W664" s="911"/>
      <c r="X664" s="911"/>
      <c r="Y664" s="911"/>
      <c r="Z664" s="911"/>
      <c r="AA664" s="911"/>
      <c r="AB664" s="911"/>
      <c r="AC664" s="911"/>
      <c r="AD664" s="911"/>
      <c r="AE664" s="911"/>
      <c r="AF664" s="911"/>
      <c r="AG664" s="911"/>
      <c r="AH664" s="911"/>
      <c r="AI664" s="911"/>
      <c r="AJ664" s="911"/>
      <c r="AK664" s="911"/>
      <c r="AL664" s="911"/>
      <c r="AM664" s="911"/>
      <c r="AN664" s="911"/>
      <c r="AO664" s="911"/>
      <c r="AP664" s="911"/>
      <c r="AQ664" s="911"/>
      <c r="BH664" s="912"/>
      <c r="BI664" s="912"/>
      <c r="BJ664" s="912"/>
      <c r="BK664" s="912"/>
      <c r="BL664" s="912"/>
      <c r="BM664" s="912"/>
      <c r="BN664" s="912"/>
      <c r="BO664" s="912"/>
      <c r="BP664" s="912"/>
    </row>
    <row r="666" spans="2:68" ht="10.5">
      <c r="B666" s="5" t="s">
        <v>471</v>
      </c>
      <c r="C666" s="4"/>
    </row>
    <row r="667" spans="2:68" ht="10.5">
      <c r="B667" s="910"/>
    </row>
    <row r="668" spans="2:68" ht="10.5">
      <c r="B668" s="910" t="s">
        <v>86</v>
      </c>
      <c r="W668" s="919"/>
      <c r="AK668" s="911"/>
    </row>
    <row r="669" spans="2:68">
      <c r="B669" t="s">
        <v>472</v>
      </c>
      <c r="H669" s="879">
        <v>5982</v>
      </c>
      <c r="I669" s="879">
        <v>6439</v>
      </c>
      <c r="J669" s="879">
        <v>6234</v>
      </c>
      <c r="K669" s="8">
        <f t="shared" ref="K669:K677" si="3316">+BH669-SUM(H669:J669)</f>
        <v>6918</v>
      </c>
      <c r="L669" s="879">
        <v>6575</v>
      </c>
      <c r="M669" s="879">
        <v>7075</v>
      </c>
      <c r="N669" s="879">
        <v>7088</v>
      </c>
      <c r="O669" s="8">
        <f t="shared" ref="O669:O677" si="3317">+BI669-SUM(L669:N669)</f>
        <v>7578</v>
      </c>
      <c r="P669" s="879">
        <v>7622</v>
      </c>
      <c r="Q669" s="879">
        <v>7747</v>
      </c>
      <c r="R669" s="879">
        <v>7889</v>
      </c>
      <c r="S669" s="8">
        <f t="shared" ref="S669:S677" si="3318">+BJ669-SUM(P669:R669)</f>
        <v>8511</v>
      </c>
      <c r="T669" s="879">
        <v>8466</v>
      </c>
      <c r="U669" s="879">
        <v>8983</v>
      </c>
      <c r="V669" s="879">
        <v>8920</v>
      </c>
      <c r="W669" s="880">
        <f t="shared" ref="W669:W677" si="3319">+BK669-SUM(T669:V669)</f>
        <v>8947</v>
      </c>
      <c r="X669" s="879">
        <v>9278</v>
      </c>
      <c r="Y669" s="879">
        <v>9881</v>
      </c>
      <c r="Z669" s="879">
        <v>10016</v>
      </c>
      <c r="AA669" s="880">
        <f>+BL669-SUM(X669:Z669)</f>
        <v>10697</v>
      </c>
      <c r="AB669" s="879">
        <f>22059-AC669</f>
        <v>10808</v>
      </c>
      <c r="AC669" s="879">
        <v>11251</v>
      </c>
      <c r="AD669" s="879">
        <v>11164</v>
      </c>
      <c r="AE669" s="880">
        <f>BM669-SUM(AB669:AD669)</f>
        <v>11639</v>
      </c>
      <c r="AF669" s="879">
        <v>11548</v>
      </c>
      <c r="AG669" s="879">
        <v>11837</v>
      </c>
      <c r="AH669" s="879">
        <v>12438</v>
      </c>
      <c r="AI669" s="880">
        <f>+BN669-SUM(AF669:AH669)</f>
        <v>12905</v>
      </c>
      <c r="AJ669" s="879">
        <v>13140</v>
      </c>
      <c r="AK669" s="879">
        <v>13477</v>
      </c>
      <c r="AL669" s="879">
        <v>13911</v>
      </c>
      <c r="AM669" s="8">
        <f>+BO669-SUM(AJ669:AL669)</f>
        <v>14347</v>
      </c>
      <c r="AN669" s="8"/>
      <c r="AO669" s="8"/>
      <c r="AP669" s="8"/>
      <c r="AQ669" s="8"/>
      <c r="AV669" s="879">
        <v>18083</v>
      </c>
      <c r="AW669" s="879">
        <v>17998</v>
      </c>
      <c r="AX669" s="879">
        <v>17754</v>
      </c>
      <c r="AY669" s="879">
        <v>20730</v>
      </c>
      <c r="AZ669" s="879">
        <v>22299</v>
      </c>
      <c r="BA669" s="879">
        <v>22995</v>
      </c>
      <c r="BB669" s="879">
        <v>24323</v>
      </c>
      <c r="BC669" s="879">
        <v>23538</v>
      </c>
      <c r="BD669" s="879">
        <v>23588</v>
      </c>
      <c r="BE669" s="879">
        <v>25389</v>
      </c>
      <c r="BF669" s="879"/>
      <c r="BG669" s="879">
        <v>23868</v>
      </c>
      <c r="BH669" s="879">
        <v>25573</v>
      </c>
      <c r="BI669" s="879">
        <v>28316</v>
      </c>
      <c r="BJ669" s="879">
        <v>31769</v>
      </c>
      <c r="BK669" s="879">
        <v>35316</v>
      </c>
      <c r="BL669" s="879">
        <v>39872</v>
      </c>
      <c r="BM669" s="879">
        <v>44862</v>
      </c>
      <c r="BN669" s="879">
        <v>48728</v>
      </c>
      <c r="BO669" s="879">
        <v>54875</v>
      </c>
      <c r="BP669" s="879"/>
    </row>
    <row r="670" spans="2:68">
      <c r="B670" t="s">
        <v>473</v>
      </c>
      <c r="H670" s="879">
        <v>4689</v>
      </c>
      <c r="I670" s="879">
        <v>5332</v>
      </c>
      <c r="J670" s="879">
        <v>5297</v>
      </c>
      <c r="K670" s="8">
        <f t="shared" si="3316"/>
        <v>6331</v>
      </c>
      <c r="L670" s="879">
        <v>5496</v>
      </c>
      <c r="M670" s="879">
        <v>6299</v>
      </c>
      <c r="N670" s="879">
        <v>6343</v>
      </c>
      <c r="O670" s="8">
        <f t="shared" si="3317"/>
        <v>7991</v>
      </c>
      <c r="P670" s="879">
        <v>7058</v>
      </c>
      <c r="Q670" s="879">
        <v>7791</v>
      </c>
      <c r="R670" s="879">
        <v>8053</v>
      </c>
      <c r="S670" s="8">
        <f t="shared" si="3318"/>
        <v>9720</v>
      </c>
      <c r="T670" s="879">
        <v>9192</v>
      </c>
      <c r="U670" s="879">
        <v>10119</v>
      </c>
      <c r="V670" s="879">
        <v>10490</v>
      </c>
      <c r="W670" s="880">
        <f t="shared" si="3319"/>
        <v>11578</v>
      </c>
      <c r="X670" s="879">
        <v>11195</v>
      </c>
      <c r="Y670" s="879">
        <v>12729</v>
      </c>
      <c r="Z670" s="879">
        <v>13204</v>
      </c>
      <c r="AA670" s="880">
        <f t="shared" ref="AA670:AA677" si="3320">+BL670-SUM(X670:Z670)</f>
        <v>15461</v>
      </c>
      <c r="AB670" s="879">
        <f>31444-AC670</f>
        <v>15069</v>
      </c>
      <c r="AC670" s="879">
        <v>16375</v>
      </c>
      <c r="AD670" s="879">
        <v>17038</v>
      </c>
      <c r="AE670" s="880">
        <f t="shared" ref="AE670:AE677" si="3321">BM670-SUM(AB670:AD670)</f>
        <v>18839</v>
      </c>
      <c r="AF670" s="879">
        <v>18388</v>
      </c>
      <c r="AG670" s="879">
        <v>19594</v>
      </c>
      <c r="AH670" s="879">
        <v>20025</v>
      </c>
      <c r="AI670" s="880">
        <f t="shared" ref="AI670:AI678" si="3322">+BN670-SUM(AF670:AH670)</f>
        <v>21963</v>
      </c>
      <c r="AJ670" s="879">
        <v>22308</v>
      </c>
      <c r="AK670" s="879">
        <v>23953</v>
      </c>
      <c r="AL670" s="879">
        <v>24832</v>
      </c>
      <c r="AM670" s="8">
        <f t="shared" ref="AM670:AM678" si="3323">+BO670-SUM(AJ670:AL670)</f>
        <v>26633</v>
      </c>
      <c r="AN670" s="8"/>
      <c r="AO670" s="8"/>
      <c r="AP670" s="8"/>
      <c r="AQ670" s="8"/>
      <c r="AV670" s="879">
        <v>10611</v>
      </c>
      <c r="AW670" s="879">
        <v>11344</v>
      </c>
      <c r="AX670" s="879">
        <v>12007</v>
      </c>
      <c r="AY670" s="879">
        <v>13251</v>
      </c>
      <c r="AZ670" s="879">
        <v>14232</v>
      </c>
      <c r="BA670" s="879">
        <v>15408</v>
      </c>
      <c r="BB670" s="879">
        <v>17055</v>
      </c>
      <c r="BC670" s="879">
        <v>18612</v>
      </c>
      <c r="BD670" s="879">
        <v>19177</v>
      </c>
      <c r="BE670" s="879">
        <v>21758</v>
      </c>
      <c r="BF670" s="879"/>
      <c r="BG670" s="879">
        <v>19062</v>
      </c>
      <c r="BH670" s="879">
        <v>21649</v>
      </c>
      <c r="BI670" s="879">
        <v>26129</v>
      </c>
      <c r="BJ670" s="879">
        <v>32622</v>
      </c>
      <c r="BK670" s="879">
        <v>41379</v>
      </c>
      <c r="BL670" s="879">
        <v>52589</v>
      </c>
      <c r="BM670" s="879">
        <v>67321</v>
      </c>
      <c r="BN670" s="879">
        <v>79970</v>
      </c>
      <c r="BO670" s="879">
        <v>97726</v>
      </c>
      <c r="BP670" s="879"/>
    </row>
    <row r="671" spans="2:68">
      <c r="B671" t="s">
        <v>439</v>
      </c>
      <c r="H671" s="879">
        <v>1885</v>
      </c>
      <c r="I671" s="879">
        <v>3617</v>
      </c>
      <c r="J671" s="879">
        <v>1906</v>
      </c>
      <c r="K671" s="8">
        <f t="shared" si="3316"/>
        <v>1643</v>
      </c>
      <c r="L671" s="879">
        <v>1896</v>
      </c>
      <c r="M671" s="879">
        <v>3920</v>
      </c>
      <c r="N671" s="879">
        <v>2251</v>
      </c>
      <c r="O671" s="8">
        <f t="shared" si="3317"/>
        <v>2286</v>
      </c>
      <c r="P671" s="879">
        <v>2738</v>
      </c>
      <c r="Q671" s="879">
        <v>4232</v>
      </c>
      <c r="R671" s="879">
        <v>2363</v>
      </c>
      <c r="S671" s="8">
        <f t="shared" si="3318"/>
        <v>2053</v>
      </c>
      <c r="T671" s="879">
        <v>2542</v>
      </c>
      <c r="U671" s="879">
        <v>3327</v>
      </c>
      <c r="V671" s="879">
        <v>2349</v>
      </c>
      <c r="W671" s="880">
        <f t="shared" si="3319"/>
        <v>3357</v>
      </c>
      <c r="X671" s="879">
        <v>3092</v>
      </c>
      <c r="Y671" s="879">
        <v>5031</v>
      </c>
      <c r="Z671" s="879">
        <v>3533</v>
      </c>
      <c r="AA671" s="880">
        <f t="shared" si="3320"/>
        <v>3714</v>
      </c>
      <c r="AB671" s="879">
        <f>9035-AC671</f>
        <v>3593</v>
      </c>
      <c r="AC671" s="879">
        <v>5442</v>
      </c>
      <c r="AD671" s="879">
        <v>3740</v>
      </c>
      <c r="AE671" s="880">
        <f t="shared" si="3321"/>
        <v>3455</v>
      </c>
      <c r="AF671" s="879">
        <v>3610</v>
      </c>
      <c r="AG671" s="879">
        <v>4758</v>
      </c>
      <c r="AH671" s="879">
        <v>3607</v>
      </c>
      <c r="AI671" s="880">
        <f t="shared" si="3322"/>
        <v>3491</v>
      </c>
      <c r="AJ671" s="879">
        <v>3919</v>
      </c>
      <c r="AK671" s="879">
        <v>7111</v>
      </c>
      <c r="AL671" s="879">
        <v>5451</v>
      </c>
      <c r="AM671" s="8">
        <f t="shared" si="3323"/>
        <v>5022</v>
      </c>
      <c r="AN671" s="8"/>
      <c r="AO671" s="8"/>
      <c r="AP671" s="8"/>
      <c r="AQ671" s="8"/>
      <c r="AV671" s="879">
        <v>5598</v>
      </c>
      <c r="AW671" s="879">
        <v>5475</v>
      </c>
      <c r="AX671" s="879">
        <v>5456</v>
      </c>
      <c r="AY671" s="879">
        <v>8103</v>
      </c>
      <c r="AZ671" s="879">
        <v>8045</v>
      </c>
      <c r="BA671" s="879">
        <v>7100</v>
      </c>
      <c r="BB671" s="879">
        <v>8643</v>
      </c>
      <c r="BC671" s="879">
        <v>9121</v>
      </c>
      <c r="BD671" s="879">
        <v>9395</v>
      </c>
      <c r="BE671" s="879">
        <v>9256</v>
      </c>
      <c r="BF671" s="879"/>
      <c r="BG671" s="879">
        <v>9202</v>
      </c>
      <c r="BH671" s="879">
        <v>9051</v>
      </c>
      <c r="BI671" s="879">
        <v>10353</v>
      </c>
      <c r="BJ671" s="879">
        <v>11386</v>
      </c>
      <c r="BK671" s="879">
        <v>11575</v>
      </c>
      <c r="BL671" s="879">
        <v>15370</v>
      </c>
      <c r="BM671" s="879">
        <v>16230</v>
      </c>
      <c r="BN671" s="879">
        <v>15466</v>
      </c>
      <c r="BO671" s="879">
        <v>21503</v>
      </c>
      <c r="BP671" s="879"/>
    </row>
    <row r="672" spans="2:68">
      <c r="B672" t="s">
        <v>474</v>
      </c>
      <c r="H672" s="879">
        <v>4643</v>
      </c>
      <c r="I672" s="879">
        <v>4805</v>
      </c>
      <c r="J672" s="879">
        <v>4253</v>
      </c>
      <c r="K672" s="8">
        <f t="shared" si="3316"/>
        <v>4892</v>
      </c>
      <c r="L672" s="879">
        <v>4643</v>
      </c>
      <c r="M672" s="879">
        <v>4839</v>
      </c>
      <c r="N672" s="879">
        <v>4612</v>
      </c>
      <c r="O672" s="8">
        <f t="shared" si="3317"/>
        <v>5424</v>
      </c>
      <c r="P672" s="879">
        <v>4901</v>
      </c>
      <c r="Q672" s="879">
        <v>4758</v>
      </c>
      <c r="R672" s="879">
        <v>4944</v>
      </c>
      <c r="S672" s="8">
        <f t="shared" si="3318"/>
        <v>5792</v>
      </c>
      <c r="T672" s="879">
        <v>5353</v>
      </c>
      <c r="U672" s="879">
        <v>5593</v>
      </c>
      <c r="V672" s="879">
        <v>5220</v>
      </c>
      <c r="W672" s="880">
        <f t="shared" si="3319"/>
        <v>6128</v>
      </c>
      <c r="X672" s="879">
        <v>5305</v>
      </c>
      <c r="Y672" s="879">
        <v>5716</v>
      </c>
      <c r="Z672" s="879">
        <v>5646</v>
      </c>
      <c r="AA672" s="880">
        <f t="shared" si="3320"/>
        <v>6560</v>
      </c>
      <c r="AB672" s="879">
        <f>12276-AC672</f>
        <v>5676</v>
      </c>
      <c r="AC672" s="879">
        <v>6600</v>
      </c>
      <c r="AD672" s="879">
        <v>6077</v>
      </c>
      <c r="AE672" s="880">
        <f t="shared" si="3321"/>
        <v>6408</v>
      </c>
      <c r="AF672" s="879">
        <v>5313</v>
      </c>
      <c r="AG672" s="879">
        <v>4808</v>
      </c>
      <c r="AH672" s="879">
        <v>5328</v>
      </c>
      <c r="AI672" s="880">
        <f t="shared" si="3322"/>
        <v>6058</v>
      </c>
      <c r="AJ672" s="879">
        <v>5567</v>
      </c>
      <c r="AK672" s="879">
        <v>5262</v>
      </c>
      <c r="AL672" s="879">
        <v>5929</v>
      </c>
      <c r="AM672" s="8">
        <f t="shared" si="3323"/>
        <v>6486</v>
      </c>
      <c r="AN672" s="8"/>
      <c r="AO672" s="8"/>
      <c r="AP672" s="8"/>
      <c r="AQ672" s="8"/>
      <c r="AV672" s="879">
        <v>16838</v>
      </c>
      <c r="AW672" s="879">
        <v>14653</v>
      </c>
      <c r="AX672" s="879">
        <v>18225</v>
      </c>
      <c r="AY672" s="879">
        <v>17825</v>
      </c>
      <c r="AZ672" s="879">
        <v>17320</v>
      </c>
      <c r="BA672" s="879">
        <v>17529</v>
      </c>
      <c r="BB672" s="879">
        <v>16856</v>
      </c>
      <c r="BC672" s="879">
        <v>14826</v>
      </c>
      <c r="BD672" s="879">
        <v>8104</v>
      </c>
      <c r="BE672" s="879">
        <v>8625</v>
      </c>
      <c r="BF672" s="879"/>
      <c r="BG672" s="879">
        <v>17548</v>
      </c>
      <c r="BH672" s="879">
        <v>18593</v>
      </c>
      <c r="BI672" s="879">
        <v>19518</v>
      </c>
      <c r="BJ672" s="879">
        <v>20395</v>
      </c>
      <c r="BK672" s="879">
        <v>22294</v>
      </c>
      <c r="BL672" s="879">
        <v>23227</v>
      </c>
      <c r="BM672" s="879">
        <v>24761</v>
      </c>
      <c r="BN672" s="879">
        <v>21507</v>
      </c>
      <c r="BO672" s="879">
        <v>23244</v>
      </c>
      <c r="BP672" s="879"/>
    </row>
    <row r="673" spans="2:72">
      <c r="B673" t="s">
        <v>475</v>
      </c>
      <c r="H673" s="879">
        <v>1429</v>
      </c>
      <c r="I673" s="879">
        <v>1605</v>
      </c>
      <c r="J673" s="879">
        <v>1599</v>
      </c>
      <c r="K673" s="8">
        <f t="shared" si="3316"/>
        <v>1586</v>
      </c>
      <c r="L673" s="879">
        <v>1639</v>
      </c>
      <c r="M673" s="879">
        <v>1820</v>
      </c>
      <c r="N673" s="879">
        <v>1784</v>
      </c>
      <c r="O673" s="8">
        <f t="shared" si="3317"/>
        <v>1769</v>
      </c>
      <c r="P673" s="879">
        <v>1788</v>
      </c>
      <c r="Q673" s="879">
        <v>1976</v>
      </c>
      <c r="R673" s="879">
        <v>1911</v>
      </c>
      <c r="S673" s="8">
        <f t="shared" si="3318"/>
        <v>1953</v>
      </c>
      <c r="T673" s="879">
        <v>1991</v>
      </c>
      <c r="U673" s="879">
        <v>2163</v>
      </c>
      <c r="V673" s="879">
        <v>1986</v>
      </c>
      <c r="W673" s="880">
        <f t="shared" si="3319"/>
        <v>1600</v>
      </c>
      <c r="X673" s="879">
        <v>1789</v>
      </c>
      <c r="Y673" s="879">
        <v>2184</v>
      </c>
      <c r="Z673" s="879">
        <v>2218</v>
      </c>
      <c r="AA673" s="880">
        <f t="shared" si="3320"/>
        <v>2337</v>
      </c>
      <c r="AB673" s="879">
        <f>5720-AC673</f>
        <v>2656</v>
      </c>
      <c r="AC673" s="879">
        <v>3064</v>
      </c>
      <c r="AD673" s="879">
        <v>2945</v>
      </c>
      <c r="AE673" s="880">
        <f t="shared" si="3321"/>
        <v>2926</v>
      </c>
      <c r="AF673" s="879">
        <v>2928</v>
      </c>
      <c r="AG673" s="879">
        <v>3223</v>
      </c>
      <c r="AH673" s="879">
        <v>3045</v>
      </c>
      <c r="AI673" s="880">
        <f t="shared" si="3322"/>
        <v>3012</v>
      </c>
      <c r="AJ673" s="879">
        <v>3053</v>
      </c>
      <c r="AK673" s="879">
        <v>3220</v>
      </c>
      <c r="AL673" s="879">
        <v>3134</v>
      </c>
      <c r="AM673" s="8">
        <f t="shared" si="3323"/>
        <v>3169</v>
      </c>
      <c r="AN673" s="8"/>
      <c r="AO673" s="8"/>
      <c r="AP673" s="8"/>
      <c r="AQ673" s="8"/>
      <c r="AV673" s="879">
        <v>2425</v>
      </c>
      <c r="AW673" s="879">
        <v>2345</v>
      </c>
      <c r="AX673" s="879">
        <v>2528</v>
      </c>
      <c r="AY673" s="879">
        <v>2913</v>
      </c>
      <c r="AZ673" s="879">
        <v>3181</v>
      </c>
      <c r="BA673" s="879">
        <v>3387</v>
      </c>
      <c r="BB673" s="879">
        <v>4016</v>
      </c>
      <c r="BC673" s="879">
        <v>4557</v>
      </c>
      <c r="BD673" s="879">
        <v>6098</v>
      </c>
      <c r="BE673" s="879">
        <v>6971</v>
      </c>
      <c r="BF673" s="879"/>
      <c r="BG673" s="879">
        <v>5428</v>
      </c>
      <c r="BH673" s="879">
        <v>6219</v>
      </c>
      <c r="BI673" s="879">
        <v>7012</v>
      </c>
      <c r="BJ673" s="879">
        <v>7628</v>
      </c>
      <c r="BK673" s="879">
        <v>7740</v>
      </c>
      <c r="BL673" s="879">
        <v>8528</v>
      </c>
      <c r="BM673" s="879">
        <v>11591</v>
      </c>
      <c r="BN673" s="879">
        <v>12208</v>
      </c>
      <c r="BO673" s="879">
        <v>12576</v>
      </c>
      <c r="BP673" s="879"/>
    </row>
    <row r="674" spans="2:72">
      <c r="B674" t="s">
        <v>416</v>
      </c>
      <c r="H674" s="879">
        <v>1355</v>
      </c>
      <c r="I674" s="879">
        <v>1371</v>
      </c>
      <c r="J674" s="879">
        <v>1383</v>
      </c>
      <c r="K674" s="8">
        <f t="shared" si="3316"/>
        <v>1433</v>
      </c>
      <c r="L674" s="879">
        <v>1371</v>
      </c>
      <c r="M674" s="879">
        <v>1435</v>
      </c>
      <c r="N674" s="879">
        <v>1489</v>
      </c>
      <c r="O674" s="8">
        <f t="shared" si="3317"/>
        <v>1551</v>
      </c>
      <c r="P674" s="879">
        <v>1450</v>
      </c>
      <c r="Q674" s="879">
        <v>1521</v>
      </c>
      <c r="R674" s="879">
        <v>1542</v>
      </c>
      <c r="S674" s="8">
        <f t="shared" si="3318"/>
        <v>1611</v>
      </c>
      <c r="T674" s="879">
        <v>1545</v>
      </c>
      <c r="U674" s="879">
        <v>1612</v>
      </c>
      <c r="V674" s="879">
        <v>1633</v>
      </c>
      <c r="W674" s="880">
        <f t="shared" si="3319"/>
        <v>1619</v>
      </c>
      <c r="X674" s="879">
        <v>1637</v>
      </c>
      <c r="Y674" s="879">
        <v>1695</v>
      </c>
      <c r="Z674" s="879">
        <v>1803</v>
      </c>
      <c r="AA674" s="880">
        <f t="shared" si="3320"/>
        <v>1808</v>
      </c>
      <c r="AB674" s="879">
        <f>3614-AC674</f>
        <v>1791</v>
      </c>
      <c r="AC674" s="879">
        <v>1823</v>
      </c>
      <c r="AD674" s="879">
        <v>1891</v>
      </c>
      <c r="AE674" s="880">
        <f t="shared" si="3321"/>
        <v>1902</v>
      </c>
      <c r="AF674" s="879">
        <v>1876</v>
      </c>
      <c r="AG674" s="879">
        <v>1862</v>
      </c>
      <c r="AH674" s="879">
        <v>2007</v>
      </c>
      <c r="AI674" s="880">
        <f t="shared" si="3322"/>
        <v>1977</v>
      </c>
      <c r="AJ674" s="879">
        <v>1944</v>
      </c>
      <c r="AK674" s="879">
        <v>1917</v>
      </c>
      <c r="AL674" s="879">
        <v>1861</v>
      </c>
      <c r="AM674" s="8">
        <f t="shared" si="3323"/>
        <v>1872</v>
      </c>
      <c r="AN674" s="8"/>
      <c r="AO674" s="8"/>
      <c r="AP674" s="8"/>
      <c r="AQ674" s="8"/>
      <c r="AV674" s="879">
        <v>2743</v>
      </c>
      <c r="AW674" s="879">
        <v>3024</v>
      </c>
      <c r="AX674" s="879">
        <v>3036</v>
      </c>
      <c r="AY674" s="879">
        <v>3372</v>
      </c>
      <c r="AZ674" s="879">
        <v>3976</v>
      </c>
      <c r="BA674" s="879">
        <v>4372</v>
      </c>
      <c r="BB674" s="879">
        <v>4767</v>
      </c>
      <c r="BC674" s="879">
        <v>5090</v>
      </c>
      <c r="BD674" s="879">
        <v>5641</v>
      </c>
      <c r="BE674" s="879">
        <v>5588</v>
      </c>
      <c r="BF674" s="879"/>
      <c r="BG674" s="879">
        <v>5659</v>
      </c>
      <c r="BH674" s="879">
        <v>5542</v>
      </c>
      <c r="BI674" s="879">
        <v>5846</v>
      </c>
      <c r="BJ674" s="879">
        <v>6124</v>
      </c>
      <c r="BK674" s="879">
        <v>6409</v>
      </c>
      <c r="BL674" s="879">
        <v>6943</v>
      </c>
      <c r="BM674" s="879">
        <v>7407</v>
      </c>
      <c r="BN674" s="879">
        <v>7722</v>
      </c>
      <c r="BO674" s="879">
        <v>7594</v>
      </c>
      <c r="BP674" s="879"/>
    </row>
    <row r="675" spans="2:72" ht="11.45">
      <c r="B675" t="s">
        <v>476</v>
      </c>
      <c r="H675" s="879">
        <v>1362</v>
      </c>
      <c r="I675" s="879">
        <v>1697</v>
      </c>
      <c r="J675" s="879">
        <v>958</v>
      </c>
      <c r="K675" s="8">
        <f t="shared" si="3316"/>
        <v>1045</v>
      </c>
      <c r="L675" s="879">
        <v>1154</v>
      </c>
      <c r="M675" s="879">
        <v>1478</v>
      </c>
      <c r="N675" s="879">
        <v>1219</v>
      </c>
      <c r="O675" s="8">
        <f t="shared" si="3317"/>
        <v>1283</v>
      </c>
      <c r="P675" s="879">
        <v>1261</v>
      </c>
      <c r="Q675" s="879">
        <v>1948</v>
      </c>
      <c r="R675" s="879">
        <v>1423</v>
      </c>
      <c r="S675" s="8">
        <f t="shared" si="3318"/>
        <v>1463</v>
      </c>
      <c r="T675" s="879">
        <v>1202</v>
      </c>
      <c r="U675" s="879">
        <v>2048</v>
      </c>
      <c r="V675" s="879">
        <v>1412</v>
      </c>
      <c r="W675" s="880">
        <f t="shared" si="3319"/>
        <v>1795</v>
      </c>
      <c r="X675" s="879">
        <v>1620</v>
      </c>
      <c r="Y675" s="879">
        <v>2120</v>
      </c>
      <c r="Z675" s="879">
        <v>1599</v>
      </c>
      <c r="AA675" s="880">
        <f t="shared" si="3320"/>
        <v>1452</v>
      </c>
      <c r="AB675" s="879">
        <f>3646-AC675</f>
        <v>1361</v>
      </c>
      <c r="AC675" s="879">
        <v>2285</v>
      </c>
      <c r="AD675" s="879">
        <v>1764</v>
      </c>
      <c r="AE675" s="880">
        <f t="shared" si="3321"/>
        <v>1581</v>
      </c>
      <c r="AF675" s="879">
        <v>1448</v>
      </c>
      <c r="AG675" s="879">
        <v>1430</v>
      </c>
      <c r="AH675" s="879">
        <v>1282</v>
      </c>
      <c r="AI675" s="880">
        <f t="shared" si="3322"/>
        <v>1361</v>
      </c>
      <c r="AJ675" s="879">
        <v>1125</v>
      </c>
      <c r="AK675" s="879">
        <v>1298</v>
      </c>
      <c r="AL675" s="879">
        <v>1067</v>
      </c>
      <c r="AM675" s="8">
        <f t="shared" si="3323"/>
        <v>2991</v>
      </c>
      <c r="AN675" s="10"/>
      <c r="AO675" s="10"/>
      <c r="AP675" s="8"/>
      <c r="AQ675" s="8"/>
      <c r="AV675" s="879">
        <v>0</v>
      </c>
      <c r="AW675" s="879">
        <v>0</v>
      </c>
      <c r="AX675" s="879">
        <v>0</v>
      </c>
      <c r="AY675" s="879">
        <v>0</v>
      </c>
      <c r="AZ675" s="879">
        <f>162+0</f>
        <v>162</v>
      </c>
      <c r="BA675" s="879">
        <f>615+853</f>
        <v>1468</v>
      </c>
      <c r="BB675" s="879">
        <f>1883+3073</f>
        <v>4956</v>
      </c>
      <c r="BC675" s="879">
        <v>11602</v>
      </c>
      <c r="BD675" s="879">
        <v>7466</v>
      </c>
      <c r="BE675" s="879">
        <v>4557</v>
      </c>
      <c r="BF675" s="879"/>
      <c r="BG675" s="879">
        <v>7888</v>
      </c>
      <c r="BH675" s="879">
        <v>5062</v>
      </c>
      <c r="BI675" s="879">
        <v>5134</v>
      </c>
      <c r="BJ675" s="879">
        <v>6095</v>
      </c>
      <c r="BK675" s="879">
        <v>6457</v>
      </c>
      <c r="BL675" s="879">
        <v>6791</v>
      </c>
      <c r="BM675" s="879">
        <v>6991</v>
      </c>
      <c r="BN675" s="879">
        <v>5521</v>
      </c>
      <c r="BO675" s="879">
        <v>6481</v>
      </c>
      <c r="BP675" s="879"/>
    </row>
    <row r="676" spans="2:72">
      <c r="B676" t="s">
        <v>385</v>
      </c>
      <c r="H676" s="879">
        <v>0</v>
      </c>
      <c r="I676" s="879">
        <v>228</v>
      </c>
      <c r="J676" s="879">
        <v>976</v>
      </c>
      <c r="K676" s="8">
        <f t="shared" si="3316"/>
        <v>1067</v>
      </c>
      <c r="L676" s="879">
        <v>1148</v>
      </c>
      <c r="M676" s="879">
        <v>1312</v>
      </c>
      <c r="N676" s="879">
        <v>1335</v>
      </c>
      <c r="O676" s="8">
        <f t="shared" si="3317"/>
        <v>1464</v>
      </c>
      <c r="P676" s="879">
        <v>1530</v>
      </c>
      <c r="Q676" s="879">
        <v>1693</v>
      </c>
      <c r="R676" s="879">
        <v>1696</v>
      </c>
      <c r="S676" s="8">
        <f t="shared" si="3318"/>
        <v>1835</v>
      </c>
      <c r="T676" s="879">
        <v>1909</v>
      </c>
      <c r="U676" s="879">
        <v>2102</v>
      </c>
      <c r="V676" s="879">
        <v>2050</v>
      </c>
      <c r="W676" s="880">
        <f t="shared" si="3319"/>
        <v>2016</v>
      </c>
      <c r="X676" s="879">
        <v>2206</v>
      </c>
      <c r="Y676" s="879">
        <v>2577</v>
      </c>
      <c r="Z676" s="879">
        <v>2562</v>
      </c>
      <c r="AA676" s="880">
        <f t="shared" si="3320"/>
        <v>2944</v>
      </c>
      <c r="AB676" s="879">
        <f>6667-AC676</f>
        <v>3136</v>
      </c>
      <c r="AC676" s="879">
        <v>3531</v>
      </c>
      <c r="AD676" s="879">
        <v>3437</v>
      </c>
      <c r="AE676" s="880">
        <f t="shared" si="3321"/>
        <v>3712</v>
      </c>
      <c r="AF676" s="879">
        <v>3663</v>
      </c>
      <c r="AG676" s="879">
        <v>3876</v>
      </c>
      <c r="AH676" s="879">
        <v>3697</v>
      </c>
      <c r="AI676" s="880">
        <f t="shared" si="3322"/>
        <v>3909</v>
      </c>
      <c r="AJ676" s="879">
        <v>3913</v>
      </c>
      <c r="AK676" s="879">
        <v>4195</v>
      </c>
      <c r="AL676" s="879">
        <v>4013</v>
      </c>
      <c r="AM676" s="8">
        <f t="shared" si="3323"/>
        <v>4251</v>
      </c>
      <c r="AN676" s="8"/>
      <c r="AO676" s="8"/>
      <c r="AP676" s="8"/>
      <c r="AQ676" s="8"/>
      <c r="AV676" s="879">
        <v>0</v>
      </c>
      <c r="AW676" s="879">
        <v>0</v>
      </c>
      <c r="AX676" s="879">
        <v>0</v>
      </c>
      <c r="AY676" s="879">
        <v>0</v>
      </c>
      <c r="AZ676" s="879">
        <v>0</v>
      </c>
      <c r="BA676" s="879">
        <v>0</v>
      </c>
      <c r="BB676" s="879">
        <v>0</v>
      </c>
      <c r="BC676" s="879">
        <v>0</v>
      </c>
      <c r="BD676" s="879">
        <v>0</v>
      </c>
      <c r="BE676" s="879">
        <v>2268</v>
      </c>
      <c r="BF676" s="879"/>
      <c r="BG676" s="879">
        <v>0</v>
      </c>
      <c r="BH676" s="879">
        <v>2271</v>
      </c>
      <c r="BI676" s="879">
        <v>5259</v>
      </c>
      <c r="BJ676" s="879">
        <v>6754</v>
      </c>
      <c r="BK676" s="879">
        <v>8077</v>
      </c>
      <c r="BL676" s="879">
        <v>10289</v>
      </c>
      <c r="BM676" s="879">
        <v>13816</v>
      </c>
      <c r="BN676" s="879">
        <v>15145</v>
      </c>
      <c r="BO676" s="879">
        <v>16372</v>
      </c>
      <c r="BP676" s="879"/>
    </row>
    <row r="677" spans="2:72" ht="11.45">
      <c r="B677" t="s">
        <v>198</v>
      </c>
      <c r="H677" s="905">
        <v>583</v>
      </c>
      <c r="I677" s="905">
        <v>732</v>
      </c>
      <c r="J677" s="905">
        <v>606</v>
      </c>
      <c r="K677" s="10">
        <f t="shared" si="3316"/>
        <v>690</v>
      </c>
      <c r="L677" s="905">
        <v>616</v>
      </c>
      <c r="M677" s="905">
        <v>740</v>
      </c>
      <c r="N677" s="905">
        <v>698</v>
      </c>
      <c r="O677" s="10">
        <f t="shared" si="3317"/>
        <v>739</v>
      </c>
      <c r="P677" s="905">
        <v>736</v>
      </c>
      <c r="Q677" s="905">
        <v>805</v>
      </c>
      <c r="R677" s="905">
        <v>750</v>
      </c>
      <c r="S677" s="10">
        <f t="shared" si="3318"/>
        <v>779</v>
      </c>
      <c r="T677" s="905">
        <v>855</v>
      </c>
      <c r="U677" s="905">
        <v>959</v>
      </c>
      <c r="V677" s="905">
        <v>961</v>
      </c>
      <c r="W677" s="906">
        <f t="shared" si="3319"/>
        <v>993</v>
      </c>
      <c r="X677" s="905">
        <v>1032</v>
      </c>
      <c r="Y677" s="905">
        <v>1143</v>
      </c>
      <c r="Z677" s="905">
        <v>1125</v>
      </c>
      <c r="AA677" s="906">
        <f t="shared" si="3320"/>
        <v>1179</v>
      </c>
      <c r="AB677" s="905">
        <f>2584-AC677</f>
        <v>1227</v>
      </c>
      <c r="AC677" s="905">
        <v>1357</v>
      </c>
      <c r="AD677" s="905">
        <v>1304</v>
      </c>
      <c r="AE677" s="906">
        <f t="shared" si="3321"/>
        <v>1403</v>
      </c>
      <c r="AF677" s="905">
        <v>1348</v>
      </c>
      <c r="AG677" s="905">
        <v>1359</v>
      </c>
      <c r="AH677" s="905">
        <v>1428</v>
      </c>
      <c r="AI677" s="906">
        <f t="shared" si="3322"/>
        <v>1513</v>
      </c>
      <c r="AJ677" s="905">
        <f>+AJ678-SUM(AJ669:AJ676)</f>
        <v>1548</v>
      </c>
      <c r="AK677" s="905">
        <f t="shared" ref="AK677:AL677" si="3324">+AK678-SUM(AK669:AK676)</f>
        <v>1587</v>
      </c>
      <c r="AL677" s="905">
        <f t="shared" si="3324"/>
        <v>1660</v>
      </c>
      <c r="AM677" s="10">
        <f t="shared" si="3323"/>
        <v>-44</v>
      </c>
      <c r="AN677" s="8"/>
      <c r="AO677" s="8"/>
      <c r="AP677" s="10"/>
      <c r="AQ677" s="10"/>
      <c r="AV677" s="905">
        <v>4122</v>
      </c>
      <c r="AW677" s="905">
        <v>3598</v>
      </c>
      <c r="AX677" s="905">
        <v>3478</v>
      </c>
      <c r="AY677" s="905">
        <v>3749</v>
      </c>
      <c r="AZ677" s="905">
        <v>4508</v>
      </c>
      <c r="BA677" s="905">
        <v>5590</v>
      </c>
      <c r="BB677" s="905">
        <v>6217</v>
      </c>
      <c r="BC677" s="905">
        <v>6234</v>
      </c>
      <c r="BD677" s="905">
        <v>5851</v>
      </c>
      <c r="BE677" s="905">
        <v>5538</v>
      </c>
      <c r="BF677" s="905"/>
      <c r="BG677" s="905">
        <v>2499</v>
      </c>
      <c r="BH677" s="905">
        <v>2611</v>
      </c>
      <c r="BI677" s="905">
        <v>2793</v>
      </c>
      <c r="BJ677" s="905">
        <v>3070</v>
      </c>
      <c r="BK677" s="905">
        <v>3768</v>
      </c>
      <c r="BL677" s="905">
        <v>4479</v>
      </c>
      <c r="BM677" s="905">
        <v>5291</v>
      </c>
      <c r="BN677" s="905">
        <f>+BN678-SUM(BN669:BN676)</f>
        <v>5648</v>
      </c>
      <c r="BO677" s="905">
        <f t="shared" ref="BO677" si="3325">+BO678-SUM(BO669:BO676)</f>
        <v>4751</v>
      </c>
      <c r="BP677" s="905"/>
    </row>
    <row r="678" spans="2:72" s="1" customFormat="1" ht="10.5">
      <c r="B678" s="837" t="s">
        <v>477</v>
      </c>
      <c r="H678" s="838">
        <f t="shared" ref="H678:Q678" si="3326">SUM(H669:H677)</f>
        <v>21928</v>
      </c>
      <c r="I678" s="838">
        <f t="shared" si="3326"/>
        <v>25826</v>
      </c>
      <c r="J678" s="838">
        <f t="shared" si="3326"/>
        <v>23212</v>
      </c>
      <c r="K678" s="838">
        <f t="shared" si="3326"/>
        <v>25605</v>
      </c>
      <c r="L678" s="838">
        <f t="shared" si="3326"/>
        <v>24538</v>
      </c>
      <c r="M678" s="838">
        <f t="shared" si="3326"/>
        <v>28918</v>
      </c>
      <c r="N678" s="838">
        <f t="shared" si="3326"/>
        <v>26819</v>
      </c>
      <c r="O678" s="838">
        <f t="shared" si="3326"/>
        <v>30085</v>
      </c>
      <c r="P678" s="838">
        <f t="shared" si="3326"/>
        <v>29084</v>
      </c>
      <c r="Q678" s="838">
        <f t="shared" si="3326"/>
        <v>32471</v>
      </c>
      <c r="R678" s="838">
        <f t="shared" ref="R678:W678" si="3327">SUM(R669:R677)</f>
        <v>30571</v>
      </c>
      <c r="S678" s="838">
        <f t="shared" si="3327"/>
        <v>33717</v>
      </c>
      <c r="T678" s="838">
        <f t="shared" si="3327"/>
        <v>33055</v>
      </c>
      <c r="U678" s="838">
        <f t="shared" si="3327"/>
        <v>36906</v>
      </c>
      <c r="V678" s="838">
        <f t="shared" si="3327"/>
        <v>35021</v>
      </c>
      <c r="W678" s="849">
        <f t="shared" si="3327"/>
        <v>38033</v>
      </c>
      <c r="X678" s="838">
        <f t="shared" ref="X678:Y678" si="3328">SUM(X669:X677)</f>
        <v>37154</v>
      </c>
      <c r="Y678" s="838">
        <f t="shared" si="3328"/>
        <v>43076</v>
      </c>
      <c r="Z678" s="838">
        <f t="shared" ref="Z678:AC678" si="3329">SUM(Z669:Z677)</f>
        <v>41706</v>
      </c>
      <c r="AA678" s="849">
        <f t="shared" si="3329"/>
        <v>46152</v>
      </c>
      <c r="AB678" s="838">
        <f t="shared" si="3329"/>
        <v>45317</v>
      </c>
      <c r="AC678" s="838">
        <f t="shared" si="3329"/>
        <v>51728</v>
      </c>
      <c r="AD678" s="838">
        <f t="shared" ref="AD678:AG678" si="3330">SUM(AD669:AD677)</f>
        <v>49360</v>
      </c>
      <c r="AE678" s="849">
        <f t="shared" si="3330"/>
        <v>51865</v>
      </c>
      <c r="AF678" s="838">
        <f t="shared" si="3330"/>
        <v>50122</v>
      </c>
      <c r="AG678" s="838">
        <f t="shared" si="3330"/>
        <v>52747</v>
      </c>
      <c r="AH678" s="838">
        <f t="shared" ref="AH678" si="3331">SUM(AH669:AH677)</f>
        <v>52857</v>
      </c>
      <c r="AI678" s="849">
        <f t="shared" si="3322"/>
        <v>56189</v>
      </c>
      <c r="AJ678" s="838">
        <f>+AJ12</f>
        <v>56517</v>
      </c>
      <c r="AK678" s="838">
        <f>+AK12</f>
        <v>62020</v>
      </c>
      <c r="AL678" s="838">
        <f>+AL12</f>
        <v>61858</v>
      </c>
      <c r="AM678" s="838">
        <f t="shared" si="3323"/>
        <v>64727</v>
      </c>
      <c r="AP678" s="838"/>
      <c r="AQ678" s="838"/>
      <c r="AV678" s="838">
        <f t="shared" ref="AV678:BE678" si="3332">SUM(AV669:AV677)</f>
        <v>60420</v>
      </c>
      <c r="AW678" s="838">
        <f t="shared" si="3332"/>
        <v>58437</v>
      </c>
      <c r="AX678" s="838">
        <f t="shared" si="3332"/>
        <v>62484</v>
      </c>
      <c r="AY678" s="838">
        <f t="shared" si="3332"/>
        <v>69943</v>
      </c>
      <c r="AZ678" s="838">
        <f t="shared" si="3332"/>
        <v>73723</v>
      </c>
      <c r="BA678" s="838">
        <f t="shared" si="3332"/>
        <v>77849</v>
      </c>
      <c r="BB678" s="838">
        <f t="shared" si="3332"/>
        <v>86833</v>
      </c>
      <c r="BC678" s="838">
        <f t="shared" si="3332"/>
        <v>93580</v>
      </c>
      <c r="BD678" s="838">
        <f t="shared" si="3332"/>
        <v>85320</v>
      </c>
      <c r="BE678" s="838">
        <f t="shared" si="3332"/>
        <v>89950</v>
      </c>
      <c r="BF678" s="838"/>
      <c r="BG678" s="838">
        <f>SUM(BG669:BG677)</f>
        <v>91154</v>
      </c>
      <c r="BH678" s="838">
        <f t="shared" ref="BH678:BK678" si="3333">SUM(BH669:BH677)</f>
        <v>96571</v>
      </c>
      <c r="BI678" s="838">
        <f t="shared" si="3333"/>
        <v>110360</v>
      </c>
      <c r="BJ678" s="838">
        <f t="shared" si="3333"/>
        <v>125843</v>
      </c>
      <c r="BK678" s="838">
        <f t="shared" si="3333"/>
        <v>143015</v>
      </c>
      <c r="BL678" s="838">
        <f t="shared" ref="BL678:BM678" si="3334">SUM(BL669:BL677)</f>
        <v>168088</v>
      </c>
      <c r="BM678" s="838">
        <f t="shared" si="3334"/>
        <v>198270</v>
      </c>
      <c r="BN678" s="838">
        <f>+BN12</f>
        <v>211915</v>
      </c>
      <c r="BO678" s="838">
        <f>+BO12</f>
        <v>245122</v>
      </c>
      <c r="BP678" s="838"/>
      <c r="BT678"/>
    </row>
    <row r="679" spans="2:72" ht="10.5">
      <c r="B679" s="18"/>
      <c r="AF679" s="228"/>
      <c r="AG679" s="228"/>
      <c r="AH679" s="228"/>
      <c r="AJ679" s="228"/>
      <c r="AK679" s="228"/>
      <c r="AN679" s="838"/>
      <c r="AO679" s="838"/>
      <c r="AV679" s="8"/>
      <c r="AW679" s="8"/>
      <c r="AX679" s="8"/>
      <c r="AY679" s="8"/>
      <c r="AZ679" s="8"/>
      <c r="BA679" s="900"/>
      <c r="BB679" s="900"/>
      <c r="BC679" s="900"/>
      <c r="BD679" s="900"/>
      <c r="BE679" s="900"/>
    </row>
    <row r="680" spans="2:72" s="3" customFormat="1">
      <c r="B680" s="24" t="s">
        <v>113</v>
      </c>
      <c r="AF680" s="228"/>
      <c r="AG680" s="228"/>
      <c r="AH680" s="228"/>
      <c r="AJ680" s="228"/>
      <c r="AK680" s="228"/>
      <c r="AZ680" s="92"/>
      <c r="BA680" s="92"/>
      <c r="BB680" s="92"/>
      <c r="BC680" s="92"/>
      <c r="BD680" s="92"/>
      <c r="BE680" s="92"/>
      <c r="BF680" s="92"/>
      <c r="BG680" s="92"/>
      <c r="BH680" s="92"/>
      <c r="BT680"/>
    </row>
    <row r="681" spans="2:72" s="3" customFormat="1">
      <c r="B681" s="13" t="str">
        <f>+B669</f>
        <v>Office products and cloud services</v>
      </c>
      <c r="L681" s="228">
        <f t="shared" ref="L681:L690" si="3335">+IFERROR(L669/H669-1,"n/a ")</f>
        <v>9.9130725509863016E-2</v>
      </c>
      <c r="M681" s="228">
        <f t="shared" ref="M681:M690" si="3336">+IFERROR(M669/I669-1,"n/a ")</f>
        <v>9.8773101413262898E-2</v>
      </c>
      <c r="N681" s="228">
        <f t="shared" ref="N681:N690" si="3337">+IFERROR(N669/J669-1,"n/a ")</f>
        <v>0.13699069618222648</v>
      </c>
      <c r="O681" s="228">
        <f t="shared" ref="O681:O690" si="3338">+IFERROR(O669/K669-1,"n/a ")</f>
        <v>9.5403295750216888E-2</v>
      </c>
      <c r="P681" s="228">
        <f t="shared" ref="P681:P690" si="3339">+IFERROR(P669/L669-1,"n/a ")</f>
        <v>0.15923954372623572</v>
      </c>
      <c r="Q681" s="228">
        <f t="shared" ref="Q681:Q690" si="3340">+IFERROR(Q669/M669-1,"n/a ")</f>
        <v>9.4982332155477023E-2</v>
      </c>
      <c r="R681" s="228">
        <f t="shared" ref="R681:R690" si="3341">+IFERROR(R669/N669-1,"n/a ")</f>
        <v>0.1130079006772009</v>
      </c>
      <c r="S681" s="228">
        <f t="shared" ref="S681:S690" si="3342">+IFERROR(S669/O669-1,"n/a ")</f>
        <v>0.12311955661124308</v>
      </c>
      <c r="T681" s="228">
        <f t="shared" ref="T681:T690" si="3343">+IFERROR(T669/P669-1,"n/a ")</f>
        <v>0.11073209131461548</v>
      </c>
      <c r="U681" s="228">
        <f t="shared" ref="U681:U690" si="3344">+IFERROR(U669/Q669-1,"n/a ")</f>
        <v>0.15954563056667093</v>
      </c>
      <c r="V681" s="228">
        <f t="shared" ref="V681:V690" si="3345">+IFERROR(V669/R669-1,"n/a ")</f>
        <v>0.1306883001647865</v>
      </c>
      <c r="W681" s="228">
        <f t="shared" ref="W681:W690" si="3346">+IFERROR(W669/S669-1,"n/a ")</f>
        <v>5.1227822817530244E-2</v>
      </c>
      <c r="X681" s="228">
        <f t="shared" ref="X681:X690" si="3347">+IFERROR(X669/T669-1,"n/a ")</f>
        <v>9.5913064020789029E-2</v>
      </c>
      <c r="Y681" s="228">
        <f t="shared" ref="Y681:Y690" si="3348">+IFERROR(Y669/U669-1,"n/a ")</f>
        <v>9.9966603584548563E-2</v>
      </c>
      <c r="Z681" s="228">
        <f t="shared" ref="Z681:AA690" si="3349">+IFERROR(Z669/V669-1,"n/a ")</f>
        <v>0.12286995515695076</v>
      </c>
      <c r="AA681" s="228">
        <f t="shared" si="3349"/>
        <v>0.19559628925896955</v>
      </c>
      <c r="AB681" s="228">
        <f t="shared" ref="AB681:AB690" si="3350">+IFERROR(AB669/X669-1,"n/a ")</f>
        <v>0.16490622979090319</v>
      </c>
      <c r="AC681" s="228">
        <f t="shared" ref="AC681:AC690" si="3351">+IFERROR(AC669/Y669-1,"n/a ")</f>
        <v>0.13864993421718452</v>
      </c>
      <c r="AD681" s="228">
        <f t="shared" ref="AD681:AE690" si="3352">+IFERROR(AD669/Z669-1,"n/a ")</f>
        <v>0.11461661341853024</v>
      </c>
      <c r="AE681" s="228">
        <f t="shared" si="3352"/>
        <v>8.8062073478545333E-2</v>
      </c>
      <c r="AF681" s="228">
        <f t="shared" ref="AF681:AF690" si="3353">+IFERROR(AF669/AB669-1,"n/a ")</f>
        <v>6.8467801628423475E-2</v>
      </c>
      <c r="AG681" s="228">
        <f t="shared" ref="AG681:AG690" si="3354">+IFERROR(AG669/AC669-1,"n/a ")</f>
        <v>5.2084259176962133E-2</v>
      </c>
      <c r="AH681" s="228">
        <f t="shared" ref="AH681:AH690" si="3355">+IFERROR(AH669/AD669-1,"n/a ")</f>
        <v>0.11411680401289859</v>
      </c>
      <c r="AI681" s="228">
        <f t="shared" ref="AI681:AI690" si="3356">+IFERROR(AI669/AE669-1,"n/a ")</f>
        <v>0.10877223129134816</v>
      </c>
      <c r="AJ681" s="228">
        <f t="shared" ref="AJ681:AJ690" si="3357">+IFERROR(AJ669/AF669-1,"n/a ")</f>
        <v>0.13785936958780742</v>
      </c>
      <c r="AK681" s="228">
        <f t="shared" ref="AK681:AK690" si="3358">+IFERROR(AK669/AG669-1,"n/a ")</f>
        <v>0.13854861873785596</v>
      </c>
      <c r="AL681" s="228">
        <f t="shared" ref="AL681:AL690" si="3359">+IFERROR(AL669/AH669-1,"n/a ")</f>
        <v>0.11842739990352147</v>
      </c>
      <c r="AM681" s="228">
        <f t="shared" ref="AM681:AM690" si="3360">+IFERROR(AM669/AI669-1,"n/a ")</f>
        <v>0.11173963580007751</v>
      </c>
      <c r="AN681" s="228"/>
      <c r="AO681" s="228"/>
      <c r="AP681" s="228"/>
      <c r="AQ681" s="228"/>
      <c r="AR681" s="228"/>
      <c r="AS681" s="228"/>
      <c r="AT681" s="228"/>
      <c r="AU681" s="228"/>
      <c r="AV681" s="228"/>
      <c r="AW681" s="228">
        <f t="shared" ref="AW681:BE681" si="3361">+IFERROR(AW669/AV669-1,"n/a ")</f>
        <v>-4.700547475529504E-3</v>
      </c>
      <c r="AX681" s="228">
        <f t="shared" si="3361"/>
        <v>-1.355706189576622E-2</v>
      </c>
      <c r="AY681" s="228">
        <f t="shared" si="3361"/>
        <v>0.16762419736397427</v>
      </c>
      <c r="AZ681" s="228">
        <f t="shared" si="3361"/>
        <v>7.5687409551374873E-2</v>
      </c>
      <c r="BA681" s="228">
        <f t="shared" si="3361"/>
        <v>3.1212161980357811E-2</v>
      </c>
      <c r="BB681" s="228">
        <f t="shared" si="3361"/>
        <v>5.7751685148945464E-2</v>
      </c>
      <c r="BC681" s="228">
        <f t="shared" si="3361"/>
        <v>-3.2273979361098548E-2</v>
      </c>
      <c r="BD681" s="228">
        <f t="shared" si="3361"/>
        <v>2.1242246579997737E-3</v>
      </c>
      <c r="BE681" s="228">
        <f t="shared" si="3361"/>
        <v>7.6352382567407062E-2</v>
      </c>
      <c r="BF681" s="228"/>
      <c r="BG681" s="829">
        <f t="shared" ref="BG681:BG690" si="3362">+BD681</f>
        <v>2.1242246579997737E-3</v>
      </c>
      <c r="BH681" s="228">
        <f t="shared" ref="BH681:BJ690" si="3363">+IFERROR(BH669/BG669-1,"n/a ")</f>
        <v>7.143455672867427E-2</v>
      </c>
      <c r="BI681" s="228">
        <f t="shared" si="3363"/>
        <v>0.10726156493176386</v>
      </c>
      <c r="BJ681" s="228">
        <f t="shared" si="3363"/>
        <v>0.12194518999858728</v>
      </c>
      <c r="BK681" s="228">
        <f t="shared" ref="BK681:BK690" si="3364">+IFERROR(BK669/BJ669-1,"n/a ")</f>
        <v>0.11164972142654794</v>
      </c>
      <c r="BL681" s="228">
        <f t="shared" ref="BL681:BL690" si="3365">+IFERROR(BL669/BK669-1,"n/a ")</f>
        <v>0.12900668252350211</v>
      </c>
      <c r="BM681" s="228">
        <f t="shared" ref="BM681:BN690" si="3366">+IFERROR(BM669/BL669-1,"n/a ")</f>
        <v>0.125150481540931</v>
      </c>
      <c r="BN681" s="228">
        <f t="shared" si="3366"/>
        <v>8.6175382283447011E-2</v>
      </c>
      <c r="BO681" s="228">
        <f t="shared" ref="BO681:BO690" si="3367">+IFERROR(BO669/BN669-1,"n/a ")</f>
        <v>0.12614923657855859</v>
      </c>
      <c r="BP681" s="23"/>
      <c r="BT681"/>
    </row>
    <row r="682" spans="2:72" s="3" customFormat="1">
      <c r="B682" s="13" t="str">
        <f t="shared" ref="B682:B690" si="3368">+B670</f>
        <v>Server products and cloud services</v>
      </c>
      <c r="L682" s="228">
        <f t="shared" si="3335"/>
        <v>0.17210492642354436</v>
      </c>
      <c r="M682" s="228">
        <f t="shared" si="3336"/>
        <v>0.18135783945986494</v>
      </c>
      <c r="N682" s="228">
        <f t="shared" si="3337"/>
        <v>0.19747026618840846</v>
      </c>
      <c r="O682" s="228">
        <f t="shared" si="3338"/>
        <v>0.26220186384457422</v>
      </c>
      <c r="P682" s="228">
        <f t="shared" si="3339"/>
        <v>0.28420669577874813</v>
      </c>
      <c r="Q682" s="228">
        <f t="shared" si="3340"/>
        <v>0.23686299412605183</v>
      </c>
      <c r="R682" s="228">
        <f t="shared" si="3341"/>
        <v>0.26958852278101841</v>
      </c>
      <c r="S682" s="228">
        <f t="shared" si="3342"/>
        <v>0.21636841446627453</v>
      </c>
      <c r="T682" s="228">
        <f t="shared" si="3343"/>
        <v>0.30235194105979035</v>
      </c>
      <c r="U682" s="228">
        <f t="shared" si="3344"/>
        <v>0.29880631497882182</v>
      </c>
      <c r="V682" s="228">
        <f t="shared" si="3345"/>
        <v>0.30262014156215078</v>
      </c>
      <c r="W682" s="228">
        <f t="shared" si="3346"/>
        <v>0.19115226337448554</v>
      </c>
      <c r="X682" s="228">
        <f t="shared" si="3347"/>
        <v>0.21790687554395127</v>
      </c>
      <c r="Y682" s="228">
        <f t="shared" si="3348"/>
        <v>0.25793062555588486</v>
      </c>
      <c r="Z682" s="228">
        <f t="shared" si="3349"/>
        <v>0.25872259294566247</v>
      </c>
      <c r="AA682" s="228">
        <f t="shared" si="3349"/>
        <v>0.33537743997236147</v>
      </c>
      <c r="AB682" s="228">
        <f t="shared" si="3350"/>
        <v>0.34604734256364456</v>
      </c>
      <c r="AC682" s="228">
        <f t="shared" si="3351"/>
        <v>0.28643255558174241</v>
      </c>
      <c r="AD682" s="228">
        <f t="shared" si="3352"/>
        <v>0.29036655558921542</v>
      </c>
      <c r="AE682" s="228">
        <f t="shared" si="3352"/>
        <v>0.21848522087833899</v>
      </c>
      <c r="AF682" s="228">
        <f t="shared" si="3353"/>
        <v>0.220253500564072</v>
      </c>
      <c r="AG682" s="228">
        <f t="shared" si="3354"/>
        <v>0.19658015267175566</v>
      </c>
      <c r="AH682" s="228">
        <f t="shared" si="3355"/>
        <v>0.17531400399107877</v>
      </c>
      <c r="AI682" s="228">
        <f t="shared" si="3356"/>
        <v>0.16582621158235566</v>
      </c>
      <c r="AJ682" s="228">
        <f t="shared" si="3357"/>
        <v>0.21318251033282576</v>
      </c>
      <c r="AK682" s="228">
        <f t="shared" si="3358"/>
        <v>0.22246606103909361</v>
      </c>
      <c r="AL682" s="228">
        <f t="shared" si="3359"/>
        <v>0.24004993757802739</v>
      </c>
      <c r="AM682" s="228">
        <f t="shared" si="3360"/>
        <v>0.212630332832491</v>
      </c>
      <c r="AN682" s="228"/>
      <c r="AO682" s="228"/>
      <c r="AP682" s="228"/>
      <c r="AQ682" s="228"/>
      <c r="AR682" s="228"/>
      <c r="AS682" s="228"/>
      <c r="AT682" s="228"/>
      <c r="AU682" s="228"/>
      <c r="AV682" s="228"/>
      <c r="AW682" s="228">
        <f t="shared" ref="AW682:BE682" si="3369">+IFERROR(AW670/AV670-1,"n/a ")</f>
        <v>6.9079257374422776E-2</v>
      </c>
      <c r="AX682" s="228">
        <f t="shared" si="3369"/>
        <v>5.8444992947813912E-2</v>
      </c>
      <c r="AY682" s="228">
        <f t="shared" si="3369"/>
        <v>0.10360622969934208</v>
      </c>
      <c r="AZ682" s="228">
        <f t="shared" si="3369"/>
        <v>7.4032148517092944E-2</v>
      </c>
      <c r="BA682" s="228">
        <f t="shared" si="3369"/>
        <v>8.2630691399662837E-2</v>
      </c>
      <c r="BB682" s="228">
        <f t="shared" si="3369"/>
        <v>0.10689252336448596</v>
      </c>
      <c r="BC682" s="228">
        <f t="shared" si="3369"/>
        <v>9.1292875989446021E-2</v>
      </c>
      <c r="BD682" s="228">
        <f t="shared" si="3369"/>
        <v>3.0356759080163442E-2</v>
      </c>
      <c r="BE682" s="228">
        <f t="shared" si="3369"/>
        <v>0.13458830891171725</v>
      </c>
      <c r="BF682" s="228"/>
      <c r="BG682" s="829">
        <f t="shared" si="3362"/>
        <v>3.0356759080163442E-2</v>
      </c>
      <c r="BH682" s="228">
        <f t="shared" si="3363"/>
        <v>0.13571503514846284</v>
      </c>
      <c r="BI682" s="228">
        <f t="shared" si="3363"/>
        <v>0.20693796480206927</v>
      </c>
      <c r="BJ682" s="228">
        <f t="shared" si="3363"/>
        <v>0.24849783765165134</v>
      </c>
      <c r="BK682" s="228">
        <f t="shared" si="3364"/>
        <v>0.26843847710134261</v>
      </c>
      <c r="BL682" s="228">
        <f t="shared" si="3365"/>
        <v>0.27091036516107203</v>
      </c>
      <c r="BM682" s="228">
        <f t="shared" si="3366"/>
        <v>0.28013462891479213</v>
      </c>
      <c r="BN682" s="228">
        <f t="shared" si="3366"/>
        <v>0.18789085129454408</v>
      </c>
      <c r="BO682" s="228">
        <f t="shared" si="3367"/>
        <v>0.22203326247342758</v>
      </c>
      <c r="BP682" s="23"/>
    </row>
    <row r="683" spans="2:72" s="3" customFormat="1">
      <c r="B683" s="13" t="str">
        <f t="shared" si="3368"/>
        <v>Gaming</v>
      </c>
      <c r="L683" s="228">
        <f t="shared" si="3335"/>
        <v>5.8355437665782439E-3</v>
      </c>
      <c r="M683" s="228">
        <f t="shared" si="3336"/>
        <v>8.3771081006358772E-2</v>
      </c>
      <c r="N683" s="228">
        <f t="shared" si="3337"/>
        <v>0.18100734522560336</v>
      </c>
      <c r="O683" s="228">
        <f t="shared" si="3338"/>
        <v>0.39135727328058434</v>
      </c>
      <c r="P683" s="228">
        <f t="shared" si="3339"/>
        <v>0.44409282700421948</v>
      </c>
      <c r="Q683" s="228">
        <f t="shared" si="3340"/>
        <v>7.9591836734693944E-2</v>
      </c>
      <c r="R683" s="228">
        <f t="shared" si="3341"/>
        <v>4.9755664149266909E-2</v>
      </c>
      <c r="S683" s="228">
        <f t="shared" si="3342"/>
        <v>-0.10192475940507439</v>
      </c>
      <c r="T683" s="228">
        <f t="shared" si="3343"/>
        <v>-7.1585098612125586E-2</v>
      </c>
      <c r="U683" s="228">
        <f t="shared" si="3344"/>
        <v>-0.21384688090737236</v>
      </c>
      <c r="V683" s="228">
        <f t="shared" si="3345"/>
        <v>-5.9246720270842435E-3</v>
      </c>
      <c r="W683" s="228">
        <f t="shared" si="3346"/>
        <v>0.63516804676083782</v>
      </c>
      <c r="X683" s="228">
        <f t="shared" si="3347"/>
        <v>0.21636506687647517</v>
      </c>
      <c r="Y683" s="228">
        <f t="shared" si="3348"/>
        <v>0.51217312894499556</v>
      </c>
      <c r="Z683" s="228">
        <f t="shared" si="3349"/>
        <v>0.5040442741592166</v>
      </c>
      <c r="AA683" s="228">
        <f t="shared" si="3349"/>
        <v>0.10634495084897222</v>
      </c>
      <c r="AB683" s="228">
        <f t="shared" si="3350"/>
        <v>0.16203104786545919</v>
      </c>
      <c r="AC683" s="228">
        <f t="shared" si="3351"/>
        <v>8.1693500298151367E-2</v>
      </c>
      <c r="AD683" s="228">
        <f t="shared" si="3352"/>
        <v>5.8590433059722669E-2</v>
      </c>
      <c r="AE683" s="228">
        <f t="shared" si="3352"/>
        <v>-6.9736133548734536E-2</v>
      </c>
      <c r="AF683" s="228">
        <f t="shared" si="3353"/>
        <v>4.7314222098524539E-3</v>
      </c>
      <c r="AG683" s="228">
        <f t="shared" si="3354"/>
        <v>-0.1256890848952591</v>
      </c>
      <c r="AH683" s="228">
        <f t="shared" si="3355"/>
        <v>-3.5561497326203173E-2</v>
      </c>
      <c r="AI683" s="228">
        <f t="shared" si="3356"/>
        <v>1.0419681620839283E-2</v>
      </c>
      <c r="AJ683" s="228">
        <f t="shared" si="3357"/>
        <v>8.5595567867035927E-2</v>
      </c>
      <c r="AK683" s="228">
        <f t="shared" si="3358"/>
        <v>0.49453551912568305</v>
      </c>
      <c r="AL683" s="228">
        <f t="shared" si="3359"/>
        <v>0.51122816745217636</v>
      </c>
      <c r="AM683" s="228">
        <f t="shared" si="3360"/>
        <v>0.43855628759667709</v>
      </c>
      <c r="AN683" s="228"/>
      <c r="AO683" s="228"/>
      <c r="AP683" s="228"/>
      <c r="AQ683" s="228"/>
      <c r="AR683" s="228"/>
      <c r="AS683" s="228"/>
      <c r="AT683" s="228"/>
      <c r="AU683" s="228"/>
      <c r="AV683" s="228"/>
      <c r="AW683" s="228">
        <f t="shared" ref="AW683:BE683" si="3370">+IFERROR(AW671/AV671-1,"n/a ")</f>
        <v>-2.1972132904608754E-2</v>
      </c>
      <c r="AX683" s="228">
        <f t="shared" si="3370"/>
        <v>-3.4703196347032339E-3</v>
      </c>
      <c r="AY683" s="228">
        <f t="shared" si="3370"/>
        <v>0.48515395894428148</v>
      </c>
      <c r="AZ683" s="228">
        <f t="shared" si="3370"/>
        <v>-7.157842774281109E-3</v>
      </c>
      <c r="BA683" s="228">
        <f t="shared" si="3370"/>
        <v>-0.11746426351771289</v>
      </c>
      <c r="BB683" s="228">
        <f t="shared" si="3370"/>
        <v>0.21732394366197183</v>
      </c>
      <c r="BC683" s="228">
        <f t="shared" si="3370"/>
        <v>5.5304870993867938E-2</v>
      </c>
      <c r="BD683" s="228">
        <f t="shared" si="3370"/>
        <v>3.004056572744207E-2</v>
      </c>
      <c r="BE683" s="228">
        <f t="shared" si="3370"/>
        <v>-1.4795103778605601E-2</v>
      </c>
      <c r="BF683" s="228"/>
      <c r="BG683" s="829">
        <f t="shared" si="3362"/>
        <v>3.004056572744207E-2</v>
      </c>
      <c r="BH683" s="228">
        <f t="shared" si="3363"/>
        <v>-1.640947620082589E-2</v>
      </c>
      <c r="BI683" s="228">
        <f t="shared" si="3363"/>
        <v>0.14385150812064973</v>
      </c>
      <c r="BJ683" s="228">
        <f t="shared" si="3363"/>
        <v>9.9777842171351327E-2</v>
      </c>
      <c r="BK683" s="228">
        <f t="shared" si="3364"/>
        <v>1.6599332513613119E-2</v>
      </c>
      <c r="BL683" s="228">
        <f t="shared" si="3365"/>
        <v>0.32786177105831538</v>
      </c>
      <c r="BM683" s="228">
        <f t="shared" si="3366"/>
        <v>5.595315549772284E-2</v>
      </c>
      <c r="BN683" s="228">
        <f t="shared" si="3366"/>
        <v>-4.7073321010474456E-2</v>
      </c>
      <c r="BO683" s="228">
        <f t="shared" si="3367"/>
        <v>0.39034010086641668</v>
      </c>
      <c r="BP683" s="23"/>
    </row>
    <row r="684" spans="2:72" s="3" customFormat="1">
      <c r="B684" s="13" t="str">
        <f t="shared" si="3368"/>
        <v>Windows</v>
      </c>
      <c r="L684" s="228">
        <f t="shared" si="3335"/>
        <v>0</v>
      </c>
      <c r="M684" s="228">
        <f t="shared" si="3336"/>
        <v>7.0759625390217629E-3</v>
      </c>
      <c r="N684" s="228">
        <f t="shared" si="3337"/>
        <v>8.441100399717838E-2</v>
      </c>
      <c r="O684" s="228">
        <f t="shared" si="3338"/>
        <v>0.10874897792313987</v>
      </c>
      <c r="P684" s="228">
        <f t="shared" si="3339"/>
        <v>5.5567520999353803E-2</v>
      </c>
      <c r="Q684" s="228">
        <f t="shared" si="3340"/>
        <v>-1.6738995660260381E-2</v>
      </c>
      <c r="R684" s="228">
        <f t="shared" si="3341"/>
        <v>7.1986123156981829E-2</v>
      </c>
      <c r="S684" s="228">
        <f t="shared" si="3342"/>
        <v>6.7846607669616477E-2</v>
      </c>
      <c r="T684" s="228">
        <f t="shared" si="3343"/>
        <v>9.2226076310957028E-2</v>
      </c>
      <c r="U684" s="228">
        <f t="shared" si="3344"/>
        <v>0.17549390500210182</v>
      </c>
      <c r="V684" s="228">
        <f t="shared" si="3345"/>
        <v>5.5825242718446688E-2</v>
      </c>
      <c r="W684" s="228">
        <f t="shared" si="3346"/>
        <v>5.8011049723756924E-2</v>
      </c>
      <c r="X684" s="228">
        <f t="shared" si="3347"/>
        <v>-8.9669344292919728E-3</v>
      </c>
      <c r="Y684" s="228">
        <f t="shared" si="3348"/>
        <v>2.1991775433577665E-2</v>
      </c>
      <c r="Z684" s="228">
        <f t="shared" si="3349"/>
        <v>8.1609195402298829E-2</v>
      </c>
      <c r="AA684" s="228">
        <f t="shared" si="3349"/>
        <v>7.0496083550913857E-2</v>
      </c>
      <c r="AB684" s="228">
        <f t="shared" si="3350"/>
        <v>6.9934024505183823E-2</v>
      </c>
      <c r="AC684" s="228">
        <f t="shared" si="3351"/>
        <v>0.15465360391882443</v>
      </c>
      <c r="AD684" s="228">
        <f t="shared" si="3352"/>
        <v>7.6337229897272429E-2</v>
      </c>
      <c r="AE684" s="228">
        <f t="shared" si="3352"/>
        <v>-2.3170731707317094E-2</v>
      </c>
      <c r="AF684" s="228">
        <f t="shared" si="3353"/>
        <v>-6.3953488372093026E-2</v>
      </c>
      <c r="AG684" s="228">
        <f t="shared" si="3354"/>
        <v>-0.27151515151515149</v>
      </c>
      <c r="AH684" s="228">
        <f t="shared" si="3355"/>
        <v>-0.12325160441007077</v>
      </c>
      <c r="AI684" s="228">
        <f t="shared" si="3356"/>
        <v>-5.4619225967540541E-2</v>
      </c>
      <c r="AJ684" s="228">
        <f t="shared" si="3357"/>
        <v>4.7807265198569482E-2</v>
      </c>
      <c r="AK684" s="228">
        <f t="shared" si="3358"/>
        <v>9.4425956738768635E-2</v>
      </c>
      <c r="AL684" s="228">
        <f t="shared" si="3359"/>
        <v>0.11280030030030019</v>
      </c>
      <c r="AM684" s="228">
        <f t="shared" si="3360"/>
        <v>7.0650379663255158E-2</v>
      </c>
      <c r="AN684" s="228"/>
      <c r="AO684" s="228"/>
      <c r="AP684" s="228"/>
      <c r="AQ684" s="228"/>
      <c r="AR684" s="228"/>
      <c r="AS684" s="228"/>
      <c r="AT684" s="228"/>
      <c r="AU684" s="228"/>
      <c r="AV684" s="228"/>
      <c r="AW684" s="228">
        <f t="shared" ref="AW684:BE684" si="3371">+IFERROR(AW672/AV672-1,"n/a ")</f>
        <v>-0.12976600546383177</v>
      </c>
      <c r="AX684" s="228">
        <f t="shared" si="3371"/>
        <v>0.24377260629222675</v>
      </c>
      <c r="AY684" s="228">
        <f t="shared" si="3371"/>
        <v>-2.1947873799725626E-2</v>
      </c>
      <c r="AZ684" s="228">
        <f t="shared" si="3371"/>
        <v>-2.8330995792426372E-2</v>
      </c>
      <c r="BA684" s="228">
        <f t="shared" si="3371"/>
        <v>1.206697459584305E-2</v>
      </c>
      <c r="BB684" s="228">
        <f t="shared" si="3371"/>
        <v>-3.8393519310856328E-2</v>
      </c>
      <c r="BC684" s="228">
        <f t="shared" si="3371"/>
        <v>-0.12043189368770768</v>
      </c>
      <c r="BD684" s="228">
        <f t="shared" si="3371"/>
        <v>-0.45339268852016723</v>
      </c>
      <c r="BE684" s="228">
        <f t="shared" si="3371"/>
        <v>6.4289239881540006E-2</v>
      </c>
      <c r="BF684" s="228"/>
      <c r="BG684" s="829">
        <f t="shared" si="3362"/>
        <v>-0.45339268852016723</v>
      </c>
      <c r="BH684" s="228">
        <f t="shared" si="3363"/>
        <v>5.9550945976749592E-2</v>
      </c>
      <c r="BI684" s="228">
        <f t="shared" si="3363"/>
        <v>4.9749905878556433E-2</v>
      </c>
      <c r="BJ684" s="228">
        <f t="shared" si="3363"/>
        <v>4.4932882467465962E-2</v>
      </c>
      <c r="BK684" s="228">
        <f t="shared" si="3364"/>
        <v>9.3111056631527411E-2</v>
      </c>
      <c r="BL684" s="228">
        <f t="shared" si="3365"/>
        <v>4.184982506503987E-2</v>
      </c>
      <c r="BM684" s="228">
        <f t="shared" si="3366"/>
        <v>6.6043828303267826E-2</v>
      </c>
      <c r="BN684" s="228">
        <f t="shared" si="3366"/>
        <v>-0.13141634021243087</v>
      </c>
      <c r="BO684" s="228">
        <f t="shared" si="3367"/>
        <v>8.0764402287627268E-2</v>
      </c>
      <c r="BP684" s="23"/>
    </row>
    <row r="685" spans="2:72" s="3" customFormat="1">
      <c r="B685" s="13" t="str">
        <f t="shared" si="3368"/>
        <v xml:space="preserve">Search and news advertising </v>
      </c>
      <c r="L685" s="228">
        <f t="shared" si="3335"/>
        <v>0.1469559132260323</v>
      </c>
      <c r="M685" s="228">
        <f t="shared" si="3336"/>
        <v>0.13395638629283479</v>
      </c>
      <c r="N685" s="228">
        <f t="shared" si="3337"/>
        <v>0.11569731081926204</v>
      </c>
      <c r="O685" s="228">
        <f t="shared" si="3338"/>
        <v>0.11538461538461542</v>
      </c>
      <c r="P685" s="228">
        <f t="shared" si="3339"/>
        <v>9.0909090909090828E-2</v>
      </c>
      <c r="Q685" s="228">
        <f t="shared" si="3340"/>
        <v>8.5714285714285632E-2</v>
      </c>
      <c r="R685" s="228">
        <f t="shared" si="3341"/>
        <v>7.1188340807174955E-2</v>
      </c>
      <c r="S685" s="228">
        <f t="shared" si="3342"/>
        <v>0.10401356698699837</v>
      </c>
      <c r="T685" s="228">
        <f t="shared" si="3343"/>
        <v>0.11353467561521247</v>
      </c>
      <c r="U685" s="228">
        <f t="shared" si="3344"/>
        <v>9.4635627530364363E-2</v>
      </c>
      <c r="V685" s="228">
        <f t="shared" si="3345"/>
        <v>3.9246467817896313E-2</v>
      </c>
      <c r="W685" s="228">
        <f t="shared" si="3346"/>
        <v>-0.18074756784434198</v>
      </c>
      <c r="X685" s="228">
        <f t="shared" si="3347"/>
        <v>-0.1014565544952285</v>
      </c>
      <c r="Y685" s="228">
        <f t="shared" si="3348"/>
        <v>9.7087378640776656E-3</v>
      </c>
      <c r="Z685" s="228">
        <f t="shared" si="3349"/>
        <v>0.11681772406847934</v>
      </c>
      <c r="AA685" s="228">
        <f t="shared" si="3349"/>
        <v>0.46062500000000006</v>
      </c>
      <c r="AB685" s="228">
        <f t="shared" si="3350"/>
        <v>0.48462828395751822</v>
      </c>
      <c r="AC685" s="228">
        <f t="shared" si="3351"/>
        <v>0.40293040293040283</v>
      </c>
      <c r="AD685" s="228">
        <f t="shared" si="3352"/>
        <v>0.32777276825969337</v>
      </c>
      <c r="AE685" s="228">
        <f t="shared" si="3352"/>
        <v>0.25203252032520318</v>
      </c>
      <c r="AF685" s="228">
        <f t="shared" si="3353"/>
        <v>0.10240963855421681</v>
      </c>
      <c r="AG685" s="228">
        <f t="shared" si="3354"/>
        <v>5.1892950391644987E-2</v>
      </c>
      <c r="AH685" s="228">
        <f t="shared" si="3355"/>
        <v>3.395585738539908E-2</v>
      </c>
      <c r="AI685" s="228">
        <f t="shared" si="3356"/>
        <v>2.9391660970608413E-2</v>
      </c>
      <c r="AJ685" s="228">
        <f t="shared" si="3357"/>
        <v>4.2691256830601043E-2</v>
      </c>
      <c r="AK685" s="228">
        <f t="shared" si="3358"/>
        <v>-9.3080980452997508E-4</v>
      </c>
      <c r="AL685" s="228">
        <f t="shared" si="3359"/>
        <v>2.9228243021346412E-2</v>
      </c>
      <c r="AM685" s="228">
        <f t="shared" si="3360"/>
        <v>5.2124833997343911E-2</v>
      </c>
      <c r="AN685" s="228"/>
      <c r="AO685" s="228"/>
      <c r="AP685" s="228"/>
      <c r="AQ685" s="228"/>
      <c r="AR685" s="228"/>
      <c r="AS685" s="228"/>
      <c r="AT685" s="228"/>
      <c r="AU685" s="228"/>
      <c r="AV685" s="228"/>
      <c r="AW685" s="228">
        <f t="shared" ref="AW685:BE685" si="3372">+IFERROR(AW673/AV673-1,"n/a ")</f>
        <v>-3.2989690721649478E-2</v>
      </c>
      <c r="AX685" s="228">
        <f t="shared" si="3372"/>
        <v>7.8038379530916746E-2</v>
      </c>
      <c r="AY685" s="228">
        <f t="shared" si="3372"/>
        <v>0.15229430379746844</v>
      </c>
      <c r="AZ685" s="228">
        <f t="shared" si="3372"/>
        <v>9.2001373154823263E-2</v>
      </c>
      <c r="BA685" s="228">
        <f t="shared" si="3372"/>
        <v>6.4759509588179887E-2</v>
      </c>
      <c r="BB685" s="228">
        <f t="shared" si="3372"/>
        <v>0.18571006790670208</v>
      </c>
      <c r="BC685" s="228">
        <f t="shared" si="3372"/>
        <v>0.1347111553784861</v>
      </c>
      <c r="BD685" s="228">
        <f t="shared" si="3372"/>
        <v>0.33816107087996494</v>
      </c>
      <c r="BE685" s="228">
        <f t="shared" si="3372"/>
        <v>0.14316169235815024</v>
      </c>
      <c r="BF685" s="228"/>
      <c r="BG685" s="829">
        <f t="shared" si="3362"/>
        <v>0.33816107087996494</v>
      </c>
      <c r="BH685" s="228">
        <f t="shared" si="3363"/>
        <v>0.14572586588061909</v>
      </c>
      <c r="BI685" s="228">
        <f t="shared" si="3363"/>
        <v>0.12751246181058051</v>
      </c>
      <c r="BJ685" s="228">
        <f t="shared" si="3363"/>
        <v>8.7849401026811158E-2</v>
      </c>
      <c r="BK685" s="228">
        <f t="shared" si="3364"/>
        <v>1.4682747771368687E-2</v>
      </c>
      <c r="BL685" s="228">
        <f t="shared" si="3365"/>
        <v>0.10180878552971584</v>
      </c>
      <c r="BM685" s="228">
        <f t="shared" si="3366"/>
        <v>0.3591697936210132</v>
      </c>
      <c r="BN685" s="228">
        <f t="shared" si="3366"/>
        <v>5.3230955051333018E-2</v>
      </c>
      <c r="BO685" s="228">
        <f t="shared" si="3367"/>
        <v>3.0144167758846763E-2</v>
      </c>
      <c r="BP685" s="23"/>
    </row>
    <row r="686" spans="2:72" s="3" customFormat="1">
      <c r="B686" s="13" t="str">
        <f t="shared" si="3368"/>
        <v>Enterprise Services</v>
      </c>
      <c r="L686" s="228">
        <f t="shared" si="3335"/>
        <v>1.1808118081180874E-2</v>
      </c>
      <c r="M686" s="228">
        <f t="shared" si="3336"/>
        <v>4.6681254558716301E-2</v>
      </c>
      <c r="N686" s="228">
        <f t="shared" si="3337"/>
        <v>7.6644974692696932E-2</v>
      </c>
      <c r="O686" s="228">
        <f t="shared" si="3338"/>
        <v>8.2344731332868015E-2</v>
      </c>
      <c r="P686" s="228">
        <f t="shared" si="3339"/>
        <v>5.7622173595915482E-2</v>
      </c>
      <c r="Q686" s="228">
        <f t="shared" si="3340"/>
        <v>5.9930313588850259E-2</v>
      </c>
      <c r="R686" s="228">
        <f t="shared" si="3341"/>
        <v>3.5594358629952971E-2</v>
      </c>
      <c r="S686" s="228">
        <f t="shared" si="3342"/>
        <v>3.8684719535783341E-2</v>
      </c>
      <c r="T686" s="228">
        <f t="shared" si="3343"/>
        <v>6.5517241379310365E-2</v>
      </c>
      <c r="U686" s="228">
        <f t="shared" si="3344"/>
        <v>5.9829059829059839E-2</v>
      </c>
      <c r="V686" s="228">
        <f t="shared" si="3345"/>
        <v>5.9014267185473424E-2</v>
      </c>
      <c r="W686" s="228">
        <f t="shared" si="3346"/>
        <v>4.9658597144630612E-3</v>
      </c>
      <c r="X686" s="228">
        <f t="shared" si="3347"/>
        <v>5.9546925566343001E-2</v>
      </c>
      <c r="Y686" s="228">
        <f t="shared" si="3348"/>
        <v>5.1488833746898166E-2</v>
      </c>
      <c r="Z686" s="228">
        <f t="shared" si="3349"/>
        <v>0.10410287813839569</v>
      </c>
      <c r="AA686" s="228">
        <f t="shared" si="3349"/>
        <v>0.11673872760963566</v>
      </c>
      <c r="AB686" s="228">
        <f t="shared" si="3350"/>
        <v>9.4074526572999417E-2</v>
      </c>
      <c r="AC686" s="228">
        <f t="shared" si="3351"/>
        <v>7.5516224188790559E-2</v>
      </c>
      <c r="AD686" s="228">
        <f t="shared" si="3352"/>
        <v>4.8807542983915653E-2</v>
      </c>
      <c r="AE686" s="228">
        <f t="shared" si="3352"/>
        <v>5.1991150442477929E-2</v>
      </c>
      <c r="AF686" s="228">
        <f t="shared" si="3353"/>
        <v>4.7459519821328788E-2</v>
      </c>
      <c r="AG686" s="228">
        <f t="shared" si="3354"/>
        <v>2.1393307734503653E-2</v>
      </c>
      <c r="AH686" s="228">
        <f t="shared" si="3355"/>
        <v>6.1343204653622418E-2</v>
      </c>
      <c r="AI686" s="228">
        <f t="shared" si="3356"/>
        <v>3.9432176656151396E-2</v>
      </c>
      <c r="AJ686" s="228">
        <f t="shared" si="3357"/>
        <v>3.6247334754797356E-2</v>
      </c>
      <c r="AK686" s="228">
        <f t="shared" si="3358"/>
        <v>2.9538131041890514E-2</v>
      </c>
      <c r="AL686" s="228">
        <f t="shared" si="3359"/>
        <v>-7.2745391131041393E-2</v>
      </c>
      <c r="AM686" s="228">
        <f t="shared" si="3360"/>
        <v>-5.3110773899848307E-2</v>
      </c>
      <c r="AN686" s="228"/>
      <c r="AO686" s="228"/>
      <c r="AP686" s="228"/>
      <c r="AQ686" s="228"/>
      <c r="AR686" s="228"/>
      <c r="AS686" s="228"/>
      <c r="AT686" s="228"/>
      <c r="AU686" s="228"/>
      <c r="AV686" s="228"/>
      <c r="AW686" s="228">
        <f t="shared" ref="AW686:BE686" si="3373">+IFERROR(AW674/AV674-1,"n/a ")</f>
        <v>0.10244258111556692</v>
      </c>
      <c r="AX686" s="228">
        <f t="shared" si="3373"/>
        <v>3.9682539682539542E-3</v>
      </c>
      <c r="AY686" s="228">
        <f t="shared" si="3373"/>
        <v>0.11067193675889331</v>
      </c>
      <c r="AZ686" s="228">
        <f t="shared" si="3373"/>
        <v>0.17912218268090152</v>
      </c>
      <c r="BA686" s="228">
        <f t="shared" si="3373"/>
        <v>9.9597585513078402E-2</v>
      </c>
      <c r="BB686" s="228">
        <f t="shared" si="3373"/>
        <v>9.0347666971637652E-2</v>
      </c>
      <c r="BC686" s="228">
        <f t="shared" si="3373"/>
        <v>6.77574994755612E-2</v>
      </c>
      <c r="BD686" s="228">
        <f t="shared" si="3373"/>
        <v>0.10825147347740671</v>
      </c>
      <c r="BE686" s="228">
        <f t="shared" si="3373"/>
        <v>-9.3954972522601876E-3</v>
      </c>
      <c r="BF686" s="228"/>
      <c r="BG686" s="829">
        <f t="shared" si="3362"/>
        <v>0.10825147347740671</v>
      </c>
      <c r="BH686" s="228">
        <f t="shared" si="3363"/>
        <v>-2.067503092419154E-2</v>
      </c>
      <c r="BI686" s="228">
        <f t="shared" si="3363"/>
        <v>5.4853843377841827E-2</v>
      </c>
      <c r="BJ686" s="228">
        <f t="shared" si="3363"/>
        <v>4.7553882996920871E-2</v>
      </c>
      <c r="BK686" s="228">
        <f t="shared" si="3364"/>
        <v>4.6538210320052231E-2</v>
      </c>
      <c r="BL686" s="228">
        <f t="shared" si="3365"/>
        <v>8.3320330784833807E-2</v>
      </c>
      <c r="BM686" s="228">
        <f t="shared" si="3366"/>
        <v>6.6829900619328919E-2</v>
      </c>
      <c r="BN686" s="228">
        <f t="shared" si="3366"/>
        <v>4.2527339003645137E-2</v>
      </c>
      <c r="BO686" s="228">
        <f t="shared" si="3367"/>
        <v>-1.6576016576016595E-2</v>
      </c>
      <c r="BP686" s="23"/>
    </row>
    <row r="687" spans="2:72" s="3" customFormat="1">
      <c r="B687" s="13" t="str">
        <f t="shared" si="3368"/>
        <v>Devices</v>
      </c>
      <c r="L687" s="228">
        <f t="shared" si="3335"/>
        <v>-0.15271659324522757</v>
      </c>
      <c r="M687" s="228">
        <f t="shared" si="3336"/>
        <v>-0.1290512669416618</v>
      </c>
      <c r="N687" s="228">
        <f t="shared" si="3337"/>
        <v>0.27244258872651361</v>
      </c>
      <c r="O687" s="228">
        <f t="shared" si="3338"/>
        <v>0.2277511961722487</v>
      </c>
      <c r="P687" s="228">
        <f t="shared" si="3339"/>
        <v>9.2720970537261804E-2</v>
      </c>
      <c r="Q687" s="228">
        <f t="shared" si="3340"/>
        <v>0.31799729364005414</v>
      </c>
      <c r="R687" s="228">
        <f t="shared" si="3341"/>
        <v>0.16735028712059075</v>
      </c>
      <c r="S687" s="228">
        <f t="shared" si="3342"/>
        <v>0.14029618082618867</v>
      </c>
      <c r="T687" s="228">
        <f t="shared" si="3343"/>
        <v>-4.6788263283108589E-2</v>
      </c>
      <c r="U687" s="228">
        <f t="shared" si="3344"/>
        <v>5.1334702258726939E-2</v>
      </c>
      <c r="V687" s="228">
        <f t="shared" si="3345"/>
        <v>-7.730147575544577E-3</v>
      </c>
      <c r="W687" s="228">
        <f t="shared" si="3346"/>
        <v>0.22693096377306898</v>
      </c>
      <c r="X687" s="228">
        <f t="shared" si="3347"/>
        <v>0.34775374376039925</v>
      </c>
      <c r="Y687" s="228">
        <f t="shared" si="3348"/>
        <v>3.515625E-2</v>
      </c>
      <c r="Z687" s="228">
        <f t="shared" si="3349"/>
        <v>0.13243626062322944</v>
      </c>
      <c r="AA687" s="228">
        <f t="shared" si="3349"/>
        <v>-0.19108635097493032</v>
      </c>
      <c r="AB687" s="228">
        <f t="shared" si="3350"/>
        <v>-0.15987654320987654</v>
      </c>
      <c r="AC687" s="228">
        <f t="shared" si="3351"/>
        <v>7.7830188679245182E-2</v>
      </c>
      <c r="AD687" s="228">
        <f t="shared" si="3352"/>
        <v>0.1031894934333959</v>
      </c>
      <c r="AE687" s="228">
        <f t="shared" si="3352"/>
        <v>8.8842975206611552E-2</v>
      </c>
      <c r="AF687" s="228">
        <f t="shared" si="3353"/>
        <v>6.3923585598824495E-2</v>
      </c>
      <c r="AG687" s="228">
        <f t="shared" si="3354"/>
        <v>-0.37417943107221008</v>
      </c>
      <c r="AH687" s="228">
        <f t="shared" si="3355"/>
        <v>-0.27324263038548757</v>
      </c>
      <c r="AI687" s="228">
        <f t="shared" si="3356"/>
        <v>-0.13915243516761544</v>
      </c>
      <c r="AJ687" s="228">
        <f t="shared" si="3357"/>
        <v>-0.22306629834254144</v>
      </c>
      <c r="AK687" s="228">
        <f t="shared" si="3358"/>
        <v>-9.2307692307692313E-2</v>
      </c>
      <c r="AL687" s="228">
        <f t="shared" si="3359"/>
        <v>-0.16770670826833078</v>
      </c>
      <c r="AM687" s="228">
        <f t="shared" si="3360"/>
        <v>1.197648787656135</v>
      </c>
      <c r="AN687" s="228"/>
      <c r="AO687" s="228"/>
      <c r="AP687" s="228"/>
      <c r="AQ687" s="228"/>
      <c r="AR687" s="228"/>
      <c r="AS687" s="228"/>
      <c r="AT687" s="228"/>
      <c r="AU687" s="228"/>
      <c r="AV687" s="228"/>
      <c r="AW687" s="228" t="str">
        <f t="shared" ref="AW687:BE687" si="3374">+IFERROR(AW675/AV675-1,"n/a ")</f>
        <v xml:space="preserve">n/a </v>
      </c>
      <c r="AX687" s="228" t="str">
        <f t="shared" si="3374"/>
        <v xml:space="preserve">n/a </v>
      </c>
      <c r="AY687" s="228" t="str">
        <f t="shared" si="3374"/>
        <v xml:space="preserve">n/a </v>
      </c>
      <c r="AZ687" s="228" t="str">
        <f t="shared" si="3374"/>
        <v xml:space="preserve">n/a </v>
      </c>
      <c r="BA687" s="228">
        <f t="shared" si="3374"/>
        <v>8.0617283950617278</v>
      </c>
      <c r="BB687" s="228">
        <f t="shared" si="3374"/>
        <v>2.3760217983651226</v>
      </c>
      <c r="BC687" s="228">
        <f t="shared" si="3374"/>
        <v>1.3410008071025019</v>
      </c>
      <c r="BD687" s="228">
        <f t="shared" si="3374"/>
        <v>-0.35649026029994824</v>
      </c>
      <c r="BE687" s="228">
        <f t="shared" si="3374"/>
        <v>-0.38963300294669168</v>
      </c>
      <c r="BF687" s="228"/>
      <c r="BG687" s="829">
        <f t="shared" si="3362"/>
        <v>-0.35649026029994824</v>
      </c>
      <c r="BH687" s="228">
        <f t="shared" si="3363"/>
        <v>-0.35826572008113589</v>
      </c>
      <c r="BI687" s="228">
        <f t="shared" si="3363"/>
        <v>1.4223627024891439E-2</v>
      </c>
      <c r="BJ687" s="228">
        <f t="shared" si="3363"/>
        <v>0.18718348266458906</v>
      </c>
      <c r="BK687" s="228">
        <f t="shared" si="3364"/>
        <v>5.9392945036915501E-2</v>
      </c>
      <c r="BL687" s="228">
        <f t="shared" si="3365"/>
        <v>5.1726808115223788E-2</v>
      </c>
      <c r="BM687" s="228">
        <f t="shared" si="3366"/>
        <v>2.9450743631276755E-2</v>
      </c>
      <c r="BN687" s="228">
        <f t="shared" si="3366"/>
        <v>-0.21027034758975827</v>
      </c>
      <c r="BO687" s="228">
        <f t="shared" si="3367"/>
        <v>0.17388154319869598</v>
      </c>
      <c r="BP687" s="23"/>
    </row>
    <row r="688" spans="2:72" s="3" customFormat="1">
      <c r="B688" s="13" t="str">
        <f t="shared" si="3368"/>
        <v>LinkedIn</v>
      </c>
      <c r="L688" s="228" t="str">
        <f t="shared" si="3335"/>
        <v xml:space="preserve">n/a </v>
      </c>
      <c r="M688" s="228">
        <f t="shared" si="3336"/>
        <v>4.7543859649122808</v>
      </c>
      <c r="N688" s="228">
        <f t="shared" si="3337"/>
        <v>0.36782786885245899</v>
      </c>
      <c r="O688" s="228">
        <f t="shared" si="3338"/>
        <v>0.37207122774133072</v>
      </c>
      <c r="P688" s="228">
        <f t="shared" si="3339"/>
        <v>0.33275261324041816</v>
      </c>
      <c r="Q688" s="228">
        <f t="shared" si="3340"/>
        <v>0.29039634146341453</v>
      </c>
      <c r="R688" s="228">
        <f t="shared" si="3341"/>
        <v>0.27041198501872654</v>
      </c>
      <c r="S688" s="228">
        <f t="shared" si="3342"/>
        <v>0.25341530054644812</v>
      </c>
      <c r="T688" s="228">
        <f t="shared" si="3343"/>
        <v>0.2477124183006536</v>
      </c>
      <c r="U688" s="228">
        <f t="shared" si="3344"/>
        <v>0.24158298877731843</v>
      </c>
      <c r="V688" s="228">
        <f t="shared" si="3345"/>
        <v>0.20872641509433953</v>
      </c>
      <c r="W688" s="228">
        <f t="shared" si="3346"/>
        <v>9.8637602179836525E-2</v>
      </c>
      <c r="X688" s="228">
        <f t="shared" si="3347"/>
        <v>0.15557883708748044</v>
      </c>
      <c r="Y688" s="228">
        <f t="shared" si="3348"/>
        <v>0.22597526165556614</v>
      </c>
      <c r="Z688" s="228">
        <f t="shared" si="3349"/>
        <v>0.24975609756097561</v>
      </c>
      <c r="AA688" s="228">
        <f t="shared" si="3349"/>
        <v>0.46031746031746024</v>
      </c>
      <c r="AB688" s="228">
        <f t="shared" si="3350"/>
        <v>0.4215775158658206</v>
      </c>
      <c r="AC688" s="228">
        <f t="shared" si="3351"/>
        <v>0.37019790454016288</v>
      </c>
      <c r="AD688" s="228">
        <f t="shared" si="3352"/>
        <v>0.34153005464480879</v>
      </c>
      <c r="AE688" s="228">
        <f t="shared" si="3352"/>
        <v>0.26086956521739135</v>
      </c>
      <c r="AF688" s="228">
        <f t="shared" si="3353"/>
        <v>0.16804846938775508</v>
      </c>
      <c r="AG688" s="228">
        <f t="shared" si="3354"/>
        <v>9.7706032285471478E-2</v>
      </c>
      <c r="AH688" s="228">
        <f t="shared" si="3355"/>
        <v>7.5647366889729506E-2</v>
      </c>
      <c r="AI688" s="228">
        <f t="shared" si="3356"/>
        <v>5.3071120689655249E-2</v>
      </c>
      <c r="AJ688" s="228">
        <f t="shared" si="3357"/>
        <v>6.8250068250068185E-2</v>
      </c>
      <c r="AK688" s="228">
        <f t="shared" si="3358"/>
        <v>8.2301341589267274E-2</v>
      </c>
      <c r="AL688" s="228">
        <f t="shared" si="3359"/>
        <v>8.5474709223694934E-2</v>
      </c>
      <c r="AM688" s="228">
        <f t="shared" si="3360"/>
        <v>8.74904067536455E-2</v>
      </c>
      <c r="AN688" s="228"/>
      <c r="AO688" s="228"/>
      <c r="AP688" s="228"/>
      <c r="AQ688" s="228"/>
      <c r="AR688" s="228"/>
      <c r="AS688" s="228"/>
      <c r="AT688" s="228"/>
      <c r="AU688" s="228"/>
      <c r="AV688" s="228"/>
      <c r="AW688" s="228" t="str">
        <f t="shared" ref="AW688:BE688" si="3375">+IFERROR(AW676/AV676-1,"n/a ")</f>
        <v xml:space="preserve">n/a </v>
      </c>
      <c r="AX688" s="228" t="str">
        <f t="shared" si="3375"/>
        <v xml:space="preserve">n/a </v>
      </c>
      <c r="AY688" s="228" t="str">
        <f t="shared" si="3375"/>
        <v xml:space="preserve">n/a </v>
      </c>
      <c r="AZ688" s="228" t="str">
        <f t="shared" si="3375"/>
        <v xml:space="preserve">n/a </v>
      </c>
      <c r="BA688" s="228" t="str">
        <f t="shared" si="3375"/>
        <v xml:space="preserve">n/a </v>
      </c>
      <c r="BB688" s="228" t="str">
        <f t="shared" si="3375"/>
        <v xml:space="preserve">n/a </v>
      </c>
      <c r="BC688" s="228" t="str">
        <f t="shared" si="3375"/>
        <v xml:space="preserve">n/a </v>
      </c>
      <c r="BD688" s="228" t="str">
        <f t="shared" si="3375"/>
        <v xml:space="preserve">n/a </v>
      </c>
      <c r="BE688" s="228" t="str">
        <f t="shared" si="3375"/>
        <v xml:space="preserve">n/a </v>
      </c>
      <c r="BF688" s="228"/>
      <c r="BG688" s="829" t="str">
        <f t="shared" si="3362"/>
        <v xml:space="preserve">n/a </v>
      </c>
      <c r="BH688" s="228" t="str">
        <f t="shared" si="3363"/>
        <v xml:space="preserve">n/a </v>
      </c>
      <c r="BI688" s="228">
        <f t="shared" si="3363"/>
        <v>1.3157199471598413</v>
      </c>
      <c r="BJ688" s="228">
        <f t="shared" si="3363"/>
        <v>0.28427457691576352</v>
      </c>
      <c r="BK688" s="228">
        <f t="shared" si="3364"/>
        <v>0.19588392063962101</v>
      </c>
      <c r="BL688" s="228">
        <f t="shared" si="3365"/>
        <v>0.27386405843753869</v>
      </c>
      <c r="BM688" s="228">
        <f t="shared" si="3366"/>
        <v>0.34279327437068718</v>
      </c>
      <c r="BN688" s="228">
        <f t="shared" si="3366"/>
        <v>9.619281991893458E-2</v>
      </c>
      <c r="BO688" s="228">
        <f t="shared" si="3367"/>
        <v>8.1016837240013295E-2</v>
      </c>
      <c r="BP688" s="23"/>
    </row>
    <row r="689" spans="2:68" s="839" customFormat="1" ht="11.45">
      <c r="B689" s="13" t="str">
        <f t="shared" si="3368"/>
        <v>Other</v>
      </c>
      <c r="L689" s="840">
        <f t="shared" si="3335"/>
        <v>5.6603773584905648E-2</v>
      </c>
      <c r="M689" s="840">
        <f t="shared" si="3336"/>
        <v>1.0928961748633892E-2</v>
      </c>
      <c r="N689" s="840">
        <f t="shared" si="3337"/>
        <v>0.15181518151815188</v>
      </c>
      <c r="O689" s="840">
        <f t="shared" si="3338"/>
        <v>7.1014492753623149E-2</v>
      </c>
      <c r="P689" s="840">
        <f t="shared" si="3339"/>
        <v>0.19480519480519476</v>
      </c>
      <c r="Q689" s="840">
        <f t="shared" si="3340"/>
        <v>8.783783783783794E-2</v>
      </c>
      <c r="R689" s="840">
        <f t="shared" si="3341"/>
        <v>7.4498567335243626E-2</v>
      </c>
      <c r="S689" s="840">
        <f t="shared" si="3342"/>
        <v>5.4127198917456099E-2</v>
      </c>
      <c r="T689" s="840">
        <f t="shared" si="3343"/>
        <v>0.16168478260869557</v>
      </c>
      <c r="U689" s="840">
        <f t="shared" si="3344"/>
        <v>0.19130434782608696</v>
      </c>
      <c r="V689" s="840">
        <f t="shared" si="3345"/>
        <v>0.28133333333333344</v>
      </c>
      <c r="W689" s="840">
        <f t="shared" si="3346"/>
        <v>0.27471116816431329</v>
      </c>
      <c r="X689" s="840">
        <f t="shared" si="3347"/>
        <v>0.2070175438596491</v>
      </c>
      <c r="Y689" s="840">
        <f t="shared" si="3348"/>
        <v>0.19186652763295098</v>
      </c>
      <c r="Z689" s="840">
        <f t="shared" si="3349"/>
        <v>0.17065556711758578</v>
      </c>
      <c r="AA689" s="840">
        <f t="shared" si="3349"/>
        <v>0.18731117824773413</v>
      </c>
      <c r="AB689" s="840">
        <f t="shared" si="3350"/>
        <v>0.18895348837209291</v>
      </c>
      <c r="AC689" s="840">
        <f t="shared" si="3351"/>
        <v>0.18722659667541564</v>
      </c>
      <c r="AD689" s="840">
        <f t="shared" si="3352"/>
        <v>0.1591111111111112</v>
      </c>
      <c r="AE689" s="840">
        <f t="shared" si="3352"/>
        <v>0.18999151823579297</v>
      </c>
      <c r="AF689" s="840">
        <f t="shared" si="3353"/>
        <v>9.8614506927465317E-2</v>
      </c>
      <c r="AG689" s="840">
        <f t="shared" si="3354"/>
        <v>1.4738393515105752E-3</v>
      </c>
      <c r="AH689" s="840">
        <f t="shared" si="3355"/>
        <v>9.5092024539877196E-2</v>
      </c>
      <c r="AI689" s="840">
        <f t="shared" si="3356"/>
        <v>7.8403421240199611E-2</v>
      </c>
      <c r="AJ689" s="840">
        <f t="shared" si="3357"/>
        <v>0.14836795252225521</v>
      </c>
      <c r="AK689" s="840">
        <f t="shared" si="3358"/>
        <v>0.16777041942604853</v>
      </c>
      <c r="AL689" s="840">
        <f t="shared" si="3359"/>
        <v>0.16246498599439785</v>
      </c>
      <c r="AM689" s="840">
        <f t="shared" si="3360"/>
        <v>-1.0290812954395241</v>
      </c>
      <c r="AN689" s="840"/>
      <c r="AO689" s="840"/>
      <c r="AP689" s="840"/>
      <c r="AQ689" s="840"/>
      <c r="AR689" s="840"/>
      <c r="AS689" s="840"/>
      <c r="AT689" s="840"/>
      <c r="AU689" s="840"/>
      <c r="AV689" s="840"/>
      <c r="AW689" s="840">
        <f t="shared" ref="AW689:BE689" si="3376">+IFERROR(AW677/AV677-1,"n/a ")</f>
        <v>-0.12712275594371669</v>
      </c>
      <c r="AX689" s="840">
        <f t="shared" si="3376"/>
        <v>-3.3351862145636457E-2</v>
      </c>
      <c r="AY689" s="840">
        <f t="shared" si="3376"/>
        <v>7.7918343875790663E-2</v>
      </c>
      <c r="AZ689" s="840">
        <f t="shared" si="3376"/>
        <v>0.20245398773006129</v>
      </c>
      <c r="BA689" s="840">
        <f t="shared" si="3376"/>
        <v>0.24001774622892635</v>
      </c>
      <c r="BB689" s="840">
        <f t="shared" si="3376"/>
        <v>0.11216457960644011</v>
      </c>
      <c r="BC689" s="840">
        <f t="shared" si="3376"/>
        <v>2.734437831751757E-3</v>
      </c>
      <c r="BD689" s="840">
        <f t="shared" si="3376"/>
        <v>-6.1437279435354486E-2</v>
      </c>
      <c r="BE689" s="840">
        <f t="shared" si="3376"/>
        <v>-5.3495129037771316E-2</v>
      </c>
      <c r="BF689" s="840"/>
      <c r="BG689" s="908">
        <f t="shared" si="3362"/>
        <v>-6.1437279435354486E-2</v>
      </c>
      <c r="BH689" s="840">
        <f t="shared" si="3363"/>
        <v>4.481792717086841E-2</v>
      </c>
      <c r="BI689" s="840">
        <f t="shared" si="3363"/>
        <v>6.9705093833780207E-2</v>
      </c>
      <c r="BJ689" s="840">
        <f t="shared" si="3363"/>
        <v>9.917651271034722E-2</v>
      </c>
      <c r="BK689" s="840">
        <f t="shared" si="3364"/>
        <v>0.22736156351791537</v>
      </c>
      <c r="BL689" s="840">
        <f t="shared" si="3365"/>
        <v>0.18869426751592355</v>
      </c>
      <c r="BM689" s="840">
        <f t="shared" si="3366"/>
        <v>0.18129046662201387</v>
      </c>
      <c r="BN689" s="840">
        <f t="shared" si="3366"/>
        <v>6.7473067473067472E-2</v>
      </c>
      <c r="BO689" s="840">
        <f t="shared" si="3367"/>
        <v>-0.15881728045325783</v>
      </c>
      <c r="BP689" s="920"/>
    </row>
    <row r="690" spans="2:68" s="7" customFormat="1">
      <c r="B690" s="841" t="str">
        <f t="shared" si="3368"/>
        <v>Total revenue</v>
      </c>
      <c r="L690" s="842">
        <f t="shared" si="3335"/>
        <v>0.11902590295512594</v>
      </c>
      <c r="M690" s="842">
        <f t="shared" si="3336"/>
        <v>0.11972430883605667</v>
      </c>
      <c r="N690" s="842">
        <f t="shared" si="3337"/>
        <v>0.15539376184732046</v>
      </c>
      <c r="O690" s="842">
        <f t="shared" si="3338"/>
        <v>0.17496582698691654</v>
      </c>
      <c r="P690" s="842">
        <f t="shared" si="3339"/>
        <v>0.18526367267095933</v>
      </c>
      <c r="Q690" s="842">
        <f t="shared" si="3340"/>
        <v>0.12286465177398154</v>
      </c>
      <c r="R690" s="842">
        <f t="shared" si="3341"/>
        <v>0.13990081658525666</v>
      </c>
      <c r="S690" s="842">
        <f t="shared" si="3342"/>
        <v>0.12072461359481479</v>
      </c>
      <c r="T690" s="842">
        <f t="shared" si="3343"/>
        <v>0.13653555219364599</v>
      </c>
      <c r="U690" s="842">
        <f t="shared" si="3344"/>
        <v>0.13658341289150311</v>
      </c>
      <c r="V690" s="842">
        <f t="shared" si="3345"/>
        <v>0.14556278826338698</v>
      </c>
      <c r="W690" s="842">
        <f t="shared" si="3346"/>
        <v>0.12800664353293589</v>
      </c>
      <c r="X690" s="842">
        <f t="shared" si="3347"/>
        <v>0.12400544546967174</v>
      </c>
      <c r="Y690" s="842">
        <f t="shared" si="3348"/>
        <v>0.16718148810491518</v>
      </c>
      <c r="Z690" s="842">
        <f t="shared" si="3349"/>
        <v>0.19088546871876866</v>
      </c>
      <c r="AA690" s="842">
        <f t="shared" si="3349"/>
        <v>0.21347251071437956</v>
      </c>
      <c r="AB690" s="842">
        <f t="shared" si="3350"/>
        <v>0.21970716477364483</v>
      </c>
      <c r="AC690" s="842">
        <f t="shared" si="3351"/>
        <v>0.2008543040208004</v>
      </c>
      <c r="AD690" s="842">
        <f t="shared" si="3352"/>
        <v>0.18352275451973332</v>
      </c>
      <c r="AE690" s="842">
        <f t="shared" si="3352"/>
        <v>0.12378661813139202</v>
      </c>
      <c r="AF690" s="842">
        <f t="shared" si="3353"/>
        <v>0.1060308493501334</v>
      </c>
      <c r="AG690" s="842">
        <f t="shared" si="3354"/>
        <v>1.9699195793380753E-2</v>
      </c>
      <c r="AH690" s="842">
        <f t="shared" si="3355"/>
        <v>7.0846839546191198E-2</v>
      </c>
      <c r="AI690" s="842">
        <f t="shared" si="3356"/>
        <v>8.3370288248336921E-2</v>
      </c>
      <c r="AJ690" s="842">
        <f t="shared" si="3357"/>
        <v>0.12758868361198683</v>
      </c>
      <c r="AK690" s="842">
        <f t="shared" si="3358"/>
        <v>0.17580146738203117</v>
      </c>
      <c r="AL690" s="842">
        <f t="shared" si="3359"/>
        <v>0.17028964943148495</v>
      </c>
      <c r="AM690" s="842">
        <f t="shared" si="3360"/>
        <v>0.15195144957198026</v>
      </c>
      <c r="AN690" s="842"/>
      <c r="AO690" s="842"/>
      <c r="AP690" s="842"/>
      <c r="AQ690" s="842"/>
      <c r="AR690" s="842"/>
      <c r="AS690" s="842"/>
      <c r="AT690" s="842"/>
      <c r="AU690" s="842"/>
      <c r="AV690" s="842"/>
      <c r="AW690" s="842">
        <f t="shared" ref="AW690:BE690" si="3377">+IFERROR(AW678/AV678-1,"n/a ")</f>
        <v>-3.2820258192651441E-2</v>
      </c>
      <c r="AX690" s="842">
        <f t="shared" si="3377"/>
        <v>6.9254068484008391E-2</v>
      </c>
      <c r="AY690" s="842">
        <f t="shared" si="3377"/>
        <v>0.11937455988733126</v>
      </c>
      <c r="AZ690" s="842">
        <f t="shared" si="3377"/>
        <v>5.4044007263057026E-2</v>
      </c>
      <c r="BA690" s="842">
        <f t="shared" si="3377"/>
        <v>5.5966252051598442E-2</v>
      </c>
      <c r="BB690" s="842">
        <f t="shared" si="3377"/>
        <v>0.11540289534868786</v>
      </c>
      <c r="BC690" s="842">
        <f t="shared" si="3377"/>
        <v>7.7700874091647165E-2</v>
      </c>
      <c r="BD690" s="842">
        <f t="shared" si="3377"/>
        <v>-8.8266723658901425E-2</v>
      </c>
      <c r="BE690" s="842">
        <f t="shared" si="3377"/>
        <v>5.4266291608063844E-2</v>
      </c>
      <c r="BF690" s="842"/>
      <c r="BG690" s="1179">
        <f t="shared" si="3362"/>
        <v>-8.8266723658901425E-2</v>
      </c>
      <c r="BH690" s="842">
        <f t="shared" si="3363"/>
        <v>5.9426903920837271E-2</v>
      </c>
      <c r="BI690" s="842">
        <f t="shared" si="3363"/>
        <v>0.14278613662486661</v>
      </c>
      <c r="BJ690" s="842">
        <f t="shared" si="3363"/>
        <v>0.14029539688292858</v>
      </c>
      <c r="BK690" s="842">
        <f t="shared" si="3364"/>
        <v>0.13645574247276371</v>
      </c>
      <c r="BL690" s="842">
        <f t="shared" si="3365"/>
        <v>0.17531727441177503</v>
      </c>
      <c r="BM690" s="842">
        <f t="shared" si="3366"/>
        <v>0.17956070629670173</v>
      </c>
      <c r="BN690" s="842">
        <f t="shared" si="3366"/>
        <v>6.8820295556564215E-2</v>
      </c>
      <c r="BO690" s="842">
        <f t="shared" si="3367"/>
        <v>0.1566996201307127</v>
      </c>
      <c r="BP690" s="895"/>
    </row>
    <row r="691" spans="2:68" s="3" customFormat="1">
      <c r="B691" s="921"/>
    </row>
    <row r="692" spans="2:68" s="3" customFormat="1">
      <c r="B692" s="24" t="s">
        <v>172</v>
      </c>
    </row>
    <row r="693" spans="2:68" s="3" customFormat="1">
      <c r="B693" s="13" t="s">
        <v>478</v>
      </c>
      <c r="H693" s="21">
        <f t="shared" ref="H693:AG693" si="3378">+H669/H$678</f>
        <v>0.2728018971178402</v>
      </c>
      <c r="I693" s="21">
        <f t="shared" si="3378"/>
        <v>0.24932238829086967</v>
      </c>
      <c r="J693" s="21">
        <f t="shared" si="3378"/>
        <v>0.2685679820782354</v>
      </c>
      <c r="K693" s="21">
        <f t="shared" si="3378"/>
        <v>0.27018160515524314</v>
      </c>
      <c r="L693" s="21">
        <f t="shared" si="3378"/>
        <v>0.26795174830874563</v>
      </c>
      <c r="M693" s="21">
        <f t="shared" si="3378"/>
        <v>0.24465730686769485</v>
      </c>
      <c r="N693" s="21">
        <f t="shared" si="3378"/>
        <v>0.26429024199261719</v>
      </c>
      <c r="O693" s="21">
        <f t="shared" si="3378"/>
        <v>0.25188632208741896</v>
      </c>
      <c r="P693" s="21">
        <f t="shared" si="3378"/>
        <v>0.26206849126667586</v>
      </c>
      <c r="Q693" s="21">
        <f t="shared" si="3378"/>
        <v>0.23858211942964491</v>
      </c>
      <c r="R693" s="21">
        <f t="shared" si="3378"/>
        <v>0.25805501946288967</v>
      </c>
      <c r="S693" s="21">
        <f t="shared" si="3378"/>
        <v>0.25242459293531455</v>
      </c>
      <c r="T693" s="21">
        <f t="shared" si="3378"/>
        <v>0.25611859022840722</v>
      </c>
      <c r="U693" s="21">
        <f t="shared" si="3378"/>
        <v>0.24340215683086761</v>
      </c>
      <c r="V693" s="21">
        <f t="shared" si="3378"/>
        <v>0.25470432026498385</v>
      </c>
      <c r="W693" s="21">
        <f t="shared" si="3378"/>
        <v>0.2352430783793022</v>
      </c>
      <c r="X693" s="21">
        <f t="shared" si="3378"/>
        <v>0.24971739247456531</v>
      </c>
      <c r="Y693" s="21">
        <f t="shared" si="3378"/>
        <v>0.22938527254155447</v>
      </c>
      <c r="Z693" s="21">
        <f t="shared" si="3378"/>
        <v>0.24015729151680815</v>
      </c>
      <c r="AA693" s="21">
        <f t="shared" si="3378"/>
        <v>0.23177760443751083</v>
      </c>
      <c r="AB693" s="21">
        <f t="shared" si="3378"/>
        <v>0.23849769402211091</v>
      </c>
      <c r="AC693" s="21">
        <f t="shared" si="3378"/>
        <v>0.21750309310238169</v>
      </c>
      <c r="AD693" s="21">
        <f t="shared" si="3378"/>
        <v>0.22617504051863857</v>
      </c>
      <c r="AE693" s="21">
        <f t="shared" si="3378"/>
        <v>0.22440952472765835</v>
      </c>
      <c r="AF693" s="21">
        <f t="shared" si="3378"/>
        <v>0.2303978292965165</v>
      </c>
      <c r="AG693" s="21">
        <f t="shared" si="3378"/>
        <v>0.22441086696873755</v>
      </c>
      <c r="AH693" s="21">
        <f t="shared" ref="AH693:AI693" si="3379">+AH669/AH$678</f>
        <v>0.23531414949770135</v>
      </c>
      <c r="AI693" s="21">
        <f t="shared" si="3379"/>
        <v>0.22967128797451458</v>
      </c>
      <c r="AJ693" s="21">
        <f t="shared" ref="AJ693:AK693" si="3380">+AJ669/AJ$678</f>
        <v>0.23249641700727214</v>
      </c>
      <c r="AK693" s="21">
        <f t="shared" si="3380"/>
        <v>0.2173008706868752</v>
      </c>
      <c r="AL693" s="21">
        <f t="shared" ref="AL693:AM693" si="3381">+AL669/AL$678</f>
        <v>0.22488602929289664</v>
      </c>
      <c r="AM693" s="21">
        <f t="shared" si="3381"/>
        <v>0.22165402382313409</v>
      </c>
      <c r="AN693" s="21"/>
      <c r="AO693" s="21"/>
      <c r="AP693" s="21"/>
      <c r="AQ693" s="21"/>
      <c r="AR693" s="21"/>
      <c r="AS693" s="21"/>
      <c r="AT693" s="21"/>
      <c r="AU693" s="21"/>
      <c r="AV693" s="21">
        <f t="shared" ref="AV693:BE693" si="3382">+AV669/AV$678</f>
        <v>0.29928831512744125</v>
      </c>
      <c r="AW693" s="21">
        <f t="shared" si="3382"/>
        <v>0.30798980098225437</v>
      </c>
      <c r="AX693" s="21">
        <f t="shared" si="3382"/>
        <v>0.28413673900518532</v>
      </c>
      <c r="AY693" s="21">
        <f t="shared" si="3382"/>
        <v>0.29638419856168596</v>
      </c>
      <c r="AZ693" s="21">
        <f t="shared" si="3382"/>
        <v>0.30247005683436651</v>
      </c>
      <c r="BA693" s="21">
        <f t="shared" si="3382"/>
        <v>0.29537951675679841</v>
      </c>
      <c r="BB693" s="21">
        <f t="shared" si="3382"/>
        <v>0.28011239966372231</v>
      </c>
      <c r="BC693" s="21">
        <f t="shared" si="3382"/>
        <v>0.2515281042957897</v>
      </c>
      <c r="BD693" s="21">
        <f t="shared" si="3382"/>
        <v>0.27646507266760434</v>
      </c>
      <c r="BE693" s="21">
        <f t="shared" si="3382"/>
        <v>0.28225680933852137</v>
      </c>
      <c r="BF693" s="21"/>
      <c r="BG693" s="21">
        <f t="shared" ref="BG693:BM702" si="3383">+BG669/BG$678</f>
        <v>0.26184259604625137</v>
      </c>
      <c r="BH693" s="21">
        <f t="shared" si="3383"/>
        <v>0.26481034679147986</v>
      </c>
      <c r="BI693" s="21">
        <f t="shared" si="3383"/>
        <v>0.25657847046031168</v>
      </c>
      <c r="BJ693" s="21">
        <f t="shared" si="3383"/>
        <v>0.25244948070214474</v>
      </c>
      <c r="BK693" s="21">
        <f t="shared" si="3383"/>
        <v>0.24693913225885397</v>
      </c>
      <c r="BL693" s="21">
        <f t="shared" si="3383"/>
        <v>0.23720908095759363</v>
      </c>
      <c r="BM693" s="21">
        <f t="shared" si="3383"/>
        <v>0.22626721137842337</v>
      </c>
      <c r="BN693" s="21">
        <f t="shared" ref="BN693:BO693" si="3384">+BN669/BN$678</f>
        <v>0.22994125002949295</v>
      </c>
      <c r="BO693" s="21">
        <f t="shared" si="3384"/>
        <v>0.22386811465311152</v>
      </c>
      <c r="BP693" s="21"/>
    </row>
    <row r="694" spans="2:68" s="3" customFormat="1">
      <c r="B694" s="13" t="s">
        <v>479</v>
      </c>
      <c r="H694" s="21">
        <f t="shared" ref="H694:AG694" si="3385">+H670/H$678</f>
        <v>0.21383619117110544</v>
      </c>
      <c r="I694" s="21">
        <f t="shared" si="3385"/>
        <v>0.20645860760473941</v>
      </c>
      <c r="J694" s="21">
        <f t="shared" si="3385"/>
        <v>0.22820093055316215</v>
      </c>
      <c r="K694" s="21">
        <f t="shared" si="3385"/>
        <v>0.2472563952353056</v>
      </c>
      <c r="L694" s="21">
        <f t="shared" si="3385"/>
        <v>0.22397913440378189</v>
      </c>
      <c r="M694" s="21">
        <f t="shared" si="3385"/>
        <v>0.21782280932291306</v>
      </c>
      <c r="N694" s="21">
        <f t="shared" si="3385"/>
        <v>0.23651142846489429</v>
      </c>
      <c r="O694" s="21">
        <f t="shared" si="3385"/>
        <v>0.26561409340202757</v>
      </c>
      <c r="P694" s="21">
        <f t="shared" si="3385"/>
        <v>0.24267638564158989</v>
      </c>
      <c r="Q694" s="21">
        <f t="shared" si="3385"/>
        <v>0.23993717470974099</v>
      </c>
      <c r="R694" s="21">
        <f t="shared" si="3385"/>
        <v>0.26341958064832682</v>
      </c>
      <c r="S694" s="21">
        <f t="shared" si="3385"/>
        <v>0.2882818756117092</v>
      </c>
      <c r="T694" s="21">
        <f t="shared" si="3385"/>
        <v>0.27808198457116928</v>
      </c>
      <c r="U694" s="21">
        <f t="shared" si="3385"/>
        <v>0.2741830596650951</v>
      </c>
      <c r="V694" s="21">
        <f t="shared" si="3385"/>
        <v>0.29953456497530051</v>
      </c>
      <c r="W694" s="21">
        <f t="shared" si="3385"/>
        <v>0.30441984592327714</v>
      </c>
      <c r="X694" s="21">
        <f t="shared" si="3385"/>
        <v>0.3013134521182107</v>
      </c>
      <c r="Y694" s="21">
        <f t="shared" si="3385"/>
        <v>0.29550097502089329</v>
      </c>
      <c r="Z694" s="21">
        <f t="shared" si="3385"/>
        <v>0.31659713230710207</v>
      </c>
      <c r="AA694" s="21">
        <f t="shared" si="3385"/>
        <v>0.33500173340266942</v>
      </c>
      <c r="AB694" s="21">
        <f t="shared" si="3385"/>
        <v>0.33252421828452899</v>
      </c>
      <c r="AC694" s="21">
        <f t="shared" si="3385"/>
        <v>0.31655969687596658</v>
      </c>
      <c r="AD694" s="21">
        <f t="shared" si="3385"/>
        <v>0.34517828200972445</v>
      </c>
      <c r="AE694" s="21">
        <f t="shared" si="3385"/>
        <v>0.36323146630675796</v>
      </c>
      <c r="AF694" s="21">
        <f t="shared" si="3385"/>
        <v>0.36686484976656958</v>
      </c>
      <c r="AG694" s="21">
        <f t="shared" si="3385"/>
        <v>0.37147136330028246</v>
      </c>
      <c r="AH694" s="21">
        <f t="shared" ref="AH694:AI694" si="3386">+AH670/AH$678</f>
        <v>0.37885237527668991</v>
      </c>
      <c r="AI694" s="21">
        <f t="shared" si="3386"/>
        <v>0.39087721796081082</v>
      </c>
      <c r="AJ694" s="21">
        <f t="shared" ref="AJ694:AK694" si="3387">+AJ670/AJ$678</f>
        <v>0.39471309517490311</v>
      </c>
      <c r="AK694" s="21">
        <f t="shared" si="3387"/>
        <v>0.38621412447597547</v>
      </c>
      <c r="AL694" s="21">
        <f t="shared" ref="AL694:AM694" si="3388">+AL670/AL$678</f>
        <v>0.40143554592777003</v>
      </c>
      <c r="AM694" s="21">
        <f t="shared" si="3388"/>
        <v>0.41146662134812367</v>
      </c>
      <c r="AN694" s="21"/>
      <c r="AO694" s="21"/>
      <c r="AP694" s="21"/>
      <c r="AQ694" s="21"/>
      <c r="AR694" s="21"/>
      <c r="AS694" s="21"/>
      <c r="AT694" s="21"/>
      <c r="AU694" s="21"/>
      <c r="AV694" s="21">
        <f t="shared" ref="AV694:BE694" si="3389">+AV670/AV$678</f>
        <v>0.17562065541211519</v>
      </c>
      <c r="AW694" s="21">
        <f t="shared" si="3389"/>
        <v>0.194123586084159</v>
      </c>
      <c r="AX694" s="21">
        <f t="shared" si="3389"/>
        <v>0.19216119326547595</v>
      </c>
      <c r="AY694" s="21">
        <f t="shared" si="3389"/>
        <v>0.18945426990549447</v>
      </c>
      <c r="AZ694" s="21">
        <f t="shared" si="3389"/>
        <v>0.19304694600056971</v>
      </c>
      <c r="BA694" s="21">
        <f t="shared" si="3389"/>
        <v>0.19792161749026962</v>
      </c>
      <c r="BB694" s="21">
        <f t="shared" si="3389"/>
        <v>0.19641150253935716</v>
      </c>
      <c r="BC694" s="21">
        <f t="shared" si="3389"/>
        <v>0.19888865142124384</v>
      </c>
      <c r="BD694" s="21">
        <f t="shared" si="3389"/>
        <v>0.22476558837318331</v>
      </c>
      <c r="BE694" s="21">
        <f t="shared" si="3389"/>
        <v>0.24188993885491941</v>
      </c>
      <c r="BF694" s="21"/>
      <c r="BG694" s="21">
        <f t="shared" si="3383"/>
        <v>0.20911863439892928</v>
      </c>
      <c r="BH694" s="21">
        <f t="shared" si="3383"/>
        <v>0.22417703037143655</v>
      </c>
      <c r="BI694" s="21">
        <f t="shared" si="3383"/>
        <v>0.23676150779267852</v>
      </c>
      <c r="BJ694" s="21">
        <f t="shared" si="3383"/>
        <v>0.25922776793305946</v>
      </c>
      <c r="BK694" s="21">
        <f t="shared" si="3383"/>
        <v>0.28933328671817643</v>
      </c>
      <c r="BL694" s="21">
        <f t="shared" si="3383"/>
        <v>0.31286587977725955</v>
      </c>
      <c r="BM694" s="21">
        <f t="shared" si="3383"/>
        <v>0.33954203863418569</v>
      </c>
      <c r="BN694" s="21">
        <f t="shared" ref="BN694:BO694" si="3390">+BN670/BN$678</f>
        <v>0.37736828445367249</v>
      </c>
      <c r="BO694" s="21">
        <f t="shared" si="3390"/>
        <v>0.39868310473968066</v>
      </c>
      <c r="BP694" s="21"/>
    </row>
    <row r="695" spans="2:68" s="3" customFormat="1">
      <c r="B695" s="13" t="s">
        <v>480</v>
      </c>
      <c r="H695" s="21">
        <f t="shared" ref="H695:AG695" si="3391">+H671/H$678</f>
        <v>8.5963152134257564E-2</v>
      </c>
      <c r="I695" s="21">
        <f t="shared" si="3391"/>
        <v>0.1400526601099667</v>
      </c>
      <c r="J695" s="21">
        <f t="shared" si="3391"/>
        <v>8.2112700327416854E-2</v>
      </c>
      <c r="K695" s="21">
        <f t="shared" si="3391"/>
        <v>6.4167154852567854E-2</v>
      </c>
      <c r="L695" s="21">
        <f t="shared" si="3391"/>
        <v>7.7267910995191133E-2</v>
      </c>
      <c r="M695" s="21">
        <f t="shared" si="3391"/>
        <v>0.13555570924683588</v>
      </c>
      <c r="N695" s="21">
        <f t="shared" si="3391"/>
        <v>8.3933032551549269E-2</v>
      </c>
      <c r="O695" s="21">
        <f t="shared" si="3391"/>
        <v>7.5984709988366289E-2</v>
      </c>
      <c r="P695" s="21">
        <f t="shared" si="3391"/>
        <v>9.4141108513271898E-2</v>
      </c>
      <c r="Q695" s="21">
        <f t="shared" si="3391"/>
        <v>0.13033168057651442</v>
      </c>
      <c r="R695" s="21">
        <f t="shared" si="3391"/>
        <v>7.7295476104805208E-2</v>
      </c>
      <c r="S695" s="21">
        <f t="shared" si="3391"/>
        <v>6.0889165702761219E-2</v>
      </c>
      <c r="T695" s="21">
        <f t="shared" si="3391"/>
        <v>7.6902132808954776E-2</v>
      </c>
      <c r="U695" s="21">
        <f t="shared" si="3391"/>
        <v>9.0147943423833518E-2</v>
      </c>
      <c r="V695" s="21">
        <f t="shared" si="3391"/>
        <v>6.7074041289512012E-2</v>
      </c>
      <c r="W695" s="21">
        <f t="shared" si="3391"/>
        <v>8.8265453684957806E-2</v>
      </c>
      <c r="X695" s="21">
        <f t="shared" si="3391"/>
        <v>8.3221187489906881E-2</v>
      </c>
      <c r="Y695" s="21">
        <f t="shared" si="3391"/>
        <v>0.11679357414801746</v>
      </c>
      <c r="Z695" s="21">
        <f t="shared" si="3391"/>
        <v>8.4712031841941204E-2</v>
      </c>
      <c r="AA695" s="21">
        <f t="shared" si="3391"/>
        <v>8.0473218928757154E-2</v>
      </c>
      <c r="AB695" s="21">
        <f t="shared" si="3391"/>
        <v>7.9285919191473403E-2</v>
      </c>
      <c r="AC695" s="21">
        <f t="shared" si="3391"/>
        <v>0.10520414475719146</v>
      </c>
      <c r="AD695" s="21">
        <f t="shared" si="3391"/>
        <v>7.5769854132901132E-2</v>
      </c>
      <c r="AE695" s="21">
        <f t="shared" si="3391"/>
        <v>6.6615251132748479E-2</v>
      </c>
      <c r="AF695" s="21">
        <f t="shared" si="3391"/>
        <v>7.202426080363912E-2</v>
      </c>
      <c r="AG695" s="21">
        <f t="shared" si="3391"/>
        <v>9.0204182228373175E-2</v>
      </c>
      <c r="AH695" s="21">
        <f t="shared" ref="AH695:AI695" si="3392">+AH671/AH$678</f>
        <v>6.824072497493236E-2</v>
      </c>
      <c r="AI695" s="21">
        <f t="shared" si="3392"/>
        <v>6.2129598319955862E-2</v>
      </c>
      <c r="AJ695" s="21">
        <f t="shared" ref="AJ695:AK695" si="3393">+AJ671/AJ$678</f>
        <v>6.934196790346267E-2</v>
      </c>
      <c r="AK695" s="21">
        <f t="shared" si="3393"/>
        <v>0.11465656239922606</v>
      </c>
      <c r="AL695" s="21">
        <f t="shared" ref="AL695:AM695" si="3394">+AL671/AL$678</f>
        <v>8.8121180768857707E-2</v>
      </c>
      <c r="AM695" s="21">
        <f t="shared" si="3394"/>
        <v>7.7587405564911088E-2</v>
      </c>
      <c r="AN695" s="21"/>
      <c r="AO695" s="21"/>
      <c r="AP695" s="21"/>
      <c r="AQ695" s="21"/>
      <c r="AR695" s="21"/>
      <c r="AS695" s="21"/>
      <c r="AT695" s="21"/>
      <c r="AU695" s="21"/>
      <c r="AV695" s="21">
        <f t="shared" ref="AV695:BE695" si="3395">+AV671/AV$678</f>
        <v>9.2651439920556106E-2</v>
      </c>
      <c r="AW695" s="21">
        <f t="shared" si="3395"/>
        <v>9.3690641203347191E-2</v>
      </c>
      <c r="AX695" s="21">
        <f t="shared" si="3395"/>
        <v>8.7318353498495621E-2</v>
      </c>
      <c r="AY695" s="21">
        <f t="shared" si="3395"/>
        <v>0.11585147906152153</v>
      </c>
      <c r="AZ695" s="21">
        <f t="shared" si="3395"/>
        <v>0.10912469649905729</v>
      </c>
      <c r="BA695" s="21">
        <f t="shared" si="3395"/>
        <v>9.1202199129083228E-2</v>
      </c>
      <c r="BB695" s="21">
        <f t="shared" si="3395"/>
        <v>9.9535890732785917E-2</v>
      </c>
      <c r="BC695" s="21">
        <f t="shared" si="3395"/>
        <v>9.7467407565719172E-2</v>
      </c>
      <c r="BD695" s="21">
        <f t="shared" si="3395"/>
        <v>0.11011486169714017</v>
      </c>
      <c r="BE695" s="21">
        <f t="shared" si="3395"/>
        <v>0.10290161200667038</v>
      </c>
      <c r="BF695" s="21"/>
      <c r="BG695" s="21">
        <f t="shared" si="3383"/>
        <v>0.1009500405906488</v>
      </c>
      <c r="BH695" s="21">
        <f t="shared" si="3383"/>
        <v>9.3723788715038669E-2</v>
      </c>
      <c r="BI695" s="21">
        <f t="shared" si="3383"/>
        <v>9.3811163465023564E-2</v>
      </c>
      <c r="BJ695" s="21">
        <f t="shared" si="3383"/>
        <v>9.0477817598118293E-2</v>
      </c>
      <c r="BK695" s="21">
        <f t="shared" si="3383"/>
        <v>8.0935566199349718E-2</v>
      </c>
      <c r="BL695" s="21">
        <f t="shared" si="3383"/>
        <v>9.1440197991528249E-2</v>
      </c>
      <c r="BM695" s="21">
        <f t="shared" si="3383"/>
        <v>8.1858072325616579E-2</v>
      </c>
      <c r="BN695" s="21">
        <f t="shared" ref="BN695:BO695" si="3396">+BN671/BN$678</f>
        <v>7.2982091876459904E-2</v>
      </c>
      <c r="BO695" s="21">
        <f t="shared" si="3396"/>
        <v>8.7723664134594204E-2</v>
      </c>
      <c r="BP695" s="21"/>
    </row>
    <row r="696" spans="2:68" s="3" customFormat="1">
      <c r="B696" s="13" t="s">
        <v>481</v>
      </c>
      <c r="H696" s="21">
        <f t="shared" ref="H696:AG696" si="3397">+H672/H$678</f>
        <v>0.21173841663626414</v>
      </c>
      <c r="I696" s="21">
        <f t="shared" si="3397"/>
        <v>0.18605281499264306</v>
      </c>
      <c r="J696" s="21">
        <f t="shared" si="3397"/>
        <v>0.1832241943822161</v>
      </c>
      <c r="K696" s="21">
        <f t="shared" si="3397"/>
        <v>0.19105643429017771</v>
      </c>
      <c r="L696" s="21">
        <f t="shared" si="3397"/>
        <v>0.18921672507946857</v>
      </c>
      <c r="M696" s="21">
        <f t="shared" si="3397"/>
        <v>0.16733522373608134</v>
      </c>
      <c r="N696" s="21">
        <f t="shared" si="3397"/>
        <v>0.17196763488571534</v>
      </c>
      <c r="O696" s="21">
        <f t="shared" si="3397"/>
        <v>0.18028918065481137</v>
      </c>
      <c r="P696" s="21">
        <f t="shared" si="3397"/>
        <v>0.16851189657543666</v>
      </c>
      <c r="Q696" s="21">
        <f t="shared" si="3397"/>
        <v>0.14653075051584491</v>
      </c>
      <c r="R696" s="21">
        <f t="shared" si="3397"/>
        <v>0.16172189329756959</v>
      </c>
      <c r="S696" s="21">
        <f t="shared" si="3397"/>
        <v>0.17178278019989915</v>
      </c>
      <c r="T696" s="21">
        <f t="shared" si="3397"/>
        <v>0.16194221751626078</v>
      </c>
      <c r="U696" s="21">
        <f t="shared" si="3397"/>
        <v>0.15154717390126266</v>
      </c>
      <c r="V696" s="21">
        <f t="shared" si="3397"/>
        <v>0.14905342508780445</v>
      </c>
      <c r="W696" s="21">
        <f t="shared" si="3397"/>
        <v>0.16112323508532064</v>
      </c>
      <c r="X696" s="21">
        <f t="shared" si="3397"/>
        <v>0.1427840878505679</v>
      </c>
      <c r="Y696" s="21">
        <f t="shared" si="3397"/>
        <v>0.13269570062215619</v>
      </c>
      <c r="Z696" s="21">
        <f t="shared" si="3397"/>
        <v>0.13537620486260971</v>
      </c>
      <c r="AA696" s="21">
        <f t="shared" si="3397"/>
        <v>0.14213901889408909</v>
      </c>
      <c r="AB696" s="21">
        <f t="shared" si="3397"/>
        <v>0.12525100955491317</v>
      </c>
      <c r="AC696" s="21">
        <f t="shared" si="3397"/>
        <v>0.12759047324466441</v>
      </c>
      <c r="AD696" s="21">
        <f t="shared" si="3397"/>
        <v>0.12311588330632091</v>
      </c>
      <c r="AE696" s="21">
        <f t="shared" si="3397"/>
        <v>0.12355152800539863</v>
      </c>
      <c r="AF696" s="21">
        <f t="shared" si="3397"/>
        <v>0.10600135668967718</v>
      </c>
      <c r="AG696" s="21">
        <f t="shared" si="3397"/>
        <v>9.1152103437162305E-2</v>
      </c>
      <c r="AH696" s="21">
        <f t="shared" ref="AH696:AI696" si="3398">+AH672/AH$678</f>
        <v>0.10080027243316873</v>
      </c>
      <c r="AI696" s="21">
        <f t="shared" si="3398"/>
        <v>0.10781469682678105</v>
      </c>
      <c r="AJ696" s="21">
        <f t="shared" ref="AJ696:AK696" si="3399">+AJ672/AJ$678</f>
        <v>9.8501335881239271E-2</v>
      </c>
      <c r="AK696" s="21">
        <f t="shared" si="3399"/>
        <v>8.4843598839084169E-2</v>
      </c>
      <c r="AL696" s="21">
        <f t="shared" ref="AL696:AM696" si="3400">+AL672/AL$678</f>
        <v>9.5848556371043364E-2</v>
      </c>
      <c r="AM696" s="21">
        <f t="shared" si="3400"/>
        <v>0.10020547839386963</v>
      </c>
      <c r="AN696" s="21"/>
      <c r="AO696" s="21"/>
      <c r="AP696" s="21"/>
      <c r="AQ696" s="21"/>
      <c r="AR696" s="21"/>
      <c r="AS696" s="21"/>
      <c r="AT696" s="21"/>
      <c r="AU696" s="21"/>
      <c r="AV696" s="21">
        <f t="shared" ref="AV696:BE696" si="3401">+AV672/AV$678</f>
        <v>0.27868255544521681</v>
      </c>
      <c r="AW696" s="21">
        <f t="shared" si="3401"/>
        <v>0.25074866950733266</v>
      </c>
      <c r="AX696" s="21">
        <f t="shared" si="3401"/>
        <v>0.2916746687151911</v>
      </c>
      <c r="AY696" s="21">
        <f t="shared" si="3401"/>
        <v>0.25485037816507727</v>
      </c>
      <c r="AZ696" s="21">
        <f t="shared" si="3401"/>
        <v>0.23493346716764105</v>
      </c>
      <c r="BA696" s="21">
        <f t="shared" si="3401"/>
        <v>0.22516666880756336</v>
      </c>
      <c r="BB696" s="21">
        <f t="shared" si="3401"/>
        <v>0.19411974710075663</v>
      </c>
      <c r="BC696" s="21">
        <f t="shared" si="3401"/>
        <v>0.15843128873690959</v>
      </c>
      <c r="BD696" s="21">
        <f t="shared" si="3401"/>
        <v>9.4983591186122832E-2</v>
      </c>
      <c r="BE696" s="21">
        <f t="shared" si="3401"/>
        <v>9.5886603668704842E-2</v>
      </c>
      <c r="BF696" s="21"/>
      <c r="BG696" s="21">
        <f t="shared" si="3383"/>
        <v>0.19250937973100468</v>
      </c>
      <c r="BH696" s="21">
        <f t="shared" si="3383"/>
        <v>0.1925319195203529</v>
      </c>
      <c r="BI696" s="21">
        <f t="shared" si="3383"/>
        <v>0.1768575570859007</v>
      </c>
      <c r="BJ696" s="21">
        <f t="shared" si="3383"/>
        <v>0.16206702001700532</v>
      </c>
      <c r="BK696" s="21">
        <f t="shared" si="3383"/>
        <v>0.15588574625039331</v>
      </c>
      <c r="BL696" s="21">
        <f t="shared" si="3383"/>
        <v>0.13818357051068489</v>
      </c>
      <c r="BM696" s="21">
        <f t="shared" si="3383"/>
        <v>0.12488525747717759</v>
      </c>
      <c r="BN696" s="21">
        <f t="shared" ref="BN696:BO696" si="3402">+BN672/BN$678</f>
        <v>0.10148880447349173</v>
      </c>
      <c r="BO696" s="21">
        <f t="shared" si="3402"/>
        <v>9.4826249785820937E-2</v>
      </c>
      <c r="BP696" s="21"/>
    </row>
    <row r="697" spans="2:68" s="3" customFormat="1">
      <c r="B697" s="13" t="s">
        <v>482</v>
      </c>
      <c r="H697" s="21">
        <f t="shared" ref="H697:AG697" si="3403">+H673/H$678</f>
        <v>6.5167821962787309E-2</v>
      </c>
      <c r="I697" s="21">
        <f t="shared" si="3403"/>
        <v>6.2146673894524898E-2</v>
      </c>
      <c r="J697" s="21">
        <f t="shared" si="3403"/>
        <v>6.8886782698604168E-2</v>
      </c>
      <c r="K697" s="21">
        <f t="shared" si="3403"/>
        <v>6.1941027143136103E-2</v>
      </c>
      <c r="L697" s="21">
        <f t="shared" si="3403"/>
        <v>6.6794359768522285E-2</v>
      </c>
      <c r="M697" s="21">
        <f t="shared" si="3403"/>
        <v>6.2936579293173797E-2</v>
      </c>
      <c r="N697" s="21">
        <f t="shared" si="3403"/>
        <v>6.6520004474439759E-2</v>
      </c>
      <c r="O697" s="21">
        <f t="shared" si="3403"/>
        <v>5.8800066478311451E-2</v>
      </c>
      <c r="P697" s="21">
        <f t="shared" si="3403"/>
        <v>6.1477100811442718E-2</v>
      </c>
      <c r="Q697" s="21">
        <f t="shared" si="3403"/>
        <v>6.0854300760678756E-2</v>
      </c>
      <c r="R697" s="21">
        <f t="shared" si="3403"/>
        <v>6.2510222105917376E-2</v>
      </c>
      <c r="S697" s="21">
        <f t="shared" si="3403"/>
        <v>5.7923302784945278E-2</v>
      </c>
      <c r="T697" s="21">
        <f t="shared" si="3403"/>
        <v>6.0232945091514146E-2</v>
      </c>
      <c r="U697" s="21">
        <f t="shared" si="3403"/>
        <v>5.8608356364818731E-2</v>
      </c>
      <c r="V697" s="21">
        <f t="shared" si="3403"/>
        <v>5.670883184375089E-2</v>
      </c>
      <c r="W697" s="21">
        <f t="shared" si="3403"/>
        <v>4.2068729787289982E-2</v>
      </c>
      <c r="X697" s="21">
        <f t="shared" si="3403"/>
        <v>4.8150939333584539E-2</v>
      </c>
      <c r="Y697" s="21">
        <f t="shared" si="3403"/>
        <v>5.0701086451852541E-2</v>
      </c>
      <c r="Z697" s="21">
        <f t="shared" si="3403"/>
        <v>5.3181796384213303E-2</v>
      </c>
      <c r="AA697" s="21">
        <f t="shared" si="3403"/>
        <v>5.0637025481019241E-2</v>
      </c>
      <c r="AB697" s="21">
        <f t="shared" si="3403"/>
        <v>5.8609351898845904E-2</v>
      </c>
      <c r="AC697" s="21">
        <f t="shared" si="3403"/>
        <v>5.9232910609341168E-2</v>
      </c>
      <c r="AD697" s="21">
        <f t="shared" si="3403"/>
        <v>5.9663695299837928E-2</v>
      </c>
      <c r="AE697" s="21">
        <f t="shared" si="3403"/>
        <v>5.6415694591728523E-2</v>
      </c>
      <c r="AF697" s="21">
        <f t="shared" si="3403"/>
        <v>5.8417461394198157E-2</v>
      </c>
      <c r="AG697" s="21">
        <f t="shared" si="3403"/>
        <v>6.1103001118547023E-2</v>
      </c>
      <c r="AH697" s="21">
        <f t="shared" ref="AH697:AI697" si="3404">+AH673/AH$678</f>
        <v>5.7608263806118394E-2</v>
      </c>
      <c r="AI697" s="21">
        <f t="shared" si="3404"/>
        <v>5.3604798092153266E-2</v>
      </c>
      <c r="AJ697" s="21">
        <f t="shared" ref="AJ697:AK697" si="3405">+AJ673/AJ$678</f>
        <v>5.4019144682131037E-2</v>
      </c>
      <c r="AK697" s="21">
        <f t="shared" si="3405"/>
        <v>5.1918735891647853E-2</v>
      </c>
      <c r="AL697" s="21">
        <f t="shared" ref="AL697:AM697" si="3406">+AL673/AL$678</f>
        <v>5.0664424973326003E-2</v>
      </c>
      <c r="AM697" s="21">
        <f t="shared" si="3406"/>
        <v>4.8959475952848115E-2</v>
      </c>
      <c r="AN697" s="21"/>
      <c r="AO697" s="21"/>
      <c r="AP697" s="21"/>
      <c r="AQ697" s="21"/>
      <c r="AR697" s="21"/>
      <c r="AS697" s="21"/>
      <c r="AT697" s="21"/>
      <c r="AU697" s="21"/>
      <c r="AV697" s="21">
        <f t="shared" ref="AV697:BE697" si="3407">+AV673/AV$678</f>
        <v>4.0135716650115859E-2</v>
      </c>
      <c r="AW697" s="21">
        <f t="shared" si="3407"/>
        <v>4.0128685593031815E-2</v>
      </c>
      <c r="AX697" s="21">
        <f t="shared" si="3407"/>
        <v>4.0458357339478904E-2</v>
      </c>
      <c r="AY697" s="21">
        <f t="shared" si="3407"/>
        <v>4.1648199247959053E-2</v>
      </c>
      <c r="AZ697" s="21">
        <f t="shared" si="3407"/>
        <v>4.3147999945742851E-2</v>
      </c>
      <c r="BA697" s="21">
        <f t="shared" si="3407"/>
        <v>4.3507302598620408E-2</v>
      </c>
      <c r="BB697" s="21">
        <f t="shared" si="3407"/>
        <v>4.6249697695576568E-2</v>
      </c>
      <c r="BC697" s="21">
        <f t="shared" si="3407"/>
        <v>4.8696302628766827E-2</v>
      </c>
      <c r="BD697" s="21">
        <f t="shared" si="3407"/>
        <v>7.1472105016408813E-2</v>
      </c>
      <c r="BE697" s="21">
        <f t="shared" si="3407"/>
        <v>7.7498610339077262E-2</v>
      </c>
      <c r="BF697" s="21"/>
      <c r="BG697" s="21">
        <f t="shared" si="3383"/>
        <v>5.9547578822651777E-2</v>
      </c>
      <c r="BH697" s="21">
        <f t="shared" si="3383"/>
        <v>6.4398214784976857E-2</v>
      </c>
      <c r="BI697" s="21">
        <f t="shared" si="3383"/>
        <v>6.3537513591881117E-2</v>
      </c>
      <c r="BJ697" s="21">
        <f t="shared" si="3383"/>
        <v>6.061521101690201E-2</v>
      </c>
      <c r="BK697" s="21">
        <f t="shared" si="3383"/>
        <v>5.4120197182113763E-2</v>
      </c>
      <c r="BL697" s="21">
        <f t="shared" si="3383"/>
        <v>5.0735329113321591E-2</v>
      </c>
      <c r="BM697" s="21">
        <f t="shared" si="3383"/>
        <v>5.8460684924597772E-2</v>
      </c>
      <c r="BN697" s="21">
        <f t="shared" ref="BN697:BO697" si="3408">+BN673/BN$678</f>
        <v>5.7608003208833733E-2</v>
      </c>
      <c r="BO697" s="21">
        <f t="shared" si="3408"/>
        <v>5.13050644169026E-2</v>
      </c>
      <c r="BP697" s="21"/>
    </row>
    <row r="698" spans="2:68" s="3" customFormat="1">
      <c r="B698" s="13" t="s">
        <v>483</v>
      </c>
      <c r="H698" s="21">
        <f t="shared" ref="H698:AG698" si="3409">+H674/H$678</f>
        <v>6.1793141189346951E-2</v>
      </c>
      <c r="I698" s="21">
        <f t="shared" si="3409"/>
        <v>5.3086037326725004E-2</v>
      </c>
      <c r="J698" s="21">
        <f t="shared" si="3409"/>
        <v>5.9581251077029121E-2</v>
      </c>
      <c r="K698" s="21">
        <f t="shared" si="3409"/>
        <v>5.5965631712556141E-2</v>
      </c>
      <c r="L698" s="21">
        <f t="shared" si="3409"/>
        <v>5.5872524248104981E-2</v>
      </c>
      <c r="M698" s="21">
        <f t="shared" si="3409"/>
        <v>4.9623072135002423E-2</v>
      </c>
      <c r="N698" s="21">
        <f t="shared" si="3409"/>
        <v>5.5520340057421978E-2</v>
      </c>
      <c r="O698" s="21">
        <f t="shared" si="3409"/>
        <v>5.1553930530164535E-2</v>
      </c>
      <c r="P698" s="21">
        <f t="shared" si="3409"/>
        <v>4.9855590702791913E-2</v>
      </c>
      <c r="Q698" s="21">
        <f t="shared" si="3409"/>
        <v>4.684179729604878E-2</v>
      </c>
      <c r="R698" s="21">
        <f t="shared" si="3409"/>
        <v>5.0439959438683721E-2</v>
      </c>
      <c r="S698" s="21">
        <f t="shared" si="3409"/>
        <v>4.778005160601477E-2</v>
      </c>
      <c r="T698" s="21">
        <f t="shared" si="3409"/>
        <v>4.6740281349266374E-2</v>
      </c>
      <c r="U698" s="21">
        <f t="shared" si="3409"/>
        <v>4.3678534655611556E-2</v>
      </c>
      <c r="V698" s="21">
        <f t="shared" si="3409"/>
        <v>4.6629165357928097E-2</v>
      </c>
      <c r="W698" s="21">
        <f t="shared" si="3409"/>
        <v>4.2568295953514051E-2</v>
      </c>
      <c r="X698" s="21">
        <f t="shared" si="3409"/>
        <v>4.4059858965387305E-2</v>
      </c>
      <c r="Y698" s="21">
        <f t="shared" si="3409"/>
        <v>3.9349057479803141E-2</v>
      </c>
      <c r="Z698" s="21">
        <f t="shared" si="3409"/>
        <v>4.3231189756869515E-2</v>
      </c>
      <c r="AA698" s="21">
        <f t="shared" si="3409"/>
        <v>3.9174900329346507E-2</v>
      </c>
      <c r="AB698" s="21">
        <f t="shared" si="3409"/>
        <v>3.9521592338416046E-2</v>
      </c>
      <c r="AC698" s="21">
        <f t="shared" si="3409"/>
        <v>3.5242035261367148E-2</v>
      </c>
      <c r="AD698" s="21">
        <f t="shared" si="3409"/>
        <v>3.8310372771474879E-2</v>
      </c>
      <c r="AE698" s="21">
        <f t="shared" si="3409"/>
        <v>3.6672129567145474E-2</v>
      </c>
      <c r="AF698" s="21">
        <f t="shared" si="3409"/>
        <v>3.7428674035353736E-2</v>
      </c>
      <c r="AG698" s="21">
        <f t="shared" si="3409"/>
        <v>3.5300585815307033E-2</v>
      </c>
      <c r="AH698" s="21">
        <f t="shared" ref="AH698:AI698" si="3410">+AH674/AH$678</f>
        <v>3.7970372892899708E-2</v>
      </c>
      <c r="AI698" s="21">
        <f t="shared" si="3410"/>
        <v>3.5184822652120522E-2</v>
      </c>
      <c r="AJ698" s="21">
        <f t="shared" ref="AJ698:AK698" si="3411">+AJ674/AJ$678</f>
        <v>3.4396730187377246E-2</v>
      </c>
      <c r="AK698" s="21">
        <f t="shared" si="3411"/>
        <v>3.090938406965495E-2</v>
      </c>
      <c r="AL698" s="21">
        <f t="shared" ref="AL698:AM698" si="3412">+AL674/AL$678</f>
        <v>3.0085033463739533E-2</v>
      </c>
      <c r="AM698" s="21">
        <f t="shared" si="3412"/>
        <v>2.8921470174733881E-2</v>
      </c>
      <c r="AN698" s="21"/>
      <c r="AO698" s="21"/>
      <c r="AP698" s="21"/>
      <c r="AQ698" s="21"/>
      <c r="AR698" s="21"/>
      <c r="AS698" s="21"/>
      <c r="AT698" s="21"/>
      <c r="AU698" s="21"/>
      <c r="AV698" s="21">
        <f t="shared" ref="AV698:BE698" si="3413">+AV674/AV$678</f>
        <v>4.5398874544852696E-2</v>
      </c>
      <c r="AW698" s="21">
        <f t="shared" si="3413"/>
        <v>5.1748036346835051E-2</v>
      </c>
      <c r="AX698" s="21">
        <f t="shared" si="3413"/>
        <v>4.8588438640291914E-2</v>
      </c>
      <c r="AY698" s="21">
        <f t="shared" si="3413"/>
        <v>4.8210685844187411E-2</v>
      </c>
      <c r="AZ698" s="21">
        <f t="shared" si="3413"/>
        <v>5.3931608860192881E-2</v>
      </c>
      <c r="BA698" s="21">
        <f t="shared" si="3413"/>
        <v>5.6160002055260824E-2</v>
      </c>
      <c r="BB698" s="21">
        <f t="shared" si="3413"/>
        <v>5.4898483295521286E-2</v>
      </c>
      <c r="BC698" s="21">
        <f t="shared" si="3413"/>
        <v>5.4391964094892074E-2</v>
      </c>
      <c r="BD698" s="21">
        <f t="shared" si="3413"/>
        <v>6.6115799343647447E-2</v>
      </c>
      <c r="BE698" s="21">
        <f t="shared" si="3413"/>
        <v>6.2123401889938853E-2</v>
      </c>
      <c r="BF698" s="21"/>
      <c r="BG698" s="21">
        <f t="shared" si="3383"/>
        <v>6.2081751760756525E-2</v>
      </c>
      <c r="BH698" s="21">
        <f t="shared" si="3383"/>
        <v>5.7387828644209958E-2</v>
      </c>
      <c r="BI698" s="21">
        <f t="shared" si="3383"/>
        <v>5.2972091337441102E-2</v>
      </c>
      <c r="BJ698" s="21">
        <f t="shared" si="3383"/>
        <v>4.8663811256883578E-2</v>
      </c>
      <c r="BK698" s="21">
        <f t="shared" si="3383"/>
        <v>4.4813481103380765E-2</v>
      </c>
      <c r="BL698" s="21">
        <f t="shared" si="3383"/>
        <v>4.1305744609966208E-2</v>
      </c>
      <c r="BM698" s="21">
        <f t="shared" si="3383"/>
        <v>3.7358147980027234E-2</v>
      </c>
      <c r="BN698" s="21">
        <f t="shared" ref="BN698:BO698" si="3414">+BN674/BN$678</f>
        <v>3.64391383337659E-2</v>
      </c>
      <c r="BO698" s="21">
        <f t="shared" si="3414"/>
        <v>3.0980491347165903E-2</v>
      </c>
      <c r="BP698" s="21"/>
    </row>
    <row r="699" spans="2:68" s="3" customFormat="1">
      <c r="B699" s="13" t="s">
        <v>476</v>
      </c>
      <c r="H699" s="21">
        <f t="shared" ref="H699:AG699" si="3415">+H675/H$678</f>
        <v>6.2112367748996714E-2</v>
      </c>
      <c r="I699" s="21">
        <f t="shared" si="3415"/>
        <v>6.5708975451095789E-2</v>
      </c>
      <c r="J699" s="21">
        <f t="shared" si="3415"/>
        <v>4.1271755988281922E-2</v>
      </c>
      <c r="K699" s="21">
        <f t="shared" si="3415"/>
        <v>4.0812341339582114E-2</v>
      </c>
      <c r="L699" s="21">
        <f t="shared" si="3415"/>
        <v>4.7029097725976035E-2</v>
      </c>
      <c r="M699" s="21">
        <f t="shared" si="3415"/>
        <v>5.1110035272148836E-2</v>
      </c>
      <c r="N699" s="21">
        <f t="shared" si="3415"/>
        <v>4.5452850590998919E-2</v>
      </c>
      <c r="O699" s="21">
        <f t="shared" si="3415"/>
        <v>4.2645836795745386E-2</v>
      </c>
      <c r="P699" s="21">
        <f t="shared" si="3415"/>
        <v>4.3357172328427999E-2</v>
      </c>
      <c r="Q699" s="21">
        <f t="shared" si="3415"/>
        <v>5.9991992855163066E-2</v>
      </c>
      <c r="R699" s="21">
        <f t="shared" si="3415"/>
        <v>4.6547381505348207E-2</v>
      </c>
      <c r="S699" s="21">
        <f t="shared" si="3415"/>
        <v>4.3390574487647181E-2</v>
      </c>
      <c r="T699" s="21">
        <f t="shared" si="3415"/>
        <v>3.6363636363636362E-2</v>
      </c>
      <c r="U699" s="21">
        <f t="shared" si="3415"/>
        <v>5.5492331870156612E-2</v>
      </c>
      <c r="V699" s="21">
        <f t="shared" si="3415"/>
        <v>4.0318665943291171E-2</v>
      </c>
      <c r="W699" s="21">
        <f t="shared" si="3415"/>
        <v>4.7195856230115955E-2</v>
      </c>
      <c r="X699" s="21">
        <f t="shared" si="3415"/>
        <v>4.3602303924207352E-2</v>
      </c>
      <c r="Y699" s="21">
        <f t="shared" si="3415"/>
        <v>4.9215340328721331E-2</v>
      </c>
      <c r="Z699" s="21">
        <f t="shared" si="3415"/>
        <v>3.833980722198245E-2</v>
      </c>
      <c r="AA699" s="21">
        <f t="shared" si="3415"/>
        <v>3.1461258450338016E-2</v>
      </c>
      <c r="AB699" s="21">
        <f t="shared" si="3415"/>
        <v>3.0032879493346869E-2</v>
      </c>
      <c r="AC699" s="21">
        <f t="shared" si="3415"/>
        <v>4.4173368388493658E-2</v>
      </c>
      <c r="AD699" s="21">
        <f t="shared" si="3415"/>
        <v>3.5737439222042137E-2</v>
      </c>
      <c r="AE699" s="21">
        <f t="shared" si="3415"/>
        <v>3.048298467174395E-2</v>
      </c>
      <c r="AF699" s="21">
        <f t="shared" si="3415"/>
        <v>2.8889509596584335E-2</v>
      </c>
      <c r="AG699" s="21">
        <f t="shared" si="3415"/>
        <v>2.7110546571368986E-2</v>
      </c>
      <c r="AH699" s="21">
        <f t="shared" ref="AH699:AI699" si="3416">+AH675/AH$678</f>
        <v>2.4254119605728663E-2</v>
      </c>
      <c r="AI699" s="21">
        <f t="shared" si="3416"/>
        <v>2.4221822776700066E-2</v>
      </c>
      <c r="AJ699" s="21">
        <f t="shared" ref="AJ699:AK699" si="3417">+AJ675/AJ$678</f>
        <v>1.9905515154732205E-2</v>
      </c>
      <c r="AK699" s="21">
        <f t="shared" si="3417"/>
        <v>2.0928732666881653E-2</v>
      </c>
      <c r="AL699" s="21">
        <f t="shared" ref="AL699:AM699" si="3418">+AL675/AL$678</f>
        <v>1.7249183614083868E-2</v>
      </c>
      <c r="AM699" s="21">
        <f t="shared" si="3418"/>
        <v>4.620946436572064E-2</v>
      </c>
      <c r="AN699" s="21"/>
      <c r="AO699" s="21"/>
      <c r="AP699" s="21"/>
      <c r="AQ699" s="21"/>
      <c r="AR699" s="21"/>
      <c r="AS699" s="21"/>
      <c r="AT699" s="21"/>
      <c r="AU699" s="21"/>
      <c r="AV699" s="21">
        <f t="shared" ref="AV699:BE699" si="3419">+AV675/AV$678</f>
        <v>0</v>
      </c>
      <c r="AW699" s="21">
        <f t="shared" si="3419"/>
        <v>0</v>
      </c>
      <c r="AX699" s="21">
        <f t="shared" si="3419"/>
        <v>0</v>
      </c>
      <c r="AY699" s="21">
        <f t="shared" si="3419"/>
        <v>0</v>
      </c>
      <c r="AZ699" s="21">
        <f t="shared" si="3419"/>
        <v>2.1974146467181204E-3</v>
      </c>
      <c r="BA699" s="21">
        <f t="shared" si="3419"/>
        <v>1.8857018073449885E-2</v>
      </c>
      <c r="BB699" s="21">
        <f t="shared" si="3419"/>
        <v>5.7075075144242399E-2</v>
      </c>
      <c r="BC699" s="21">
        <f t="shared" si="3419"/>
        <v>0.12397948279546912</v>
      </c>
      <c r="BD699" s="21">
        <f t="shared" si="3419"/>
        <v>8.7505860290670423E-2</v>
      </c>
      <c r="BE699" s="21">
        <f t="shared" si="3419"/>
        <v>5.0661478599221793E-2</v>
      </c>
      <c r="BF699" s="21"/>
      <c r="BG699" s="21">
        <f t="shared" si="3383"/>
        <v>8.6534875046624396E-2</v>
      </c>
      <c r="BH699" s="21">
        <f t="shared" si="3383"/>
        <v>5.241739238487745E-2</v>
      </c>
      <c r="BI699" s="21">
        <f t="shared" si="3383"/>
        <v>4.6520478434215293E-2</v>
      </c>
      <c r="BJ699" s="21">
        <f t="shared" si="3383"/>
        <v>4.8433365383851304E-2</v>
      </c>
      <c r="BK699" s="21">
        <f t="shared" si="3383"/>
        <v>4.5149110233192326E-2</v>
      </c>
      <c r="BL699" s="21">
        <f t="shared" si="3383"/>
        <v>4.0401456379991436E-2</v>
      </c>
      <c r="BM699" s="21">
        <f t="shared" si="3383"/>
        <v>3.5259998991274522E-2</v>
      </c>
      <c r="BN699" s="21">
        <f t="shared" ref="BN699:BO699" si="3420">+BN675/BN$678</f>
        <v>2.6052898567822003E-2</v>
      </c>
      <c r="BO699" s="21">
        <f t="shared" si="3420"/>
        <v>2.6439895235841743E-2</v>
      </c>
      <c r="BP699" s="21"/>
    </row>
    <row r="700" spans="2:68" s="3" customFormat="1">
      <c r="B700" s="13" t="s">
        <v>385</v>
      </c>
      <c r="H700" s="21">
        <f t="shared" ref="H700:AG700" si="3421">+H676/H$678</f>
        <v>0</v>
      </c>
      <c r="I700" s="21">
        <f t="shared" si="3421"/>
        <v>8.8283125532409197E-3</v>
      </c>
      <c r="J700" s="21">
        <f t="shared" si="3421"/>
        <v>4.2047216956746514E-2</v>
      </c>
      <c r="K700" s="21">
        <f t="shared" si="3421"/>
        <v>4.167154852567858E-2</v>
      </c>
      <c r="L700" s="21">
        <f t="shared" si="3421"/>
        <v>4.678457902029505E-2</v>
      </c>
      <c r="M700" s="21">
        <f t="shared" si="3421"/>
        <v>4.536966595200221E-2</v>
      </c>
      <c r="N700" s="21">
        <f t="shared" si="3421"/>
        <v>4.9778142361758454E-2</v>
      </c>
      <c r="O700" s="21">
        <f t="shared" si="3421"/>
        <v>4.8662123982050859E-2</v>
      </c>
      <c r="P700" s="21">
        <f t="shared" si="3421"/>
        <v>5.2606243982945951E-2</v>
      </c>
      <c r="Q700" s="21">
        <f t="shared" si="3421"/>
        <v>5.2138831572788029E-2</v>
      </c>
      <c r="R700" s="21">
        <f t="shared" si="3421"/>
        <v>5.5477413234764975E-2</v>
      </c>
      <c r="S700" s="21">
        <f t="shared" si="3421"/>
        <v>5.4423584541922469E-2</v>
      </c>
      <c r="T700" s="21">
        <f t="shared" si="3421"/>
        <v>5.775223112993496E-2</v>
      </c>
      <c r="U700" s="21">
        <f t="shared" si="3421"/>
        <v>5.6955508589389262E-2</v>
      </c>
      <c r="V700" s="21">
        <f t="shared" si="3421"/>
        <v>5.8536306787356156E-2</v>
      </c>
      <c r="W700" s="21">
        <f t="shared" si="3421"/>
        <v>5.3006599531985381E-2</v>
      </c>
      <c r="X700" s="21">
        <f t="shared" si="3421"/>
        <v>5.9374495343704578E-2</v>
      </c>
      <c r="Y700" s="21">
        <f t="shared" si="3421"/>
        <v>5.9824496239205126E-2</v>
      </c>
      <c r="Z700" s="21">
        <f t="shared" si="3421"/>
        <v>6.1430010070493452E-2</v>
      </c>
      <c r="AA700" s="21">
        <f t="shared" si="3421"/>
        <v>6.3789218235396086E-2</v>
      </c>
      <c r="AB700" s="21">
        <f t="shared" si="3421"/>
        <v>6.9201403446830109E-2</v>
      </c>
      <c r="AC700" s="21">
        <f t="shared" si="3421"/>
        <v>6.826090318589545E-2</v>
      </c>
      <c r="AD700" s="21">
        <f t="shared" si="3421"/>
        <v>6.9631280388978936E-2</v>
      </c>
      <c r="AE700" s="21">
        <f t="shared" si="3421"/>
        <v>7.1570423214113568E-2</v>
      </c>
      <c r="AF700" s="21">
        <f t="shared" si="3421"/>
        <v>7.3081680699094209E-2</v>
      </c>
      <c r="AG700" s="21">
        <f t="shared" si="3421"/>
        <v>7.3482852105333007E-2</v>
      </c>
      <c r="AH700" s="21">
        <f t="shared" ref="AH700:AI700" si="3422">+AH676/AH$678</f>
        <v>6.9943432279546705E-2</v>
      </c>
      <c r="AI700" s="21">
        <f t="shared" si="3422"/>
        <v>6.9568776806848309E-2</v>
      </c>
      <c r="AJ700" s="21">
        <f t="shared" ref="AJ700:AK700" si="3423">+AJ676/AJ$678</f>
        <v>6.9235805155970775E-2</v>
      </c>
      <c r="AK700" s="21">
        <f t="shared" si="3423"/>
        <v>6.7639471138342469E-2</v>
      </c>
      <c r="AL700" s="21">
        <f t="shared" ref="AL700:AM700" si="3424">+AL676/AL$678</f>
        <v>6.487438973132012E-2</v>
      </c>
      <c r="AM700" s="21">
        <f t="shared" si="3424"/>
        <v>6.5675838521791527E-2</v>
      </c>
      <c r="AN700" s="21"/>
      <c r="AO700" s="21"/>
      <c r="AP700" s="21"/>
      <c r="AQ700" s="21"/>
      <c r="AR700" s="21"/>
      <c r="AS700" s="21"/>
      <c r="AT700" s="21"/>
      <c r="AU700" s="21"/>
      <c r="AV700" s="21">
        <f t="shared" ref="AV700:BE700" si="3425">+AV676/AV$678</f>
        <v>0</v>
      </c>
      <c r="AW700" s="21">
        <f t="shared" si="3425"/>
        <v>0</v>
      </c>
      <c r="AX700" s="21">
        <f t="shared" si="3425"/>
        <v>0</v>
      </c>
      <c r="AY700" s="21">
        <f t="shared" si="3425"/>
        <v>0</v>
      </c>
      <c r="AZ700" s="21">
        <f t="shared" si="3425"/>
        <v>0</v>
      </c>
      <c r="BA700" s="21">
        <f t="shared" si="3425"/>
        <v>0</v>
      </c>
      <c r="BB700" s="21">
        <f t="shared" si="3425"/>
        <v>0</v>
      </c>
      <c r="BC700" s="21">
        <f t="shared" si="3425"/>
        <v>0</v>
      </c>
      <c r="BD700" s="21">
        <f t="shared" si="3425"/>
        <v>0</v>
      </c>
      <c r="BE700" s="21">
        <f t="shared" si="3425"/>
        <v>2.5214007782101169E-2</v>
      </c>
      <c r="BF700" s="21"/>
      <c r="BG700" s="21">
        <f t="shared" si="3383"/>
        <v>0</v>
      </c>
      <c r="BH700" s="21">
        <f t="shared" si="3383"/>
        <v>2.3516376551966946E-2</v>
      </c>
      <c r="BI700" s="21">
        <f t="shared" si="3383"/>
        <v>4.7653135193910838E-2</v>
      </c>
      <c r="BJ700" s="21">
        <f t="shared" si="3383"/>
        <v>5.3670049188274276E-2</v>
      </c>
      <c r="BK700" s="21">
        <f t="shared" si="3383"/>
        <v>5.647659336433241E-2</v>
      </c>
      <c r="BL700" s="21">
        <f t="shared" si="3383"/>
        <v>6.1211984198753032E-2</v>
      </c>
      <c r="BM700" s="21">
        <f t="shared" si="3383"/>
        <v>6.9682755837998683E-2</v>
      </c>
      <c r="BN700" s="21">
        <f t="shared" ref="BN700:BO700" si="3426">+BN676/BN$678</f>
        <v>7.1467333600736149E-2</v>
      </c>
      <c r="BO700" s="21">
        <f t="shared" si="3426"/>
        <v>6.6791230489307366E-2</v>
      </c>
      <c r="BP700" s="21"/>
    </row>
    <row r="701" spans="2:68" s="1258" customFormat="1" ht="11.45">
      <c r="B701" s="13" t="str">
        <f t="shared" ref="B701:B702" si="3427">+B689</f>
        <v>Other</v>
      </c>
      <c r="H701" s="1258">
        <f t="shared" ref="H701:AG701" si="3428">+H677/H$678</f>
        <v>2.6587012039401677E-2</v>
      </c>
      <c r="I701" s="1258">
        <f t="shared" si="3428"/>
        <v>2.8343529776194532E-2</v>
      </c>
      <c r="J701" s="1258">
        <f t="shared" si="3428"/>
        <v>2.6107185938307773E-2</v>
      </c>
      <c r="K701" s="1258">
        <f t="shared" si="3428"/>
        <v>2.6947861745752782E-2</v>
      </c>
      <c r="L701" s="1083">
        <f t="shared" si="3428"/>
        <v>2.510392044991442E-2</v>
      </c>
      <c r="M701" s="1083">
        <f t="shared" si="3428"/>
        <v>2.558959817414759E-2</v>
      </c>
      <c r="N701" s="1083">
        <f t="shared" si="3428"/>
        <v>2.6026324620604797E-2</v>
      </c>
      <c r="O701" s="1083">
        <f t="shared" si="3428"/>
        <v>2.456373608110354E-2</v>
      </c>
      <c r="P701" s="1083">
        <f t="shared" si="3428"/>
        <v>2.5306010177417137E-2</v>
      </c>
      <c r="Q701" s="1083">
        <f t="shared" si="3428"/>
        <v>2.4791352283576113E-2</v>
      </c>
      <c r="R701" s="1083">
        <f t="shared" si="3428"/>
        <v>2.4533054201694417E-2</v>
      </c>
      <c r="S701" s="1083">
        <f t="shared" si="3428"/>
        <v>2.3104072129786161E-2</v>
      </c>
      <c r="T701" s="1083">
        <f t="shared" si="3428"/>
        <v>2.586598094085615E-2</v>
      </c>
      <c r="U701" s="1083">
        <f t="shared" si="3428"/>
        <v>2.5984934698964939E-2</v>
      </c>
      <c r="V701" s="1083">
        <f t="shared" si="3428"/>
        <v>2.7440678450072812E-2</v>
      </c>
      <c r="W701" s="1083">
        <f t="shared" si="3428"/>
        <v>2.6108905424236845E-2</v>
      </c>
      <c r="X701" s="1083">
        <f t="shared" si="3428"/>
        <v>2.7776282499865426E-2</v>
      </c>
      <c r="Y701" s="1083">
        <f t="shared" si="3428"/>
        <v>2.6534497167796454E-2</v>
      </c>
      <c r="Z701" s="1083">
        <f t="shared" si="3428"/>
        <v>2.6974536037980147E-2</v>
      </c>
      <c r="AA701" s="1083">
        <f t="shared" si="3428"/>
        <v>2.5546021840873633E-2</v>
      </c>
      <c r="AB701" s="1083">
        <f t="shared" si="3428"/>
        <v>2.7075931769534611E-2</v>
      </c>
      <c r="AC701" s="1083">
        <f t="shared" si="3428"/>
        <v>2.6233374574698421E-2</v>
      </c>
      <c r="AD701" s="1083">
        <f t="shared" si="3428"/>
        <v>2.6418152350081037E-2</v>
      </c>
      <c r="AE701" s="1083">
        <f t="shared" si="3428"/>
        <v>2.7050997782705099E-2</v>
      </c>
      <c r="AF701" s="1083">
        <f t="shared" si="3428"/>
        <v>2.6894377718367186E-2</v>
      </c>
      <c r="AG701" s="1083">
        <f t="shared" si="3428"/>
        <v>2.5764498454888429E-2</v>
      </c>
      <c r="AH701" s="1083">
        <f t="shared" ref="AH701:AI701" si="3429">+AH677/AH$678</f>
        <v>2.7016289233214145E-2</v>
      </c>
      <c r="AI701" s="1083">
        <f t="shared" si="3429"/>
        <v>2.6926978590115502E-2</v>
      </c>
      <c r="AJ701" s="1083">
        <f t="shared" ref="AJ701:AK701" si="3430">+AJ677/AJ$678</f>
        <v>2.7389988852911513E-2</v>
      </c>
      <c r="AK701" s="1083">
        <f t="shared" si="3430"/>
        <v>2.5588519832312157E-2</v>
      </c>
      <c r="AL701" s="1083">
        <f t="shared" ref="AL701:AM701" si="3431">+AL677/AL$678</f>
        <v>2.6835655856962719E-2</v>
      </c>
      <c r="AM701" s="1083">
        <f t="shared" si="3431"/>
        <v>-6.7977814513263402E-4</v>
      </c>
      <c r="AN701" s="1083"/>
      <c r="AO701" s="1083"/>
      <c r="AP701" s="1083"/>
      <c r="AQ701" s="1083"/>
      <c r="AR701" s="1083"/>
      <c r="AS701" s="1083"/>
      <c r="AT701" s="1083"/>
      <c r="AU701" s="1083"/>
      <c r="AV701" s="1083">
        <f t="shared" ref="AV701:BE701" si="3432">+AV677/AV$678</f>
        <v>6.8222442899702085E-2</v>
      </c>
      <c r="AW701" s="1083">
        <f t="shared" si="3432"/>
        <v>6.1570580283039855E-2</v>
      </c>
      <c r="AX701" s="1083">
        <f t="shared" si="3432"/>
        <v>5.5662249535881184E-2</v>
      </c>
      <c r="AY701" s="1083">
        <f t="shared" si="3432"/>
        <v>5.3600789214074317E-2</v>
      </c>
      <c r="AZ701" s="1083">
        <f t="shared" si="3432"/>
        <v>6.1147810045711654E-2</v>
      </c>
      <c r="BA701" s="1083">
        <f t="shared" si="3432"/>
        <v>7.180567508895426E-2</v>
      </c>
      <c r="BB701" s="1083">
        <f t="shared" si="3432"/>
        <v>7.1597203828037734E-2</v>
      </c>
      <c r="BC701" s="1083">
        <f t="shared" si="3432"/>
        <v>6.6616798461209659E-2</v>
      </c>
      <c r="BD701" s="1083">
        <f t="shared" si="3432"/>
        <v>6.8577121425222695E-2</v>
      </c>
      <c r="BE701" s="1083">
        <f t="shared" si="3432"/>
        <v>6.1567537520844914E-2</v>
      </c>
      <c r="BF701" s="1083"/>
      <c r="BG701" s="1259">
        <f t="shared" si="3383"/>
        <v>2.7415143603133161E-2</v>
      </c>
      <c r="BH701" s="1083">
        <f t="shared" si="3383"/>
        <v>2.7037102235660811E-2</v>
      </c>
      <c r="BI701" s="1083">
        <f t="shared" si="3383"/>
        <v>2.5308082638637187E-2</v>
      </c>
      <c r="BJ701" s="1083">
        <f t="shared" si="3383"/>
        <v>2.4395476903761034E-2</v>
      </c>
      <c r="BK701" s="1083">
        <f t="shared" si="3383"/>
        <v>2.6346886690207322E-2</v>
      </c>
      <c r="BL701" s="1083">
        <f t="shared" si="3383"/>
        <v>2.6646756460901432E-2</v>
      </c>
      <c r="BM701" s="1083">
        <f t="shared" si="3383"/>
        <v>2.6685832450698544E-2</v>
      </c>
      <c r="BN701" s="1083">
        <f t="shared" ref="BN701:BO701" si="3433">+BN677/BN$678</f>
        <v>2.6652195455725173E-2</v>
      </c>
      <c r="BO701" s="1083">
        <f t="shared" si="3433"/>
        <v>1.9382185197575084E-2</v>
      </c>
      <c r="BP701" s="1260"/>
    </row>
    <row r="702" spans="2:68" s="1261" customFormat="1">
      <c r="B702" s="841" t="str">
        <f t="shared" si="3427"/>
        <v>Total revenue</v>
      </c>
      <c r="H702" s="1261">
        <f t="shared" ref="H702:AG702" si="3434">+H678/H$678</f>
        <v>1</v>
      </c>
      <c r="I702" s="1261">
        <f t="shared" si="3434"/>
        <v>1</v>
      </c>
      <c r="J702" s="1261">
        <f t="shared" si="3434"/>
        <v>1</v>
      </c>
      <c r="K702" s="1261">
        <f t="shared" si="3434"/>
        <v>1</v>
      </c>
      <c r="L702" s="1060">
        <f t="shared" si="3434"/>
        <v>1</v>
      </c>
      <c r="M702" s="1060">
        <f t="shared" si="3434"/>
        <v>1</v>
      </c>
      <c r="N702" s="1060">
        <f t="shared" si="3434"/>
        <v>1</v>
      </c>
      <c r="O702" s="1060">
        <f t="shared" si="3434"/>
        <v>1</v>
      </c>
      <c r="P702" s="1060">
        <f t="shared" si="3434"/>
        <v>1</v>
      </c>
      <c r="Q702" s="1060">
        <f t="shared" si="3434"/>
        <v>1</v>
      </c>
      <c r="R702" s="1060">
        <f t="shared" si="3434"/>
        <v>1</v>
      </c>
      <c r="S702" s="1060">
        <f t="shared" si="3434"/>
        <v>1</v>
      </c>
      <c r="T702" s="1060">
        <f t="shared" si="3434"/>
        <v>1</v>
      </c>
      <c r="U702" s="1060">
        <f t="shared" si="3434"/>
        <v>1</v>
      </c>
      <c r="V702" s="1060">
        <f t="shared" si="3434"/>
        <v>1</v>
      </c>
      <c r="W702" s="1060">
        <f t="shared" si="3434"/>
        <v>1</v>
      </c>
      <c r="X702" s="1060">
        <f t="shared" si="3434"/>
        <v>1</v>
      </c>
      <c r="Y702" s="1060">
        <f t="shared" si="3434"/>
        <v>1</v>
      </c>
      <c r="Z702" s="1060">
        <f t="shared" si="3434"/>
        <v>1</v>
      </c>
      <c r="AA702" s="1060">
        <f t="shared" si="3434"/>
        <v>1</v>
      </c>
      <c r="AB702" s="1060">
        <f t="shared" si="3434"/>
        <v>1</v>
      </c>
      <c r="AC702" s="1060">
        <f t="shared" si="3434"/>
        <v>1</v>
      </c>
      <c r="AD702" s="1060">
        <f t="shared" si="3434"/>
        <v>1</v>
      </c>
      <c r="AE702" s="1060">
        <f t="shared" si="3434"/>
        <v>1</v>
      </c>
      <c r="AF702" s="1060">
        <f t="shared" si="3434"/>
        <v>1</v>
      </c>
      <c r="AG702" s="1060">
        <f t="shared" si="3434"/>
        <v>1</v>
      </c>
      <c r="AH702" s="1060">
        <f t="shared" ref="AH702:AI702" si="3435">+AH678/AH$678</f>
        <v>1</v>
      </c>
      <c r="AI702" s="1060">
        <f t="shared" si="3435"/>
        <v>1</v>
      </c>
      <c r="AJ702" s="1060">
        <f t="shared" ref="AJ702:AK702" si="3436">+AJ678/AJ$678</f>
        <v>1</v>
      </c>
      <c r="AK702" s="1060">
        <f t="shared" si="3436"/>
        <v>1</v>
      </c>
      <c r="AL702" s="1060">
        <f t="shared" ref="AL702:AM702" si="3437">+AL678/AL$678</f>
        <v>1</v>
      </c>
      <c r="AM702" s="1060">
        <f t="shared" si="3437"/>
        <v>1</v>
      </c>
      <c r="AN702" s="1060"/>
      <c r="AO702" s="1060"/>
      <c r="AP702" s="1060"/>
      <c r="AQ702" s="1060"/>
      <c r="AR702" s="1060"/>
      <c r="AS702" s="1060"/>
      <c r="AT702" s="1060"/>
      <c r="AU702" s="1060"/>
      <c r="AV702" s="1060">
        <f t="shared" ref="AV702:BE702" si="3438">+AV678/AV$678</f>
        <v>1</v>
      </c>
      <c r="AW702" s="1060">
        <f t="shared" si="3438"/>
        <v>1</v>
      </c>
      <c r="AX702" s="1060">
        <f t="shared" si="3438"/>
        <v>1</v>
      </c>
      <c r="AY702" s="1060">
        <f t="shared" si="3438"/>
        <v>1</v>
      </c>
      <c r="AZ702" s="1060">
        <f t="shared" si="3438"/>
        <v>1</v>
      </c>
      <c r="BA702" s="1060">
        <f t="shared" si="3438"/>
        <v>1</v>
      </c>
      <c r="BB702" s="1060">
        <f t="shared" si="3438"/>
        <v>1</v>
      </c>
      <c r="BC702" s="1060">
        <f t="shared" si="3438"/>
        <v>1</v>
      </c>
      <c r="BD702" s="1060">
        <f t="shared" si="3438"/>
        <v>1</v>
      </c>
      <c r="BE702" s="1060">
        <f t="shared" si="3438"/>
        <v>1</v>
      </c>
      <c r="BF702" s="1060"/>
      <c r="BG702" s="1262">
        <f t="shared" si="3383"/>
        <v>1</v>
      </c>
      <c r="BH702" s="1060">
        <f t="shared" si="3383"/>
        <v>1</v>
      </c>
      <c r="BI702" s="1060">
        <f t="shared" si="3383"/>
        <v>1</v>
      </c>
      <c r="BJ702" s="1060">
        <f t="shared" si="3383"/>
        <v>1</v>
      </c>
      <c r="BK702" s="1060">
        <f t="shared" si="3383"/>
        <v>1</v>
      </c>
      <c r="BL702" s="1060">
        <f t="shared" si="3383"/>
        <v>1</v>
      </c>
      <c r="BM702" s="1060">
        <f t="shared" si="3383"/>
        <v>1</v>
      </c>
      <c r="BN702" s="1060">
        <f t="shared" ref="BN702:BO702" si="3439">+BN678/BN$678</f>
        <v>1</v>
      </c>
      <c r="BO702" s="1060">
        <f t="shared" si="3439"/>
        <v>1</v>
      </c>
      <c r="BP702" s="1263"/>
    </row>
    <row r="703" spans="2:68" hidden="1" outlineLevel="1">
      <c r="B703" s="843"/>
    </row>
    <row r="704" spans="2:68" s="3" customFormat="1" hidden="1" outlineLevel="1">
      <c r="B704" s="15" t="s">
        <v>484</v>
      </c>
      <c r="AW704" s="21">
        <f t="shared" ref="AW704:BE704" si="3440">+AW709/AW$712</f>
        <v>0.25074866950733266</v>
      </c>
      <c r="AX704" s="21">
        <f t="shared" si="3440"/>
        <v>0.2916746687151911</v>
      </c>
      <c r="AY704" s="21">
        <f t="shared" si="3440"/>
        <v>0.25485037816507727</v>
      </c>
      <c r="AZ704" s="21">
        <f t="shared" si="3440"/>
        <v>0.24049661338755504</v>
      </c>
      <c r="BA704" s="21">
        <f t="shared" si="3440"/>
        <v>0.2197544917150655</v>
      </c>
      <c r="BB704" s="21">
        <f t="shared" si="3440"/>
        <v>0.19411974710075663</v>
      </c>
      <c r="BC704" s="21">
        <f t="shared" si="3440"/>
        <v>0.15843128873690959</v>
      </c>
      <c r="BD704" s="21">
        <f t="shared" si="3440"/>
        <v>0.16035797005317357</v>
      </c>
      <c r="BE704" s="21">
        <f t="shared" si="3440"/>
        <v>0.1586227588276069</v>
      </c>
      <c r="BG704" s="21"/>
      <c r="BH704" s="21"/>
    </row>
    <row r="705" spans="2:57" hidden="1" outlineLevel="1">
      <c r="B705" s="843"/>
    </row>
    <row r="706" spans="2:57" hidden="1" outlineLevel="1">
      <c r="B706" s="922" t="s">
        <v>126</v>
      </c>
    </row>
    <row r="707" spans="2:57" hidden="1" outlineLevel="1">
      <c r="B707" s="12" t="str">
        <f>"Revenue from "&amp;B672</f>
        <v>Revenue from Windows</v>
      </c>
      <c r="AV707" s="8">
        <f t="shared" ref="AV707:BE707" si="3441">+AV672</f>
        <v>16838</v>
      </c>
      <c r="AW707" s="8">
        <f t="shared" si="3441"/>
        <v>14653</v>
      </c>
      <c r="AX707" s="8">
        <f t="shared" si="3441"/>
        <v>18225</v>
      </c>
      <c r="AY707" s="8">
        <f t="shared" si="3441"/>
        <v>17825</v>
      </c>
      <c r="AZ707" s="8">
        <f t="shared" si="3441"/>
        <v>17320</v>
      </c>
      <c r="BA707" s="8">
        <f t="shared" si="3441"/>
        <v>17529</v>
      </c>
      <c r="BB707" s="8">
        <f t="shared" si="3441"/>
        <v>16856</v>
      </c>
      <c r="BC707" s="8">
        <f t="shared" si="3441"/>
        <v>14826</v>
      </c>
      <c r="BD707" s="8">
        <f t="shared" si="3441"/>
        <v>8104</v>
      </c>
      <c r="BE707" s="8">
        <f t="shared" si="3441"/>
        <v>8625</v>
      </c>
    </row>
    <row r="708" spans="2:57" ht="11.45" hidden="1" outlineLevel="1">
      <c r="B708" s="12" t="s">
        <v>274</v>
      </c>
      <c r="AV708" s="10">
        <f t="shared" ref="AV708:BE708" si="3442">+AV18</f>
        <v>0</v>
      </c>
      <c r="AW708" s="10">
        <f t="shared" si="3442"/>
        <v>0</v>
      </c>
      <c r="AX708" s="10">
        <f t="shared" si="3442"/>
        <v>0</v>
      </c>
      <c r="AY708" s="10">
        <f t="shared" si="3442"/>
        <v>0</v>
      </c>
      <c r="AZ708" s="10">
        <f t="shared" si="3442"/>
        <v>540</v>
      </c>
      <c r="BA708" s="10">
        <f t="shared" si="3442"/>
        <v>-540</v>
      </c>
      <c r="BB708" s="10">
        <f t="shared" si="3442"/>
        <v>0</v>
      </c>
      <c r="BC708" s="10">
        <f t="shared" si="3442"/>
        <v>0</v>
      </c>
      <c r="BD708" s="10">
        <f t="shared" si="3442"/>
        <v>6643</v>
      </c>
      <c r="BE708" s="10">
        <f t="shared" si="3442"/>
        <v>6707</v>
      </c>
    </row>
    <row r="709" spans="2:57" hidden="1" outlineLevel="1">
      <c r="B709" s="17" t="s">
        <v>485</v>
      </c>
      <c r="AV709" s="8">
        <f t="shared" ref="AV709:BD709" si="3443">+AV708+AV707</f>
        <v>16838</v>
      </c>
      <c r="AW709" s="8">
        <f t="shared" si="3443"/>
        <v>14653</v>
      </c>
      <c r="AX709" s="8">
        <f t="shared" si="3443"/>
        <v>18225</v>
      </c>
      <c r="AY709" s="8">
        <f t="shared" si="3443"/>
        <v>17825</v>
      </c>
      <c r="AZ709" s="8">
        <f t="shared" si="3443"/>
        <v>17860</v>
      </c>
      <c r="BA709" s="8">
        <f t="shared" si="3443"/>
        <v>16989</v>
      </c>
      <c r="BB709" s="8">
        <f t="shared" si="3443"/>
        <v>16856</v>
      </c>
      <c r="BC709" s="8">
        <f t="shared" si="3443"/>
        <v>14826</v>
      </c>
      <c r="BD709" s="8">
        <f t="shared" si="3443"/>
        <v>14747</v>
      </c>
      <c r="BE709" s="8">
        <f>+BE708+BE707</f>
        <v>15332</v>
      </c>
    </row>
    <row r="710" spans="2:57" s="33" customFormat="1" hidden="1" outlineLevel="1">
      <c r="B710" s="923" t="s">
        <v>113</v>
      </c>
      <c r="AW710" s="14">
        <f t="shared" ref="AW710:BE710" si="3444">+IFERROR(AW709/AV709-1,"n/a ")</f>
        <v>-0.12976600546383177</v>
      </c>
      <c r="AX710" s="14">
        <f t="shared" si="3444"/>
        <v>0.24377260629222675</v>
      </c>
      <c r="AY710" s="14">
        <f t="shared" si="3444"/>
        <v>-2.1947873799725626E-2</v>
      </c>
      <c r="AZ710" s="14">
        <f t="shared" si="3444"/>
        <v>1.9635343618513712E-3</v>
      </c>
      <c r="BA710" s="14">
        <f t="shared" si="3444"/>
        <v>-4.8768197088465803E-2</v>
      </c>
      <c r="BB710" s="14">
        <f t="shared" si="3444"/>
        <v>-7.8285949732179727E-3</v>
      </c>
      <c r="BC710" s="14">
        <f t="shared" si="3444"/>
        <v>-0.12043189368770768</v>
      </c>
      <c r="BD710" s="14">
        <f t="shared" si="3444"/>
        <v>-5.3284769998650505E-3</v>
      </c>
      <c r="BE710" s="14">
        <f t="shared" si="3444"/>
        <v>3.9669085237675539E-2</v>
      </c>
    </row>
    <row r="711" spans="2:57" hidden="1" outlineLevel="1">
      <c r="B711" s="17"/>
      <c r="AV711" s="8"/>
      <c r="AW711" s="8"/>
      <c r="AX711" s="8"/>
      <c r="AY711" s="8"/>
      <c r="AZ711" s="8"/>
      <c r="BA711" s="8"/>
      <c r="BB711" s="8"/>
      <c r="BC711" s="8"/>
      <c r="BD711" s="8"/>
      <c r="BE711" s="8"/>
    </row>
    <row r="712" spans="2:57" hidden="1" outlineLevel="1">
      <c r="B712" s="12" t="s">
        <v>486</v>
      </c>
      <c r="AV712" s="8">
        <f t="shared" ref="AV712:BE712" si="3445">+AV678+AV708</f>
        <v>60420</v>
      </c>
      <c r="AW712" s="8">
        <f t="shared" si="3445"/>
        <v>58437</v>
      </c>
      <c r="AX712" s="8">
        <f t="shared" si="3445"/>
        <v>62484</v>
      </c>
      <c r="AY712" s="8">
        <f t="shared" si="3445"/>
        <v>69943</v>
      </c>
      <c r="AZ712" s="8">
        <f t="shared" si="3445"/>
        <v>74263</v>
      </c>
      <c r="BA712" s="8">
        <f t="shared" si="3445"/>
        <v>77309</v>
      </c>
      <c r="BB712" s="8">
        <f t="shared" si="3445"/>
        <v>86833</v>
      </c>
      <c r="BC712" s="8">
        <f t="shared" si="3445"/>
        <v>93580</v>
      </c>
      <c r="BD712" s="8">
        <f t="shared" si="3445"/>
        <v>91963</v>
      </c>
      <c r="BE712" s="8">
        <f t="shared" si="3445"/>
        <v>96657</v>
      </c>
    </row>
    <row r="713" spans="2:57" ht="11.45" hidden="1" outlineLevel="1">
      <c r="B713" s="12" t="s">
        <v>487</v>
      </c>
      <c r="AV713" s="905">
        <v>0</v>
      </c>
      <c r="AW713" s="905">
        <v>0</v>
      </c>
      <c r="AX713" s="905">
        <v>0</v>
      </c>
      <c r="AY713" s="905">
        <v>0</v>
      </c>
      <c r="AZ713" s="905">
        <f>-162+0</f>
        <v>-162</v>
      </c>
      <c r="BA713" s="905">
        <v>-615</v>
      </c>
      <c r="BB713" s="905">
        <v>-3073</v>
      </c>
      <c r="BC713" s="905">
        <v>-7702</v>
      </c>
      <c r="BD713" s="905">
        <v>-3358</v>
      </c>
      <c r="BE713" s="924">
        <v>-500</v>
      </c>
    </row>
    <row r="714" spans="2:57" hidden="1" outlineLevel="1">
      <c r="B714" s="17" t="s">
        <v>488</v>
      </c>
      <c r="AV714" s="8">
        <f t="shared" ref="AV714:BE714" si="3446">+AV712+AV713</f>
        <v>60420</v>
      </c>
      <c r="AW714" s="8">
        <f t="shared" si="3446"/>
        <v>58437</v>
      </c>
      <c r="AX714" s="8">
        <f t="shared" si="3446"/>
        <v>62484</v>
      </c>
      <c r="AY714" s="8">
        <f t="shared" si="3446"/>
        <v>69943</v>
      </c>
      <c r="AZ714" s="8">
        <f t="shared" si="3446"/>
        <v>74101</v>
      </c>
      <c r="BA714" s="8">
        <f t="shared" si="3446"/>
        <v>76694</v>
      </c>
      <c r="BB714" s="8">
        <f t="shared" si="3446"/>
        <v>83760</v>
      </c>
      <c r="BC714" s="8">
        <f t="shared" si="3446"/>
        <v>85878</v>
      </c>
      <c r="BD714" s="8">
        <f t="shared" si="3446"/>
        <v>88605</v>
      </c>
      <c r="BE714" s="8">
        <f t="shared" si="3446"/>
        <v>96157</v>
      </c>
    </row>
    <row r="715" spans="2:57" s="33" customFormat="1" hidden="1" outlineLevel="1">
      <c r="B715" s="923" t="s">
        <v>113</v>
      </c>
      <c r="AW715" s="14">
        <f t="shared" ref="AW715:BE715" si="3447">+IFERROR(AW714/AV714-1,"n/a ")</f>
        <v>-3.2820258192651441E-2</v>
      </c>
      <c r="AX715" s="14">
        <f t="shared" si="3447"/>
        <v>6.9254068484008391E-2</v>
      </c>
      <c r="AY715" s="14">
        <f t="shared" si="3447"/>
        <v>0.11937455988733126</v>
      </c>
      <c r="AZ715" s="14">
        <f t="shared" si="3447"/>
        <v>5.9448407989362684E-2</v>
      </c>
      <c r="BA715" s="14">
        <f t="shared" si="3447"/>
        <v>3.4992780124424749E-2</v>
      </c>
      <c r="BB715" s="14">
        <f t="shared" si="3447"/>
        <v>9.2132370198450886E-2</v>
      </c>
      <c r="BC715" s="14">
        <f t="shared" si="3447"/>
        <v>2.5286532951289464E-2</v>
      </c>
      <c r="BD715" s="14">
        <f t="shared" si="3447"/>
        <v>3.1754349193041209E-2</v>
      </c>
      <c r="BE715" s="14">
        <f t="shared" si="3447"/>
        <v>8.5232210371875228E-2</v>
      </c>
    </row>
    <row r="716" spans="2:57" hidden="1" outlineLevel="1">
      <c r="B716" s="17"/>
      <c r="AV716" s="8"/>
      <c r="AW716" s="8"/>
      <c r="AX716" s="8"/>
      <c r="AY716" s="8"/>
      <c r="AZ716" s="8"/>
      <c r="BA716" s="8"/>
      <c r="BB716" s="8"/>
      <c r="BC716" s="8"/>
      <c r="BD716" s="8"/>
      <c r="BE716" s="8"/>
    </row>
    <row r="717" spans="2:57" ht="11.45" hidden="1" outlineLevel="1">
      <c r="B717" s="12" t="s">
        <v>489</v>
      </c>
      <c r="AV717" s="10">
        <f t="shared" ref="AV717:BE717" si="3448">-AV676</f>
        <v>0</v>
      </c>
      <c r="AW717" s="10">
        <f t="shared" si="3448"/>
        <v>0</v>
      </c>
      <c r="AX717" s="10">
        <f t="shared" si="3448"/>
        <v>0</v>
      </c>
      <c r="AY717" s="10">
        <f t="shared" si="3448"/>
        <v>0</v>
      </c>
      <c r="AZ717" s="10">
        <f t="shared" si="3448"/>
        <v>0</v>
      </c>
      <c r="BA717" s="10">
        <f t="shared" si="3448"/>
        <v>0</v>
      </c>
      <c r="BB717" s="10">
        <f t="shared" si="3448"/>
        <v>0</v>
      </c>
      <c r="BC717" s="10">
        <f t="shared" si="3448"/>
        <v>0</v>
      </c>
      <c r="BD717" s="10">
        <f t="shared" si="3448"/>
        <v>0</v>
      </c>
      <c r="BE717" s="10">
        <f t="shared" si="3448"/>
        <v>-2268</v>
      </c>
    </row>
    <row r="718" spans="2:57" hidden="1" outlineLevel="1">
      <c r="B718" s="17" t="s">
        <v>490</v>
      </c>
      <c r="AV718" s="8">
        <f t="shared" ref="AV718:BE718" si="3449">+AV714+AV717</f>
        <v>60420</v>
      </c>
      <c r="AW718" s="8">
        <f t="shared" si="3449"/>
        <v>58437</v>
      </c>
      <c r="AX718" s="8">
        <f t="shared" si="3449"/>
        <v>62484</v>
      </c>
      <c r="AY718" s="8">
        <f t="shared" si="3449"/>
        <v>69943</v>
      </c>
      <c r="AZ718" s="8">
        <f t="shared" si="3449"/>
        <v>74101</v>
      </c>
      <c r="BA718" s="8">
        <f t="shared" si="3449"/>
        <v>76694</v>
      </c>
      <c r="BB718" s="8">
        <f t="shared" si="3449"/>
        <v>83760</v>
      </c>
      <c r="BC718" s="8">
        <f t="shared" si="3449"/>
        <v>85878</v>
      </c>
      <c r="BD718" s="8">
        <f t="shared" si="3449"/>
        <v>88605</v>
      </c>
      <c r="BE718" s="8">
        <f t="shared" si="3449"/>
        <v>93889</v>
      </c>
    </row>
    <row r="719" spans="2:57" s="33" customFormat="1" hidden="1" outlineLevel="1">
      <c r="B719" s="923" t="s">
        <v>113</v>
      </c>
      <c r="AW719" s="14">
        <f t="shared" ref="AW719:BE719" si="3450">+IFERROR(AW718/AV718-1,"n/a ")</f>
        <v>-3.2820258192651441E-2</v>
      </c>
      <c r="AX719" s="14">
        <f t="shared" si="3450"/>
        <v>6.9254068484008391E-2</v>
      </c>
      <c r="AY719" s="14">
        <f t="shared" si="3450"/>
        <v>0.11937455988733126</v>
      </c>
      <c r="AZ719" s="14">
        <f t="shared" si="3450"/>
        <v>5.9448407989362684E-2</v>
      </c>
      <c r="BA719" s="14">
        <f t="shared" si="3450"/>
        <v>3.4992780124424749E-2</v>
      </c>
      <c r="BB719" s="14">
        <f t="shared" si="3450"/>
        <v>9.2132370198450886E-2</v>
      </c>
      <c r="BC719" s="14">
        <f t="shared" si="3450"/>
        <v>2.5286532951289464E-2</v>
      </c>
      <c r="BD719" s="14">
        <f t="shared" si="3450"/>
        <v>3.1754349193041209E-2</v>
      </c>
      <c r="BE719" s="14">
        <f t="shared" si="3450"/>
        <v>5.9635460752779146E-2</v>
      </c>
    </row>
    <row r="720" spans="2:57" hidden="1" outlineLevel="1">
      <c r="B720" s="18"/>
      <c r="AV720" s="8"/>
      <c r="AW720" s="8"/>
      <c r="AX720" s="8"/>
      <c r="AY720" s="8"/>
      <c r="AZ720" s="8"/>
      <c r="BA720" s="900"/>
      <c r="BB720" s="900"/>
      <c r="BC720" s="900"/>
      <c r="BD720" s="900"/>
      <c r="BE720" s="900"/>
    </row>
    <row r="721" spans="2:68" ht="11.45" hidden="1" outlineLevel="1">
      <c r="B721" s="12" t="s">
        <v>491</v>
      </c>
      <c r="AV721" s="10">
        <f t="shared" ref="AV721:BE721" si="3451">-AV709</f>
        <v>-16838</v>
      </c>
      <c r="AW721" s="10">
        <f t="shared" si="3451"/>
        <v>-14653</v>
      </c>
      <c r="AX721" s="10">
        <f t="shared" si="3451"/>
        <v>-18225</v>
      </c>
      <c r="AY721" s="10">
        <f t="shared" si="3451"/>
        <v>-17825</v>
      </c>
      <c r="AZ721" s="10">
        <f t="shared" si="3451"/>
        <v>-17860</v>
      </c>
      <c r="BA721" s="10">
        <f t="shared" si="3451"/>
        <v>-16989</v>
      </c>
      <c r="BB721" s="10">
        <f t="shared" si="3451"/>
        <v>-16856</v>
      </c>
      <c r="BC721" s="10">
        <f t="shared" si="3451"/>
        <v>-14826</v>
      </c>
      <c r="BD721" s="10">
        <f t="shared" si="3451"/>
        <v>-14747</v>
      </c>
      <c r="BE721" s="10">
        <f t="shared" si="3451"/>
        <v>-15332</v>
      </c>
    </row>
    <row r="722" spans="2:68" hidden="1" outlineLevel="1">
      <c r="B722" s="17" t="s">
        <v>492</v>
      </c>
      <c r="AV722" s="8">
        <f>+AV718+AV721</f>
        <v>43582</v>
      </c>
      <c r="AW722" s="8">
        <f t="shared" ref="AW722:BE722" si="3452">+AW718+AW721</f>
        <v>43784</v>
      </c>
      <c r="AX722" s="8">
        <f t="shared" si="3452"/>
        <v>44259</v>
      </c>
      <c r="AY722" s="8">
        <f t="shared" si="3452"/>
        <v>52118</v>
      </c>
      <c r="AZ722" s="8">
        <f t="shared" si="3452"/>
        <v>56241</v>
      </c>
      <c r="BA722" s="8">
        <f t="shared" si="3452"/>
        <v>59705</v>
      </c>
      <c r="BB722" s="8">
        <f t="shared" si="3452"/>
        <v>66904</v>
      </c>
      <c r="BC722" s="8">
        <f t="shared" si="3452"/>
        <v>71052</v>
      </c>
      <c r="BD722" s="8">
        <f t="shared" si="3452"/>
        <v>73858</v>
      </c>
      <c r="BE722" s="8">
        <f t="shared" si="3452"/>
        <v>78557</v>
      </c>
    </row>
    <row r="723" spans="2:68" s="33" customFormat="1" hidden="1" outlineLevel="1">
      <c r="B723" s="923" t="s">
        <v>113</v>
      </c>
      <c r="AW723" s="14">
        <f t="shared" ref="AW723:BE723" si="3453">+IFERROR(AW722/AV722-1,"n/a ")</f>
        <v>4.6349410307007233E-3</v>
      </c>
      <c r="AX723" s="14">
        <f t="shared" si="3453"/>
        <v>1.0848711858213012E-2</v>
      </c>
      <c r="AY723" s="14">
        <f t="shared" si="3453"/>
        <v>0.17756840416638431</v>
      </c>
      <c r="AZ723" s="14">
        <f t="shared" si="3453"/>
        <v>7.9108945086150628E-2</v>
      </c>
      <c r="BA723" s="14">
        <f t="shared" si="3453"/>
        <v>6.1592076954535058E-2</v>
      </c>
      <c r="BB723" s="14">
        <f t="shared" si="3453"/>
        <v>0.12057616615023869</v>
      </c>
      <c r="BC723" s="14">
        <f t="shared" si="3453"/>
        <v>6.199928255410736E-2</v>
      </c>
      <c r="BD723" s="14">
        <f t="shared" si="3453"/>
        <v>3.9492202893655293E-2</v>
      </c>
      <c r="BE723" s="14">
        <f t="shared" si="3453"/>
        <v>6.362208562376459E-2</v>
      </c>
    </row>
    <row r="724" spans="2:68" s="3" customFormat="1" hidden="1" outlineLevel="2">
      <c r="B724" s="20" t="s">
        <v>493</v>
      </c>
      <c r="BC724" s="33">
        <f>+ROUND(BC167-BC159,2)</f>
        <v>0.02</v>
      </c>
      <c r="BD724" s="33">
        <f>+ROUND(BD167-BD159,2)</f>
        <v>0.04</v>
      </c>
      <c r="BE724" s="33">
        <f>+ROUND(BE167-BE159,2)</f>
        <v>0.02</v>
      </c>
    </row>
    <row r="725" spans="2:68" s="3" customFormat="1" hidden="1" outlineLevel="1" collapsed="1">
      <c r="B725" s="19" t="s">
        <v>270</v>
      </c>
      <c r="BC725" s="33">
        <f t="shared" ref="BC725:BD725" si="3454">BC723+BC724</f>
        <v>8.1999282554107364E-2</v>
      </c>
      <c r="BD725" s="33">
        <f t="shared" si="3454"/>
        <v>7.94922028936553E-2</v>
      </c>
      <c r="BE725" s="33">
        <f>BE723+BE724</f>
        <v>8.3622085623764594E-2</v>
      </c>
    </row>
    <row r="726" spans="2:68" collapsed="1">
      <c r="B726" s="843"/>
    </row>
    <row r="727" spans="2:68" ht="10.5">
      <c r="B727" s="5" t="s">
        <v>494</v>
      </c>
      <c r="C727" s="4"/>
    </row>
    <row r="728" spans="2:68">
      <c r="BG728" s="31"/>
      <c r="BH728" s="31"/>
    </row>
    <row r="729" spans="2:68" ht="10.5">
      <c r="B729" s="910" t="s">
        <v>86</v>
      </c>
    </row>
    <row r="730" spans="2:68">
      <c r="B730" s="878" t="s">
        <v>495</v>
      </c>
      <c r="D730" s="879">
        <v>15750</v>
      </c>
      <c r="E730" s="879">
        <v>19431</v>
      </c>
      <c r="F730" s="879">
        <v>15307</v>
      </c>
      <c r="G730" s="879">
        <v>16848</v>
      </c>
      <c r="H730" s="879">
        <v>14968</v>
      </c>
      <c r="I730" s="879">
        <v>18273</v>
      </c>
      <c r="J730" s="879">
        <v>14513</v>
      </c>
      <c r="K730" s="879">
        <v>16057</v>
      </c>
      <c r="L730" s="879">
        <v>14298</v>
      </c>
      <c r="M730" s="879">
        <v>17926</v>
      </c>
      <c r="N730" s="879">
        <v>15114</v>
      </c>
      <c r="O730" s="879">
        <v>17159</v>
      </c>
      <c r="P730" s="879">
        <v>17299</v>
      </c>
      <c r="Q730" s="879">
        <v>16219</v>
      </c>
      <c r="R730" s="879">
        <v>15448</v>
      </c>
      <c r="S730" s="879">
        <v>17103</v>
      </c>
      <c r="T730" s="879">
        <v>15768</v>
      </c>
      <c r="U730" s="879">
        <v>18255</v>
      </c>
      <c r="V730" s="879">
        <v>15871</v>
      </c>
      <c r="W730" s="879">
        <v>18147</v>
      </c>
      <c r="X730" s="879">
        <v>15803</v>
      </c>
      <c r="Y730" s="879">
        <v>19460</v>
      </c>
      <c r="Z730" s="879">
        <v>16873</v>
      </c>
      <c r="AA730" s="879">
        <v>18938</v>
      </c>
      <c r="AB730" s="879">
        <v>16631</v>
      </c>
      <c r="AC730" s="879">
        <v>20779</v>
      </c>
      <c r="AD730" s="879">
        <v>17366</v>
      </c>
      <c r="AE730" s="879">
        <v>17956</v>
      </c>
      <c r="AF730" s="879">
        <v>15741</v>
      </c>
      <c r="AG730" s="879">
        <v>16517</v>
      </c>
      <c r="AH730" s="879">
        <v>15588</v>
      </c>
      <c r="AI730" s="879">
        <v>16853</v>
      </c>
      <c r="AJ730" s="879">
        <v>15535</v>
      </c>
      <c r="AK730" s="879">
        <v>18941</v>
      </c>
      <c r="AL730" s="879">
        <v>17080</v>
      </c>
      <c r="AM730" s="879">
        <v>13217</v>
      </c>
      <c r="AN730" s="879"/>
      <c r="AO730" s="879"/>
      <c r="AP730" s="879"/>
      <c r="AQ730" s="879"/>
      <c r="AS730" s="879"/>
      <c r="AT730" s="879"/>
      <c r="AU730" s="879"/>
      <c r="AV730" s="879"/>
      <c r="AW730" s="879"/>
      <c r="AX730" s="879"/>
      <c r="AY730" s="879"/>
      <c r="AZ730" s="879"/>
      <c r="BA730" s="879"/>
      <c r="BB730" s="29">
        <v>72948</v>
      </c>
      <c r="BC730" s="29">
        <v>75956</v>
      </c>
      <c r="BD730" s="29">
        <v>61502</v>
      </c>
      <c r="BE730" s="29">
        <v>57190</v>
      </c>
      <c r="BF730" s="29"/>
      <c r="BG730" s="880">
        <f>+SUM(D730:G730)</f>
        <v>67336</v>
      </c>
      <c r="BH730" s="880">
        <f>+SUM(H730:K730)</f>
        <v>63811</v>
      </c>
      <c r="BI730" s="880">
        <f>+SUM(L730:O730)</f>
        <v>64497</v>
      </c>
      <c r="BJ730" s="880">
        <v>66069</v>
      </c>
      <c r="BK730" s="880">
        <f>SUM(T730:W730)</f>
        <v>68041</v>
      </c>
      <c r="BL730" s="880">
        <f t="shared" ref="BL730:BL731" si="3455">SUM(X730:AA730)</f>
        <v>71074</v>
      </c>
      <c r="BM730" s="880">
        <f t="shared" ref="BM730:BM731" si="3456">SUM(AB730:AE730)</f>
        <v>72732</v>
      </c>
      <c r="BN730" s="880">
        <f t="shared" ref="BN730:BN731" si="3457">SUM(AF730:AI730)</f>
        <v>64699</v>
      </c>
      <c r="BO730" s="880">
        <f t="shared" ref="BO730:BO731" si="3458">SUM(AJ730:AM730)</f>
        <v>64773</v>
      </c>
      <c r="BP730" s="880"/>
    </row>
    <row r="731" spans="2:68" ht="11.45">
      <c r="B731" s="878" t="s">
        <v>496</v>
      </c>
      <c r="D731" s="905">
        <v>5160</v>
      </c>
      <c r="E731" s="905">
        <v>5822</v>
      </c>
      <c r="F731" s="905">
        <v>6210</v>
      </c>
      <c r="G731" s="905">
        <v>6626</v>
      </c>
      <c r="H731" s="905">
        <v>6960</v>
      </c>
      <c r="I731" s="905">
        <v>7553</v>
      </c>
      <c r="J731" s="905">
        <v>8699</v>
      </c>
      <c r="K731" s="905">
        <v>9548</v>
      </c>
      <c r="L731" s="905">
        <v>10240</v>
      </c>
      <c r="M731" s="905">
        <v>10992</v>
      </c>
      <c r="N731" s="905">
        <v>11705</v>
      </c>
      <c r="O731" s="905">
        <v>12926</v>
      </c>
      <c r="P731" s="905">
        <v>11785</v>
      </c>
      <c r="Q731" s="905">
        <v>16252</v>
      </c>
      <c r="R731" s="905">
        <v>15123</v>
      </c>
      <c r="S731" s="905">
        <v>16614</v>
      </c>
      <c r="T731" s="905">
        <v>17287</v>
      </c>
      <c r="U731" s="905">
        <v>18651</v>
      </c>
      <c r="V731" s="905">
        <v>19150</v>
      </c>
      <c r="W731" s="905">
        <v>19886</v>
      </c>
      <c r="X731" s="905">
        <v>21351</v>
      </c>
      <c r="Y731" s="905">
        <v>23616</v>
      </c>
      <c r="Z731" s="905">
        <v>24833</v>
      </c>
      <c r="AA731" s="905">
        <v>27214</v>
      </c>
      <c r="AB731" s="905">
        <v>28686</v>
      </c>
      <c r="AC731" s="905">
        <v>30949</v>
      </c>
      <c r="AD731" s="905">
        <v>31994</v>
      </c>
      <c r="AE731" s="905">
        <v>33909</v>
      </c>
      <c r="AF731" s="905">
        <v>34381</v>
      </c>
      <c r="AG731" s="905">
        <v>36230</v>
      </c>
      <c r="AH731" s="905">
        <v>37269</v>
      </c>
      <c r="AI731" s="905">
        <v>39336</v>
      </c>
      <c r="AJ731" s="905">
        <v>40982</v>
      </c>
      <c r="AK731" s="905">
        <v>43079</v>
      </c>
      <c r="AL731" s="905">
        <v>44778</v>
      </c>
      <c r="AM731" s="905">
        <v>51510</v>
      </c>
      <c r="AN731" s="905"/>
      <c r="AO731" s="905"/>
      <c r="AP731" s="905"/>
      <c r="AQ731" s="905"/>
      <c r="AS731" s="905"/>
      <c r="AT731" s="905"/>
      <c r="AU731" s="905"/>
      <c r="AV731" s="905"/>
      <c r="AW731" s="905"/>
      <c r="AX731" s="905"/>
      <c r="AY731" s="905"/>
      <c r="AZ731" s="905"/>
      <c r="BA731" s="905"/>
      <c r="BB731" s="30">
        <v>13885</v>
      </c>
      <c r="BC731" s="30">
        <v>17624</v>
      </c>
      <c r="BD731" s="30">
        <v>23818</v>
      </c>
      <c r="BE731" s="30">
        <v>32760</v>
      </c>
      <c r="BF731" s="30"/>
      <c r="BG731" s="906">
        <f>+SUM(D731:G731)</f>
        <v>23818</v>
      </c>
      <c r="BH731" s="906">
        <f>+SUM(H731:K731)</f>
        <v>32760</v>
      </c>
      <c r="BI731" s="906">
        <f>+SUM(L731:O731)</f>
        <v>45863</v>
      </c>
      <c r="BJ731" s="906">
        <v>59774</v>
      </c>
      <c r="BK731" s="906">
        <f>SUM(T731:W731)</f>
        <v>74974</v>
      </c>
      <c r="BL731" s="906">
        <f t="shared" si="3455"/>
        <v>97014</v>
      </c>
      <c r="BM731" s="906">
        <f t="shared" si="3456"/>
        <v>125538</v>
      </c>
      <c r="BN731" s="906">
        <f t="shared" si="3457"/>
        <v>147216</v>
      </c>
      <c r="BO731" s="906">
        <f t="shared" si="3458"/>
        <v>180349</v>
      </c>
      <c r="BP731" s="906"/>
    </row>
    <row r="732" spans="2:68" s="1" customFormat="1" ht="10.5">
      <c r="B732" s="882" t="s">
        <v>477</v>
      </c>
      <c r="D732" s="838">
        <f>SUM(D730:D731)</f>
        <v>20910</v>
      </c>
      <c r="E732" s="838">
        <f t="shared" ref="E732:X732" si="3459">SUM(E730:E731)</f>
        <v>25253</v>
      </c>
      <c r="F732" s="838">
        <f t="shared" si="3459"/>
        <v>21517</v>
      </c>
      <c r="G732" s="838">
        <f t="shared" si="3459"/>
        <v>23474</v>
      </c>
      <c r="H732" s="838">
        <f t="shared" si="3459"/>
        <v>21928</v>
      </c>
      <c r="I732" s="838">
        <f t="shared" si="3459"/>
        <v>25826</v>
      </c>
      <c r="J732" s="838">
        <f t="shared" si="3459"/>
        <v>23212</v>
      </c>
      <c r="K732" s="838">
        <f t="shared" si="3459"/>
        <v>25605</v>
      </c>
      <c r="L732" s="838">
        <f t="shared" si="3459"/>
        <v>24538</v>
      </c>
      <c r="M732" s="838">
        <f t="shared" si="3459"/>
        <v>28918</v>
      </c>
      <c r="N732" s="838">
        <f t="shared" si="3459"/>
        <v>26819</v>
      </c>
      <c r="O732" s="838">
        <f t="shared" si="3459"/>
        <v>30085</v>
      </c>
      <c r="P732" s="838">
        <f t="shared" si="3459"/>
        <v>29084</v>
      </c>
      <c r="Q732" s="838">
        <f t="shared" si="3459"/>
        <v>32471</v>
      </c>
      <c r="R732" s="838">
        <f t="shared" si="3459"/>
        <v>30571</v>
      </c>
      <c r="S732" s="838">
        <f t="shared" si="3459"/>
        <v>33717</v>
      </c>
      <c r="T732" s="838">
        <f t="shared" si="3459"/>
        <v>33055</v>
      </c>
      <c r="U732" s="838">
        <f t="shared" si="3459"/>
        <v>36906</v>
      </c>
      <c r="V732" s="838">
        <f t="shared" si="3459"/>
        <v>35021</v>
      </c>
      <c r="W732" s="838">
        <f t="shared" si="3459"/>
        <v>38033</v>
      </c>
      <c r="X732" s="838">
        <f t="shared" si="3459"/>
        <v>37154</v>
      </c>
      <c r="Y732" s="838">
        <f t="shared" ref="Y732:AQ732" si="3460">+Y12</f>
        <v>43076</v>
      </c>
      <c r="Z732" s="838">
        <f t="shared" si="3460"/>
        <v>41706</v>
      </c>
      <c r="AA732" s="838">
        <f t="shared" si="3460"/>
        <v>46152</v>
      </c>
      <c r="AB732" s="838">
        <f t="shared" si="3460"/>
        <v>45317</v>
      </c>
      <c r="AC732" s="838">
        <f t="shared" si="3460"/>
        <v>51728</v>
      </c>
      <c r="AD732" s="838">
        <f t="shared" si="3460"/>
        <v>49360</v>
      </c>
      <c r="AE732" s="838">
        <f t="shared" si="3460"/>
        <v>51865</v>
      </c>
      <c r="AF732" s="838">
        <f t="shared" si="3460"/>
        <v>50122</v>
      </c>
      <c r="AG732" s="838">
        <f t="shared" si="3460"/>
        <v>52747</v>
      </c>
      <c r="AH732" s="838">
        <f t="shared" si="3460"/>
        <v>52857</v>
      </c>
      <c r="AI732" s="838">
        <f t="shared" si="3460"/>
        <v>56189</v>
      </c>
      <c r="AJ732" s="838">
        <f t="shared" si="3460"/>
        <v>56517</v>
      </c>
      <c r="AK732" s="838">
        <f t="shared" si="3460"/>
        <v>62020</v>
      </c>
      <c r="AL732" s="838">
        <f t="shared" si="3460"/>
        <v>61858</v>
      </c>
      <c r="AM732" s="838">
        <f t="shared" si="3460"/>
        <v>64727</v>
      </c>
      <c r="AN732" s="838">
        <f t="shared" si="3460"/>
        <v>65306.668670161642</v>
      </c>
      <c r="AO732" s="838">
        <f t="shared" si="3460"/>
        <v>70154.988371963365</v>
      </c>
      <c r="AP732" s="838">
        <f t="shared" si="3460"/>
        <v>71055.656578552866</v>
      </c>
      <c r="AQ732" s="838">
        <f t="shared" si="3460"/>
        <v>74694.533091599718</v>
      </c>
      <c r="AS732" s="936">
        <v>39788</v>
      </c>
      <c r="AT732" s="936">
        <v>44282</v>
      </c>
      <c r="AU732" s="936">
        <v>51122</v>
      </c>
      <c r="AV732" s="936">
        <v>60420</v>
      </c>
      <c r="AW732" s="936">
        <v>58437</v>
      </c>
      <c r="AX732" s="936">
        <v>62484</v>
      </c>
      <c r="AY732" s="936">
        <v>69943</v>
      </c>
      <c r="AZ732" s="936">
        <v>73723</v>
      </c>
      <c r="BA732" s="936">
        <v>77849</v>
      </c>
      <c r="BB732" s="849">
        <f>SUM(BB730:BB731)</f>
        <v>86833</v>
      </c>
      <c r="BC732" s="849">
        <f>SUM(BC730:BC731)</f>
        <v>93580</v>
      </c>
      <c r="BD732" s="849">
        <f t="shared" ref="BD732:BE732" si="3461">SUM(BD730:BD731)</f>
        <v>85320</v>
      </c>
      <c r="BE732" s="849">
        <f t="shared" si="3461"/>
        <v>89950</v>
      </c>
      <c r="BF732" s="849"/>
      <c r="BG732" s="849">
        <f>+SUM(D732:G732)</f>
        <v>91154</v>
      </c>
      <c r="BH732" s="849">
        <f>+SUM(H732:K732)</f>
        <v>96571</v>
      </c>
      <c r="BI732" s="849">
        <f>+SUM(L732:O732)</f>
        <v>110360</v>
      </c>
      <c r="BJ732" s="849">
        <f>SUM(BJ730:BJ731)</f>
        <v>125843</v>
      </c>
      <c r="BK732" s="849">
        <f>SUM(BK730:BK731)</f>
        <v>143015</v>
      </c>
      <c r="BL732" s="849">
        <f>SUM(X732:AA732)</f>
        <v>168088</v>
      </c>
      <c r="BM732" s="849">
        <f>SUM(AB732:AE732)</f>
        <v>198270</v>
      </c>
      <c r="BN732" s="849">
        <f>SUM(AF732:AI732)</f>
        <v>211915</v>
      </c>
      <c r="BO732" s="849">
        <f>SUM(AJ732:AM732)</f>
        <v>245122</v>
      </c>
      <c r="BP732" s="849">
        <f>+SUM(AN732:AQ732)</f>
        <v>281211.84671227756</v>
      </c>
    </row>
    <row r="733" spans="2:68" s="1" customFormat="1" ht="10.5">
      <c r="B733" s="882"/>
      <c r="D733" s="838"/>
      <c r="E733" s="838"/>
      <c r="F733" s="838"/>
      <c r="G733" s="838"/>
      <c r="H733" s="838"/>
      <c r="I733" s="838"/>
      <c r="J733" s="838"/>
      <c r="K733" s="838"/>
      <c r="L733" s="838"/>
      <c r="M733" s="838"/>
      <c r="N733" s="838"/>
      <c r="O733" s="838"/>
      <c r="P733" s="838"/>
      <c r="Q733" s="838"/>
      <c r="R733" s="838"/>
      <c r="S733" s="838"/>
      <c r="T733" s="838"/>
      <c r="U733" s="838"/>
      <c r="V733" s="838"/>
      <c r="W733" s="838"/>
      <c r="X733" s="838"/>
      <c r="Y733" s="838"/>
      <c r="Z733" s="838"/>
      <c r="AA733" s="838"/>
      <c r="AB733" s="838"/>
      <c r="AC733" s="838"/>
      <c r="AD733" s="838"/>
      <c r="AE733" s="838"/>
      <c r="AF733" s="838"/>
      <c r="AG733" s="838"/>
      <c r="AH733" s="838"/>
      <c r="AI733" s="838"/>
      <c r="AJ733" s="838"/>
      <c r="AK733" s="838"/>
      <c r="AL733" s="838"/>
      <c r="AM733" s="838"/>
      <c r="AN733" s="838"/>
      <c r="AO733" s="838"/>
      <c r="AP733" s="838"/>
      <c r="AQ733" s="838"/>
      <c r="AS733" s="936"/>
      <c r="AT733" s="936"/>
      <c r="AU733" s="936"/>
      <c r="AV733" s="936"/>
      <c r="AW733" s="936"/>
      <c r="AX733" s="936"/>
      <c r="AY733" s="936"/>
      <c r="AZ733" s="936"/>
      <c r="BA733" s="936"/>
      <c r="BB733" s="849"/>
      <c r="BC733" s="849"/>
      <c r="BD733" s="849"/>
      <c r="BE733" s="849"/>
      <c r="BF733" s="849"/>
      <c r="BG733" s="849"/>
      <c r="BH733" s="849"/>
      <c r="BI733" s="849"/>
      <c r="BJ733" s="849"/>
      <c r="BK733" s="849"/>
      <c r="BL733" s="849"/>
      <c r="BM733" s="849"/>
      <c r="BN733" s="849"/>
      <c r="BO733" s="849"/>
      <c r="BP733" s="849"/>
    </row>
    <row r="734" spans="2:68" s="7" customFormat="1">
      <c r="B734" s="883" t="s">
        <v>113</v>
      </c>
      <c r="D734" s="862"/>
      <c r="E734" s="862"/>
      <c r="F734" s="862"/>
      <c r="G734" s="862"/>
      <c r="H734" s="862"/>
      <c r="I734" s="862"/>
      <c r="J734" s="862"/>
      <c r="K734" s="862"/>
      <c r="L734" s="862"/>
      <c r="M734" s="862"/>
      <c r="N734" s="862"/>
      <c r="O734" s="862"/>
      <c r="P734" s="862"/>
      <c r="Q734" s="862"/>
      <c r="R734" s="862"/>
      <c r="S734" s="862"/>
      <c r="T734" s="862"/>
      <c r="U734" s="862"/>
      <c r="V734" s="862"/>
      <c r="W734" s="862"/>
      <c r="X734" s="862"/>
      <c r="Y734" s="862"/>
      <c r="Z734" s="862"/>
      <c r="AA734" s="862"/>
      <c r="AB734" s="862"/>
      <c r="AC734" s="862"/>
      <c r="AD734" s="862"/>
      <c r="AE734" s="862"/>
      <c r="AF734" s="862"/>
      <c r="AG734" s="862"/>
      <c r="AH734" s="862"/>
      <c r="AI734" s="862"/>
      <c r="AJ734" s="862"/>
      <c r="AK734" s="862"/>
      <c r="AL734" s="862"/>
      <c r="AM734" s="862"/>
      <c r="AN734" s="862"/>
      <c r="AO734" s="862"/>
      <c r="AP734" s="862"/>
      <c r="AQ734" s="862"/>
      <c r="AS734" s="937"/>
      <c r="AT734" s="937"/>
      <c r="AU734" s="937"/>
      <c r="AV734" s="937"/>
      <c r="AW734" s="937"/>
      <c r="AX734" s="937"/>
      <c r="AY734" s="937"/>
      <c r="AZ734" s="937"/>
      <c r="BA734" s="937"/>
      <c r="BB734" s="938"/>
      <c r="BC734" s="938"/>
      <c r="BD734" s="938"/>
      <c r="BE734" s="938"/>
      <c r="BF734" s="938"/>
      <c r="BG734" s="938"/>
      <c r="BH734" s="938"/>
      <c r="BI734" s="938"/>
      <c r="BJ734" s="938"/>
      <c r="BK734" s="938"/>
      <c r="BL734" s="938"/>
      <c r="BM734" s="938"/>
      <c r="BN734" s="938"/>
      <c r="BO734" s="938"/>
      <c r="BP734" s="938"/>
    </row>
    <row r="735" spans="2:68" s="7" customFormat="1">
      <c r="B735" s="884" t="str">
        <f>+B730</f>
        <v>Product</v>
      </c>
      <c r="D735" s="14"/>
      <c r="E735" s="14"/>
      <c r="F735" s="14"/>
      <c r="G735" s="14"/>
      <c r="H735" s="14">
        <f>+H730/D730-1</f>
        <v>-4.9650793650793612E-2</v>
      </c>
      <c r="I735" s="14">
        <f t="shared" ref="I735:V735" si="3462">+I730/E730-1</f>
        <v>-5.9595491740003115E-2</v>
      </c>
      <c r="J735" s="14">
        <f t="shared" si="3462"/>
        <v>-5.1871692689619109E-2</v>
      </c>
      <c r="K735" s="14">
        <f t="shared" si="3462"/>
        <v>-4.6949192782526072E-2</v>
      </c>
      <c r="L735" s="14">
        <f t="shared" si="3462"/>
        <v>-4.4762159273115998E-2</v>
      </c>
      <c r="M735" s="14">
        <f t="shared" si="3462"/>
        <v>-1.898976632189564E-2</v>
      </c>
      <c r="N735" s="14">
        <f t="shared" si="3462"/>
        <v>4.141114862537032E-2</v>
      </c>
      <c r="O735" s="14">
        <f t="shared" si="3462"/>
        <v>6.8630503830105161E-2</v>
      </c>
      <c r="P735" s="14">
        <f t="shared" si="3462"/>
        <v>0.20988949503427046</v>
      </c>
      <c r="Q735" s="14">
        <f t="shared" si="3462"/>
        <v>-9.5224813120606933E-2</v>
      </c>
      <c r="R735" s="14">
        <f t="shared" si="3462"/>
        <v>2.2098716421860454E-2</v>
      </c>
      <c r="S735" s="14">
        <f t="shared" si="3462"/>
        <v>-3.2635934495016672E-3</v>
      </c>
      <c r="T735" s="14">
        <f t="shared" si="3462"/>
        <v>-8.8502225562171244E-2</v>
      </c>
      <c r="U735" s="14">
        <f t="shared" si="3462"/>
        <v>0.12553178371046303</v>
      </c>
      <c r="V735" s="14">
        <f t="shared" si="3462"/>
        <v>2.7382185396167769E-2</v>
      </c>
      <c r="W735" s="14">
        <f t="shared" ref="W735:W737" si="3463">+W730/S730-1</f>
        <v>6.1041922469742049E-2</v>
      </c>
      <c r="X735" s="14">
        <f t="shared" ref="X735:X737" si="3464">+X730/T730-1</f>
        <v>2.2196854388634168E-3</v>
      </c>
      <c r="Y735" s="14">
        <f t="shared" ref="Y735:Y737" si="3465">+Y730/U730-1</f>
        <v>6.6009312517118612E-2</v>
      </c>
      <c r="Z735" s="14">
        <f t="shared" ref="Z735:AA737" si="3466">+Z730/V730-1</f>
        <v>6.3134018020288618E-2</v>
      </c>
      <c r="AA735" s="14">
        <f t="shared" si="3466"/>
        <v>4.3588471923734051E-2</v>
      </c>
      <c r="AB735" s="14">
        <f t="shared" ref="AB735:AB737" si="3467">+AB730/X730-1</f>
        <v>5.2395114851610414E-2</v>
      </c>
      <c r="AC735" s="14">
        <f t="shared" ref="AC735:AE737" si="3468">+AC730/Y730-1</f>
        <v>6.7780061664953761E-2</v>
      </c>
      <c r="AD735" s="14">
        <f t="shared" si="3468"/>
        <v>2.9218277721803965E-2</v>
      </c>
      <c r="AE735" s="14">
        <f t="shared" si="3468"/>
        <v>-5.1853416411447917E-2</v>
      </c>
      <c r="AF735" s="14">
        <f t="shared" ref="AF735:AF737" si="3469">+AF730/AB730-1</f>
        <v>-5.3514521075100685E-2</v>
      </c>
      <c r="AG735" s="14">
        <f t="shared" ref="AG735:AG737" si="3470">+AG730/AC730-1</f>
        <v>-0.20511092930362385</v>
      </c>
      <c r="AH735" s="14">
        <f t="shared" ref="AH735:AH737" si="3471">+AH730/AD730-1</f>
        <v>-0.10238396867442123</v>
      </c>
      <c r="AI735" s="14">
        <f t="shared" ref="AI735:AI737" si="3472">+AI730/AE730-1</f>
        <v>-6.142793495210519E-2</v>
      </c>
      <c r="AJ735" s="14">
        <f t="shared" ref="AJ735:AK737" si="3473">+AJ730/AF730-1</f>
        <v>-1.3086843275522564E-2</v>
      </c>
      <c r="AK735" s="14">
        <f t="shared" si="3473"/>
        <v>0.14675788581461524</v>
      </c>
      <c r="AL735" s="14">
        <f t="shared" ref="AL735:AL737" si="3474">+AL730/AH730-1</f>
        <v>9.5714652296638336E-2</v>
      </c>
      <c r="AM735" s="14">
        <f t="shared" ref="AM735:AM737" si="3475">+AM730/AI730-1</f>
        <v>-0.2157479380525722</v>
      </c>
      <c r="AN735" s="14"/>
      <c r="AO735" s="14"/>
      <c r="AP735" s="14"/>
      <c r="AQ735" s="14"/>
      <c r="AR735" s="14"/>
      <c r="AS735" s="14"/>
      <c r="AT735" s="14"/>
      <c r="AU735" s="14"/>
      <c r="AV735" s="14"/>
      <c r="AW735" s="14"/>
      <c r="AX735" s="14"/>
      <c r="AY735" s="14"/>
      <c r="AZ735" s="14"/>
      <c r="BA735" s="14"/>
      <c r="BB735" s="14"/>
      <c r="BC735" s="14">
        <f>+BC730/BB730-1</f>
        <v>4.1234852223501761E-2</v>
      </c>
      <c r="BD735" s="14">
        <f t="shared" ref="BD735:BJ735" si="3476">+BD730/BC730-1</f>
        <v>-0.19029438095739637</v>
      </c>
      <c r="BE735" s="14">
        <f t="shared" si="3476"/>
        <v>-7.0111541088094698E-2</v>
      </c>
      <c r="BF735" s="14"/>
      <c r="BG735" s="829">
        <f t="shared" ref="BG735:BG737" si="3477">+BD735</f>
        <v>-0.19029438095739637</v>
      </c>
      <c r="BH735" s="14">
        <f t="shared" si="3476"/>
        <v>-5.234941190447906E-2</v>
      </c>
      <c r="BI735" s="14">
        <f t="shared" si="3476"/>
        <v>1.0750497563116079E-2</v>
      </c>
      <c r="BJ735" s="14">
        <f t="shared" si="3476"/>
        <v>2.4373226661705161E-2</v>
      </c>
      <c r="BK735" s="14">
        <f t="shared" ref="BK735:BK737" si="3478">+BK730/BJ730-1</f>
        <v>2.984758358685613E-2</v>
      </c>
      <c r="BL735" s="14">
        <f t="shared" ref="BL735:BL737" si="3479">+BL730/BK730-1</f>
        <v>4.457606443173967E-2</v>
      </c>
      <c r="BM735" s="14">
        <f t="shared" ref="BM735:BM737" si="3480">+BM730/BL730-1</f>
        <v>2.3327799195205001E-2</v>
      </c>
      <c r="BN735" s="14">
        <f t="shared" ref="BN735:BN736" si="3481">+BN730/BM730-1</f>
        <v>-0.11044657097288679</v>
      </c>
      <c r="BO735" s="14">
        <f t="shared" ref="BO735:BO737" si="3482">+BO730/BN730-1</f>
        <v>1.1437580178983442E-3</v>
      </c>
      <c r="BP735" s="14"/>
    </row>
    <row r="736" spans="2:68" s="7" customFormat="1" ht="11.45">
      <c r="B736" s="884" t="str">
        <f t="shared" ref="B736:B737" si="3483">+B731</f>
        <v>Service and other</v>
      </c>
      <c r="D736" s="840"/>
      <c r="E736" s="840"/>
      <c r="F736" s="840"/>
      <c r="G736" s="840"/>
      <c r="H736" s="840">
        <f t="shared" ref="H736:V736" si="3484">+H731/D731-1</f>
        <v>0.34883720930232553</v>
      </c>
      <c r="I736" s="840">
        <f t="shared" si="3484"/>
        <v>0.29732050841635171</v>
      </c>
      <c r="J736" s="840">
        <f t="shared" si="3484"/>
        <v>0.40080515297906594</v>
      </c>
      <c r="K736" s="840">
        <f t="shared" si="3484"/>
        <v>0.4409900392393602</v>
      </c>
      <c r="L736" s="840">
        <f t="shared" si="3484"/>
        <v>0.47126436781609193</v>
      </c>
      <c r="M736" s="840">
        <f t="shared" si="3484"/>
        <v>0.45531576856878053</v>
      </c>
      <c r="N736" s="840">
        <f t="shared" si="3484"/>
        <v>0.34555696057018048</v>
      </c>
      <c r="O736" s="840">
        <f t="shared" si="3484"/>
        <v>0.35379136992040228</v>
      </c>
      <c r="P736" s="840">
        <f t="shared" si="3484"/>
        <v>0.15087890625</v>
      </c>
      <c r="Q736" s="840">
        <f t="shared" si="3484"/>
        <v>0.47852983988355158</v>
      </c>
      <c r="R736" s="840">
        <f t="shared" si="3484"/>
        <v>0.29201196070055535</v>
      </c>
      <c r="S736" s="840">
        <f t="shared" si="3484"/>
        <v>0.28531641652483364</v>
      </c>
      <c r="T736" s="840">
        <f t="shared" si="3484"/>
        <v>0.46686465846414937</v>
      </c>
      <c r="U736" s="840">
        <f t="shared" si="3484"/>
        <v>0.147612601525966</v>
      </c>
      <c r="V736" s="840">
        <f t="shared" si="3484"/>
        <v>0.26628314487866156</v>
      </c>
      <c r="W736" s="840">
        <f t="shared" si="3463"/>
        <v>0.19694233778740822</v>
      </c>
      <c r="X736" s="840">
        <f t="shared" si="3464"/>
        <v>0.23508995198704219</v>
      </c>
      <c r="Y736" s="840">
        <f t="shared" si="3465"/>
        <v>0.26620556538523399</v>
      </c>
      <c r="Z736" s="840">
        <f t="shared" si="3466"/>
        <v>0.29676240208877291</v>
      </c>
      <c r="AA736" s="840">
        <f t="shared" si="3466"/>
        <v>0.36850045257970421</v>
      </c>
      <c r="AB736" s="840">
        <f t="shared" si="3467"/>
        <v>0.34354362793311788</v>
      </c>
      <c r="AC736" s="840">
        <f t="shared" si="3468"/>
        <v>0.31050982384823844</v>
      </c>
      <c r="AD736" s="840">
        <f t="shared" si="3468"/>
        <v>0.2883662867957959</v>
      </c>
      <c r="AE736" s="840">
        <f t="shared" si="3468"/>
        <v>0.24601308150216794</v>
      </c>
      <c r="AF736" s="840">
        <f t="shared" si="3469"/>
        <v>0.19852889911455063</v>
      </c>
      <c r="AG736" s="840">
        <f t="shared" si="3470"/>
        <v>0.17063556173058902</v>
      </c>
      <c r="AH736" s="840">
        <f t="shared" si="3471"/>
        <v>0.16487466399950002</v>
      </c>
      <c r="AI736" s="840">
        <f t="shared" si="3472"/>
        <v>0.16004600548526948</v>
      </c>
      <c r="AJ736" s="840">
        <f t="shared" si="3473"/>
        <v>0.19199557895349173</v>
      </c>
      <c r="AK736" s="840">
        <f t="shared" si="3473"/>
        <v>0.18904223019597022</v>
      </c>
      <c r="AL736" s="840">
        <f t="shared" si="3474"/>
        <v>0.20148112372212834</v>
      </c>
      <c r="AM736" s="840">
        <f t="shared" si="3475"/>
        <v>0.30948749237339834</v>
      </c>
      <c r="AN736" s="840"/>
      <c r="AO736" s="840"/>
      <c r="AP736" s="840"/>
      <c r="AQ736" s="840"/>
      <c r="AR736" s="840"/>
      <c r="AS736" s="840"/>
      <c r="AT736" s="840"/>
      <c r="AU736" s="840"/>
      <c r="AV736" s="840"/>
      <c r="AW736" s="840"/>
      <c r="AX736" s="840"/>
      <c r="AY736" s="840"/>
      <c r="AZ736" s="840"/>
      <c r="BA736" s="840"/>
      <c r="BB736" s="840"/>
      <c r="BC736" s="840">
        <f t="shared" ref="BC736:BJ737" si="3485">+BC731/BB731-1</f>
        <v>0.26928339935181844</v>
      </c>
      <c r="BD736" s="840">
        <f t="shared" si="3485"/>
        <v>0.35145256468452102</v>
      </c>
      <c r="BE736" s="840">
        <f t="shared" si="3485"/>
        <v>0.37543034679654053</v>
      </c>
      <c r="BF736" s="840"/>
      <c r="BG736" s="908">
        <f t="shared" si="3477"/>
        <v>0.35145256468452102</v>
      </c>
      <c r="BH736" s="840">
        <f t="shared" si="3485"/>
        <v>0.37543034679654053</v>
      </c>
      <c r="BI736" s="840">
        <f t="shared" si="3485"/>
        <v>0.39996947496947488</v>
      </c>
      <c r="BJ736" s="840">
        <f t="shared" si="3485"/>
        <v>0.30331639884002359</v>
      </c>
      <c r="BK736" s="840">
        <f t="shared" si="3478"/>
        <v>0.25429116338207258</v>
      </c>
      <c r="BL736" s="840">
        <f t="shared" si="3479"/>
        <v>0.29396857577293467</v>
      </c>
      <c r="BM736" s="840">
        <f t="shared" si="3480"/>
        <v>0.29401941987754343</v>
      </c>
      <c r="BN736" s="840">
        <f t="shared" si="3481"/>
        <v>0.17268078191463943</v>
      </c>
      <c r="BO736" s="840">
        <f t="shared" si="3482"/>
        <v>0.2250638517552439</v>
      </c>
      <c r="BP736" s="840"/>
    </row>
    <row r="737" spans="2:68" s="7" customFormat="1">
      <c r="B737" s="887" t="str">
        <f t="shared" si="3483"/>
        <v>Total revenue</v>
      </c>
      <c r="D737" s="855"/>
      <c r="E737" s="855"/>
      <c r="F737" s="855"/>
      <c r="G737" s="855"/>
      <c r="H737" s="855">
        <f t="shared" ref="H737:V737" si="3486">+H732/D732-1</f>
        <v>4.8684839789574275E-2</v>
      </c>
      <c r="I737" s="855">
        <f t="shared" si="3486"/>
        <v>2.2690373420979792E-2</v>
      </c>
      <c r="J737" s="855">
        <f t="shared" si="3486"/>
        <v>7.8774922154575489E-2</v>
      </c>
      <c r="K737" s="855">
        <f t="shared" si="3486"/>
        <v>9.0781289937803544E-2</v>
      </c>
      <c r="L737" s="855">
        <f t="shared" si="3486"/>
        <v>0.11902590295512594</v>
      </c>
      <c r="M737" s="855">
        <f t="shared" si="3486"/>
        <v>0.11972430883605667</v>
      </c>
      <c r="N737" s="855">
        <f t="shared" si="3486"/>
        <v>0.15539376184732046</v>
      </c>
      <c r="O737" s="855">
        <f t="shared" si="3486"/>
        <v>0.17496582698691654</v>
      </c>
      <c r="P737" s="855">
        <f t="shared" si="3486"/>
        <v>0.18526367267095933</v>
      </c>
      <c r="Q737" s="855">
        <f t="shared" si="3486"/>
        <v>0.12286465177398154</v>
      </c>
      <c r="R737" s="855">
        <f t="shared" si="3486"/>
        <v>0.13990081658525666</v>
      </c>
      <c r="S737" s="855">
        <f t="shared" si="3486"/>
        <v>0.12072461359481479</v>
      </c>
      <c r="T737" s="855">
        <f t="shared" si="3486"/>
        <v>0.13653555219364599</v>
      </c>
      <c r="U737" s="855">
        <f t="shared" si="3486"/>
        <v>0.13658341289150311</v>
      </c>
      <c r="V737" s="855">
        <f t="shared" si="3486"/>
        <v>0.14556278826338698</v>
      </c>
      <c r="W737" s="855">
        <f t="shared" si="3463"/>
        <v>0.12800664353293589</v>
      </c>
      <c r="X737" s="855">
        <f t="shared" si="3464"/>
        <v>0.12400544546967174</v>
      </c>
      <c r="Y737" s="855">
        <f t="shared" si="3465"/>
        <v>0.16718148810491518</v>
      </c>
      <c r="Z737" s="855">
        <f t="shared" si="3466"/>
        <v>0.19088546871876866</v>
      </c>
      <c r="AA737" s="855">
        <f t="shared" si="3466"/>
        <v>0.21347251071437956</v>
      </c>
      <c r="AB737" s="855">
        <f t="shared" si="3467"/>
        <v>0.21970716477364483</v>
      </c>
      <c r="AC737" s="855">
        <f t="shared" si="3468"/>
        <v>0.2008543040208004</v>
      </c>
      <c r="AD737" s="855">
        <f t="shared" si="3468"/>
        <v>0.18352275451973332</v>
      </c>
      <c r="AE737" s="855">
        <f t="shared" si="3468"/>
        <v>0.12378661813139202</v>
      </c>
      <c r="AF737" s="855">
        <f t="shared" si="3469"/>
        <v>0.1060308493501334</v>
      </c>
      <c r="AG737" s="855">
        <f t="shared" si="3470"/>
        <v>1.9699195793380753E-2</v>
      </c>
      <c r="AH737" s="855">
        <f t="shared" si="3471"/>
        <v>7.0846839546191198E-2</v>
      </c>
      <c r="AI737" s="855">
        <f t="shared" si="3472"/>
        <v>8.3370288248336921E-2</v>
      </c>
      <c r="AJ737" s="855">
        <f t="shared" si="3473"/>
        <v>0.12758868361198683</v>
      </c>
      <c r="AK737" s="855">
        <f t="shared" si="3473"/>
        <v>0.17580146738203117</v>
      </c>
      <c r="AL737" s="855">
        <f t="shared" si="3474"/>
        <v>0.17028964943148495</v>
      </c>
      <c r="AM737" s="855">
        <f t="shared" si="3475"/>
        <v>0.15195144957198026</v>
      </c>
      <c r="AN737" s="855">
        <f t="shared" ref="AN737" si="3487">+AN732/AJ732-1</f>
        <v>0.15552256259464659</v>
      </c>
      <c r="AO737" s="855">
        <f t="shared" ref="AO737" si="3488">+AO732/AK732-1</f>
        <v>0.1311671778775132</v>
      </c>
      <c r="AP737" s="855">
        <f t="shared" ref="AP737" si="3489">+AP732/AL732-1</f>
        <v>0.14868984736902036</v>
      </c>
      <c r="AQ737" s="855">
        <f t="shared" ref="AQ737" si="3490">+AQ732/AM732-1</f>
        <v>0.1539934353762682</v>
      </c>
      <c r="AR737" s="855"/>
      <c r="AS737" s="855"/>
      <c r="AT737" s="855">
        <f t="shared" ref="AT737:BB737" si="3491">+AT732/AS732-1</f>
        <v>0.11294862772695291</v>
      </c>
      <c r="AU737" s="855">
        <f t="shared" si="3491"/>
        <v>0.15446456799602548</v>
      </c>
      <c r="AV737" s="855">
        <f t="shared" si="3491"/>
        <v>0.18187864324556946</v>
      </c>
      <c r="AW737" s="855">
        <f t="shared" si="3491"/>
        <v>-3.2820258192651441E-2</v>
      </c>
      <c r="AX737" s="855">
        <f t="shared" si="3491"/>
        <v>6.9254068484008391E-2</v>
      </c>
      <c r="AY737" s="855">
        <f t="shared" si="3491"/>
        <v>0.11937455988733126</v>
      </c>
      <c r="AZ737" s="855">
        <f t="shared" si="3491"/>
        <v>5.4044007263057026E-2</v>
      </c>
      <c r="BA737" s="855">
        <f t="shared" si="3491"/>
        <v>5.5966252051598442E-2</v>
      </c>
      <c r="BB737" s="855">
        <f t="shared" si="3491"/>
        <v>0.11540289534868786</v>
      </c>
      <c r="BC737" s="855">
        <f t="shared" si="3485"/>
        <v>7.7700874091647165E-2</v>
      </c>
      <c r="BD737" s="855">
        <f t="shared" si="3485"/>
        <v>-8.8266723658901425E-2</v>
      </c>
      <c r="BE737" s="855">
        <f t="shared" si="3485"/>
        <v>5.4266291608063844E-2</v>
      </c>
      <c r="BF737" s="855"/>
      <c r="BG737" s="1179">
        <f t="shared" si="3477"/>
        <v>-8.8266723658901425E-2</v>
      </c>
      <c r="BH737" s="855">
        <f t="shared" si="3485"/>
        <v>5.9426903920837271E-2</v>
      </c>
      <c r="BI737" s="855">
        <f t="shared" si="3485"/>
        <v>0.14278613662486661</v>
      </c>
      <c r="BJ737" s="855">
        <f t="shared" si="3485"/>
        <v>0.14029539688292858</v>
      </c>
      <c r="BK737" s="855">
        <f t="shared" si="3478"/>
        <v>0.13645574247276371</v>
      </c>
      <c r="BL737" s="855">
        <f t="shared" si="3479"/>
        <v>0.17531727441177503</v>
      </c>
      <c r="BM737" s="855">
        <f t="shared" si="3480"/>
        <v>0.17956070629670173</v>
      </c>
      <c r="BN737" s="855">
        <f t="shared" ref="BN737:BP737" si="3492">+BN732/BM732-1</f>
        <v>6.8820295556564215E-2</v>
      </c>
      <c r="BO737" s="855">
        <f t="shared" si="3482"/>
        <v>0.1566996201307127</v>
      </c>
      <c r="BP737" s="855">
        <f t="shared" si="3492"/>
        <v>0.14723218116806147</v>
      </c>
    </row>
    <row r="738" spans="2:68" s="1" customFormat="1" ht="10.5">
      <c r="B738" s="882"/>
      <c r="D738" s="838"/>
      <c r="E738" s="838"/>
      <c r="F738" s="838"/>
      <c r="G738" s="838"/>
      <c r="H738" s="838"/>
      <c r="I738" s="838"/>
      <c r="J738" s="838"/>
      <c r="K738" s="838"/>
      <c r="L738" s="838"/>
      <c r="M738" s="838"/>
      <c r="N738" s="838"/>
      <c r="O738" s="838"/>
      <c r="P738" s="838"/>
      <c r="Q738" s="838"/>
      <c r="R738" s="838"/>
      <c r="S738" s="838"/>
      <c r="T738" s="838"/>
      <c r="U738" s="838"/>
      <c r="V738" s="838"/>
      <c r="W738" s="838"/>
      <c r="X738" s="838"/>
      <c r="Y738" s="838"/>
      <c r="Z738" s="838"/>
      <c r="AA738" s="838"/>
      <c r="AB738" s="838"/>
      <c r="AC738" s="838"/>
      <c r="AD738" s="838"/>
      <c r="AE738" s="838"/>
      <c r="AF738" s="838"/>
      <c r="AG738" s="838"/>
      <c r="AH738" s="838"/>
      <c r="AI738" s="838"/>
      <c r="AJ738" s="838"/>
      <c r="AK738" s="838"/>
      <c r="AL738" s="838"/>
      <c r="AM738" s="838"/>
      <c r="AN738" s="838"/>
      <c r="AO738" s="838"/>
      <c r="AP738" s="838"/>
      <c r="AQ738" s="838"/>
      <c r="AS738" s="936"/>
      <c r="AT738" s="936"/>
      <c r="AU738" s="936"/>
      <c r="AV738" s="936"/>
      <c r="AW738" s="936"/>
      <c r="AX738" s="936"/>
      <c r="AY738" s="936"/>
      <c r="AZ738" s="936"/>
      <c r="BA738" s="936"/>
      <c r="BB738" s="849"/>
      <c r="BC738" s="849"/>
      <c r="BD738" s="849"/>
      <c r="BE738" s="849"/>
      <c r="BF738" s="849"/>
      <c r="BG738" s="849"/>
      <c r="BH738" s="849"/>
      <c r="BI738" s="849"/>
      <c r="BJ738" s="849"/>
      <c r="BK738" s="849"/>
      <c r="BL738" s="849"/>
      <c r="BM738" s="849"/>
      <c r="BN738" s="849"/>
      <c r="BO738" s="849"/>
      <c r="BP738" s="849"/>
    </row>
    <row r="739" spans="2:68" ht="10.5">
      <c r="B739" s="910" t="s">
        <v>276</v>
      </c>
    </row>
    <row r="740" spans="2:68" outlineLevel="1">
      <c r="B740" s="878" t="s">
        <v>495</v>
      </c>
      <c r="D740" s="879">
        <v>4035</v>
      </c>
      <c r="E740" s="879">
        <v>6268</v>
      </c>
      <c r="F740" s="879">
        <v>3801</v>
      </c>
      <c r="G740" s="879">
        <v>3776</v>
      </c>
      <c r="H740" s="879">
        <v>3581</v>
      </c>
      <c r="I740" s="879">
        <v>5378</v>
      </c>
      <c r="J740" s="879">
        <v>3075</v>
      </c>
      <c r="K740" s="879">
        <v>3141</v>
      </c>
      <c r="L740" s="879">
        <v>2980</v>
      </c>
      <c r="M740" s="879">
        <v>5498</v>
      </c>
      <c r="N740" s="879">
        <v>3425</v>
      </c>
      <c r="O740" s="879">
        <v>3517</v>
      </c>
      <c r="P740" s="879">
        <v>3649</v>
      </c>
      <c r="Q740" s="879">
        <v>5885</v>
      </c>
      <c r="R740" s="879">
        <v>3441</v>
      </c>
      <c r="S740" s="879">
        <v>3298</v>
      </c>
      <c r="T740" s="879">
        <v>3305</v>
      </c>
      <c r="U740" s="879">
        <v>4966</v>
      </c>
      <c r="V740" s="879">
        <v>3376</v>
      </c>
      <c r="W740" s="879">
        <v>4370</v>
      </c>
      <c r="X740" s="879">
        <v>3597</v>
      </c>
      <c r="Y740" s="879">
        <v>6058</v>
      </c>
      <c r="Z740" s="879">
        <v>4277</v>
      </c>
      <c r="AA740" s="879">
        <v>4287</v>
      </c>
      <c r="AB740" s="879">
        <v>3792</v>
      </c>
      <c r="AC740" s="879">
        <v>6331</v>
      </c>
      <c r="AD740" s="879">
        <v>4584</v>
      </c>
      <c r="AE740" s="879">
        <v>4357</v>
      </c>
      <c r="AF740" s="879">
        <v>4302</v>
      </c>
      <c r="AG740" s="879">
        <v>5690</v>
      </c>
      <c r="AH740" s="879">
        <v>3941</v>
      </c>
      <c r="AI740" s="879">
        <v>3871</v>
      </c>
      <c r="AJ740" s="879">
        <v>3531</v>
      </c>
      <c r="AK740" s="879">
        <v>5964</v>
      </c>
      <c r="AL740" s="879">
        <v>4339</v>
      </c>
      <c r="AM740" s="879">
        <v>1438</v>
      </c>
      <c r="AN740" s="879"/>
      <c r="AO740" s="879"/>
      <c r="AP740" s="879"/>
      <c r="AQ740" s="879"/>
      <c r="AS740" s="879">
        <v>3517</v>
      </c>
      <c r="AT740" s="879">
        <v>3517</v>
      </c>
      <c r="AU740" s="879"/>
      <c r="AV740" s="879"/>
      <c r="AW740" s="879"/>
      <c r="AX740" s="879"/>
      <c r="AY740" s="879"/>
      <c r="AZ740" s="879"/>
      <c r="BA740" s="879"/>
      <c r="BB740" s="29">
        <v>16681</v>
      </c>
      <c r="BC740" s="29">
        <v>21410</v>
      </c>
      <c r="BD740" s="29">
        <v>17880</v>
      </c>
      <c r="BE740" s="29">
        <v>15175</v>
      </c>
      <c r="BF740" s="29"/>
      <c r="BG740" s="880">
        <f>+SUM(D740:G740)</f>
        <v>17880</v>
      </c>
      <c r="BH740" s="880">
        <f>+SUM(H740:K740)</f>
        <v>15175</v>
      </c>
      <c r="BI740" s="880">
        <f>+SUM(L740:O740)</f>
        <v>15420</v>
      </c>
      <c r="BJ740" s="880">
        <v>16273</v>
      </c>
      <c r="BK740" s="880">
        <f>SUM(T740:W740)</f>
        <v>16017</v>
      </c>
      <c r="BL740" s="880">
        <f t="shared" ref="BL740:BL742" si="3493">SUM(X740:AA740)</f>
        <v>18219</v>
      </c>
      <c r="BM740" s="880">
        <f t="shared" ref="BM740:BM741" si="3494">SUM(AB740:AE740)</f>
        <v>19064</v>
      </c>
      <c r="BN740" s="880">
        <f t="shared" ref="BN740:BN746" si="3495">SUM(AF740:AI740)</f>
        <v>17804</v>
      </c>
      <c r="BO740" s="880">
        <f t="shared" ref="BO740:BO746" si="3496">SUM(AJ740:AM740)</f>
        <v>15272</v>
      </c>
      <c r="BP740" s="880"/>
    </row>
    <row r="741" spans="2:68" ht="11.45" outlineLevel="1">
      <c r="B741" s="878" t="s">
        <v>496</v>
      </c>
      <c r="D741" s="905">
        <v>3172</v>
      </c>
      <c r="E741" s="905">
        <v>3604</v>
      </c>
      <c r="F741" s="905">
        <v>3921</v>
      </c>
      <c r="G741" s="905">
        <v>4203</v>
      </c>
      <c r="H741" s="905">
        <v>4263</v>
      </c>
      <c r="I741" s="905">
        <v>4523</v>
      </c>
      <c r="J741" s="905">
        <v>4985</v>
      </c>
      <c r="K741" s="905">
        <v>5315</v>
      </c>
      <c r="L741" s="905">
        <v>5298</v>
      </c>
      <c r="M741" s="905">
        <v>5566</v>
      </c>
      <c r="N741" s="905">
        <v>5844</v>
      </c>
      <c r="O741" s="905">
        <v>6225</v>
      </c>
      <c r="P741" s="905">
        <v>6256</v>
      </c>
      <c r="Q741" s="905">
        <v>6538</v>
      </c>
      <c r="R741" s="905">
        <v>6729</v>
      </c>
      <c r="S741" s="905">
        <v>7114</v>
      </c>
      <c r="T741" s="905">
        <v>7101</v>
      </c>
      <c r="U741" s="905">
        <v>7392</v>
      </c>
      <c r="V741" s="905">
        <v>7599</v>
      </c>
      <c r="W741" s="905">
        <v>7969</v>
      </c>
      <c r="X741" s="905">
        <v>7405</v>
      </c>
      <c r="Y741" s="905">
        <v>8136</v>
      </c>
      <c r="Z741" s="905">
        <v>8768</v>
      </c>
      <c r="AA741" s="905">
        <v>9704</v>
      </c>
      <c r="AB741" s="905">
        <v>9854</v>
      </c>
      <c r="AC741" s="905">
        <v>10629</v>
      </c>
      <c r="AD741" s="905">
        <v>11031</v>
      </c>
      <c r="AE741" s="905">
        <v>12072</v>
      </c>
      <c r="AF741" s="905">
        <v>11150</v>
      </c>
      <c r="AG741" s="905">
        <v>11798</v>
      </c>
      <c r="AH741" s="905">
        <v>12187</v>
      </c>
      <c r="AI741" s="905">
        <v>12924</v>
      </c>
      <c r="AJ741" s="905">
        <v>12771</v>
      </c>
      <c r="AK741" s="905">
        <v>13659</v>
      </c>
      <c r="AL741" s="905">
        <v>14166</v>
      </c>
      <c r="AM741" s="905">
        <v>18246</v>
      </c>
      <c r="AN741" s="905"/>
      <c r="AO741" s="905"/>
      <c r="AP741" s="905"/>
      <c r="AQ741" s="905"/>
      <c r="AS741" s="905">
        <v>6225</v>
      </c>
      <c r="AT741" s="905">
        <v>6225</v>
      </c>
      <c r="AU741" s="905"/>
      <c r="AV741" s="905"/>
      <c r="AW741" s="905"/>
      <c r="AX741" s="905"/>
      <c r="AY741" s="905"/>
      <c r="AZ741" s="905"/>
      <c r="BA741" s="905"/>
      <c r="BB741" s="30">
        <v>10397</v>
      </c>
      <c r="BC741" s="30">
        <v>11628</v>
      </c>
      <c r="BD741" s="30">
        <v>14900</v>
      </c>
      <c r="BE741" s="30">
        <v>19086</v>
      </c>
      <c r="BF741" s="30"/>
      <c r="BG741" s="906">
        <f>+SUM(D741:G741)</f>
        <v>14900</v>
      </c>
      <c r="BH741" s="906">
        <f>+SUM(H741:K741)</f>
        <v>19086</v>
      </c>
      <c r="BI741" s="906">
        <f>+SUM(L741:O741)</f>
        <v>22933</v>
      </c>
      <c r="BJ741" s="906">
        <v>26637</v>
      </c>
      <c r="BK741" s="906">
        <f>SUM(T741:W741)</f>
        <v>30061</v>
      </c>
      <c r="BL741" s="906">
        <f t="shared" si="3493"/>
        <v>34013</v>
      </c>
      <c r="BM741" s="906">
        <f t="shared" si="3494"/>
        <v>43586</v>
      </c>
      <c r="BN741" s="906">
        <f t="shared" si="3495"/>
        <v>48059</v>
      </c>
      <c r="BO741" s="906">
        <f t="shared" si="3496"/>
        <v>58842</v>
      </c>
      <c r="BP741" s="906"/>
    </row>
    <row r="742" spans="2:68" outlineLevel="1">
      <c r="B742" s="916" t="s">
        <v>497</v>
      </c>
      <c r="D742" s="8">
        <f>SUM(D740:D741)</f>
        <v>7207</v>
      </c>
      <c r="E742" s="8">
        <f t="shared" ref="E742:O742" si="3497">SUM(E740:E741)</f>
        <v>9872</v>
      </c>
      <c r="F742" s="8">
        <f t="shared" si="3497"/>
        <v>7722</v>
      </c>
      <c r="G742" s="8">
        <f t="shared" si="3497"/>
        <v>7979</v>
      </c>
      <c r="H742" s="8">
        <f t="shared" si="3497"/>
        <v>7844</v>
      </c>
      <c r="I742" s="8">
        <f t="shared" si="3497"/>
        <v>9901</v>
      </c>
      <c r="J742" s="8">
        <f t="shared" si="3497"/>
        <v>8060</v>
      </c>
      <c r="K742" s="8">
        <f t="shared" si="3497"/>
        <v>8456</v>
      </c>
      <c r="L742" s="8">
        <f t="shared" si="3497"/>
        <v>8278</v>
      </c>
      <c r="M742" s="8">
        <f t="shared" si="3497"/>
        <v>11064</v>
      </c>
      <c r="N742" s="8">
        <f t="shared" si="3497"/>
        <v>9269</v>
      </c>
      <c r="O742" s="8">
        <f t="shared" si="3497"/>
        <v>9742</v>
      </c>
      <c r="P742" s="8">
        <f t="shared" ref="P742:Q742" si="3498">SUM(P740:P741)</f>
        <v>9905</v>
      </c>
      <c r="Q742" s="8">
        <f t="shared" si="3498"/>
        <v>12423</v>
      </c>
      <c r="R742" s="8">
        <f t="shared" ref="R742:T742" si="3499">SUM(R740:R741)</f>
        <v>10170</v>
      </c>
      <c r="S742" s="8">
        <f t="shared" si="3499"/>
        <v>10412</v>
      </c>
      <c r="T742" s="8">
        <f t="shared" si="3499"/>
        <v>10406</v>
      </c>
      <c r="U742" s="8">
        <f t="shared" ref="U742:W742" si="3500">SUM(U740:U741)</f>
        <v>12358</v>
      </c>
      <c r="V742" s="8">
        <f t="shared" si="3500"/>
        <v>10975</v>
      </c>
      <c r="W742" s="8">
        <f t="shared" si="3500"/>
        <v>12339</v>
      </c>
      <c r="X742" s="8">
        <f t="shared" ref="X742:Y742" si="3501">SUM(X740:X741)</f>
        <v>11002</v>
      </c>
      <c r="Y742" s="8">
        <f t="shared" si="3501"/>
        <v>14194</v>
      </c>
      <c r="Z742" s="8">
        <f t="shared" ref="Z742:AA742" si="3502">SUM(Z740:Z741)</f>
        <v>13045</v>
      </c>
      <c r="AA742" s="8">
        <f t="shared" si="3502"/>
        <v>13991</v>
      </c>
      <c r="AB742" s="8">
        <f t="shared" ref="AB742:AC742" si="3503">SUM(AB740:AB741)</f>
        <v>13646</v>
      </c>
      <c r="AC742" s="8">
        <f t="shared" si="3503"/>
        <v>16960</v>
      </c>
      <c r="AD742" s="8">
        <f t="shared" ref="AD742:AE742" si="3504">SUM(AD740:AD741)</f>
        <v>15615</v>
      </c>
      <c r="AE742" s="8">
        <f t="shared" si="3504"/>
        <v>16429</v>
      </c>
      <c r="AF742" s="8">
        <f t="shared" ref="AF742:AG742" si="3505">SUM(AF740:AF741)</f>
        <v>15452</v>
      </c>
      <c r="AG742" s="8">
        <f t="shared" si="3505"/>
        <v>17488</v>
      </c>
      <c r="AH742" s="8">
        <f t="shared" ref="AH742" si="3506">SUM(AH740:AH741)</f>
        <v>16128</v>
      </c>
      <c r="AI742" s="8">
        <f t="shared" ref="AI742:AJ742" si="3507">SUM(AI740:AI741)</f>
        <v>16795</v>
      </c>
      <c r="AJ742" s="8">
        <f t="shared" si="3507"/>
        <v>16302</v>
      </c>
      <c r="AK742" s="8">
        <f t="shared" ref="AK742:AL742" si="3508">SUM(AK740:AK741)</f>
        <v>19623</v>
      </c>
      <c r="AL742" s="8">
        <f t="shared" si="3508"/>
        <v>18505</v>
      </c>
      <c r="AM742" s="8">
        <f t="shared" ref="AM742" si="3509">SUM(AM740:AM741)</f>
        <v>19684</v>
      </c>
      <c r="AN742" s="8"/>
      <c r="AO742" s="8"/>
      <c r="AP742" s="8"/>
      <c r="AQ742" s="8"/>
      <c r="AS742" s="29">
        <v>6031</v>
      </c>
      <c r="AT742" s="29">
        <v>7650</v>
      </c>
      <c r="AU742" s="29">
        <v>10693</v>
      </c>
      <c r="AV742" s="29">
        <v>11598</v>
      </c>
      <c r="AW742" s="29">
        <v>12155</v>
      </c>
      <c r="AX742" s="29">
        <v>12395</v>
      </c>
      <c r="AY742" s="29">
        <v>15577</v>
      </c>
      <c r="AZ742" s="29">
        <v>17530</v>
      </c>
      <c r="BA742" s="29">
        <v>20385</v>
      </c>
      <c r="BB742" s="11">
        <f>SUM(BB740:BB741)</f>
        <v>27078</v>
      </c>
      <c r="BC742" s="11">
        <f>SUM(BC740:BC741)</f>
        <v>33038</v>
      </c>
      <c r="BD742" s="11">
        <f t="shared" ref="BD742:BE742" si="3510">SUM(BD740:BD741)</f>
        <v>32780</v>
      </c>
      <c r="BE742" s="11">
        <f t="shared" si="3510"/>
        <v>34261</v>
      </c>
      <c r="BF742" s="11"/>
      <c r="BG742" s="11">
        <f>+SUM(D742:G742)</f>
        <v>32780</v>
      </c>
      <c r="BH742" s="11">
        <f>+SUM(H742:K742)</f>
        <v>34261</v>
      </c>
      <c r="BI742" s="11">
        <f>+SUM(L742:O742)</f>
        <v>38353</v>
      </c>
      <c r="BJ742" s="11">
        <f>+SUM(BJ740:BJ741)</f>
        <v>42910</v>
      </c>
      <c r="BK742" s="11">
        <f>+SUM(BK740:BK741)</f>
        <v>46078</v>
      </c>
      <c r="BL742" s="11">
        <f t="shared" si="3493"/>
        <v>52232</v>
      </c>
      <c r="BM742" s="11">
        <f>SUM(AB742:AE742)</f>
        <v>62650</v>
      </c>
      <c r="BN742" s="11">
        <f t="shared" si="3495"/>
        <v>65863</v>
      </c>
      <c r="BO742" s="11">
        <f t="shared" si="3496"/>
        <v>74114</v>
      </c>
      <c r="BP742" s="11"/>
    </row>
    <row r="743" spans="2:68" outlineLevel="1">
      <c r="B743" s="916"/>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S743" s="29"/>
      <c r="AT743" s="29"/>
      <c r="AU743" s="29"/>
      <c r="AV743" s="29"/>
      <c r="AW743" s="29"/>
      <c r="AX743" s="29"/>
      <c r="AY743" s="29"/>
      <c r="AZ743" s="29"/>
      <c r="BA743" s="29"/>
      <c r="BB743" s="11"/>
      <c r="BC743" s="11"/>
      <c r="BD743" s="11"/>
      <c r="BE743" s="11"/>
      <c r="BF743" s="11"/>
      <c r="BG743" s="11"/>
      <c r="BH743" s="11"/>
      <c r="BI743" s="11"/>
      <c r="BJ743" s="11"/>
      <c r="BK743" s="11"/>
      <c r="BL743" s="11"/>
      <c r="BM743" s="11"/>
      <c r="BN743" s="11"/>
      <c r="BO743" s="11"/>
      <c r="BP743" s="11"/>
    </row>
    <row r="744" spans="2:68">
      <c r="B744" s="878" t="s">
        <v>495</v>
      </c>
      <c r="D744" s="8">
        <f t="shared" ref="D744:G744" si="3511">+D730-D740</f>
        <v>11715</v>
      </c>
      <c r="E744" s="8">
        <f t="shared" si="3511"/>
        <v>13163</v>
      </c>
      <c r="F744" s="8">
        <f t="shared" si="3511"/>
        <v>11506</v>
      </c>
      <c r="G744" s="8">
        <f t="shared" si="3511"/>
        <v>13072</v>
      </c>
      <c r="H744" s="8">
        <f>+H730-H740</f>
        <v>11387</v>
      </c>
      <c r="I744" s="8">
        <f t="shared" ref="I744:BJ744" si="3512">+I730-I740</f>
        <v>12895</v>
      </c>
      <c r="J744" s="8">
        <f t="shared" si="3512"/>
        <v>11438</v>
      </c>
      <c r="K744" s="8">
        <f t="shared" si="3512"/>
        <v>12916</v>
      </c>
      <c r="L744" s="8">
        <f t="shared" si="3512"/>
        <v>11318</v>
      </c>
      <c r="M744" s="8">
        <f t="shared" si="3512"/>
        <v>12428</v>
      </c>
      <c r="N744" s="8">
        <f t="shared" si="3512"/>
        <v>11689</v>
      </c>
      <c r="O744" s="8">
        <f t="shared" si="3512"/>
        <v>13642</v>
      </c>
      <c r="P744" s="8">
        <f t="shared" si="3512"/>
        <v>13650</v>
      </c>
      <c r="Q744" s="8">
        <f t="shared" si="3512"/>
        <v>10334</v>
      </c>
      <c r="R744" s="8">
        <f t="shared" si="3512"/>
        <v>12007</v>
      </c>
      <c r="S744" s="8">
        <f t="shared" si="3512"/>
        <v>13805</v>
      </c>
      <c r="T744" s="8">
        <f t="shared" si="3512"/>
        <v>12463</v>
      </c>
      <c r="U744" s="8">
        <f t="shared" si="3512"/>
        <v>13289</v>
      </c>
      <c r="V744" s="8">
        <f t="shared" si="3512"/>
        <v>12495</v>
      </c>
      <c r="W744" s="8">
        <f t="shared" ref="W744:X744" si="3513">+W730-W740</f>
        <v>13777</v>
      </c>
      <c r="X744" s="8">
        <f t="shared" si="3513"/>
        <v>12206</v>
      </c>
      <c r="Y744" s="8">
        <f t="shared" ref="Y744:Z744" si="3514">+Y730-Y740</f>
        <v>13402</v>
      </c>
      <c r="Z744" s="8">
        <f t="shared" si="3514"/>
        <v>12596</v>
      </c>
      <c r="AA744" s="8">
        <f t="shared" ref="AA744:AB744" si="3515">+AA730-AA740</f>
        <v>14651</v>
      </c>
      <c r="AB744" s="8">
        <f t="shared" si="3515"/>
        <v>12839</v>
      </c>
      <c r="AC744" s="8">
        <f t="shared" ref="AC744:AD744" si="3516">+AC730-AC740</f>
        <v>14448</v>
      </c>
      <c r="AD744" s="8">
        <f t="shared" si="3516"/>
        <v>12782</v>
      </c>
      <c r="AE744" s="8">
        <f t="shared" ref="AE744:AF744" si="3517">+AE730-AE740</f>
        <v>13599</v>
      </c>
      <c r="AF744" s="8">
        <f t="shared" si="3517"/>
        <v>11439</v>
      </c>
      <c r="AG744" s="8">
        <f t="shared" ref="AG744:AH744" si="3518">+AG730-AG740</f>
        <v>10827</v>
      </c>
      <c r="AH744" s="8">
        <f t="shared" si="3518"/>
        <v>11647</v>
      </c>
      <c r="AI744" s="8">
        <f t="shared" ref="AI744:AJ744" si="3519">+AI730-AI740</f>
        <v>12982</v>
      </c>
      <c r="AJ744" s="8">
        <f t="shared" si="3519"/>
        <v>12004</v>
      </c>
      <c r="AK744" s="8">
        <f t="shared" ref="AK744:AL744" si="3520">+AK730-AK740</f>
        <v>12977</v>
      </c>
      <c r="AL744" s="8">
        <f t="shared" si="3520"/>
        <v>12741</v>
      </c>
      <c r="AM744" s="8">
        <f t="shared" ref="AM744" si="3521">+AM730-AM740</f>
        <v>11779</v>
      </c>
      <c r="AN744" s="8"/>
      <c r="AO744" s="8"/>
      <c r="AP744" s="8"/>
      <c r="AQ744" s="8"/>
      <c r="AS744" s="29">
        <f t="shared" si="3512"/>
        <v>-3517</v>
      </c>
      <c r="AT744" s="29">
        <f t="shared" si="3512"/>
        <v>-3517</v>
      </c>
      <c r="AU744" s="29"/>
      <c r="AV744" s="29"/>
      <c r="AW744" s="29"/>
      <c r="AX744" s="29"/>
      <c r="AY744" s="29"/>
      <c r="AZ744" s="29"/>
      <c r="BA744" s="29"/>
      <c r="BB744" s="11">
        <f t="shared" si="3512"/>
        <v>56267</v>
      </c>
      <c r="BC744" s="11">
        <f t="shared" si="3512"/>
        <v>54546</v>
      </c>
      <c r="BD744" s="11">
        <f t="shared" si="3512"/>
        <v>43622</v>
      </c>
      <c r="BE744" s="11">
        <f t="shared" si="3512"/>
        <v>42015</v>
      </c>
      <c r="BF744" s="11"/>
      <c r="BG744" s="11">
        <f t="shared" si="3512"/>
        <v>49456</v>
      </c>
      <c r="BH744" s="11">
        <f t="shared" si="3512"/>
        <v>48636</v>
      </c>
      <c r="BI744" s="11">
        <f t="shared" si="3512"/>
        <v>49077</v>
      </c>
      <c r="BJ744" s="11">
        <f t="shared" si="3512"/>
        <v>49796</v>
      </c>
      <c r="BK744" s="11">
        <f t="shared" ref="BK744:BL744" si="3522">+BK730-BK740</f>
        <v>52024</v>
      </c>
      <c r="BL744" s="11">
        <f t="shared" si="3522"/>
        <v>52855</v>
      </c>
      <c r="BM744" s="11">
        <f t="shared" ref="BM744" si="3523">+BM730-BM740</f>
        <v>53668</v>
      </c>
      <c r="BN744" s="11">
        <f t="shared" si="3495"/>
        <v>46895</v>
      </c>
      <c r="BO744" s="11">
        <f t="shared" si="3496"/>
        <v>49501</v>
      </c>
      <c r="BP744" s="11"/>
    </row>
    <row r="745" spans="2:68" s="852" customFormat="1">
      <c r="B745" s="878" t="s">
        <v>496</v>
      </c>
      <c r="D745" s="853">
        <f t="shared" ref="D745:G745" si="3524">+D731-D741</f>
        <v>1988</v>
      </c>
      <c r="E745" s="853">
        <f t="shared" si="3524"/>
        <v>2218</v>
      </c>
      <c r="F745" s="853">
        <f t="shared" si="3524"/>
        <v>2289</v>
      </c>
      <c r="G745" s="853">
        <f t="shared" si="3524"/>
        <v>2423</v>
      </c>
      <c r="H745" s="853">
        <f t="shared" ref="H745:BJ745" si="3525">+H731-H741</f>
        <v>2697</v>
      </c>
      <c r="I745" s="853">
        <f t="shared" si="3525"/>
        <v>3030</v>
      </c>
      <c r="J745" s="853">
        <f t="shared" si="3525"/>
        <v>3714</v>
      </c>
      <c r="K745" s="853">
        <f t="shared" si="3525"/>
        <v>4233</v>
      </c>
      <c r="L745" s="853">
        <f t="shared" si="3525"/>
        <v>4942</v>
      </c>
      <c r="M745" s="853">
        <f t="shared" si="3525"/>
        <v>5426</v>
      </c>
      <c r="N745" s="853">
        <f t="shared" si="3525"/>
        <v>5861</v>
      </c>
      <c r="O745" s="853">
        <f t="shared" si="3525"/>
        <v>6701</v>
      </c>
      <c r="P745" s="853">
        <f t="shared" si="3525"/>
        <v>5529</v>
      </c>
      <c r="Q745" s="853">
        <f t="shared" si="3525"/>
        <v>9714</v>
      </c>
      <c r="R745" s="853">
        <f t="shared" si="3525"/>
        <v>8394</v>
      </c>
      <c r="S745" s="853">
        <f t="shared" si="3525"/>
        <v>9500</v>
      </c>
      <c r="T745" s="853">
        <f t="shared" si="3525"/>
        <v>10186</v>
      </c>
      <c r="U745" s="853">
        <f t="shared" si="3525"/>
        <v>11259</v>
      </c>
      <c r="V745" s="853">
        <f t="shared" si="3525"/>
        <v>11551</v>
      </c>
      <c r="W745" s="853">
        <f t="shared" ref="W745:X745" si="3526">+W731-W741</f>
        <v>11917</v>
      </c>
      <c r="X745" s="853">
        <f t="shared" si="3526"/>
        <v>13946</v>
      </c>
      <c r="Y745" s="853">
        <f t="shared" ref="Y745:Z745" si="3527">+Y731-Y741</f>
        <v>15480</v>
      </c>
      <c r="Z745" s="853">
        <f t="shared" si="3527"/>
        <v>16065</v>
      </c>
      <c r="AA745" s="853">
        <f t="shared" ref="AA745:AB745" si="3528">+AA731-AA741</f>
        <v>17510</v>
      </c>
      <c r="AB745" s="853">
        <f t="shared" si="3528"/>
        <v>18832</v>
      </c>
      <c r="AC745" s="853">
        <f t="shared" ref="AC745:AD745" si="3529">+AC731-AC741</f>
        <v>20320</v>
      </c>
      <c r="AD745" s="853">
        <f t="shared" si="3529"/>
        <v>20963</v>
      </c>
      <c r="AE745" s="853">
        <f t="shared" ref="AE745:AF745" si="3530">+AE731-AE741</f>
        <v>21837</v>
      </c>
      <c r="AF745" s="853">
        <f t="shared" si="3530"/>
        <v>23231</v>
      </c>
      <c r="AG745" s="853">
        <f t="shared" ref="AG745:AH745" si="3531">+AG731-AG741</f>
        <v>24432</v>
      </c>
      <c r="AH745" s="853">
        <f t="shared" si="3531"/>
        <v>25082</v>
      </c>
      <c r="AI745" s="853">
        <f t="shared" ref="AI745:AJ745" si="3532">+AI731-AI741</f>
        <v>26412</v>
      </c>
      <c r="AJ745" s="853">
        <f t="shared" si="3532"/>
        <v>28211</v>
      </c>
      <c r="AK745" s="853">
        <f t="shared" ref="AK745:AL745" si="3533">+AK731-AK741</f>
        <v>29420</v>
      </c>
      <c r="AL745" s="853">
        <f t="shared" si="3533"/>
        <v>30612</v>
      </c>
      <c r="AM745" s="853">
        <f t="shared" ref="AM745" si="3534">+AM731-AM741</f>
        <v>33264</v>
      </c>
      <c r="AN745" s="853"/>
      <c r="AO745" s="853"/>
      <c r="AP745" s="853"/>
      <c r="AQ745" s="853"/>
      <c r="AS745" s="939">
        <f t="shared" si="3525"/>
        <v>-6225</v>
      </c>
      <c r="AT745" s="939">
        <f t="shared" si="3525"/>
        <v>-6225</v>
      </c>
      <c r="AU745" s="939"/>
      <c r="AV745" s="939"/>
      <c r="AW745" s="939"/>
      <c r="AX745" s="939"/>
      <c r="AY745" s="939"/>
      <c r="AZ745" s="939"/>
      <c r="BA745" s="939"/>
      <c r="BB745" s="940">
        <f t="shared" si="3525"/>
        <v>3488</v>
      </c>
      <c r="BC745" s="940">
        <f t="shared" si="3525"/>
        <v>5996</v>
      </c>
      <c r="BD745" s="940">
        <f t="shared" si="3525"/>
        <v>8918</v>
      </c>
      <c r="BE745" s="940">
        <f t="shared" si="3525"/>
        <v>13674</v>
      </c>
      <c r="BF745" s="940"/>
      <c r="BG745" s="940">
        <f t="shared" si="3525"/>
        <v>8918</v>
      </c>
      <c r="BH745" s="940">
        <f t="shared" si="3525"/>
        <v>13674</v>
      </c>
      <c r="BI745" s="940">
        <f t="shared" si="3525"/>
        <v>22930</v>
      </c>
      <c r="BJ745" s="940">
        <f t="shared" si="3525"/>
        <v>33137</v>
      </c>
      <c r="BK745" s="940">
        <f t="shared" ref="BK745:BL746" si="3535">+BK731-BK741</f>
        <v>44913</v>
      </c>
      <c r="BL745" s="940">
        <f t="shared" si="3535"/>
        <v>63001</v>
      </c>
      <c r="BM745" s="940">
        <f t="shared" ref="BM745" si="3536">+BM731-BM741</f>
        <v>81952</v>
      </c>
      <c r="BN745" s="940">
        <f t="shared" si="3495"/>
        <v>99157</v>
      </c>
      <c r="BO745" s="940">
        <f t="shared" si="3496"/>
        <v>121507</v>
      </c>
      <c r="BP745" s="940"/>
    </row>
    <row r="746" spans="2:68" s="1" customFormat="1" ht="10.5">
      <c r="B746" s="882" t="s">
        <v>498</v>
      </c>
      <c r="D746" s="838">
        <f t="shared" ref="D746:V746" si="3537">+D732-D742</f>
        <v>13703</v>
      </c>
      <c r="E746" s="838">
        <f t="shared" si="3537"/>
        <v>15381</v>
      </c>
      <c r="F746" s="838">
        <f t="shared" si="3537"/>
        <v>13795</v>
      </c>
      <c r="G746" s="838">
        <f t="shared" si="3537"/>
        <v>15495</v>
      </c>
      <c r="H746" s="838">
        <f t="shared" si="3537"/>
        <v>14084</v>
      </c>
      <c r="I746" s="838">
        <f t="shared" si="3537"/>
        <v>15925</v>
      </c>
      <c r="J746" s="838">
        <f t="shared" si="3537"/>
        <v>15152</v>
      </c>
      <c r="K746" s="838">
        <f t="shared" si="3537"/>
        <v>17149</v>
      </c>
      <c r="L746" s="838">
        <f t="shared" si="3537"/>
        <v>16260</v>
      </c>
      <c r="M746" s="838">
        <f t="shared" si="3537"/>
        <v>17854</v>
      </c>
      <c r="N746" s="838">
        <f t="shared" si="3537"/>
        <v>17550</v>
      </c>
      <c r="O746" s="838">
        <f t="shared" si="3537"/>
        <v>20343</v>
      </c>
      <c r="P746" s="838">
        <f t="shared" si="3537"/>
        <v>19179</v>
      </c>
      <c r="Q746" s="838">
        <f t="shared" si="3537"/>
        <v>20048</v>
      </c>
      <c r="R746" s="838">
        <f t="shared" si="3537"/>
        <v>20401</v>
      </c>
      <c r="S746" s="838">
        <f t="shared" si="3537"/>
        <v>23305</v>
      </c>
      <c r="T746" s="838">
        <f t="shared" si="3537"/>
        <v>22649</v>
      </c>
      <c r="U746" s="838">
        <f t="shared" si="3537"/>
        <v>24548</v>
      </c>
      <c r="V746" s="838">
        <f t="shared" si="3537"/>
        <v>24046</v>
      </c>
      <c r="W746" s="838">
        <f t="shared" ref="W746:X746" si="3538">+W732-W742</f>
        <v>25694</v>
      </c>
      <c r="X746" s="838">
        <f t="shared" si="3538"/>
        <v>26152</v>
      </c>
      <c r="Y746" s="838">
        <f t="shared" ref="Y746:Z746" si="3539">+Y732-Y742</f>
        <v>28882</v>
      </c>
      <c r="Z746" s="838">
        <f t="shared" si="3539"/>
        <v>28661</v>
      </c>
      <c r="AA746" s="838">
        <f t="shared" ref="AA746:AB746" si="3540">+AA732-AA742</f>
        <v>32161</v>
      </c>
      <c r="AB746" s="838">
        <f t="shared" si="3540"/>
        <v>31671</v>
      </c>
      <c r="AC746" s="838">
        <f t="shared" ref="AC746:AD746" si="3541">+AC732-AC742</f>
        <v>34768</v>
      </c>
      <c r="AD746" s="838">
        <f t="shared" si="3541"/>
        <v>33745</v>
      </c>
      <c r="AE746" s="838">
        <f t="shared" ref="AE746:AF746" si="3542">+AE732-AE742</f>
        <v>35436</v>
      </c>
      <c r="AF746" s="838">
        <f t="shared" si="3542"/>
        <v>34670</v>
      </c>
      <c r="AG746" s="838">
        <f t="shared" ref="AG746:AH746" si="3543">+AG732-AG742</f>
        <v>35259</v>
      </c>
      <c r="AH746" s="838">
        <f t="shared" si="3543"/>
        <v>36729</v>
      </c>
      <c r="AI746" s="838">
        <f t="shared" ref="AI746:AJ746" si="3544">+AI732-AI742</f>
        <v>39394</v>
      </c>
      <c r="AJ746" s="838">
        <f t="shared" si="3544"/>
        <v>40215</v>
      </c>
      <c r="AK746" s="838">
        <f t="shared" ref="AK746:AL746" si="3545">+AK732-AK742</f>
        <v>42397</v>
      </c>
      <c r="AL746" s="838">
        <f t="shared" si="3545"/>
        <v>43353</v>
      </c>
      <c r="AM746" s="838">
        <f t="shared" ref="AM746" si="3546">+AM732-AM742</f>
        <v>45043</v>
      </c>
      <c r="AN746" s="838">
        <f>+AN22</f>
        <v>46632.606526419113</v>
      </c>
      <c r="AO746" s="838">
        <f>+AO22</f>
        <v>48789.559274571788</v>
      </c>
      <c r="AP746" s="838">
        <f>+AP22</f>
        <v>50746.412292172761</v>
      </c>
      <c r="AQ746" s="838">
        <f>+AQ22</f>
        <v>52962.318112791872</v>
      </c>
      <c r="AS746" s="838">
        <f t="shared" ref="AS746:BE746" si="3547">+AS732-AS742</f>
        <v>33757</v>
      </c>
      <c r="AT746" s="838">
        <f t="shared" si="3547"/>
        <v>36632</v>
      </c>
      <c r="AU746" s="838">
        <f t="shared" si="3547"/>
        <v>40429</v>
      </c>
      <c r="AV746" s="838">
        <f t="shared" si="3547"/>
        <v>48822</v>
      </c>
      <c r="AW746" s="838">
        <f t="shared" si="3547"/>
        <v>46282</v>
      </c>
      <c r="AX746" s="838">
        <f t="shared" si="3547"/>
        <v>50089</v>
      </c>
      <c r="AY746" s="838">
        <f t="shared" si="3547"/>
        <v>54366</v>
      </c>
      <c r="AZ746" s="838">
        <f t="shared" si="3547"/>
        <v>56193</v>
      </c>
      <c r="BA746" s="838">
        <f t="shared" si="3547"/>
        <v>57464</v>
      </c>
      <c r="BB746" s="838">
        <f t="shared" si="3547"/>
        <v>59755</v>
      </c>
      <c r="BC746" s="838">
        <f t="shared" si="3547"/>
        <v>60542</v>
      </c>
      <c r="BD746" s="838">
        <f t="shared" si="3547"/>
        <v>52540</v>
      </c>
      <c r="BE746" s="838">
        <f t="shared" si="3547"/>
        <v>55689</v>
      </c>
      <c r="BF746" s="838"/>
      <c r="BG746" s="849">
        <f>+SUM(D746:G746)</f>
        <v>58374</v>
      </c>
      <c r="BH746" s="849">
        <f>+SUM(H746:K746)</f>
        <v>62310</v>
      </c>
      <c r="BI746" s="849">
        <f>+SUM(L746:O746)</f>
        <v>72007</v>
      </c>
      <c r="BJ746" s="849">
        <f>+BJ732-BJ742</f>
        <v>82933</v>
      </c>
      <c r="BK746" s="849">
        <f t="shared" si="3535"/>
        <v>96937</v>
      </c>
      <c r="BL746" s="849">
        <f t="shared" si="3535"/>
        <v>115856</v>
      </c>
      <c r="BM746" s="849">
        <f t="shared" ref="BM746" si="3548">+BM732-BM742</f>
        <v>135620</v>
      </c>
      <c r="BN746" s="849">
        <f t="shared" si="3495"/>
        <v>146052</v>
      </c>
      <c r="BO746" s="849">
        <f t="shared" si="3496"/>
        <v>171008</v>
      </c>
      <c r="BP746" s="849">
        <f>+SUM(AN746:AQ746)</f>
        <v>199130.89620595553</v>
      </c>
    </row>
    <row r="747" spans="2:68" s="1" customFormat="1" ht="10.5">
      <c r="B747" s="941"/>
      <c r="D747" s="838"/>
      <c r="E747" s="838"/>
      <c r="F747" s="838"/>
      <c r="G747" s="838"/>
      <c r="H747" s="838"/>
      <c r="I747" s="838"/>
      <c r="J747" s="838"/>
      <c r="K747" s="838"/>
      <c r="L747" s="838"/>
      <c r="M747" s="838"/>
      <c r="N747" s="838"/>
      <c r="O747" s="838"/>
      <c r="P747" s="838"/>
      <c r="Q747" s="838"/>
      <c r="R747" s="838"/>
      <c r="S747" s="838"/>
      <c r="T747" s="838"/>
      <c r="U747" s="838"/>
      <c r="V747" s="838"/>
      <c r="W747" s="228"/>
      <c r="X747" s="228"/>
      <c r="Y747" s="228"/>
      <c r="Z747" s="838"/>
      <c r="AA747" s="838"/>
      <c r="AB747" s="838"/>
      <c r="AC747" s="838"/>
      <c r="AD747" s="838"/>
      <c r="AE747" s="838"/>
      <c r="AF747" s="838"/>
      <c r="AG747" s="838"/>
      <c r="AH747" s="838"/>
      <c r="AI747" s="838"/>
      <c r="AJ747" s="838"/>
      <c r="AK747" s="838"/>
      <c r="AL747" s="838"/>
      <c r="AM747" s="838"/>
      <c r="AN747" s="838"/>
      <c r="AO747" s="838"/>
      <c r="AP747" s="838"/>
      <c r="AQ747" s="838"/>
      <c r="AS747" s="838"/>
      <c r="AT747" s="838"/>
      <c r="AU747" s="838"/>
      <c r="AV747" s="838"/>
      <c r="AW747" s="838"/>
      <c r="AX747" s="838"/>
      <c r="AY747" s="838"/>
      <c r="AZ747" s="838"/>
      <c r="BA747" s="838"/>
      <c r="BB747" s="838"/>
      <c r="BC747" s="838"/>
      <c r="BD747" s="838"/>
      <c r="BE747" s="838"/>
      <c r="BF747" s="838"/>
      <c r="BG747" s="849"/>
      <c r="BH747" s="849"/>
      <c r="BI747" s="849"/>
      <c r="BJ747" s="849"/>
      <c r="BK747" s="849"/>
      <c r="BL747" s="849"/>
      <c r="BM747" s="849"/>
      <c r="BN747" s="849"/>
      <c r="BO747" s="849"/>
      <c r="BP747" s="849"/>
    </row>
    <row r="748" spans="2:68" s="1" customFormat="1" ht="10.5">
      <c r="B748" s="847" t="s">
        <v>115</v>
      </c>
      <c r="D748" s="838"/>
      <c r="E748" s="838"/>
      <c r="F748" s="838"/>
      <c r="G748" s="838"/>
      <c r="H748" s="838"/>
      <c r="I748" s="838"/>
      <c r="J748" s="838"/>
      <c r="K748" s="838"/>
      <c r="L748" s="838"/>
      <c r="M748" s="838"/>
      <c r="N748" s="838"/>
      <c r="O748" s="838"/>
      <c r="P748" s="838"/>
      <c r="Q748" s="838"/>
      <c r="R748" s="838"/>
      <c r="S748" s="838"/>
      <c r="T748" s="838"/>
      <c r="U748" s="838"/>
      <c r="V748" s="838"/>
      <c r="W748" s="838"/>
      <c r="X748" s="838"/>
      <c r="Y748" s="838"/>
      <c r="Z748" s="838"/>
      <c r="AA748" s="838"/>
      <c r="AB748" s="838"/>
      <c r="AC748" s="838"/>
      <c r="AD748" s="838"/>
      <c r="AE748" s="838"/>
      <c r="AF748" s="838"/>
      <c r="AG748" s="838"/>
      <c r="AH748" s="838"/>
      <c r="AI748" s="838"/>
      <c r="AJ748" s="838"/>
      <c r="AK748" s="838"/>
      <c r="AL748" s="838"/>
      <c r="AM748" s="838"/>
      <c r="AN748" s="838"/>
      <c r="AO748" s="838"/>
      <c r="AP748" s="838"/>
      <c r="AQ748" s="838"/>
      <c r="AS748" s="838"/>
      <c r="AT748" s="838"/>
      <c r="AU748" s="838"/>
      <c r="AV748" s="838"/>
      <c r="AW748" s="838"/>
      <c r="AX748" s="838"/>
      <c r="AY748" s="838"/>
      <c r="AZ748" s="838"/>
      <c r="BA748" s="838"/>
      <c r="BB748" s="838"/>
      <c r="BC748" s="838"/>
      <c r="BD748" s="838"/>
      <c r="BE748" s="838"/>
      <c r="BF748" s="838"/>
      <c r="BG748" s="849"/>
      <c r="BH748" s="849"/>
      <c r="BI748" s="849"/>
      <c r="BJ748" s="849"/>
      <c r="BK748" s="849"/>
      <c r="BL748" s="849"/>
      <c r="BM748" s="849"/>
      <c r="BN748" s="849"/>
      <c r="BO748" s="849"/>
      <c r="BP748" s="849"/>
    </row>
    <row r="749" spans="2:68" s="3" customFormat="1">
      <c r="B749" s="884" t="str">
        <f>+B744</f>
        <v>Product</v>
      </c>
      <c r="D749" s="92"/>
      <c r="E749" s="92"/>
      <c r="F749" s="92"/>
      <c r="G749" s="92"/>
      <c r="H749" s="228">
        <f t="shared" ref="H749:V749" si="3549">+H744/H730</f>
        <v>0.76075628006413687</v>
      </c>
      <c r="I749" s="228">
        <f t="shared" si="3549"/>
        <v>0.70568598478629674</v>
      </c>
      <c r="J749" s="228">
        <f t="shared" si="3549"/>
        <v>0.78812099497002686</v>
      </c>
      <c r="K749" s="228">
        <f t="shared" si="3549"/>
        <v>0.8043843806439559</v>
      </c>
      <c r="L749" s="228">
        <f t="shared" si="3549"/>
        <v>0.79157924185200723</v>
      </c>
      <c r="M749" s="228">
        <f t="shared" si="3549"/>
        <v>0.69329465580720739</v>
      </c>
      <c r="N749" s="228">
        <f t="shared" si="3549"/>
        <v>0.77338891094349604</v>
      </c>
      <c r="O749" s="228">
        <f t="shared" si="3549"/>
        <v>0.79503467568040098</v>
      </c>
      <c r="P749" s="228">
        <f t="shared" si="3549"/>
        <v>0.78906295161570028</v>
      </c>
      <c r="Q749" s="228">
        <f t="shared" si="3549"/>
        <v>0.63715395523768414</v>
      </c>
      <c r="R749" s="228">
        <f t="shared" si="3549"/>
        <v>0.77725271879854996</v>
      </c>
      <c r="S749" s="228">
        <f t="shared" si="3549"/>
        <v>0.80716833304098701</v>
      </c>
      <c r="T749" s="228">
        <f t="shared" si="3549"/>
        <v>0.79039827498731607</v>
      </c>
      <c r="U749" s="228">
        <f t="shared" si="3549"/>
        <v>0.72796494111202414</v>
      </c>
      <c r="V749" s="228">
        <f t="shared" si="3549"/>
        <v>0.78728498519311951</v>
      </c>
      <c r="W749" s="228">
        <f t="shared" ref="W749:X749" si="3550">+W744/W730</f>
        <v>0.75918884664131814</v>
      </c>
      <c r="X749" s="228">
        <f t="shared" si="3550"/>
        <v>0.77238499019173579</v>
      </c>
      <c r="Y749" s="228">
        <f t="shared" ref="Y749:Z749" si="3551">+Y744/Y730</f>
        <v>0.68869475847893113</v>
      </c>
      <c r="Z749" s="228">
        <f t="shared" si="3551"/>
        <v>0.74651810584958223</v>
      </c>
      <c r="AA749" s="228">
        <f t="shared" ref="AA749:AB749" si="3552">+AA744/AA730</f>
        <v>0.7736297391488014</v>
      </c>
      <c r="AB749" s="228">
        <f t="shared" si="3552"/>
        <v>0.77199206301485179</v>
      </c>
      <c r="AC749" s="228">
        <f t="shared" ref="AC749:AD749" si="3553">+AC744/AC730</f>
        <v>0.69531738774724483</v>
      </c>
      <c r="AD749" s="228">
        <f t="shared" si="3553"/>
        <v>0.73603593228146957</v>
      </c>
      <c r="AE749" s="228">
        <f t="shared" ref="AE749:AF749" si="3554">+AE744/AE730</f>
        <v>0.75735130318556476</v>
      </c>
      <c r="AF749" s="228">
        <f t="shared" si="3554"/>
        <v>0.72670097198399086</v>
      </c>
      <c r="AG749" s="228">
        <f t="shared" ref="AG749:AH749" si="3555">+AG744/AG730</f>
        <v>0.65550644790216139</v>
      </c>
      <c r="AH749" s="228">
        <f t="shared" si="3555"/>
        <v>0.74717731588401337</v>
      </c>
      <c r="AI749" s="228">
        <f t="shared" ref="AI749:AJ749" si="3556">+AI744/AI730</f>
        <v>0.77030795704028954</v>
      </c>
      <c r="AJ749" s="228">
        <f t="shared" si="3556"/>
        <v>0.77270679111683294</v>
      </c>
      <c r="AK749" s="228">
        <f t="shared" ref="AK749:AL749" si="3557">+AK744/AK730</f>
        <v>0.68512750118789922</v>
      </c>
      <c r="AL749" s="228">
        <f t="shared" si="3557"/>
        <v>0.74596018735363001</v>
      </c>
      <c r="AM749" s="228">
        <f t="shared" ref="AM749" si="3558">+AM744/AM730</f>
        <v>0.89120072633729286</v>
      </c>
      <c r="AN749" s="228"/>
      <c r="AO749" s="228"/>
      <c r="AP749" s="228"/>
      <c r="AQ749" s="228"/>
      <c r="AR749" s="228"/>
      <c r="AS749" s="228"/>
      <c r="AT749" s="228"/>
      <c r="AU749" s="228"/>
      <c r="AV749" s="228"/>
      <c r="AW749" s="228"/>
      <c r="AX749" s="228"/>
      <c r="AY749" s="228"/>
      <c r="AZ749" s="228"/>
      <c r="BA749" s="228"/>
      <c r="BB749" s="228">
        <f t="shared" ref="BB749:BE749" si="3559">+BB744/BB730</f>
        <v>0.77133026265284865</v>
      </c>
      <c r="BC749" s="228">
        <f t="shared" si="3559"/>
        <v>0.71812628363789566</v>
      </c>
      <c r="BD749" s="228">
        <f t="shared" si="3559"/>
        <v>0.70927774706513613</v>
      </c>
      <c r="BE749" s="228">
        <f t="shared" si="3559"/>
        <v>0.73465640846301805</v>
      </c>
      <c r="BF749" s="228"/>
      <c r="BG749" s="228">
        <f t="shared" ref="BG749:BJ749" si="3560">+BG744/BG730</f>
        <v>0.73446596174408929</v>
      </c>
      <c r="BH749" s="228">
        <f t="shared" si="3560"/>
        <v>0.76218833743398473</v>
      </c>
      <c r="BI749" s="228">
        <f t="shared" si="3560"/>
        <v>0.76091911251686128</v>
      </c>
      <c r="BJ749" s="228">
        <f t="shared" si="3560"/>
        <v>0.75369689264254036</v>
      </c>
      <c r="BK749" s="228">
        <f t="shared" ref="BK749:BL749" si="3561">+BK744/BK730</f>
        <v>0.76459781602269217</v>
      </c>
      <c r="BL749" s="228">
        <f t="shared" si="3561"/>
        <v>0.74366153586402906</v>
      </c>
      <c r="BM749" s="228">
        <f t="shared" ref="BM749:BN749" si="3562">+BM744/BM730</f>
        <v>0.73788703734257277</v>
      </c>
      <c r="BN749" s="228">
        <f t="shared" si="3562"/>
        <v>0.72481800336944935</v>
      </c>
      <c r="BO749" s="228">
        <f t="shared" ref="BO749" si="3563">+BO744/BO730</f>
        <v>0.76422274713229277</v>
      </c>
      <c r="BP749" s="94"/>
    </row>
    <row r="750" spans="2:68" s="942" customFormat="1" ht="11.45">
      <c r="B750" s="884" t="str">
        <f t="shared" ref="B750:B751" si="3564">+B745</f>
        <v>Service and other</v>
      </c>
      <c r="D750" s="846"/>
      <c r="E750" s="846"/>
      <c r="F750" s="846"/>
      <c r="G750" s="846"/>
      <c r="H750" s="840">
        <f t="shared" ref="H750:V750" si="3565">+H745/H731</f>
        <v>0.38750000000000001</v>
      </c>
      <c r="I750" s="840">
        <f t="shared" si="3565"/>
        <v>0.40116509996028066</v>
      </c>
      <c r="J750" s="840">
        <f t="shared" si="3565"/>
        <v>0.42694562593401542</v>
      </c>
      <c r="K750" s="840">
        <f t="shared" si="3565"/>
        <v>0.44333891914537077</v>
      </c>
      <c r="L750" s="840">
        <f t="shared" si="3565"/>
        <v>0.48261718749999999</v>
      </c>
      <c r="M750" s="840">
        <f t="shared" si="3565"/>
        <v>0.49363173216885009</v>
      </c>
      <c r="N750" s="840">
        <f t="shared" si="3565"/>
        <v>0.50072618539085856</v>
      </c>
      <c r="O750" s="840">
        <f t="shared" si="3565"/>
        <v>0.51841250193408639</v>
      </c>
      <c r="P750" s="840">
        <f t="shared" si="3565"/>
        <v>0.46915570640644888</v>
      </c>
      <c r="Q750" s="840">
        <f t="shared" si="3565"/>
        <v>0.59771105094757571</v>
      </c>
      <c r="R750" s="840">
        <f t="shared" si="3565"/>
        <v>0.55504860146796275</v>
      </c>
      <c r="S750" s="840">
        <f t="shared" si="3565"/>
        <v>0.57180690983507887</v>
      </c>
      <c r="T750" s="840">
        <f t="shared" si="3565"/>
        <v>0.58922890032972752</v>
      </c>
      <c r="U750" s="840">
        <f t="shared" si="3565"/>
        <v>0.60366736368023166</v>
      </c>
      <c r="V750" s="840">
        <f t="shared" si="3565"/>
        <v>0.60318537859007837</v>
      </c>
      <c r="W750" s="840">
        <f t="shared" ref="W750:X750" si="3566">+W745/W731</f>
        <v>0.59926581514633415</v>
      </c>
      <c r="X750" s="840">
        <f t="shared" si="3566"/>
        <v>0.65317783710364852</v>
      </c>
      <c r="Y750" s="840">
        <f t="shared" ref="Y750:Z750" si="3567">+Y745/Y731</f>
        <v>0.65548780487804881</v>
      </c>
      <c r="Z750" s="840">
        <f t="shared" si="3567"/>
        <v>0.64692143518704948</v>
      </c>
      <c r="AA750" s="840">
        <f t="shared" ref="AA750:AB750" si="3568">+AA745/AA731</f>
        <v>0.64341882854413168</v>
      </c>
      <c r="AB750" s="840">
        <f t="shared" si="3568"/>
        <v>0.65648748518441047</v>
      </c>
      <c r="AC750" s="840">
        <f t="shared" ref="AC750:AD750" si="3569">+AC745/AC731</f>
        <v>0.65656402468577335</v>
      </c>
      <c r="AD750" s="840">
        <f t="shared" si="3569"/>
        <v>0.65521660311308372</v>
      </c>
      <c r="AE750" s="840">
        <f t="shared" ref="AE750:AF750" si="3570">+AE745/AE731</f>
        <v>0.64398832168450859</v>
      </c>
      <c r="AF750" s="840">
        <f t="shared" si="3570"/>
        <v>0.67569296995433525</v>
      </c>
      <c r="AG750" s="840">
        <f t="shared" ref="AG750:AH750" si="3571">+AG745/AG731</f>
        <v>0.67435826662986476</v>
      </c>
      <c r="AH750" s="840">
        <f t="shared" si="3571"/>
        <v>0.67299900721779493</v>
      </c>
      <c r="AI750" s="840">
        <f t="shared" ref="AI750:AJ750" si="3572">+AI745/AI731</f>
        <v>0.67144600366076879</v>
      </c>
      <c r="AJ750" s="840">
        <f t="shared" si="3572"/>
        <v>0.68837538431506518</v>
      </c>
      <c r="AK750" s="840">
        <f t="shared" ref="AK750:AL750" si="3573">+AK745/AK731</f>
        <v>0.68293135866663568</v>
      </c>
      <c r="AL750" s="840">
        <f t="shared" si="3573"/>
        <v>0.68363928714993971</v>
      </c>
      <c r="AM750" s="840">
        <f t="shared" ref="AM750" si="3574">+AM745/AM731</f>
        <v>0.64577751892836344</v>
      </c>
      <c r="AN750" s="840"/>
      <c r="AO750" s="840"/>
      <c r="AP750" s="840"/>
      <c r="AQ750" s="840"/>
      <c r="AR750" s="840"/>
      <c r="AS750" s="840"/>
      <c r="AT750" s="840"/>
      <c r="AU750" s="840"/>
      <c r="AV750" s="840"/>
      <c r="AW750" s="840"/>
      <c r="AX750" s="840"/>
      <c r="AY750" s="840"/>
      <c r="AZ750" s="840"/>
      <c r="BA750" s="840"/>
      <c r="BB750" s="840">
        <f t="shared" ref="BB750:BE750" si="3575">+BB745/BB731</f>
        <v>0.2512063377745769</v>
      </c>
      <c r="BC750" s="840">
        <f t="shared" si="3575"/>
        <v>0.34021788470267816</v>
      </c>
      <c r="BD750" s="840">
        <f t="shared" si="3575"/>
        <v>0.37442270551683599</v>
      </c>
      <c r="BE750" s="840">
        <f t="shared" si="3575"/>
        <v>0.41739926739926742</v>
      </c>
      <c r="BF750" s="840"/>
      <c r="BG750" s="840">
        <f t="shared" ref="BG750:BJ750" si="3576">+BG745/BG731</f>
        <v>0.37442270551683599</v>
      </c>
      <c r="BH750" s="840">
        <f t="shared" si="3576"/>
        <v>0.41739926739926742</v>
      </c>
      <c r="BI750" s="840">
        <f t="shared" si="3576"/>
        <v>0.4999672938970412</v>
      </c>
      <c r="BJ750" s="840">
        <f t="shared" si="3576"/>
        <v>0.55437146585471941</v>
      </c>
      <c r="BK750" s="840">
        <f t="shared" ref="BK750:BL751" si="3577">+BK745/BK731</f>
        <v>0.59904766985888447</v>
      </c>
      <c r="BL750" s="840">
        <f t="shared" si="3577"/>
        <v>0.64940111736450412</v>
      </c>
      <c r="BM750" s="840">
        <f t="shared" ref="BM750:BN750" si="3578">+BM745/BM731</f>
        <v>0.65280632159186858</v>
      </c>
      <c r="BN750" s="840">
        <f t="shared" si="3578"/>
        <v>0.67354771220519505</v>
      </c>
      <c r="BO750" s="840">
        <f t="shared" ref="BO750" si="3579">+BO745/BO731</f>
        <v>0.67373259624394921</v>
      </c>
      <c r="BP750" s="943"/>
    </row>
    <row r="751" spans="2:68" s="7" customFormat="1">
      <c r="B751" s="841" t="str">
        <f t="shared" si="3564"/>
        <v>Total gross profit</v>
      </c>
      <c r="D751" s="842">
        <f t="shared" ref="D751:V751" si="3580">+D746/D732</f>
        <v>0.65533237685318024</v>
      </c>
      <c r="E751" s="842">
        <f t="shared" si="3580"/>
        <v>0.60907614936839183</v>
      </c>
      <c r="F751" s="842">
        <f t="shared" si="3580"/>
        <v>0.64112097411349167</v>
      </c>
      <c r="G751" s="842">
        <f t="shared" si="3580"/>
        <v>0.66009201669932693</v>
      </c>
      <c r="H751" s="842">
        <f t="shared" si="3580"/>
        <v>0.64228383801532285</v>
      </c>
      <c r="I751" s="842">
        <f t="shared" si="3580"/>
        <v>0.61662665530860372</v>
      </c>
      <c r="J751" s="842">
        <f t="shared" si="3580"/>
        <v>0.65276581078752371</v>
      </c>
      <c r="K751" s="842">
        <f t="shared" si="3580"/>
        <v>0.66975200156219483</v>
      </c>
      <c r="L751" s="842">
        <f t="shared" si="3580"/>
        <v>0.66264569239546822</v>
      </c>
      <c r="M751" s="842">
        <f t="shared" si="3580"/>
        <v>0.6174009267584204</v>
      </c>
      <c r="N751" s="842">
        <f t="shared" si="3580"/>
        <v>0.65438681531749876</v>
      </c>
      <c r="O751" s="842">
        <f t="shared" si="3580"/>
        <v>0.67618414492271894</v>
      </c>
      <c r="P751" s="842">
        <f t="shared" si="3580"/>
        <v>0.65943474075092834</v>
      </c>
      <c r="Q751" s="842">
        <f t="shared" si="3580"/>
        <v>0.61741246034923469</v>
      </c>
      <c r="R751" s="842">
        <f t="shared" si="3580"/>
        <v>0.66733178502502366</v>
      </c>
      <c r="S751" s="842">
        <f t="shared" si="3580"/>
        <v>0.69119435299700449</v>
      </c>
      <c r="T751" s="842">
        <f t="shared" si="3580"/>
        <v>0.6851913477537438</v>
      </c>
      <c r="U751" s="842">
        <f t="shared" si="3580"/>
        <v>0.66514929821709212</v>
      </c>
      <c r="V751" s="842">
        <f t="shared" si="3580"/>
        <v>0.68661660146769077</v>
      </c>
      <c r="W751" s="842">
        <f t="shared" ref="W751:X751" si="3581">+W746/W732</f>
        <v>0.67557121447164303</v>
      </c>
      <c r="X751" s="842">
        <f t="shared" si="3581"/>
        <v>0.70388114334930285</v>
      </c>
      <c r="Y751" s="842">
        <f t="shared" ref="Y751:Z751" si="3582">+Y746/Y732</f>
        <v>0.67048936762930633</v>
      </c>
      <c r="Z751" s="842">
        <f t="shared" si="3582"/>
        <v>0.68721526878626582</v>
      </c>
      <c r="AA751" s="842">
        <f t="shared" ref="AA751:AB751" si="3583">+AA746/AA732</f>
        <v>0.69684954064829263</v>
      </c>
      <c r="AB751" s="842">
        <f t="shared" si="3583"/>
        <v>0.6988768012004325</v>
      </c>
      <c r="AC751" s="842">
        <f t="shared" ref="AC751:AD751" si="3584">+AC746/AC732</f>
        <v>0.67213114754098358</v>
      </c>
      <c r="AD751" s="842">
        <f t="shared" si="3584"/>
        <v>0.68365072933549431</v>
      </c>
      <c r="AE751" s="842">
        <f t="shared" ref="AE751:AF751" si="3585">+AE746/AE732</f>
        <v>0.68323532247180174</v>
      </c>
      <c r="AF751" s="842">
        <f t="shared" si="3585"/>
        <v>0.69171222217788597</v>
      </c>
      <c r="AG751" s="842">
        <f t="shared" ref="AG751" si="3586">+AG746/AG732</f>
        <v>0.66845507801391546</v>
      </c>
      <c r="AH751" s="842">
        <f t="shared" ref="AH751:AI751" si="3587">+AH746/AH732</f>
        <v>0.69487485101311086</v>
      </c>
      <c r="AI751" s="842">
        <f t="shared" si="3587"/>
        <v>0.70109807969531401</v>
      </c>
      <c r="AJ751" s="842">
        <f t="shared" ref="AJ751:AK751" si="3588">+AJ746/AJ732</f>
        <v>0.71155581506449384</v>
      </c>
      <c r="AK751" s="842">
        <f t="shared" si="3588"/>
        <v>0.68360206385037081</v>
      </c>
      <c r="AL751" s="842">
        <f t="shared" ref="AL751:AM751" si="3589">+AL746/AL732</f>
        <v>0.70084710142584628</v>
      </c>
      <c r="AM751" s="842">
        <f t="shared" si="3589"/>
        <v>0.69589197707293715</v>
      </c>
      <c r="AN751" s="842">
        <f t="shared" ref="AN751:AQ751" si="3590">+AN746/AN732</f>
        <v>0.71405581506449378</v>
      </c>
      <c r="AO751" s="842">
        <f t="shared" si="3590"/>
        <v>0.69545388584327628</v>
      </c>
      <c r="AP751" s="842">
        <f t="shared" si="3590"/>
        <v>0.71417836011510227</v>
      </c>
      <c r="AQ751" s="842">
        <f t="shared" si="3590"/>
        <v>0.70905213434888059</v>
      </c>
      <c r="AR751" s="842"/>
      <c r="AS751" s="842">
        <f t="shared" ref="AS751:BE751" si="3591">+AS746/AS732</f>
        <v>0.84842163466371767</v>
      </c>
      <c r="AT751" s="842">
        <f t="shared" si="3591"/>
        <v>0.82724357526760306</v>
      </c>
      <c r="AU751" s="842">
        <f t="shared" si="3591"/>
        <v>0.79083369195258402</v>
      </c>
      <c r="AV751" s="842">
        <f t="shared" si="3591"/>
        <v>0.80804369414101296</v>
      </c>
      <c r="AW751" s="842">
        <f t="shared" si="3591"/>
        <v>0.79199822030562828</v>
      </c>
      <c r="AX751" s="842">
        <f t="shared" si="3591"/>
        <v>0.80162921707957235</v>
      </c>
      <c r="AY751" s="842">
        <f t="shared" si="3591"/>
        <v>0.77729007906438097</v>
      </c>
      <c r="AZ751" s="842">
        <f t="shared" si="3591"/>
        <v>0.76221803236439101</v>
      </c>
      <c r="BA751" s="842">
        <f t="shared" si="3591"/>
        <v>0.73814692545825888</v>
      </c>
      <c r="BB751" s="842">
        <f t="shared" si="3591"/>
        <v>0.68816003132449644</v>
      </c>
      <c r="BC751" s="842">
        <f t="shared" si="3591"/>
        <v>0.64695447745244705</v>
      </c>
      <c r="BD751" s="842">
        <f t="shared" si="3591"/>
        <v>0.61579934364744493</v>
      </c>
      <c r="BE751" s="842">
        <f t="shared" si="3591"/>
        <v>0.61911061700944969</v>
      </c>
      <c r="BF751" s="842"/>
      <c r="BG751" s="842">
        <f>+BG746/BG732</f>
        <v>0.64038879259275516</v>
      </c>
      <c r="BH751" s="842">
        <f>+BH746/BH732</f>
        <v>0.64522475691460168</v>
      </c>
      <c r="BI751" s="842">
        <f>+BI746/BI732</f>
        <v>0.65247372236317502</v>
      </c>
      <c r="BJ751" s="842">
        <f>+BJ746/BJ732</f>
        <v>0.65901957200638894</v>
      </c>
      <c r="BK751" s="842">
        <f t="shared" si="3577"/>
        <v>0.67781001992797962</v>
      </c>
      <c r="BL751" s="842">
        <f t="shared" si="3577"/>
        <v>0.68925800771024703</v>
      </c>
      <c r="BM751" s="842">
        <f t="shared" ref="BM751:BP751" si="3592">+BM746/BM732</f>
        <v>0.68401674484289099</v>
      </c>
      <c r="BN751" s="842">
        <f t="shared" ref="BN751:BO751" si="3593">+BN746/BN732</f>
        <v>0.68920085883491022</v>
      </c>
      <c r="BO751" s="842">
        <f t="shared" si="3593"/>
        <v>0.69764443827971379</v>
      </c>
      <c r="BP751" s="842">
        <f t="shared" si="3592"/>
        <v>0.70811702470592108</v>
      </c>
    </row>
    <row r="752" spans="2:68">
      <c r="B752" s="87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S752" s="8"/>
      <c r="AT752" s="8"/>
      <c r="AU752" s="8"/>
      <c r="AV752" s="8"/>
      <c r="AW752" s="8"/>
      <c r="AX752" s="8"/>
      <c r="AY752" s="8"/>
      <c r="AZ752" s="8"/>
      <c r="BA752" s="8"/>
      <c r="BB752" s="8"/>
      <c r="BC752" s="8"/>
      <c r="BD752" s="8"/>
      <c r="BE752" s="8"/>
      <c r="BF752" s="8"/>
      <c r="BG752" s="11"/>
      <c r="BH752" s="11"/>
      <c r="BI752" s="11"/>
      <c r="BJ752" s="11"/>
      <c r="BK752" s="11"/>
      <c r="BL752" s="11"/>
      <c r="BM752" s="11"/>
      <c r="BN752" s="11"/>
      <c r="BO752" s="11"/>
      <c r="BP752" s="11"/>
    </row>
    <row r="753" spans="2:68">
      <c r="B753" s="878" t="s">
        <v>499</v>
      </c>
      <c r="D753" s="879">
        <v>2962</v>
      </c>
      <c r="E753" s="879">
        <v>2900</v>
      </c>
      <c r="F753" s="879">
        <v>2980</v>
      </c>
      <c r="G753" s="879">
        <v>3146</v>
      </c>
      <c r="H753" s="879">
        <v>3106</v>
      </c>
      <c r="I753" s="879">
        <v>3062</v>
      </c>
      <c r="J753" s="879">
        <v>3355</v>
      </c>
      <c r="K753" s="879">
        <v>3514</v>
      </c>
      <c r="L753" s="879">
        <v>3574</v>
      </c>
      <c r="M753" s="879">
        <v>3504</v>
      </c>
      <c r="N753" s="879">
        <v>3715</v>
      </c>
      <c r="O753" s="879">
        <v>3933</v>
      </c>
      <c r="P753" s="879">
        <v>3977</v>
      </c>
      <c r="Q753" s="879">
        <v>4070</v>
      </c>
      <c r="R753" s="879">
        <v>4316</v>
      </c>
      <c r="S753" s="879">
        <v>4513</v>
      </c>
      <c r="T753" s="879">
        <v>4565</v>
      </c>
      <c r="U753" s="879">
        <v>4603</v>
      </c>
      <c r="V753" s="879">
        <v>4887</v>
      </c>
      <c r="W753" s="879">
        <v>5214</v>
      </c>
      <c r="X753" s="879">
        <v>4926</v>
      </c>
      <c r="Y753" s="879">
        <v>4899</v>
      </c>
      <c r="Z753" s="879">
        <v>5204</v>
      </c>
      <c r="AA753" s="879">
        <v>5687</v>
      </c>
      <c r="AB753" s="879">
        <v>5599</v>
      </c>
      <c r="AC753" s="879">
        <v>5758</v>
      </c>
      <c r="AD753" s="879">
        <v>6306</v>
      </c>
      <c r="AE753" s="879">
        <v>6849</v>
      </c>
      <c r="AF753" s="879">
        <v>6628</v>
      </c>
      <c r="AG753" s="879">
        <v>6844</v>
      </c>
      <c r="AH753" s="879">
        <v>6984</v>
      </c>
      <c r="AI753" s="879">
        <v>6739</v>
      </c>
      <c r="AJ753" s="879">
        <v>6659</v>
      </c>
      <c r="AK753" s="879">
        <v>7142</v>
      </c>
      <c r="AL753" s="879">
        <v>7653</v>
      </c>
      <c r="AM753" s="879">
        <v>8056</v>
      </c>
      <c r="AN753" s="879"/>
      <c r="AO753" s="879"/>
      <c r="AP753" s="879"/>
      <c r="AQ753" s="879"/>
      <c r="AS753" s="879">
        <v>6097</v>
      </c>
      <c r="AT753" s="879">
        <v>6584</v>
      </c>
      <c r="AU753" s="879">
        <v>7121</v>
      </c>
      <c r="AV753" s="879">
        <v>8164</v>
      </c>
      <c r="AW753" s="879">
        <v>9010</v>
      </c>
      <c r="AX753" s="879">
        <v>8714</v>
      </c>
      <c r="AY753" s="879">
        <v>9043</v>
      </c>
      <c r="AZ753" s="879">
        <v>9811</v>
      </c>
      <c r="BA753" s="879">
        <v>10411</v>
      </c>
      <c r="BB753" s="879">
        <v>11381</v>
      </c>
      <c r="BC753" s="879">
        <v>12046</v>
      </c>
      <c r="BD753" s="879">
        <v>11988</v>
      </c>
      <c r="BE753" s="879">
        <v>13037</v>
      </c>
      <c r="BF753" s="879"/>
      <c r="BG753" s="880">
        <f t="shared" ref="BG753:BG761" si="3594">+SUM(D753:G753)</f>
        <v>11988</v>
      </c>
      <c r="BH753" s="880">
        <f t="shared" ref="BH753:BH761" si="3595">+SUM(H753:K753)</f>
        <v>13037</v>
      </c>
      <c r="BI753" s="880">
        <f t="shared" ref="BI753:BI761" si="3596">+SUM(L753:O753)</f>
        <v>14726</v>
      </c>
      <c r="BJ753" s="880">
        <v>16876</v>
      </c>
      <c r="BK753" s="880">
        <f>SUM(T753:W753)</f>
        <v>19269</v>
      </c>
      <c r="BL753" s="880">
        <f t="shared" ref="BL753:BL756" si="3597">SUM(X753:AA753)</f>
        <v>20716</v>
      </c>
      <c r="BM753" s="880">
        <f t="shared" ref="BM753:BM756" si="3598">SUM(AB753:AE753)</f>
        <v>24512</v>
      </c>
      <c r="BN753" s="880">
        <f t="shared" ref="BN753:BN756" si="3599">SUM(AF753:AI753)</f>
        <v>27195</v>
      </c>
      <c r="BO753" s="880">
        <f t="shared" ref="BO753:BO761" si="3600">SUM(AJ753:AM753)</f>
        <v>29510</v>
      </c>
      <c r="BP753" s="880"/>
    </row>
    <row r="754" spans="2:68">
      <c r="B754" s="878" t="s">
        <v>465</v>
      </c>
      <c r="D754" s="879">
        <v>3341</v>
      </c>
      <c r="E754" s="879">
        <v>3954</v>
      </c>
      <c r="F754" s="879">
        <v>3398</v>
      </c>
      <c r="G754" s="879">
        <v>3942</v>
      </c>
      <c r="H754" s="879">
        <v>3218</v>
      </c>
      <c r="I754" s="879">
        <v>4079</v>
      </c>
      <c r="J754" s="879">
        <v>3872</v>
      </c>
      <c r="K754" s="879">
        <v>4292</v>
      </c>
      <c r="L754" s="879">
        <v>3812</v>
      </c>
      <c r="M754" s="879">
        <v>4562</v>
      </c>
      <c r="N754" s="879">
        <v>4335</v>
      </c>
      <c r="O754" s="879">
        <v>4760</v>
      </c>
      <c r="P754" s="879">
        <v>4098</v>
      </c>
      <c r="Q754" s="879">
        <v>4588</v>
      </c>
      <c r="R754" s="879">
        <v>4565</v>
      </c>
      <c r="S754" s="879">
        <v>4962</v>
      </c>
      <c r="T754" s="879">
        <v>4337</v>
      </c>
      <c r="U754" s="879">
        <v>4933</v>
      </c>
      <c r="V754" s="879">
        <v>4911</v>
      </c>
      <c r="W754" s="879">
        <v>5417</v>
      </c>
      <c r="X754" s="879">
        <v>4231</v>
      </c>
      <c r="Y754" s="879">
        <v>4947</v>
      </c>
      <c r="Z754" s="879">
        <v>5082</v>
      </c>
      <c r="AA754" s="879">
        <v>5857</v>
      </c>
      <c r="AB754" s="879">
        <v>4547</v>
      </c>
      <c r="AC754" s="879">
        <v>5379</v>
      </c>
      <c r="AD754" s="879">
        <v>5595</v>
      </c>
      <c r="AE754" s="879">
        <v>6304</v>
      </c>
      <c r="AF754" s="879">
        <v>5126</v>
      </c>
      <c r="AG754" s="879">
        <v>5679</v>
      </c>
      <c r="AH754" s="879">
        <v>5750</v>
      </c>
      <c r="AI754" s="879">
        <v>6204</v>
      </c>
      <c r="AJ754" s="879">
        <v>5187</v>
      </c>
      <c r="AK754" s="879">
        <v>6246</v>
      </c>
      <c r="AL754" s="879">
        <v>6207</v>
      </c>
      <c r="AM754" s="879">
        <v>6816</v>
      </c>
      <c r="AN754" s="879"/>
      <c r="AO754" s="879"/>
      <c r="AP754" s="879"/>
      <c r="AQ754" s="879"/>
      <c r="AS754" s="879">
        <v>8548</v>
      </c>
      <c r="AT754" s="879">
        <v>9910</v>
      </c>
      <c r="AU754" s="879">
        <v>11541</v>
      </c>
      <c r="AV754" s="879">
        <v>13260</v>
      </c>
      <c r="AW754" s="879">
        <v>12879</v>
      </c>
      <c r="AX754" s="879">
        <v>13214</v>
      </c>
      <c r="AY754" s="879">
        <v>13940</v>
      </c>
      <c r="AZ754" s="879">
        <v>13857</v>
      </c>
      <c r="BA754" s="879">
        <v>15276</v>
      </c>
      <c r="BB754" s="879">
        <v>15811</v>
      </c>
      <c r="BC754" s="879">
        <v>15713</v>
      </c>
      <c r="BD754" s="879">
        <v>14697</v>
      </c>
      <c r="BE754" s="879">
        <v>15539</v>
      </c>
      <c r="BF754" s="879"/>
      <c r="BG754" s="880">
        <f t="shared" si="3594"/>
        <v>14635</v>
      </c>
      <c r="BH754" s="880">
        <f t="shared" si="3595"/>
        <v>15461</v>
      </c>
      <c r="BI754" s="880">
        <f t="shared" si="3596"/>
        <v>17469</v>
      </c>
      <c r="BJ754" s="880">
        <v>18213</v>
      </c>
      <c r="BK754" s="880">
        <f>SUM(T754:W754)</f>
        <v>19598</v>
      </c>
      <c r="BL754" s="880">
        <f t="shared" si="3597"/>
        <v>20117</v>
      </c>
      <c r="BM754" s="880">
        <f t="shared" si="3598"/>
        <v>21825</v>
      </c>
      <c r="BN754" s="880">
        <f t="shared" si="3599"/>
        <v>22759</v>
      </c>
      <c r="BO754" s="880">
        <f t="shared" si="3600"/>
        <v>24456</v>
      </c>
      <c r="BP754" s="880"/>
    </row>
    <row r="755" spans="2:68">
      <c r="B755" s="878" t="s">
        <v>500</v>
      </c>
      <c r="D755" s="879">
        <v>1084</v>
      </c>
      <c r="E755" s="879">
        <v>1038</v>
      </c>
      <c r="F755" s="879">
        <v>1140</v>
      </c>
      <c r="G755" s="879">
        <v>1301</v>
      </c>
      <c r="H755" s="879">
        <v>1045</v>
      </c>
      <c r="I755" s="879">
        <v>879</v>
      </c>
      <c r="J755" s="879">
        <v>1202</v>
      </c>
      <c r="K755" s="879">
        <v>1355</v>
      </c>
      <c r="L755" s="879">
        <v>1166</v>
      </c>
      <c r="M755" s="879">
        <v>1109</v>
      </c>
      <c r="N755" s="879">
        <v>1208</v>
      </c>
      <c r="O755" s="879">
        <v>1271</v>
      </c>
      <c r="P755" s="879">
        <v>1149</v>
      </c>
      <c r="Q755" s="879">
        <v>1132</v>
      </c>
      <c r="R755" s="879">
        <v>1179</v>
      </c>
      <c r="S755" s="879">
        <v>1425</v>
      </c>
      <c r="T755" s="879">
        <v>1061</v>
      </c>
      <c r="U755" s="879">
        <v>1121</v>
      </c>
      <c r="V755" s="879">
        <v>1273</v>
      </c>
      <c r="W755" s="879">
        <v>1656</v>
      </c>
      <c r="X755" s="879">
        <v>1119</v>
      </c>
      <c r="Y755" s="879">
        <v>1139</v>
      </c>
      <c r="Z755" s="879">
        <v>1327</v>
      </c>
      <c r="AA755" s="879">
        <v>1522</v>
      </c>
      <c r="AB755" s="879">
        <v>1287</v>
      </c>
      <c r="AC755" s="879">
        <v>1384</v>
      </c>
      <c r="AD755" s="879">
        <v>1480</v>
      </c>
      <c r="AE755" s="879">
        <v>1749</v>
      </c>
      <c r="AF755" s="879">
        <v>1398</v>
      </c>
      <c r="AG755" s="879">
        <v>2337</v>
      </c>
      <c r="AH755" s="879">
        <v>1643</v>
      </c>
      <c r="AI755" s="879">
        <v>2197</v>
      </c>
      <c r="AJ755" s="879">
        <v>1474</v>
      </c>
      <c r="AK755" s="879">
        <v>1977</v>
      </c>
      <c r="AL755" s="879">
        <v>1912</v>
      </c>
      <c r="AM755" s="879">
        <v>2246</v>
      </c>
      <c r="AN755" s="879"/>
      <c r="AO755" s="879"/>
      <c r="AP755" s="879"/>
      <c r="AQ755" s="879"/>
      <c r="AS755" s="879">
        <v>4536</v>
      </c>
      <c r="AT755" s="879">
        <v>3758</v>
      </c>
      <c r="AU755" s="879">
        <v>3329</v>
      </c>
      <c r="AV755" s="879">
        <v>5127</v>
      </c>
      <c r="AW755" s="879">
        <v>4030</v>
      </c>
      <c r="AX755" s="879">
        <v>4063</v>
      </c>
      <c r="AY755" s="879">
        <v>4222</v>
      </c>
      <c r="AZ755" s="879">
        <v>4569</v>
      </c>
      <c r="BA755" s="879">
        <v>5013</v>
      </c>
      <c r="BB755" s="879">
        <v>4677</v>
      </c>
      <c r="BC755" s="879">
        <v>4611</v>
      </c>
      <c r="BD755" s="879">
        <v>4563</v>
      </c>
      <c r="BE755" s="879">
        <v>4481</v>
      </c>
      <c r="BF755" s="879"/>
      <c r="BG755" s="880">
        <f t="shared" si="3594"/>
        <v>4563</v>
      </c>
      <c r="BH755" s="880">
        <f t="shared" si="3595"/>
        <v>4481</v>
      </c>
      <c r="BI755" s="880">
        <f t="shared" si="3596"/>
        <v>4754</v>
      </c>
      <c r="BJ755" s="880">
        <v>4885</v>
      </c>
      <c r="BK755" s="880">
        <f>SUM(T755:W755)</f>
        <v>5111</v>
      </c>
      <c r="BL755" s="880">
        <f t="shared" si="3597"/>
        <v>5107</v>
      </c>
      <c r="BM755" s="880">
        <f t="shared" si="3598"/>
        <v>5900</v>
      </c>
      <c r="BN755" s="880">
        <f t="shared" si="3599"/>
        <v>7575</v>
      </c>
      <c r="BO755" s="880">
        <f t="shared" si="3600"/>
        <v>7609</v>
      </c>
      <c r="BP755" s="880"/>
    </row>
    <row r="756" spans="2:68" ht="11.45">
      <c r="B756" s="878" t="s">
        <v>501</v>
      </c>
      <c r="D756" s="905">
        <v>0</v>
      </c>
      <c r="E756" s="905">
        <v>0</v>
      </c>
      <c r="F756" s="905">
        <v>0</v>
      </c>
      <c r="G756" s="905">
        <v>1110</v>
      </c>
      <c r="H756" s="905">
        <v>0</v>
      </c>
      <c r="I756" s="905">
        <v>0</v>
      </c>
      <c r="J756" s="905">
        <v>0</v>
      </c>
      <c r="K756" s="905">
        <v>306</v>
      </c>
      <c r="L756" s="905">
        <v>0</v>
      </c>
      <c r="M756" s="905">
        <v>0</v>
      </c>
      <c r="N756" s="905">
        <v>0</v>
      </c>
      <c r="O756" s="905">
        <v>0</v>
      </c>
      <c r="P756" s="905">
        <v>0</v>
      </c>
      <c r="Q756" s="905">
        <v>0</v>
      </c>
      <c r="R756" s="905">
        <v>0</v>
      </c>
      <c r="S756" s="905">
        <v>0</v>
      </c>
      <c r="T756" s="905">
        <v>0</v>
      </c>
      <c r="U756" s="905">
        <v>0</v>
      </c>
      <c r="V756" s="905">
        <v>0</v>
      </c>
      <c r="W756" s="905">
        <v>0</v>
      </c>
      <c r="X756" s="905">
        <v>0</v>
      </c>
      <c r="Y756" s="905">
        <v>0</v>
      </c>
      <c r="Z756" s="905">
        <v>0</v>
      </c>
      <c r="AA756" s="905">
        <v>0</v>
      </c>
      <c r="AB756" s="905">
        <v>0</v>
      </c>
      <c r="AC756" s="905">
        <v>0</v>
      </c>
      <c r="AD756" s="905">
        <v>0</v>
      </c>
      <c r="AE756" s="905">
        <v>0</v>
      </c>
      <c r="AF756" s="905">
        <v>0</v>
      </c>
      <c r="AG756" s="905">
        <v>0</v>
      </c>
      <c r="AH756" s="905">
        <v>0</v>
      </c>
      <c r="AI756" s="905">
        <v>0</v>
      </c>
      <c r="AJ756" s="905">
        <v>0</v>
      </c>
      <c r="AK756" s="905">
        <v>0</v>
      </c>
      <c r="AL756" s="905">
        <v>0</v>
      </c>
      <c r="AM756" s="905">
        <v>0</v>
      </c>
      <c r="AN756" s="905"/>
      <c r="AO756" s="905"/>
      <c r="AP756" s="905"/>
      <c r="AQ756" s="905"/>
      <c r="AS756" s="905">
        <v>0</v>
      </c>
      <c r="AT756" s="905">
        <v>0</v>
      </c>
      <c r="AU756" s="905">
        <v>0</v>
      </c>
      <c r="AV756" s="905">
        <v>0</v>
      </c>
      <c r="AW756" s="905">
        <v>0</v>
      </c>
      <c r="AX756" s="905">
        <v>0</v>
      </c>
      <c r="AY756" s="905">
        <v>0</v>
      </c>
      <c r="AZ756" s="905">
        <v>6193</v>
      </c>
      <c r="BA756" s="905">
        <v>0</v>
      </c>
      <c r="BB756" s="30">
        <v>127</v>
      </c>
      <c r="BC756" s="30">
        <v>10011</v>
      </c>
      <c r="BD756" s="30">
        <v>1110</v>
      </c>
      <c r="BE756" s="30">
        <v>306</v>
      </c>
      <c r="BF756" s="30"/>
      <c r="BG756" s="906">
        <f t="shared" si="3594"/>
        <v>1110</v>
      </c>
      <c r="BH756" s="906">
        <f t="shared" si="3595"/>
        <v>306</v>
      </c>
      <c r="BI756" s="906">
        <f t="shared" si="3596"/>
        <v>0</v>
      </c>
      <c r="BJ756" s="906">
        <v>0</v>
      </c>
      <c r="BK756" s="906">
        <f>SUM(T756:W756)</f>
        <v>0</v>
      </c>
      <c r="BL756" s="906">
        <f t="shared" si="3597"/>
        <v>0</v>
      </c>
      <c r="BM756" s="906">
        <f t="shared" si="3598"/>
        <v>0</v>
      </c>
      <c r="BN756" s="906">
        <f t="shared" si="3599"/>
        <v>0</v>
      </c>
      <c r="BO756" s="906">
        <f t="shared" si="3600"/>
        <v>0</v>
      </c>
      <c r="BP756" s="906"/>
    </row>
    <row r="757" spans="2:68">
      <c r="B757" s="916" t="s">
        <v>502</v>
      </c>
      <c r="D757" s="8">
        <f t="shared" ref="D757:X757" si="3601">+D746-SUM(D753:D756)</f>
        <v>6316</v>
      </c>
      <c r="E757" s="8">
        <f t="shared" si="3601"/>
        <v>7489</v>
      </c>
      <c r="F757" s="8">
        <f t="shared" si="3601"/>
        <v>6277</v>
      </c>
      <c r="G757" s="8">
        <f t="shared" si="3601"/>
        <v>5996</v>
      </c>
      <c r="H757" s="8">
        <f t="shared" si="3601"/>
        <v>6715</v>
      </c>
      <c r="I757" s="8">
        <f t="shared" si="3601"/>
        <v>7905</v>
      </c>
      <c r="J757" s="8">
        <f t="shared" si="3601"/>
        <v>6723</v>
      </c>
      <c r="K757" s="8">
        <f t="shared" si="3601"/>
        <v>7682</v>
      </c>
      <c r="L757" s="8">
        <f t="shared" si="3601"/>
        <v>7708</v>
      </c>
      <c r="M757" s="8">
        <f t="shared" si="3601"/>
        <v>8679</v>
      </c>
      <c r="N757" s="8">
        <f t="shared" si="3601"/>
        <v>8292</v>
      </c>
      <c r="O757" s="8">
        <f t="shared" si="3601"/>
        <v>10379</v>
      </c>
      <c r="P757" s="8">
        <f t="shared" si="3601"/>
        <v>9955</v>
      </c>
      <c r="Q757" s="8">
        <f t="shared" si="3601"/>
        <v>10258</v>
      </c>
      <c r="R757" s="8">
        <f t="shared" si="3601"/>
        <v>10341</v>
      </c>
      <c r="S757" s="8">
        <f t="shared" si="3601"/>
        <v>12405</v>
      </c>
      <c r="T757" s="8">
        <f t="shared" si="3601"/>
        <v>12686</v>
      </c>
      <c r="U757" s="8">
        <f t="shared" si="3601"/>
        <v>13891</v>
      </c>
      <c r="V757" s="8">
        <f t="shared" si="3601"/>
        <v>12975</v>
      </c>
      <c r="W757" s="8">
        <f t="shared" si="3601"/>
        <v>13407</v>
      </c>
      <c r="X757" s="8">
        <f t="shared" si="3601"/>
        <v>15876</v>
      </c>
      <c r="Y757" s="8">
        <f t="shared" ref="Y757:AF757" si="3602">+Y48</f>
        <v>17897</v>
      </c>
      <c r="Z757" s="8">
        <f t="shared" si="3602"/>
        <v>17048</v>
      </c>
      <c r="AA757" s="8">
        <f t="shared" si="3602"/>
        <v>19095</v>
      </c>
      <c r="AB757" s="8">
        <f t="shared" si="3602"/>
        <v>20238</v>
      </c>
      <c r="AC757" s="8">
        <f t="shared" si="3602"/>
        <v>22247</v>
      </c>
      <c r="AD757" s="8">
        <f t="shared" si="3602"/>
        <v>20364</v>
      </c>
      <c r="AE757" s="8">
        <f t="shared" si="3602"/>
        <v>20534</v>
      </c>
      <c r="AF757" s="8">
        <f t="shared" si="3602"/>
        <v>21518</v>
      </c>
      <c r="AG757" s="8">
        <f>+AG746-AG753-AG754-AG755-AG756</f>
        <v>20399</v>
      </c>
      <c r="AH757" s="8">
        <f>+AH48</f>
        <v>22352</v>
      </c>
      <c r="AI757" s="8">
        <f>+AI48</f>
        <v>24254</v>
      </c>
      <c r="AJ757" s="8">
        <f>+AJ48</f>
        <v>26895</v>
      </c>
      <c r="AK757" s="8">
        <f>+AK746-AK753-AK754-AK755-AK756</f>
        <v>27032</v>
      </c>
      <c r="AL757" s="8">
        <f>+AL746-AL753-AL754-AL755-AL756</f>
        <v>27581</v>
      </c>
      <c r="AM757" s="8">
        <f>+AM746-AM753-AM754-AM755-AM756</f>
        <v>27925</v>
      </c>
      <c r="AN757" s="8">
        <f>+AN48</f>
        <v>31792.071747707938</v>
      </c>
      <c r="AO757" s="8">
        <f>+AO48</f>
        <v>33184.293051057095</v>
      </c>
      <c r="AP757" s="8">
        <f>+AP48</f>
        <v>33877.239026210489</v>
      </c>
      <c r="AQ757" s="8">
        <f>+AQ48</f>
        <v>34436.744665397717</v>
      </c>
      <c r="AS757" s="29">
        <f t="shared" ref="AS757:BE757" si="3603">+AS746-SUM(AS753:AS756)</f>
        <v>14576</v>
      </c>
      <c r="AT757" s="29">
        <f t="shared" si="3603"/>
        <v>16380</v>
      </c>
      <c r="AU757" s="11">
        <f t="shared" si="3603"/>
        <v>18438</v>
      </c>
      <c r="AV757" s="11">
        <f t="shared" si="3603"/>
        <v>22271</v>
      </c>
      <c r="AW757" s="11">
        <f t="shared" si="3603"/>
        <v>20363</v>
      </c>
      <c r="AX757" s="11">
        <f t="shared" si="3603"/>
        <v>24098</v>
      </c>
      <c r="AY757" s="11">
        <f t="shared" si="3603"/>
        <v>27161</v>
      </c>
      <c r="AZ757" s="11">
        <f t="shared" si="3603"/>
        <v>21763</v>
      </c>
      <c r="BA757" s="11">
        <f t="shared" si="3603"/>
        <v>26764</v>
      </c>
      <c r="BB757" s="11">
        <f t="shared" si="3603"/>
        <v>27759</v>
      </c>
      <c r="BC757" s="11">
        <f t="shared" si="3603"/>
        <v>18161</v>
      </c>
      <c r="BD757" s="11">
        <f t="shared" si="3603"/>
        <v>20182</v>
      </c>
      <c r="BE757" s="11">
        <f t="shared" si="3603"/>
        <v>22326</v>
      </c>
      <c r="BF757" s="11"/>
      <c r="BG757" s="11">
        <f t="shared" si="3594"/>
        <v>26078</v>
      </c>
      <c r="BH757" s="11">
        <f t="shared" si="3595"/>
        <v>29025</v>
      </c>
      <c r="BI757" s="11">
        <f t="shared" si="3596"/>
        <v>35058</v>
      </c>
      <c r="BJ757" s="11">
        <f>BJ746-SUM(BJ753:BJ756)</f>
        <v>42959</v>
      </c>
      <c r="BK757" s="11">
        <f>BK746-SUM(BK753:BK756)</f>
        <v>52959</v>
      </c>
      <c r="BL757" s="11">
        <f>BL746-SUM(BL753:BL756)</f>
        <v>69916</v>
      </c>
      <c r="BM757" s="11">
        <f>BM746-SUM(BM753:BM756)</f>
        <v>83383</v>
      </c>
      <c r="BN757" s="11">
        <f>SUM(AF757:AI757)</f>
        <v>88523</v>
      </c>
      <c r="BO757" s="11">
        <f t="shared" si="3600"/>
        <v>109433</v>
      </c>
      <c r="BP757" s="11">
        <f t="shared" ref="BP757:BP761" si="3604">+SUM(AN757:AQ757)</f>
        <v>133290.34849037323</v>
      </c>
    </row>
    <row r="758" spans="2:68" ht="11.45">
      <c r="B758" s="878" t="s">
        <v>503</v>
      </c>
      <c r="D758" s="905">
        <v>-295</v>
      </c>
      <c r="E758" s="905">
        <v>-176</v>
      </c>
      <c r="F758" s="905">
        <v>-212</v>
      </c>
      <c r="G758" s="905">
        <v>244</v>
      </c>
      <c r="H758" s="905">
        <v>112</v>
      </c>
      <c r="I758" s="905">
        <v>117</v>
      </c>
      <c r="J758" s="905">
        <v>371</v>
      </c>
      <c r="K758" s="905">
        <v>276</v>
      </c>
      <c r="L758" s="905">
        <v>276</v>
      </c>
      <c r="M758" s="905">
        <v>490</v>
      </c>
      <c r="N758" s="905">
        <v>349</v>
      </c>
      <c r="O758" s="905">
        <v>301</v>
      </c>
      <c r="P758" s="905">
        <v>266</v>
      </c>
      <c r="Q758" s="905">
        <v>127</v>
      </c>
      <c r="R758" s="905">
        <v>145</v>
      </c>
      <c r="S758" s="905">
        <f>+BJ758-SUM(P758:R758)</f>
        <v>191</v>
      </c>
      <c r="T758" s="905">
        <v>0</v>
      </c>
      <c r="U758" s="905">
        <v>194</v>
      </c>
      <c r="V758" s="905">
        <v>-132</v>
      </c>
      <c r="W758" s="905">
        <v>15</v>
      </c>
      <c r="X758" s="905">
        <v>248</v>
      </c>
      <c r="Y758" s="905">
        <v>440</v>
      </c>
      <c r="Z758" s="905">
        <v>188</v>
      </c>
      <c r="AA758" s="905">
        <v>310</v>
      </c>
      <c r="AB758" s="905">
        <v>286</v>
      </c>
      <c r="AC758" s="905">
        <v>268</v>
      </c>
      <c r="AD758" s="905">
        <v>-174</v>
      </c>
      <c r="AE758" s="905">
        <v>-47</v>
      </c>
      <c r="AF758" s="905">
        <v>54</v>
      </c>
      <c r="AG758" s="905">
        <v>-60</v>
      </c>
      <c r="AH758" s="905">
        <v>321</v>
      </c>
      <c r="AI758" s="905">
        <v>473</v>
      </c>
      <c r="AJ758" s="905">
        <v>389</v>
      </c>
      <c r="AK758" s="905">
        <v>-506</v>
      </c>
      <c r="AL758" s="905">
        <v>-854</v>
      </c>
      <c r="AM758" s="905">
        <v>-675</v>
      </c>
      <c r="AN758" s="906">
        <f>+AN68</f>
        <v>-650</v>
      </c>
      <c r="AO758" s="906">
        <f>+AO68</f>
        <v>0</v>
      </c>
      <c r="AP758" s="906">
        <f>+AP68</f>
        <v>0</v>
      </c>
      <c r="AQ758" s="906">
        <f>+AQ68</f>
        <v>0</v>
      </c>
      <c r="AS758" s="905">
        <v>2052</v>
      </c>
      <c r="AT758" s="905">
        <v>1882</v>
      </c>
      <c r="AU758" s="905">
        <v>1663</v>
      </c>
      <c r="AV758" s="905">
        <v>1543</v>
      </c>
      <c r="AW758" s="905">
        <v>-542</v>
      </c>
      <c r="AX758" s="905">
        <v>915</v>
      </c>
      <c r="AY758" s="905">
        <v>910</v>
      </c>
      <c r="AZ758" s="905">
        <v>504</v>
      </c>
      <c r="BA758" s="905">
        <v>288</v>
      </c>
      <c r="BB758" s="30">
        <v>61</v>
      </c>
      <c r="BC758" s="30">
        <v>346</v>
      </c>
      <c r="BD758" s="30">
        <v>431</v>
      </c>
      <c r="BE758" s="30">
        <v>-823</v>
      </c>
      <c r="BF758" s="30"/>
      <c r="BG758" s="906">
        <f t="shared" si="3594"/>
        <v>-439</v>
      </c>
      <c r="BH758" s="906">
        <f t="shared" si="3595"/>
        <v>876</v>
      </c>
      <c r="BI758" s="906">
        <f t="shared" si="3596"/>
        <v>1416</v>
      </c>
      <c r="BJ758" s="906">
        <v>729</v>
      </c>
      <c r="BK758" s="906">
        <f>SUM(T758:W758)</f>
        <v>77</v>
      </c>
      <c r="BL758" s="906">
        <f>SUM(X758:AA758)</f>
        <v>1186</v>
      </c>
      <c r="BM758" s="906">
        <f>SUM(AB758:AE758)</f>
        <v>333</v>
      </c>
      <c r="BN758" s="906">
        <f>SUM(AF758:AI758)</f>
        <v>788</v>
      </c>
      <c r="BO758" s="906">
        <f t="shared" si="3600"/>
        <v>-1646</v>
      </c>
      <c r="BP758" s="906">
        <f t="shared" si="3604"/>
        <v>-650</v>
      </c>
    </row>
    <row r="759" spans="2:68">
      <c r="B759" s="916" t="s">
        <v>504</v>
      </c>
      <c r="D759" s="8">
        <f t="shared" ref="D759:Q759" si="3605">+SUM(D757:D758)</f>
        <v>6021</v>
      </c>
      <c r="E759" s="8">
        <f t="shared" si="3605"/>
        <v>7313</v>
      </c>
      <c r="F759" s="8">
        <f t="shared" si="3605"/>
        <v>6065</v>
      </c>
      <c r="G759" s="8">
        <f t="shared" si="3605"/>
        <v>6240</v>
      </c>
      <c r="H759" s="8">
        <f t="shared" si="3605"/>
        <v>6827</v>
      </c>
      <c r="I759" s="8">
        <f t="shared" si="3605"/>
        <v>8022</v>
      </c>
      <c r="J759" s="8">
        <f t="shared" si="3605"/>
        <v>7094</v>
      </c>
      <c r="K759" s="8">
        <f t="shared" si="3605"/>
        <v>7958</v>
      </c>
      <c r="L759" s="8">
        <f t="shared" si="3605"/>
        <v>7984</v>
      </c>
      <c r="M759" s="8">
        <f t="shared" si="3605"/>
        <v>9169</v>
      </c>
      <c r="N759" s="8">
        <f t="shared" si="3605"/>
        <v>8641</v>
      </c>
      <c r="O759" s="8">
        <f t="shared" si="3605"/>
        <v>10680</v>
      </c>
      <c r="P759" s="8">
        <f t="shared" si="3605"/>
        <v>10221</v>
      </c>
      <c r="Q759" s="8">
        <f t="shared" si="3605"/>
        <v>10385</v>
      </c>
      <c r="R759" s="8">
        <f t="shared" ref="R759:T759" si="3606">+SUM(R757:R758)</f>
        <v>10486</v>
      </c>
      <c r="S759" s="8">
        <f t="shared" si="3606"/>
        <v>12596</v>
      </c>
      <c r="T759" s="8">
        <f t="shared" si="3606"/>
        <v>12686</v>
      </c>
      <c r="U759" s="8">
        <f t="shared" ref="U759" si="3607">+SUM(U757:U758)</f>
        <v>14085</v>
      </c>
      <c r="V759" s="8">
        <f t="shared" ref="V759:AA759" si="3608">+SUM(V757:V758)</f>
        <v>12843</v>
      </c>
      <c r="W759" s="8">
        <f t="shared" si="3608"/>
        <v>13422</v>
      </c>
      <c r="X759" s="8">
        <f t="shared" si="3608"/>
        <v>16124</v>
      </c>
      <c r="Y759" s="8">
        <f t="shared" si="3608"/>
        <v>18337</v>
      </c>
      <c r="Z759" s="8">
        <f t="shared" si="3608"/>
        <v>17236</v>
      </c>
      <c r="AA759" s="8">
        <f t="shared" si="3608"/>
        <v>19405</v>
      </c>
      <c r="AB759" s="8">
        <f t="shared" ref="AB759:AC759" si="3609">+SUM(AB757:AB758)</f>
        <v>20524</v>
      </c>
      <c r="AC759" s="8">
        <f t="shared" si="3609"/>
        <v>22515</v>
      </c>
      <c r="AD759" s="8">
        <f t="shared" ref="AD759:AE759" si="3610">+SUM(AD757:AD758)</f>
        <v>20190</v>
      </c>
      <c r="AE759" s="8">
        <f t="shared" si="3610"/>
        <v>20487</v>
      </c>
      <c r="AF759" s="8">
        <f t="shared" ref="AF759:AI759" si="3611">+SUM(AF757:AF758)</f>
        <v>21572</v>
      </c>
      <c r="AG759" s="8">
        <f t="shared" si="3611"/>
        <v>20339</v>
      </c>
      <c r="AH759" s="8">
        <f t="shared" si="3611"/>
        <v>22673</v>
      </c>
      <c r="AI759" s="8">
        <f t="shared" si="3611"/>
        <v>24727</v>
      </c>
      <c r="AJ759" s="8">
        <f t="shared" ref="AJ759:AM759" si="3612">+SUM(AJ757:AJ758)</f>
        <v>27284</v>
      </c>
      <c r="AK759" s="8">
        <f t="shared" si="3612"/>
        <v>26526</v>
      </c>
      <c r="AL759" s="8">
        <f t="shared" si="3612"/>
        <v>26727</v>
      </c>
      <c r="AM759" s="8">
        <f t="shared" si="3612"/>
        <v>27250</v>
      </c>
      <c r="AN759" s="8">
        <f t="shared" ref="AN759:AQ759" si="3613">+SUM(AN757:AN758)</f>
        <v>31142.071747707938</v>
      </c>
      <c r="AO759" s="8">
        <f t="shared" si="3613"/>
        <v>33184.293051057095</v>
      </c>
      <c r="AP759" s="8">
        <f t="shared" si="3613"/>
        <v>33877.239026210489</v>
      </c>
      <c r="AQ759" s="8">
        <f t="shared" si="3613"/>
        <v>34436.744665397717</v>
      </c>
      <c r="AS759" s="29">
        <f t="shared" ref="AS759:BE759" si="3614">+SUM(AS757:AS758)</f>
        <v>16628</v>
      </c>
      <c r="AT759" s="29">
        <f t="shared" si="3614"/>
        <v>18262</v>
      </c>
      <c r="AU759" s="11">
        <f t="shared" si="3614"/>
        <v>20101</v>
      </c>
      <c r="AV759" s="11">
        <f t="shared" si="3614"/>
        <v>23814</v>
      </c>
      <c r="AW759" s="11">
        <f t="shared" si="3614"/>
        <v>19821</v>
      </c>
      <c r="AX759" s="11">
        <f t="shared" si="3614"/>
        <v>25013</v>
      </c>
      <c r="AY759" s="11">
        <f t="shared" si="3614"/>
        <v>28071</v>
      </c>
      <c r="AZ759" s="11">
        <f t="shared" si="3614"/>
        <v>22267</v>
      </c>
      <c r="BA759" s="11">
        <f t="shared" si="3614"/>
        <v>27052</v>
      </c>
      <c r="BB759" s="11">
        <f t="shared" si="3614"/>
        <v>27820</v>
      </c>
      <c r="BC759" s="11">
        <f t="shared" si="3614"/>
        <v>18507</v>
      </c>
      <c r="BD759" s="11">
        <f t="shared" si="3614"/>
        <v>20613</v>
      </c>
      <c r="BE759" s="11">
        <f t="shared" si="3614"/>
        <v>21503</v>
      </c>
      <c r="BF759" s="11"/>
      <c r="BG759" s="11">
        <f t="shared" si="3594"/>
        <v>25639</v>
      </c>
      <c r="BH759" s="11">
        <f t="shared" si="3595"/>
        <v>29901</v>
      </c>
      <c r="BI759" s="11">
        <f t="shared" si="3596"/>
        <v>36474</v>
      </c>
      <c r="BJ759" s="11">
        <f>+BJ757+BJ758</f>
        <v>43688</v>
      </c>
      <c r="BK759" s="11">
        <f t="shared" ref="BK759:BN759" si="3615">+BK757+BK758</f>
        <v>53036</v>
      </c>
      <c r="BL759" s="11">
        <f t="shared" si="3615"/>
        <v>71102</v>
      </c>
      <c r="BM759" s="11">
        <f t="shared" si="3615"/>
        <v>83716</v>
      </c>
      <c r="BN759" s="11">
        <f t="shared" si="3615"/>
        <v>89311</v>
      </c>
      <c r="BO759" s="11">
        <f t="shared" si="3600"/>
        <v>107787</v>
      </c>
      <c r="BP759" s="11">
        <f t="shared" si="3604"/>
        <v>132640.34849037323</v>
      </c>
    </row>
    <row r="760" spans="2:68" ht="11.45">
      <c r="B760" s="878" t="s">
        <v>505</v>
      </c>
      <c r="D760" s="905">
        <v>952</v>
      </c>
      <c r="E760" s="905">
        <v>1375</v>
      </c>
      <c r="F760" s="905">
        <v>1760</v>
      </c>
      <c r="G760" s="905">
        <v>1013</v>
      </c>
      <c r="H760" s="905">
        <v>1160</v>
      </c>
      <c r="I760" s="905">
        <v>1755</v>
      </c>
      <c r="J760" s="905">
        <v>1608</v>
      </c>
      <c r="K760" s="905">
        <v>-111</v>
      </c>
      <c r="L760" s="905">
        <v>1408</v>
      </c>
      <c r="M760" s="905">
        <v>15471</v>
      </c>
      <c r="N760" s="905">
        <v>1217</v>
      </c>
      <c r="O760" s="905">
        <v>1807</v>
      </c>
      <c r="P760" s="905">
        <v>1397</v>
      </c>
      <c r="Q760" s="905">
        <v>1965</v>
      </c>
      <c r="R760" s="905">
        <v>1677</v>
      </c>
      <c r="S760" s="905">
        <f>+BJ760-SUM(P760:R760)</f>
        <v>-591</v>
      </c>
      <c r="T760" s="905">
        <v>2008</v>
      </c>
      <c r="U760" s="905">
        <v>2436</v>
      </c>
      <c r="V760" s="905">
        <v>2091</v>
      </c>
      <c r="W760" s="905">
        <v>2220</v>
      </c>
      <c r="X760" s="905">
        <v>2231</v>
      </c>
      <c r="Y760" s="905">
        <v>2874</v>
      </c>
      <c r="Z760" s="905">
        <v>1779</v>
      </c>
      <c r="AA760" s="905">
        <v>2947</v>
      </c>
      <c r="AB760" s="905">
        <v>19</v>
      </c>
      <c r="AC760" s="905">
        <v>3750</v>
      </c>
      <c r="AD760" s="905">
        <v>3462</v>
      </c>
      <c r="AE760" s="905">
        <v>3747</v>
      </c>
      <c r="AF760" s="905">
        <v>4016</v>
      </c>
      <c r="AG760" s="905">
        <v>3914</v>
      </c>
      <c r="AH760" s="905">
        <v>4374</v>
      </c>
      <c r="AI760" s="905">
        <v>4646</v>
      </c>
      <c r="AJ760" s="905">
        <v>4993</v>
      </c>
      <c r="AK760" s="905">
        <v>4656</v>
      </c>
      <c r="AL760" s="905">
        <v>4788</v>
      </c>
      <c r="AM760" s="905">
        <v>5214</v>
      </c>
      <c r="AN760" s="906">
        <f>+AN70*-1</f>
        <v>6419.7675670186663</v>
      </c>
      <c r="AO760" s="906">
        <f>+AO70*-1</f>
        <v>6848.6340407219895</v>
      </c>
      <c r="AP760" s="906">
        <f>+AP70*-1</f>
        <v>6994.1526955042027</v>
      </c>
      <c r="AQ760" s="906">
        <f>+AQ70*-1</f>
        <v>7111.6488797335205</v>
      </c>
      <c r="AS760" s="905">
        <v>4374</v>
      </c>
      <c r="AT760" s="905">
        <v>5663</v>
      </c>
      <c r="AU760" s="905">
        <v>6036</v>
      </c>
      <c r="AV760" s="905">
        <v>6133</v>
      </c>
      <c r="AW760" s="905">
        <v>5252</v>
      </c>
      <c r="AX760" s="905">
        <v>6253</v>
      </c>
      <c r="AY760" s="905">
        <v>4921</v>
      </c>
      <c r="AZ760" s="905">
        <v>5289</v>
      </c>
      <c r="BA760" s="905">
        <v>5189</v>
      </c>
      <c r="BB760" s="30">
        <v>5746</v>
      </c>
      <c r="BC760" s="30">
        <v>6314</v>
      </c>
      <c r="BD760" s="30">
        <v>2953</v>
      </c>
      <c r="BE760" s="30">
        <v>1945</v>
      </c>
      <c r="BF760" s="30"/>
      <c r="BG760" s="906">
        <f t="shared" si="3594"/>
        <v>5100</v>
      </c>
      <c r="BH760" s="906">
        <f t="shared" si="3595"/>
        <v>4412</v>
      </c>
      <c r="BI760" s="906">
        <f t="shared" si="3596"/>
        <v>19903</v>
      </c>
      <c r="BJ760" s="906">
        <v>4448</v>
      </c>
      <c r="BK760" s="906">
        <f>SUM(T760:W760)</f>
        <v>8755</v>
      </c>
      <c r="BL760" s="906">
        <f>SUM(X760:AA760)</f>
        <v>9831</v>
      </c>
      <c r="BM760" s="906">
        <f>SUM(AB760:AE760)</f>
        <v>10978</v>
      </c>
      <c r="BN760" s="906">
        <f t="shared" ref="BN760" si="3616">SUM(AF760:AI760)</f>
        <v>16950</v>
      </c>
      <c r="BO760" s="906">
        <f t="shared" si="3600"/>
        <v>19651</v>
      </c>
      <c r="BP760" s="906">
        <f t="shared" si="3604"/>
        <v>27374.203182978381</v>
      </c>
    </row>
    <row r="761" spans="2:68">
      <c r="B761" s="916" t="s">
        <v>140</v>
      </c>
      <c r="D761" s="8">
        <f>+D759-D760</f>
        <v>5069</v>
      </c>
      <c r="E761" s="8">
        <f t="shared" ref="E761:W761" si="3617">+E759-E760</f>
        <v>5938</v>
      </c>
      <c r="F761" s="8">
        <f t="shared" si="3617"/>
        <v>4305</v>
      </c>
      <c r="G761" s="8">
        <f t="shared" si="3617"/>
        <v>5227</v>
      </c>
      <c r="H761" s="8">
        <f t="shared" si="3617"/>
        <v>5667</v>
      </c>
      <c r="I761" s="8">
        <f t="shared" si="3617"/>
        <v>6267</v>
      </c>
      <c r="J761" s="8">
        <f t="shared" si="3617"/>
        <v>5486</v>
      </c>
      <c r="K761" s="8">
        <f t="shared" si="3617"/>
        <v>8069</v>
      </c>
      <c r="L761" s="8">
        <f t="shared" si="3617"/>
        <v>6576</v>
      </c>
      <c r="M761" s="8">
        <f t="shared" si="3617"/>
        <v>-6302</v>
      </c>
      <c r="N761" s="8">
        <f t="shared" si="3617"/>
        <v>7424</v>
      </c>
      <c r="O761" s="8">
        <f t="shared" si="3617"/>
        <v>8873</v>
      </c>
      <c r="P761" s="8">
        <f t="shared" si="3617"/>
        <v>8824</v>
      </c>
      <c r="Q761" s="8">
        <f t="shared" si="3617"/>
        <v>8420</v>
      </c>
      <c r="R761" s="8">
        <f t="shared" si="3617"/>
        <v>8809</v>
      </c>
      <c r="S761" s="8">
        <f t="shared" si="3617"/>
        <v>13187</v>
      </c>
      <c r="T761" s="8">
        <f t="shared" si="3617"/>
        <v>10678</v>
      </c>
      <c r="U761" s="8">
        <f t="shared" si="3617"/>
        <v>11649</v>
      </c>
      <c r="V761" s="8">
        <f t="shared" si="3617"/>
        <v>10752</v>
      </c>
      <c r="W761" s="11">
        <f t="shared" si="3617"/>
        <v>11202</v>
      </c>
      <c r="X761" s="11">
        <f t="shared" ref="X761:AA761" si="3618">+X759-X760</f>
        <v>13893</v>
      </c>
      <c r="Y761" s="11">
        <f t="shared" si="3618"/>
        <v>15463</v>
      </c>
      <c r="Z761" s="11">
        <f t="shared" si="3618"/>
        <v>15457</v>
      </c>
      <c r="AA761" s="11">
        <f t="shared" si="3618"/>
        <v>16458</v>
      </c>
      <c r="AB761" s="11">
        <f t="shared" ref="AB761:AC761" si="3619">+AB759-AB760</f>
        <v>20505</v>
      </c>
      <c r="AC761" s="11">
        <f t="shared" si="3619"/>
        <v>18765</v>
      </c>
      <c r="AD761" s="11">
        <f t="shared" ref="AD761:AE761" si="3620">+AD759-AD760</f>
        <v>16728</v>
      </c>
      <c r="AE761" s="11">
        <f t="shared" si="3620"/>
        <v>16740</v>
      </c>
      <c r="AF761" s="11">
        <f t="shared" ref="AF761:AI761" si="3621">+AF759-AF760</f>
        <v>17556</v>
      </c>
      <c r="AG761" s="11">
        <f t="shared" si="3621"/>
        <v>16425</v>
      </c>
      <c r="AH761" s="11">
        <f t="shared" si="3621"/>
        <v>18299</v>
      </c>
      <c r="AI761" s="11">
        <f t="shared" si="3621"/>
        <v>20081</v>
      </c>
      <c r="AJ761" s="11">
        <f t="shared" ref="AJ761:AM761" si="3622">+AJ759-AJ760</f>
        <v>22291</v>
      </c>
      <c r="AK761" s="11">
        <f t="shared" si="3622"/>
        <v>21870</v>
      </c>
      <c r="AL761" s="11">
        <f t="shared" si="3622"/>
        <v>21939</v>
      </c>
      <c r="AM761" s="11">
        <f t="shared" si="3622"/>
        <v>22036</v>
      </c>
      <c r="AN761" s="11">
        <f t="shared" ref="AN761:AQ761" si="3623">+AN759-AN760</f>
        <v>24722.304180689272</v>
      </c>
      <c r="AO761" s="11">
        <f t="shared" si="3623"/>
        <v>26335.659010335105</v>
      </c>
      <c r="AP761" s="11">
        <f t="shared" si="3623"/>
        <v>26883.086330706286</v>
      </c>
      <c r="AQ761" s="11">
        <f t="shared" si="3623"/>
        <v>27325.095785664198</v>
      </c>
      <c r="AS761" s="29">
        <f t="shared" ref="AS761:BE761" si="3624">+AS759-AS760</f>
        <v>12254</v>
      </c>
      <c r="AT761" s="29">
        <f t="shared" si="3624"/>
        <v>12599</v>
      </c>
      <c r="AU761" s="11">
        <f t="shared" si="3624"/>
        <v>14065</v>
      </c>
      <c r="AV761" s="11">
        <f t="shared" si="3624"/>
        <v>17681</v>
      </c>
      <c r="AW761" s="11">
        <f t="shared" si="3624"/>
        <v>14569</v>
      </c>
      <c r="AX761" s="11">
        <f t="shared" si="3624"/>
        <v>18760</v>
      </c>
      <c r="AY761" s="11">
        <f t="shared" si="3624"/>
        <v>23150</v>
      </c>
      <c r="AZ761" s="11">
        <f t="shared" si="3624"/>
        <v>16978</v>
      </c>
      <c r="BA761" s="11">
        <f t="shared" si="3624"/>
        <v>21863</v>
      </c>
      <c r="BB761" s="11">
        <f t="shared" si="3624"/>
        <v>22074</v>
      </c>
      <c r="BC761" s="11">
        <f t="shared" si="3624"/>
        <v>12193</v>
      </c>
      <c r="BD761" s="11">
        <f t="shared" si="3624"/>
        <v>17660</v>
      </c>
      <c r="BE761" s="11">
        <f t="shared" si="3624"/>
        <v>19558</v>
      </c>
      <c r="BF761" s="11"/>
      <c r="BG761" s="11">
        <f t="shared" si="3594"/>
        <v>20539</v>
      </c>
      <c r="BH761" s="11">
        <f t="shared" si="3595"/>
        <v>25489</v>
      </c>
      <c r="BI761" s="11">
        <f t="shared" si="3596"/>
        <v>16571</v>
      </c>
      <c r="BJ761" s="11">
        <f>+BJ759-BJ760</f>
        <v>39240</v>
      </c>
      <c r="BK761" s="11">
        <f t="shared" ref="BK761:BN761" si="3625">+BK759-BK760</f>
        <v>44281</v>
      </c>
      <c r="BL761" s="11">
        <f t="shared" si="3625"/>
        <v>61271</v>
      </c>
      <c r="BM761" s="11">
        <f t="shared" si="3625"/>
        <v>72738</v>
      </c>
      <c r="BN761" s="11">
        <f t="shared" si="3625"/>
        <v>72361</v>
      </c>
      <c r="BO761" s="11">
        <f t="shared" si="3600"/>
        <v>88136</v>
      </c>
      <c r="BP761" s="11">
        <f t="shared" si="3604"/>
        <v>105266.14530739485</v>
      </c>
    </row>
    <row r="762" spans="2:68">
      <c r="B762" s="916"/>
      <c r="D762" s="8"/>
      <c r="E762" s="8"/>
      <c r="F762" s="8"/>
      <c r="G762" s="8"/>
      <c r="H762" s="8"/>
      <c r="I762" s="8"/>
      <c r="J762" s="8"/>
      <c r="K762" s="8"/>
      <c r="L762" s="8"/>
      <c r="M762" s="8"/>
      <c r="N762" s="8"/>
      <c r="O762" s="8"/>
      <c r="P762" s="8"/>
      <c r="Q762" s="8"/>
      <c r="R762" s="8"/>
      <c r="S762" s="8"/>
      <c r="T762" s="8"/>
      <c r="U762" s="8"/>
      <c r="V762" s="8"/>
      <c r="W762" s="11"/>
      <c r="X762" s="11"/>
      <c r="Y762" s="11"/>
      <c r="Z762" s="11"/>
      <c r="AA762" s="11"/>
      <c r="AB762" s="11"/>
      <c r="AC762" s="11"/>
      <c r="AD762" s="11"/>
      <c r="AE762" s="11"/>
      <c r="AF762" s="11"/>
      <c r="AG762" s="11"/>
      <c r="AH762" s="11"/>
      <c r="AI762" s="11"/>
      <c r="AJ762" s="11"/>
      <c r="AK762" s="11"/>
      <c r="AL762" s="11"/>
      <c r="AM762" s="11"/>
      <c r="AN762" s="11"/>
      <c r="AO762" s="11"/>
      <c r="AP762" s="11"/>
      <c r="AQ762" s="11"/>
      <c r="AS762" s="29"/>
      <c r="AT762" s="29"/>
      <c r="AU762" s="29"/>
      <c r="AV762" s="29"/>
      <c r="AW762" s="29"/>
      <c r="AX762" s="29"/>
      <c r="AY762" s="29"/>
      <c r="AZ762" s="29"/>
      <c r="BA762" s="29"/>
      <c r="BB762" s="11"/>
      <c r="BC762" s="11"/>
      <c r="BD762" s="11"/>
      <c r="BE762" s="11"/>
      <c r="BF762" s="11"/>
      <c r="BG762" s="11"/>
      <c r="BH762" s="11"/>
      <c r="BI762" s="11"/>
      <c r="BJ762" s="11"/>
      <c r="BK762" s="11"/>
      <c r="BL762" s="11"/>
      <c r="BM762" s="11"/>
      <c r="BN762" s="11"/>
      <c r="BO762" s="11"/>
      <c r="BP762" s="11"/>
    </row>
    <row r="763" spans="2:68">
      <c r="B763" s="944" t="s">
        <v>506</v>
      </c>
      <c r="W763" s="100"/>
      <c r="X763" s="100"/>
      <c r="Y763" s="100"/>
      <c r="Z763" s="100"/>
      <c r="AA763" s="100"/>
      <c r="AB763" s="100"/>
      <c r="AC763" s="100"/>
      <c r="AD763" s="100"/>
      <c r="AE763" s="100"/>
      <c r="AF763" s="100"/>
      <c r="AG763" s="100"/>
      <c r="AH763" s="100"/>
      <c r="AI763" s="100"/>
      <c r="AJ763" s="100"/>
      <c r="AK763" s="100"/>
      <c r="AL763" s="100"/>
      <c r="AM763" s="100"/>
      <c r="AN763" s="100"/>
      <c r="AO763" s="100"/>
      <c r="AP763" s="100"/>
      <c r="AQ763" s="100"/>
    </row>
    <row r="764" spans="2:68">
      <c r="B764" s="878" t="s">
        <v>507</v>
      </c>
      <c r="D764" s="879">
        <v>7996</v>
      </c>
      <c r="E764" s="879">
        <v>7964</v>
      </c>
      <c r="F764" s="879">
        <v>7895</v>
      </c>
      <c r="G764" s="879">
        <v>7842</v>
      </c>
      <c r="H764" s="879">
        <v>7789</v>
      </c>
      <c r="I764" s="879">
        <v>7755</v>
      </c>
      <c r="J764" s="879">
        <v>7725</v>
      </c>
      <c r="K764" s="879">
        <v>7715</v>
      </c>
      <c r="L764" s="879">
        <v>7708</v>
      </c>
      <c r="M764" s="879">
        <v>7710</v>
      </c>
      <c r="N764" s="879">
        <v>7698</v>
      </c>
      <c r="O764" s="879">
        <v>7683</v>
      </c>
      <c r="P764" s="879">
        <v>7673</v>
      </c>
      <c r="Q764" s="879">
        <v>7692</v>
      </c>
      <c r="R764" s="879">
        <v>7672</v>
      </c>
      <c r="S764" s="879">
        <f>+BJ764*4-SUM(P764:R764)</f>
        <v>7655</v>
      </c>
      <c r="T764" s="879">
        <v>7634</v>
      </c>
      <c r="U764" s="879">
        <f>+U761/U768</f>
        <v>7613.7254901960787</v>
      </c>
      <c r="V764" s="879">
        <v>7602</v>
      </c>
      <c r="W764" s="879">
        <v>7580</v>
      </c>
      <c r="X764" s="879">
        <v>7566</v>
      </c>
      <c r="Y764" s="879">
        <v>7555</v>
      </c>
      <c r="Z764" s="879">
        <v>7539</v>
      </c>
      <c r="AA764" s="879">
        <v>7527</v>
      </c>
      <c r="AB764" s="879">
        <v>7513</v>
      </c>
      <c r="AC764" s="879">
        <v>7505</v>
      </c>
      <c r="AD764" s="879">
        <v>7493</v>
      </c>
      <c r="AE764" s="879">
        <v>7474</v>
      </c>
      <c r="AF764" s="879">
        <v>7457</v>
      </c>
      <c r="AG764" s="879">
        <v>7451</v>
      </c>
      <c r="AH764" s="879">
        <v>7441</v>
      </c>
      <c r="AI764" s="879">
        <v>7434</v>
      </c>
      <c r="AJ764" s="879">
        <v>7429</v>
      </c>
      <c r="AK764" s="879">
        <v>7432</v>
      </c>
      <c r="AL764" s="879">
        <v>7431</v>
      </c>
      <c r="AM764" s="879">
        <v>7433</v>
      </c>
      <c r="AN764" s="880"/>
      <c r="AO764" s="880"/>
      <c r="AP764" s="880"/>
      <c r="AQ764" s="880"/>
      <c r="AS764" s="879">
        <v>7683</v>
      </c>
      <c r="AT764" s="879">
        <v>7683</v>
      </c>
      <c r="AU764" s="879">
        <v>7683</v>
      </c>
      <c r="AV764" s="879">
        <v>7683</v>
      </c>
      <c r="AW764" s="879">
        <v>7683</v>
      </c>
      <c r="AX764" s="879">
        <v>7683</v>
      </c>
      <c r="AY764" s="879">
        <v>7683</v>
      </c>
      <c r="AZ764" s="879">
        <v>7683</v>
      </c>
      <c r="BA764" s="879">
        <v>7683</v>
      </c>
      <c r="BB764" s="879">
        <v>7683</v>
      </c>
      <c r="BC764" s="879">
        <v>7683</v>
      </c>
      <c r="BD764" s="879">
        <v>7746</v>
      </c>
      <c r="BE764" s="879">
        <v>7700</v>
      </c>
      <c r="BF764" s="879"/>
      <c r="BG764" s="8">
        <f>+AVERAGE(D764:G764)</f>
        <v>7924.25</v>
      </c>
      <c r="BH764" s="8">
        <f>+AVERAGE(H764:K764)</f>
        <v>7746</v>
      </c>
      <c r="BI764" s="8">
        <f>+AVERAGE(L764:O764)</f>
        <v>7699.75</v>
      </c>
      <c r="BJ764" s="8">
        <v>7673</v>
      </c>
      <c r="BK764" s="8">
        <v>7610</v>
      </c>
      <c r="BL764" s="8">
        <f>AVERAGE(X764:AA764)</f>
        <v>7546.75</v>
      </c>
      <c r="BM764" s="8">
        <f>+BM761/BM768</f>
        <v>7497.3325607464167</v>
      </c>
      <c r="BN764" s="8">
        <f t="shared" ref="BN764:BO764" si="3626">+BN761/BN768</f>
        <v>7445.1983224077021</v>
      </c>
      <c r="BO764" s="8">
        <f t="shared" si="3626"/>
        <v>8502.9116415188073</v>
      </c>
      <c r="BP764" s="8"/>
    </row>
    <row r="765" spans="2:68">
      <c r="B765" s="878" t="s">
        <v>508</v>
      </c>
      <c r="D765" s="879">
        <v>8084</v>
      </c>
      <c r="E765" s="879">
        <v>8051</v>
      </c>
      <c r="F765" s="879">
        <v>7985</v>
      </c>
      <c r="G765" s="879">
        <v>7929</v>
      </c>
      <c r="H765" s="879">
        <v>7876</v>
      </c>
      <c r="I765" s="879">
        <v>7830</v>
      </c>
      <c r="J765" s="879">
        <v>7813</v>
      </c>
      <c r="K765" s="879">
        <v>7806</v>
      </c>
      <c r="L765" s="879">
        <v>7799</v>
      </c>
      <c r="M765" s="879">
        <v>7710</v>
      </c>
      <c r="N765" s="879">
        <v>7794</v>
      </c>
      <c r="O765" s="879">
        <v>7775</v>
      </c>
      <c r="P765" s="879">
        <v>7766</v>
      </c>
      <c r="Q765" s="879">
        <v>7768</v>
      </c>
      <c r="R765" s="879">
        <v>7744</v>
      </c>
      <c r="S765" s="879">
        <f>+BJ765*4-SUM(P765:R765)</f>
        <v>7734</v>
      </c>
      <c r="T765" s="879">
        <v>7710</v>
      </c>
      <c r="U765" s="879">
        <f>+U761/U769</f>
        <v>7714.5695364238409</v>
      </c>
      <c r="V765" s="879">
        <v>7675</v>
      </c>
      <c r="W765" s="879">
        <v>7650</v>
      </c>
      <c r="X765" s="879">
        <v>7637</v>
      </c>
      <c r="Y765" s="879">
        <v>7616</v>
      </c>
      <c r="Z765" s="879">
        <v>7597</v>
      </c>
      <c r="AA765" s="879">
        <v>7581</v>
      </c>
      <c r="AB765" s="879">
        <v>7567</v>
      </c>
      <c r="AC765" s="879">
        <v>7555</v>
      </c>
      <c r="AD765" s="879">
        <v>7534</v>
      </c>
      <c r="AE765" s="879">
        <v>7506</v>
      </c>
      <c r="AF765" s="879">
        <v>7485</v>
      </c>
      <c r="AG765" s="879">
        <v>7473</v>
      </c>
      <c r="AH765" s="879">
        <v>7464</v>
      </c>
      <c r="AI765" s="879">
        <v>7467</v>
      </c>
      <c r="AJ765" s="879">
        <v>7462</v>
      </c>
      <c r="AK765" s="879">
        <v>7468</v>
      </c>
      <c r="AL765" s="879">
        <v>7472</v>
      </c>
      <c r="AM765" s="879">
        <v>7472</v>
      </c>
      <c r="AN765" s="880"/>
      <c r="AO765" s="880"/>
      <c r="AP765" s="880"/>
      <c r="AQ765" s="880"/>
      <c r="AS765" s="879">
        <v>7775</v>
      </c>
      <c r="AT765" s="879">
        <v>7775</v>
      </c>
      <c r="AU765" s="879">
        <v>7775</v>
      </c>
      <c r="AV765" s="879">
        <v>7775</v>
      </c>
      <c r="AW765" s="879">
        <v>7775</v>
      </c>
      <c r="AX765" s="879">
        <v>7775</v>
      </c>
      <c r="AY765" s="879">
        <v>7775</v>
      </c>
      <c r="AZ765" s="879">
        <v>7775</v>
      </c>
      <c r="BA765" s="879">
        <v>7775</v>
      </c>
      <c r="BB765" s="879">
        <v>7775</v>
      </c>
      <c r="BC765" s="879">
        <v>7775</v>
      </c>
      <c r="BD765" s="879">
        <v>7832</v>
      </c>
      <c r="BE765" s="879">
        <v>7794</v>
      </c>
      <c r="BF765" s="879"/>
      <c r="BG765" s="8">
        <f>+AVERAGE(D765:G765)</f>
        <v>8012.25</v>
      </c>
      <c r="BH765" s="8">
        <f>+AVERAGE(H765:K765)</f>
        <v>7831.25</v>
      </c>
      <c r="BI765" s="8">
        <f>+AVERAGE(L765:O765)</f>
        <v>7769.5</v>
      </c>
      <c r="BJ765" s="8">
        <v>7753</v>
      </c>
      <c r="BK765" s="8">
        <v>7683</v>
      </c>
      <c r="BL765" s="8">
        <f>AVERAGE(X765:AA765)</f>
        <v>7607.75</v>
      </c>
      <c r="BM765" s="8">
        <f>+BM761/BM769</f>
        <v>7542.2056774556859</v>
      </c>
      <c r="BN765" s="8">
        <f t="shared" ref="BN765:BO765" si="3627">+BN761/BN769</f>
        <v>7471.9617651935523</v>
      </c>
      <c r="BO765" s="8">
        <f t="shared" si="3627"/>
        <v>8535.2522699334822</v>
      </c>
      <c r="BP765" s="8"/>
    </row>
    <row r="767" spans="2:68">
      <c r="B767" s="944" t="s">
        <v>509</v>
      </c>
      <c r="W767" s="100"/>
      <c r="X767" s="100"/>
      <c r="Y767" s="100"/>
      <c r="Z767" s="100"/>
      <c r="AA767" s="100"/>
      <c r="AB767" s="100"/>
      <c r="AC767" s="100"/>
      <c r="AD767" s="100"/>
      <c r="AE767" s="100"/>
      <c r="AF767" s="100"/>
      <c r="AG767" s="100"/>
      <c r="AH767" s="100"/>
      <c r="AI767" s="100"/>
      <c r="AJ767" s="100"/>
      <c r="AK767" s="100"/>
      <c r="AL767" s="100"/>
      <c r="AM767" s="100"/>
      <c r="AN767" s="100"/>
      <c r="AO767" s="100"/>
      <c r="AP767" s="100"/>
      <c r="AQ767" s="100"/>
    </row>
    <row r="768" spans="2:68">
      <c r="B768" s="878" t="s">
        <v>507</v>
      </c>
      <c r="D768" s="9">
        <f t="shared" ref="D768:R768" si="3628">+D761/D764</f>
        <v>0.63394197098549276</v>
      </c>
      <c r="E768" s="9">
        <f t="shared" si="3628"/>
        <v>0.74560522350577596</v>
      </c>
      <c r="F768" s="9">
        <f t="shared" si="3628"/>
        <v>0.54528182393920199</v>
      </c>
      <c r="G768" s="9">
        <f t="shared" si="3628"/>
        <v>0.66653914817648563</v>
      </c>
      <c r="H768" s="9">
        <f t="shared" si="3628"/>
        <v>0.72756451405828737</v>
      </c>
      <c r="I768" s="9">
        <f t="shared" si="3628"/>
        <v>0.80812379110251453</v>
      </c>
      <c r="J768" s="9">
        <f t="shared" si="3628"/>
        <v>0.71016181229773467</v>
      </c>
      <c r="K768" s="9">
        <f t="shared" si="3628"/>
        <v>1.0458846403110824</v>
      </c>
      <c r="L768" s="9">
        <f t="shared" si="3628"/>
        <v>0.85313959522573946</v>
      </c>
      <c r="M768" s="9">
        <f t="shared" si="3628"/>
        <v>-0.81738002594033721</v>
      </c>
      <c r="N768" s="9">
        <f t="shared" si="3628"/>
        <v>0.9644063393089114</v>
      </c>
      <c r="O768" s="9">
        <f t="shared" si="3628"/>
        <v>1.1548874137706624</v>
      </c>
      <c r="P768" s="9">
        <f t="shared" si="3628"/>
        <v>1.1500065163560538</v>
      </c>
      <c r="Q768" s="9">
        <f t="shared" si="3628"/>
        <v>1.09464378575143</v>
      </c>
      <c r="R768" s="9">
        <f t="shared" si="3628"/>
        <v>1.1482012513034412</v>
      </c>
      <c r="S768" s="9">
        <v>1.72</v>
      </c>
      <c r="T768" s="9">
        <v>1.4</v>
      </c>
      <c r="U768" s="9">
        <v>1.53</v>
      </c>
      <c r="V768" s="9">
        <v>1.41</v>
      </c>
      <c r="W768" s="945">
        <f t="shared" ref="W768:AF768" si="3629">+W761/W764</f>
        <v>1.4778364116094986</v>
      </c>
      <c r="X768" s="945">
        <f t="shared" si="3629"/>
        <v>1.8362410785091197</v>
      </c>
      <c r="Y768" s="945">
        <f t="shared" si="3629"/>
        <v>2.0467240238252811</v>
      </c>
      <c r="Z768" s="945">
        <f t="shared" si="3629"/>
        <v>2.0502719193526993</v>
      </c>
      <c r="AA768" s="945">
        <f t="shared" si="3629"/>
        <v>2.1865284974093266</v>
      </c>
      <c r="AB768" s="945">
        <f t="shared" si="3629"/>
        <v>2.7292692666045522</v>
      </c>
      <c r="AC768" s="945">
        <f t="shared" si="3629"/>
        <v>2.5003331112591605</v>
      </c>
      <c r="AD768" s="945">
        <f t="shared" si="3629"/>
        <v>2.2324836514079807</v>
      </c>
      <c r="AE768" s="945">
        <f t="shared" si="3629"/>
        <v>2.2397645169922398</v>
      </c>
      <c r="AF768" s="945">
        <f t="shared" si="3629"/>
        <v>2.3542979750569932</v>
      </c>
      <c r="AG768" s="945">
        <f t="shared" ref="AG768:AH768" si="3630">+AG761/AG764</f>
        <v>2.2044020936787008</v>
      </c>
      <c r="AH768" s="945">
        <f t="shared" si="3630"/>
        <v>2.4592124714420103</v>
      </c>
      <c r="AI768" s="945">
        <f t="shared" ref="AI768:AJ768" si="3631">+AI761/AI764</f>
        <v>2.7012375571697604</v>
      </c>
      <c r="AJ768" s="945">
        <f t="shared" si="3631"/>
        <v>3.000538430475165</v>
      </c>
      <c r="AK768" s="945">
        <f t="shared" ref="AK768:AL768" si="3632">+AK761/AK764</f>
        <v>2.9426803013993541</v>
      </c>
      <c r="AL768" s="945">
        <f t="shared" si="3632"/>
        <v>2.952361727896649</v>
      </c>
      <c r="AM768" s="945">
        <f t="shared" ref="AM768" si="3633">+AM761/AM764</f>
        <v>2.9646172474101977</v>
      </c>
      <c r="AN768" s="945"/>
      <c r="AO768" s="945"/>
      <c r="AP768" s="945"/>
      <c r="AQ768" s="945"/>
      <c r="AS768" s="9">
        <f t="shared" ref="AS768:BE768" si="3634">+AS761/AS764</f>
        <v>1.5949498893661329</v>
      </c>
      <c r="AT768" s="9">
        <f t="shared" si="3634"/>
        <v>1.6398542236105689</v>
      </c>
      <c r="AU768" s="9">
        <f t="shared" si="3634"/>
        <v>1.8306651047767799</v>
      </c>
      <c r="AV768" s="9">
        <f t="shared" si="3634"/>
        <v>2.3013145906546923</v>
      </c>
      <c r="AW768" s="9">
        <f t="shared" si="3634"/>
        <v>1.8962644800208253</v>
      </c>
      <c r="AX768" s="9">
        <f t="shared" si="3634"/>
        <v>2.441754522972797</v>
      </c>
      <c r="AY768" s="9">
        <f t="shared" si="3634"/>
        <v>3.0131459065469217</v>
      </c>
      <c r="AZ768" s="9">
        <f t="shared" si="3634"/>
        <v>2.2098138747884941</v>
      </c>
      <c r="BA768" s="9">
        <f t="shared" si="3634"/>
        <v>2.845633216191592</v>
      </c>
      <c r="BB768" s="9">
        <f t="shared" si="3634"/>
        <v>2.8730964467005076</v>
      </c>
      <c r="BC768" s="9">
        <f t="shared" si="3634"/>
        <v>1.5870102824417545</v>
      </c>
      <c r="BD768" s="9">
        <f t="shared" si="3634"/>
        <v>2.2798863929770206</v>
      </c>
      <c r="BE768" s="9">
        <f t="shared" si="3634"/>
        <v>2.54</v>
      </c>
      <c r="BF768" s="9"/>
      <c r="BG768" s="9">
        <f>+BG761/BG764</f>
        <v>2.5919172161403288</v>
      </c>
      <c r="BH768" s="9">
        <f>+BH761/BH764</f>
        <v>3.2906016008262329</v>
      </c>
      <c r="BI768" s="9">
        <f>+BI761/BI764</f>
        <v>2.1521477970063962</v>
      </c>
      <c r="BJ768" s="9">
        <f>+BJ761/BJ764</f>
        <v>5.114036230939659</v>
      </c>
      <c r="BK768" s="9">
        <f>SUM(T768:W768)</f>
        <v>5.8178364116094983</v>
      </c>
      <c r="BL768" s="9">
        <f>+BL761/BL764</f>
        <v>8.1188591115380788</v>
      </c>
      <c r="BM768" s="9">
        <f>+SUM(AB768:AE768)</f>
        <v>9.7018505462639339</v>
      </c>
      <c r="BN768" s="9">
        <f t="shared" ref="BN768:BN769" si="3635">SUM(AF768:AI768)</f>
        <v>9.7191500973474643</v>
      </c>
      <c r="BO768" s="9">
        <f t="shared" ref="BO768:BO769" si="3636">SUM(AG768:AJ768)</f>
        <v>10.365390552765637</v>
      </c>
      <c r="BP768" s="9"/>
    </row>
    <row r="769" spans="2:69">
      <c r="B769" s="878" t="s">
        <v>508</v>
      </c>
      <c r="D769" s="9">
        <f t="shared" ref="D769:R769" si="3637">+D761/D765</f>
        <v>0.62704106877783272</v>
      </c>
      <c r="E769" s="9">
        <f t="shared" si="3637"/>
        <v>0.73754813066699787</v>
      </c>
      <c r="F769" s="9">
        <f t="shared" si="3637"/>
        <v>0.53913587977457733</v>
      </c>
      <c r="G769" s="9">
        <f t="shared" si="3637"/>
        <v>0.65922562744356161</v>
      </c>
      <c r="H769" s="9">
        <f t="shared" si="3637"/>
        <v>0.71952767902488568</v>
      </c>
      <c r="I769" s="9">
        <f t="shared" si="3637"/>
        <v>0.80038314176245207</v>
      </c>
      <c r="J769" s="9">
        <f t="shared" si="3637"/>
        <v>0.70216306156405994</v>
      </c>
      <c r="K769" s="9">
        <f t="shared" si="3637"/>
        <v>1.033692031770433</v>
      </c>
      <c r="L769" s="9">
        <f t="shared" si="3637"/>
        <v>0.84318502372098991</v>
      </c>
      <c r="M769" s="9">
        <f t="shared" si="3637"/>
        <v>-0.81738002594033721</v>
      </c>
      <c r="N769" s="9">
        <f t="shared" si="3637"/>
        <v>0.95252758532204262</v>
      </c>
      <c r="O769" s="9">
        <f t="shared" si="3637"/>
        <v>1.1412218649517685</v>
      </c>
      <c r="P769" s="9">
        <f t="shared" si="3637"/>
        <v>1.1362348699459182</v>
      </c>
      <c r="Q769" s="9">
        <f t="shared" si="3637"/>
        <v>1.0839340885684861</v>
      </c>
      <c r="R769" s="9">
        <f t="shared" si="3637"/>
        <v>1.1375258264462811</v>
      </c>
      <c r="S769" s="9">
        <v>1.71</v>
      </c>
      <c r="T769" s="9">
        <v>1.38</v>
      </c>
      <c r="U769" s="9">
        <v>1.51</v>
      </c>
      <c r="V769" s="9">
        <v>1.4</v>
      </c>
      <c r="W769" s="945">
        <f t="shared" ref="W769:AF769" si="3638">+W761/W765</f>
        <v>1.4643137254901961</v>
      </c>
      <c r="X769" s="945">
        <f t="shared" si="3638"/>
        <v>1.8191698310855047</v>
      </c>
      <c r="Y769" s="945">
        <f t="shared" si="3638"/>
        <v>2.0303308823529411</v>
      </c>
      <c r="Z769" s="945">
        <f t="shared" si="3638"/>
        <v>2.0346189285244174</v>
      </c>
      <c r="AA769" s="945">
        <f t="shared" si="3638"/>
        <v>2.1709537000395724</v>
      </c>
      <c r="AB769" s="945">
        <f t="shared" si="3638"/>
        <v>2.7097925201532971</v>
      </c>
      <c r="AC769" s="945">
        <f t="shared" si="3638"/>
        <v>2.4837855724685638</v>
      </c>
      <c r="AD769" s="945">
        <f t="shared" si="3638"/>
        <v>2.2203344836740113</v>
      </c>
      <c r="AE769" s="945">
        <f t="shared" si="3638"/>
        <v>2.2302158273381294</v>
      </c>
      <c r="AF769" s="945">
        <f t="shared" si="3638"/>
        <v>2.3454909819639278</v>
      </c>
      <c r="AG769" s="945">
        <f t="shared" ref="AG769:AH769" si="3639">+AG761/AG765</f>
        <v>2.1979124849458049</v>
      </c>
      <c r="AH769" s="945">
        <f t="shared" si="3639"/>
        <v>2.4516345123258305</v>
      </c>
      <c r="AI769" s="945">
        <f t="shared" ref="AI769:AJ769" si="3640">+AI761/AI765</f>
        <v>2.6892995848399623</v>
      </c>
      <c r="AJ769" s="945">
        <f t="shared" si="3640"/>
        <v>2.9872688287322435</v>
      </c>
      <c r="AK769" s="945">
        <f t="shared" ref="AK769:AL769" si="3641">+AK761/AK765</f>
        <v>2.9284949116229244</v>
      </c>
      <c r="AL769" s="945">
        <f t="shared" si="3641"/>
        <v>2.936161670235546</v>
      </c>
      <c r="AM769" s="945">
        <f t="shared" ref="AM769" si="3642">+AM761/AM765</f>
        <v>2.9491434689507496</v>
      </c>
      <c r="AN769" s="945"/>
      <c r="AO769" s="945"/>
      <c r="AP769" s="945"/>
      <c r="AQ769" s="945"/>
      <c r="AS769" s="9">
        <f t="shared" ref="AS769:BE769" si="3643">+AS761/AS765</f>
        <v>1.5760771704180063</v>
      </c>
      <c r="AT769" s="9">
        <f t="shared" si="3643"/>
        <v>1.6204501607717041</v>
      </c>
      <c r="AU769" s="9">
        <f t="shared" si="3643"/>
        <v>1.8090032154340836</v>
      </c>
      <c r="AV769" s="9">
        <f t="shared" si="3643"/>
        <v>2.2740836012861738</v>
      </c>
      <c r="AW769" s="9">
        <f t="shared" si="3643"/>
        <v>1.8738263665594854</v>
      </c>
      <c r="AX769" s="9">
        <f t="shared" si="3643"/>
        <v>2.4128617363344049</v>
      </c>
      <c r="AY769" s="9">
        <f t="shared" si="3643"/>
        <v>2.977491961414791</v>
      </c>
      <c r="AZ769" s="9">
        <f t="shared" si="3643"/>
        <v>2.1836655948553054</v>
      </c>
      <c r="BA769" s="9">
        <f t="shared" si="3643"/>
        <v>2.8119614147909968</v>
      </c>
      <c r="BB769" s="9">
        <f t="shared" si="3643"/>
        <v>2.8390996784565918</v>
      </c>
      <c r="BC769" s="9">
        <f t="shared" si="3643"/>
        <v>1.5682315112540193</v>
      </c>
      <c r="BD769" s="9">
        <f t="shared" si="3643"/>
        <v>2.2548518896833505</v>
      </c>
      <c r="BE769" s="9">
        <f t="shared" si="3643"/>
        <v>2.5093661791121376</v>
      </c>
      <c r="BF769" s="9"/>
      <c r="BG769" s="9">
        <f>+BG761/BG765</f>
        <v>2.5634497176198945</v>
      </c>
      <c r="BH769" s="9">
        <f>+BH761/BH765</f>
        <v>3.2547805267358338</v>
      </c>
      <c r="BI769" s="9">
        <f>+BI761/BI765</f>
        <v>2.1328270802496943</v>
      </c>
      <c r="BJ769" s="9">
        <f>+BJ761/BJ765</f>
        <v>5.0612666064749128</v>
      </c>
      <c r="BK769" s="9">
        <v>5.76</v>
      </c>
      <c r="BL769" s="9">
        <f>+BL761/BL765</f>
        <v>8.0537609674345241</v>
      </c>
      <c r="BM769" s="9">
        <f>+SUM(AB769:AE769)</f>
        <v>9.6441284036340011</v>
      </c>
      <c r="BN769" s="9">
        <f t="shared" si="3635"/>
        <v>9.6843375640755269</v>
      </c>
      <c r="BO769" s="9">
        <f t="shared" si="3636"/>
        <v>10.32611541084384</v>
      </c>
      <c r="BP769" s="9"/>
    </row>
    <row r="770" spans="2:69">
      <c r="B770" s="878"/>
      <c r="D770" s="9"/>
      <c r="E770" s="9"/>
      <c r="F770" s="9"/>
      <c r="G770" s="9"/>
      <c r="H770" s="9"/>
      <c r="I770" s="9"/>
      <c r="J770" s="9"/>
      <c r="K770" s="9"/>
      <c r="L770" s="9"/>
      <c r="M770" s="9"/>
      <c r="N770" s="9"/>
      <c r="O770" s="9"/>
      <c r="P770" s="9"/>
      <c r="Q770" s="9"/>
      <c r="R770" s="9"/>
      <c r="S770" s="9"/>
      <c r="T770" s="9"/>
      <c r="U770" s="9"/>
      <c r="V770" s="9"/>
      <c r="W770" s="945"/>
      <c r="X770" s="945"/>
      <c r="Y770" s="945"/>
      <c r="Z770" s="945"/>
      <c r="AA770" s="945"/>
      <c r="AB770" s="945"/>
      <c r="AC770" s="945"/>
      <c r="AD770" s="945"/>
      <c r="AE770" s="945"/>
      <c r="AF770" s="945"/>
      <c r="AG770" s="945"/>
      <c r="AH770" s="945"/>
      <c r="AI770" s="945"/>
      <c r="AJ770" s="945"/>
      <c r="AK770" s="945"/>
      <c r="AL770" s="945"/>
      <c r="AM770" s="945"/>
      <c r="AN770" s="945"/>
      <c r="AO770" s="945"/>
      <c r="AP770" s="945"/>
      <c r="AQ770" s="945"/>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2:69" ht="10.5">
      <c r="B771" s="910" t="s">
        <v>510</v>
      </c>
      <c r="T771" s="9"/>
    </row>
    <row r="772" spans="2:69">
      <c r="B772" s="878" t="s">
        <v>86</v>
      </c>
      <c r="D772" s="8">
        <f t="shared" ref="D772:AI772" si="3644">+D732</f>
        <v>20910</v>
      </c>
      <c r="E772" s="8">
        <f t="shared" si="3644"/>
        <v>25253</v>
      </c>
      <c r="F772" s="8">
        <f t="shared" si="3644"/>
        <v>21517</v>
      </c>
      <c r="G772" s="8">
        <f t="shared" si="3644"/>
        <v>23474</v>
      </c>
      <c r="H772" s="8">
        <f t="shared" si="3644"/>
        <v>21928</v>
      </c>
      <c r="I772" s="8">
        <f t="shared" si="3644"/>
        <v>25826</v>
      </c>
      <c r="J772" s="8">
        <f t="shared" si="3644"/>
        <v>23212</v>
      </c>
      <c r="K772" s="8">
        <f t="shared" si="3644"/>
        <v>25605</v>
      </c>
      <c r="L772" s="8">
        <f t="shared" si="3644"/>
        <v>24538</v>
      </c>
      <c r="M772" s="8">
        <f t="shared" si="3644"/>
        <v>28918</v>
      </c>
      <c r="N772" s="8">
        <f t="shared" si="3644"/>
        <v>26819</v>
      </c>
      <c r="O772" s="8">
        <f t="shared" si="3644"/>
        <v>30085</v>
      </c>
      <c r="P772" s="8">
        <f t="shared" si="3644"/>
        <v>29084</v>
      </c>
      <c r="Q772" s="8">
        <f t="shared" si="3644"/>
        <v>32471</v>
      </c>
      <c r="R772" s="8">
        <f t="shared" si="3644"/>
        <v>30571</v>
      </c>
      <c r="S772" s="8">
        <f t="shared" si="3644"/>
        <v>33717</v>
      </c>
      <c r="T772" s="8">
        <f t="shared" si="3644"/>
        <v>33055</v>
      </c>
      <c r="U772" s="8">
        <f t="shared" si="3644"/>
        <v>36906</v>
      </c>
      <c r="V772" s="8">
        <f t="shared" si="3644"/>
        <v>35021</v>
      </c>
      <c r="W772" s="8">
        <f t="shared" si="3644"/>
        <v>38033</v>
      </c>
      <c r="X772" s="8">
        <f t="shared" si="3644"/>
        <v>37154</v>
      </c>
      <c r="Y772" s="8">
        <f t="shared" si="3644"/>
        <v>43076</v>
      </c>
      <c r="Z772" s="8">
        <f t="shared" si="3644"/>
        <v>41706</v>
      </c>
      <c r="AA772" s="8">
        <f t="shared" si="3644"/>
        <v>46152</v>
      </c>
      <c r="AB772" s="8">
        <f t="shared" si="3644"/>
        <v>45317</v>
      </c>
      <c r="AC772" s="8">
        <f t="shared" si="3644"/>
        <v>51728</v>
      </c>
      <c r="AD772" s="8">
        <f t="shared" si="3644"/>
        <v>49360</v>
      </c>
      <c r="AE772" s="8">
        <f t="shared" si="3644"/>
        <v>51865</v>
      </c>
      <c r="AF772" s="8">
        <f t="shared" si="3644"/>
        <v>50122</v>
      </c>
      <c r="AG772" s="8">
        <f t="shared" si="3644"/>
        <v>52747</v>
      </c>
      <c r="AH772" s="8">
        <f t="shared" si="3644"/>
        <v>52857</v>
      </c>
      <c r="AI772" s="8">
        <f t="shared" si="3644"/>
        <v>56189</v>
      </c>
      <c r="AJ772" s="8">
        <f t="shared" ref="AJ772:AM772" si="3645">+AJ732</f>
        <v>56517</v>
      </c>
      <c r="AK772" s="8">
        <f t="shared" si="3645"/>
        <v>62020</v>
      </c>
      <c r="AL772" s="8">
        <f t="shared" si="3645"/>
        <v>61858</v>
      </c>
      <c r="AM772" s="8">
        <f t="shared" si="3645"/>
        <v>64727</v>
      </c>
      <c r="AN772" s="8">
        <f t="shared" ref="AN772:AQ772" si="3646">+AN732</f>
        <v>65306.668670161642</v>
      </c>
      <c r="AO772" s="8">
        <f t="shared" si="3646"/>
        <v>70154.988371963365</v>
      </c>
      <c r="AP772" s="8">
        <f t="shared" si="3646"/>
        <v>71055.656578552866</v>
      </c>
      <c r="AQ772" s="8">
        <f t="shared" si="3646"/>
        <v>74694.533091599718</v>
      </c>
      <c r="AS772" s="8"/>
      <c r="AT772" s="8"/>
      <c r="AU772" s="8"/>
      <c r="AV772" s="8"/>
      <c r="AW772" s="8"/>
      <c r="AX772" s="8"/>
      <c r="AY772" s="8">
        <f t="shared" ref="AY772:BE772" si="3647">+AY732</f>
        <v>69943</v>
      </c>
      <c r="AZ772" s="8">
        <f t="shared" si="3647"/>
        <v>73723</v>
      </c>
      <c r="BA772" s="8">
        <f t="shared" si="3647"/>
        <v>77849</v>
      </c>
      <c r="BB772" s="8">
        <f t="shared" si="3647"/>
        <v>86833</v>
      </c>
      <c r="BC772" s="8">
        <f t="shared" si="3647"/>
        <v>93580</v>
      </c>
      <c r="BD772" s="8">
        <f t="shared" si="3647"/>
        <v>85320</v>
      </c>
      <c r="BE772" s="8">
        <f t="shared" si="3647"/>
        <v>89950</v>
      </c>
      <c r="BG772" s="8">
        <f t="shared" ref="BG772:BM772" si="3648">+BG732</f>
        <v>91154</v>
      </c>
      <c r="BH772" s="8">
        <f t="shared" si="3648"/>
        <v>96571</v>
      </c>
      <c r="BI772" s="8">
        <f t="shared" si="3648"/>
        <v>110360</v>
      </c>
      <c r="BJ772" s="8">
        <f t="shared" si="3648"/>
        <v>125843</v>
      </c>
      <c r="BK772" s="8">
        <f t="shared" si="3648"/>
        <v>143015</v>
      </c>
      <c r="BL772" s="8">
        <f t="shared" si="3648"/>
        <v>168088</v>
      </c>
      <c r="BM772" s="8">
        <f t="shared" si="3648"/>
        <v>198270</v>
      </c>
      <c r="BN772" s="8">
        <f t="shared" ref="BN772:BN774" si="3649">SUM(AF772:AI772)</f>
        <v>211915</v>
      </c>
      <c r="BO772" s="8">
        <f t="shared" ref="BO772:BO775" si="3650">SUM(AJ772:AM772)</f>
        <v>245122</v>
      </c>
      <c r="BP772" s="8">
        <f t="shared" ref="BP772:BP775" si="3651">+SUM(AN772:AQ772)</f>
        <v>281211.84671227756</v>
      </c>
      <c r="BQ772" s="8"/>
    </row>
    <row r="773" spans="2:69">
      <c r="B773" s="878" t="s">
        <v>511</v>
      </c>
      <c r="D773" s="879">
        <v>0</v>
      </c>
      <c r="E773" s="879">
        <v>0</v>
      </c>
      <c r="F773" s="879">
        <v>0</v>
      </c>
      <c r="G773" s="879">
        <v>0</v>
      </c>
      <c r="H773" s="879">
        <v>0</v>
      </c>
      <c r="I773" s="879">
        <v>0</v>
      </c>
      <c r="J773" s="879">
        <v>0</v>
      </c>
      <c r="K773" s="879">
        <v>0</v>
      </c>
      <c r="L773" s="879">
        <v>0</v>
      </c>
      <c r="M773" s="879">
        <v>0</v>
      </c>
      <c r="N773" s="879">
        <v>0</v>
      </c>
      <c r="O773" s="879">
        <v>0</v>
      </c>
      <c r="P773" s="879">
        <v>0</v>
      </c>
      <c r="Q773" s="879">
        <v>0</v>
      </c>
      <c r="R773" s="879">
        <v>0</v>
      </c>
      <c r="S773" s="879">
        <v>0</v>
      </c>
      <c r="T773" s="879">
        <v>0</v>
      </c>
      <c r="U773" s="879">
        <v>0</v>
      </c>
      <c r="V773" s="879">
        <v>0</v>
      </c>
      <c r="W773" s="879">
        <v>0</v>
      </c>
      <c r="X773" s="879">
        <v>0</v>
      </c>
      <c r="Y773" s="879">
        <v>0</v>
      </c>
      <c r="Z773" s="879">
        <v>0</v>
      </c>
      <c r="AA773" s="879">
        <v>0</v>
      </c>
      <c r="AB773" s="879">
        <v>0</v>
      </c>
      <c r="AC773" s="879">
        <v>0</v>
      </c>
      <c r="AD773" s="879">
        <v>0</v>
      </c>
      <c r="AE773" s="879">
        <v>0</v>
      </c>
      <c r="AF773" s="879">
        <v>0</v>
      </c>
      <c r="AG773" s="879">
        <v>0</v>
      </c>
      <c r="AH773" s="879">
        <v>0</v>
      </c>
      <c r="AI773" s="879">
        <v>0</v>
      </c>
      <c r="AJ773" s="879">
        <v>0</v>
      </c>
      <c r="AK773" s="879">
        <v>0</v>
      </c>
      <c r="AL773" s="879">
        <v>0</v>
      </c>
      <c r="AM773" s="879">
        <v>0</v>
      </c>
      <c r="AN773" s="879">
        <v>0</v>
      </c>
      <c r="AO773" s="879">
        <v>0</v>
      </c>
      <c r="AP773" s="879">
        <v>0</v>
      </c>
      <c r="AQ773" s="879">
        <v>0</v>
      </c>
      <c r="AS773" s="879"/>
      <c r="AT773" s="879"/>
      <c r="AU773" s="879"/>
      <c r="AV773" s="879"/>
      <c r="AW773" s="879"/>
      <c r="AX773" s="879"/>
      <c r="AY773" s="879">
        <v>0</v>
      </c>
      <c r="AZ773" s="879">
        <v>0</v>
      </c>
      <c r="BA773" s="879">
        <v>0</v>
      </c>
      <c r="BB773" s="879">
        <v>0</v>
      </c>
      <c r="BC773" s="879">
        <v>0</v>
      </c>
      <c r="BD773" s="879">
        <v>6643</v>
      </c>
      <c r="BE773" s="879">
        <v>6707</v>
      </c>
      <c r="BG773" s="879">
        <v>0</v>
      </c>
      <c r="BH773" s="879">
        <v>0</v>
      </c>
      <c r="BI773" s="879">
        <v>0</v>
      </c>
      <c r="BJ773" s="879">
        <v>0</v>
      </c>
      <c r="BK773" s="879">
        <v>0</v>
      </c>
      <c r="BL773" s="879">
        <v>0</v>
      </c>
      <c r="BM773" s="879">
        <v>0</v>
      </c>
      <c r="BN773" s="879">
        <f t="shared" si="3649"/>
        <v>0</v>
      </c>
      <c r="BO773" s="879">
        <f t="shared" si="3650"/>
        <v>0</v>
      </c>
      <c r="BP773" s="879">
        <f t="shared" si="3651"/>
        <v>0</v>
      </c>
      <c r="BQ773" s="879"/>
    </row>
    <row r="774" spans="2:69" ht="11.45">
      <c r="B774" s="878" t="s">
        <v>512</v>
      </c>
      <c r="D774" s="905">
        <v>0</v>
      </c>
      <c r="E774" s="905">
        <v>0</v>
      </c>
      <c r="F774" s="905">
        <v>0</v>
      </c>
      <c r="G774" s="905">
        <v>0</v>
      </c>
      <c r="H774" s="905">
        <v>0</v>
      </c>
      <c r="I774" s="905">
        <v>0</v>
      </c>
      <c r="J774" s="905">
        <v>0</v>
      </c>
      <c r="K774" s="905">
        <v>0</v>
      </c>
      <c r="L774" s="905">
        <v>0</v>
      </c>
      <c r="M774" s="905">
        <v>0</v>
      </c>
      <c r="N774" s="905">
        <v>0</v>
      </c>
      <c r="O774" s="905">
        <v>0</v>
      </c>
      <c r="P774" s="905">
        <v>0</v>
      </c>
      <c r="Q774" s="905">
        <v>0</v>
      </c>
      <c r="R774" s="905">
        <v>0</v>
      </c>
      <c r="S774" s="905">
        <v>0</v>
      </c>
      <c r="T774" s="905">
        <v>0</v>
      </c>
      <c r="U774" s="905">
        <v>0</v>
      </c>
      <c r="V774" s="905">
        <v>0</v>
      </c>
      <c r="W774" s="905">
        <v>0</v>
      </c>
      <c r="X774" s="905">
        <v>0</v>
      </c>
      <c r="Y774" s="905">
        <v>0</v>
      </c>
      <c r="Z774" s="905">
        <v>0</v>
      </c>
      <c r="AA774" s="905">
        <v>0</v>
      </c>
      <c r="AB774" s="905">
        <v>0</v>
      </c>
      <c r="AC774" s="905">
        <v>0</v>
      </c>
      <c r="AD774" s="905">
        <v>0</v>
      </c>
      <c r="AE774" s="905">
        <v>0</v>
      </c>
      <c r="AF774" s="905">
        <v>0</v>
      </c>
      <c r="AG774" s="905">
        <v>0</v>
      </c>
      <c r="AH774" s="905">
        <v>0</v>
      </c>
      <c r="AI774" s="905">
        <v>0</v>
      </c>
      <c r="AJ774" s="905">
        <v>0</v>
      </c>
      <c r="AK774" s="905">
        <v>0</v>
      </c>
      <c r="AL774" s="905">
        <v>0</v>
      </c>
      <c r="AM774" s="905">
        <v>0</v>
      </c>
      <c r="AN774" s="905">
        <v>0</v>
      </c>
      <c r="AO774" s="905">
        <v>0</v>
      </c>
      <c r="AP774" s="905">
        <v>0</v>
      </c>
      <c r="AQ774" s="905">
        <v>0</v>
      </c>
      <c r="AS774" s="879"/>
      <c r="AT774" s="879"/>
      <c r="AU774" s="879"/>
      <c r="AV774" s="879"/>
      <c r="AW774" s="879"/>
      <c r="AX774" s="879"/>
      <c r="AY774" s="905">
        <v>0</v>
      </c>
      <c r="AZ774" s="905">
        <v>540</v>
      </c>
      <c r="BA774" s="905">
        <v>-540</v>
      </c>
      <c r="BB774" s="905">
        <v>0</v>
      </c>
      <c r="BC774" s="905">
        <v>0</v>
      </c>
      <c r="BD774" s="905">
        <v>0</v>
      </c>
      <c r="BE774" s="905">
        <v>0</v>
      </c>
      <c r="BG774" s="905">
        <v>0</v>
      </c>
      <c r="BH774" s="905">
        <v>0</v>
      </c>
      <c r="BI774" s="905">
        <v>0</v>
      </c>
      <c r="BJ774" s="905">
        <v>0</v>
      </c>
      <c r="BK774" s="905">
        <v>0</v>
      </c>
      <c r="BL774" s="905">
        <v>0</v>
      </c>
      <c r="BM774" s="905">
        <v>0</v>
      </c>
      <c r="BN774" s="905">
        <f t="shared" si="3649"/>
        <v>0</v>
      </c>
      <c r="BO774" s="905">
        <f t="shared" si="3650"/>
        <v>0</v>
      </c>
      <c r="BP774" s="905">
        <f t="shared" si="3651"/>
        <v>0</v>
      </c>
      <c r="BQ774" s="905"/>
    </row>
    <row r="775" spans="2:69" s="1" customFormat="1" ht="10.5">
      <c r="B775" s="882" t="s">
        <v>513</v>
      </c>
      <c r="D775" s="838">
        <f t="shared" ref="D775" si="3652">SUM(D772:D774)</f>
        <v>20910</v>
      </c>
      <c r="E775" s="838">
        <f t="shared" ref="E775" si="3653">SUM(E772:E774)</f>
        <v>25253</v>
      </c>
      <c r="F775" s="838">
        <f t="shared" ref="F775" si="3654">SUM(F772:F774)</f>
        <v>21517</v>
      </c>
      <c r="G775" s="838">
        <f t="shared" ref="G775" si="3655">SUM(G772:G774)</f>
        <v>23474</v>
      </c>
      <c r="H775" s="838">
        <f t="shared" ref="H775" si="3656">SUM(H772:H774)</f>
        <v>21928</v>
      </c>
      <c r="I775" s="838">
        <f t="shared" ref="I775" si="3657">SUM(I772:I774)</f>
        <v>25826</v>
      </c>
      <c r="J775" s="838">
        <f t="shared" ref="J775" si="3658">SUM(J772:J774)</f>
        <v>23212</v>
      </c>
      <c r="K775" s="838">
        <f t="shared" ref="K775" si="3659">SUM(K772:K774)</f>
        <v>25605</v>
      </c>
      <c r="L775" s="838">
        <f t="shared" ref="L775" si="3660">SUM(L772:L774)</f>
        <v>24538</v>
      </c>
      <c r="M775" s="838">
        <f t="shared" ref="M775" si="3661">SUM(M772:M774)</f>
        <v>28918</v>
      </c>
      <c r="N775" s="838">
        <f t="shared" ref="N775" si="3662">SUM(N772:N774)</f>
        <v>26819</v>
      </c>
      <c r="O775" s="838">
        <f t="shared" ref="O775:P775" si="3663">SUM(O772:O774)</f>
        <v>30085</v>
      </c>
      <c r="P775" s="838">
        <f t="shared" si="3663"/>
        <v>29084</v>
      </c>
      <c r="Q775" s="838">
        <f t="shared" ref="Q775:T775" si="3664">SUM(Q772:Q774)</f>
        <v>32471</v>
      </c>
      <c r="R775" s="838">
        <f t="shared" si="3664"/>
        <v>30571</v>
      </c>
      <c r="S775" s="838">
        <f t="shared" si="3664"/>
        <v>33717</v>
      </c>
      <c r="T775" s="838">
        <f t="shared" si="3664"/>
        <v>33055</v>
      </c>
      <c r="U775" s="838">
        <f t="shared" ref="U775:V775" si="3665">SUM(U772:U774)</f>
        <v>36906</v>
      </c>
      <c r="V775" s="838">
        <f t="shared" si="3665"/>
        <v>35021</v>
      </c>
      <c r="W775" s="838">
        <f t="shared" ref="W775:AA775" si="3666">SUM(W772:W774)</f>
        <v>38033</v>
      </c>
      <c r="X775" s="838">
        <f t="shared" si="3666"/>
        <v>37154</v>
      </c>
      <c r="Y775" s="838">
        <f t="shared" si="3666"/>
        <v>43076</v>
      </c>
      <c r="Z775" s="838">
        <f t="shared" si="3666"/>
        <v>41706</v>
      </c>
      <c r="AA775" s="838">
        <f t="shared" si="3666"/>
        <v>46152</v>
      </c>
      <c r="AB775" s="838">
        <f t="shared" ref="AB775:AE775" si="3667">SUM(AB772:AB774)</f>
        <v>45317</v>
      </c>
      <c r="AC775" s="838">
        <f t="shared" si="3667"/>
        <v>51728</v>
      </c>
      <c r="AD775" s="838">
        <f t="shared" si="3667"/>
        <v>49360</v>
      </c>
      <c r="AE775" s="838">
        <f t="shared" si="3667"/>
        <v>51865</v>
      </c>
      <c r="AF775" s="838">
        <f t="shared" ref="AF775:AI775" si="3668">SUM(AF772:AF774)</f>
        <v>50122</v>
      </c>
      <c r="AG775" s="838">
        <f t="shared" si="3668"/>
        <v>52747</v>
      </c>
      <c r="AH775" s="838">
        <f t="shared" si="3668"/>
        <v>52857</v>
      </c>
      <c r="AI775" s="838">
        <f t="shared" si="3668"/>
        <v>56189</v>
      </c>
      <c r="AJ775" s="838">
        <f t="shared" ref="AJ775:AM775" si="3669">SUM(AJ772:AJ774)</f>
        <v>56517</v>
      </c>
      <c r="AK775" s="838">
        <f t="shared" si="3669"/>
        <v>62020</v>
      </c>
      <c r="AL775" s="838">
        <f t="shared" si="3669"/>
        <v>61858</v>
      </c>
      <c r="AM775" s="838">
        <f t="shared" si="3669"/>
        <v>64727</v>
      </c>
      <c r="AN775" s="838">
        <f t="shared" ref="AN775:AQ775" si="3670">SUM(AN772:AN774)</f>
        <v>65306.668670161642</v>
      </c>
      <c r="AO775" s="838">
        <f t="shared" si="3670"/>
        <v>70154.988371963365</v>
      </c>
      <c r="AP775" s="838">
        <f t="shared" si="3670"/>
        <v>71055.656578552866</v>
      </c>
      <c r="AQ775" s="838">
        <f t="shared" si="3670"/>
        <v>74694.533091599718</v>
      </c>
      <c r="AS775" s="838"/>
      <c r="AT775" s="838"/>
      <c r="AU775" s="838"/>
      <c r="AV775" s="838"/>
      <c r="AW775" s="838"/>
      <c r="AX775" s="838"/>
      <c r="AY775" s="838">
        <f t="shared" ref="AY775" si="3671">SUM(AY772:AY774)</f>
        <v>69943</v>
      </c>
      <c r="AZ775" s="838">
        <f t="shared" ref="AZ775" si="3672">SUM(AZ772:AZ774)</f>
        <v>74263</v>
      </c>
      <c r="BA775" s="838">
        <f t="shared" ref="BA775" si="3673">SUM(BA772:BA774)</f>
        <v>77309</v>
      </c>
      <c r="BB775" s="838">
        <f t="shared" ref="BB775" si="3674">SUM(BB772:BB774)</f>
        <v>86833</v>
      </c>
      <c r="BC775" s="838">
        <f t="shared" ref="BC775" si="3675">SUM(BC772:BC774)</f>
        <v>93580</v>
      </c>
      <c r="BD775" s="838">
        <f t="shared" ref="BD775" si="3676">SUM(BD772:BD774)</f>
        <v>91963</v>
      </c>
      <c r="BE775" s="838">
        <f t="shared" ref="BE775" si="3677">SUM(BE772:BE774)</f>
        <v>96657</v>
      </c>
      <c r="BG775" s="838">
        <f t="shared" ref="BG775" si="3678">SUM(BG772:BG774)</f>
        <v>91154</v>
      </c>
      <c r="BH775" s="838">
        <f t="shared" ref="BH775:BI775" si="3679">SUM(BH772:BH774)</f>
        <v>96571</v>
      </c>
      <c r="BI775" s="838">
        <f t="shared" si="3679"/>
        <v>110360</v>
      </c>
      <c r="BJ775" s="838">
        <f t="shared" ref="BJ775:BL775" si="3680">SUM(BJ772:BJ774)</f>
        <v>125843</v>
      </c>
      <c r="BK775" s="838">
        <f t="shared" si="3680"/>
        <v>143015</v>
      </c>
      <c r="BL775" s="838">
        <f t="shared" si="3680"/>
        <v>168088</v>
      </c>
      <c r="BM775" s="838">
        <f t="shared" ref="BM775:BN775" si="3681">SUM(BM772:BM774)</f>
        <v>198270</v>
      </c>
      <c r="BN775" s="838">
        <f t="shared" si="3681"/>
        <v>211915</v>
      </c>
      <c r="BO775" s="838">
        <f t="shared" si="3650"/>
        <v>245122</v>
      </c>
      <c r="BP775" s="838">
        <f t="shared" si="3651"/>
        <v>281211.84671227756</v>
      </c>
      <c r="BQ775" s="838"/>
    </row>
    <row r="776" spans="2:69" s="7" customFormat="1">
      <c r="B776" s="887" t="s">
        <v>113</v>
      </c>
      <c r="D776" s="946"/>
      <c r="E776" s="946"/>
      <c r="F776" s="946"/>
      <c r="G776" s="946"/>
      <c r="H776" s="946">
        <f>+H775/D775-1</f>
        <v>4.8684839789574275E-2</v>
      </c>
      <c r="I776" s="946">
        <f t="shared" ref="I776:O776" si="3682">+I775/E775-1</f>
        <v>2.2690373420979792E-2</v>
      </c>
      <c r="J776" s="946">
        <f t="shared" si="3682"/>
        <v>7.8774922154575489E-2</v>
      </c>
      <c r="K776" s="946">
        <f t="shared" si="3682"/>
        <v>9.0781289937803544E-2</v>
      </c>
      <c r="L776" s="946">
        <f t="shared" si="3682"/>
        <v>0.11902590295512594</v>
      </c>
      <c r="M776" s="946">
        <f t="shared" si="3682"/>
        <v>0.11972430883605667</v>
      </c>
      <c r="N776" s="946">
        <f t="shared" si="3682"/>
        <v>0.15539376184732046</v>
      </c>
      <c r="O776" s="946">
        <f t="shared" si="3682"/>
        <v>0.17496582698691654</v>
      </c>
      <c r="P776" s="946">
        <f t="shared" ref="P776" si="3683">+P775/L775-1</f>
        <v>0.18526367267095933</v>
      </c>
      <c r="Q776" s="946">
        <f t="shared" ref="Q776" si="3684">+Q775/M775-1</f>
        <v>0.12286465177398154</v>
      </c>
      <c r="R776" s="946">
        <f t="shared" ref="R776" si="3685">+R775/N775-1</f>
        <v>0.13990081658525666</v>
      </c>
      <c r="S776" s="946">
        <f t="shared" ref="S776" si="3686">+S775/O775-1</f>
        <v>0.12072461359481479</v>
      </c>
      <c r="T776" s="946">
        <f t="shared" ref="T776" si="3687">+T775/P775-1</f>
        <v>0.13653555219364599</v>
      </c>
      <c r="U776" s="946">
        <f t="shared" ref="U776" si="3688">+U775/Q775-1</f>
        <v>0.13658341289150311</v>
      </c>
      <c r="V776" s="946">
        <f t="shared" ref="V776" si="3689">+V775/R775-1</f>
        <v>0.14556278826338698</v>
      </c>
      <c r="W776" s="946">
        <f t="shared" ref="W776" si="3690">+W775/S775-1</f>
        <v>0.12800664353293589</v>
      </c>
      <c r="X776" s="946">
        <f t="shared" ref="X776" si="3691">+X775/T775-1</f>
        <v>0.12400544546967174</v>
      </c>
      <c r="Y776" s="946">
        <f t="shared" ref="Y776" si="3692">+Y775/U775-1</f>
        <v>0.16718148810491518</v>
      </c>
      <c r="Z776" s="946">
        <f t="shared" ref="Z776" si="3693">+Z775/V775-1</f>
        <v>0.19088546871876866</v>
      </c>
      <c r="AA776" s="946">
        <f t="shared" ref="AA776" si="3694">+AA775/W775-1</f>
        <v>0.21347251071437956</v>
      </c>
      <c r="AB776" s="946">
        <f t="shared" ref="AB776" si="3695">+AB775/X775-1</f>
        <v>0.21970716477364483</v>
      </c>
      <c r="AC776" s="946">
        <f t="shared" ref="AC776" si="3696">+AC775/Y775-1</f>
        <v>0.2008543040208004</v>
      </c>
      <c r="AD776" s="946">
        <f t="shared" ref="AD776" si="3697">+AD775/Z775-1</f>
        <v>0.18352275451973332</v>
      </c>
      <c r="AE776" s="946">
        <f t="shared" ref="AE776" si="3698">+AE775/AA775-1</f>
        <v>0.12378661813139202</v>
      </c>
      <c r="AF776" s="946">
        <f t="shared" ref="AF776" si="3699">+AF775/AB775-1</f>
        <v>0.1060308493501334</v>
      </c>
      <c r="AG776" s="946">
        <f t="shared" ref="AG776" si="3700">+AG775/AC775-1</f>
        <v>1.9699195793380753E-2</v>
      </c>
      <c r="AH776" s="946">
        <f t="shared" ref="AH776" si="3701">+AH775/AD775-1</f>
        <v>7.0846839546191198E-2</v>
      </c>
      <c r="AI776" s="946">
        <f t="shared" ref="AI776" si="3702">+AI775/AE775-1</f>
        <v>8.3370288248336921E-2</v>
      </c>
      <c r="AJ776" s="946">
        <f t="shared" ref="AJ776" si="3703">+AJ775/AF775-1</f>
        <v>0.12758868361198683</v>
      </c>
      <c r="AK776" s="946">
        <f t="shared" ref="AK776" si="3704">+AK775/AG775-1</f>
        <v>0.17580146738203117</v>
      </c>
      <c r="AL776" s="946">
        <f t="shared" ref="AL776" si="3705">+AL775/AH775-1</f>
        <v>0.17028964943148495</v>
      </c>
      <c r="AM776" s="946">
        <f t="shared" ref="AM776" si="3706">+AM775/AI775-1</f>
        <v>0.15195144957198026</v>
      </c>
      <c r="AN776" s="946">
        <f t="shared" ref="AN776" si="3707">+AN775/AJ775-1</f>
        <v>0.15552256259464659</v>
      </c>
      <c r="AO776" s="946">
        <f t="shared" ref="AO776" si="3708">+AO775/AK775-1</f>
        <v>0.1311671778775132</v>
      </c>
      <c r="AP776" s="946">
        <f t="shared" ref="AP776" si="3709">+AP775/AL775-1</f>
        <v>0.14868984736902036</v>
      </c>
      <c r="AQ776" s="946">
        <f t="shared" ref="AQ776" si="3710">+AQ775/AM775-1</f>
        <v>0.1539934353762682</v>
      </c>
      <c r="AT776" s="946"/>
      <c r="AU776" s="946"/>
      <c r="AV776" s="946"/>
      <c r="AW776" s="946"/>
      <c r="AX776" s="946"/>
      <c r="AY776" s="946"/>
      <c r="AZ776" s="946">
        <f t="shared" ref="AZ776:BC776" si="3711">+AZ775/AY775-1</f>
        <v>6.1764579729208124E-2</v>
      </c>
      <c r="BA776" s="946">
        <f t="shared" si="3711"/>
        <v>4.1016387703163071E-2</v>
      </c>
      <c r="BB776" s="946">
        <f t="shared" si="3711"/>
        <v>0.12319393602297279</v>
      </c>
      <c r="BC776" s="946">
        <f t="shared" si="3711"/>
        <v>7.7700874091647165E-2</v>
      </c>
      <c r="BD776" s="946">
        <f>+BD775/BC775-1</f>
        <v>-1.727933319085273E-2</v>
      </c>
      <c r="BE776" s="946">
        <f>+BE775/BD775-1</f>
        <v>5.1042266998684305E-2</v>
      </c>
      <c r="BG776" s="946"/>
      <c r="BH776" s="946">
        <f t="shared" ref="BH776:BI776" si="3712">+BH775/BG775-1</f>
        <v>5.9426903920837271E-2</v>
      </c>
      <c r="BI776" s="946">
        <f t="shared" si="3712"/>
        <v>0.14278613662486661</v>
      </c>
      <c r="BJ776" s="946">
        <f t="shared" ref="BJ776" si="3713">+BJ775/BI775-1</f>
        <v>0.14029539688292858</v>
      </c>
      <c r="BK776" s="946">
        <f t="shared" ref="BK776" si="3714">+BK775/BJ775-1</f>
        <v>0.13645574247276371</v>
      </c>
      <c r="BL776" s="946">
        <f t="shared" ref="BL776" si="3715">+BL775/BK775-1</f>
        <v>0.17531727441177503</v>
      </c>
      <c r="BM776" s="946">
        <f t="shared" ref="BM776" si="3716">+BM775/BL775-1</f>
        <v>0.17956070629670173</v>
      </c>
      <c r="BN776" s="946">
        <f t="shared" ref="BN776:BP776" si="3717">+BN775/BM775-1</f>
        <v>6.8820295556564215E-2</v>
      </c>
      <c r="BO776" s="946">
        <f t="shared" si="3717"/>
        <v>0.1566996201307127</v>
      </c>
      <c r="BP776" s="946">
        <f t="shared" si="3717"/>
        <v>0.14723218116806147</v>
      </c>
      <c r="BQ776" s="946"/>
    </row>
    <row r="778" spans="2:69">
      <c r="B778" s="878" t="s">
        <v>502</v>
      </c>
      <c r="D778" s="8">
        <f t="shared" ref="D778:AF778" si="3718">+D757</f>
        <v>6316</v>
      </c>
      <c r="E778" s="8">
        <f t="shared" si="3718"/>
        <v>7489</v>
      </c>
      <c r="F778" s="8">
        <f t="shared" si="3718"/>
        <v>6277</v>
      </c>
      <c r="G778" s="8">
        <f t="shared" si="3718"/>
        <v>5996</v>
      </c>
      <c r="H778" s="8">
        <f t="shared" si="3718"/>
        <v>6715</v>
      </c>
      <c r="I778" s="8">
        <f t="shared" si="3718"/>
        <v>7905</v>
      </c>
      <c r="J778" s="8">
        <f t="shared" si="3718"/>
        <v>6723</v>
      </c>
      <c r="K778" s="8">
        <f t="shared" si="3718"/>
        <v>7682</v>
      </c>
      <c r="L778" s="8">
        <f t="shared" si="3718"/>
        <v>7708</v>
      </c>
      <c r="M778" s="8">
        <f t="shared" si="3718"/>
        <v>8679</v>
      </c>
      <c r="N778" s="8">
        <f t="shared" si="3718"/>
        <v>8292</v>
      </c>
      <c r="O778" s="8">
        <f t="shared" si="3718"/>
        <v>10379</v>
      </c>
      <c r="P778" s="8">
        <f t="shared" si="3718"/>
        <v>9955</v>
      </c>
      <c r="Q778" s="8">
        <f t="shared" si="3718"/>
        <v>10258</v>
      </c>
      <c r="R778" s="8">
        <f t="shared" si="3718"/>
        <v>10341</v>
      </c>
      <c r="S778" s="8">
        <f t="shared" si="3718"/>
        <v>12405</v>
      </c>
      <c r="T778" s="8">
        <f t="shared" si="3718"/>
        <v>12686</v>
      </c>
      <c r="U778" s="8">
        <f t="shared" si="3718"/>
        <v>13891</v>
      </c>
      <c r="V778" s="8">
        <f t="shared" si="3718"/>
        <v>12975</v>
      </c>
      <c r="W778" s="8">
        <f t="shared" si="3718"/>
        <v>13407</v>
      </c>
      <c r="X778" s="8">
        <f t="shared" si="3718"/>
        <v>15876</v>
      </c>
      <c r="Y778" s="8">
        <f t="shared" si="3718"/>
        <v>17897</v>
      </c>
      <c r="Z778" s="8">
        <f t="shared" si="3718"/>
        <v>17048</v>
      </c>
      <c r="AA778" s="8">
        <f t="shared" si="3718"/>
        <v>19095</v>
      </c>
      <c r="AB778" s="8">
        <f t="shared" si="3718"/>
        <v>20238</v>
      </c>
      <c r="AC778" s="8">
        <f t="shared" si="3718"/>
        <v>22247</v>
      </c>
      <c r="AD778" s="8">
        <f t="shared" si="3718"/>
        <v>20364</v>
      </c>
      <c r="AE778" s="8">
        <f t="shared" si="3718"/>
        <v>20534</v>
      </c>
      <c r="AF778" s="8">
        <f t="shared" si="3718"/>
        <v>21518</v>
      </c>
      <c r="AG778" s="8">
        <f>+AG757</f>
        <v>20399</v>
      </c>
      <c r="AH778" s="8">
        <f>+AH184</f>
        <v>22352</v>
      </c>
      <c r="AI778" s="8">
        <f>+AI184</f>
        <v>24254</v>
      </c>
      <c r="AJ778" s="8">
        <f>+AJ184</f>
        <v>26895</v>
      </c>
      <c r="AK778" s="8">
        <f t="shared" ref="AK778:AM778" si="3719">+AK757</f>
        <v>27032</v>
      </c>
      <c r="AL778" s="8">
        <f t="shared" si="3719"/>
        <v>27581</v>
      </c>
      <c r="AM778" s="8">
        <f t="shared" si="3719"/>
        <v>27925</v>
      </c>
      <c r="AN778" s="8">
        <f t="shared" ref="AN778:AQ778" si="3720">+AN757</f>
        <v>31792.071747707938</v>
      </c>
      <c r="AO778" s="8">
        <f t="shared" si="3720"/>
        <v>33184.293051057095</v>
      </c>
      <c r="AP778" s="8">
        <f t="shared" si="3720"/>
        <v>33877.239026210489</v>
      </c>
      <c r="AQ778" s="8">
        <f t="shared" si="3720"/>
        <v>34436.744665397717</v>
      </c>
      <c r="AS778" s="8"/>
      <c r="AT778" s="8"/>
      <c r="AU778" s="8"/>
      <c r="AV778" s="8"/>
      <c r="AW778" s="8"/>
      <c r="AX778" s="8"/>
      <c r="AY778" s="8">
        <f t="shared" ref="AY778:BE778" si="3721">+AY757</f>
        <v>27161</v>
      </c>
      <c r="AZ778" s="8">
        <f t="shared" si="3721"/>
        <v>21763</v>
      </c>
      <c r="BA778" s="8">
        <f t="shared" si="3721"/>
        <v>26764</v>
      </c>
      <c r="BB778" s="8">
        <f t="shared" si="3721"/>
        <v>27759</v>
      </c>
      <c r="BC778" s="8">
        <f t="shared" si="3721"/>
        <v>18161</v>
      </c>
      <c r="BD778" s="8">
        <f t="shared" si="3721"/>
        <v>20182</v>
      </c>
      <c r="BE778" s="8">
        <f t="shared" si="3721"/>
        <v>22326</v>
      </c>
      <c r="BG778" s="8">
        <f t="shared" ref="BG778:BM778" si="3722">+BG757</f>
        <v>26078</v>
      </c>
      <c r="BH778" s="8">
        <f t="shared" si="3722"/>
        <v>29025</v>
      </c>
      <c r="BI778" s="8">
        <f t="shared" si="3722"/>
        <v>35058</v>
      </c>
      <c r="BJ778" s="8">
        <f t="shared" si="3722"/>
        <v>42959</v>
      </c>
      <c r="BK778" s="8">
        <f t="shared" si="3722"/>
        <v>52959</v>
      </c>
      <c r="BL778" s="8">
        <f t="shared" si="3722"/>
        <v>69916</v>
      </c>
      <c r="BM778" s="8">
        <f t="shared" si="3722"/>
        <v>83383</v>
      </c>
      <c r="BN778" s="8">
        <f t="shared" ref="BN778:BN785" si="3723">SUM(AF778:AI778)</f>
        <v>88523</v>
      </c>
      <c r="BO778" s="8">
        <f t="shared" ref="BO778:BO785" si="3724">SUM(AJ778:AM778)</f>
        <v>109433</v>
      </c>
      <c r="BP778" s="8">
        <f t="shared" ref="BP778:BP785" si="3725">+SUM(AN778:AQ778)</f>
        <v>133290.34849037323</v>
      </c>
    </row>
    <row r="779" spans="2:69">
      <c r="B779" s="878" t="s">
        <v>511</v>
      </c>
      <c r="D779" s="8">
        <f t="shared" ref="D779:O779" si="3726">+D773</f>
        <v>0</v>
      </c>
      <c r="E779" s="8">
        <f t="shared" si="3726"/>
        <v>0</v>
      </c>
      <c r="F779" s="8">
        <f t="shared" si="3726"/>
        <v>0</v>
      </c>
      <c r="G779" s="8">
        <f t="shared" si="3726"/>
        <v>0</v>
      </c>
      <c r="H779" s="8">
        <f t="shared" si="3726"/>
        <v>0</v>
      </c>
      <c r="I779" s="8">
        <f t="shared" si="3726"/>
        <v>0</v>
      </c>
      <c r="J779" s="8">
        <f t="shared" si="3726"/>
        <v>0</v>
      </c>
      <c r="K779" s="8">
        <f t="shared" si="3726"/>
        <v>0</v>
      </c>
      <c r="L779" s="8">
        <f t="shared" si="3726"/>
        <v>0</v>
      </c>
      <c r="M779" s="8">
        <f t="shared" si="3726"/>
        <v>0</v>
      </c>
      <c r="N779" s="8">
        <f t="shared" si="3726"/>
        <v>0</v>
      </c>
      <c r="O779" s="8">
        <f t="shared" si="3726"/>
        <v>0</v>
      </c>
      <c r="P779" s="8">
        <f t="shared" ref="P779:Q779" si="3727">+P773</f>
        <v>0</v>
      </c>
      <c r="Q779" s="8">
        <f t="shared" si="3727"/>
        <v>0</v>
      </c>
      <c r="R779" s="8">
        <f t="shared" ref="R779:T779" si="3728">+R773</f>
        <v>0</v>
      </c>
      <c r="S779" s="8">
        <f t="shared" si="3728"/>
        <v>0</v>
      </c>
      <c r="T779" s="8">
        <f t="shared" si="3728"/>
        <v>0</v>
      </c>
      <c r="U779" s="8">
        <f t="shared" ref="U779:V779" si="3729">+U773</f>
        <v>0</v>
      </c>
      <c r="V779" s="8">
        <f t="shared" si="3729"/>
        <v>0</v>
      </c>
      <c r="W779" s="8">
        <f t="shared" ref="W779:AA779" si="3730">+W773</f>
        <v>0</v>
      </c>
      <c r="X779" s="8">
        <f t="shared" si="3730"/>
        <v>0</v>
      </c>
      <c r="Y779" s="8">
        <f t="shared" si="3730"/>
        <v>0</v>
      </c>
      <c r="Z779" s="8">
        <f t="shared" si="3730"/>
        <v>0</v>
      </c>
      <c r="AA779" s="8">
        <f t="shared" si="3730"/>
        <v>0</v>
      </c>
      <c r="AB779" s="8">
        <f t="shared" ref="AB779" si="3731">+AB773</f>
        <v>0</v>
      </c>
      <c r="AC779" s="8">
        <f t="shared" ref="AC779:AE779" si="3732">+AC773</f>
        <v>0</v>
      </c>
      <c r="AD779" s="8">
        <f t="shared" si="3732"/>
        <v>0</v>
      </c>
      <c r="AE779" s="8">
        <f t="shared" si="3732"/>
        <v>0</v>
      </c>
      <c r="AF779" s="8">
        <f t="shared" ref="AF779:AI779" si="3733">+AF773</f>
        <v>0</v>
      </c>
      <c r="AG779" s="8">
        <f t="shared" si="3733"/>
        <v>0</v>
      </c>
      <c r="AH779" s="8">
        <f t="shared" si="3733"/>
        <v>0</v>
      </c>
      <c r="AI779" s="8">
        <f t="shared" si="3733"/>
        <v>0</v>
      </c>
      <c r="AJ779" s="8">
        <f t="shared" ref="AJ779:AM779" si="3734">+AJ773</f>
        <v>0</v>
      </c>
      <c r="AK779" s="8">
        <f t="shared" si="3734"/>
        <v>0</v>
      </c>
      <c r="AL779" s="8">
        <f t="shared" si="3734"/>
        <v>0</v>
      </c>
      <c r="AM779" s="8">
        <f t="shared" si="3734"/>
        <v>0</v>
      </c>
      <c r="AN779" s="8">
        <f t="shared" ref="AN779:AQ779" si="3735">+AN773</f>
        <v>0</v>
      </c>
      <c r="AO779" s="8">
        <f t="shared" si="3735"/>
        <v>0</v>
      </c>
      <c r="AP779" s="8">
        <f t="shared" si="3735"/>
        <v>0</v>
      </c>
      <c r="AQ779" s="8">
        <f t="shared" si="3735"/>
        <v>0</v>
      </c>
      <c r="AS779" s="8"/>
      <c r="AT779" s="8"/>
      <c r="AU779" s="8"/>
      <c r="AV779" s="8"/>
      <c r="AW779" s="8"/>
      <c r="AX779" s="8"/>
      <c r="AY779" s="8">
        <f t="shared" ref="AY779:BB779" si="3736">+AY773</f>
        <v>0</v>
      </c>
      <c r="AZ779" s="8">
        <f t="shared" si="3736"/>
        <v>0</v>
      </c>
      <c r="BA779" s="8">
        <f t="shared" si="3736"/>
        <v>0</v>
      </c>
      <c r="BB779" s="8">
        <f t="shared" si="3736"/>
        <v>0</v>
      </c>
      <c r="BC779" s="8">
        <f>+BC773</f>
        <v>0</v>
      </c>
      <c r="BD779" s="8">
        <f t="shared" ref="BD779:BE779" si="3737">+BD773</f>
        <v>6643</v>
      </c>
      <c r="BE779" s="8">
        <f t="shared" si="3737"/>
        <v>6707</v>
      </c>
      <c r="BG779" s="8">
        <f t="shared" ref="BG779:BH779" si="3738">+BG773</f>
        <v>0</v>
      </c>
      <c r="BH779" s="8">
        <f t="shared" si="3738"/>
        <v>0</v>
      </c>
      <c r="BI779" s="8">
        <f t="shared" ref="BI779:BJ779" si="3739">+BI773</f>
        <v>0</v>
      </c>
      <c r="BJ779" s="8">
        <f t="shared" si="3739"/>
        <v>0</v>
      </c>
      <c r="BK779" s="8">
        <f t="shared" ref="BK779:BL779" si="3740">+BK773</f>
        <v>0</v>
      </c>
      <c r="BL779" s="8">
        <f t="shared" si="3740"/>
        <v>0</v>
      </c>
      <c r="BM779" s="8">
        <f t="shared" ref="BM779" si="3741">+BM773</f>
        <v>0</v>
      </c>
      <c r="BN779" s="8">
        <f t="shared" si="3723"/>
        <v>0</v>
      </c>
      <c r="BO779" s="8">
        <f t="shared" si="3724"/>
        <v>0</v>
      </c>
      <c r="BP779" s="8">
        <f t="shared" si="3725"/>
        <v>0</v>
      </c>
    </row>
    <row r="780" spans="2:69">
      <c r="B780" s="878" t="s">
        <v>514</v>
      </c>
      <c r="D780" s="8">
        <v>0</v>
      </c>
      <c r="E780" s="8">
        <v>0</v>
      </c>
      <c r="F780" s="8">
        <v>0</v>
      </c>
      <c r="G780" s="8">
        <v>0</v>
      </c>
      <c r="H780" s="8">
        <v>0</v>
      </c>
      <c r="I780" s="8">
        <v>0</v>
      </c>
      <c r="J780" s="8">
        <v>0</v>
      </c>
      <c r="K780" s="8">
        <v>0</v>
      </c>
      <c r="L780" s="8">
        <v>0</v>
      </c>
      <c r="M780" s="8">
        <v>0</v>
      </c>
      <c r="N780" s="8">
        <v>0</v>
      </c>
      <c r="O780" s="8">
        <v>0</v>
      </c>
      <c r="P780" s="8">
        <v>0</v>
      </c>
      <c r="Q780" s="8">
        <v>0</v>
      </c>
      <c r="R780" s="8">
        <v>0</v>
      </c>
      <c r="S780" s="8">
        <v>0</v>
      </c>
      <c r="T780" s="8">
        <v>0</v>
      </c>
      <c r="U780" s="8">
        <v>0</v>
      </c>
      <c r="V780" s="8">
        <v>0</v>
      </c>
      <c r="W780" s="29">
        <v>450</v>
      </c>
      <c r="X780" s="8">
        <v>0</v>
      </c>
      <c r="Y780" s="8">
        <v>0</v>
      </c>
      <c r="Z780" s="8">
        <v>0</v>
      </c>
      <c r="AA780" s="8">
        <v>0</v>
      </c>
      <c r="AB780" s="8">
        <v>0</v>
      </c>
      <c r="AC780" s="8">
        <v>0</v>
      </c>
      <c r="AD780" s="8">
        <v>0</v>
      </c>
      <c r="AE780" s="8">
        <v>0</v>
      </c>
      <c r="AF780" s="8">
        <v>0</v>
      </c>
      <c r="AG780" s="8">
        <v>0</v>
      </c>
      <c r="AH780" s="8">
        <v>0</v>
      </c>
      <c r="AI780" s="8">
        <v>0</v>
      </c>
      <c r="AJ780" s="8">
        <v>0</v>
      </c>
      <c r="AK780" s="8">
        <v>0</v>
      </c>
      <c r="AL780" s="8">
        <v>0</v>
      </c>
      <c r="AM780" s="8">
        <v>0</v>
      </c>
      <c r="AN780" s="8">
        <v>0</v>
      </c>
      <c r="AO780" s="8">
        <v>0</v>
      </c>
      <c r="AP780" s="8">
        <v>0</v>
      </c>
      <c r="AQ780" s="8">
        <v>0</v>
      </c>
      <c r="AS780" s="8"/>
      <c r="AT780" s="8"/>
      <c r="AU780" s="8"/>
      <c r="AV780" s="8"/>
      <c r="AW780" s="8"/>
      <c r="AX780" s="8"/>
      <c r="AY780" s="8">
        <v>0</v>
      </c>
      <c r="AZ780" s="8">
        <v>0</v>
      </c>
      <c r="BA780" s="8">
        <v>0</v>
      </c>
      <c r="BB780" s="8">
        <v>0</v>
      </c>
      <c r="BC780" s="8">
        <v>0</v>
      </c>
      <c r="BD780" s="8">
        <v>0</v>
      </c>
      <c r="BE780" s="8">
        <v>0</v>
      </c>
      <c r="BF780" s="8"/>
      <c r="BG780" s="8">
        <v>0</v>
      </c>
      <c r="BH780" s="8">
        <v>0</v>
      </c>
      <c r="BI780" s="8">
        <v>0</v>
      </c>
      <c r="BJ780" s="8">
        <v>0</v>
      </c>
      <c r="BK780" s="8">
        <f>SUM(T780:W780)</f>
        <v>450</v>
      </c>
      <c r="BL780" s="8">
        <v>0</v>
      </c>
      <c r="BM780" s="8">
        <v>0</v>
      </c>
      <c r="BN780" s="8">
        <f t="shared" si="3723"/>
        <v>0</v>
      </c>
      <c r="BO780" s="8">
        <f t="shared" si="3724"/>
        <v>0</v>
      </c>
      <c r="BP780" s="8">
        <f t="shared" si="3725"/>
        <v>0</v>
      </c>
    </row>
    <row r="781" spans="2:69">
      <c r="B781" s="878" t="s">
        <v>512</v>
      </c>
      <c r="D781" s="8">
        <f t="shared" ref="D781:O781" si="3742">+D774</f>
        <v>0</v>
      </c>
      <c r="E781" s="8">
        <f t="shared" si="3742"/>
        <v>0</v>
      </c>
      <c r="F781" s="8">
        <f t="shared" si="3742"/>
        <v>0</v>
      </c>
      <c r="G781" s="8">
        <f t="shared" si="3742"/>
        <v>0</v>
      </c>
      <c r="H781" s="8">
        <f t="shared" si="3742"/>
        <v>0</v>
      </c>
      <c r="I781" s="8">
        <f t="shared" si="3742"/>
        <v>0</v>
      </c>
      <c r="J781" s="8">
        <f t="shared" si="3742"/>
        <v>0</v>
      </c>
      <c r="K781" s="8">
        <f t="shared" si="3742"/>
        <v>0</v>
      </c>
      <c r="L781" s="8">
        <f t="shared" si="3742"/>
        <v>0</v>
      </c>
      <c r="M781" s="8">
        <f t="shared" si="3742"/>
        <v>0</v>
      </c>
      <c r="N781" s="8">
        <f t="shared" si="3742"/>
        <v>0</v>
      </c>
      <c r="O781" s="8">
        <f t="shared" si="3742"/>
        <v>0</v>
      </c>
      <c r="P781" s="8">
        <f t="shared" ref="P781:Q781" si="3743">+P774</f>
        <v>0</v>
      </c>
      <c r="Q781" s="8">
        <f t="shared" si="3743"/>
        <v>0</v>
      </c>
      <c r="R781" s="8">
        <f t="shared" ref="R781:T781" si="3744">+R774</f>
        <v>0</v>
      </c>
      <c r="S781" s="8">
        <f t="shared" si="3744"/>
        <v>0</v>
      </c>
      <c r="T781" s="8">
        <f t="shared" si="3744"/>
        <v>0</v>
      </c>
      <c r="U781" s="8">
        <f t="shared" ref="U781:V781" si="3745">+U774</f>
        <v>0</v>
      </c>
      <c r="V781" s="8">
        <f t="shared" si="3745"/>
        <v>0</v>
      </c>
      <c r="W781" s="8">
        <f t="shared" ref="W781:AA781" si="3746">+W774</f>
        <v>0</v>
      </c>
      <c r="X781" s="8">
        <f t="shared" si="3746"/>
        <v>0</v>
      </c>
      <c r="Y781" s="8">
        <f t="shared" si="3746"/>
        <v>0</v>
      </c>
      <c r="Z781" s="8">
        <f t="shared" si="3746"/>
        <v>0</v>
      </c>
      <c r="AA781" s="8">
        <f t="shared" si="3746"/>
        <v>0</v>
      </c>
      <c r="AB781" s="8">
        <f t="shared" ref="AB781" si="3747">+AB774</f>
        <v>0</v>
      </c>
      <c r="AC781" s="8">
        <f t="shared" ref="AC781:AE781" si="3748">+AC774</f>
        <v>0</v>
      </c>
      <c r="AD781" s="8">
        <f t="shared" si="3748"/>
        <v>0</v>
      </c>
      <c r="AE781" s="8">
        <f t="shared" si="3748"/>
        <v>0</v>
      </c>
      <c r="AF781" s="8">
        <f t="shared" ref="AF781:AI781" si="3749">+AF774</f>
        <v>0</v>
      </c>
      <c r="AG781" s="8">
        <f t="shared" si="3749"/>
        <v>0</v>
      </c>
      <c r="AH781" s="8">
        <f t="shared" si="3749"/>
        <v>0</v>
      </c>
      <c r="AI781" s="8">
        <f t="shared" si="3749"/>
        <v>0</v>
      </c>
      <c r="AJ781" s="8">
        <f t="shared" ref="AJ781:AM781" si="3750">+AJ774</f>
        <v>0</v>
      </c>
      <c r="AK781" s="8">
        <f t="shared" si="3750"/>
        <v>0</v>
      </c>
      <c r="AL781" s="8">
        <f t="shared" si="3750"/>
        <v>0</v>
      </c>
      <c r="AM781" s="8">
        <f t="shared" si="3750"/>
        <v>0</v>
      </c>
      <c r="AN781" s="8">
        <f t="shared" ref="AN781:AQ781" si="3751">+AN774</f>
        <v>0</v>
      </c>
      <c r="AO781" s="8">
        <f t="shared" si="3751"/>
        <v>0</v>
      </c>
      <c r="AP781" s="8">
        <f t="shared" si="3751"/>
        <v>0</v>
      </c>
      <c r="AQ781" s="8">
        <f t="shared" si="3751"/>
        <v>0</v>
      </c>
      <c r="AS781" s="8"/>
      <c r="AT781" s="8"/>
      <c r="AU781" s="8"/>
      <c r="AV781" s="8"/>
      <c r="AW781" s="8"/>
      <c r="AX781" s="8"/>
      <c r="AY781" s="8">
        <f t="shared" ref="AY781:BE781" si="3752">+AY774</f>
        <v>0</v>
      </c>
      <c r="AZ781" s="8">
        <f t="shared" si="3752"/>
        <v>540</v>
      </c>
      <c r="BA781" s="8">
        <f t="shared" si="3752"/>
        <v>-540</v>
      </c>
      <c r="BB781" s="8">
        <f t="shared" si="3752"/>
        <v>0</v>
      </c>
      <c r="BC781" s="8">
        <f t="shared" si="3752"/>
        <v>0</v>
      </c>
      <c r="BD781" s="8">
        <f t="shared" si="3752"/>
        <v>0</v>
      </c>
      <c r="BE781" s="8">
        <f t="shared" si="3752"/>
        <v>0</v>
      </c>
      <c r="BG781" s="8">
        <f t="shared" ref="BG781:BH781" si="3753">+BG774</f>
        <v>0</v>
      </c>
      <c r="BH781" s="8">
        <f t="shared" si="3753"/>
        <v>0</v>
      </c>
      <c r="BI781" s="8">
        <f t="shared" ref="BI781:BJ781" si="3754">+BI774</f>
        <v>0</v>
      </c>
      <c r="BJ781" s="8">
        <f t="shared" si="3754"/>
        <v>0</v>
      </c>
      <c r="BK781" s="8">
        <f t="shared" ref="BK781:BL781" si="3755">+BK774</f>
        <v>0</v>
      </c>
      <c r="BL781" s="8">
        <f t="shared" si="3755"/>
        <v>0</v>
      </c>
      <c r="BM781" s="8">
        <f t="shared" ref="BM781" si="3756">+BM774</f>
        <v>0</v>
      </c>
      <c r="BN781" s="8">
        <f t="shared" si="3723"/>
        <v>0</v>
      </c>
      <c r="BO781" s="8">
        <f t="shared" si="3724"/>
        <v>0</v>
      </c>
      <c r="BP781" s="8">
        <f t="shared" si="3725"/>
        <v>0</v>
      </c>
    </row>
    <row r="782" spans="2:69">
      <c r="B782" s="878" t="s">
        <v>515</v>
      </c>
      <c r="D782" s="879">
        <v>0</v>
      </c>
      <c r="E782" s="879">
        <v>0</v>
      </c>
      <c r="F782" s="879">
        <v>0</v>
      </c>
      <c r="G782" s="879">
        <v>0</v>
      </c>
      <c r="H782" s="879">
        <v>0</v>
      </c>
      <c r="I782" s="879">
        <v>0</v>
      </c>
      <c r="J782" s="879">
        <v>0</v>
      </c>
      <c r="K782" s="879">
        <v>0</v>
      </c>
      <c r="L782" s="879">
        <v>0</v>
      </c>
      <c r="M782" s="879">
        <v>0</v>
      </c>
      <c r="N782" s="879">
        <v>0</v>
      </c>
      <c r="O782" s="879">
        <v>0</v>
      </c>
      <c r="P782" s="879">
        <v>0</v>
      </c>
      <c r="Q782" s="879">
        <v>0</v>
      </c>
      <c r="R782" s="879">
        <v>0</v>
      </c>
      <c r="S782" s="879">
        <v>0</v>
      </c>
      <c r="T782" s="879">
        <v>0</v>
      </c>
      <c r="U782" s="879">
        <v>0</v>
      </c>
      <c r="V782" s="879">
        <v>0</v>
      </c>
      <c r="W782" s="879">
        <v>0</v>
      </c>
      <c r="X782" s="879">
        <v>0</v>
      </c>
      <c r="Y782" s="879">
        <v>0</v>
      </c>
      <c r="Z782" s="879">
        <v>0</v>
      </c>
      <c r="AA782" s="879">
        <v>0</v>
      </c>
      <c r="AB782" s="879">
        <v>0</v>
      </c>
      <c r="AC782" s="879">
        <v>0</v>
      </c>
      <c r="AD782" s="879">
        <v>0</v>
      </c>
      <c r="AE782" s="879">
        <v>0</v>
      </c>
      <c r="AF782" s="879">
        <v>0</v>
      </c>
      <c r="AG782" s="879">
        <v>0</v>
      </c>
      <c r="AH782" s="879">
        <v>0</v>
      </c>
      <c r="AI782" s="879">
        <v>0</v>
      </c>
      <c r="AJ782" s="879">
        <v>0</v>
      </c>
      <c r="AK782" s="879">
        <v>0</v>
      </c>
      <c r="AL782" s="879">
        <v>0</v>
      </c>
      <c r="AM782" s="879">
        <v>0</v>
      </c>
      <c r="AN782" s="879">
        <v>0</v>
      </c>
      <c r="AO782" s="879">
        <v>0</v>
      </c>
      <c r="AP782" s="879">
        <v>0</v>
      </c>
      <c r="AQ782" s="879">
        <v>0</v>
      </c>
      <c r="AS782" s="879"/>
      <c r="AT782" s="879"/>
      <c r="AU782" s="879"/>
      <c r="AV782" s="879"/>
      <c r="AW782" s="879"/>
      <c r="AX782" s="879"/>
      <c r="AY782" s="879">
        <v>0</v>
      </c>
      <c r="AZ782" s="879">
        <v>0</v>
      </c>
      <c r="BA782" s="879">
        <v>733</v>
      </c>
      <c r="BB782" s="879">
        <v>0</v>
      </c>
      <c r="BC782" s="879">
        <v>0</v>
      </c>
      <c r="BD782" s="879">
        <v>0</v>
      </c>
      <c r="BE782" s="879">
        <v>0</v>
      </c>
      <c r="BG782" s="879">
        <v>0</v>
      </c>
      <c r="BH782" s="879">
        <v>0</v>
      </c>
      <c r="BI782" s="879">
        <v>0</v>
      </c>
      <c r="BJ782" s="879">
        <v>0</v>
      </c>
      <c r="BK782" s="879">
        <v>0</v>
      </c>
      <c r="BL782" s="879">
        <v>0</v>
      </c>
      <c r="BM782" s="879">
        <v>0</v>
      </c>
      <c r="BN782" s="879">
        <f t="shared" si="3723"/>
        <v>0</v>
      </c>
      <c r="BO782" s="879">
        <f t="shared" si="3724"/>
        <v>0</v>
      </c>
      <c r="BP782" s="879">
        <f t="shared" si="3725"/>
        <v>0</v>
      </c>
    </row>
    <row r="783" spans="2:69">
      <c r="B783" s="878" t="s">
        <v>516</v>
      </c>
      <c r="D783" s="8">
        <v>0</v>
      </c>
      <c r="E783" s="8">
        <v>0</v>
      </c>
      <c r="F783" s="8">
        <v>0</v>
      </c>
      <c r="G783" s="8">
        <v>0</v>
      </c>
      <c r="H783" s="8">
        <v>0</v>
      </c>
      <c r="I783" s="8">
        <v>0</v>
      </c>
      <c r="J783" s="8">
        <v>0</v>
      </c>
      <c r="K783" s="8">
        <v>0</v>
      </c>
      <c r="L783" s="8">
        <v>0</v>
      </c>
      <c r="M783" s="8">
        <v>0</v>
      </c>
      <c r="N783" s="8">
        <v>0</v>
      </c>
      <c r="O783" s="8">
        <v>0</v>
      </c>
      <c r="P783" s="8">
        <v>0</v>
      </c>
      <c r="Q783" s="8">
        <v>0</v>
      </c>
      <c r="R783" s="8">
        <v>0</v>
      </c>
      <c r="S783" s="8">
        <v>0</v>
      </c>
      <c r="T783" s="8">
        <v>0</v>
      </c>
      <c r="U783" s="8">
        <v>0</v>
      </c>
      <c r="V783" s="8">
        <v>0</v>
      </c>
      <c r="W783" s="29">
        <v>450</v>
      </c>
      <c r="X783" s="8">
        <v>0</v>
      </c>
      <c r="Y783" s="8">
        <v>0</v>
      </c>
      <c r="Z783" s="8">
        <v>0</v>
      </c>
      <c r="AA783" s="8">
        <v>0</v>
      </c>
      <c r="AB783" s="8">
        <v>0</v>
      </c>
      <c r="AC783" s="8">
        <v>0</v>
      </c>
      <c r="AD783" s="8">
        <v>0</v>
      </c>
      <c r="AE783" s="8">
        <v>0</v>
      </c>
      <c r="AF783" s="8">
        <v>0</v>
      </c>
      <c r="AG783" s="8">
        <v>0</v>
      </c>
      <c r="AH783" s="8">
        <v>0</v>
      </c>
      <c r="AI783" s="8">
        <v>0</v>
      </c>
      <c r="AJ783" s="8">
        <v>0</v>
      </c>
      <c r="AK783" s="8">
        <f>580+550</f>
        <v>1130</v>
      </c>
      <c r="AL783" s="8">
        <f>670+270</f>
        <v>940</v>
      </c>
      <c r="AM783" s="8">
        <f>690+250</f>
        <v>940</v>
      </c>
      <c r="AN783" s="8">
        <v>0</v>
      </c>
      <c r="AO783" s="8">
        <v>0</v>
      </c>
      <c r="AP783" s="8">
        <v>0</v>
      </c>
      <c r="AQ783" s="8">
        <v>0</v>
      </c>
      <c r="AS783" s="8"/>
      <c r="AT783" s="8"/>
      <c r="AU783" s="8"/>
      <c r="AV783" s="8"/>
      <c r="AW783" s="8"/>
      <c r="AX783" s="8"/>
      <c r="AY783" s="8">
        <v>0</v>
      </c>
      <c r="AZ783" s="8">
        <v>0</v>
      </c>
      <c r="BA783" s="8">
        <v>0</v>
      </c>
      <c r="BB783" s="8">
        <v>0</v>
      </c>
      <c r="BC783" s="8">
        <v>0</v>
      </c>
      <c r="BD783" s="8">
        <v>0</v>
      </c>
      <c r="BE783" s="8">
        <v>0</v>
      </c>
      <c r="BF783" s="8"/>
      <c r="BG783" s="8">
        <v>0</v>
      </c>
      <c r="BH783" s="8">
        <v>0</v>
      </c>
      <c r="BI783" s="8">
        <v>0</v>
      </c>
      <c r="BJ783" s="8">
        <v>0</v>
      </c>
      <c r="BK783" s="8">
        <v>0</v>
      </c>
      <c r="BL783" s="8">
        <v>0</v>
      </c>
      <c r="BM783" s="8">
        <v>0</v>
      </c>
      <c r="BN783" s="8">
        <f t="shared" ref="BN783" si="3757">SUM(AF783:AI783)</f>
        <v>0</v>
      </c>
      <c r="BO783" s="8">
        <f t="shared" ref="BO783" si="3758">SUM(AJ783:AM783)</f>
        <v>3010</v>
      </c>
      <c r="BP783" s="8">
        <f t="shared" si="3725"/>
        <v>0</v>
      </c>
    </row>
    <row r="784" spans="2:69" ht="11.45">
      <c r="B784" s="878" t="s">
        <v>517</v>
      </c>
      <c r="D784" s="10">
        <f t="shared" ref="D784:AI784" si="3759">+D756</f>
        <v>0</v>
      </c>
      <c r="E784" s="10">
        <f t="shared" si="3759"/>
        <v>0</v>
      </c>
      <c r="F784" s="10">
        <f t="shared" si="3759"/>
        <v>0</v>
      </c>
      <c r="G784" s="10">
        <f t="shared" si="3759"/>
        <v>1110</v>
      </c>
      <c r="H784" s="10">
        <f t="shared" si="3759"/>
        <v>0</v>
      </c>
      <c r="I784" s="10">
        <f t="shared" si="3759"/>
        <v>0</v>
      </c>
      <c r="J784" s="10">
        <f t="shared" si="3759"/>
        <v>0</v>
      </c>
      <c r="K784" s="10">
        <f t="shared" si="3759"/>
        <v>306</v>
      </c>
      <c r="L784" s="10">
        <f t="shared" si="3759"/>
        <v>0</v>
      </c>
      <c r="M784" s="10">
        <f t="shared" si="3759"/>
        <v>0</v>
      </c>
      <c r="N784" s="10">
        <f t="shared" si="3759"/>
        <v>0</v>
      </c>
      <c r="O784" s="10">
        <f t="shared" si="3759"/>
        <v>0</v>
      </c>
      <c r="P784" s="10">
        <f t="shared" si="3759"/>
        <v>0</v>
      </c>
      <c r="Q784" s="10">
        <f t="shared" si="3759"/>
        <v>0</v>
      </c>
      <c r="R784" s="10">
        <f t="shared" si="3759"/>
        <v>0</v>
      </c>
      <c r="S784" s="10">
        <f t="shared" si="3759"/>
        <v>0</v>
      </c>
      <c r="T784" s="10">
        <f t="shared" si="3759"/>
        <v>0</v>
      </c>
      <c r="U784" s="10">
        <f t="shared" si="3759"/>
        <v>0</v>
      </c>
      <c r="V784" s="10">
        <f t="shared" si="3759"/>
        <v>0</v>
      </c>
      <c r="W784" s="10">
        <f t="shared" si="3759"/>
        <v>0</v>
      </c>
      <c r="X784" s="10">
        <f t="shared" si="3759"/>
        <v>0</v>
      </c>
      <c r="Y784" s="10">
        <f t="shared" si="3759"/>
        <v>0</v>
      </c>
      <c r="Z784" s="10">
        <f t="shared" si="3759"/>
        <v>0</v>
      </c>
      <c r="AA784" s="10">
        <f t="shared" si="3759"/>
        <v>0</v>
      </c>
      <c r="AB784" s="10">
        <f t="shared" si="3759"/>
        <v>0</v>
      </c>
      <c r="AC784" s="10">
        <f t="shared" si="3759"/>
        <v>0</v>
      </c>
      <c r="AD784" s="10">
        <f t="shared" si="3759"/>
        <v>0</v>
      </c>
      <c r="AE784" s="10">
        <f t="shared" si="3759"/>
        <v>0</v>
      </c>
      <c r="AF784" s="10">
        <f t="shared" si="3759"/>
        <v>0</v>
      </c>
      <c r="AG784" s="10">
        <v>1171</v>
      </c>
      <c r="AH784" s="10">
        <f t="shared" si="3759"/>
        <v>0</v>
      </c>
      <c r="AI784" s="10">
        <f t="shared" si="3759"/>
        <v>0</v>
      </c>
      <c r="AJ784" s="10">
        <f t="shared" ref="AJ784:AM784" si="3760">+AJ756</f>
        <v>0</v>
      </c>
      <c r="AK784" s="10">
        <f t="shared" si="3760"/>
        <v>0</v>
      </c>
      <c r="AL784" s="10">
        <f t="shared" si="3760"/>
        <v>0</v>
      </c>
      <c r="AM784" s="10">
        <f t="shared" si="3760"/>
        <v>0</v>
      </c>
      <c r="AN784" s="10">
        <f t="shared" ref="AN784:AQ784" si="3761">+AN756</f>
        <v>0</v>
      </c>
      <c r="AO784" s="10">
        <f t="shared" si="3761"/>
        <v>0</v>
      </c>
      <c r="AP784" s="10">
        <f t="shared" si="3761"/>
        <v>0</v>
      </c>
      <c r="AQ784" s="10">
        <f t="shared" si="3761"/>
        <v>0</v>
      </c>
      <c r="AS784" s="10"/>
      <c r="AT784" s="10"/>
      <c r="AU784" s="10"/>
      <c r="AV784" s="10"/>
      <c r="AW784" s="10"/>
      <c r="AX784" s="10"/>
      <c r="AY784" s="10">
        <f t="shared" ref="AY784:BE784" si="3762">+AY756</f>
        <v>0</v>
      </c>
      <c r="AZ784" s="10">
        <f t="shared" si="3762"/>
        <v>6193</v>
      </c>
      <c r="BA784" s="10">
        <f t="shared" si="3762"/>
        <v>0</v>
      </c>
      <c r="BB784" s="10">
        <f t="shared" si="3762"/>
        <v>127</v>
      </c>
      <c r="BC784" s="10">
        <f t="shared" si="3762"/>
        <v>10011</v>
      </c>
      <c r="BD784" s="10">
        <f t="shared" si="3762"/>
        <v>1110</v>
      </c>
      <c r="BE784" s="10">
        <f t="shared" si="3762"/>
        <v>306</v>
      </c>
      <c r="BG784" s="10">
        <f t="shared" ref="BG784:BM784" si="3763">+BG756</f>
        <v>1110</v>
      </c>
      <c r="BH784" s="10">
        <f t="shared" si="3763"/>
        <v>306</v>
      </c>
      <c r="BI784" s="10">
        <f t="shared" si="3763"/>
        <v>0</v>
      </c>
      <c r="BJ784" s="10">
        <f t="shared" si="3763"/>
        <v>0</v>
      </c>
      <c r="BK784" s="10">
        <f t="shared" si="3763"/>
        <v>0</v>
      </c>
      <c r="BL784" s="10">
        <f t="shared" si="3763"/>
        <v>0</v>
      </c>
      <c r="BM784" s="10">
        <f t="shared" si="3763"/>
        <v>0</v>
      </c>
      <c r="BN784" s="10">
        <f t="shared" si="3723"/>
        <v>1171</v>
      </c>
      <c r="BO784" s="10">
        <f t="shared" si="3724"/>
        <v>0</v>
      </c>
      <c r="BP784" s="10">
        <f t="shared" si="3725"/>
        <v>0</v>
      </c>
    </row>
    <row r="785" spans="1:68" s="1" customFormat="1" ht="10.5">
      <c r="B785" s="882" t="s">
        <v>518</v>
      </c>
      <c r="D785" s="838">
        <f t="shared" ref="D785" si="3764">SUM(D778:D784)</f>
        <v>6316</v>
      </c>
      <c r="E785" s="838">
        <f t="shared" ref="E785" si="3765">SUM(E778:E784)</f>
        <v>7489</v>
      </c>
      <c r="F785" s="838">
        <f t="shared" ref="F785" si="3766">SUM(F778:F784)</f>
        <v>6277</v>
      </c>
      <c r="G785" s="838">
        <f t="shared" ref="G785" si="3767">SUM(G778:G784)</f>
        <v>7106</v>
      </c>
      <c r="H785" s="838">
        <f t="shared" ref="H785" si="3768">SUM(H778:H784)</f>
        <v>6715</v>
      </c>
      <c r="I785" s="838">
        <f t="shared" ref="I785" si="3769">SUM(I778:I784)</f>
        <v>7905</v>
      </c>
      <c r="J785" s="838">
        <f t="shared" ref="J785" si="3770">SUM(J778:J784)</f>
        <v>6723</v>
      </c>
      <c r="K785" s="838">
        <f t="shared" ref="K785" si="3771">SUM(K778:K784)</f>
        <v>7988</v>
      </c>
      <c r="L785" s="838">
        <f t="shared" ref="L785" si="3772">SUM(L778:L784)</f>
        <v>7708</v>
      </c>
      <c r="M785" s="838">
        <f t="shared" ref="M785" si="3773">SUM(M778:M784)</f>
        <v>8679</v>
      </c>
      <c r="N785" s="838">
        <f t="shared" ref="N785" si="3774">SUM(N778:N784)</f>
        <v>8292</v>
      </c>
      <c r="O785" s="838">
        <f t="shared" ref="O785:P785" si="3775">SUM(O778:O784)</f>
        <v>10379</v>
      </c>
      <c r="P785" s="838">
        <f t="shared" si="3775"/>
        <v>9955</v>
      </c>
      <c r="Q785" s="838">
        <f t="shared" ref="Q785:T785" si="3776">SUM(Q778:Q784)</f>
        <v>10258</v>
      </c>
      <c r="R785" s="838">
        <f t="shared" si="3776"/>
        <v>10341</v>
      </c>
      <c r="S785" s="838">
        <f t="shared" si="3776"/>
        <v>12405</v>
      </c>
      <c r="T785" s="838">
        <f t="shared" si="3776"/>
        <v>12686</v>
      </c>
      <c r="U785" s="838">
        <f t="shared" ref="U785:V785" si="3777">SUM(U778:U784)</f>
        <v>13891</v>
      </c>
      <c r="V785" s="838">
        <f t="shared" si="3777"/>
        <v>12975</v>
      </c>
      <c r="W785" s="838">
        <f t="shared" ref="W785:AA785" si="3778">SUM(W778:W784)</f>
        <v>14307</v>
      </c>
      <c r="X785" s="838">
        <f t="shared" si="3778"/>
        <v>15876</v>
      </c>
      <c r="Y785" s="838">
        <f t="shared" si="3778"/>
        <v>17897</v>
      </c>
      <c r="Z785" s="838">
        <f t="shared" si="3778"/>
        <v>17048</v>
      </c>
      <c r="AA785" s="838">
        <f t="shared" si="3778"/>
        <v>19095</v>
      </c>
      <c r="AB785" s="838">
        <f t="shared" ref="AB785" si="3779">SUM(AB778:AB784)</f>
        <v>20238</v>
      </c>
      <c r="AC785" s="838">
        <f t="shared" ref="AC785:AE785" si="3780">SUM(AC778:AC784)</f>
        <v>22247</v>
      </c>
      <c r="AD785" s="838">
        <f t="shared" si="3780"/>
        <v>20364</v>
      </c>
      <c r="AE785" s="838">
        <f t="shared" si="3780"/>
        <v>20534</v>
      </c>
      <c r="AF785" s="838">
        <f t="shared" ref="AF785:AI785" si="3781">SUM(AF778:AF784)</f>
        <v>21518</v>
      </c>
      <c r="AG785" s="838">
        <f t="shared" si="3781"/>
        <v>21570</v>
      </c>
      <c r="AH785" s="838">
        <f t="shared" si="3781"/>
        <v>22352</v>
      </c>
      <c r="AI785" s="838">
        <f t="shared" si="3781"/>
        <v>24254</v>
      </c>
      <c r="AJ785" s="838">
        <f t="shared" ref="AJ785:AM785" si="3782">SUM(AJ778:AJ784)</f>
        <v>26895</v>
      </c>
      <c r="AK785" s="838">
        <f t="shared" si="3782"/>
        <v>28162</v>
      </c>
      <c r="AL785" s="838">
        <f t="shared" si="3782"/>
        <v>28521</v>
      </c>
      <c r="AM785" s="838">
        <f t="shared" si="3782"/>
        <v>28865</v>
      </c>
      <c r="AN785" s="838">
        <f t="shared" ref="AN785:AQ785" si="3783">SUM(AN778:AN784)</f>
        <v>31792.071747707938</v>
      </c>
      <c r="AO785" s="838">
        <f t="shared" si="3783"/>
        <v>33184.293051057095</v>
      </c>
      <c r="AP785" s="838">
        <f t="shared" si="3783"/>
        <v>33877.239026210489</v>
      </c>
      <c r="AQ785" s="838">
        <f t="shared" si="3783"/>
        <v>34436.744665397717</v>
      </c>
      <c r="AS785" s="838"/>
      <c r="AT785" s="838"/>
      <c r="AU785" s="838"/>
      <c r="AV785" s="838"/>
      <c r="AW785" s="838"/>
      <c r="AX785" s="838"/>
      <c r="AY785" s="838">
        <f t="shared" ref="AY785:BB785" si="3784">SUM(AY778:AY784)</f>
        <v>27161</v>
      </c>
      <c r="AZ785" s="838">
        <f t="shared" si="3784"/>
        <v>28496</v>
      </c>
      <c r="BA785" s="838">
        <f t="shared" si="3784"/>
        <v>26957</v>
      </c>
      <c r="BB785" s="838">
        <f t="shared" si="3784"/>
        <v>27886</v>
      </c>
      <c r="BC785" s="838">
        <f>SUM(BC778:BC784)</f>
        <v>28172</v>
      </c>
      <c r="BD785" s="838">
        <f t="shared" ref="BD785:BE785" si="3785">SUM(BD778:BD784)</f>
        <v>27935</v>
      </c>
      <c r="BE785" s="838">
        <f t="shared" si="3785"/>
        <v>29339</v>
      </c>
      <c r="BG785" s="838">
        <f t="shared" ref="BG785" si="3786">SUM(BG778:BG784)</f>
        <v>27188</v>
      </c>
      <c r="BH785" s="838">
        <f t="shared" ref="BH785:BI785" si="3787">SUM(BH778:BH784)</f>
        <v>29331</v>
      </c>
      <c r="BI785" s="838">
        <f t="shared" si="3787"/>
        <v>35058</v>
      </c>
      <c r="BJ785" s="838">
        <f t="shared" ref="BJ785:BL785" si="3788">SUM(BJ778:BJ784)</f>
        <v>42959</v>
      </c>
      <c r="BK785" s="838">
        <f t="shared" si="3788"/>
        <v>53409</v>
      </c>
      <c r="BL785" s="838">
        <f t="shared" si="3788"/>
        <v>69916</v>
      </c>
      <c r="BM785" s="838">
        <f t="shared" ref="BM785" si="3789">SUM(BM778:BM784)</f>
        <v>83383</v>
      </c>
      <c r="BN785" s="838">
        <f t="shared" si="3723"/>
        <v>89694</v>
      </c>
      <c r="BO785" s="838">
        <f t="shared" si="3724"/>
        <v>112443</v>
      </c>
      <c r="BP785" s="838">
        <f t="shared" si="3725"/>
        <v>133290.34849037323</v>
      </c>
    </row>
    <row r="786" spans="1:68" s="7" customFormat="1">
      <c r="B786" s="887" t="s">
        <v>113</v>
      </c>
      <c r="D786" s="946"/>
      <c r="E786" s="946"/>
      <c r="F786" s="946"/>
      <c r="G786" s="946"/>
      <c r="H786" s="946">
        <f>+H785/D785-1</f>
        <v>6.317289423685879E-2</v>
      </c>
      <c r="I786" s="946">
        <f t="shared" ref="I786" si="3790">+I785/E785-1</f>
        <v>5.5548137267993125E-2</v>
      </c>
      <c r="J786" s="946">
        <f t="shared" ref="J786" si="3791">+J785/F785-1</f>
        <v>7.1053050820455654E-2</v>
      </c>
      <c r="K786" s="946">
        <f t="shared" ref="K786" si="3792">+K785/G785-1</f>
        <v>0.12412046158176193</v>
      </c>
      <c r="L786" s="946">
        <f t="shared" ref="L786" si="3793">+L785/H785-1</f>
        <v>0.14787788533134782</v>
      </c>
      <c r="M786" s="946">
        <f t="shared" ref="M786" si="3794">+M785/I785-1</f>
        <v>9.7912713472485757E-2</v>
      </c>
      <c r="N786" s="946">
        <f t="shared" ref="N786" si="3795">+N785/J785-1</f>
        <v>0.23337795626952262</v>
      </c>
      <c r="O786" s="946">
        <f t="shared" ref="O786" si="3796">+O785/K785-1</f>
        <v>0.29932398597896848</v>
      </c>
      <c r="P786" s="946">
        <f t="shared" ref="P786" si="3797">+P785/L785-1</f>
        <v>0.29151530877010901</v>
      </c>
      <c r="Q786" s="946">
        <f t="shared" ref="Q786" si="3798">+Q785/M785-1</f>
        <v>0.18193340246572176</v>
      </c>
      <c r="R786" s="946">
        <f t="shared" ref="R786" si="3799">+R785/N785-1</f>
        <v>0.2471056439942112</v>
      </c>
      <c r="S786" s="946">
        <f t="shared" ref="S786" si="3800">+S785/O785-1</f>
        <v>0.19520184988919942</v>
      </c>
      <c r="T786" s="946">
        <f t="shared" ref="T786" si="3801">+T785/P785-1</f>
        <v>0.27433450527373182</v>
      </c>
      <c r="U786" s="946">
        <f t="shared" ref="U786" si="3802">+U785/Q785-1</f>
        <v>0.3541626047962565</v>
      </c>
      <c r="V786" s="946">
        <f t="shared" ref="V786" si="3803">+V785/R785-1</f>
        <v>0.25471424427038003</v>
      </c>
      <c r="W786" s="946">
        <f t="shared" ref="W786" si="3804">+W785/S785-1</f>
        <v>0.15332527206771474</v>
      </c>
      <c r="X786" s="946">
        <f t="shared" ref="X786" si="3805">+X785/T785-1</f>
        <v>0.25145830048872764</v>
      </c>
      <c r="Y786" s="946">
        <f t="shared" ref="Y786" si="3806">+Y785/U785-1</f>
        <v>0.28838816499892017</v>
      </c>
      <c r="Z786" s="946">
        <f t="shared" ref="Z786" si="3807">+Z785/V785-1</f>
        <v>0.31391136801541419</v>
      </c>
      <c r="AA786" s="946">
        <f t="shared" ref="AA786" si="3808">+AA785/W785-1</f>
        <v>0.33466135458167323</v>
      </c>
      <c r="AB786" s="946">
        <f t="shared" ref="AB786" si="3809">+AB785/X785-1</f>
        <v>0.27475434618291761</v>
      </c>
      <c r="AC786" s="946">
        <f t="shared" ref="AC786" si="3810">+AC785/Y785-1</f>
        <v>0.24305749566966539</v>
      </c>
      <c r="AD786" s="946">
        <f t="shared" ref="AD786" si="3811">+AD785/Z785-1</f>
        <v>0.19450961989676219</v>
      </c>
      <c r="AE786" s="946">
        <f t="shared" ref="AE786" si="3812">+AE785/AA785-1</f>
        <v>7.5360041895784269E-2</v>
      </c>
      <c r="AF786" s="946">
        <f t="shared" ref="AF786" si="3813">+AF785/AB785-1</f>
        <v>6.3247356458147941E-2</v>
      </c>
      <c r="AG786" s="946">
        <f t="shared" ref="AG786" si="3814">+AG785/AC785-1</f>
        <v>-3.0431069357666152E-2</v>
      </c>
      <c r="AH786" s="946">
        <f t="shared" ref="AH786" si="3815">+AH785/AD785-1</f>
        <v>9.7623256727558338E-2</v>
      </c>
      <c r="AI786" s="946">
        <f t="shared" ref="AI786" si="3816">+AI785/AE785-1</f>
        <v>0.18116294925489429</v>
      </c>
      <c r="AJ786" s="946">
        <f t="shared" ref="AJ786" si="3817">+AJ785/AF785-1</f>
        <v>0.2498838181987173</v>
      </c>
      <c r="AK786" s="946">
        <f t="shared" ref="AK786" si="3818">+AK785/AG785-1</f>
        <v>0.30560964302271665</v>
      </c>
      <c r="AL786" s="946">
        <f t="shared" ref="AL786" si="3819">+AL785/AH785-1</f>
        <v>0.2759931997136722</v>
      </c>
      <c r="AM786" s="946">
        <f t="shared" ref="AM786" si="3820">+AM785/AI785-1</f>
        <v>0.19011297105632052</v>
      </c>
      <c r="AN786" s="946">
        <f t="shared" ref="AN786" si="3821">+AN785/AJ785-1</f>
        <v>0.18208112094099049</v>
      </c>
      <c r="AO786" s="946">
        <f t="shared" ref="AO786" si="3822">+AO785/AK785-1</f>
        <v>0.17833580892895018</v>
      </c>
      <c r="AP786" s="946">
        <f t="shared" ref="AP786" si="3823">+AP785/AL785-1</f>
        <v>0.18779983262194477</v>
      </c>
      <c r="AQ786" s="946">
        <f t="shared" ref="AQ786" si="3824">+AQ785/AM785-1</f>
        <v>0.19302770363407995</v>
      </c>
      <c r="AT786" s="946"/>
      <c r="AU786" s="946"/>
      <c r="AV786" s="946"/>
      <c r="AW786" s="946"/>
      <c r="AX786" s="946"/>
      <c r="AY786" s="946"/>
      <c r="AZ786" s="946">
        <f t="shared" ref="AZ786:BD786" si="3825">+AZ785/AY785-1</f>
        <v>4.9151356724715489E-2</v>
      </c>
      <c r="BA786" s="946">
        <f t="shared" si="3825"/>
        <v>-5.4007580011229628E-2</v>
      </c>
      <c r="BB786" s="946">
        <f t="shared" si="3825"/>
        <v>3.4462291798048827E-2</v>
      </c>
      <c r="BC786" s="946">
        <f t="shared" si="3825"/>
        <v>1.025604245858136E-2</v>
      </c>
      <c r="BD786" s="946">
        <f t="shared" si="3825"/>
        <v>-8.4126082635240795E-3</v>
      </c>
      <c r="BE786" s="946">
        <f>+BE785/BD785-1</f>
        <v>5.0259531054233086E-2</v>
      </c>
      <c r="BG786" s="947" t="s">
        <v>271</v>
      </c>
      <c r="BH786" s="946">
        <f t="shared" ref="BH786:BI786" si="3826">+BH785/BG785-1</f>
        <v>7.882153891422683E-2</v>
      </c>
      <c r="BI786" s="946">
        <f t="shared" si="3826"/>
        <v>0.19525416794517736</v>
      </c>
      <c r="BJ786" s="946">
        <f t="shared" ref="BJ786" si="3827">+BJ785/BI785-1</f>
        <v>0.22536938787152727</v>
      </c>
      <c r="BK786" s="946">
        <f t="shared" ref="BK786" si="3828">+BK785/BJ785-1</f>
        <v>0.24325519681556829</v>
      </c>
      <c r="BL786" s="946">
        <f t="shared" ref="BL786" si="3829">+BL785/BK785-1</f>
        <v>0.30906776011533643</v>
      </c>
      <c r="BM786" s="946">
        <f t="shared" ref="BM786" si="3830">+BM785/BL785-1</f>
        <v>0.19261685451112753</v>
      </c>
      <c r="BN786" s="946">
        <f t="shared" ref="BN786" si="3831">+BN785/BM785-1</f>
        <v>7.5686890613194446E-2</v>
      </c>
      <c r="BO786" s="946">
        <f t="shared" ref="BO786" si="3832">+BO785/BN785-1</f>
        <v>0.25362900528463439</v>
      </c>
      <c r="BP786" s="946">
        <f t="shared" ref="BP786" si="3833">+BP785/BO785-1</f>
        <v>0.18540370223467217</v>
      </c>
    </row>
    <row r="787" spans="1:68" s="948" customFormat="1">
      <c r="A787" s="7"/>
      <c r="B787" s="887" t="s">
        <v>270</v>
      </c>
      <c r="H787" s="949" t="s">
        <v>271</v>
      </c>
      <c r="I787" s="949" t="s">
        <v>271</v>
      </c>
      <c r="J787" s="949" t="s">
        <v>271</v>
      </c>
      <c r="K787" s="949" t="s">
        <v>271</v>
      </c>
      <c r="L787" s="950">
        <v>0.15</v>
      </c>
      <c r="M787" s="950">
        <v>0.1</v>
      </c>
      <c r="N787" s="950">
        <v>0.2</v>
      </c>
      <c r="O787" s="950">
        <v>0.24</v>
      </c>
      <c r="P787" s="950">
        <v>0.28000000000000003</v>
      </c>
      <c r="Q787" s="950">
        <v>0.18</v>
      </c>
      <c r="R787" s="950">
        <v>0.27</v>
      </c>
      <c r="S787" s="950">
        <v>0.24</v>
      </c>
      <c r="T787" s="950">
        <v>0.32</v>
      </c>
      <c r="U787" s="950">
        <v>0.39</v>
      </c>
      <c r="V787" s="950">
        <v>0.28000000000000003</v>
      </c>
      <c r="W787" s="951">
        <f>+W786+4%</f>
        <v>0.19332527206771474</v>
      </c>
      <c r="X787" s="950">
        <v>0.25</v>
      </c>
      <c r="Y787" s="950">
        <v>0.26</v>
      </c>
      <c r="Z787" s="950">
        <v>0.27</v>
      </c>
      <c r="AA787" s="950">
        <v>0.35</v>
      </c>
      <c r="AB787" s="950">
        <v>0.24</v>
      </c>
      <c r="AC787" s="950">
        <v>0.24</v>
      </c>
      <c r="AD787" s="950">
        <v>0.23</v>
      </c>
      <c r="AE787" s="950">
        <v>0.14000000000000001</v>
      </c>
      <c r="AF787" s="950">
        <v>0.15</v>
      </c>
      <c r="AG787" s="950">
        <v>0.06</v>
      </c>
      <c r="AH787" s="950">
        <v>0.15</v>
      </c>
      <c r="AI787" s="950">
        <v>0.21</v>
      </c>
      <c r="AJ787" s="950">
        <v>0.24</v>
      </c>
      <c r="AK787" s="950">
        <f>+AK786-3%</f>
        <v>0.27560964302271662</v>
      </c>
      <c r="AL787" s="950">
        <f>+AL786-0%</f>
        <v>0.2759931997136722</v>
      </c>
      <c r="AM787" s="950">
        <f>+AM786+1%</f>
        <v>0.20011297105632053</v>
      </c>
      <c r="AN787" s="948">
        <f t="shared" ref="AN787:AQ787" si="3834">+AN786</f>
        <v>0.18208112094099049</v>
      </c>
      <c r="AO787" s="948">
        <f t="shared" si="3834"/>
        <v>0.17833580892895018</v>
      </c>
      <c r="AP787" s="948">
        <f t="shared" si="3834"/>
        <v>0.18779983262194477</v>
      </c>
      <c r="AQ787" s="948">
        <f t="shared" si="3834"/>
        <v>0.19302770363407995</v>
      </c>
      <c r="AZ787" s="947" t="s">
        <v>271</v>
      </c>
      <c r="BA787" s="947" t="s">
        <v>271</v>
      </c>
      <c r="BB787" s="947" t="s">
        <v>271</v>
      </c>
      <c r="BC787" s="947" t="s">
        <v>271</v>
      </c>
      <c r="BD787" s="947" t="s">
        <v>271</v>
      </c>
      <c r="BE787" s="947" t="s">
        <v>271</v>
      </c>
      <c r="BG787" s="947" t="s">
        <v>271</v>
      </c>
      <c r="BH787" s="947" t="s">
        <v>271</v>
      </c>
      <c r="BI787" s="948">
        <f>SUMPRODUCT(L787:O787,H785:K785)/BH785</f>
        <v>0.17249565306331185</v>
      </c>
      <c r="BJ787" s="948">
        <f>SUMPRODUCT(P787:S787,L785:O785)/BI785</f>
        <v>0.24103656797307321</v>
      </c>
      <c r="BK787" s="948">
        <f>SUMPRODUCT(T787:W787,P785:S785)/BJ785</f>
        <v>0.29050722782187671</v>
      </c>
      <c r="BL787" s="948">
        <f>+BL60</f>
        <v>0.28283879982628074</v>
      </c>
      <c r="BM787" s="948">
        <f>+BM60</f>
        <v>0.21025030036043252</v>
      </c>
      <c r="BN787" s="948">
        <f>+BN60</f>
        <v>0.14076322511782977</v>
      </c>
      <c r="BO787" s="948">
        <f>+BO60</f>
        <v>0.24674738555533252</v>
      </c>
    </row>
    <row r="788" spans="1:68" s="1" customFormat="1" ht="10.5">
      <c r="B788" s="887" t="s">
        <v>115</v>
      </c>
      <c r="D788" s="855">
        <f t="shared" ref="D788:AA788" si="3835">IFERROR(D785/D$732,"n/a ")</f>
        <v>0.30205643232902918</v>
      </c>
      <c r="E788" s="855">
        <f t="shared" si="3835"/>
        <v>0.29655882469409572</v>
      </c>
      <c r="F788" s="855">
        <f t="shared" si="3835"/>
        <v>0.29172282381372866</v>
      </c>
      <c r="G788" s="855">
        <f t="shared" si="3835"/>
        <v>0.30271790065604498</v>
      </c>
      <c r="H788" s="855">
        <f t="shared" si="3835"/>
        <v>0.30622947829259395</v>
      </c>
      <c r="I788" s="855">
        <f t="shared" si="3835"/>
        <v>0.30608688918144505</v>
      </c>
      <c r="J788" s="855">
        <f t="shared" si="3835"/>
        <v>0.28963467172152335</v>
      </c>
      <c r="K788" s="855">
        <f t="shared" si="3835"/>
        <v>0.31197031829720756</v>
      </c>
      <c r="L788" s="855">
        <f t="shared" si="3835"/>
        <v>0.3141250305648382</v>
      </c>
      <c r="M788" s="855">
        <f t="shared" si="3835"/>
        <v>0.30012448993706342</v>
      </c>
      <c r="N788" s="855">
        <f t="shared" si="3835"/>
        <v>0.30918378761325926</v>
      </c>
      <c r="O788" s="855">
        <f t="shared" si="3835"/>
        <v>0.3449891972743892</v>
      </c>
      <c r="P788" s="855">
        <f t="shared" si="3835"/>
        <v>0.34228441754916794</v>
      </c>
      <c r="Q788" s="855">
        <f t="shared" si="3835"/>
        <v>0.3159126605278556</v>
      </c>
      <c r="R788" s="855">
        <f t="shared" si="3835"/>
        <v>0.3382617513329626</v>
      </c>
      <c r="S788" s="855">
        <f t="shared" si="3835"/>
        <v>0.3679152949550672</v>
      </c>
      <c r="T788" s="855">
        <f t="shared" si="3835"/>
        <v>0.38378460142187265</v>
      </c>
      <c r="U788" s="855">
        <f t="shared" si="3835"/>
        <v>0.37638866309001245</v>
      </c>
      <c r="V788" s="855">
        <f t="shared" si="3835"/>
        <v>0.37049199051997372</v>
      </c>
      <c r="W788" s="855">
        <f t="shared" si="3835"/>
        <v>0.37617332316672364</v>
      </c>
      <c r="X788" s="855">
        <f t="shared" si="3835"/>
        <v>0.42730257845723207</v>
      </c>
      <c r="Y788" s="855">
        <f t="shared" si="3835"/>
        <v>0.41547497446373849</v>
      </c>
      <c r="Z788" s="855">
        <f t="shared" si="3835"/>
        <v>0.40876612477820939</v>
      </c>
      <c r="AA788" s="855">
        <f t="shared" si="3835"/>
        <v>0.41374154966198645</v>
      </c>
      <c r="AB788" s="855">
        <f t="shared" ref="AB788:AE788" si="3836">IFERROR(AB785/AB$732,"n/a ")</f>
        <v>0.44658737339188381</v>
      </c>
      <c r="AC788" s="855">
        <f t="shared" si="3836"/>
        <v>0.43007655428394681</v>
      </c>
      <c r="AD788" s="855">
        <f t="shared" si="3836"/>
        <v>0.41256077795786061</v>
      </c>
      <c r="AE788" s="855">
        <f t="shared" si="3836"/>
        <v>0.3959124650535043</v>
      </c>
      <c r="AF788" s="855">
        <f t="shared" ref="AF788:AI788" si="3837">IFERROR(AF785/AF$732,"n/a ")</f>
        <v>0.42931247755476637</v>
      </c>
      <c r="AG788" s="855">
        <f t="shared" si="3837"/>
        <v>0.4089332094716287</v>
      </c>
      <c r="AH788" s="855">
        <f t="shared" si="3837"/>
        <v>0.42287681858599618</v>
      </c>
      <c r="AI788" s="855">
        <f t="shared" si="3837"/>
        <v>0.4316503230169606</v>
      </c>
      <c r="AJ788" s="855">
        <f t="shared" ref="AJ788:AM788" si="3838">IFERROR(AJ785/AJ$732,"n/a ")</f>
        <v>0.47587451563246458</v>
      </c>
      <c r="AK788" s="855">
        <f t="shared" si="3838"/>
        <v>0.45407932924862948</v>
      </c>
      <c r="AL788" s="855">
        <f t="shared" si="3838"/>
        <v>0.46107213294965887</v>
      </c>
      <c r="AM788" s="855">
        <f t="shared" si="3838"/>
        <v>0.44594991271030637</v>
      </c>
      <c r="AN788" s="855">
        <f t="shared" ref="AN788:AQ788" si="3839">IFERROR(AN785/AN$732,"n/a ")</f>
        <v>0.48681202693521575</v>
      </c>
      <c r="AO788" s="855">
        <f t="shared" si="3839"/>
        <v>0.47301401968899498</v>
      </c>
      <c r="AP788" s="855">
        <f t="shared" si="3839"/>
        <v>0.47677047342119488</v>
      </c>
      <c r="AQ788" s="855">
        <f t="shared" si="3839"/>
        <v>0.4610343386599271</v>
      </c>
      <c r="AS788" s="855"/>
      <c r="AT788" s="855"/>
      <c r="AU788" s="855"/>
      <c r="AV788" s="855"/>
      <c r="AW788" s="855"/>
      <c r="AX788" s="855"/>
      <c r="AY788" s="855">
        <f t="shared" ref="AY788:BE788" si="3840">IFERROR(AY785/AY$732,"n/a ")</f>
        <v>0.38833049769097694</v>
      </c>
      <c r="AZ788" s="855">
        <f t="shared" si="3840"/>
        <v>0.38652794921530592</v>
      </c>
      <c r="BA788" s="855">
        <f t="shared" si="3840"/>
        <v>0.34627291294685864</v>
      </c>
      <c r="BB788" s="855">
        <f t="shared" si="3840"/>
        <v>0.32114518673776099</v>
      </c>
      <c r="BC788" s="855">
        <f t="shared" si="3840"/>
        <v>0.30104723231459712</v>
      </c>
      <c r="BD788" s="855">
        <f t="shared" si="3840"/>
        <v>0.32741443975621193</v>
      </c>
      <c r="BE788" s="855">
        <f t="shared" si="3840"/>
        <v>0.32617009449694273</v>
      </c>
      <c r="BG788" s="855">
        <f t="shared" ref="BG788:BL788" si="3841">IFERROR(BG785/BG$732,"n/a ")</f>
        <v>0.29826447550299495</v>
      </c>
      <c r="BH788" s="855">
        <f t="shared" si="3841"/>
        <v>0.30372472067183731</v>
      </c>
      <c r="BI788" s="855">
        <f t="shared" si="3841"/>
        <v>0.31766944545125048</v>
      </c>
      <c r="BJ788" s="855">
        <f t="shared" si="3841"/>
        <v>0.3413698020549415</v>
      </c>
      <c r="BK788" s="855">
        <f t="shared" si="3841"/>
        <v>0.37345033737719818</v>
      </c>
      <c r="BL788" s="855">
        <f t="shared" si="3841"/>
        <v>0.41594878872971303</v>
      </c>
      <c r="BM788" s="855">
        <f t="shared" ref="BM788:BN788" si="3842">IFERROR(BM785/BM$732,"n/a ")</f>
        <v>0.4205527815604983</v>
      </c>
      <c r="BN788" s="855">
        <f t="shared" si="3842"/>
        <v>0.42325460679989618</v>
      </c>
      <c r="BO788" s="855">
        <f t="shared" ref="BO788:BP788" si="3843">IFERROR(BO785/BO$732,"n/a ")</f>
        <v>0.45872259527908554</v>
      </c>
      <c r="BP788" s="855">
        <f t="shared" si="3843"/>
        <v>0.47398553812261512</v>
      </c>
    </row>
    <row r="789" spans="1:68">
      <c r="B789" s="878"/>
    </row>
    <row r="790" spans="1:68" ht="10.5">
      <c r="B790" s="45" t="s">
        <v>519</v>
      </c>
      <c r="D790" s="1168"/>
      <c r="E790" s="1168"/>
      <c r="F790" s="1168"/>
      <c r="G790" s="1168"/>
      <c r="H790" s="1168"/>
      <c r="I790" s="1168"/>
      <c r="J790" s="1168"/>
      <c r="K790" s="1168"/>
      <c r="L790" s="1168"/>
      <c r="M790" s="1168"/>
      <c r="N790" s="1168"/>
      <c r="O790" s="1168"/>
      <c r="P790" s="1168"/>
      <c r="Q790" s="1168"/>
      <c r="R790" s="1168"/>
      <c r="S790" s="1168"/>
      <c r="T790" s="1168"/>
      <c r="U790" s="1168"/>
      <c r="V790" s="1168"/>
      <c r="W790" s="1168"/>
      <c r="X790" s="1168"/>
      <c r="Y790" s="1168"/>
      <c r="Z790" s="1168"/>
      <c r="AA790" s="1168"/>
      <c r="AB790" s="1168"/>
      <c r="AC790" s="1168"/>
    </row>
    <row r="791" spans="1:68">
      <c r="B791" s="878" t="s">
        <v>520</v>
      </c>
      <c r="D791" s="8">
        <v>199</v>
      </c>
      <c r="E791" s="8">
        <v>200</v>
      </c>
      <c r="F791" s="8">
        <v>230</v>
      </c>
      <c r="G791" s="8">
        <v>274</v>
      </c>
      <c r="H791" s="8">
        <v>293</v>
      </c>
      <c r="I791" s="8">
        <v>311</v>
      </c>
      <c r="J791" s="8">
        <v>380</v>
      </c>
      <c r="K791" s="8">
        <v>403</v>
      </c>
      <c r="L791" s="8">
        <v>473</v>
      </c>
      <c r="M791" s="8">
        <v>530</v>
      </c>
      <c r="N791" s="8">
        <v>575</v>
      </c>
      <c r="O791" s="8">
        <v>636</v>
      </c>
      <c r="P791" s="8">
        <v>681</v>
      </c>
      <c r="Q791" s="8">
        <v>704</v>
      </c>
      <c r="R791" s="8">
        <v>668</v>
      </c>
      <c r="S791" s="8">
        <v>709</v>
      </c>
      <c r="T791" s="8">
        <v>724</v>
      </c>
      <c r="U791" s="8">
        <v>688</v>
      </c>
      <c r="V791" s="8">
        <v>673</v>
      </c>
      <c r="W791" s="8">
        <v>595</v>
      </c>
      <c r="X791" s="8">
        <v>570</v>
      </c>
      <c r="Y791" s="8">
        <v>545</v>
      </c>
      <c r="Z791" s="8">
        <v>519</v>
      </c>
      <c r="AA791" s="8">
        <v>497</v>
      </c>
      <c r="AB791" s="8">
        <v>520</v>
      </c>
      <c r="AC791" s="8">
        <v>503</v>
      </c>
      <c r="AD791" s="8">
        <v>519</v>
      </c>
      <c r="AE791" s="8">
        <v>552</v>
      </c>
      <c r="AF791" s="8">
        <v>641</v>
      </c>
      <c r="AG791" s="8">
        <v>700</v>
      </c>
      <c r="AH791" s="8">
        <v>748</v>
      </c>
      <c r="AI791" s="8">
        <v>905</v>
      </c>
      <c r="AJ791" s="8">
        <v>1166</v>
      </c>
      <c r="AK791" s="8">
        <v>734</v>
      </c>
      <c r="AL791" s="8">
        <v>619</v>
      </c>
      <c r="AM791" s="8">
        <f t="shared" ref="AM791:AM795" si="3844">+BO791-SUM(AJ791:AL791)</f>
        <v>638</v>
      </c>
      <c r="AN791" s="8"/>
      <c r="AO791" s="8"/>
      <c r="AP791" s="8"/>
      <c r="AQ791" s="8"/>
      <c r="AS791" s="8"/>
      <c r="AT791" s="8"/>
      <c r="AU791" s="8"/>
      <c r="AV791" s="8"/>
      <c r="AW791" s="8"/>
      <c r="AX791" s="8"/>
      <c r="AY791" s="8"/>
      <c r="AZ791" s="8"/>
      <c r="BA791" s="8">
        <v>677</v>
      </c>
      <c r="BB791" s="8">
        <v>883</v>
      </c>
      <c r="BC791" s="8">
        <v>766</v>
      </c>
      <c r="BG791" s="8">
        <v>903</v>
      </c>
      <c r="BH791" s="8">
        <v>1387</v>
      </c>
      <c r="BI791" s="8">
        <v>2214</v>
      </c>
      <c r="BJ791" s="8">
        <v>2762</v>
      </c>
      <c r="BK791" s="8">
        <v>2680</v>
      </c>
      <c r="BL791" s="8">
        <v>2131</v>
      </c>
      <c r="BM791" s="8">
        <v>2094</v>
      </c>
      <c r="BN791" s="8">
        <v>2994</v>
      </c>
      <c r="BO791" s="8">
        <v>3157</v>
      </c>
      <c r="BP791" s="8"/>
    </row>
    <row r="792" spans="1:68">
      <c r="B792" s="878" t="s">
        <v>521</v>
      </c>
      <c r="D792" s="8">
        <v>-249</v>
      </c>
      <c r="E792" s="8">
        <v>-309</v>
      </c>
      <c r="F792" s="8">
        <v>-340</v>
      </c>
      <c r="G792" s="8">
        <v>-345</v>
      </c>
      <c r="H792" s="8">
        <v>-437</v>
      </c>
      <c r="I792" s="8">
        <v>-521</v>
      </c>
      <c r="J792" s="8">
        <v>-609</v>
      </c>
      <c r="K792" s="8">
        <v>-655</v>
      </c>
      <c r="L792" s="8">
        <v>-672</v>
      </c>
      <c r="M792" s="8">
        <v>-698</v>
      </c>
      <c r="N792" s="8">
        <v>-691</v>
      </c>
      <c r="O792" s="8">
        <v>-672</v>
      </c>
      <c r="P792" s="8">
        <v>-674</v>
      </c>
      <c r="Q792" s="8">
        <v>-672</v>
      </c>
      <c r="R792" s="8">
        <v>-671</v>
      </c>
      <c r="S792" s="8">
        <v>-669</v>
      </c>
      <c r="T792" s="8">
        <v>-637</v>
      </c>
      <c r="U792" s="8">
        <v>-654</v>
      </c>
      <c r="V792" s="8">
        <v>-614</v>
      </c>
      <c r="W792" s="8">
        <v>-686</v>
      </c>
      <c r="X792" s="8">
        <v>-589</v>
      </c>
      <c r="Y792" s="8">
        <v>-571</v>
      </c>
      <c r="Z792" s="8">
        <v>-633</v>
      </c>
      <c r="AA792" s="8">
        <v>-553</v>
      </c>
      <c r="AB792" s="8">
        <v>-539</v>
      </c>
      <c r="AC792" s="8">
        <v>-525</v>
      </c>
      <c r="AD792" s="8">
        <v>-503</v>
      </c>
      <c r="AE792" s="8">
        <v>-496</v>
      </c>
      <c r="AF792" s="8">
        <v>-500</v>
      </c>
      <c r="AG792" s="8">
        <v>-490</v>
      </c>
      <c r="AH792" s="8">
        <v>-496</v>
      </c>
      <c r="AI792" s="8">
        <v>-482</v>
      </c>
      <c r="AJ792" s="8">
        <v>-525</v>
      </c>
      <c r="AK792" s="8">
        <v>-909</v>
      </c>
      <c r="AL792" s="8">
        <v>-800</v>
      </c>
      <c r="AM792" s="8">
        <f t="shared" si="3844"/>
        <v>-701</v>
      </c>
      <c r="AN792" s="8"/>
      <c r="AO792" s="8"/>
      <c r="AP792" s="8"/>
      <c r="AQ792" s="8"/>
      <c r="AS792" s="8"/>
      <c r="AT792" s="8"/>
      <c r="AU792" s="8"/>
      <c r="AV792" s="8"/>
      <c r="AW792" s="8"/>
      <c r="AX792" s="8"/>
      <c r="AY792" s="8"/>
      <c r="AZ792" s="8"/>
      <c r="BA792" s="8">
        <v>-429</v>
      </c>
      <c r="BB792" s="8">
        <v>-597</v>
      </c>
      <c r="BC792" s="8">
        <v>-781</v>
      </c>
      <c r="BG792" s="8">
        <v>-1243</v>
      </c>
      <c r="BH792" s="8">
        <v>-2222</v>
      </c>
      <c r="BI792" s="8">
        <v>-2733</v>
      </c>
      <c r="BJ792" s="8">
        <v>-2686</v>
      </c>
      <c r="BK792" s="8">
        <v>-2591</v>
      </c>
      <c r="BL792" s="8">
        <v>-2346</v>
      </c>
      <c r="BM792" s="8">
        <v>-2063</v>
      </c>
      <c r="BN792" s="8">
        <v>-1968</v>
      </c>
      <c r="BO792" s="8">
        <v>-2935</v>
      </c>
      <c r="BP792" s="8"/>
    </row>
    <row r="793" spans="1:68">
      <c r="B793" s="878" t="s">
        <v>522</v>
      </c>
      <c r="D793" s="8">
        <v>2</v>
      </c>
      <c r="E793" s="8">
        <v>106</v>
      </c>
      <c r="F793" s="8">
        <v>85</v>
      </c>
      <c r="G793" s="8">
        <v>475</v>
      </c>
      <c r="H793" s="8">
        <v>405</v>
      </c>
      <c r="I793" s="8">
        <v>698</v>
      </c>
      <c r="J793" s="8">
        <v>790</v>
      </c>
      <c r="K793" s="8">
        <v>690</v>
      </c>
      <c r="L793" s="8">
        <v>573</v>
      </c>
      <c r="M793" s="8">
        <v>768</v>
      </c>
      <c r="N793" s="8">
        <v>510</v>
      </c>
      <c r="O793" s="8">
        <v>548</v>
      </c>
      <c r="P793" s="8">
        <v>243</v>
      </c>
      <c r="Q793" s="8">
        <v>94</v>
      </c>
      <c r="R793" s="8">
        <v>44</v>
      </c>
      <c r="S793" s="8">
        <v>267</v>
      </c>
      <c r="T793" s="8">
        <v>-57</v>
      </c>
      <c r="U793" s="8">
        <v>162</v>
      </c>
      <c r="V793" s="8">
        <v>-101</v>
      </c>
      <c r="W793" s="8">
        <v>28</v>
      </c>
      <c r="X793" s="8">
        <v>125</v>
      </c>
      <c r="Y793" s="8">
        <v>359</v>
      </c>
      <c r="Z793" s="8">
        <v>353</v>
      </c>
      <c r="AA793" s="8">
        <v>395</v>
      </c>
      <c r="AB793" s="8">
        <v>371</v>
      </c>
      <c r="AC793" s="8">
        <v>300</v>
      </c>
      <c r="AD793" s="8">
        <v>-76</v>
      </c>
      <c r="AE793" s="8">
        <v>-134</v>
      </c>
      <c r="AF793" s="8">
        <v>13</v>
      </c>
      <c r="AG793" s="8">
        <v>-15</v>
      </c>
      <c r="AH793" s="8">
        <v>105</v>
      </c>
      <c r="AI793" s="8">
        <v>157</v>
      </c>
      <c r="AJ793" s="8">
        <v>-107</v>
      </c>
      <c r="AK793" s="8">
        <v>69</v>
      </c>
      <c r="AL793" s="8">
        <v>-25</v>
      </c>
      <c r="AM793" s="8">
        <f t="shared" si="3844"/>
        <v>-55</v>
      </c>
      <c r="AN793" s="8"/>
      <c r="AO793" s="8"/>
      <c r="AP793" s="8"/>
      <c r="AQ793" s="8"/>
      <c r="AS793" s="8"/>
      <c r="AT793" s="8"/>
      <c r="AU793" s="8"/>
      <c r="AV793" s="8"/>
      <c r="AW793" s="8"/>
      <c r="AX793" s="8"/>
      <c r="AY793" s="8"/>
      <c r="AZ793" s="8"/>
      <c r="BA793" s="8">
        <v>116</v>
      </c>
      <c r="BB793" s="8">
        <v>437</v>
      </c>
      <c r="BC793" s="8">
        <v>716</v>
      </c>
      <c r="BG793" s="8">
        <v>668</v>
      </c>
      <c r="BH793" s="8">
        <v>2583</v>
      </c>
      <c r="BI793" s="8">
        <v>2399</v>
      </c>
      <c r="BJ793" s="8">
        <v>648</v>
      </c>
      <c r="BK793" s="8">
        <v>32</v>
      </c>
      <c r="BL793" s="8">
        <v>1232</v>
      </c>
      <c r="BM793" s="8">
        <v>461</v>
      </c>
      <c r="BN793" s="8">
        <v>260</v>
      </c>
      <c r="BO793" s="8">
        <v>-118</v>
      </c>
      <c r="BP793" s="8"/>
    </row>
    <row r="794" spans="1:68">
      <c r="B794" s="878" t="s">
        <v>523</v>
      </c>
      <c r="D794" s="8">
        <v>-103</v>
      </c>
      <c r="E794" s="8">
        <v>-156</v>
      </c>
      <c r="F794" s="8">
        <v>-155</v>
      </c>
      <c r="G794" s="8">
        <v>-29</v>
      </c>
      <c r="H794" s="8">
        <v>-94</v>
      </c>
      <c r="I794" s="8">
        <v>-46</v>
      </c>
      <c r="J794" s="8">
        <v>-200</v>
      </c>
      <c r="K794" s="8">
        <v>-170</v>
      </c>
      <c r="L794" s="8">
        <v>-50</v>
      </c>
      <c r="M794" s="8">
        <v>-84</v>
      </c>
      <c r="N794" s="8">
        <v>-72</v>
      </c>
      <c r="O794" s="8">
        <v>19</v>
      </c>
      <c r="P794" s="8">
        <v>-3</v>
      </c>
      <c r="Q794" s="8">
        <v>41</v>
      </c>
      <c r="R794" s="8">
        <v>51</v>
      </c>
      <c r="S794" s="8">
        <v>55</v>
      </c>
      <c r="T794" s="8">
        <v>46</v>
      </c>
      <c r="U794" s="8">
        <v>41</v>
      </c>
      <c r="V794" s="8">
        <v>49</v>
      </c>
      <c r="W794" s="8">
        <v>51</v>
      </c>
      <c r="X794" s="8">
        <v>3</v>
      </c>
      <c r="Y794" s="8">
        <v>-5</v>
      </c>
      <c r="Z794" s="8">
        <v>-2</v>
      </c>
      <c r="AA794" s="8">
        <v>21</v>
      </c>
      <c r="AB794" s="8">
        <v>-7</v>
      </c>
      <c r="AC794" s="8">
        <v>7</v>
      </c>
      <c r="AD794" s="8">
        <v>-29</v>
      </c>
      <c r="AE794" s="8">
        <v>-23</v>
      </c>
      <c r="AF794" s="8">
        <v>9</v>
      </c>
      <c r="AG794" s="8">
        <v>-199</v>
      </c>
      <c r="AH794" s="8">
        <v>-65</v>
      </c>
      <c r="AI794" s="8">
        <v>-201</v>
      </c>
      <c r="AJ794" s="8">
        <v>93</v>
      </c>
      <c r="AK794" s="8">
        <v>-267</v>
      </c>
      <c r="AL794" s="8">
        <v>-24</v>
      </c>
      <c r="AM794" s="8">
        <f t="shared" si="3844"/>
        <v>11</v>
      </c>
      <c r="AN794" s="8"/>
      <c r="AO794" s="8"/>
      <c r="AP794" s="8"/>
      <c r="AQ794" s="8"/>
      <c r="AS794" s="8"/>
      <c r="AT794" s="8"/>
      <c r="AU794" s="8"/>
      <c r="AV794" s="8"/>
      <c r="AW794" s="8"/>
      <c r="AX794" s="8"/>
      <c r="AY794" s="8"/>
      <c r="AZ794" s="8"/>
      <c r="BA794" s="8">
        <v>-196</v>
      </c>
      <c r="BB794" s="8">
        <v>-328</v>
      </c>
      <c r="BC794" s="8">
        <v>-423</v>
      </c>
      <c r="BG794" s="8">
        <v>-443</v>
      </c>
      <c r="BH794" s="8">
        <v>-510</v>
      </c>
      <c r="BI794" s="8">
        <v>-187</v>
      </c>
      <c r="BJ794" s="8">
        <v>144</v>
      </c>
      <c r="BK794" s="8">
        <v>187</v>
      </c>
      <c r="BL794" s="8">
        <v>17</v>
      </c>
      <c r="BM794" s="8">
        <v>-52</v>
      </c>
      <c r="BN794" s="8">
        <v>-456</v>
      </c>
      <c r="BO794" s="8">
        <v>-187</v>
      </c>
      <c r="BP794" s="8"/>
    </row>
    <row r="795" spans="1:68">
      <c r="B795" s="878" t="s">
        <v>524</v>
      </c>
      <c r="D795" s="8">
        <v>-36</v>
      </c>
      <c r="E795" s="8">
        <v>2</v>
      </c>
      <c r="F795" s="8">
        <v>-18</v>
      </c>
      <c r="G795" s="8">
        <v>-69</v>
      </c>
      <c r="H795" s="8">
        <v>-52</v>
      </c>
      <c r="I795" s="8">
        <v>-82</v>
      </c>
      <c r="J795" s="8">
        <v>0</v>
      </c>
      <c r="K795" s="8">
        <v>-30</v>
      </c>
      <c r="L795" s="8">
        <v>-9</v>
      </c>
      <c r="M795" s="8">
        <v>-60</v>
      </c>
      <c r="N795" s="8">
        <v>20</v>
      </c>
      <c r="O795" s="8">
        <v>-169</v>
      </c>
      <c r="P795" s="8">
        <v>5</v>
      </c>
      <c r="Q795" s="8">
        <v>-74</v>
      </c>
      <c r="R795" s="8">
        <v>37</v>
      </c>
      <c r="S795" s="8">
        <v>-50</v>
      </c>
      <c r="T795" s="8">
        <v>-58</v>
      </c>
      <c r="U795" s="8">
        <v>-24</v>
      </c>
      <c r="V795" s="8">
        <v>-136</v>
      </c>
      <c r="W795" s="8">
        <v>27</v>
      </c>
      <c r="X795" s="8">
        <v>139</v>
      </c>
      <c r="Y795" s="8">
        <v>42</v>
      </c>
      <c r="Z795" s="8">
        <v>-55</v>
      </c>
      <c r="AA795" s="8">
        <v>-72</v>
      </c>
      <c r="AB795" s="8">
        <v>-65</v>
      </c>
      <c r="AC795" s="8">
        <v>-13</v>
      </c>
      <c r="AD795" s="8">
        <v>-74</v>
      </c>
      <c r="AE795" s="8">
        <v>77</v>
      </c>
      <c r="AF795" s="8">
        <v>-78</v>
      </c>
      <c r="AG795" s="8">
        <v>-18</v>
      </c>
      <c r="AH795" s="8">
        <v>122</v>
      </c>
      <c r="AI795" s="8">
        <v>155</v>
      </c>
      <c r="AJ795" s="8">
        <v>-101</v>
      </c>
      <c r="AK795" s="8">
        <v>36</v>
      </c>
      <c r="AL795" s="8">
        <v>-138</v>
      </c>
      <c r="AM795" s="8">
        <f t="shared" si="3844"/>
        <v>-41</v>
      </c>
      <c r="AN795" s="8"/>
      <c r="AO795" s="8"/>
      <c r="AP795" s="8"/>
      <c r="AQ795" s="8"/>
      <c r="AS795" s="8"/>
      <c r="AT795" s="8"/>
      <c r="AU795" s="8"/>
      <c r="AV795" s="8"/>
      <c r="AW795" s="8"/>
      <c r="AX795" s="8"/>
      <c r="AY795" s="8"/>
      <c r="AZ795" s="8"/>
      <c r="BA795" s="8">
        <v>-74</v>
      </c>
      <c r="BB795" s="8">
        <v>-165</v>
      </c>
      <c r="BC795" s="8">
        <v>335</v>
      </c>
      <c r="BG795" s="8">
        <v>-121</v>
      </c>
      <c r="BH795" s="8">
        <v>-164</v>
      </c>
      <c r="BI795" s="8">
        <v>-218</v>
      </c>
      <c r="BJ795" s="8">
        <v>-82</v>
      </c>
      <c r="BK795" s="8">
        <v>-191</v>
      </c>
      <c r="BL795" s="8">
        <v>54</v>
      </c>
      <c r="BM795" s="8">
        <v>-75</v>
      </c>
      <c r="BN795" s="8">
        <v>181</v>
      </c>
      <c r="BO795" s="8">
        <v>-244</v>
      </c>
      <c r="BP795" s="8"/>
    </row>
    <row r="796" spans="1:68" ht="11.45">
      <c r="B796" s="878" t="s">
        <v>525</v>
      </c>
      <c r="D796" s="10">
        <v>-93</v>
      </c>
      <c r="E796" s="10">
        <v>-14</v>
      </c>
      <c r="F796" s="10">
        <v>-49</v>
      </c>
      <c r="G796" s="10">
        <v>-39</v>
      </c>
      <c r="H796" s="10">
        <v>-15</v>
      </c>
      <c r="I796" s="10">
        <v>-174</v>
      </c>
      <c r="J796" s="10">
        <v>-39</v>
      </c>
      <c r="K796" s="10">
        <v>-23</v>
      </c>
      <c r="L796" s="10">
        <v>-39</v>
      </c>
      <c r="M796" s="10">
        <v>34</v>
      </c>
      <c r="N796" s="10">
        <v>7</v>
      </c>
      <c r="O796" s="10">
        <v>-61</v>
      </c>
      <c r="P796" s="10">
        <v>14</v>
      </c>
      <c r="Q796" s="10">
        <v>34</v>
      </c>
      <c r="R796" s="10">
        <v>16</v>
      </c>
      <c r="S796" s="10">
        <v>-121</v>
      </c>
      <c r="T796" s="10">
        <v>-18</v>
      </c>
      <c r="U796" s="10">
        <v>-19</v>
      </c>
      <c r="V796" s="10">
        <v>-3</v>
      </c>
      <c r="W796" s="10">
        <v>0</v>
      </c>
      <c r="X796" s="10">
        <v>0</v>
      </c>
      <c r="Y796" s="10">
        <v>70</v>
      </c>
      <c r="Z796" s="10">
        <v>6</v>
      </c>
      <c r="AA796" s="10">
        <v>22</v>
      </c>
      <c r="AB796" s="10">
        <v>6</v>
      </c>
      <c r="AC796" s="10">
        <v>-4</v>
      </c>
      <c r="AD796" s="10">
        <v>-11</v>
      </c>
      <c r="AE796" s="10">
        <v>-23</v>
      </c>
      <c r="AF796" s="10">
        <v>-31</v>
      </c>
      <c r="AG796" s="10">
        <v>-38</v>
      </c>
      <c r="AH796" s="10">
        <v>-93</v>
      </c>
      <c r="AI796" s="10">
        <v>-61</v>
      </c>
      <c r="AJ796" s="10">
        <v>-137</v>
      </c>
      <c r="AK796" s="10">
        <v>-169</v>
      </c>
      <c r="AL796" s="10">
        <v>-486</v>
      </c>
      <c r="AM796" s="10">
        <f>+BO796-SUM(AJ796:AL796)</f>
        <v>-527</v>
      </c>
      <c r="AN796" s="10"/>
      <c r="AO796" s="10"/>
      <c r="AP796" s="10"/>
      <c r="AQ796" s="10"/>
      <c r="AS796" s="10"/>
      <c r="AT796" s="10"/>
      <c r="AU796" s="10"/>
      <c r="AV796" s="10"/>
      <c r="AW796" s="10"/>
      <c r="AX796" s="10"/>
      <c r="AY796" s="10"/>
      <c r="AZ796" s="10"/>
      <c r="BA796" s="10">
        <v>194</v>
      </c>
      <c r="BB796" s="10">
        <v>-169</v>
      </c>
      <c r="BC796" s="10">
        <v>-267</v>
      </c>
      <c r="BG796" s="10">
        <v>-195</v>
      </c>
      <c r="BH796" s="10">
        <v>-251</v>
      </c>
      <c r="BI796" s="10">
        <v>-59</v>
      </c>
      <c r="BJ796" s="10">
        <v>-57</v>
      </c>
      <c r="BK796" s="10">
        <v>-40</v>
      </c>
      <c r="BL796" s="10">
        <v>98</v>
      </c>
      <c r="BM796" s="10">
        <v>-32</v>
      </c>
      <c r="BN796" s="10">
        <v>-223</v>
      </c>
      <c r="BO796" s="10">
        <v>-1319</v>
      </c>
      <c r="BP796" s="10"/>
    </row>
    <row r="797" spans="1:68" s="1" customFormat="1" ht="10.5">
      <c r="B797" s="882" t="s">
        <v>526</v>
      </c>
      <c r="D797" s="838">
        <f>+SUM(D791:D796)</f>
        <v>-280</v>
      </c>
      <c r="E797" s="838">
        <f t="shared" ref="E797:AM797" si="3845">+SUM(E791:E796)</f>
        <v>-171</v>
      </c>
      <c r="F797" s="838">
        <f t="shared" si="3845"/>
        <v>-247</v>
      </c>
      <c r="G797" s="838">
        <f t="shared" si="3845"/>
        <v>267</v>
      </c>
      <c r="H797" s="838">
        <f t="shared" si="3845"/>
        <v>100</v>
      </c>
      <c r="I797" s="838">
        <f t="shared" si="3845"/>
        <v>186</v>
      </c>
      <c r="J797" s="838">
        <f t="shared" si="3845"/>
        <v>322</v>
      </c>
      <c r="K797" s="838">
        <f t="shared" si="3845"/>
        <v>215</v>
      </c>
      <c r="L797" s="838">
        <f t="shared" si="3845"/>
        <v>276</v>
      </c>
      <c r="M797" s="838">
        <f t="shared" si="3845"/>
        <v>490</v>
      </c>
      <c r="N797" s="838">
        <f t="shared" si="3845"/>
        <v>349</v>
      </c>
      <c r="O797" s="838">
        <f t="shared" si="3845"/>
        <v>301</v>
      </c>
      <c r="P797" s="838">
        <f t="shared" si="3845"/>
        <v>266</v>
      </c>
      <c r="Q797" s="838">
        <f t="shared" si="3845"/>
        <v>127</v>
      </c>
      <c r="R797" s="838">
        <f t="shared" si="3845"/>
        <v>145</v>
      </c>
      <c r="S797" s="838">
        <f t="shared" si="3845"/>
        <v>191</v>
      </c>
      <c r="T797" s="838">
        <f t="shared" si="3845"/>
        <v>0</v>
      </c>
      <c r="U797" s="838">
        <f t="shared" si="3845"/>
        <v>194</v>
      </c>
      <c r="V797" s="838">
        <f t="shared" si="3845"/>
        <v>-132</v>
      </c>
      <c r="W797" s="838">
        <f t="shared" si="3845"/>
        <v>15</v>
      </c>
      <c r="X797" s="838">
        <f t="shared" si="3845"/>
        <v>248</v>
      </c>
      <c r="Y797" s="838">
        <f t="shared" si="3845"/>
        <v>440</v>
      </c>
      <c r="Z797" s="838">
        <f t="shared" si="3845"/>
        <v>188</v>
      </c>
      <c r="AA797" s="838">
        <f t="shared" si="3845"/>
        <v>310</v>
      </c>
      <c r="AB797" s="838">
        <f t="shared" si="3845"/>
        <v>286</v>
      </c>
      <c r="AC797" s="838">
        <f t="shared" si="3845"/>
        <v>268</v>
      </c>
      <c r="AD797" s="838">
        <f t="shared" si="3845"/>
        <v>-174</v>
      </c>
      <c r="AE797" s="838">
        <f t="shared" si="3845"/>
        <v>-47</v>
      </c>
      <c r="AF797" s="838">
        <f t="shared" si="3845"/>
        <v>54</v>
      </c>
      <c r="AG797" s="838">
        <f t="shared" si="3845"/>
        <v>-60</v>
      </c>
      <c r="AH797" s="838">
        <f t="shared" si="3845"/>
        <v>321</v>
      </c>
      <c r="AI797" s="838">
        <f t="shared" si="3845"/>
        <v>473</v>
      </c>
      <c r="AJ797" s="838">
        <f t="shared" si="3845"/>
        <v>389</v>
      </c>
      <c r="AK797" s="838">
        <f t="shared" si="3845"/>
        <v>-506</v>
      </c>
      <c r="AL797" s="838">
        <f t="shared" si="3845"/>
        <v>-854</v>
      </c>
      <c r="AM797" s="838">
        <f t="shared" si="3845"/>
        <v>-675</v>
      </c>
      <c r="AN797" s="838"/>
      <c r="AO797" s="838"/>
      <c r="AP797" s="838"/>
      <c r="AQ797" s="838"/>
      <c r="AS797" s="838"/>
      <c r="AT797" s="838"/>
      <c r="AU797" s="838"/>
      <c r="AV797" s="838"/>
      <c r="AW797" s="838"/>
      <c r="AX797" s="838"/>
      <c r="AY797" s="838"/>
      <c r="AZ797" s="838"/>
      <c r="BA797" s="838">
        <v>288</v>
      </c>
      <c r="BB797" s="838">
        <v>61</v>
      </c>
      <c r="BC797" s="838">
        <v>346</v>
      </c>
      <c r="BG797" s="838">
        <v>-431</v>
      </c>
      <c r="BH797" s="838">
        <v>823</v>
      </c>
      <c r="BI797" s="838">
        <v>1416</v>
      </c>
      <c r="BJ797" s="838">
        <v>729</v>
      </c>
      <c r="BK797" s="838">
        <v>77</v>
      </c>
      <c r="BL797" s="838">
        <v>1186</v>
      </c>
      <c r="BM797" s="838">
        <v>333</v>
      </c>
      <c r="BN797" s="838">
        <v>788</v>
      </c>
      <c r="BO797" s="838">
        <f>+SUM(BO791:BO796)</f>
        <v>-1646</v>
      </c>
      <c r="BP797" s="838"/>
    </row>
    <row r="798" spans="1:68">
      <c r="B798" s="878"/>
      <c r="D798" s="1168"/>
      <c r="E798" s="1168"/>
      <c r="F798" s="1168"/>
      <c r="G798" s="1168"/>
      <c r="H798" s="1168"/>
      <c r="I798" s="1168"/>
      <c r="J798" s="1168"/>
      <c r="K798" s="1168"/>
      <c r="L798" s="1168"/>
      <c r="M798" s="1168"/>
      <c r="N798" s="1168"/>
      <c r="O798" s="1168"/>
      <c r="P798" s="1168"/>
      <c r="Q798" s="1168"/>
      <c r="R798" s="1168"/>
      <c r="S798" s="1168"/>
      <c r="T798" s="1168"/>
      <c r="U798" s="1168"/>
      <c r="V798" s="1168"/>
      <c r="W798" s="1168"/>
      <c r="X798" s="1168"/>
      <c r="Y798" s="1168"/>
      <c r="Z798" s="1168"/>
      <c r="AA798" s="1168"/>
      <c r="AB798" s="1168"/>
      <c r="AC798" s="1168"/>
    </row>
    <row r="799" spans="1:68">
      <c r="D799" s="1168"/>
      <c r="E799" s="1168"/>
      <c r="F799" s="1168"/>
      <c r="G799" s="1168"/>
      <c r="H799" s="1168"/>
      <c r="I799" s="1168"/>
      <c r="J799" s="1168"/>
      <c r="K799" s="1168"/>
      <c r="L799" s="1168"/>
      <c r="M799" s="1168"/>
      <c r="N799" s="1168"/>
      <c r="O799" s="1168"/>
      <c r="P799" s="1168"/>
      <c r="Q799" s="1168"/>
      <c r="R799" s="1168"/>
      <c r="S799" s="1168"/>
      <c r="T799" s="1168"/>
      <c r="U799" s="1168"/>
      <c r="V799" s="1168"/>
      <c r="W799" s="1168"/>
      <c r="X799" s="1168"/>
      <c r="Y799" s="1168"/>
      <c r="Z799" s="1168"/>
      <c r="AA799" s="1168"/>
      <c r="AB799" s="1168"/>
      <c r="AC799" s="1168"/>
      <c r="AD799" s="1169"/>
      <c r="AE799" s="1169"/>
      <c r="AF799" s="1169"/>
    </row>
    <row r="800" spans="1:68">
      <c r="B800" s="878"/>
      <c r="D800" s="1168"/>
      <c r="E800" s="1168"/>
      <c r="F800" s="1168"/>
      <c r="G800" s="1168"/>
      <c r="H800" s="1168"/>
      <c r="I800" s="1168"/>
      <c r="J800" s="1168"/>
      <c r="K800" s="1168"/>
      <c r="L800" s="1168"/>
      <c r="M800" s="1168"/>
      <c r="N800" s="1168"/>
      <c r="O800" s="1168"/>
      <c r="P800" s="1168"/>
      <c r="Q800" s="1168"/>
      <c r="R800" s="1168"/>
      <c r="S800" s="1168"/>
      <c r="T800" s="1168"/>
      <c r="U800" s="1168"/>
      <c r="V800" s="1168"/>
      <c r="W800" s="1168"/>
      <c r="X800" s="1168"/>
      <c r="Y800" s="1168"/>
      <c r="Z800" s="1168"/>
      <c r="AA800" s="1168"/>
      <c r="AB800" s="1168"/>
      <c r="AC800" s="1168"/>
      <c r="AD800" s="1168"/>
      <c r="AE800" s="1168"/>
      <c r="AF800" s="1168"/>
    </row>
    <row r="801" spans="2:68">
      <c r="B801" s="878"/>
      <c r="D801" s="1168"/>
      <c r="E801" s="1168"/>
      <c r="F801" s="1168"/>
      <c r="G801" s="1168"/>
      <c r="H801" s="1168"/>
      <c r="I801" s="1168"/>
      <c r="J801" s="1168"/>
      <c r="K801" s="1168"/>
      <c r="L801" s="1168"/>
      <c r="M801" s="1168"/>
      <c r="N801" s="1168"/>
      <c r="O801" s="1168"/>
      <c r="P801" s="1168"/>
      <c r="Q801" s="1168"/>
      <c r="R801" s="1168"/>
      <c r="S801" s="1168"/>
      <c r="T801" s="1168"/>
      <c r="U801" s="1168"/>
      <c r="V801" s="1168"/>
      <c r="W801" s="1168"/>
      <c r="X801" s="1168"/>
      <c r="Y801" s="1168"/>
      <c r="Z801" s="1168"/>
      <c r="AA801" s="1168"/>
      <c r="AB801" s="1168"/>
      <c r="AC801" s="1168"/>
      <c r="AD801" s="1168"/>
      <c r="AE801" s="1168"/>
      <c r="AF801" s="1168"/>
    </row>
    <row r="802" spans="2:68">
      <c r="B802" s="878"/>
    </row>
    <row r="803" spans="2:68">
      <c r="B803" s="878"/>
    </row>
    <row r="804" spans="2:68">
      <c r="B804" s="878"/>
      <c r="AB804" s="957"/>
      <c r="AC804" s="957"/>
      <c r="AD804" s="957"/>
      <c r="AE804" s="957"/>
      <c r="AF804" s="957"/>
    </row>
    <row r="805" spans="2:68">
      <c r="B805" s="878"/>
    </row>
    <row r="806" spans="2:68">
      <c r="B806" s="878"/>
    </row>
    <row r="807" spans="2:68">
      <c r="B807" s="878"/>
    </row>
    <row r="808" spans="2:68">
      <c r="B808" s="878"/>
    </row>
    <row r="809" spans="2:68">
      <c r="B809" s="878"/>
    </row>
    <row r="810" spans="2:68">
      <c r="B810" s="878"/>
      <c r="BL810" s="100"/>
    </row>
    <row r="811" spans="2:68">
      <c r="B811" s="878"/>
      <c r="BL811" s="100"/>
    </row>
    <row r="812" spans="2:68" ht="10.5">
      <c r="B812" s="5" t="s">
        <v>527</v>
      </c>
      <c r="C812" s="4"/>
      <c r="BL812" s="100"/>
    </row>
    <row r="813" spans="2:68" ht="10.5">
      <c r="B813" s="1"/>
      <c r="BL813" s="100"/>
    </row>
    <row r="814" spans="2:68" ht="10.5">
      <c r="B814" s="45" t="s">
        <v>528</v>
      </c>
      <c r="D814" s="876" t="s">
        <v>371</v>
      </c>
      <c r="E814" s="877"/>
      <c r="F814" s="877"/>
      <c r="G814" s="877"/>
      <c r="AO814" s="825"/>
      <c r="AQ814" s="825"/>
      <c r="BL814" s="100"/>
    </row>
    <row r="815" spans="2:68">
      <c r="B815" t="s">
        <v>140</v>
      </c>
      <c r="D815" s="29">
        <v>4902</v>
      </c>
      <c r="E815" s="29">
        <v>5018</v>
      </c>
      <c r="F815" s="29">
        <v>3756</v>
      </c>
      <c r="G815" s="29">
        <v>3122</v>
      </c>
      <c r="H815" s="29">
        <v>5667</v>
      </c>
      <c r="I815" s="29">
        <v>6267</v>
      </c>
      <c r="J815" s="29">
        <v>5486</v>
      </c>
      <c r="K815" s="11">
        <f t="shared" ref="K815:K831" si="3846">+BH815-SUM(H815:J815)</f>
        <v>8069</v>
      </c>
      <c r="L815" s="29">
        <v>6576</v>
      </c>
      <c r="M815" s="29">
        <v>-6302</v>
      </c>
      <c r="N815" s="29">
        <v>7424</v>
      </c>
      <c r="O815" s="11">
        <v>8873</v>
      </c>
      <c r="P815" s="29">
        <v>8824</v>
      </c>
      <c r="Q815" s="29">
        <v>8420</v>
      </c>
      <c r="R815" s="29">
        <v>8809</v>
      </c>
      <c r="S815" s="11">
        <f t="shared" ref="S815:S831" si="3847">+BJ815-SUM(P815:R815)</f>
        <v>13187</v>
      </c>
      <c r="T815" s="29">
        <v>10678</v>
      </c>
      <c r="U815" s="29">
        <v>11649</v>
      </c>
      <c r="V815" s="29">
        <v>10752</v>
      </c>
      <c r="W815" s="29">
        <v>11202</v>
      </c>
      <c r="X815" s="29">
        <v>13893</v>
      </c>
      <c r="Y815" s="29">
        <v>15463</v>
      </c>
      <c r="Z815" s="29">
        <v>15457</v>
      </c>
      <c r="AA815" s="29">
        <v>16458</v>
      </c>
      <c r="AB815" s="29">
        <v>20505</v>
      </c>
      <c r="AC815" s="29">
        <v>18765</v>
      </c>
      <c r="AD815" s="29">
        <v>16728</v>
      </c>
      <c r="AE815" s="29">
        <v>16740</v>
      </c>
      <c r="AF815" s="29">
        <v>17556</v>
      </c>
      <c r="AG815" s="29">
        <v>16425</v>
      </c>
      <c r="AH815" s="29">
        <v>18299</v>
      </c>
      <c r="AI815" s="29">
        <v>20081</v>
      </c>
      <c r="AJ815" s="29">
        <v>22291</v>
      </c>
      <c r="AK815" s="29">
        <v>21870</v>
      </c>
      <c r="AL815" s="29">
        <v>21939</v>
      </c>
      <c r="AM815" s="29">
        <v>22036</v>
      </c>
      <c r="AN815" s="994"/>
      <c r="AO815" s="825"/>
      <c r="AQ815" s="825"/>
      <c r="AS815" s="29">
        <v>12254</v>
      </c>
      <c r="AT815" s="29">
        <v>12599</v>
      </c>
      <c r="AU815" s="29">
        <v>14065</v>
      </c>
      <c r="AV815" s="29">
        <v>17681</v>
      </c>
      <c r="AW815" s="29">
        <v>14569</v>
      </c>
      <c r="AX815" s="29">
        <v>18760</v>
      </c>
      <c r="AY815" s="29">
        <v>23150</v>
      </c>
      <c r="AZ815" s="29">
        <v>16978</v>
      </c>
      <c r="BA815" s="29">
        <v>21863</v>
      </c>
      <c r="BB815" s="29">
        <v>22074</v>
      </c>
      <c r="BC815" s="29">
        <v>12193</v>
      </c>
      <c r="BD815" s="29">
        <v>16798</v>
      </c>
      <c r="BE815" s="29">
        <v>21204</v>
      </c>
      <c r="BG815" s="29">
        <v>20539</v>
      </c>
      <c r="BH815" s="29">
        <v>25489</v>
      </c>
      <c r="BI815" s="29">
        <v>16571</v>
      </c>
      <c r="BJ815" s="29">
        <v>39240</v>
      </c>
      <c r="BK815" s="11">
        <f t="shared" ref="BK815:BK831" si="3848">SUM(T815:W815)</f>
        <v>44281</v>
      </c>
      <c r="BL815" s="11">
        <f>SUM(X815:AA815)</f>
        <v>61271</v>
      </c>
      <c r="BM815" s="11">
        <f>+SUM(AB815:AE815)</f>
        <v>72738</v>
      </c>
      <c r="BN815" s="11">
        <f>+SUM(AF815:AI815)</f>
        <v>72361</v>
      </c>
      <c r="BO815" s="11">
        <f>+SUM(AJ815:AM815)</f>
        <v>88136</v>
      </c>
      <c r="BP815" s="29"/>
    </row>
    <row r="816" spans="2:68">
      <c r="B816" t="s">
        <v>529</v>
      </c>
      <c r="D816" s="29">
        <v>1461</v>
      </c>
      <c r="E816" s="29">
        <v>1544</v>
      </c>
      <c r="F816" s="29">
        <v>1707</v>
      </c>
      <c r="G816" s="29">
        <v>1910</v>
      </c>
      <c r="H816" s="29">
        <v>1816</v>
      </c>
      <c r="I816" s="29">
        <v>2166</v>
      </c>
      <c r="J816" s="29">
        <v>2453</v>
      </c>
      <c r="K816" s="11">
        <f t="shared" si="3846"/>
        <v>2343</v>
      </c>
      <c r="L816" s="29">
        <v>2499</v>
      </c>
      <c r="M816" s="29">
        <v>2536</v>
      </c>
      <c r="N816" s="29">
        <v>2710</v>
      </c>
      <c r="O816" s="11">
        <v>2516</v>
      </c>
      <c r="P816" s="29">
        <v>2837</v>
      </c>
      <c r="Q816" s="29">
        <v>2995</v>
      </c>
      <c r="R816" s="29">
        <v>2926</v>
      </c>
      <c r="S816" s="11">
        <f t="shared" si="3847"/>
        <v>2924</v>
      </c>
      <c r="T816" s="29">
        <v>2971</v>
      </c>
      <c r="U816" s="29">
        <v>3203</v>
      </c>
      <c r="V816" s="29">
        <v>3118</v>
      </c>
      <c r="W816" s="29">
        <v>3504</v>
      </c>
      <c r="X816" s="29">
        <v>2645</v>
      </c>
      <c r="Y816" s="29">
        <v>2761</v>
      </c>
      <c r="Z816" s="29">
        <v>2936</v>
      </c>
      <c r="AA816" s="29">
        <v>3344</v>
      </c>
      <c r="AB816" s="29">
        <v>3212</v>
      </c>
      <c r="AC816" s="29">
        <v>3496</v>
      </c>
      <c r="AD816" s="29">
        <v>3773</v>
      </c>
      <c r="AE816" s="29">
        <v>3979</v>
      </c>
      <c r="AF816" s="29">
        <v>2790</v>
      </c>
      <c r="AG816" s="29">
        <v>3648</v>
      </c>
      <c r="AH816" s="29">
        <v>3549</v>
      </c>
      <c r="AI816" s="29">
        <v>3874</v>
      </c>
      <c r="AJ816" s="29">
        <v>3921</v>
      </c>
      <c r="AK816" s="29">
        <v>5959</v>
      </c>
      <c r="AL816" s="29">
        <v>6027</v>
      </c>
      <c r="AM816" s="29">
        <v>6380</v>
      </c>
      <c r="AN816" s="825"/>
      <c r="AO816" s="825"/>
      <c r="AQ816" s="825"/>
      <c r="AS816" s="29">
        <v>855</v>
      </c>
      <c r="AT816" s="29">
        <v>903</v>
      </c>
      <c r="AU816" s="29">
        <v>1440</v>
      </c>
      <c r="AV816" s="29">
        <v>2056</v>
      </c>
      <c r="AW816" s="29">
        <v>2562</v>
      </c>
      <c r="AX816" s="29">
        <v>2673</v>
      </c>
      <c r="AY816" s="29">
        <v>2766</v>
      </c>
      <c r="AZ816" s="29">
        <v>2967</v>
      </c>
      <c r="BA816" s="29">
        <v>3755</v>
      </c>
      <c r="BB816" s="29">
        <v>5212</v>
      </c>
      <c r="BC816" s="29">
        <v>5957</v>
      </c>
      <c r="BD816" s="29">
        <v>6622</v>
      </c>
      <c r="BE816" s="29">
        <v>8778</v>
      </c>
      <c r="BG816" s="29">
        <v>6622</v>
      </c>
      <c r="BH816" s="29">
        <v>8778</v>
      </c>
      <c r="BI816" s="29">
        <v>10261</v>
      </c>
      <c r="BJ816" s="29">
        <v>11682</v>
      </c>
      <c r="BK816" s="11">
        <f t="shared" si="3848"/>
        <v>12796</v>
      </c>
      <c r="BL816" s="11">
        <f t="shared" ref="BL816:BL831" si="3849">SUM(X816:AA816)</f>
        <v>11686</v>
      </c>
      <c r="BM816" s="11">
        <f t="shared" ref="BM816:BM831" si="3850">+SUM(AB816:AE816)</f>
        <v>14460</v>
      </c>
      <c r="BN816" s="11">
        <f t="shared" ref="BN816:BN857" si="3851">+SUM(AF816:AI816)</f>
        <v>13861</v>
      </c>
      <c r="BO816" s="11">
        <f t="shared" ref="BO816:BO857" si="3852">+SUM(AJ816:AM816)</f>
        <v>22287</v>
      </c>
      <c r="BP816" s="29"/>
    </row>
    <row r="817" spans="2:68">
      <c r="B817" t="s">
        <v>530</v>
      </c>
      <c r="D817" s="29">
        <v>101</v>
      </c>
      <c r="E817" s="29">
        <v>50</v>
      </c>
      <c r="F817" s="29">
        <v>65</v>
      </c>
      <c r="G817" s="29">
        <v>-439</v>
      </c>
      <c r="H817" s="29">
        <v>-311</v>
      </c>
      <c r="I817" s="29">
        <v>-652</v>
      </c>
      <c r="J817" s="29">
        <v>-590</v>
      </c>
      <c r="K817" s="11">
        <f t="shared" si="3846"/>
        <v>-520</v>
      </c>
      <c r="L817" s="29">
        <v>-523</v>
      </c>
      <c r="M817" s="29">
        <v>-684</v>
      </c>
      <c r="N817" s="29">
        <v>-438</v>
      </c>
      <c r="O817" s="11">
        <v>-567</v>
      </c>
      <c r="P817" s="29">
        <v>-240</v>
      </c>
      <c r="Q817" s="29">
        <v>-135</v>
      </c>
      <c r="R817" s="29">
        <v>-95</v>
      </c>
      <c r="S817" s="11">
        <f t="shared" si="3847"/>
        <v>-322</v>
      </c>
      <c r="T817" s="29">
        <v>11</v>
      </c>
      <c r="U817" s="29">
        <v>-203</v>
      </c>
      <c r="V817" s="29">
        <v>52</v>
      </c>
      <c r="W817" s="29">
        <v>-79</v>
      </c>
      <c r="X817" s="29">
        <v>-128</v>
      </c>
      <c r="Y817" s="29">
        <v>-354</v>
      </c>
      <c r="Z817" s="29">
        <v>-351</v>
      </c>
      <c r="AA817" s="29">
        <v>-416</v>
      </c>
      <c r="AB817" s="29">
        <v>-364</v>
      </c>
      <c r="AC817" s="29">
        <v>-307</v>
      </c>
      <c r="AD817" s="29">
        <v>105</v>
      </c>
      <c r="AE817" s="29">
        <v>157</v>
      </c>
      <c r="AF817" s="29">
        <v>-22</v>
      </c>
      <c r="AG817" s="29">
        <v>214</v>
      </c>
      <c r="AH817" s="29">
        <v>-40</v>
      </c>
      <c r="AI817" s="29">
        <v>44</v>
      </c>
      <c r="AJ817" s="29">
        <v>14</v>
      </c>
      <c r="AK817" s="29">
        <v>198</v>
      </c>
      <c r="AL817" s="29">
        <v>49</v>
      </c>
      <c r="AM817" s="29">
        <v>44</v>
      </c>
      <c r="AN817" s="825"/>
      <c r="AO817" s="825"/>
      <c r="AQ817" s="825"/>
      <c r="AS817" s="29">
        <v>-527</v>
      </c>
      <c r="AT817" s="29">
        <v>-270</v>
      </c>
      <c r="AU817" s="29">
        <v>-292</v>
      </c>
      <c r="AV817" s="29">
        <v>-572</v>
      </c>
      <c r="AW817" s="29">
        <v>683</v>
      </c>
      <c r="AX817" s="29">
        <v>-208</v>
      </c>
      <c r="AY817" s="29">
        <v>-362</v>
      </c>
      <c r="AZ817" s="29">
        <v>-200</v>
      </c>
      <c r="BA817" s="29">
        <v>80</v>
      </c>
      <c r="BB817" s="29">
        <v>-109</v>
      </c>
      <c r="BC817" s="29">
        <v>-443</v>
      </c>
      <c r="BD817" s="29">
        <v>-223</v>
      </c>
      <c r="BE817" s="29">
        <v>-2073</v>
      </c>
      <c r="BG817" s="29">
        <v>-223</v>
      </c>
      <c r="BH817" s="29">
        <v>-2073</v>
      </c>
      <c r="BI817" s="29">
        <v>-2212</v>
      </c>
      <c r="BJ817" s="29">
        <v>-792</v>
      </c>
      <c r="BK817" s="11">
        <f t="shared" si="3848"/>
        <v>-219</v>
      </c>
      <c r="BL817" s="11">
        <f t="shared" si="3849"/>
        <v>-1249</v>
      </c>
      <c r="BM817" s="11">
        <f t="shared" si="3850"/>
        <v>-409</v>
      </c>
      <c r="BN817" s="11">
        <f t="shared" si="3851"/>
        <v>196</v>
      </c>
      <c r="BO817" s="11">
        <f t="shared" si="3852"/>
        <v>305</v>
      </c>
      <c r="BP817" s="29"/>
    </row>
    <row r="818" spans="2:68">
      <c r="B818" t="s">
        <v>531</v>
      </c>
      <c r="D818" s="29">
        <v>0</v>
      </c>
      <c r="E818" s="29">
        <v>0</v>
      </c>
      <c r="F818" s="29">
        <v>0</v>
      </c>
      <c r="G818" s="29">
        <v>630</v>
      </c>
      <c r="H818" s="29">
        <v>0</v>
      </c>
      <c r="I818" s="29">
        <v>0</v>
      </c>
      <c r="J818" s="29">
        <v>0</v>
      </c>
      <c r="K818" s="11">
        <f t="shared" si="3846"/>
        <v>0</v>
      </c>
      <c r="L818" s="29">
        <v>0</v>
      </c>
      <c r="M818" s="29">
        <v>0</v>
      </c>
      <c r="N818" s="29">
        <v>0</v>
      </c>
      <c r="O818" s="11">
        <v>0</v>
      </c>
      <c r="P818" s="29">
        <v>0</v>
      </c>
      <c r="Q818" s="29">
        <v>0</v>
      </c>
      <c r="R818" s="29">
        <v>0</v>
      </c>
      <c r="S818" s="11">
        <f t="shared" si="3847"/>
        <v>0</v>
      </c>
      <c r="T818" s="29">
        <v>0</v>
      </c>
      <c r="U818" s="29">
        <v>0</v>
      </c>
      <c r="V818" s="29">
        <v>0</v>
      </c>
      <c r="W818" s="29">
        <v>0</v>
      </c>
      <c r="X818" s="29">
        <v>0</v>
      </c>
      <c r="Y818" s="29">
        <v>0</v>
      </c>
      <c r="Z818" s="29">
        <v>0</v>
      </c>
      <c r="AA818" s="29">
        <v>0</v>
      </c>
      <c r="AB818" s="29">
        <v>0</v>
      </c>
      <c r="AC818" s="29">
        <v>0</v>
      </c>
      <c r="AD818" s="29">
        <v>0</v>
      </c>
      <c r="AE818" s="29">
        <v>0</v>
      </c>
      <c r="AF818" s="29">
        <v>0</v>
      </c>
      <c r="AG818" s="29">
        <v>0</v>
      </c>
      <c r="AH818" s="29">
        <v>0</v>
      </c>
      <c r="AI818" s="29">
        <v>0</v>
      </c>
      <c r="AJ818" s="29">
        <v>0</v>
      </c>
      <c r="AK818" s="29"/>
      <c r="AL818" s="29">
        <v>0</v>
      </c>
      <c r="AM818" s="29">
        <v>0</v>
      </c>
      <c r="AO818" s="825"/>
      <c r="AQ818" s="825"/>
      <c r="AS818" s="29">
        <v>0</v>
      </c>
      <c r="AT818" s="29">
        <v>0</v>
      </c>
      <c r="AU818" s="29">
        <v>0</v>
      </c>
      <c r="AV818" s="29">
        <v>0</v>
      </c>
      <c r="AW818" s="29">
        <v>0</v>
      </c>
      <c r="AX818" s="29">
        <v>0</v>
      </c>
      <c r="AY818" s="29">
        <v>0</v>
      </c>
      <c r="AZ818" s="29">
        <v>6193</v>
      </c>
      <c r="BA818" s="29">
        <v>0</v>
      </c>
      <c r="BB818" s="29">
        <v>0</v>
      </c>
      <c r="BC818" s="29">
        <v>7498</v>
      </c>
      <c r="BD818" s="29">
        <v>630</v>
      </c>
      <c r="BE818" s="29">
        <v>0</v>
      </c>
      <c r="BG818" s="29">
        <v>630</v>
      </c>
      <c r="BH818" s="29">
        <v>0</v>
      </c>
      <c r="BI818" s="29">
        <v>0</v>
      </c>
      <c r="BJ818" s="29">
        <v>0</v>
      </c>
      <c r="BK818" s="11">
        <f t="shared" si="3848"/>
        <v>0</v>
      </c>
      <c r="BL818" s="11">
        <f t="shared" si="3849"/>
        <v>0</v>
      </c>
      <c r="BM818" s="11">
        <f t="shared" si="3850"/>
        <v>0</v>
      </c>
      <c r="BN818" s="11">
        <f t="shared" si="3851"/>
        <v>0</v>
      </c>
      <c r="BO818" s="11">
        <f t="shared" si="3852"/>
        <v>0</v>
      </c>
      <c r="BP818" s="29"/>
    </row>
    <row r="819" spans="2:68">
      <c r="B819" t="s">
        <v>532</v>
      </c>
      <c r="D819" s="29">
        <v>674</v>
      </c>
      <c r="E819" s="29">
        <v>658</v>
      </c>
      <c r="F819" s="29">
        <v>672</v>
      </c>
      <c r="G819" s="29">
        <v>664</v>
      </c>
      <c r="H819" s="29">
        <v>703</v>
      </c>
      <c r="I819" s="29">
        <v>767</v>
      </c>
      <c r="J819" s="29">
        <v>883</v>
      </c>
      <c r="K819" s="11">
        <f t="shared" si="3846"/>
        <v>913</v>
      </c>
      <c r="L819" s="29">
        <v>973</v>
      </c>
      <c r="M819" s="29">
        <v>986</v>
      </c>
      <c r="N819" s="29">
        <v>969</v>
      </c>
      <c r="O819" s="11">
        <v>1012</v>
      </c>
      <c r="P819" s="29">
        <v>1107</v>
      </c>
      <c r="Q819" s="29">
        <v>1183</v>
      </c>
      <c r="R819" s="29">
        <v>1172</v>
      </c>
      <c r="S819" s="11">
        <f t="shared" si="3847"/>
        <v>1190</v>
      </c>
      <c r="T819" s="29">
        <v>1262</v>
      </c>
      <c r="U819" s="29">
        <v>1340</v>
      </c>
      <c r="V819" s="29">
        <v>1338</v>
      </c>
      <c r="W819" s="29">
        <v>1349</v>
      </c>
      <c r="X819" s="29">
        <v>1456</v>
      </c>
      <c r="Y819" s="29">
        <v>1566</v>
      </c>
      <c r="Z819" s="29">
        <v>1525</v>
      </c>
      <c r="AA819" s="29">
        <v>1571</v>
      </c>
      <c r="AB819" s="29">
        <v>1702</v>
      </c>
      <c r="AC819" s="29">
        <v>1897</v>
      </c>
      <c r="AD819" s="29">
        <v>1906</v>
      </c>
      <c r="AE819" s="29">
        <v>1997</v>
      </c>
      <c r="AF819" s="29">
        <v>2192</v>
      </c>
      <c r="AG819" s="29">
        <v>2538</v>
      </c>
      <c r="AH819" s="29">
        <v>2465</v>
      </c>
      <c r="AI819" s="29">
        <v>2416</v>
      </c>
      <c r="AJ819" s="29">
        <v>2507</v>
      </c>
      <c r="AK819" s="29">
        <v>2828</v>
      </c>
      <c r="AL819" s="29">
        <v>2703</v>
      </c>
      <c r="AM819" s="29">
        <v>2696</v>
      </c>
      <c r="AN819" s="825"/>
      <c r="AO819" s="825"/>
      <c r="AQ819" s="825"/>
      <c r="AS819" s="29">
        <v>2448</v>
      </c>
      <c r="AT819" s="29">
        <v>1715</v>
      </c>
      <c r="AU819" s="29">
        <v>1550</v>
      </c>
      <c r="AV819" s="29">
        <v>1479</v>
      </c>
      <c r="AW819" s="29">
        <v>1708</v>
      </c>
      <c r="AX819" s="29">
        <v>1891</v>
      </c>
      <c r="AY819" s="29">
        <v>2166</v>
      </c>
      <c r="AZ819" s="29">
        <v>2244</v>
      </c>
      <c r="BA819" s="29">
        <v>2406</v>
      </c>
      <c r="BB819" s="29">
        <v>2446</v>
      </c>
      <c r="BC819" s="29">
        <v>2574</v>
      </c>
      <c r="BD819" s="29">
        <v>2668</v>
      </c>
      <c r="BE819" s="29">
        <v>3266</v>
      </c>
      <c r="BG819" s="29">
        <v>2668</v>
      </c>
      <c r="BH819" s="29">
        <v>3266</v>
      </c>
      <c r="BI819" s="29">
        <v>3940</v>
      </c>
      <c r="BJ819" s="29">
        <v>4652</v>
      </c>
      <c r="BK819" s="11">
        <f t="shared" si="3848"/>
        <v>5289</v>
      </c>
      <c r="BL819" s="11">
        <f t="shared" si="3849"/>
        <v>6118</v>
      </c>
      <c r="BM819" s="11">
        <f t="shared" si="3850"/>
        <v>7502</v>
      </c>
      <c r="BN819" s="11">
        <f t="shared" si="3851"/>
        <v>9611</v>
      </c>
      <c r="BO819" s="11">
        <f t="shared" si="3852"/>
        <v>10734</v>
      </c>
      <c r="BP819" s="29"/>
    </row>
    <row r="820" spans="2:68">
      <c r="B820" t="s">
        <v>533</v>
      </c>
      <c r="D820" s="29">
        <v>0</v>
      </c>
      <c r="E820" s="29">
        <v>0</v>
      </c>
      <c r="F820" s="29">
        <v>0</v>
      </c>
      <c r="G820" s="29">
        <v>0</v>
      </c>
      <c r="H820" s="29">
        <v>0</v>
      </c>
      <c r="I820" s="29">
        <v>0</v>
      </c>
      <c r="J820" s="29">
        <v>0</v>
      </c>
      <c r="K820" s="11">
        <f t="shared" si="3846"/>
        <v>0</v>
      </c>
      <c r="L820" s="29">
        <v>0</v>
      </c>
      <c r="M820" s="29">
        <v>0</v>
      </c>
      <c r="N820" s="29">
        <v>0</v>
      </c>
      <c r="O820" s="11">
        <v>0</v>
      </c>
      <c r="P820" s="29">
        <v>0</v>
      </c>
      <c r="Q820" s="29">
        <v>0</v>
      </c>
      <c r="R820" s="29">
        <v>0</v>
      </c>
      <c r="S820" s="11">
        <f t="shared" si="3847"/>
        <v>0</v>
      </c>
      <c r="T820" s="29">
        <v>0</v>
      </c>
      <c r="U820" s="29">
        <v>0</v>
      </c>
      <c r="V820" s="29">
        <v>0</v>
      </c>
      <c r="W820" s="29">
        <v>0</v>
      </c>
      <c r="X820" s="29">
        <v>0</v>
      </c>
      <c r="Y820" s="29">
        <v>0</v>
      </c>
      <c r="Z820" s="29">
        <v>0</v>
      </c>
      <c r="AA820" s="29">
        <v>0</v>
      </c>
      <c r="AB820" s="29">
        <v>0</v>
      </c>
      <c r="AC820" s="29">
        <v>0</v>
      </c>
      <c r="AD820" s="29">
        <v>0</v>
      </c>
      <c r="AE820" s="29">
        <v>0</v>
      </c>
      <c r="AF820" s="29">
        <v>0</v>
      </c>
      <c r="AG820" s="29">
        <v>0</v>
      </c>
      <c r="AH820" s="29">
        <v>0</v>
      </c>
      <c r="AI820" s="29">
        <v>0</v>
      </c>
      <c r="AJ820" s="29">
        <v>0</v>
      </c>
      <c r="AK820" s="29"/>
      <c r="AL820" s="29">
        <v>0</v>
      </c>
      <c r="AM820" s="29">
        <v>0</v>
      </c>
      <c r="AN820" s="825"/>
      <c r="AO820" s="825"/>
      <c r="AQ820" s="825"/>
      <c r="AS820" s="29">
        <v>668</v>
      </c>
      <c r="AT820" s="29">
        <v>-89</v>
      </c>
      <c r="AU820" s="29">
        <v>-77</v>
      </c>
      <c r="AV820" s="29">
        <v>-120</v>
      </c>
      <c r="AW820" s="29">
        <v>-52</v>
      </c>
      <c r="AX820" s="29">
        <v>-45</v>
      </c>
      <c r="AY820" s="29">
        <v>-17</v>
      </c>
      <c r="AZ820" s="29">
        <v>-93</v>
      </c>
      <c r="BA820" s="29">
        <v>-209</v>
      </c>
      <c r="BB820" s="29">
        <v>0</v>
      </c>
      <c r="BC820" s="29">
        <v>0</v>
      </c>
      <c r="BD820" s="29">
        <v>0</v>
      </c>
      <c r="BE820" s="29">
        <v>0</v>
      </c>
      <c r="BG820" s="29">
        <v>0</v>
      </c>
      <c r="BH820" s="29">
        <v>0</v>
      </c>
      <c r="BI820" s="29">
        <v>0</v>
      </c>
      <c r="BJ820" s="29">
        <v>0</v>
      </c>
      <c r="BK820" s="11">
        <f t="shared" si="3848"/>
        <v>0</v>
      </c>
      <c r="BL820" s="11">
        <f t="shared" si="3849"/>
        <v>0</v>
      </c>
      <c r="BM820" s="11">
        <f t="shared" si="3850"/>
        <v>0</v>
      </c>
      <c r="BN820" s="11">
        <f t="shared" si="3851"/>
        <v>0</v>
      </c>
      <c r="BO820" s="11">
        <f t="shared" si="3852"/>
        <v>0</v>
      </c>
      <c r="BP820" s="29"/>
    </row>
    <row r="821" spans="2:68">
      <c r="B821" t="s">
        <v>534</v>
      </c>
      <c r="D821" s="29">
        <v>73</v>
      </c>
      <c r="E821" s="29">
        <v>-247</v>
      </c>
      <c r="F821" s="29">
        <v>351</v>
      </c>
      <c r="G821" s="29">
        <v>155</v>
      </c>
      <c r="H821" s="29">
        <v>540</v>
      </c>
      <c r="I821" s="29">
        <v>5</v>
      </c>
      <c r="J821" s="29">
        <v>-284</v>
      </c>
      <c r="K821" s="11">
        <f t="shared" si="3846"/>
        <v>-1090</v>
      </c>
      <c r="L821" s="29">
        <v>-53</v>
      </c>
      <c r="M821" s="29">
        <v>-2305</v>
      </c>
      <c r="N821" s="29">
        <v>-396</v>
      </c>
      <c r="O821" s="11">
        <v>-2389</v>
      </c>
      <c r="P821" s="29">
        <v>-247</v>
      </c>
      <c r="Q821" s="29">
        <v>-173</v>
      </c>
      <c r="R821" s="29">
        <v>-320</v>
      </c>
      <c r="S821" s="11">
        <f t="shared" si="3847"/>
        <v>-5723</v>
      </c>
      <c r="T821" s="29">
        <v>-177</v>
      </c>
      <c r="U821" s="29">
        <v>-53</v>
      </c>
      <c r="V821" s="29">
        <v>-206</v>
      </c>
      <c r="W821" s="29">
        <v>447</v>
      </c>
      <c r="X821" s="29">
        <v>-11</v>
      </c>
      <c r="Y821" s="29">
        <v>-17</v>
      </c>
      <c r="Z821" s="29">
        <v>-88</v>
      </c>
      <c r="AA821" s="29">
        <v>-34</v>
      </c>
      <c r="AB821" s="29">
        <v>-5970</v>
      </c>
      <c r="AC821" s="29">
        <v>183</v>
      </c>
      <c r="AD821" s="29">
        <v>-198</v>
      </c>
      <c r="AE821" s="29">
        <v>283</v>
      </c>
      <c r="AF821" s="29">
        <v>-1191</v>
      </c>
      <c r="AG821" s="29">
        <v>-1305</v>
      </c>
      <c r="AH821" s="29">
        <v>-1675</v>
      </c>
      <c r="AI821" s="29">
        <v>-1888</v>
      </c>
      <c r="AJ821" s="29">
        <v>-568</v>
      </c>
      <c r="AK821" s="29">
        <v>-1702</v>
      </c>
      <c r="AL821" s="29">
        <v>-1323</v>
      </c>
      <c r="AM821" s="29">
        <v>-1145</v>
      </c>
      <c r="AN821" s="825"/>
      <c r="AO821" s="825"/>
      <c r="AQ821" s="825"/>
      <c r="AS821" s="29">
        <v>-179</v>
      </c>
      <c r="AT821" s="29">
        <v>219</v>
      </c>
      <c r="AU821" s="29">
        <v>421</v>
      </c>
      <c r="AV821" s="29">
        <v>935</v>
      </c>
      <c r="AW821" s="29">
        <v>762</v>
      </c>
      <c r="AX821" s="29">
        <v>-220</v>
      </c>
      <c r="AY821" s="29">
        <v>2</v>
      </c>
      <c r="AZ821" s="29">
        <v>954</v>
      </c>
      <c r="BA821" s="29">
        <v>-19</v>
      </c>
      <c r="BB821" s="29">
        <v>-331</v>
      </c>
      <c r="BC821" s="29">
        <v>224</v>
      </c>
      <c r="BD821" s="29">
        <v>332</v>
      </c>
      <c r="BE821" s="29">
        <v>-3296</v>
      </c>
      <c r="BG821" s="29">
        <v>2479</v>
      </c>
      <c r="BH821" s="29">
        <v>-829</v>
      </c>
      <c r="BI821" s="29">
        <v>-5143</v>
      </c>
      <c r="BJ821" s="29">
        <v>-6463</v>
      </c>
      <c r="BK821" s="11">
        <f t="shared" si="3848"/>
        <v>11</v>
      </c>
      <c r="BL821" s="11">
        <f t="shared" si="3849"/>
        <v>-150</v>
      </c>
      <c r="BM821" s="11">
        <f t="shared" si="3850"/>
        <v>-5702</v>
      </c>
      <c r="BN821" s="11">
        <f t="shared" si="3851"/>
        <v>-6059</v>
      </c>
      <c r="BO821" s="11">
        <f t="shared" si="3852"/>
        <v>-4738</v>
      </c>
      <c r="BP821" s="29"/>
    </row>
    <row r="822" spans="2:68">
      <c r="B822" t="s">
        <v>535</v>
      </c>
      <c r="D822" s="29">
        <v>-5</v>
      </c>
      <c r="E822" s="29">
        <v>56</v>
      </c>
      <c r="F822" s="29">
        <v>7</v>
      </c>
      <c r="G822" s="29">
        <v>-99</v>
      </c>
      <c r="H822" s="29">
        <v>-93</v>
      </c>
      <c r="I822" s="29">
        <v>-200</v>
      </c>
      <c r="J822" s="29">
        <v>-387</v>
      </c>
      <c r="K822" s="11">
        <f t="shared" si="3846"/>
        <v>-237</v>
      </c>
      <c r="L822" s="29">
        <v>-278</v>
      </c>
      <c r="M822" s="29">
        <v>-344</v>
      </c>
      <c r="N822" s="29">
        <v>-213</v>
      </c>
      <c r="O822" s="11">
        <v>550</v>
      </c>
      <c r="P822" s="29">
        <v>21</v>
      </c>
      <c r="Q822" s="29">
        <v>-473</v>
      </c>
      <c r="R822" s="29">
        <v>-517</v>
      </c>
      <c r="S822" s="11">
        <f t="shared" si="3847"/>
        <v>-865</v>
      </c>
      <c r="T822" s="29">
        <v>-333</v>
      </c>
      <c r="U822" s="29">
        <v>-517</v>
      </c>
      <c r="V822" s="29">
        <v>124</v>
      </c>
      <c r="W822" s="29">
        <v>-311</v>
      </c>
      <c r="X822" s="29">
        <v>-62</v>
      </c>
      <c r="Y822" s="29">
        <v>-1499</v>
      </c>
      <c r="Z822" s="29">
        <v>-885</v>
      </c>
      <c r="AA822" s="29">
        <v>-1013</v>
      </c>
      <c r="AB822" s="29">
        <v>-598</v>
      </c>
      <c r="AC822" s="29">
        <v>-908</v>
      </c>
      <c r="AD822" s="29">
        <v>-724</v>
      </c>
      <c r="AE822" s="29">
        <v>-575</v>
      </c>
      <c r="AF822" s="29">
        <v>-666</v>
      </c>
      <c r="AG822" s="29">
        <v>-65</v>
      </c>
      <c r="AH822" s="29">
        <v>-554</v>
      </c>
      <c r="AI822" s="29">
        <v>-1548</v>
      </c>
      <c r="AJ822" s="29">
        <v>-2013</v>
      </c>
      <c r="AK822" s="29">
        <v>-1427</v>
      </c>
      <c r="AL822" s="29">
        <v>-2137</v>
      </c>
      <c r="AM822" s="29">
        <v>-1240</v>
      </c>
      <c r="AN822" s="825"/>
      <c r="AO822" s="825"/>
      <c r="AQ822" s="825"/>
      <c r="AS822" s="29">
        <v>21</v>
      </c>
      <c r="AT822" s="29">
        <v>-49</v>
      </c>
      <c r="AU822" s="29">
        <v>-435</v>
      </c>
      <c r="AV822" s="29">
        <v>-98</v>
      </c>
      <c r="AW822" s="29">
        <v>-273</v>
      </c>
      <c r="AX822" s="29">
        <v>-223</v>
      </c>
      <c r="AY822" s="29">
        <v>62</v>
      </c>
      <c r="AZ822" s="29">
        <v>-248</v>
      </c>
      <c r="BA822" s="29">
        <v>-478</v>
      </c>
      <c r="BB822" s="29">
        <v>-628</v>
      </c>
      <c r="BC822" s="29">
        <v>346</v>
      </c>
      <c r="BD822" s="29">
        <v>-41</v>
      </c>
      <c r="BE822" s="29">
        <v>-539</v>
      </c>
      <c r="BG822" s="29">
        <v>-1110</v>
      </c>
      <c r="BH822" s="29">
        <v>-917</v>
      </c>
      <c r="BI822" s="29">
        <v>-285</v>
      </c>
      <c r="BJ822" s="29">
        <v>-1834</v>
      </c>
      <c r="BK822" s="11">
        <f t="shared" si="3848"/>
        <v>-1037</v>
      </c>
      <c r="BL822" s="11">
        <f t="shared" si="3849"/>
        <v>-3459</v>
      </c>
      <c r="BM822" s="11">
        <f t="shared" si="3850"/>
        <v>-2805</v>
      </c>
      <c r="BN822" s="11">
        <f t="shared" si="3851"/>
        <v>-2833</v>
      </c>
      <c r="BO822" s="11">
        <f t="shared" si="3852"/>
        <v>-6817</v>
      </c>
      <c r="BP822" s="29"/>
    </row>
    <row r="823" spans="2:68">
      <c r="B823" t="s">
        <v>536</v>
      </c>
      <c r="D823" s="29">
        <v>-116</v>
      </c>
      <c r="E823" s="29">
        <v>370</v>
      </c>
      <c r="F823" s="29">
        <v>340</v>
      </c>
      <c r="G823" s="29">
        <v>-1360</v>
      </c>
      <c r="H823" s="29">
        <v>443</v>
      </c>
      <c r="I823" s="29">
        <v>-726</v>
      </c>
      <c r="J823" s="29">
        <v>284</v>
      </c>
      <c r="K823" s="11">
        <f t="shared" si="3846"/>
        <v>-119</v>
      </c>
      <c r="L823" s="29">
        <v>813</v>
      </c>
      <c r="M823" s="29">
        <v>-612</v>
      </c>
      <c r="N823" s="29">
        <v>145</v>
      </c>
      <c r="O823" s="11">
        <v>-366</v>
      </c>
      <c r="P823" s="29">
        <v>43</v>
      </c>
      <c r="Q823" s="29">
        <v>-32</v>
      </c>
      <c r="R823" s="29">
        <v>339</v>
      </c>
      <c r="S823" s="11">
        <f t="shared" si="3847"/>
        <v>241</v>
      </c>
      <c r="T823" s="29">
        <v>410</v>
      </c>
      <c r="U823" s="29">
        <v>425</v>
      </c>
      <c r="V823" s="29">
        <v>-110</v>
      </c>
      <c r="W823" s="29">
        <v>623</v>
      </c>
      <c r="X823" s="29">
        <v>244</v>
      </c>
      <c r="Y823" s="29">
        <v>893</v>
      </c>
      <c r="Z823" s="29">
        <v>122</v>
      </c>
      <c r="AA823" s="29">
        <v>143</v>
      </c>
      <c r="AB823" s="29">
        <v>250</v>
      </c>
      <c r="AC823" s="29">
        <v>93</v>
      </c>
      <c r="AD823" s="29">
        <v>438</v>
      </c>
      <c r="AE823" s="29">
        <v>44</v>
      </c>
      <c r="AF823" s="29">
        <v>188</v>
      </c>
      <c r="AG823" s="29">
        <v>257</v>
      </c>
      <c r="AH823" s="29">
        <v>6</v>
      </c>
      <c r="AI823" s="29">
        <v>102</v>
      </c>
      <c r="AJ823" s="29">
        <v>291</v>
      </c>
      <c r="AK823" s="29">
        <v>-26</v>
      </c>
      <c r="AL823" s="29">
        <v>48</v>
      </c>
      <c r="AM823" s="29">
        <v>436</v>
      </c>
      <c r="AN823" s="825"/>
      <c r="AO823" s="825"/>
      <c r="AQ823" s="825"/>
      <c r="AS823" s="29">
        <v>1245</v>
      </c>
      <c r="AT823" s="29">
        <v>1273</v>
      </c>
      <c r="AU823" s="29">
        <v>1558</v>
      </c>
      <c r="AV823" s="29">
        <v>-173</v>
      </c>
      <c r="AW823" s="29">
        <v>1673</v>
      </c>
      <c r="AX823" s="29">
        <v>1407</v>
      </c>
      <c r="AY823" s="29">
        <v>1294</v>
      </c>
      <c r="AZ823" s="29">
        <v>174</v>
      </c>
      <c r="BA823" s="29">
        <v>1158</v>
      </c>
      <c r="BB823" s="29">
        <v>1014</v>
      </c>
      <c r="BC823" s="29">
        <v>1599</v>
      </c>
      <c r="BD823" s="29">
        <v>-766</v>
      </c>
      <c r="BE823" s="29">
        <v>1533</v>
      </c>
      <c r="BG823" s="29">
        <v>-406</v>
      </c>
      <c r="BH823" s="29">
        <v>-118</v>
      </c>
      <c r="BI823" s="29">
        <v>-20</v>
      </c>
      <c r="BJ823" s="29">
        <v>591</v>
      </c>
      <c r="BK823" s="11">
        <f t="shared" si="3848"/>
        <v>1348</v>
      </c>
      <c r="BL823" s="11">
        <f t="shared" si="3849"/>
        <v>1402</v>
      </c>
      <c r="BM823" s="11">
        <f t="shared" si="3850"/>
        <v>825</v>
      </c>
      <c r="BN823" s="11">
        <f t="shared" si="3851"/>
        <v>553</v>
      </c>
      <c r="BO823" s="11">
        <f t="shared" si="3852"/>
        <v>749</v>
      </c>
      <c r="BP823" s="29"/>
    </row>
    <row r="824" spans="2:68">
      <c r="B824" t="s">
        <v>537</v>
      </c>
      <c r="D824" s="29">
        <v>6376</v>
      </c>
      <c r="E824" s="29">
        <v>-3118</v>
      </c>
      <c r="F824" s="29">
        <v>2288</v>
      </c>
      <c r="G824" s="29">
        <v>-6076</v>
      </c>
      <c r="H824" s="29">
        <v>7187</v>
      </c>
      <c r="I824" s="29">
        <v>-2789</v>
      </c>
      <c r="J824" s="29">
        <v>1415</v>
      </c>
      <c r="K824" s="11">
        <f t="shared" si="3846"/>
        <v>-7029</v>
      </c>
      <c r="L824" s="29">
        <v>7949</v>
      </c>
      <c r="M824" s="29">
        <v>-3908</v>
      </c>
      <c r="N824" s="29">
        <v>1285</v>
      </c>
      <c r="O824" s="11">
        <v>-9188</v>
      </c>
      <c r="P824" s="29">
        <v>9194</v>
      </c>
      <c r="Q824" s="29">
        <v>-2396</v>
      </c>
      <c r="R824" s="29">
        <v>460</v>
      </c>
      <c r="S824" s="11">
        <f t="shared" si="3847"/>
        <v>-10070</v>
      </c>
      <c r="T824" s="29">
        <v>10090</v>
      </c>
      <c r="U824" s="29">
        <v>-4203</v>
      </c>
      <c r="V824" s="29">
        <v>891</v>
      </c>
      <c r="W824" s="29">
        <v>-9355</v>
      </c>
      <c r="X824" s="29">
        <v>8843</v>
      </c>
      <c r="Y824" s="29">
        <v>-4008</v>
      </c>
      <c r="Z824" s="29">
        <v>290</v>
      </c>
      <c r="AA824" s="29">
        <v>-11606</v>
      </c>
      <c r="AB824" s="29">
        <v>10486</v>
      </c>
      <c r="AC824" s="29">
        <v>-5543</v>
      </c>
      <c r="AD824" s="29">
        <v>857</v>
      </c>
      <c r="AE824" s="29">
        <v>-12634</v>
      </c>
      <c r="AF824" s="29">
        <v>11729</v>
      </c>
      <c r="AG824" s="29">
        <v>-3164</v>
      </c>
      <c r="AH824" s="29">
        <v>-1408</v>
      </c>
      <c r="AI824" s="29">
        <v>-11244</v>
      </c>
      <c r="AJ824" s="29">
        <v>11034</v>
      </c>
      <c r="AK824" s="29">
        <v>-2951</v>
      </c>
      <c r="AL824" s="29">
        <v>-2028</v>
      </c>
      <c r="AM824" s="29">
        <v>-13246</v>
      </c>
      <c r="AN824" s="825"/>
      <c r="AO824" s="825"/>
      <c r="AQ824" s="825"/>
      <c r="AS824" s="29">
        <v>-1243</v>
      </c>
      <c r="AT824" s="29">
        <v>-2071</v>
      </c>
      <c r="AU824" s="29">
        <v>-1764</v>
      </c>
      <c r="AV824" s="29">
        <v>-1569</v>
      </c>
      <c r="AW824" s="29">
        <v>2215</v>
      </c>
      <c r="AX824" s="29">
        <v>-2238</v>
      </c>
      <c r="AY824" s="29">
        <v>-1451</v>
      </c>
      <c r="AZ824" s="29">
        <v>-1156</v>
      </c>
      <c r="BA824" s="29">
        <v>-1807</v>
      </c>
      <c r="BB824" s="29">
        <v>-1120</v>
      </c>
      <c r="BC824" s="29">
        <v>1456</v>
      </c>
      <c r="BD824" s="29">
        <v>-530</v>
      </c>
      <c r="BE824" s="29">
        <v>-925</v>
      </c>
      <c r="BG824" s="29">
        <v>562</v>
      </c>
      <c r="BH824" s="29">
        <v>-1216</v>
      </c>
      <c r="BI824" s="29">
        <v>-3862</v>
      </c>
      <c r="BJ824" s="29">
        <v>-2812</v>
      </c>
      <c r="BK824" s="11">
        <f t="shared" si="3848"/>
        <v>-2577</v>
      </c>
      <c r="BL824" s="11">
        <f t="shared" si="3849"/>
        <v>-6481</v>
      </c>
      <c r="BM824" s="11">
        <f t="shared" si="3850"/>
        <v>-6834</v>
      </c>
      <c r="BN824" s="11">
        <f t="shared" si="3851"/>
        <v>-4087</v>
      </c>
      <c r="BO824" s="11">
        <f t="shared" si="3852"/>
        <v>-7191</v>
      </c>
      <c r="BP824" s="29"/>
    </row>
    <row r="825" spans="2:68">
      <c r="B825" t="s">
        <v>538</v>
      </c>
      <c r="D825" s="29">
        <v>-937</v>
      </c>
      <c r="E825" s="29">
        <v>1104</v>
      </c>
      <c r="F825" s="29">
        <v>241</v>
      </c>
      <c r="G825" s="29">
        <v>192</v>
      </c>
      <c r="H825" s="29">
        <v>-867</v>
      </c>
      <c r="I825" s="29">
        <v>1132</v>
      </c>
      <c r="J825" s="29">
        <v>-16</v>
      </c>
      <c r="K825" s="11">
        <f t="shared" si="3846"/>
        <v>-199</v>
      </c>
      <c r="L825" s="29">
        <v>-1023</v>
      </c>
      <c r="M825" s="29">
        <v>1205</v>
      </c>
      <c r="N825" s="29">
        <v>-75</v>
      </c>
      <c r="O825" s="11">
        <v>-572</v>
      </c>
      <c r="P825" s="29">
        <v>-956</v>
      </c>
      <c r="Q825" s="29">
        <v>1654</v>
      </c>
      <c r="R825" s="29">
        <v>12</v>
      </c>
      <c r="S825" s="11">
        <f t="shared" si="3847"/>
        <v>-113</v>
      </c>
      <c r="T825" s="29">
        <v>-561</v>
      </c>
      <c r="U825" s="29">
        <v>799</v>
      </c>
      <c r="V825" s="29">
        <v>181</v>
      </c>
      <c r="W825" s="29">
        <v>-251</v>
      </c>
      <c r="X825" s="29">
        <v>-808</v>
      </c>
      <c r="Y825" s="29">
        <v>788</v>
      </c>
      <c r="Z825" s="29">
        <v>-329</v>
      </c>
      <c r="AA825" s="29">
        <v>-388</v>
      </c>
      <c r="AB825" s="29">
        <v>-777</v>
      </c>
      <c r="AC825" s="29">
        <v>394</v>
      </c>
      <c r="AD825" s="29">
        <v>-279</v>
      </c>
      <c r="AE825" s="29">
        <v>-461</v>
      </c>
      <c r="AF825" s="29">
        <v>-543</v>
      </c>
      <c r="AG825" s="29">
        <v>1305</v>
      </c>
      <c r="AH825" s="29">
        <v>106</v>
      </c>
      <c r="AI825" s="29">
        <v>374</v>
      </c>
      <c r="AJ825" s="29">
        <v>-505</v>
      </c>
      <c r="AK825" s="29">
        <v>1474</v>
      </c>
      <c r="AL825" s="29">
        <v>260</v>
      </c>
      <c r="AM825" s="29">
        <v>55</v>
      </c>
      <c r="AN825" s="825"/>
      <c r="AO825" s="825"/>
      <c r="AQ825" s="825"/>
      <c r="AS825" s="29">
        <v>0</v>
      </c>
      <c r="AT825" s="29">
        <v>0</v>
      </c>
      <c r="AU825" s="29">
        <v>0</v>
      </c>
      <c r="AV825" s="29">
        <v>0</v>
      </c>
      <c r="AW825" s="29">
        <v>255</v>
      </c>
      <c r="AX825" s="29">
        <v>-44</v>
      </c>
      <c r="AY825" s="29">
        <v>-561</v>
      </c>
      <c r="AZ825" s="29">
        <v>184</v>
      </c>
      <c r="BA825" s="29">
        <v>-802</v>
      </c>
      <c r="BB825" s="29">
        <v>-161</v>
      </c>
      <c r="BC825" s="29">
        <v>-272</v>
      </c>
      <c r="BD825" s="29">
        <v>600</v>
      </c>
      <c r="BE825" s="29">
        <v>50</v>
      </c>
      <c r="BG825" s="29">
        <v>600</v>
      </c>
      <c r="BH825" s="29">
        <v>50</v>
      </c>
      <c r="BI825" s="29">
        <v>-465</v>
      </c>
      <c r="BJ825" s="29">
        <v>597</v>
      </c>
      <c r="BK825" s="11">
        <f t="shared" si="3848"/>
        <v>168</v>
      </c>
      <c r="BL825" s="11">
        <f t="shared" si="3849"/>
        <v>-737</v>
      </c>
      <c r="BM825" s="11">
        <f t="shared" si="3850"/>
        <v>-1123</v>
      </c>
      <c r="BN825" s="11">
        <f t="shared" si="3851"/>
        <v>1242</v>
      </c>
      <c r="BO825" s="11">
        <f t="shared" si="3852"/>
        <v>1284</v>
      </c>
      <c r="BP825" s="29"/>
    </row>
    <row r="826" spans="2:68">
      <c r="B826" t="s">
        <v>539</v>
      </c>
      <c r="D826" s="29">
        <v>-135</v>
      </c>
      <c r="E826" s="29">
        <v>369</v>
      </c>
      <c r="F826" s="29">
        <v>-129</v>
      </c>
      <c r="G826" s="29">
        <v>-17</v>
      </c>
      <c r="H826" s="29">
        <v>-443</v>
      </c>
      <c r="I826" s="29">
        <v>99</v>
      </c>
      <c r="J826" s="29">
        <v>-425</v>
      </c>
      <c r="K826" s="11">
        <f t="shared" si="3846"/>
        <v>850</v>
      </c>
      <c r="L826" s="29">
        <v>-407</v>
      </c>
      <c r="M826" s="29">
        <v>938</v>
      </c>
      <c r="N826" s="29">
        <v>-393</v>
      </c>
      <c r="O826" s="11">
        <v>1010</v>
      </c>
      <c r="P826" s="29">
        <v>-395</v>
      </c>
      <c r="Q826" s="29">
        <v>-440</v>
      </c>
      <c r="R826" s="29">
        <v>-197</v>
      </c>
      <c r="S826" s="11">
        <f t="shared" si="3847"/>
        <v>1264</v>
      </c>
      <c r="T826" s="29">
        <v>-547</v>
      </c>
      <c r="U826" s="29">
        <v>-7</v>
      </c>
      <c r="V826" s="29">
        <v>546</v>
      </c>
      <c r="W826" s="29">
        <v>3026</v>
      </c>
      <c r="X826" s="29">
        <v>315</v>
      </c>
      <c r="Y826" s="29">
        <v>33</v>
      </c>
      <c r="Z826" s="29">
        <v>833</v>
      </c>
      <c r="AA826" s="29">
        <v>1617</v>
      </c>
      <c r="AB826" s="29">
        <v>-471</v>
      </c>
      <c r="AC826" s="29">
        <v>235</v>
      </c>
      <c r="AD826" s="29">
        <v>520</v>
      </c>
      <c r="AE826" s="29">
        <v>2659</v>
      </c>
      <c r="AF826" s="29">
        <v>-1567</v>
      </c>
      <c r="AG826" s="29">
        <v>-2058</v>
      </c>
      <c r="AH826" s="29">
        <v>-407</v>
      </c>
      <c r="AI826" s="29">
        <v>1311</v>
      </c>
      <c r="AJ826" s="29">
        <v>1214</v>
      </c>
      <c r="AK826" s="29">
        <v>-2521</v>
      </c>
      <c r="AL826" s="29">
        <v>648</v>
      </c>
      <c r="AM826" s="29">
        <v>4204</v>
      </c>
      <c r="AN826" s="29"/>
      <c r="AO826" s="825"/>
      <c r="AQ826" s="825"/>
      <c r="AS826" s="29">
        <v>0</v>
      </c>
      <c r="AT826" s="29">
        <v>0</v>
      </c>
      <c r="AU826" s="29">
        <v>0</v>
      </c>
      <c r="AV826" s="29">
        <v>0</v>
      </c>
      <c r="AW826" s="29">
        <v>-671</v>
      </c>
      <c r="AX826" s="29">
        <v>844</v>
      </c>
      <c r="AY826" s="29">
        <v>58</v>
      </c>
      <c r="AZ826" s="29">
        <v>-31</v>
      </c>
      <c r="BA826" s="29">
        <v>537</v>
      </c>
      <c r="BB826" s="29">
        <v>473</v>
      </c>
      <c r="BC826" s="29">
        <v>-1054</v>
      </c>
      <c r="BD826" s="29">
        <v>88</v>
      </c>
      <c r="BE826" s="29">
        <v>81</v>
      </c>
      <c r="BG826" s="29">
        <v>88</v>
      </c>
      <c r="BH826" s="29">
        <v>81</v>
      </c>
      <c r="BI826" s="29">
        <v>1148</v>
      </c>
      <c r="BJ826" s="29">
        <v>232</v>
      </c>
      <c r="BK826" s="11">
        <f t="shared" si="3848"/>
        <v>3018</v>
      </c>
      <c r="BL826" s="11">
        <f t="shared" si="3849"/>
        <v>2798</v>
      </c>
      <c r="BM826" s="11">
        <f t="shared" si="3850"/>
        <v>2943</v>
      </c>
      <c r="BN826" s="11">
        <f t="shared" si="3851"/>
        <v>-2721</v>
      </c>
      <c r="BO826" s="11">
        <f t="shared" si="3852"/>
        <v>3545</v>
      </c>
      <c r="BP826" s="29"/>
    </row>
    <row r="827" spans="2:68">
      <c r="B827" t="s">
        <v>540</v>
      </c>
      <c r="D827" s="29">
        <v>0</v>
      </c>
      <c r="E827" s="29">
        <v>0</v>
      </c>
      <c r="F827" s="29">
        <v>0</v>
      </c>
      <c r="G827" s="29">
        <v>0</v>
      </c>
      <c r="H827" s="29">
        <v>0</v>
      </c>
      <c r="I827" s="29">
        <v>1407</v>
      </c>
      <c r="J827" s="29">
        <v>1247</v>
      </c>
      <c r="K827" s="11">
        <f t="shared" si="3846"/>
        <v>-862</v>
      </c>
      <c r="L827" s="29">
        <v>0</v>
      </c>
      <c r="M827" s="29">
        <v>16635</v>
      </c>
      <c r="N827" s="29">
        <v>645</v>
      </c>
      <c r="O827" s="11">
        <v>903</v>
      </c>
      <c r="P827" s="29">
        <v>-1091</v>
      </c>
      <c r="Q827" s="29">
        <v>-64</v>
      </c>
      <c r="R827" s="29">
        <v>276</v>
      </c>
      <c r="S827" s="11">
        <f t="shared" si="3847"/>
        <v>3808</v>
      </c>
      <c r="T827" s="29">
        <v>-3336</v>
      </c>
      <c r="U827" s="29">
        <v>-471</v>
      </c>
      <c r="V827" s="29">
        <v>765</v>
      </c>
      <c r="W827" s="29">
        <v>-589</v>
      </c>
      <c r="X827" s="29">
        <v>-983</v>
      </c>
      <c r="Y827" s="29">
        <v>-2368</v>
      </c>
      <c r="Z827" s="29">
        <v>1074</v>
      </c>
      <c r="AA827" s="29">
        <v>-32</v>
      </c>
      <c r="AB827" s="29">
        <v>2653</v>
      </c>
      <c r="AC827" s="29">
        <v>-2057</v>
      </c>
      <c r="AD827" s="29">
        <v>1091</v>
      </c>
      <c r="AE827" s="29">
        <v>-991</v>
      </c>
      <c r="AF827" s="29">
        <v>410</v>
      </c>
      <c r="AG827" s="29">
        <v>-2863</v>
      </c>
      <c r="AH827" s="29">
        <v>1414</v>
      </c>
      <c r="AI827" s="29">
        <v>681</v>
      </c>
      <c r="AJ827" s="29">
        <v>1425</v>
      </c>
      <c r="AK827" s="29">
        <v>-1554</v>
      </c>
      <c r="AL827" s="29">
        <v>2622</v>
      </c>
      <c r="AM827" s="29">
        <v>-806</v>
      </c>
      <c r="AN827" s="825"/>
      <c r="AO827" s="825"/>
      <c r="AQ827" s="825"/>
      <c r="AS827" s="29">
        <v>0</v>
      </c>
      <c r="AT827" s="29">
        <v>0</v>
      </c>
      <c r="AU827" s="29">
        <v>0</v>
      </c>
      <c r="AV827" s="29">
        <v>0</v>
      </c>
      <c r="AW827" s="29">
        <v>0</v>
      </c>
      <c r="AX827" s="29">
        <v>0</v>
      </c>
      <c r="AY827" s="29">
        <v>0</v>
      </c>
      <c r="AZ827" s="29">
        <v>0</v>
      </c>
      <c r="BA827" s="29">
        <v>0</v>
      </c>
      <c r="BB827" s="29">
        <v>0</v>
      </c>
      <c r="BC827" s="29">
        <v>0</v>
      </c>
      <c r="BD827" s="29">
        <v>0</v>
      </c>
      <c r="BE827" s="29">
        <v>0</v>
      </c>
      <c r="BG827" s="29">
        <v>-298</v>
      </c>
      <c r="BH827" s="29">
        <v>1792</v>
      </c>
      <c r="BI827" s="29">
        <v>18183</v>
      </c>
      <c r="BJ827" s="29">
        <v>2929</v>
      </c>
      <c r="BK827" s="11">
        <f t="shared" si="3848"/>
        <v>-3631</v>
      </c>
      <c r="BL827" s="11">
        <f t="shared" si="3849"/>
        <v>-2309</v>
      </c>
      <c r="BM827" s="11">
        <f t="shared" si="3850"/>
        <v>696</v>
      </c>
      <c r="BN827" s="11">
        <f t="shared" si="3851"/>
        <v>-358</v>
      </c>
      <c r="BO827" s="11">
        <f t="shared" si="3852"/>
        <v>1687</v>
      </c>
      <c r="BP827" s="29"/>
    </row>
    <row r="828" spans="2:68">
      <c r="B828" t="s">
        <v>541</v>
      </c>
      <c r="D828" s="29">
        <v>10423</v>
      </c>
      <c r="E828" s="29">
        <v>12570</v>
      </c>
      <c r="F828" s="29">
        <v>13073</v>
      </c>
      <c r="G828" s="29">
        <v>21006</v>
      </c>
      <c r="H828" s="29">
        <v>-1807</v>
      </c>
      <c r="I828" s="29">
        <v>-1077</v>
      </c>
      <c r="J828" s="29">
        <v>-45</v>
      </c>
      <c r="K828" s="11">
        <f t="shared" si="3846"/>
        <v>6749</v>
      </c>
      <c r="L828" s="29">
        <v>-1806</v>
      </c>
      <c r="M828" s="29">
        <v>-1065</v>
      </c>
      <c r="N828" s="29">
        <v>91</v>
      </c>
      <c r="O828" s="11">
        <v>8702</v>
      </c>
      <c r="P828" s="29">
        <v>-2441</v>
      </c>
      <c r="Q828" s="29">
        <v>-2122</v>
      </c>
      <c r="R828" s="29">
        <v>20</v>
      </c>
      <c r="S828" s="11">
        <f t="shared" si="3847"/>
        <v>9005</v>
      </c>
      <c r="T828" s="29">
        <v>-2892</v>
      </c>
      <c r="U828" s="29">
        <v>-2936</v>
      </c>
      <c r="V828" s="29">
        <v>-736</v>
      </c>
      <c r="W828" s="29">
        <v>8776</v>
      </c>
      <c r="X828" s="29">
        <v>-3064</v>
      </c>
      <c r="Y828" s="29">
        <v>-3227</v>
      </c>
      <c r="Z828" s="29">
        <v>-473</v>
      </c>
      <c r="AA828" s="29">
        <v>11397</v>
      </c>
      <c r="AB828" s="29">
        <v>-2885</v>
      </c>
      <c r="AC828" s="29">
        <v>-4343</v>
      </c>
      <c r="AD828" s="29">
        <v>-209</v>
      </c>
      <c r="AE828" s="29">
        <v>12546</v>
      </c>
      <c r="AF828" s="29">
        <v>-3322</v>
      </c>
      <c r="AG828" s="29">
        <v>-5186</v>
      </c>
      <c r="AH828" s="29">
        <v>-181</v>
      </c>
      <c r="AI828" s="29">
        <v>14224</v>
      </c>
      <c r="AJ828" s="29">
        <v>-4126</v>
      </c>
      <c r="AK828" s="29">
        <v>-5538</v>
      </c>
      <c r="AL828" s="29">
        <v>-645</v>
      </c>
      <c r="AM828" s="29">
        <v>15657</v>
      </c>
      <c r="AN828" s="825"/>
      <c r="AO828" s="825"/>
      <c r="AQ828" s="825"/>
      <c r="AS828" s="29">
        <v>13831</v>
      </c>
      <c r="AT828" s="29">
        <v>16453</v>
      </c>
      <c r="AU828" s="29">
        <v>21032</v>
      </c>
      <c r="AV828" s="29">
        <v>24532</v>
      </c>
      <c r="AW828" s="29">
        <v>24409</v>
      </c>
      <c r="AX828" s="29">
        <v>29374</v>
      </c>
      <c r="AY828" s="29">
        <v>31227</v>
      </c>
      <c r="AZ828" s="29">
        <v>36104</v>
      </c>
      <c r="BA828" s="29">
        <v>44253</v>
      </c>
      <c r="BB828" s="29">
        <v>44325</v>
      </c>
      <c r="BC828" s="29">
        <v>45072</v>
      </c>
      <c r="BD828" s="29">
        <v>57072</v>
      </c>
      <c r="BE828" s="29">
        <v>67711</v>
      </c>
      <c r="BG828" s="29">
        <v>2565</v>
      </c>
      <c r="BH828" s="29">
        <v>3820</v>
      </c>
      <c r="BI828" s="29">
        <v>5922</v>
      </c>
      <c r="BJ828" s="29">
        <v>4462</v>
      </c>
      <c r="BK828" s="11">
        <f t="shared" si="3848"/>
        <v>2212</v>
      </c>
      <c r="BL828" s="11">
        <f t="shared" si="3849"/>
        <v>4633</v>
      </c>
      <c r="BM828" s="11">
        <f t="shared" si="3850"/>
        <v>5109</v>
      </c>
      <c r="BN828" s="11">
        <f t="shared" si="3851"/>
        <v>5535</v>
      </c>
      <c r="BO828" s="11">
        <f t="shared" si="3852"/>
        <v>5348</v>
      </c>
      <c r="BP828" s="29"/>
    </row>
    <row r="829" spans="2:68">
      <c r="B829" t="s">
        <v>542</v>
      </c>
      <c r="D829" s="29">
        <v>-11355</v>
      </c>
      <c r="E829" s="29">
        <v>-11929</v>
      </c>
      <c r="F829" s="29">
        <v>-12210</v>
      </c>
      <c r="G829" s="29">
        <v>-13004</v>
      </c>
      <c r="H829" s="29">
        <v>0</v>
      </c>
      <c r="I829" s="29">
        <v>0</v>
      </c>
      <c r="J829" s="29">
        <v>0</v>
      </c>
      <c r="K829" s="11">
        <f t="shared" si="3846"/>
        <v>0</v>
      </c>
      <c r="L829" s="29">
        <v>0</v>
      </c>
      <c r="M829" s="29">
        <v>0</v>
      </c>
      <c r="N829" s="29">
        <v>0</v>
      </c>
      <c r="O829" s="11">
        <v>0</v>
      </c>
      <c r="P829" s="29">
        <v>0</v>
      </c>
      <c r="Q829" s="29">
        <v>0</v>
      </c>
      <c r="R829" s="29">
        <v>0</v>
      </c>
      <c r="S829" s="11">
        <f t="shared" si="3847"/>
        <v>0</v>
      </c>
      <c r="T829" s="29">
        <v>0</v>
      </c>
      <c r="U829" s="29">
        <v>0</v>
      </c>
      <c r="V829" s="29">
        <v>0</v>
      </c>
      <c r="W829" s="29">
        <v>0</v>
      </c>
      <c r="X829" s="29">
        <v>0</v>
      </c>
      <c r="Y829" s="29">
        <v>0</v>
      </c>
      <c r="Z829" s="29">
        <v>0</v>
      </c>
      <c r="AA829" s="29">
        <v>0</v>
      </c>
      <c r="AB829" s="29">
        <v>0</v>
      </c>
      <c r="AC829" s="29">
        <v>0</v>
      </c>
      <c r="AD829" s="29">
        <v>0</v>
      </c>
      <c r="AE829" s="29">
        <v>0</v>
      </c>
      <c r="AF829" s="29">
        <v>0</v>
      </c>
      <c r="AG829" s="29">
        <v>0</v>
      </c>
      <c r="AH829" s="29">
        <v>0</v>
      </c>
      <c r="AI829" s="29">
        <v>0</v>
      </c>
      <c r="AJ829" s="29">
        <v>0</v>
      </c>
      <c r="AK829" s="29">
        <v>0</v>
      </c>
      <c r="AL829" s="29">
        <v>0</v>
      </c>
      <c r="AM829" s="29">
        <v>0</v>
      </c>
      <c r="AN829" s="825"/>
      <c r="AO829" s="825"/>
      <c r="AQ829" s="825"/>
      <c r="AS829" s="29">
        <v>-12919</v>
      </c>
      <c r="AT829" s="29">
        <v>-14729</v>
      </c>
      <c r="AU829" s="29">
        <v>-19382</v>
      </c>
      <c r="AV829" s="29">
        <v>-21944</v>
      </c>
      <c r="AW829" s="29">
        <v>-25426</v>
      </c>
      <c r="AX829" s="29">
        <v>-28813</v>
      </c>
      <c r="AY829" s="29">
        <v>-28935</v>
      </c>
      <c r="AZ829" s="29">
        <v>-33347</v>
      </c>
      <c r="BA829" s="29">
        <v>-41921</v>
      </c>
      <c r="BB829" s="29">
        <v>-41739</v>
      </c>
      <c r="BC829" s="29">
        <v>-44920</v>
      </c>
      <c r="BD829" s="29">
        <v>-48498</v>
      </c>
      <c r="BE829" s="29">
        <v>-57735</v>
      </c>
      <c r="BG829" s="29">
        <v>0</v>
      </c>
      <c r="BH829" s="29">
        <v>0</v>
      </c>
      <c r="BI829" s="29">
        <v>0</v>
      </c>
      <c r="BJ829" s="29">
        <v>0</v>
      </c>
      <c r="BK829" s="11">
        <f t="shared" si="3848"/>
        <v>0</v>
      </c>
      <c r="BL829" s="11">
        <f t="shared" si="3849"/>
        <v>0</v>
      </c>
      <c r="BM829" s="11">
        <f t="shared" si="3850"/>
        <v>0</v>
      </c>
      <c r="BN829" s="11">
        <f t="shared" si="3851"/>
        <v>0</v>
      </c>
      <c r="BO829" s="11">
        <f t="shared" si="3852"/>
        <v>0</v>
      </c>
      <c r="BP829" s="29"/>
    </row>
    <row r="830" spans="2:68">
      <c r="B830" t="s">
        <v>543</v>
      </c>
      <c r="D830" s="29">
        <v>-2024</v>
      </c>
      <c r="E830" s="29">
        <v>105</v>
      </c>
      <c r="F830" s="29">
        <v>626</v>
      </c>
      <c r="G830" s="29">
        <v>1033</v>
      </c>
      <c r="H830" s="29">
        <v>-321</v>
      </c>
      <c r="I830" s="29">
        <v>-1406</v>
      </c>
      <c r="J830" s="29">
        <v>670</v>
      </c>
      <c r="K830" s="11">
        <f t="shared" si="3846"/>
        <v>1413</v>
      </c>
      <c r="L830" s="29">
        <v>-1962</v>
      </c>
      <c r="M830" s="29">
        <v>441</v>
      </c>
      <c r="N830" s="29">
        <v>546</v>
      </c>
      <c r="O830" s="11">
        <v>1773</v>
      </c>
      <c r="P830" s="29">
        <v>-2322</v>
      </c>
      <c r="Q830" s="29">
        <v>656</v>
      </c>
      <c r="R830" s="29">
        <v>649</v>
      </c>
      <c r="S830" s="11">
        <f t="shared" si="3847"/>
        <v>2436</v>
      </c>
      <c r="T830" s="29">
        <v>-3320</v>
      </c>
      <c r="U830" s="29">
        <v>1489</v>
      </c>
      <c r="V830" s="29">
        <v>695</v>
      </c>
      <c r="W830" s="29">
        <v>2482</v>
      </c>
      <c r="X830" s="29">
        <v>-2951</v>
      </c>
      <c r="Y830" s="29">
        <v>1755</v>
      </c>
      <c r="Z830" s="29">
        <v>1590</v>
      </c>
      <c r="AA830" s="29">
        <v>3755</v>
      </c>
      <c r="AB830" s="29">
        <v>-4143</v>
      </c>
      <c r="AC830" s="29">
        <v>1745</v>
      </c>
      <c r="AD830" s="29">
        <v>1287</v>
      </c>
      <c r="AE830" s="29">
        <v>3455</v>
      </c>
      <c r="AF830" s="29">
        <v>-4024</v>
      </c>
      <c r="AG830" s="29">
        <v>1819</v>
      </c>
      <c r="AH830" s="29">
        <v>1715</v>
      </c>
      <c r="AI830" s="29">
        <v>2762</v>
      </c>
      <c r="AJ830" s="29">
        <v>-4106</v>
      </c>
      <c r="AK830" s="29">
        <v>1518</v>
      </c>
      <c r="AL830" s="29">
        <v>2803</v>
      </c>
      <c r="AM830" s="29">
        <v>4652</v>
      </c>
      <c r="AN830" s="825"/>
      <c r="AO830" s="825"/>
      <c r="AQ830" s="825"/>
      <c r="AS830" s="29">
        <v>396</v>
      </c>
      <c r="AT830" s="29">
        <v>-145</v>
      </c>
      <c r="AU830" s="29">
        <v>-552</v>
      </c>
      <c r="AV830" s="29">
        <v>-748</v>
      </c>
      <c r="AW830" s="29">
        <v>-2700</v>
      </c>
      <c r="AX830" s="29">
        <v>451</v>
      </c>
      <c r="AY830" s="29">
        <v>-1146</v>
      </c>
      <c r="AZ830" s="29">
        <v>410</v>
      </c>
      <c r="BA830" s="29">
        <v>146</v>
      </c>
      <c r="BB830" s="29">
        <v>1075</v>
      </c>
      <c r="BC830" s="29">
        <v>-624</v>
      </c>
      <c r="BD830" s="29">
        <v>-260</v>
      </c>
      <c r="BE830" s="29">
        <v>386</v>
      </c>
      <c r="BG830" s="29">
        <v>-179</v>
      </c>
      <c r="BH830" s="29">
        <v>356</v>
      </c>
      <c r="BI830" s="29">
        <v>798</v>
      </c>
      <c r="BJ830" s="29">
        <v>1419</v>
      </c>
      <c r="BK830" s="11">
        <f t="shared" si="3848"/>
        <v>1346</v>
      </c>
      <c r="BL830" s="11">
        <f t="shared" si="3849"/>
        <v>4149</v>
      </c>
      <c r="BM830" s="11">
        <f t="shared" si="3850"/>
        <v>2344</v>
      </c>
      <c r="BN830" s="11">
        <f t="shared" si="3851"/>
        <v>2272</v>
      </c>
      <c r="BO830" s="11">
        <f t="shared" si="3852"/>
        <v>4867</v>
      </c>
      <c r="BP830" s="29"/>
    </row>
    <row r="831" spans="2:68" ht="11.45">
      <c r="B831" t="s">
        <v>544</v>
      </c>
      <c r="D831" s="30">
        <v>-562</v>
      </c>
      <c r="E831" s="30">
        <v>-932</v>
      </c>
      <c r="F831" s="30">
        <v>-420</v>
      </c>
      <c r="G831" s="30">
        <v>747</v>
      </c>
      <c r="H831" s="30">
        <v>-965</v>
      </c>
      <c r="I831" s="30">
        <v>1300</v>
      </c>
      <c r="J831" s="30">
        <v>-31</v>
      </c>
      <c r="K831" s="34">
        <f t="shared" si="3846"/>
        <v>724</v>
      </c>
      <c r="L831" s="30">
        <v>-318</v>
      </c>
      <c r="M831" s="30">
        <v>354</v>
      </c>
      <c r="N831" s="30">
        <v>-149</v>
      </c>
      <c r="O831" s="34">
        <v>-839</v>
      </c>
      <c r="P831" s="30">
        <v>-677</v>
      </c>
      <c r="Q831" s="30">
        <v>-173</v>
      </c>
      <c r="R831" s="30">
        <v>-14</v>
      </c>
      <c r="S831" s="34">
        <f t="shared" si="3847"/>
        <v>-854</v>
      </c>
      <c r="T831" s="30">
        <v>-438</v>
      </c>
      <c r="U831" s="30">
        <v>165</v>
      </c>
      <c r="V831" s="30">
        <v>94</v>
      </c>
      <c r="W831" s="30">
        <v>-2151</v>
      </c>
      <c r="X831" s="30">
        <v>-54</v>
      </c>
      <c r="Y831" s="30">
        <v>730</v>
      </c>
      <c r="Z831" s="30">
        <v>478</v>
      </c>
      <c r="AA831" s="30">
        <v>-2086</v>
      </c>
      <c r="AB831" s="30">
        <v>940</v>
      </c>
      <c r="AC831" s="30">
        <v>830</v>
      </c>
      <c r="AD831" s="30">
        <v>91</v>
      </c>
      <c r="AE831" s="30">
        <v>-2570</v>
      </c>
      <c r="AF831" s="30">
        <v>-332</v>
      </c>
      <c r="AG831" s="30">
        <v>-392</v>
      </c>
      <c r="AH831" s="30">
        <v>1152</v>
      </c>
      <c r="AI831" s="30">
        <v>-2419</v>
      </c>
      <c r="AJ831" s="30">
        <v>-796</v>
      </c>
      <c r="AK831" s="30">
        <v>725</v>
      </c>
      <c r="AL831" s="30">
        <v>951</v>
      </c>
      <c r="AM831" s="30">
        <v>-2528</v>
      </c>
      <c r="AN831" s="825"/>
      <c r="AO831" s="825"/>
      <c r="AQ831" s="825"/>
      <c r="AS831" s="30">
        <v>-245</v>
      </c>
      <c r="AT831" s="30">
        <v>-1405</v>
      </c>
      <c r="AU831" s="30">
        <v>232</v>
      </c>
      <c r="AV831" s="30">
        <v>153</v>
      </c>
      <c r="AW831" s="30">
        <v>-677</v>
      </c>
      <c r="AX831" s="30">
        <v>464</v>
      </c>
      <c r="AY831" s="30">
        <v>-1259</v>
      </c>
      <c r="AZ831" s="30">
        <v>493</v>
      </c>
      <c r="BA831" s="30">
        <v>-129</v>
      </c>
      <c r="BB831" s="30">
        <v>-29</v>
      </c>
      <c r="BC831" s="30">
        <v>62</v>
      </c>
      <c r="BD831" s="30">
        <v>-1167</v>
      </c>
      <c r="BE831" s="30">
        <v>1066</v>
      </c>
      <c r="BF831" s="953"/>
      <c r="BG831" s="30">
        <v>-1212</v>
      </c>
      <c r="BH831" s="30">
        <v>1028</v>
      </c>
      <c r="BI831" s="30">
        <v>-952</v>
      </c>
      <c r="BJ831" s="30">
        <v>-1718</v>
      </c>
      <c r="BK831" s="34">
        <f t="shared" si="3848"/>
        <v>-2330</v>
      </c>
      <c r="BL831" s="34">
        <f t="shared" si="3849"/>
        <v>-932</v>
      </c>
      <c r="BM831" s="34">
        <f t="shared" si="3850"/>
        <v>-709</v>
      </c>
      <c r="BN831" s="34">
        <f t="shared" si="3851"/>
        <v>-1991</v>
      </c>
      <c r="BO831" s="34">
        <f t="shared" si="3852"/>
        <v>-1648</v>
      </c>
      <c r="BP831" s="30"/>
    </row>
    <row r="832" spans="2:68" s="1" customFormat="1" ht="10.5">
      <c r="B832" s="837" t="s">
        <v>545</v>
      </c>
      <c r="D832" s="838">
        <f>SUM(D815:D831)</f>
        <v>8876</v>
      </c>
      <c r="E832" s="838">
        <f t="shared" ref="E832:G832" si="3853">SUM(E815:E831)</f>
        <v>5618</v>
      </c>
      <c r="F832" s="838">
        <f t="shared" si="3853"/>
        <v>10367</v>
      </c>
      <c r="G832" s="838">
        <f t="shared" si="3853"/>
        <v>8464</v>
      </c>
      <c r="H832" s="838">
        <f t="shared" ref="H832:AM832" si="3854">SUM(H815:H831)</f>
        <v>11549</v>
      </c>
      <c r="I832" s="838">
        <f t="shared" si="3854"/>
        <v>6293</v>
      </c>
      <c r="J832" s="838">
        <f t="shared" si="3854"/>
        <v>10660</v>
      </c>
      <c r="K832" s="849">
        <f t="shared" si="3854"/>
        <v>11005</v>
      </c>
      <c r="L832" s="838">
        <f t="shared" si="3854"/>
        <v>12440</v>
      </c>
      <c r="M832" s="838">
        <f t="shared" si="3854"/>
        <v>7875</v>
      </c>
      <c r="N832" s="838">
        <f t="shared" si="3854"/>
        <v>12151</v>
      </c>
      <c r="O832" s="849">
        <f t="shared" si="3854"/>
        <v>11418</v>
      </c>
      <c r="P832" s="838">
        <f t="shared" si="3854"/>
        <v>13657</v>
      </c>
      <c r="Q832" s="838">
        <f t="shared" si="3854"/>
        <v>8900</v>
      </c>
      <c r="R832" s="838">
        <f t="shared" si="3854"/>
        <v>13520</v>
      </c>
      <c r="S832" s="849">
        <f t="shared" si="3854"/>
        <v>16108</v>
      </c>
      <c r="T832" s="838">
        <f t="shared" si="3854"/>
        <v>13818</v>
      </c>
      <c r="U832" s="838">
        <f t="shared" si="3854"/>
        <v>10680</v>
      </c>
      <c r="V832" s="838">
        <f t="shared" si="3854"/>
        <v>17504</v>
      </c>
      <c r="W832" s="838">
        <f t="shared" si="3854"/>
        <v>18673</v>
      </c>
      <c r="X832" s="838">
        <f t="shared" si="3854"/>
        <v>19335</v>
      </c>
      <c r="Y832" s="838">
        <f t="shared" si="3854"/>
        <v>12516</v>
      </c>
      <c r="Z832" s="838">
        <f t="shared" si="3854"/>
        <v>22179</v>
      </c>
      <c r="AA832" s="838">
        <f t="shared" si="3854"/>
        <v>22710</v>
      </c>
      <c r="AB832" s="838">
        <f t="shared" si="3854"/>
        <v>24540</v>
      </c>
      <c r="AC832" s="838">
        <f t="shared" si="3854"/>
        <v>14480</v>
      </c>
      <c r="AD832" s="838">
        <f t="shared" si="3854"/>
        <v>25386</v>
      </c>
      <c r="AE832" s="838">
        <f t="shared" si="3854"/>
        <v>24629</v>
      </c>
      <c r="AF832" s="838">
        <f t="shared" si="3854"/>
        <v>23198</v>
      </c>
      <c r="AG832" s="838">
        <f t="shared" si="3854"/>
        <v>11173</v>
      </c>
      <c r="AH832" s="838">
        <f t="shared" si="3854"/>
        <v>24441</v>
      </c>
      <c r="AI832" s="838">
        <f t="shared" si="3854"/>
        <v>28770</v>
      </c>
      <c r="AJ832" s="838">
        <f t="shared" si="3854"/>
        <v>30583</v>
      </c>
      <c r="AK832" s="838">
        <f t="shared" si="3854"/>
        <v>18853</v>
      </c>
      <c r="AL832" s="838">
        <f t="shared" si="3854"/>
        <v>31917</v>
      </c>
      <c r="AM832" s="838">
        <f t="shared" si="3854"/>
        <v>37195</v>
      </c>
      <c r="AN832"/>
      <c r="AO832" s="825"/>
      <c r="AP832"/>
      <c r="AQ832" s="825"/>
      <c r="AR832"/>
      <c r="AS832" s="838">
        <f>SUM(AS815:AS831)</f>
        <v>16605</v>
      </c>
      <c r="AT832" s="838">
        <f t="shared" ref="AT832:BE832" si="3855">SUM(AT815:AT831)</f>
        <v>14404</v>
      </c>
      <c r="AU832" s="838">
        <f t="shared" si="3855"/>
        <v>17796</v>
      </c>
      <c r="AV832" s="838">
        <f t="shared" si="3855"/>
        <v>21612</v>
      </c>
      <c r="AW832" s="838">
        <f t="shared" si="3855"/>
        <v>19037</v>
      </c>
      <c r="AX832" s="838">
        <f t="shared" si="3855"/>
        <v>24073</v>
      </c>
      <c r="AY832" s="838">
        <f t="shared" si="3855"/>
        <v>26994</v>
      </c>
      <c r="AZ832" s="838">
        <f t="shared" si="3855"/>
        <v>31626</v>
      </c>
      <c r="BA832" s="838">
        <f t="shared" si="3855"/>
        <v>28833</v>
      </c>
      <c r="BB832" s="838">
        <f t="shared" si="3855"/>
        <v>32502</v>
      </c>
      <c r="BC832" s="838">
        <f t="shared" si="3855"/>
        <v>29668</v>
      </c>
      <c r="BD832" s="838">
        <f t="shared" si="3855"/>
        <v>33325</v>
      </c>
      <c r="BE832" s="838">
        <f t="shared" si="3855"/>
        <v>39507</v>
      </c>
      <c r="BG832" s="838">
        <f t="shared" ref="BG832:BK832" si="3856">SUM(BG815:BG831)</f>
        <v>33325</v>
      </c>
      <c r="BH832" s="838">
        <f t="shared" si="3856"/>
        <v>39507</v>
      </c>
      <c r="BI832" s="838">
        <f t="shared" si="3856"/>
        <v>43884</v>
      </c>
      <c r="BJ832" s="838">
        <f t="shared" si="3856"/>
        <v>52185</v>
      </c>
      <c r="BK832" s="838">
        <f t="shared" si="3856"/>
        <v>60675</v>
      </c>
      <c r="BL832" s="849">
        <f>+SUM(BL815:BL831)</f>
        <v>76740</v>
      </c>
      <c r="BM832" s="849">
        <f>+SUM(BM815:BM831)</f>
        <v>89035</v>
      </c>
      <c r="BN832" s="849">
        <f t="shared" si="3851"/>
        <v>87582</v>
      </c>
      <c r="BO832" s="849">
        <f t="shared" si="3852"/>
        <v>118548</v>
      </c>
      <c r="BP832" s="838"/>
    </row>
    <row r="833" spans="2:68">
      <c r="K833" s="100"/>
      <c r="O833" s="100"/>
      <c r="S833" s="100"/>
      <c r="AO833" s="825"/>
      <c r="AQ833" s="825"/>
      <c r="BL833" s="100"/>
    </row>
    <row r="834" spans="2:68" ht="10.5">
      <c r="B834" s="45" t="s">
        <v>546</v>
      </c>
      <c r="K834" s="100"/>
      <c r="O834" s="100"/>
      <c r="S834" s="100"/>
      <c r="BL834" s="100"/>
    </row>
    <row r="835" spans="2:68">
      <c r="B835" t="s">
        <v>547</v>
      </c>
      <c r="D835" s="29">
        <v>-1356</v>
      </c>
      <c r="E835" s="29">
        <v>-2024</v>
      </c>
      <c r="F835" s="29">
        <v>-2308</v>
      </c>
      <c r="G835" s="29">
        <v>-2655</v>
      </c>
      <c r="H835" s="29">
        <v>-2163</v>
      </c>
      <c r="I835" s="29">
        <v>-1988</v>
      </c>
      <c r="J835" s="29">
        <v>-1695</v>
      </c>
      <c r="K835" s="11">
        <v>-2283</v>
      </c>
      <c r="L835" s="29">
        <v>-2132</v>
      </c>
      <c r="M835" s="29">
        <v>-2586</v>
      </c>
      <c r="N835" s="29">
        <v>-2934</v>
      </c>
      <c r="O835" s="11">
        <v>-3980</v>
      </c>
      <c r="P835" s="29">
        <v>-3602</v>
      </c>
      <c r="Q835" s="29">
        <v>-3707</v>
      </c>
      <c r="R835" s="29">
        <v>-2565</v>
      </c>
      <c r="S835" s="11">
        <f t="shared" ref="S835:S840" si="3857">+BJ835-SUM(P835:R835)</f>
        <v>-4051</v>
      </c>
      <c r="T835" s="29">
        <v>-3385</v>
      </c>
      <c r="U835" s="29">
        <v>-3545</v>
      </c>
      <c r="V835" s="29">
        <v>-3767</v>
      </c>
      <c r="W835" s="29">
        <v>-4744</v>
      </c>
      <c r="X835" s="29">
        <v>-4907</v>
      </c>
      <c r="Y835" s="29">
        <v>-4174</v>
      </c>
      <c r="Z835" s="29">
        <v>-5089</v>
      </c>
      <c r="AA835" s="29">
        <v>-6452</v>
      </c>
      <c r="AB835" s="29">
        <v>-5810</v>
      </c>
      <c r="AC835" s="29">
        <v>-5865</v>
      </c>
      <c r="AD835" s="29">
        <v>-5340</v>
      </c>
      <c r="AE835" s="29">
        <v>-6871</v>
      </c>
      <c r="AF835" s="29">
        <v>-6283</v>
      </c>
      <c r="AG835" s="29">
        <v>-6274</v>
      </c>
      <c r="AH835" s="29">
        <v>-6607</v>
      </c>
      <c r="AI835" s="29">
        <v>-8943</v>
      </c>
      <c r="AJ835" s="29">
        <v>-9917</v>
      </c>
      <c r="AK835" s="29">
        <v>-9735</v>
      </c>
      <c r="AL835" s="29">
        <v>-10952</v>
      </c>
      <c r="AM835" s="29">
        <v>-13873</v>
      </c>
      <c r="AO835" s="825"/>
      <c r="AQ835" s="825"/>
      <c r="AS835" s="29">
        <v>-812</v>
      </c>
      <c r="AT835" s="29">
        <v>-1578</v>
      </c>
      <c r="AU835" s="29">
        <v>-2264</v>
      </c>
      <c r="AV835" s="29">
        <v>-3182</v>
      </c>
      <c r="AW835" s="29">
        <v>-3119</v>
      </c>
      <c r="AX835" s="29">
        <v>-1977</v>
      </c>
      <c r="AY835" s="29">
        <v>-2355</v>
      </c>
      <c r="AZ835" s="29">
        <v>-2305</v>
      </c>
      <c r="BA835" s="29">
        <v>-4257</v>
      </c>
      <c r="BB835" s="29">
        <v>-5485</v>
      </c>
      <c r="BC835" s="29">
        <v>-5944</v>
      </c>
      <c r="BD835" s="29">
        <v>-8343</v>
      </c>
      <c r="BE835" s="29">
        <v>-8129</v>
      </c>
      <c r="BG835" s="29">
        <v>-8343</v>
      </c>
      <c r="BH835" s="29">
        <v>-8129</v>
      </c>
      <c r="BI835" s="29">
        <v>-11632</v>
      </c>
      <c r="BJ835" s="29">
        <v>-13925</v>
      </c>
      <c r="BK835" s="11">
        <f t="shared" ref="BK835:BK840" si="3858">SUM(T835:W835)</f>
        <v>-15441</v>
      </c>
      <c r="BL835" s="11">
        <f t="shared" ref="BL835:BL841" si="3859">SUM(X835:AA835)</f>
        <v>-20622</v>
      </c>
      <c r="BM835" s="11">
        <f t="shared" ref="BM835:BM840" si="3860">+SUM(AB835:AE835)</f>
        <v>-23886</v>
      </c>
      <c r="BN835" s="11">
        <f t="shared" si="3851"/>
        <v>-28107</v>
      </c>
      <c r="BO835" s="11">
        <f t="shared" si="3852"/>
        <v>-44477</v>
      </c>
      <c r="BP835" s="29"/>
    </row>
    <row r="836" spans="2:68">
      <c r="B836" t="s">
        <v>548</v>
      </c>
      <c r="D836" s="29">
        <v>-390</v>
      </c>
      <c r="E836" s="29">
        <v>-381</v>
      </c>
      <c r="F836" s="29">
        <v>-559</v>
      </c>
      <c r="G836" s="29">
        <v>-63</v>
      </c>
      <c r="H836" s="29">
        <v>-24</v>
      </c>
      <c r="I836" s="29">
        <v>-24760</v>
      </c>
      <c r="J836" s="29">
        <v>-802</v>
      </c>
      <c r="K836" s="11">
        <v>-358</v>
      </c>
      <c r="L836" s="29">
        <v>-179</v>
      </c>
      <c r="M836" s="29">
        <v>-27</v>
      </c>
      <c r="N836" s="29">
        <v>-248</v>
      </c>
      <c r="O836" s="11">
        <v>-434</v>
      </c>
      <c r="P836" s="29">
        <v>-245</v>
      </c>
      <c r="Q836" s="29">
        <v>-1593</v>
      </c>
      <c r="R836" s="29">
        <v>-269</v>
      </c>
      <c r="S836" s="11">
        <f t="shared" si="3857"/>
        <v>-281</v>
      </c>
      <c r="T836" s="29">
        <v>-462</v>
      </c>
      <c r="U836" s="29">
        <v>-80</v>
      </c>
      <c r="V836" s="29">
        <v>-329</v>
      </c>
      <c r="W836" s="29">
        <v>-1650</v>
      </c>
      <c r="X836" s="29">
        <v>-481</v>
      </c>
      <c r="Y836" s="29">
        <v>-415</v>
      </c>
      <c r="Z836" s="29">
        <v>-7512</v>
      </c>
      <c r="AA836" s="29">
        <v>-501</v>
      </c>
      <c r="AB836" s="29">
        <v>-1206</v>
      </c>
      <c r="AC836" s="29">
        <v>-850</v>
      </c>
      <c r="AD836" s="29">
        <v>-18719</v>
      </c>
      <c r="AE836" s="29">
        <v>-1263</v>
      </c>
      <c r="AF836" s="29">
        <v>-349</v>
      </c>
      <c r="AG836" s="29">
        <v>-679</v>
      </c>
      <c r="AH836" s="29">
        <v>-301</v>
      </c>
      <c r="AI836" s="29">
        <v>-341</v>
      </c>
      <c r="AJ836" s="29">
        <v>-1186</v>
      </c>
      <c r="AK836" s="29">
        <v>-65029</v>
      </c>
      <c r="AL836" s="29">
        <v>-1575</v>
      </c>
      <c r="AM836" s="29">
        <v>-1342</v>
      </c>
      <c r="AO836" s="825"/>
      <c r="AS836" s="29">
        <v>-207</v>
      </c>
      <c r="AT836" s="29">
        <v>-649</v>
      </c>
      <c r="AU836" s="29">
        <v>-1150</v>
      </c>
      <c r="AV836" s="29">
        <v>-8053</v>
      </c>
      <c r="AW836" s="29">
        <v>-868</v>
      </c>
      <c r="AX836" s="29">
        <v>-245</v>
      </c>
      <c r="AY836" s="29">
        <v>-71</v>
      </c>
      <c r="AZ836" s="29">
        <v>-10112</v>
      </c>
      <c r="BA836" s="29">
        <v>-1584</v>
      </c>
      <c r="BB836" s="29">
        <v>-5937</v>
      </c>
      <c r="BC836" s="29">
        <v>-3723</v>
      </c>
      <c r="BD836" s="29">
        <v>-1393</v>
      </c>
      <c r="BE836" s="29">
        <v>-25944</v>
      </c>
      <c r="BG836" s="29">
        <v>-1393</v>
      </c>
      <c r="BH836" s="29">
        <v>-25944</v>
      </c>
      <c r="BI836" s="29">
        <v>-888</v>
      </c>
      <c r="BJ836" s="29">
        <v>-2388</v>
      </c>
      <c r="BK836" s="11">
        <f t="shared" si="3858"/>
        <v>-2521</v>
      </c>
      <c r="BL836" s="11">
        <f t="shared" si="3859"/>
        <v>-8909</v>
      </c>
      <c r="BM836" s="11">
        <f t="shared" si="3860"/>
        <v>-22038</v>
      </c>
      <c r="BN836" s="11">
        <f t="shared" si="3851"/>
        <v>-1670</v>
      </c>
      <c r="BO836" s="11">
        <f t="shared" si="3852"/>
        <v>-69132</v>
      </c>
      <c r="BP836" s="29"/>
    </row>
    <row r="837" spans="2:68">
      <c r="B837" t="s">
        <v>549</v>
      </c>
      <c r="D837" s="29">
        <v>-37570</v>
      </c>
      <c r="E837" s="29">
        <v>-34750</v>
      </c>
      <c r="F837" s="29">
        <v>-27341</v>
      </c>
      <c r="G837" s="29">
        <v>-30097</v>
      </c>
      <c r="H837" s="29">
        <v>-57181</v>
      </c>
      <c r="I837" s="29">
        <v>-46775</v>
      </c>
      <c r="J837" s="29">
        <v>-43918</v>
      </c>
      <c r="K837" s="11">
        <v>-29031</v>
      </c>
      <c r="L837" s="29">
        <v>-32961</v>
      </c>
      <c r="M837" s="29">
        <v>-45154</v>
      </c>
      <c r="N837" s="29">
        <v>-26885</v>
      </c>
      <c r="O837" s="11">
        <v>-32380</v>
      </c>
      <c r="P837" s="29">
        <v>-19551</v>
      </c>
      <c r="Q837" s="29">
        <v>-16858</v>
      </c>
      <c r="R837" s="29">
        <v>-5846</v>
      </c>
      <c r="S837" s="11">
        <f t="shared" si="3857"/>
        <v>-15442</v>
      </c>
      <c r="T837" s="29">
        <v>-23390</v>
      </c>
      <c r="U837" s="29">
        <v>-19011</v>
      </c>
      <c r="V837" s="29">
        <v>-15910</v>
      </c>
      <c r="W837" s="29">
        <v>-18879</v>
      </c>
      <c r="X837" s="29">
        <v>-14580</v>
      </c>
      <c r="Y837" s="29">
        <v>-15092</v>
      </c>
      <c r="Z837" s="29">
        <v>-18375</v>
      </c>
      <c r="AA837" s="29">
        <v>-14877</v>
      </c>
      <c r="AB837" s="29">
        <v>-10309</v>
      </c>
      <c r="AC837" s="29">
        <v>-2505</v>
      </c>
      <c r="AD837" s="29">
        <v>-8723</v>
      </c>
      <c r="AE837" s="29">
        <v>-4919</v>
      </c>
      <c r="AF837" s="29">
        <v>-5013</v>
      </c>
      <c r="AG837" s="29">
        <v>-11599</v>
      </c>
      <c r="AH837" s="29">
        <v>-9063</v>
      </c>
      <c r="AI837" s="29">
        <v>-11976</v>
      </c>
      <c r="AJ837" s="29">
        <v>-8460</v>
      </c>
      <c r="AK837" s="29">
        <v>-4258</v>
      </c>
      <c r="AL837" s="29">
        <v>-2183</v>
      </c>
      <c r="AM837" s="29">
        <v>-2831</v>
      </c>
      <c r="AO837" s="825"/>
      <c r="AQ837" s="825"/>
      <c r="AS837" s="29">
        <v>-68045</v>
      </c>
      <c r="AT837" s="29">
        <v>-51117</v>
      </c>
      <c r="AU837" s="29">
        <v>-36308</v>
      </c>
      <c r="AV837" s="29">
        <v>-20954</v>
      </c>
      <c r="AW837" s="29">
        <v>-36850</v>
      </c>
      <c r="AX837" s="29">
        <v>-30168</v>
      </c>
      <c r="AY837" s="29">
        <v>-35993</v>
      </c>
      <c r="AZ837" s="29">
        <v>-57250</v>
      </c>
      <c r="BA837" s="29">
        <v>-75396</v>
      </c>
      <c r="BB837" s="29">
        <v>-72690</v>
      </c>
      <c r="BC837" s="29">
        <v>-98729</v>
      </c>
      <c r="BD837" s="29">
        <v>-129758</v>
      </c>
      <c r="BE837" s="29">
        <v>-176905</v>
      </c>
      <c r="BG837" s="29">
        <v>-129758</v>
      </c>
      <c r="BH837" s="29">
        <v>-176905</v>
      </c>
      <c r="BI837" s="29">
        <v>-137380</v>
      </c>
      <c r="BJ837" s="29">
        <v>-57697</v>
      </c>
      <c r="BK837" s="11">
        <f t="shared" si="3858"/>
        <v>-77190</v>
      </c>
      <c r="BL837" s="11">
        <f t="shared" si="3859"/>
        <v>-62924</v>
      </c>
      <c r="BM837" s="11">
        <f t="shared" si="3860"/>
        <v>-26456</v>
      </c>
      <c r="BN837" s="11">
        <f t="shared" si="3851"/>
        <v>-37651</v>
      </c>
      <c r="BO837" s="11">
        <f t="shared" si="3852"/>
        <v>-17732</v>
      </c>
      <c r="BP837" s="29"/>
    </row>
    <row r="838" spans="2:68">
      <c r="B838" t="s">
        <v>550</v>
      </c>
      <c r="D838" s="29">
        <v>5686</v>
      </c>
      <c r="E838" s="29">
        <v>5351</v>
      </c>
      <c r="F838" s="29">
        <v>5192</v>
      </c>
      <c r="G838" s="29">
        <v>5825</v>
      </c>
      <c r="H838" s="29">
        <v>8659</v>
      </c>
      <c r="I838" s="29">
        <v>8715</v>
      </c>
      <c r="J838" s="29">
        <v>4860</v>
      </c>
      <c r="K838" s="11">
        <v>5810</v>
      </c>
      <c r="L838" s="29">
        <v>5226</v>
      </c>
      <c r="M838" s="29">
        <v>6352</v>
      </c>
      <c r="N838" s="29">
        <v>7674</v>
      </c>
      <c r="O838" s="11">
        <v>7108</v>
      </c>
      <c r="P838" s="29">
        <v>5214</v>
      </c>
      <c r="Q838" s="29">
        <v>3782</v>
      </c>
      <c r="R838" s="29">
        <v>5893</v>
      </c>
      <c r="S838" s="11">
        <f t="shared" si="3857"/>
        <v>5154</v>
      </c>
      <c r="T838" s="29">
        <v>19082</v>
      </c>
      <c r="U838" s="29">
        <v>11230</v>
      </c>
      <c r="V838" s="29">
        <v>17247</v>
      </c>
      <c r="W838" s="29">
        <v>18890</v>
      </c>
      <c r="X838" s="29">
        <v>14266</v>
      </c>
      <c r="Y838" s="29">
        <v>15264</v>
      </c>
      <c r="Z838" s="29">
        <v>15016</v>
      </c>
      <c r="AA838" s="29">
        <v>7246</v>
      </c>
      <c r="AB838" s="29">
        <v>8862</v>
      </c>
      <c r="AC838" s="29">
        <v>5253</v>
      </c>
      <c r="AD838" s="29">
        <v>1099</v>
      </c>
      <c r="AE838" s="29">
        <v>1237</v>
      </c>
      <c r="AF838" s="29">
        <v>6662</v>
      </c>
      <c r="AG838" s="29">
        <v>6928</v>
      </c>
      <c r="AH838" s="29">
        <v>13154</v>
      </c>
      <c r="AI838" s="29">
        <v>6766</v>
      </c>
      <c r="AJ838" s="29">
        <v>15718</v>
      </c>
      <c r="AK838" s="29">
        <v>4150</v>
      </c>
      <c r="AL838" s="29">
        <v>3350</v>
      </c>
      <c r="AM838" s="29">
        <v>1557</v>
      </c>
      <c r="AO838" s="825"/>
      <c r="AQ838" s="825"/>
      <c r="AS838" s="29">
        <v>29153</v>
      </c>
      <c r="AT838" s="29">
        <v>3877</v>
      </c>
      <c r="AU838" s="29">
        <v>4736</v>
      </c>
      <c r="AV838" s="29">
        <v>2597</v>
      </c>
      <c r="AW838" s="29">
        <v>6191</v>
      </c>
      <c r="AX838" s="29">
        <v>7453</v>
      </c>
      <c r="AY838" s="29">
        <v>6897</v>
      </c>
      <c r="AZ838" s="29">
        <v>15575</v>
      </c>
      <c r="BA838" s="29">
        <v>5130</v>
      </c>
      <c r="BB838" s="29">
        <v>5272</v>
      </c>
      <c r="BC838" s="29">
        <v>15013</v>
      </c>
      <c r="BD838" s="29">
        <v>22054</v>
      </c>
      <c r="BE838" s="29">
        <v>28044</v>
      </c>
      <c r="BG838" s="29">
        <v>22054</v>
      </c>
      <c r="BH838" s="29">
        <v>28044</v>
      </c>
      <c r="BI838" s="29">
        <v>26360</v>
      </c>
      <c r="BJ838" s="29">
        <v>20043</v>
      </c>
      <c r="BK838" s="11">
        <f t="shared" si="3858"/>
        <v>66449</v>
      </c>
      <c r="BL838" s="11">
        <f t="shared" si="3859"/>
        <v>51792</v>
      </c>
      <c r="BM838" s="11">
        <f t="shared" si="3860"/>
        <v>16451</v>
      </c>
      <c r="BN838" s="11">
        <f t="shared" si="3851"/>
        <v>33510</v>
      </c>
      <c r="BO838" s="11">
        <f t="shared" si="3852"/>
        <v>24775</v>
      </c>
      <c r="BP838" s="29"/>
    </row>
    <row r="839" spans="2:68">
      <c r="B839" t="s">
        <v>551</v>
      </c>
      <c r="D839" s="29">
        <v>28502</v>
      </c>
      <c r="E839" s="29">
        <v>28191</v>
      </c>
      <c r="F839" s="29">
        <v>19599</v>
      </c>
      <c r="G839" s="29">
        <v>16995</v>
      </c>
      <c r="H839" s="29">
        <v>32323</v>
      </c>
      <c r="I839" s="29">
        <v>48987</v>
      </c>
      <c r="J839" s="29">
        <v>36444</v>
      </c>
      <c r="K839" s="11">
        <v>18596</v>
      </c>
      <c r="L839" s="29">
        <v>23036</v>
      </c>
      <c r="M839" s="29">
        <v>41261</v>
      </c>
      <c r="N839" s="29">
        <v>26256</v>
      </c>
      <c r="O839" s="11">
        <v>27024</v>
      </c>
      <c r="P839" s="29">
        <v>15231</v>
      </c>
      <c r="Q839" s="29">
        <v>14176</v>
      </c>
      <c r="R839" s="29">
        <v>1424</v>
      </c>
      <c r="S839" s="11">
        <f t="shared" si="3857"/>
        <v>7363</v>
      </c>
      <c r="T839" s="29">
        <v>6379</v>
      </c>
      <c r="U839" s="29">
        <v>5370</v>
      </c>
      <c r="V839" s="29">
        <v>2810</v>
      </c>
      <c r="W839" s="29">
        <v>3162</v>
      </c>
      <c r="X839" s="29">
        <v>2414</v>
      </c>
      <c r="Y839" s="29">
        <v>2421</v>
      </c>
      <c r="Z839" s="29">
        <v>5876</v>
      </c>
      <c r="AA839" s="29">
        <v>3297</v>
      </c>
      <c r="AB839" s="29">
        <v>5630</v>
      </c>
      <c r="AC839" s="29">
        <v>2895</v>
      </c>
      <c r="AD839" s="29">
        <v>16693</v>
      </c>
      <c r="AE839" s="29">
        <v>3225</v>
      </c>
      <c r="AF839" s="29">
        <v>2711</v>
      </c>
      <c r="AG839" s="29">
        <v>4775</v>
      </c>
      <c r="AH839" s="29">
        <v>1239</v>
      </c>
      <c r="AI839" s="29">
        <v>5629</v>
      </c>
      <c r="AJ839" s="29">
        <v>5330</v>
      </c>
      <c r="AK839" s="29">
        <v>1600</v>
      </c>
      <c r="AL839" s="29">
        <v>1941</v>
      </c>
      <c r="AM839" s="29">
        <v>2023</v>
      </c>
      <c r="AO839" s="825"/>
      <c r="AQ839" s="825"/>
      <c r="AS839" s="29">
        <v>54938</v>
      </c>
      <c r="AT839" s="29">
        <v>54353</v>
      </c>
      <c r="AU839" s="29">
        <v>41451</v>
      </c>
      <c r="AV839" s="29">
        <v>25132</v>
      </c>
      <c r="AW839" s="29">
        <v>19806</v>
      </c>
      <c r="AX839" s="29">
        <v>15125</v>
      </c>
      <c r="AY839" s="29">
        <v>15880</v>
      </c>
      <c r="AZ839" s="29">
        <v>29700</v>
      </c>
      <c r="BA839" s="29">
        <v>52464</v>
      </c>
      <c r="BB839" s="29">
        <v>60094</v>
      </c>
      <c r="BC839" s="29">
        <v>70848</v>
      </c>
      <c r="BD839" s="29">
        <v>93287</v>
      </c>
      <c r="BE839" s="29">
        <v>136350</v>
      </c>
      <c r="BG839" s="29">
        <v>93287</v>
      </c>
      <c r="BH839" s="29">
        <v>136350</v>
      </c>
      <c r="BI839" s="29">
        <v>117577</v>
      </c>
      <c r="BJ839" s="29">
        <v>38194</v>
      </c>
      <c r="BK839" s="11">
        <f t="shared" si="3858"/>
        <v>17721</v>
      </c>
      <c r="BL839" s="11">
        <f t="shared" si="3859"/>
        <v>14008</v>
      </c>
      <c r="BM839" s="11">
        <f t="shared" si="3860"/>
        <v>28443</v>
      </c>
      <c r="BN839" s="11">
        <f t="shared" si="3851"/>
        <v>14354</v>
      </c>
      <c r="BO839" s="11">
        <f t="shared" si="3852"/>
        <v>10894</v>
      </c>
      <c r="BP839" s="29"/>
    </row>
    <row r="840" spans="2:68" ht="11.45">
      <c r="B840" t="s">
        <v>525</v>
      </c>
      <c r="D840" s="30">
        <v>62</v>
      </c>
      <c r="E840" s="30">
        <v>285</v>
      </c>
      <c r="F840" s="30">
        <v>-66</v>
      </c>
      <c r="G840" s="30">
        <v>-78</v>
      </c>
      <c r="H840" s="30">
        <v>-84</v>
      </c>
      <c r="I840" s="30">
        <v>1070</v>
      </c>
      <c r="J840" s="30">
        <v>-1080</v>
      </c>
      <c r="K840" s="34">
        <v>-103</v>
      </c>
      <c r="L840" s="30">
        <v>106</v>
      </c>
      <c r="M840" s="30">
        <v>-177</v>
      </c>
      <c r="N840" s="30">
        <v>-19</v>
      </c>
      <c r="O840" s="34">
        <v>-8</v>
      </c>
      <c r="P840" s="30">
        <v>0</v>
      </c>
      <c r="Q840" s="30">
        <v>0</v>
      </c>
      <c r="R840" s="30">
        <v>0</v>
      </c>
      <c r="S840" s="34">
        <f t="shared" si="3857"/>
        <v>0</v>
      </c>
      <c r="T840" s="30">
        <v>0</v>
      </c>
      <c r="U840" s="30">
        <v>0</v>
      </c>
      <c r="V840" s="30">
        <v>0</v>
      </c>
      <c r="W840" s="30">
        <v>-1241</v>
      </c>
      <c r="X840" s="30">
        <v>-2083</v>
      </c>
      <c r="Y840" s="30">
        <v>327</v>
      </c>
      <c r="Z840" s="30">
        <v>400</v>
      </c>
      <c r="AA840" s="30">
        <v>434</v>
      </c>
      <c r="AB840" s="30">
        <v>-417</v>
      </c>
      <c r="AC840" s="30">
        <v>-89</v>
      </c>
      <c r="AD840" s="30">
        <v>-1181</v>
      </c>
      <c r="AE840" s="30">
        <v>-1138</v>
      </c>
      <c r="AF840" s="30">
        <v>-860</v>
      </c>
      <c r="AG840" s="30">
        <v>-301</v>
      </c>
      <c r="AH840" s="30">
        <v>-1686</v>
      </c>
      <c r="AI840" s="30">
        <v>-269</v>
      </c>
      <c r="AJ840" s="30">
        <v>-982</v>
      </c>
      <c r="AK840" s="30">
        <v>1347</v>
      </c>
      <c r="AL840" s="30">
        <v>-1281</v>
      </c>
      <c r="AM840" s="30">
        <v>-382</v>
      </c>
      <c r="AS840" s="30">
        <v>0</v>
      </c>
      <c r="AT840" s="30">
        <v>3117</v>
      </c>
      <c r="AU840" s="30">
        <v>-376</v>
      </c>
      <c r="AV840" s="30">
        <v>-127</v>
      </c>
      <c r="AW840" s="30">
        <v>-930</v>
      </c>
      <c r="AX840" s="30">
        <v>-1502</v>
      </c>
      <c r="AY840" s="30">
        <v>1026</v>
      </c>
      <c r="AZ840" s="30">
        <v>-394</v>
      </c>
      <c r="BA840" s="30">
        <v>-168</v>
      </c>
      <c r="BB840" s="30">
        <v>-87</v>
      </c>
      <c r="BC840" s="30">
        <v>-466</v>
      </c>
      <c r="BD840" s="30">
        <v>203</v>
      </c>
      <c r="BE840" s="30">
        <v>-197</v>
      </c>
      <c r="BF840" s="953"/>
      <c r="BG840" s="30">
        <v>203</v>
      </c>
      <c r="BH840" s="30">
        <v>-197</v>
      </c>
      <c r="BI840" s="30">
        <v>-98</v>
      </c>
      <c r="BJ840" s="30">
        <v>0</v>
      </c>
      <c r="BK840" s="34">
        <f t="shared" si="3858"/>
        <v>-1241</v>
      </c>
      <c r="BL840" s="34">
        <f t="shared" si="3859"/>
        <v>-922</v>
      </c>
      <c r="BM840" s="34">
        <f t="shared" si="3860"/>
        <v>-2825</v>
      </c>
      <c r="BN840" s="34">
        <f t="shared" si="3851"/>
        <v>-3116</v>
      </c>
      <c r="BO840" s="34">
        <f t="shared" si="3852"/>
        <v>-1298</v>
      </c>
      <c r="BP840" s="30"/>
    </row>
    <row r="841" spans="2:68" s="1" customFormat="1" ht="10.5">
      <c r="B841" s="837" t="s">
        <v>552</v>
      </c>
      <c r="D841" s="838">
        <f t="shared" ref="D841:AM841" si="3861">SUM(D835:D840)</f>
        <v>-5066</v>
      </c>
      <c r="E841" s="838">
        <f t="shared" si="3861"/>
        <v>-3328</v>
      </c>
      <c r="F841" s="838">
        <f t="shared" si="3861"/>
        <v>-5483</v>
      </c>
      <c r="G841" s="838">
        <f t="shared" si="3861"/>
        <v>-10073</v>
      </c>
      <c r="H841" s="838">
        <f t="shared" si="3861"/>
        <v>-18470</v>
      </c>
      <c r="I841" s="838">
        <f t="shared" si="3861"/>
        <v>-14751</v>
      </c>
      <c r="J841" s="838">
        <f t="shared" si="3861"/>
        <v>-6191</v>
      </c>
      <c r="K841" s="849">
        <f t="shared" si="3861"/>
        <v>-7369</v>
      </c>
      <c r="L841" s="838">
        <f t="shared" si="3861"/>
        <v>-6904</v>
      </c>
      <c r="M841" s="838">
        <f t="shared" si="3861"/>
        <v>-331</v>
      </c>
      <c r="N841" s="838">
        <f t="shared" si="3861"/>
        <v>3844</v>
      </c>
      <c r="O841" s="849">
        <f t="shared" si="3861"/>
        <v>-2670</v>
      </c>
      <c r="P841" s="838">
        <f t="shared" si="3861"/>
        <v>-2953</v>
      </c>
      <c r="Q841" s="838">
        <f t="shared" si="3861"/>
        <v>-4200</v>
      </c>
      <c r="R841" s="838">
        <f t="shared" si="3861"/>
        <v>-1363</v>
      </c>
      <c r="S841" s="849">
        <f t="shared" si="3861"/>
        <v>-7257</v>
      </c>
      <c r="T841" s="838">
        <f t="shared" si="3861"/>
        <v>-1776</v>
      </c>
      <c r="U841" s="838">
        <f t="shared" si="3861"/>
        <v>-6036</v>
      </c>
      <c r="V841" s="838">
        <f t="shared" si="3861"/>
        <v>51</v>
      </c>
      <c r="W841" s="838">
        <f t="shared" si="3861"/>
        <v>-4462</v>
      </c>
      <c r="X841" s="838">
        <f t="shared" si="3861"/>
        <v>-5371</v>
      </c>
      <c r="Y841" s="838">
        <f t="shared" si="3861"/>
        <v>-1669</v>
      </c>
      <c r="Z841" s="838">
        <f t="shared" si="3861"/>
        <v>-9684</v>
      </c>
      <c r="AA841" s="838">
        <f t="shared" si="3861"/>
        <v>-10853</v>
      </c>
      <c r="AB841" s="838">
        <f t="shared" si="3861"/>
        <v>-3250</v>
      </c>
      <c r="AC841" s="838">
        <f t="shared" si="3861"/>
        <v>-1161</v>
      </c>
      <c r="AD841" s="838">
        <f t="shared" si="3861"/>
        <v>-16171</v>
      </c>
      <c r="AE841" s="838">
        <f t="shared" si="3861"/>
        <v>-9729</v>
      </c>
      <c r="AF841" s="838">
        <f t="shared" si="3861"/>
        <v>-3132</v>
      </c>
      <c r="AG841" s="838">
        <f t="shared" si="3861"/>
        <v>-7150</v>
      </c>
      <c r="AH841" s="838">
        <f t="shared" si="3861"/>
        <v>-3264</v>
      </c>
      <c r="AI841" s="838">
        <f t="shared" si="3861"/>
        <v>-9134</v>
      </c>
      <c r="AJ841" s="838">
        <f t="shared" si="3861"/>
        <v>503</v>
      </c>
      <c r="AK841" s="838">
        <f t="shared" si="3861"/>
        <v>-71925</v>
      </c>
      <c r="AL841" s="838">
        <f t="shared" si="3861"/>
        <v>-10700</v>
      </c>
      <c r="AM841" s="838">
        <f t="shared" si="3861"/>
        <v>-14848</v>
      </c>
      <c r="AN841"/>
      <c r="AO841" s="29"/>
      <c r="AP841" s="29"/>
      <c r="AQ841" s="29"/>
      <c r="AR841"/>
      <c r="AS841" s="838">
        <f t="shared" ref="AS841:BE841" si="3862">SUM(AS835:AS840)</f>
        <v>15027</v>
      </c>
      <c r="AT841" s="838">
        <f t="shared" si="3862"/>
        <v>8003</v>
      </c>
      <c r="AU841" s="838">
        <f t="shared" si="3862"/>
        <v>6089</v>
      </c>
      <c r="AV841" s="838">
        <f t="shared" si="3862"/>
        <v>-4587</v>
      </c>
      <c r="AW841" s="838">
        <f t="shared" si="3862"/>
        <v>-15770</v>
      </c>
      <c r="AX841" s="838">
        <f t="shared" si="3862"/>
        <v>-11314</v>
      </c>
      <c r="AY841" s="838">
        <f t="shared" si="3862"/>
        <v>-14616</v>
      </c>
      <c r="AZ841" s="838">
        <f t="shared" si="3862"/>
        <v>-24786</v>
      </c>
      <c r="BA841" s="838">
        <f t="shared" si="3862"/>
        <v>-23811</v>
      </c>
      <c r="BB841" s="838">
        <f t="shared" si="3862"/>
        <v>-18833</v>
      </c>
      <c r="BC841" s="838">
        <f t="shared" si="3862"/>
        <v>-23001</v>
      </c>
      <c r="BD841" s="838">
        <f t="shared" si="3862"/>
        <v>-23950</v>
      </c>
      <c r="BE841" s="838">
        <f t="shared" si="3862"/>
        <v>-46781</v>
      </c>
      <c r="BG841" s="838">
        <f>SUM(BG835:BG840)</f>
        <v>-23950</v>
      </c>
      <c r="BH841" s="838">
        <f>SUM(BH835:BH840)</f>
        <v>-46781</v>
      </c>
      <c r="BI841" s="838">
        <f>SUM(BI835:BI840)</f>
        <v>-6061</v>
      </c>
      <c r="BJ841" s="838">
        <f>SUM(BJ835:BJ840)</f>
        <v>-15773</v>
      </c>
      <c r="BK841" s="849">
        <f>SUM(BK835:BK840)</f>
        <v>-12223</v>
      </c>
      <c r="BL841" s="849">
        <f t="shared" si="3859"/>
        <v>-27577</v>
      </c>
      <c r="BM841" s="849">
        <f>+SUM(BM835:BM840)</f>
        <v>-30311</v>
      </c>
      <c r="BN841" s="849">
        <f t="shared" si="3851"/>
        <v>-22680</v>
      </c>
      <c r="BO841" s="849">
        <f t="shared" si="3852"/>
        <v>-96970</v>
      </c>
      <c r="BP841" s="838"/>
    </row>
    <row r="842" spans="2:68">
      <c r="K842" s="100"/>
      <c r="O842" s="100"/>
      <c r="S842" s="100"/>
      <c r="AO842" s="29"/>
      <c r="AP842" s="29"/>
      <c r="AQ842" s="29"/>
      <c r="BK842" s="100"/>
      <c r="BL842" s="100"/>
    </row>
    <row r="843" spans="2:68" ht="10.5">
      <c r="B843" s="45" t="s">
        <v>553</v>
      </c>
      <c r="K843" s="100"/>
      <c r="O843" s="100"/>
      <c r="S843" s="100"/>
      <c r="AO843" s="29"/>
      <c r="AP843" s="29"/>
      <c r="AQ843" s="29"/>
      <c r="BK843" s="100"/>
      <c r="BL843" s="100"/>
    </row>
    <row r="844" spans="2:68">
      <c r="B844" t="s">
        <v>554</v>
      </c>
      <c r="D844" s="29">
        <v>-1750</v>
      </c>
      <c r="E844" s="29">
        <v>-121</v>
      </c>
      <c r="F844" s="29">
        <v>-900</v>
      </c>
      <c r="G844" s="29">
        <v>-25</v>
      </c>
      <c r="H844" s="29">
        <v>-225</v>
      </c>
      <c r="I844" s="29">
        <v>-4118</v>
      </c>
      <c r="J844" s="29">
        <v>-211</v>
      </c>
      <c r="K844" s="11">
        <v>-3368</v>
      </c>
      <c r="L844" s="29">
        <v>-1169</v>
      </c>
      <c r="M844" s="29">
        <v>-3327</v>
      </c>
      <c r="N844" s="29">
        <v>-4883</v>
      </c>
      <c r="O844" s="11">
        <v>-681</v>
      </c>
      <c r="P844" s="29">
        <v>0</v>
      </c>
      <c r="Q844" s="29">
        <v>-3000</v>
      </c>
      <c r="R844" s="29">
        <v>0</v>
      </c>
      <c r="S844" s="11">
        <f>+BJ844-SUM(P844:R844)</f>
        <v>-1000</v>
      </c>
      <c r="T844" s="29">
        <v>-2500</v>
      </c>
      <c r="U844" s="29">
        <v>-18</v>
      </c>
      <c r="V844" s="29">
        <v>-3000</v>
      </c>
      <c r="W844" s="29">
        <v>0</v>
      </c>
      <c r="X844" s="29">
        <v>0</v>
      </c>
      <c r="Y844" s="29">
        <v>-3250</v>
      </c>
      <c r="Z844" s="29">
        <v>-500</v>
      </c>
      <c r="AA844" s="29">
        <v>0</v>
      </c>
      <c r="AB844" s="29">
        <v>-4826</v>
      </c>
      <c r="AC844" s="29">
        <v>0</v>
      </c>
      <c r="AD844" s="29">
        <v>-4197</v>
      </c>
      <c r="AE844" s="29">
        <v>0</v>
      </c>
      <c r="AF844" s="29">
        <v>-1000</v>
      </c>
      <c r="AG844" s="29">
        <v>-750</v>
      </c>
      <c r="AH844" s="29">
        <v>0</v>
      </c>
      <c r="AI844" s="29">
        <v>-1000</v>
      </c>
      <c r="AJ844" s="29">
        <v>-1500</v>
      </c>
      <c r="AK844" s="29">
        <v>-2916</v>
      </c>
      <c r="AL844" s="29">
        <v>-11589</v>
      </c>
      <c r="AM844" s="29">
        <v>-13065</v>
      </c>
      <c r="AO844" s="29"/>
      <c r="AP844" s="29"/>
      <c r="AQ844" s="29"/>
      <c r="AS844" s="29">
        <v>0</v>
      </c>
      <c r="AT844" s="29">
        <v>0</v>
      </c>
      <c r="AU844" s="29">
        <v>0</v>
      </c>
      <c r="AV844" s="29">
        <v>0</v>
      </c>
      <c r="AW844" s="29">
        <v>-228</v>
      </c>
      <c r="AX844" s="29">
        <v>-2986</v>
      </c>
      <c r="AY844" s="29">
        <v>-814</v>
      </c>
      <c r="AZ844" s="29">
        <v>0</v>
      </c>
      <c r="BA844" s="29">
        <v>-1346</v>
      </c>
      <c r="BB844" s="29">
        <v>-3888</v>
      </c>
      <c r="BC844" s="29">
        <v>-1500</v>
      </c>
      <c r="BD844" s="29">
        <v>-2796</v>
      </c>
      <c r="BE844" s="29">
        <v>-7922</v>
      </c>
      <c r="BG844" s="29">
        <v>-2796</v>
      </c>
      <c r="BH844" s="29">
        <v>-7922</v>
      </c>
      <c r="BI844" s="29">
        <v>-10060</v>
      </c>
      <c r="BJ844" s="29">
        <v>-4000</v>
      </c>
      <c r="BK844" s="11">
        <f t="shared" ref="BK844:BK853" si="3863">SUM(T844:W844)</f>
        <v>-5518</v>
      </c>
      <c r="BL844" s="11">
        <f t="shared" ref="BL844:BL854" si="3864">SUM(X844:AA844)</f>
        <v>-3750</v>
      </c>
      <c r="BM844" s="11">
        <f t="shared" ref="BM844:BM853" si="3865">+SUM(AB844:AE844)</f>
        <v>-9023</v>
      </c>
      <c r="BN844" s="11">
        <f t="shared" si="3851"/>
        <v>-2750</v>
      </c>
      <c r="BO844" s="11">
        <f t="shared" si="3852"/>
        <v>-29070</v>
      </c>
      <c r="BP844" s="29"/>
    </row>
    <row r="845" spans="2:68">
      <c r="B845" t="s">
        <v>555</v>
      </c>
      <c r="D845" s="29">
        <v>0</v>
      </c>
      <c r="E845" s="29">
        <v>0</v>
      </c>
      <c r="F845" s="29">
        <v>0</v>
      </c>
      <c r="G845" s="29">
        <v>0</v>
      </c>
      <c r="H845" s="29">
        <v>0</v>
      </c>
      <c r="I845" s="29">
        <v>0</v>
      </c>
      <c r="J845" s="29">
        <v>0</v>
      </c>
      <c r="K845" s="11">
        <v>0</v>
      </c>
      <c r="L845" s="29">
        <v>0</v>
      </c>
      <c r="M845" s="29">
        <v>0</v>
      </c>
      <c r="N845" s="29">
        <v>0</v>
      </c>
      <c r="O845" s="11">
        <v>0</v>
      </c>
      <c r="P845" s="29">
        <v>0</v>
      </c>
      <c r="Q845" s="29">
        <v>0</v>
      </c>
      <c r="R845" s="29">
        <v>0</v>
      </c>
      <c r="S845" s="11">
        <v>0</v>
      </c>
      <c r="T845" s="29">
        <v>0</v>
      </c>
      <c r="U845" s="29">
        <v>0</v>
      </c>
      <c r="V845" s="29">
        <v>0</v>
      </c>
      <c r="W845" s="29">
        <v>0</v>
      </c>
      <c r="X845" s="29">
        <v>0</v>
      </c>
      <c r="Y845" s="29">
        <v>0</v>
      </c>
      <c r="Z845" s="29">
        <v>0</v>
      </c>
      <c r="AA845" s="29">
        <v>0</v>
      </c>
      <c r="AB845" s="29">
        <v>0</v>
      </c>
      <c r="AC845" s="29">
        <v>0</v>
      </c>
      <c r="AD845" s="29">
        <v>0</v>
      </c>
      <c r="AE845" s="29">
        <v>0</v>
      </c>
      <c r="AF845" s="29">
        <v>0</v>
      </c>
      <c r="AG845" s="29">
        <v>0</v>
      </c>
      <c r="AH845" s="29">
        <v>0</v>
      </c>
      <c r="AI845" s="29">
        <v>0</v>
      </c>
      <c r="AJ845" s="29">
        <v>18692</v>
      </c>
      <c r="AK845" s="29">
        <v>-8490</v>
      </c>
      <c r="AL845" s="29">
        <v>-3810</v>
      </c>
      <c r="AM845" s="29">
        <v>-1142</v>
      </c>
      <c r="AO845" s="29"/>
      <c r="AP845" s="29"/>
      <c r="AQ845" s="29"/>
      <c r="AS845" s="29">
        <v>0</v>
      </c>
      <c r="AT845" s="29">
        <v>0</v>
      </c>
      <c r="AU845" s="29">
        <v>0</v>
      </c>
      <c r="AV845" s="29">
        <v>0</v>
      </c>
      <c r="AW845" s="29">
        <v>0</v>
      </c>
      <c r="AX845" s="29">
        <v>0</v>
      </c>
      <c r="AY845" s="29">
        <v>0</v>
      </c>
      <c r="AZ845" s="29">
        <v>0</v>
      </c>
      <c r="BA845" s="29">
        <v>0</v>
      </c>
      <c r="BB845" s="29">
        <v>0</v>
      </c>
      <c r="BC845" s="29">
        <v>0</v>
      </c>
      <c r="BD845" s="29">
        <v>0</v>
      </c>
      <c r="BE845" s="29">
        <v>0</v>
      </c>
      <c r="BG845" s="29">
        <v>0</v>
      </c>
      <c r="BH845" s="29">
        <v>0</v>
      </c>
      <c r="BI845" s="29">
        <v>0</v>
      </c>
      <c r="BJ845" s="29">
        <v>0</v>
      </c>
      <c r="BK845" s="11">
        <v>0</v>
      </c>
      <c r="BL845" s="11">
        <v>0</v>
      </c>
      <c r="BM845" s="11">
        <v>0</v>
      </c>
      <c r="BN845" s="11">
        <v>0</v>
      </c>
      <c r="BO845" s="11">
        <f t="shared" si="3852"/>
        <v>5250</v>
      </c>
      <c r="BP845" s="29"/>
    </row>
    <row r="846" spans="2:68">
      <c r="B846" t="s">
        <v>556</v>
      </c>
      <c r="C846" s="29"/>
      <c r="D846" s="29">
        <v>0</v>
      </c>
      <c r="E846" s="29">
        <v>0</v>
      </c>
      <c r="F846" s="29">
        <v>0</v>
      </c>
      <c r="G846" s="29">
        <v>0</v>
      </c>
      <c r="H846" s="29">
        <v>0</v>
      </c>
      <c r="I846" s="29">
        <v>0</v>
      </c>
      <c r="J846" s="29">
        <v>0</v>
      </c>
      <c r="K846" s="29">
        <v>0</v>
      </c>
      <c r="L846" s="29">
        <v>0</v>
      </c>
      <c r="M846" s="29">
        <v>0</v>
      </c>
      <c r="N846" s="29">
        <v>0</v>
      </c>
      <c r="O846" s="29">
        <v>0</v>
      </c>
      <c r="P846" s="29">
        <v>0</v>
      </c>
      <c r="Q846" s="29">
        <v>0</v>
      </c>
      <c r="R846" s="29">
        <v>0</v>
      </c>
      <c r="S846" s="29">
        <v>0</v>
      </c>
      <c r="T846" s="29">
        <v>0</v>
      </c>
      <c r="U846" s="29">
        <v>0</v>
      </c>
      <c r="V846" s="29">
        <v>0</v>
      </c>
      <c r="W846" s="29">
        <v>-3417</v>
      </c>
      <c r="X846" s="29">
        <v>0</v>
      </c>
      <c r="Y846" s="29">
        <v>0</v>
      </c>
      <c r="Z846" s="29">
        <v>-1754</v>
      </c>
      <c r="AA846" s="29">
        <v>0</v>
      </c>
      <c r="AB846" s="29">
        <v>0</v>
      </c>
      <c r="AC846" s="29">
        <v>0</v>
      </c>
      <c r="AD846" s="29">
        <v>0</v>
      </c>
      <c r="AE846" s="29">
        <v>0</v>
      </c>
      <c r="AF846" s="29">
        <v>0</v>
      </c>
      <c r="AG846" s="29">
        <v>0</v>
      </c>
      <c r="AH846" s="29">
        <v>0</v>
      </c>
      <c r="AI846" s="29">
        <v>0</v>
      </c>
      <c r="AJ846" s="29">
        <v>0</v>
      </c>
      <c r="AK846" s="29">
        <v>0</v>
      </c>
      <c r="AL846" s="29">
        <v>0</v>
      </c>
      <c r="AM846" s="29">
        <v>0</v>
      </c>
      <c r="AO846" s="29"/>
      <c r="AP846" s="29"/>
      <c r="AQ846" s="29"/>
      <c r="AS846" s="29">
        <v>0</v>
      </c>
      <c r="AT846" s="29">
        <v>0</v>
      </c>
      <c r="AU846" s="29">
        <v>0</v>
      </c>
      <c r="AV846" s="29">
        <v>0</v>
      </c>
      <c r="AW846" s="29">
        <v>0</v>
      </c>
      <c r="AX846" s="29">
        <v>0</v>
      </c>
      <c r="AY846" s="29">
        <v>0</v>
      </c>
      <c r="AZ846" s="29">
        <v>0</v>
      </c>
      <c r="BA846" s="29">
        <v>0</v>
      </c>
      <c r="BB846" s="29">
        <v>0</v>
      </c>
      <c r="BC846" s="29">
        <v>0</v>
      </c>
      <c r="BD846" s="29">
        <v>0</v>
      </c>
      <c r="BE846" s="29">
        <v>0</v>
      </c>
      <c r="BF846" s="29"/>
      <c r="BG846" s="29">
        <v>0</v>
      </c>
      <c r="BH846" s="29">
        <v>0</v>
      </c>
      <c r="BI846" s="29">
        <v>0</v>
      </c>
      <c r="BJ846" s="29">
        <v>0</v>
      </c>
      <c r="BK846" s="11">
        <f t="shared" si="3863"/>
        <v>-3417</v>
      </c>
      <c r="BL846" s="11">
        <f t="shared" si="3864"/>
        <v>-1754</v>
      </c>
      <c r="BM846" s="11">
        <f t="shared" si="3865"/>
        <v>0</v>
      </c>
      <c r="BN846" s="11">
        <f t="shared" si="3851"/>
        <v>0</v>
      </c>
      <c r="BO846" s="11">
        <f t="shared" si="3852"/>
        <v>0</v>
      </c>
      <c r="BP846" s="29"/>
    </row>
    <row r="847" spans="2:68">
      <c r="B847" t="s">
        <v>557</v>
      </c>
      <c r="D847" s="29">
        <v>121</v>
      </c>
      <c r="E847" s="29">
        <v>13128</v>
      </c>
      <c r="F847" s="29">
        <v>25</v>
      </c>
      <c r="G847" s="29">
        <v>610</v>
      </c>
      <c r="H847" s="29">
        <v>24977</v>
      </c>
      <c r="I847" s="29">
        <v>17069</v>
      </c>
      <c r="J847" s="29">
        <v>547</v>
      </c>
      <c r="K847" s="11">
        <v>1751</v>
      </c>
      <c r="L847" s="29">
        <v>3954</v>
      </c>
      <c r="M847" s="29">
        <v>3229</v>
      </c>
      <c r="N847" s="29">
        <v>0</v>
      </c>
      <c r="O847" s="11">
        <v>0</v>
      </c>
      <c r="P847" s="29">
        <v>0</v>
      </c>
      <c r="Q847" s="29">
        <v>0</v>
      </c>
      <c r="R847" s="29">
        <v>0</v>
      </c>
      <c r="S847" s="11">
        <f t="shared" ref="S847:S853" si="3866">+BJ847-SUM(P847:R847)</f>
        <v>0</v>
      </c>
      <c r="T847" s="29">
        <v>0</v>
      </c>
      <c r="U847" s="29">
        <v>0</v>
      </c>
      <c r="V847" s="29">
        <v>0</v>
      </c>
      <c r="W847" s="29">
        <v>0</v>
      </c>
      <c r="X847" s="29">
        <v>0</v>
      </c>
      <c r="Y847" s="29">
        <v>0</v>
      </c>
      <c r="Z847" s="29">
        <v>0</v>
      </c>
      <c r="AA847" s="29">
        <v>0</v>
      </c>
      <c r="AB847" s="29">
        <v>0</v>
      </c>
      <c r="AC847" s="29">
        <v>0</v>
      </c>
      <c r="AD847" s="29">
        <v>0</v>
      </c>
      <c r="AE847" s="29">
        <v>0</v>
      </c>
      <c r="AF847" s="29">
        <v>0</v>
      </c>
      <c r="AG847" s="29">
        <v>0</v>
      </c>
      <c r="AH847" s="29">
        <v>0</v>
      </c>
      <c r="AI847" s="29">
        <v>0</v>
      </c>
      <c r="AJ847" s="29">
        <v>7073</v>
      </c>
      <c r="AK847" s="29">
        <v>10773</v>
      </c>
      <c r="AL847" s="29">
        <v>6352</v>
      </c>
      <c r="AM847" s="29">
        <v>197</v>
      </c>
      <c r="AO847" s="29"/>
      <c r="AP847" s="29"/>
      <c r="AQ847" s="29"/>
      <c r="AS847" s="29">
        <v>0</v>
      </c>
      <c r="AT847" s="29">
        <v>0</v>
      </c>
      <c r="AU847" s="29">
        <v>0</v>
      </c>
      <c r="AV847" s="29">
        <v>0</v>
      </c>
      <c r="AW847" s="29">
        <v>4796</v>
      </c>
      <c r="AX847" s="29">
        <v>4167</v>
      </c>
      <c r="AY847" s="29">
        <v>6960</v>
      </c>
      <c r="AZ847" s="29">
        <v>0</v>
      </c>
      <c r="BA847" s="29">
        <v>4883</v>
      </c>
      <c r="BB847" s="29">
        <v>10350</v>
      </c>
      <c r="BC847" s="29">
        <v>10680</v>
      </c>
      <c r="BD847" s="29">
        <v>13884</v>
      </c>
      <c r="BE847" s="29">
        <v>44344</v>
      </c>
      <c r="BG847" s="29">
        <v>13884</v>
      </c>
      <c r="BH847" s="29">
        <v>44344</v>
      </c>
      <c r="BI847" s="29">
        <v>7183</v>
      </c>
      <c r="BJ847" s="29">
        <v>0</v>
      </c>
      <c r="BK847" s="11">
        <f t="shared" si="3863"/>
        <v>0</v>
      </c>
      <c r="BL847" s="11">
        <f t="shared" si="3864"/>
        <v>0</v>
      </c>
      <c r="BM847" s="11">
        <f t="shared" si="3865"/>
        <v>0</v>
      </c>
      <c r="BN847" s="11">
        <f t="shared" si="3851"/>
        <v>0</v>
      </c>
      <c r="BO847" s="11">
        <f t="shared" si="3852"/>
        <v>24395</v>
      </c>
      <c r="BP847" s="29"/>
    </row>
    <row r="848" spans="2:68">
      <c r="B848" t="s">
        <v>558</v>
      </c>
      <c r="D848" s="29">
        <v>4890</v>
      </c>
      <c r="E848" s="29">
        <v>-7031</v>
      </c>
      <c r="F848" s="29">
        <v>2622</v>
      </c>
      <c r="G848" s="29">
        <v>6714</v>
      </c>
      <c r="H848" s="29">
        <v>-3390</v>
      </c>
      <c r="I848" s="29">
        <v>-3755</v>
      </c>
      <c r="J848" s="29">
        <v>-1302</v>
      </c>
      <c r="K848" s="11">
        <v>3484</v>
      </c>
      <c r="L848" s="29">
        <v>-3710</v>
      </c>
      <c r="M848" s="29">
        <v>3759</v>
      </c>
      <c r="N848" s="29">
        <v>-7373</v>
      </c>
      <c r="O848" s="11">
        <v>0</v>
      </c>
      <c r="P848" s="29">
        <v>0</v>
      </c>
      <c r="Q848" s="29">
        <v>0</v>
      </c>
      <c r="R848" s="29">
        <v>0</v>
      </c>
      <c r="S848" s="11">
        <f t="shared" si="3866"/>
        <v>0</v>
      </c>
      <c r="T848" s="29">
        <v>0</v>
      </c>
      <c r="U848" s="29">
        <v>0</v>
      </c>
      <c r="V848" s="29">
        <v>0</v>
      </c>
      <c r="W848" s="29">
        <v>0</v>
      </c>
      <c r="X848" s="29">
        <v>0</v>
      </c>
      <c r="Y848" s="29">
        <v>0</v>
      </c>
      <c r="Z848" s="29">
        <v>0</v>
      </c>
      <c r="AA848" s="29">
        <v>0</v>
      </c>
      <c r="AB848" s="29">
        <v>0</v>
      </c>
      <c r="AC848" s="29">
        <v>0</v>
      </c>
      <c r="AD848" s="29">
        <v>0</v>
      </c>
      <c r="AE848" s="29">
        <v>0</v>
      </c>
      <c r="AF848" s="29">
        <v>0</v>
      </c>
      <c r="AG848" s="29">
        <v>0</v>
      </c>
      <c r="AH848" s="29">
        <v>0</v>
      </c>
      <c r="AI848" s="29">
        <v>0</v>
      </c>
      <c r="AJ848" s="29">
        <v>0</v>
      </c>
      <c r="AK848" s="29">
        <v>0</v>
      </c>
      <c r="AL848" s="29">
        <v>0</v>
      </c>
      <c r="AM848" s="29">
        <v>0</v>
      </c>
      <c r="AO848" s="29"/>
      <c r="AP848" s="29"/>
      <c r="AQ848" s="29"/>
      <c r="AS848" s="29">
        <v>0</v>
      </c>
      <c r="AT848" s="29">
        <v>0</v>
      </c>
      <c r="AU848" s="29">
        <v>0</v>
      </c>
      <c r="AV848" s="29">
        <v>0</v>
      </c>
      <c r="AW848" s="29">
        <v>1178</v>
      </c>
      <c r="AX848" s="29">
        <v>-991</v>
      </c>
      <c r="AY848" s="29">
        <v>-186</v>
      </c>
      <c r="AZ848" s="29">
        <v>0</v>
      </c>
      <c r="BA848" s="29">
        <v>0</v>
      </c>
      <c r="BB848" s="29">
        <v>500</v>
      </c>
      <c r="BC848" s="29">
        <v>4481</v>
      </c>
      <c r="BD848" s="29">
        <v>7195</v>
      </c>
      <c r="BE848" s="29">
        <v>-4963</v>
      </c>
      <c r="BG848" s="29">
        <v>7195</v>
      </c>
      <c r="BH848" s="29">
        <v>-4963</v>
      </c>
      <c r="BI848" s="29">
        <v>-7324</v>
      </c>
      <c r="BJ848" s="29">
        <v>0</v>
      </c>
      <c r="BK848" s="11">
        <f t="shared" si="3863"/>
        <v>0</v>
      </c>
      <c r="BL848" s="11">
        <f t="shared" si="3864"/>
        <v>0</v>
      </c>
      <c r="BM848" s="11">
        <f t="shared" si="3865"/>
        <v>0</v>
      </c>
      <c r="BN848" s="11">
        <f t="shared" si="3851"/>
        <v>0</v>
      </c>
      <c r="BO848" s="11">
        <f t="shared" si="3852"/>
        <v>0</v>
      </c>
      <c r="BP848" s="29"/>
    </row>
    <row r="849" spans="2:68">
      <c r="B849" t="s">
        <v>559</v>
      </c>
      <c r="D849" s="29">
        <v>219</v>
      </c>
      <c r="E849" s="29">
        <v>117</v>
      </c>
      <c r="F849" s="29">
        <v>159</v>
      </c>
      <c r="G849" s="29">
        <v>173</v>
      </c>
      <c r="H849" s="29">
        <v>241</v>
      </c>
      <c r="I849" s="29">
        <v>131</v>
      </c>
      <c r="J849" s="29">
        <v>179</v>
      </c>
      <c r="K849" s="11">
        <v>221</v>
      </c>
      <c r="L849" s="29">
        <v>307</v>
      </c>
      <c r="M849" s="29">
        <v>189</v>
      </c>
      <c r="N849" s="29">
        <v>251</v>
      </c>
      <c r="O849" s="11">
        <v>255</v>
      </c>
      <c r="P849" s="29">
        <v>360</v>
      </c>
      <c r="Q849" s="29">
        <v>200</v>
      </c>
      <c r="R849" s="29">
        <v>274</v>
      </c>
      <c r="S849" s="11">
        <f t="shared" si="3866"/>
        <v>308</v>
      </c>
      <c r="T849" s="29">
        <v>427</v>
      </c>
      <c r="U849" s="29">
        <v>234</v>
      </c>
      <c r="V849" s="29">
        <v>342</v>
      </c>
      <c r="W849" s="29">
        <v>340</v>
      </c>
      <c r="X849" s="29">
        <v>545</v>
      </c>
      <c r="Y849" s="29">
        <v>302</v>
      </c>
      <c r="Z849" s="29">
        <v>396</v>
      </c>
      <c r="AA849" s="29">
        <v>450</v>
      </c>
      <c r="AB849" s="29">
        <v>612</v>
      </c>
      <c r="AC849" s="29">
        <v>291</v>
      </c>
      <c r="AD849" s="29">
        <v>477</v>
      </c>
      <c r="AE849" s="29">
        <v>461</v>
      </c>
      <c r="AF849" s="29">
        <v>575</v>
      </c>
      <c r="AG849" s="29">
        <v>243</v>
      </c>
      <c r="AH849" s="29">
        <v>536</v>
      </c>
      <c r="AI849" s="29">
        <v>512</v>
      </c>
      <c r="AJ849" s="29">
        <v>685</v>
      </c>
      <c r="AK849" s="29">
        <v>261</v>
      </c>
      <c r="AL849" s="29">
        <v>522</v>
      </c>
      <c r="AM849" s="29">
        <v>534</v>
      </c>
      <c r="AN849" s="29"/>
      <c r="AO849" s="29"/>
      <c r="AP849" s="29"/>
      <c r="AQ849" s="29"/>
      <c r="AS849" s="29">
        <v>3109</v>
      </c>
      <c r="AT849" s="29">
        <v>2101</v>
      </c>
      <c r="AU849" s="29">
        <v>6782</v>
      </c>
      <c r="AV849" s="29">
        <v>3494</v>
      </c>
      <c r="AW849" s="29">
        <v>579</v>
      </c>
      <c r="AX849" s="29">
        <v>2311</v>
      </c>
      <c r="AY849" s="29">
        <v>2422</v>
      </c>
      <c r="AZ849" s="29">
        <v>1913</v>
      </c>
      <c r="BA849" s="29">
        <v>931</v>
      </c>
      <c r="BB849" s="29">
        <v>607</v>
      </c>
      <c r="BC849" s="29">
        <v>634</v>
      </c>
      <c r="BD849" s="29">
        <v>668</v>
      </c>
      <c r="BE849" s="29">
        <v>772</v>
      </c>
      <c r="BG849" s="29">
        <v>668</v>
      </c>
      <c r="BH849" s="29">
        <v>772</v>
      </c>
      <c r="BI849" s="29">
        <v>1002</v>
      </c>
      <c r="BJ849" s="29">
        <v>1142</v>
      </c>
      <c r="BK849" s="11">
        <f t="shared" si="3863"/>
        <v>1343</v>
      </c>
      <c r="BL849" s="11">
        <f t="shared" si="3864"/>
        <v>1693</v>
      </c>
      <c r="BM849" s="11">
        <f t="shared" si="3865"/>
        <v>1841</v>
      </c>
      <c r="BN849" s="11">
        <f t="shared" si="3851"/>
        <v>1866</v>
      </c>
      <c r="BO849" s="11">
        <f t="shared" si="3852"/>
        <v>2002</v>
      </c>
      <c r="BP849" s="29"/>
    </row>
    <row r="850" spans="2:68">
      <c r="B850" t="s">
        <v>560</v>
      </c>
      <c r="D850" s="29">
        <v>-4757</v>
      </c>
      <c r="E850" s="29">
        <v>-3678</v>
      </c>
      <c r="F850" s="29">
        <v>-3857</v>
      </c>
      <c r="G850" s="29">
        <v>-3677</v>
      </c>
      <c r="H850" s="29">
        <v>-4362</v>
      </c>
      <c r="I850" s="29">
        <v>-3599</v>
      </c>
      <c r="J850" s="29">
        <v>-2062</v>
      </c>
      <c r="K850" s="11">
        <v>-1765</v>
      </c>
      <c r="L850" s="29">
        <v>-2570</v>
      </c>
      <c r="M850" s="29">
        <v>-2008</v>
      </c>
      <c r="N850" s="29">
        <v>-3781</v>
      </c>
      <c r="O850" s="11">
        <v>-2362</v>
      </c>
      <c r="P850" s="29">
        <v>-3744</v>
      </c>
      <c r="Q850" s="29">
        <v>-6413</v>
      </c>
      <c r="R850" s="29">
        <v>-4753</v>
      </c>
      <c r="S850" s="11">
        <f t="shared" si="3866"/>
        <v>-4633</v>
      </c>
      <c r="T850" s="29">
        <v>-4912</v>
      </c>
      <c r="U850" s="29">
        <v>-5206</v>
      </c>
      <c r="V850" s="29">
        <v>-7059</v>
      </c>
      <c r="W850" s="29">
        <v>-5791</v>
      </c>
      <c r="X850" s="29">
        <v>-6743</v>
      </c>
      <c r="Y850" s="29">
        <v>-6535</v>
      </c>
      <c r="Z850" s="29">
        <v>-6930</v>
      </c>
      <c r="AA850" s="29">
        <v>-7177</v>
      </c>
      <c r="AB850" s="29">
        <v>-7684</v>
      </c>
      <c r="AC850" s="29">
        <v>-7433</v>
      </c>
      <c r="AD850" s="29">
        <v>-8822</v>
      </c>
      <c r="AE850" s="29">
        <v>-8757</v>
      </c>
      <c r="AF850" s="29">
        <v>-5573</v>
      </c>
      <c r="AG850" s="29">
        <v>-5459</v>
      </c>
      <c r="AH850" s="29">
        <v>-5509</v>
      </c>
      <c r="AI850" s="29">
        <v>-5704</v>
      </c>
      <c r="AJ850" s="29">
        <v>-4831</v>
      </c>
      <c r="AK850" s="29">
        <v>-4000</v>
      </c>
      <c r="AL850" s="29">
        <v>-4213</v>
      </c>
      <c r="AM850" s="29">
        <v>-4210</v>
      </c>
      <c r="AN850" s="29"/>
      <c r="AO850" s="29"/>
      <c r="AP850" s="29"/>
      <c r="AQ850" s="29"/>
      <c r="AR850" s="29"/>
      <c r="AS850" s="29">
        <v>-8057</v>
      </c>
      <c r="AT850" s="29">
        <v>-19207</v>
      </c>
      <c r="AU850" s="29">
        <v>-27575</v>
      </c>
      <c r="AV850" s="29">
        <v>-12533</v>
      </c>
      <c r="AW850" s="29">
        <v>-9353</v>
      </c>
      <c r="AX850" s="29">
        <v>-11269</v>
      </c>
      <c r="AY850" s="29">
        <v>-11555</v>
      </c>
      <c r="AZ850" s="29">
        <v>-5029</v>
      </c>
      <c r="BA850" s="29">
        <v>-5360</v>
      </c>
      <c r="BB850" s="29">
        <v>-7316</v>
      </c>
      <c r="BC850" s="29">
        <v>-14443</v>
      </c>
      <c r="BD850" s="29">
        <v>-15969</v>
      </c>
      <c r="BE850" s="29">
        <v>-11788</v>
      </c>
      <c r="BG850" s="29">
        <v>-15969</v>
      </c>
      <c r="BH850" s="29">
        <v>-11788</v>
      </c>
      <c r="BI850" s="29">
        <v>-10721</v>
      </c>
      <c r="BJ850" s="29">
        <v>-19543</v>
      </c>
      <c r="BK850" s="11">
        <f t="shared" si="3863"/>
        <v>-22968</v>
      </c>
      <c r="BL850" s="11">
        <f t="shared" si="3864"/>
        <v>-27385</v>
      </c>
      <c r="BM850" s="11">
        <f t="shared" si="3865"/>
        <v>-32696</v>
      </c>
      <c r="BN850" s="11">
        <f t="shared" si="3851"/>
        <v>-22245</v>
      </c>
      <c r="BO850" s="11">
        <f t="shared" si="3852"/>
        <v>-17254</v>
      </c>
      <c r="BP850" s="29"/>
    </row>
    <row r="851" spans="2:68">
      <c r="B851" t="s">
        <v>561</v>
      </c>
      <c r="D851" s="29">
        <v>-2475</v>
      </c>
      <c r="E851" s="29">
        <v>-2868</v>
      </c>
      <c r="F851" s="29">
        <v>-2842</v>
      </c>
      <c r="G851" s="29">
        <v>-2821</v>
      </c>
      <c r="H851" s="29">
        <v>-2800</v>
      </c>
      <c r="I851" s="29">
        <v>-3024</v>
      </c>
      <c r="J851" s="29">
        <v>-3012</v>
      </c>
      <c r="K851" s="11">
        <v>-3009</v>
      </c>
      <c r="L851" s="29">
        <v>-3003</v>
      </c>
      <c r="M851" s="29">
        <v>-3238</v>
      </c>
      <c r="N851" s="29">
        <v>-3232</v>
      </c>
      <c r="O851" s="11">
        <v>-3226</v>
      </c>
      <c r="P851" s="29">
        <v>-3220</v>
      </c>
      <c r="Q851" s="29">
        <v>-3544</v>
      </c>
      <c r="R851" s="29">
        <v>-3526</v>
      </c>
      <c r="S851" s="11">
        <f t="shared" si="3866"/>
        <v>-3521</v>
      </c>
      <c r="T851" s="29">
        <v>-3510</v>
      </c>
      <c r="U851" s="29">
        <v>-3886</v>
      </c>
      <c r="V851" s="29">
        <v>-3876</v>
      </c>
      <c r="W851" s="29">
        <v>-3865</v>
      </c>
      <c r="X851" s="29">
        <v>-3856</v>
      </c>
      <c r="Y851" s="29">
        <v>-4230</v>
      </c>
      <c r="Z851" s="29">
        <v>-4221</v>
      </c>
      <c r="AA851" s="29">
        <v>-4214</v>
      </c>
      <c r="AB851" s="29">
        <v>-4206</v>
      </c>
      <c r="AC851" s="29">
        <v>-4652</v>
      </c>
      <c r="AD851" s="29">
        <v>-4645</v>
      </c>
      <c r="AE851" s="29">
        <v>-4632</v>
      </c>
      <c r="AF851" s="29">
        <v>-4621</v>
      </c>
      <c r="AG851" s="29">
        <v>-5066</v>
      </c>
      <c r="AH851" s="29">
        <v>-5059</v>
      </c>
      <c r="AI851" s="29">
        <v>-5054</v>
      </c>
      <c r="AJ851" s="29">
        <v>-5051</v>
      </c>
      <c r="AK851" s="29">
        <v>-5574</v>
      </c>
      <c r="AL851" s="29">
        <v>-5572</v>
      </c>
      <c r="AM851" s="29">
        <v>-5574</v>
      </c>
      <c r="AN851" s="29"/>
      <c r="AO851" s="29"/>
      <c r="AP851" s="29"/>
      <c r="AQ851" s="29"/>
      <c r="AR851" s="29"/>
      <c r="AS851" s="29">
        <v>-36112</v>
      </c>
      <c r="AT851" s="29">
        <v>-3545</v>
      </c>
      <c r="AU851" s="29">
        <v>-3805</v>
      </c>
      <c r="AV851" s="29">
        <v>-4015</v>
      </c>
      <c r="AW851" s="29">
        <v>-4468</v>
      </c>
      <c r="AX851" s="29">
        <v>-4578</v>
      </c>
      <c r="AY851" s="29">
        <v>-5180</v>
      </c>
      <c r="AZ851" s="29">
        <v>-6385</v>
      </c>
      <c r="BA851" s="29">
        <v>-7455</v>
      </c>
      <c r="BB851" s="29">
        <v>-8879</v>
      </c>
      <c r="BC851" s="29">
        <v>-9882</v>
      </c>
      <c r="BD851" s="29">
        <v>-11006</v>
      </c>
      <c r="BE851" s="29">
        <v>-11845</v>
      </c>
      <c r="BG851" s="29">
        <v>-11006</v>
      </c>
      <c r="BH851" s="29">
        <v>-11845</v>
      </c>
      <c r="BI851" s="29">
        <v>-12699</v>
      </c>
      <c r="BJ851" s="29">
        <v>-13811</v>
      </c>
      <c r="BK851" s="11">
        <f t="shared" si="3863"/>
        <v>-15137</v>
      </c>
      <c r="BL851" s="11">
        <f t="shared" si="3864"/>
        <v>-16521</v>
      </c>
      <c r="BM851" s="11">
        <f t="shared" si="3865"/>
        <v>-18135</v>
      </c>
      <c r="BN851" s="11">
        <f t="shared" si="3851"/>
        <v>-19800</v>
      </c>
      <c r="BO851" s="11">
        <f t="shared" si="3852"/>
        <v>-21771</v>
      </c>
      <c r="BP851" s="29"/>
    </row>
    <row r="852" spans="2:68">
      <c r="B852" t="s">
        <v>562</v>
      </c>
      <c r="D852" s="29">
        <v>0</v>
      </c>
      <c r="E852" s="29">
        <v>0</v>
      </c>
      <c r="F852" s="29">
        <v>0</v>
      </c>
      <c r="G852" s="29">
        <v>0</v>
      </c>
      <c r="H852" s="29">
        <v>0</v>
      </c>
      <c r="I852" s="29">
        <v>0</v>
      </c>
      <c r="J852" s="29">
        <v>0</v>
      </c>
      <c r="K852" s="11">
        <v>0</v>
      </c>
      <c r="L852" s="29">
        <v>0</v>
      </c>
      <c r="M852" s="29">
        <v>0</v>
      </c>
      <c r="N852" s="29">
        <v>0</v>
      </c>
      <c r="O852" s="11">
        <v>0</v>
      </c>
      <c r="P852" s="29">
        <v>0</v>
      </c>
      <c r="Q852" s="29">
        <v>0</v>
      </c>
      <c r="R852" s="29">
        <v>0</v>
      </c>
      <c r="S852" s="11">
        <f t="shared" si="3866"/>
        <v>0</v>
      </c>
      <c r="T852" s="29">
        <v>0</v>
      </c>
      <c r="U852" s="29">
        <v>0</v>
      </c>
      <c r="V852" s="29">
        <v>0</v>
      </c>
      <c r="W852" s="29">
        <v>0</v>
      </c>
      <c r="X852" s="29">
        <v>0</v>
      </c>
      <c r="Y852" s="29">
        <v>0</v>
      </c>
      <c r="Z852" s="29">
        <v>0</v>
      </c>
      <c r="AA852" s="29">
        <v>0</v>
      </c>
      <c r="AB852" s="29">
        <v>0</v>
      </c>
      <c r="AC852" s="29">
        <v>0</v>
      </c>
      <c r="AD852" s="29">
        <v>0</v>
      </c>
      <c r="AE852" s="29">
        <v>0</v>
      </c>
      <c r="AF852" s="29">
        <v>0</v>
      </c>
      <c r="AG852" s="29">
        <v>0</v>
      </c>
      <c r="AH852" s="29">
        <v>0</v>
      </c>
      <c r="AI852" s="29">
        <v>0</v>
      </c>
      <c r="AJ852" s="29">
        <v>0</v>
      </c>
      <c r="AK852" s="29">
        <v>0</v>
      </c>
      <c r="AL852" s="29">
        <v>0</v>
      </c>
      <c r="AM852" s="29">
        <v>0</v>
      </c>
      <c r="AN852" s="29"/>
      <c r="AO852" s="29"/>
      <c r="AP852" s="29"/>
      <c r="AQ852" s="29"/>
      <c r="AS852" s="29">
        <v>0</v>
      </c>
      <c r="AT852" s="29">
        <v>89</v>
      </c>
      <c r="AU852" s="29">
        <v>77</v>
      </c>
      <c r="AV852" s="29">
        <v>120</v>
      </c>
      <c r="AW852" s="29">
        <v>52</v>
      </c>
      <c r="AX852" s="29">
        <v>45</v>
      </c>
      <c r="AY852" s="29">
        <v>17</v>
      </c>
      <c r="AZ852" s="29">
        <v>93</v>
      </c>
      <c r="BA852" s="29">
        <v>209</v>
      </c>
      <c r="BB852" s="29">
        <v>0</v>
      </c>
      <c r="BC852" s="29">
        <v>0</v>
      </c>
      <c r="BD852" s="29">
        <v>0</v>
      </c>
      <c r="BE852" s="29">
        <v>0</v>
      </c>
      <c r="BG852" s="29">
        <v>0</v>
      </c>
      <c r="BH852" s="29">
        <v>0</v>
      </c>
      <c r="BI852" s="29">
        <v>0</v>
      </c>
      <c r="BJ852" s="29">
        <v>0</v>
      </c>
      <c r="BK852" s="11">
        <f t="shared" si="3863"/>
        <v>0</v>
      </c>
      <c r="BL852" s="11">
        <f t="shared" si="3864"/>
        <v>0</v>
      </c>
      <c r="BM852" s="11">
        <f t="shared" si="3865"/>
        <v>0</v>
      </c>
      <c r="BN852" s="11">
        <f t="shared" si="3851"/>
        <v>0</v>
      </c>
      <c r="BO852" s="11">
        <f t="shared" si="3852"/>
        <v>0</v>
      </c>
      <c r="BP852" s="29"/>
    </row>
    <row r="853" spans="2:68" ht="11.45">
      <c r="B853" t="s">
        <v>525</v>
      </c>
      <c r="D853" s="30">
        <v>-178</v>
      </c>
      <c r="E853" s="30">
        <v>-65</v>
      </c>
      <c r="F853" s="30">
        <v>-123</v>
      </c>
      <c r="G853" s="30">
        <v>-3</v>
      </c>
      <c r="H853" s="30">
        <v>-112</v>
      </c>
      <c r="I853" s="30">
        <v>312</v>
      </c>
      <c r="J853" s="30">
        <v>-375</v>
      </c>
      <c r="K853" s="34">
        <v>-15</v>
      </c>
      <c r="L853" s="30">
        <v>-150</v>
      </c>
      <c r="M853" s="30">
        <v>-156</v>
      </c>
      <c r="N853" s="30">
        <v>-640</v>
      </c>
      <c r="O853" s="34">
        <v>-25</v>
      </c>
      <c r="P853" s="30">
        <v>-780</v>
      </c>
      <c r="Q853" s="30">
        <v>-459</v>
      </c>
      <c r="R853" s="30">
        <v>404</v>
      </c>
      <c r="S853" s="34">
        <f t="shared" si="3866"/>
        <v>160</v>
      </c>
      <c r="T853" s="30">
        <v>286</v>
      </c>
      <c r="U853" s="30">
        <v>-39</v>
      </c>
      <c r="V853" s="30">
        <v>-1052</v>
      </c>
      <c r="W853" s="30">
        <v>471</v>
      </c>
      <c r="X853" s="30">
        <v>-235</v>
      </c>
      <c r="Y853" s="30">
        <v>79</v>
      </c>
      <c r="Z853" s="30">
        <v>-183</v>
      </c>
      <c r="AA853" s="30">
        <v>-430</v>
      </c>
      <c r="AB853" s="30">
        <v>-172</v>
      </c>
      <c r="AC853" s="30">
        <v>-192</v>
      </c>
      <c r="AD853" s="30">
        <v>-158</v>
      </c>
      <c r="AE853" s="30">
        <v>-341</v>
      </c>
      <c r="AF853" s="30">
        <v>-264</v>
      </c>
      <c r="AG853" s="30">
        <v>-317</v>
      </c>
      <c r="AH853" s="30">
        <v>-258</v>
      </c>
      <c r="AI853" s="30">
        <v>-167</v>
      </c>
      <c r="AJ853" s="30">
        <v>-307</v>
      </c>
      <c r="AK853" s="30">
        <v>-201</v>
      </c>
      <c r="AL853" s="30">
        <v>-498</v>
      </c>
      <c r="AM853" s="30">
        <v>-303</v>
      </c>
      <c r="AN853" s="29"/>
      <c r="AO853" s="29"/>
      <c r="AP853" s="29"/>
      <c r="AQ853" s="29"/>
      <c r="AR853" s="29"/>
      <c r="AS853" s="30">
        <v>-18</v>
      </c>
      <c r="AT853" s="30">
        <v>0</v>
      </c>
      <c r="AU853" s="30">
        <v>-23</v>
      </c>
      <c r="AV853" s="30">
        <v>0</v>
      </c>
      <c r="AW853" s="30">
        <v>-19</v>
      </c>
      <c r="AX853" s="30">
        <v>10</v>
      </c>
      <c r="AY853" s="30">
        <v>-40</v>
      </c>
      <c r="AZ853" s="30">
        <v>0</v>
      </c>
      <c r="BA853" s="30">
        <v>-10</v>
      </c>
      <c r="BB853" s="30">
        <v>-39</v>
      </c>
      <c r="BC853" s="30">
        <v>362</v>
      </c>
      <c r="BD853" s="30">
        <v>-369</v>
      </c>
      <c r="BE853" s="30">
        <v>-190</v>
      </c>
      <c r="BF853" s="953"/>
      <c r="BG853" s="30">
        <v>-369</v>
      </c>
      <c r="BH853" s="30">
        <v>-190</v>
      </c>
      <c r="BI853" s="30">
        <v>-971</v>
      </c>
      <c r="BJ853" s="30">
        <v>-675</v>
      </c>
      <c r="BK853" s="34">
        <f t="shared" si="3863"/>
        <v>-334</v>
      </c>
      <c r="BL853" s="34">
        <f t="shared" si="3864"/>
        <v>-769</v>
      </c>
      <c r="BM853" s="34">
        <f t="shared" si="3865"/>
        <v>-863</v>
      </c>
      <c r="BN853" s="34">
        <f t="shared" si="3851"/>
        <v>-1006</v>
      </c>
      <c r="BO853" s="34">
        <f t="shared" si="3852"/>
        <v>-1309</v>
      </c>
      <c r="BP853" s="30"/>
    </row>
    <row r="854" spans="2:68" s="1" customFormat="1" ht="10.5">
      <c r="B854" s="837" t="s">
        <v>563</v>
      </c>
      <c r="D854" s="838">
        <f t="shared" ref="D854:AM854" si="3867">SUM(D844:D853)</f>
        <v>-3930</v>
      </c>
      <c r="E854" s="838">
        <f t="shared" si="3867"/>
        <v>-518</v>
      </c>
      <c r="F854" s="838">
        <f t="shared" si="3867"/>
        <v>-4916</v>
      </c>
      <c r="G854" s="838">
        <f t="shared" si="3867"/>
        <v>971</v>
      </c>
      <c r="H854" s="838">
        <f t="shared" si="3867"/>
        <v>14329</v>
      </c>
      <c r="I854" s="838">
        <f t="shared" si="3867"/>
        <v>3016</v>
      </c>
      <c r="J854" s="838">
        <f t="shared" si="3867"/>
        <v>-6236</v>
      </c>
      <c r="K854" s="849">
        <f t="shared" si="3867"/>
        <v>-2701</v>
      </c>
      <c r="L854" s="838">
        <f t="shared" si="3867"/>
        <v>-6341</v>
      </c>
      <c r="M854" s="838">
        <f t="shared" si="3867"/>
        <v>-1552</v>
      </c>
      <c r="N854" s="838">
        <f t="shared" si="3867"/>
        <v>-19658</v>
      </c>
      <c r="O854" s="849">
        <f t="shared" si="3867"/>
        <v>-6039</v>
      </c>
      <c r="P854" s="838">
        <f t="shared" si="3867"/>
        <v>-7384</v>
      </c>
      <c r="Q854" s="838">
        <f t="shared" si="3867"/>
        <v>-13216</v>
      </c>
      <c r="R854" s="838">
        <f t="shared" si="3867"/>
        <v>-7601</v>
      </c>
      <c r="S854" s="849">
        <f t="shared" si="3867"/>
        <v>-8686</v>
      </c>
      <c r="T854" s="838">
        <f t="shared" si="3867"/>
        <v>-10209</v>
      </c>
      <c r="U854" s="838">
        <f t="shared" si="3867"/>
        <v>-8915</v>
      </c>
      <c r="V854" s="838">
        <f t="shared" si="3867"/>
        <v>-14645</v>
      </c>
      <c r="W854" s="838">
        <f t="shared" si="3867"/>
        <v>-12262</v>
      </c>
      <c r="X854" s="838">
        <f t="shared" si="3867"/>
        <v>-10289</v>
      </c>
      <c r="Y854" s="838">
        <f t="shared" si="3867"/>
        <v>-13634</v>
      </c>
      <c r="Z854" s="838">
        <f t="shared" si="3867"/>
        <v>-13192</v>
      </c>
      <c r="AA854" s="838">
        <f t="shared" si="3867"/>
        <v>-11371</v>
      </c>
      <c r="AB854" s="838">
        <f t="shared" si="3867"/>
        <v>-16276</v>
      </c>
      <c r="AC854" s="838">
        <f t="shared" si="3867"/>
        <v>-11986</v>
      </c>
      <c r="AD854" s="838">
        <f t="shared" si="3867"/>
        <v>-17345</v>
      </c>
      <c r="AE854" s="838">
        <f t="shared" si="3867"/>
        <v>-13269</v>
      </c>
      <c r="AF854" s="838">
        <f t="shared" si="3867"/>
        <v>-10883</v>
      </c>
      <c r="AG854" s="838">
        <f t="shared" si="3867"/>
        <v>-11349</v>
      </c>
      <c r="AH854" s="838">
        <f t="shared" si="3867"/>
        <v>-10290</v>
      </c>
      <c r="AI854" s="838">
        <f t="shared" si="3867"/>
        <v>-11413</v>
      </c>
      <c r="AJ854" s="838">
        <f t="shared" si="3867"/>
        <v>14761</v>
      </c>
      <c r="AK854" s="838">
        <f t="shared" si="3867"/>
        <v>-10147</v>
      </c>
      <c r="AL854" s="838">
        <f t="shared" si="3867"/>
        <v>-18808</v>
      </c>
      <c r="AM854" s="838">
        <f t="shared" si="3867"/>
        <v>-23563</v>
      </c>
      <c r="AN854" s="29"/>
      <c r="AO854" s="29"/>
      <c r="AP854" s="29"/>
      <c r="AQ854" s="29"/>
      <c r="AR854" s="29"/>
      <c r="AS854" s="838">
        <f t="shared" ref="AS854:BE854" si="3868">SUM(AS844:AS853)</f>
        <v>-41078</v>
      </c>
      <c r="AT854" s="838">
        <f t="shared" si="3868"/>
        <v>-20562</v>
      </c>
      <c r="AU854" s="838">
        <f t="shared" si="3868"/>
        <v>-24544</v>
      </c>
      <c r="AV854" s="838">
        <f t="shared" si="3868"/>
        <v>-12934</v>
      </c>
      <c r="AW854" s="838">
        <f t="shared" si="3868"/>
        <v>-7463</v>
      </c>
      <c r="AX854" s="838">
        <f t="shared" si="3868"/>
        <v>-13291</v>
      </c>
      <c r="AY854" s="838">
        <f t="shared" si="3868"/>
        <v>-8376</v>
      </c>
      <c r="AZ854" s="838">
        <f t="shared" si="3868"/>
        <v>-9408</v>
      </c>
      <c r="BA854" s="838">
        <f t="shared" si="3868"/>
        <v>-8148</v>
      </c>
      <c r="BB854" s="838">
        <f t="shared" si="3868"/>
        <v>-8665</v>
      </c>
      <c r="BC854" s="838">
        <f t="shared" si="3868"/>
        <v>-9668</v>
      </c>
      <c r="BD854" s="838">
        <f t="shared" si="3868"/>
        <v>-8393</v>
      </c>
      <c r="BE854" s="838">
        <f t="shared" si="3868"/>
        <v>8408</v>
      </c>
      <c r="BG854" s="838">
        <f>SUM(BG844:BG853)</f>
        <v>-8393</v>
      </c>
      <c r="BH854" s="838">
        <f>SUM(BH844:BH853)</f>
        <v>8408</v>
      </c>
      <c r="BI854" s="838">
        <f>SUM(BI844:BI853)</f>
        <v>-33590</v>
      </c>
      <c r="BJ854" s="838">
        <f>SUM(BJ844:BJ853)</f>
        <v>-36887</v>
      </c>
      <c r="BK854" s="838">
        <f>SUM(BK844:BK853)</f>
        <v>-46031</v>
      </c>
      <c r="BL854" s="849">
        <f t="shared" si="3864"/>
        <v>-48486</v>
      </c>
      <c r="BM854" s="849">
        <f>+SUM(BM844:BM853)</f>
        <v>-58876</v>
      </c>
      <c r="BN854" s="849">
        <f t="shared" si="3851"/>
        <v>-43935</v>
      </c>
      <c r="BO854" s="849">
        <f t="shared" si="3852"/>
        <v>-37757</v>
      </c>
      <c r="BP854" s="838"/>
    </row>
    <row r="855" spans="2:68">
      <c r="K855" s="100"/>
      <c r="O855" s="100"/>
      <c r="S855" s="100"/>
      <c r="AM855" s="29"/>
      <c r="AN855" s="29"/>
      <c r="AO855" s="29"/>
      <c r="AP855" s="29"/>
      <c r="AQ855" s="29"/>
      <c r="AR855" s="29"/>
      <c r="BK855" s="100"/>
      <c r="BL855" s="100"/>
    </row>
    <row r="856" spans="2:68" s="852" customFormat="1" ht="11.45">
      <c r="B856" t="s">
        <v>564</v>
      </c>
      <c r="D856" s="939">
        <v>-44</v>
      </c>
      <c r="E856" s="939">
        <v>-18</v>
      </c>
      <c r="F856" s="939">
        <v>17</v>
      </c>
      <c r="G856" s="939">
        <v>-22</v>
      </c>
      <c r="H856" s="939">
        <v>10</v>
      </c>
      <c r="I856" s="939">
        <v>-18</v>
      </c>
      <c r="J856" s="939">
        <v>12</v>
      </c>
      <c r="K856" s="940">
        <v>15</v>
      </c>
      <c r="L856" s="939">
        <v>26</v>
      </c>
      <c r="M856" s="939">
        <v>-17</v>
      </c>
      <c r="N856" s="939">
        <v>25</v>
      </c>
      <c r="O856" s="940">
        <v>16</v>
      </c>
      <c r="P856" s="939">
        <v>-129</v>
      </c>
      <c r="Q856" s="939">
        <v>17</v>
      </c>
      <c r="R856" s="939">
        <v>18</v>
      </c>
      <c r="S856" s="940">
        <f>+BJ856-SUM(P856:R856)</f>
        <v>-21</v>
      </c>
      <c r="T856" s="939">
        <v>-72</v>
      </c>
      <c r="U856" s="939">
        <f>-118-V856-T856</f>
        <v>18</v>
      </c>
      <c r="V856" s="939">
        <v>-64</v>
      </c>
      <c r="W856" s="939">
        <v>-83</v>
      </c>
      <c r="X856" s="939">
        <v>-46</v>
      </c>
      <c r="Y856" s="939">
        <v>14</v>
      </c>
      <c r="Z856" s="939">
        <v>-33</v>
      </c>
      <c r="AA856" s="939">
        <v>36</v>
      </c>
      <c r="AB856" s="939">
        <v>-73</v>
      </c>
      <c r="AC856" s="939">
        <v>106</v>
      </c>
      <c r="AD856" s="939">
        <v>24</v>
      </c>
      <c r="AE856" s="939">
        <v>-198</v>
      </c>
      <c r="AF856" s="939">
        <v>-230</v>
      </c>
      <c r="AG856" s="939">
        <v>88</v>
      </c>
      <c r="AH856" s="939">
        <v>29</v>
      </c>
      <c r="AI856" s="939">
        <v>-81</v>
      </c>
      <c r="AJ856" s="939">
        <v>-99</v>
      </c>
      <c r="AK856" s="939">
        <v>72</v>
      </c>
      <c r="AL856" s="939">
        <v>-80</v>
      </c>
      <c r="AM856" s="30">
        <v>-103</v>
      </c>
      <c r="AN856" s="29"/>
      <c r="AO856" s="29"/>
      <c r="AP856" s="29"/>
      <c r="AQ856" s="29"/>
      <c r="AR856" s="29"/>
      <c r="AS856" s="939">
        <v>-7</v>
      </c>
      <c r="AT856" s="939">
        <v>18</v>
      </c>
      <c r="AU856" s="939">
        <v>56</v>
      </c>
      <c r="AV856" s="939">
        <v>137</v>
      </c>
      <c r="AW856" s="939">
        <v>-67</v>
      </c>
      <c r="AX856" s="939">
        <v>-39</v>
      </c>
      <c r="AY856" s="939">
        <v>103</v>
      </c>
      <c r="AZ856" s="939">
        <v>-104</v>
      </c>
      <c r="BA856" s="939">
        <v>-8</v>
      </c>
      <c r="BB856" s="939">
        <v>-139</v>
      </c>
      <c r="BC856" s="939">
        <v>-73</v>
      </c>
      <c r="BD856" s="939">
        <v>-67</v>
      </c>
      <c r="BE856" s="939">
        <v>19</v>
      </c>
      <c r="BG856" s="939">
        <v>-67</v>
      </c>
      <c r="BH856" s="939">
        <v>19</v>
      </c>
      <c r="BI856" s="939">
        <v>50</v>
      </c>
      <c r="BJ856" s="939">
        <v>-115</v>
      </c>
      <c r="BK856" s="940">
        <f>SUM(T856:W856)</f>
        <v>-201</v>
      </c>
      <c r="BL856" s="940">
        <f t="shared" ref="BL856:BL857" si="3869">SUM(X856:AA856)</f>
        <v>-29</v>
      </c>
      <c r="BM856" s="34">
        <f t="shared" ref="BM856" si="3870">+SUM(AB856:AE856)</f>
        <v>-141</v>
      </c>
      <c r="BN856" s="34">
        <f t="shared" si="3851"/>
        <v>-194</v>
      </c>
      <c r="BO856" s="34">
        <f t="shared" si="3852"/>
        <v>-210</v>
      </c>
      <c r="BP856" s="939"/>
    </row>
    <row r="857" spans="2:68" s="1" customFormat="1" ht="10.5">
      <c r="B857" s="837" t="s">
        <v>565</v>
      </c>
      <c r="D857" s="838">
        <f t="shared" ref="D857:AL857" si="3871">+D832+D841+D854+D856</f>
        <v>-164</v>
      </c>
      <c r="E857" s="838">
        <f t="shared" si="3871"/>
        <v>1754</v>
      </c>
      <c r="F857" s="838">
        <f t="shared" si="3871"/>
        <v>-15</v>
      </c>
      <c r="G857" s="838">
        <f t="shared" si="3871"/>
        <v>-660</v>
      </c>
      <c r="H857" s="838">
        <f t="shared" si="3871"/>
        <v>7418</v>
      </c>
      <c r="I857" s="838">
        <f t="shared" si="3871"/>
        <v>-5460</v>
      </c>
      <c r="J857" s="838">
        <f t="shared" si="3871"/>
        <v>-1755</v>
      </c>
      <c r="K857" s="849">
        <f t="shared" si="3871"/>
        <v>950</v>
      </c>
      <c r="L857" s="838">
        <f t="shared" si="3871"/>
        <v>-779</v>
      </c>
      <c r="M857" s="838">
        <f t="shared" si="3871"/>
        <v>5975</v>
      </c>
      <c r="N857" s="838">
        <f t="shared" si="3871"/>
        <v>-3638</v>
      </c>
      <c r="O857" s="849">
        <f t="shared" si="3871"/>
        <v>2725</v>
      </c>
      <c r="P857" s="838">
        <f t="shared" si="3871"/>
        <v>3191</v>
      </c>
      <c r="Q857" s="838">
        <f t="shared" si="3871"/>
        <v>-8499</v>
      </c>
      <c r="R857" s="838">
        <f t="shared" si="3871"/>
        <v>4574</v>
      </c>
      <c r="S857" s="849">
        <f t="shared" si="3871"/>
        <v>144</v>
      </c>
      <c r="T857" s="838">
        <f t="shared" si="3871"/>
        <v>1761</v>
      </c>
      <c r="U857" s="838">
        <f t="shared" si="3871"/>
        <v>-4253</v>
      </c>
      <c r="V857" s="838">
        <f t="shared" si="3871"/>
        <v>2846</v>
      </c>
      <c r="W857" s="838">
        <f t="shared" si="3871"/>
        <v>1866</v>
      </c>
      <c r="X857" s="838">
        <f t="shared" si="3871"/>
        <v>3629</v>
      </c>
      <c r="Y857" s="838">
        <f t="shared" si="3871"/>
        <v>-2773</v>
      </c>
      <c r="Z857" s="838">
        <f t="shared" si="3871"/>
        <v>-730</v>
      </c>
      <c r="AA857" s="838">
        <f t="shared" si="3871"/>
        <v>522</v>
      </c>
      <c r="AB857" s="838">
        <f t="shared" si="3871"/>
        <v>4941</v>
      </c>
      <c r="AC857" s="838">
        <f t="shared" si="3871"/>
        <v>1439</v>
      </c>
      <c r="AD857" s="838">
        <f t="shared" si="3871"/>
        <v>-8106</v>
      </c>
      <c r="AE857" s="838">
        <f t="shared" si="3871"/>
        <v>1433</v>
      </c>
      <c r="AF857" s="838">
        <f t="shared" si="3871"/>
        <v>8953</v>
      </c>
      <c r="AG857" s="838">
        <f t="shared" si="3871"/>
        <v>-7238</v>
      </c>
      <c r="AH857" s="838">
        <f t="shared" si="3871"/>
        <v>10916</v>
      </c>
      <c r="AI857" s="838">
        <f t="shared" si="3871"/>
        <v>8142</v>
      </c>
      <c r="AJ857" s="838">
        <f t="shared" si="3871"/>
        <v>45748</v>
      </c>
      <c r="AK857" s="838">
        <f t="shared" si="3871"/>
        <v>-63147</v>
      </c>
      <c r="AL857" s="838">
        <f t="shared" si="3871"/>
        <v>2329</v>
      </c>
      <c r="AM857" s="838">
        <f t="shared" ref="AM857" si="3872">+AM832+AM841+AM854+AM856</f>
        <v>-1319</v>
      </c>
      <c r="AN857" s="29"/>
      <c r="AO857" s="29"/>
      <c r="AP857" s="29"/>
      <c r="AQ857" s="29"/>
      <c r="AR857" s="29"/>
      <c r="AS857" s="838">
        <f t="shared" ref="AS857:BE857" si="3873">+AS832+AS841+AS854+AS856</f>
        <v>-9453</v>
      </c>
      <c r="AT857" s="838">
        <f t="shared" si="3873"/>
        <v>1863</v>
      </c>
      <c r="AU857" s="838">
        <f t="shared" si="3873"/>
        <v>-603</v>
      </c>
      <c r="AV857" s="838">
        <f t="shared" si="3873"/>
        <v>4228</v>
      </c>
      <c r="AW857" s="838">
        <f t="shared" si="3873"/>
        <v>-4263</v>
      </c>
      <c r="AX857" s="838">
        <f t="shared" si="3873"/>
        <v>-571</v>
      </c>
      <c r="AY857" s="838">
        <f t="shared" si="3873"/>
        <v>4105</v>
      </c>
      <c r="AZ857" s="838">
        <f t="shared" si="3873"/>
        <v>-2672</v>
      </c>
      <c r="BA857" s="838">
        <f t="shared" si="3873"/>
        <v>-3134</v>
      </c>
      <c r="BB857" s="838">
        <f t="shared" si="3873"/>
        <v>4865</v>
      </c>
      <c r="BC857" s="838">
        <f t="shared" si="3873"/>
        <v>-3074</v>
      </c>
      <c r="BD857" s="838">
        <f t="shared" si="3873"/>
        <v>915</v>
      </c>
      <c r="BE857" s="838">
        <f t="shared" si="3873"/>
        <v>1153</v>
      </c>
      <c r="BG857" s="838">
        <f>+BG832+BG841+BG854+BG856</f>
        <v>915</v>
      </c>
      <c r="BH857" s="838">
        <f>+BH832+BH841+BH854+BH856</f>
        <v>1153</v>
      </c>
      <c r="BI857" s="838">
        <f>+BI832+BI841+BI854+BI856</f>
        <v>4283</v>
      </c>
      <c r="BJ857" s="838">
        <f>+BJ832+BJ841+BJ854+BJ856</f>
        <v>-590</v>
      </c>
      <c r="BK857" s="838">
        <f>+BK832+BK841+BK854+BK856</f>
        <v>2220</v>
      </c>
      <c r="BL857" s="849">
        <f t="shared" si="3869"/>
        <v>648</v>
      </c>
      <c r="BM857" s="838">
        <f>+BM832+BM841+BM854+BM856</f>
        <v>-293</v>
      </c>
      <c r="BN857" s="838">
        <f t="shared" si="3851"/>
        <v>20773</v>
      </c>
      <c r="BO857" s="838">
        <f t="shared" si="3852"/>
        <v>-16389</v>
      </c>
      <c r="BP857" s="838"/>
    </row>
    <row r="858" spans="2:68">
      <c r="K858" s="100"/>
      <c r="O858" s="100"/>
      <c r="S858" s="100"/>
      <c r="AN858" s="29"/>
      <c r="AO858" s="29"/>
      <c r="AP858" s="29"/>
      <c r="AQ858" s="29"/>
      <c r="AR858" s="29"/>
      <c r="BJ858" s="8"/>
      <c r="BL858" s="100"/>
    </row>
    <row r="859" spans="2:68">
      <c r="B859" s="954" t="s">
        <v>126</v>
      </c>
      <c r="K859" s="100"/>
      <c r="O859" s="100"/>
      <c r="S859" s="100"/>
      <c r="AN859" s="29"/>
      <c r="AO859" s="29"/>
      <c r="AP859" s="29"/>
      <c r="AQ859" s="29"/>
      <c r="AR859" s="29"/>
      <c r="BJ859" s="8"/>
      <c r="BK859" s="8"/>
      <c r="BL859" s="100"/>
    </row>
    <row r="860" spans="2:68">
      <c r="B860" s="843" t="s">
        <v>566</v>
      </c>
      <c r="D860" s="41" t="s">
        <v>271</v>
      </c>
      <c r="E860" s="41" t="s">
        <v>271</v>
      </c>
      <c r="F860" s="41" t="s">
        <v>271</v>
      </c>
      <c r="G860" s="41" t="s">
        <v>271</v>
      </c>
      <c r="H860" s="41" t="s">
        <v>271</v>
      </c>
      <c r="I860" s="41" t="s">
        <v>271</v>
      </c>
      <c r="J860" s="41" t="s">
        <v>271</v>
      </c>
      <c r="K860" s="955" t="s">
        <v>271</v>
      </c>
      <c r="L860" s="41" t="s">
        <v>271</v>
      </c>
      <c r="M860" s="41" t="s">
        <v>271</v>
      </c>
      <c r="N860" s="41" t="s">
        <v>271</v>
      </c>
      <c r="O860" s="955" t="s">
        <v>271</v>
      </c>
      <c r="P860" s="41" t="s">
        <v>271</v>
      </c>
      <c r="Q860" s="41" t="s">
        <v>271</v>
      </c>
      <c r="R860" s="41" t="s">
        <v>271</v>
      </c>
      <c r="S860" s="955" t="s">
        <v>271</v>
      </c>
      <c r="T860" s="41" t="s">
        <v>271</v>
      </c>
      <c r="U860" s="41" t="s">
        <v>271</v>
      </c>
      <c r="V860" s="41" t="s">
        <v>271</v>
      </c>
      <c r="W860" s="41" t="s">
        <v>271</v>
      </c>
      <c r="X860" s="41" t="s">
        <v>271</v>
      </c>
      <c r="Y860" s="41" t="s">
        <v>271</v>
      </c>
      <c r="Z860" s="41" t="s">
        <v>271</v>
      </c>
      <c r="AA860" s="41" t="s">
        <v>271</v>
      </c>
      <c r="AB860" s="41" t="s">
        <v>271</v>
      </c>
      <c r="AC860" s="41" t="s">
        <v>271</v>
      </c>
      <c r="AD860" s="41" t="s">
        <v>271</v>
      </c>
      <c r="AE860" s="41" t="s">
        <v>271</v>
      </c>
      <c r="AF860" s="41" t="s">
        <v>271</v>
      </c>
      <c r="AG860" s="41" t="s">
        <v>271</v>
      </c>
      <c r="AH860" s="41" t="s">
        <v>271</v>
      </c>
      <c r="AI860" s="41" t="s">
        <v>271</v>
      </c>
      <c r="AJ860" s="41" t="s">
        <v>271</v>
      </c>
      <c r="AK860" s="41" t="s">
        <v>271</v>
      </c>
      <c r="AL860" s="41" t="s">
        <v>271</v>
      </c>
      <c r="AM860" s="41" t="s">
        <v>271</v>
      </c>
      <c r="AN860" s="29"/>
      <c r="AO860" s="29"/>
      <c r="AP860" s="29"/>
      <c r="AQ860" s="29"/>
      <c r="AR860" s="29"/>
      <c r="AS860" s="29">
        <v>0</v>
      </c>
      <c r="AT860" s="29">
        <v>0</v>
      </c>
      <c r="AU860" s="29">
        <v>0</v>
      </c>
      <c r="AV860" s="29">
        <v>0</v>
      </c>
      <c r="AW860" s="29">
        <v>0</v>
      </c>
      <c r="AX860" s="29">
        <v>145</v>
      </c>
      <c r="AY860" s="29">
        <v>197</v>
      </c>
      <c r="AZ860" s="29">
        <v>344</v>
      </c>
      <c r="BA860" s="29">
        <v>371</v>
      </c>
      <c r="BB860" s="29">
        <v>509</v>
      </c>
      <c r="BC860" s="29">
        <v>620</v>
      </c>
      <c r="BD860" s="29">
        <v>1100</v>
      </c>
      <c r="BE860" s="29">
        <v>1600</v>
      </c>
      <c r="BG860" s="8">
        <f>+BD860</f>
        <v>1100</v>
      </c>
      <c r="BH860" s="8">
        <f>+BE860</f>
        <v>1600</v>
      </c>
      <c r="BI860" s="29">
        <v>2400</v>
      </c>
      <c r="BJ860" s="29">
        <v>2400</v>
      </c>
      <c r="BK860" s="956" t="s">
        <v>271</v>
      </c>
      <c r="BL860" s="956" t="s">
        <v>271</v>
      </c>
      <c r="BM860" s="956" t="s">
        <v>271</v>
      </c>
      <c r="BN860" s="956" t="s">
        <v>271</v>
      </c>
      <c r="BO860" s="956" t="s">
        <v>271</v>
      </c>
      <c r="BP860" s="8"/>
    </row>
    <row r="861" spans="2:68">
      <c r="B861" s="843" t="s">
        <v>567</v>
      </c>
      <c r="D861" s="41" t="s">
        <v>271</v>
      </c>
      <c r="E861" s="41" t="s">
        <v>271</v>
      </c>
      <c r="F861" s="41" t="s">
        <v>271</v>
      </c>
      <c r="G861" s="41" t="s">
        <v>271</v>
      </c>
      <c r="H861" s="41" t="s">
        <v>271</v>
      </c>
      <c r="I861" s="41" t="s">
        <v>271</v>
      </c>
      <c r="J861" s="41" t="s">
        <v>271</v>
      </c>
      <c r="K861" s="955" t="s">
        <v>271</v>
      </c>
      <c r="L861" s="41" t="s">
        <v>271</v>
      </c>
      <c r="M861" s="41" t="s">
        <v>271</v>
      </c>
      <c r="N861" s="41" t="s">
        <v>271</v>
      </c>
      <c r="O861" s="955" t="s">
        <v>271</v>
      </c>
      <c r="P861" s="41" t="s">
        <v>271</v>
      </c>
      <c r="Q861" s="41" t="s">
        <v>271</v>
      </c>
      <c r="R861" s="41" t="s">
        <v>271</v>
      </c>
      <c r="S861" s="955" t="s">
        <v>271</v>
      </c>
      <c r="T861" s="41" t="s">
        <v>271</v>
      </c>
      <c r="U861" s="41" t="s">
        <v>271</v>
      </c>
      <c r="V861" s="41" t="s">
        <v>271</v>
      </c>
      <c r="W861" s="41" t="s">
        <v>271</v>
      </c>
      <c r="X861" s="41" t="s">
        <v>271</v>
      </c>
      <c r="Y861" s="41" t="s">
        <v>271</v>
      </c>
      <c r="Z861" s="41" t="s">
        <v>271</v>
      </c>
      <c r="AA861" s="41" t="s">
        <v>271</v>
      </c>
      <c r="AB861" s="41" t="s">
        <v>271</v>
      </c>
      <c r="AC861" s="41" t="s">
        <v>271</v>
      </c>
      <c r="AD861" s="41" t="s">
        <v>271</v>
      </c>
      <c r="AE861" s="41" t="s">
        <v>271</v>
      </c>
      <c r="AF861" s="41" t="s">
        <v>271</v>
      </c>
      <c r="AG861" s="41" t="s">
        <v>271</v>
      </c>
      <c r="AH861" s="41" t="s">
        <v>271</v>
      </c>
      <c r="AI861" s="41" t="s">
        <v>271</v>
      </c>
      <c r="AJ861" s="41" t="s">
        <v>271</v>
      </c>
      <c r="AK861" s="41" t="s">
        <v>271</v>
      </c>
      <c r="AL861" s="41" t="s">
        <v>271</v>
      </c>
      <c r="AM861" s="41" t="s">
        <v>271</v>
      </c>
      <c r="AN861" s="29"/>
      <c r="AO861" s="29"/>
      <c r="AP861" s="29"/>
      <c r="AQ861" s="29"/>
      <c r="AR861" s="29"/>
      <c r="AS861" s="29">
        <v>4330</v>
      </c>
      <c r="AT861" s="29">
        <v>4800</v>
      </c>
      <c r="AU861" s="29">
        <v>5200</v>
      </c>
      <c r="AV861" s="29">
        <v>5400</v>
      </c>
      <c r="AW861" s="29">
        <v>6600</v>
      </c>
      <c r="AX861" s="29">
        <v>4100</v>
      </c>
      <c r="AY861" s="29">
        <v>5300</v>
      </c>
      <c r="AZ861" s="29">
        <v>3500</v>
      </c>
      <c r="BA861" s="29">
        <v>3900</v>
      </c>
      <c r="BB861" s="29">
        <v>5500</v>
      </c>
      <c r="BC861" s="29">
        <v>4400</v>
      </c>
      <c r="BD861" s="29">
        <v>3900</v>
      </c>
      <c r="BE861" s="29">
        <v>2400</v>
      </c>
      <c r="BG861" s="8">
        <f>+BD861</f>
        <v>3900</v>
      </c>
      <c r="BH861" s="8">
        <f>+BE861</f>
        <v>2400</v>
      </c>
      <c r="BI861" s="29">
        <v>5500</v>
      </c>
      <c r="BJ861" s="29">
        <v>8400</v>
      </c>
      <c r="BK861" s="29">
        <v>12500</v>
      </c>
      <c r="BL861" s="29">
        <v>13400</v>
      </c>
      <c r="BM861" s="29">
        <v>16000</v>
      </c>
      <c r="BN861" s="956">
        <v>23100</v>
      </c>
      <c r="BO861" s="956">
        <v>23400</v>
      </c>
      <c r="BP861" s="8"/>
    </row>
    <row r="862" spans="2:68">
      <c r="K862" s="100"/>
      <c r="O862" s="100"/>
      <c r="S862" s="11"/>
      <c r="AM862" s="29"/>
      <c r="AN862" s="29"/>
      <c r="AO862" s="29"/>
      <c r="AP862" s="29"/>
      <c r="AQ862" s="29"/>
      <c r="AR862" s="29"/>
      <c r="BI862" s="8"/>
      <c r="BK862" s="8"/>
      <c r="BL862" s="100"/>
    </row>
    <row r="863" spans="2:68" s="100" customFormat="1" ht="10.5">
      <c r="B863" s="958" t="s">
        <v>568</v>
      </c>
      <c r="AM863" s="29"/>
      <c r="AN863" s="29"/>
      <c r="AO863" s="29"/>
      <c r="AP863" s="29"/>
      <c r="AQ863" s="29"/>
      <c r="AR863" s="29"/>
    </row>
    <row r="864" spans="2:68" s="100" customFormat="1">
      <c r="B864" s="100" t="s">
        <v>569</v>
      </c>
      <c r="D864" s="11"/>
      <c r="E864" s="11"/>
      <c r="F864" s="11"/>
      <c r="G864" s="11"/>
      <c r="H864" s="11">
        <f t="shared" ref="H864:AM864" si="3874">+H114</f>
        <v>3953.55</v>
      </c>
      <c r="I864" s="11">
        <f t="shared" si="3874"/>
        <v>4880.3</v>
      </c>
      <c r="J864" s="11">
        <f t="shared" si="3874"/>
        <v>4964.1000000000004</v>
      </c>
      <c r="K864" s="11">
        <f t="shared" si="3874"/>
        <v>4414.6000000000004</v>
      </c>
      <c r="L864" s="11">
        <f t="shared" si="3874"/>
        <v>4988.6000000000004</v>
      </c>
      <c r="M864" s="11">
        <f t="shared" si="3874"/>
        <v>5195.8500000000004</v>
      </c>
      <c r="N864" s="11">
        <f t="shared" si="3874"/>
        <v>6036.39</v>
      </c>
      <c r="O864" s="11">
        <f t="shared" si="3874"/>
        <v>6853.2000000000007</v>
      </c>
      <c r="P864" s="11">
        <f t="shared" si="3874"/>
        <v>6611.59</v>
      </c>
      <c r="Q864" s="11">
        <f t="shared" si="3874"/>
        <v>7299.15</v>
      </c>
      <c r="R864" s="11">
        <f t="shared" si="3874"/>
        <v>7809.9400000000005</v>
      </c>
      <c r="S864" s="11">
        <f t="shared" si="3874"/>
        <v>7574.84</v>
      </c>
      <c r="T864" s="11">
        <f t="shared" si="3874"/>
        <v>8192.94</v>
      </c>
      <c r="U864" s="11">
        <f t="shared" si="3874"/>
        <v>9830.15</v>
      </c>
      <c r="V864" s="11">
        <f t="shared" si="3874"/>
        <v>9363.9700000000012</v>
      </c>
      <c r="W864" s="11">
        <f t="shared" si="3874"/>
        <v>8307.380000000001</v>
      </c>
      <c r="X864" s="11">
        <f t="shared" si="3874"/>
        <v>9882.9599999999991</v>
      </c>
      <c r="Y864" s="11">
        <f t="shared" si="3874"/>
        <v>11847.23</v>
      </c>
      <c r="Z864" s="11">
        <f t="shared" si="3874"/>
        <v>10552.44</v>
      </c>
      <c r="AA864" s="11">
        <f t="shared" si="3874"/>
        <v>11373.95</v>
      </c>
      <c r="AB864" s="11">
        <f t="shared" si="3874"/>
        <v>12025.96</v>
      </c>
      <c r="AC864" s="11">
        <f t="shared" si="3874"/>
        <v>14482.85</v>
      </c>
      <c r="AD864" s="11">
        <f t="shared" si="3874"/>
        <v>13423.1</v>
      </c>
      <c r="AE864" s="11">
        <f t="shared" si="3874"/>
        <v>11463.73</v>
      </c>
      <c r="AF864" s="11">
        <f t="shared" si="3874"/>
        <v>13231.880000000001</v>
      </c>
      <c r="AG864" s="11">
        <f t="shared" si="3874"/>
        <v>13840.900000000001</v>
      </c>
      <c r="AH864" s="11">
        <f t="shared" si="3874"/>
        <v>13660.67</v>
      </c>
      <c r="AI864" s="11">
        <f t="shared" si="3874"/>
        <v>12708.33</v>
      </c>
      <c r="AJ864" s="11">
        <f t="shared" si="3874"/>
        <v>14275.36</v>
      </c>
      <c r="AK864" s="11">
        <f t="shared" si="3874"/>
        <v>15912.24</v>
      </c>
      <c r="AL864" s="11">
        <f t="shared" si="3874"/>
        <v>13354.630000000001</v>
      </c>
      <c r="AM864" s="11">
        <f t="shared" si="3874"/>
        <v>9090.4837499999994</v>
      </c>
      <c r="AN864" s="29"/>
      <c r="AO864" s="29"/>
      <c r="AP864" s="29"/>
      <c r="AQ864" s="29"/>
      <c r="AR864" s="29"/>
      <c r="AS864" s="11"/>
      <c r="AT864" s="11"/>
      <c r="AU864" s="11">
        <f t="shared" ref="AU864:BE864" si="3875">+AU114</f>
        <v>12241.650000000001</v>
      </c>
      <c r="AV864" s="11">
        <f t="shared" si="3875"/>
        <v>14353.1</v>
      </c>
      <c r="AW864" s="11">
        <f t="shared" si="3875"/>
        <v>12326.650000000001</v>
      </c>
      <c r="AX864" s="11">
        <f t="shared" si="3875"/>
        <v>16954.45</v>
      </c>
      <c r="AY864" s="11">
        <f t="shared" si="3875"/>
        <v>18657.150000000001</v>
      </c>
      <c r="AZ864" s="11">
        <f t="shared" si="3875"/>
        <v>19701</v>
      </c>
      <c r="BA864" s="11">
        <f t="shared" si="3875"/>
        <v>17018.25</v>
      </c>
      <c r="BB864" s="11">
        <f t="shared" si="3875"/>
        <v>17892.550000000003</v>
      </c>
      <c r="BC864" s="11">
        <f t="shared" si="3875"/>
        <v>18549.7</v>
      </c>
      <c r="BD864" s="11">
        <f t="shared" si="3875"/>
        <v>18484.95</v>
      </c>
      <c r="BE864" s="11">
        <f t="shared" si="3875"/>
        <v>19460.849999999999</v>
      </c>
      <c r="BG864" s="11">
        <f t="shared" ref="BG864:BO864" si="3876">+BG114</f>
        <v>15108.85</v>
      </c>
      <c r="BH864" s="11">
        <f t="shared" si="3876"/>
        <v>18212.550000000003</v>
      </c>
      <c r="BI864" s="11">
        <f t="shared" si="3876"/>
        <v>23074.04</v>
      </c>
      <c r="BJ864" s="11">
        <f t="shared" si="3876"/>
        <v>29295.52</v>
      </c>
      <c r="BK864" s="11">
        <f t="shared" si="3876"/>
        <v>35694.44</v>
      </c>
      <c r="BL864" s="11">
        <f t="shared" si="3876"/>
        <v>43656.58</v>
      </c>
      <c r="BM864" s="11">
        <f t="shared" si="3876"/>
        <v>51395.64</v>
      </c>
      <c r="BN864" s="11">
        <f t="shared" si="3876"/>
        <v>53441.78</v>
      </c>
      <c r="BO864" s="11">
        <f t="shared" si="3876"/>
        <v>52632.713749999995</v>
      </c>
      <c r="BP864" s="11"/>
    </row>
    <row r="865" spans="2:68" s="100" customFormat="1">
      <c r="B865" s="100" t="s">
        <v>142</v>
      </c>
      <c r="D865" s="11"/>
      <c r="E865" s="11"/>
      <c r="F865" s="11"/>
      <c r="G865" s="11"/>
      <c r="H865" s="11">
        <f t="shared" ref="H865:AJ865" si="3877">+H819</f>
        <v>703</v>
      </c>
      <c r="I865" s="11">
        <f t="shared" si="3877"/>
        <v>767</v>
      </c>
      <c r="J865" s="11">
        <f t="shared" si="3877"/>
        <v>883</v>
      </c>
      <c r="K865" s="11">
        <f t="shared" si="3877"/>
        <v>913</v>
      </c>
      <c r="L865" s="11">
        <f t="shared" si="3877"/>
        <v>973</v>
      </c>
      <c r="M865" s="11">
        <f t="shared" si="3877"/>
        <v>986</v>
      </c>
      <c r="N865" s="11">
        <f t="shared" si="3877"/>
        <v>969</v>
      </c>
      <c r="O865" s="11">
        <f t="shared" si="3877"/>
        <v>1012</v>
      </c>
      <c r="P865" s="11">
        <f t="shared" si="3877"/>
        <v>1107</v>
      </c>
      <c r="Q865" s="11">
        <f t="shared" si="3877"/>
        <v>1183</v>
      </c>
      <c r="R865" s="11">
        <f t="shared" si="3877"/>
        <v>1172</v>
      </c>
      <c r="S865" s="11">
        <f t="shared" si="3877"/>
        <v>1190</v>
      </c>
      <c r="T865" s="11">
        <f t="shared" si="3877"/>
        <v>1262</v>
      </c>
      <c r="U865" s="11">
        <f t="shared" si="3877"/>
        <v>1340</v>
      </c>
      <c r="V865" s="11">
        <f t="shared" si="3877"/>
        <v>1338</v>
      </c>
      <c r="W865" s="11">
        <f t="shared" si="3877"/>
        <v>1349</v>
      </c>
      <c r="X865" s="11">
        <f t="shared" si="3877"/>
        <v>1456</v>
      </c>
      <c r="Y865" s="11">
        <f t="shared" si="3877"/>
        <v>1566</v>
      </c>
      <c r="Z865" s="11">
        <f t="shared" si="3877"/>
        <v>1525</v>
      </c>
      <c r="AA865" s="11">
        <f t="shared" si="3877"/>
        <v>1571</v>
      </c>
      <c r="AB865" s="11">
        <f t="shared" si="3877"/>
        <v>1702</v>
      </c>
      <c r="AC865" s="11">
        <f t="shared" si="3877"/>
        <v>1897</v>
      </c>
      <c r="AD865" s="11">
        <f t="shared" si="3877"/>
        <v>1906</v>
      </c>
      <c r="AE865" s="11">
        <f t="shared" si="3877"/>
        <v>1997</v>
      </c>
      <c r="AF865" s="11">
        <f t="shared" si="3877"/>
        <v>2192</v>
      </c>
      <c r="AG865" s="11">
        <f t="shared" si="3877"/>
        <v>2538</v>
      </c>
      <c r="AH865" s="11">
        <f t="shared" si="3877"/>
        <v>2465</v>
      </c>
      <c r="AI865" s="11">
        <f t="shared" si="3877"/>
        <v>2416</v>
      </c>
      <c r="AJ865" s="11">
        <f t="shared" si="3877"/>
        <v>2507</v>
      </c>
      <c r="AK865" s="11">
        <f t="shared" ref="AK865:AL865" si="3878">+AK819</f>
        <v>2828</v>
      </c>
      <c r="AL865" s="11">
        <f t="shared" si="3878"/>
        <v>2703</v>
      </c>
      <c r="AM865" s="11">
        <f t="shared" ref="AM865" si="3879">+AM819</f>
        <v>2696</v>
      </c>
      <c r="AN865" s="29"/>
      <c r="AO865" s="29"/>
      <c r="AP865" s="29"/>
      <c r="AQ865" s="29"/>
      <c r="AR865" s="29"/>
      <c r="AS865" s="11"/>
      <c r="AT865" s="11"/>
      <c r="AU865" s="11">
        <f t="shared" ref="AU865:BE865" si="3880">+AU819</f>
        <v>1550</v>
      </c>
      <c r="AV865" s="11">
        <f t="shared" si="3880"/>
        <v>1479</v>
      </c>
      <c r="AW865" s="11">
        <f t="shared" si="3880"/>
        <v>1708</v>
      </c>
      <c r="AX865" s="11">
        <f t="shared" si="3880"/>
        <v>1891</v>
      </c>
      <c r="AY865" s="11">
        <f t="shared" si="3880"/>
        <v>2166</v>
      </c>
      <c r="AZ865" s="11">
        <f t="shared" si="3880"/>
        <v>2244</v>
      </c>
      <c r="BA865" s="11">
        <f t="shared" si="3880"/>
        <v>2406</v>
      </c>
      <c r="BB865" s="11">
        <f t="shared" si="3880"/>
        <v>2446</v>
      </c>
      <c r="BC865" s="11">
        <f t="shared" si="3880"/>
        <v>2574</v>
      </c>
      <c r="BD865" s="11">
        <f t="shared" si="3880"/>
        <v>2668</v>
      </c>
      <c r="BE865" s="11">
        <f t="shared" si="3880"/>
        <v>3266</v>
      </c>
      <c r="BG865" s="11">
        <f t="shared" ref="BG865:BN865" si="3881">+BG819</f>
        <v>2668</v>
      </c>
      <c r="BH865" s="11">
        <f t="shared" si="3881"/>
        <v>3266</v>
      </c>
      <c r="BI865" s="11">
        <f t="shared" si="3881"/>
        <v>3940</v>
      </c>
      <c r="BJ865" s="11">
        <f t="shared" si="3881"/>
        <v>4652</v>
      </c>
      <c r="BK865" s="11">
        <f t="shared" si="3881"/>
        <v>5289</v>
      </c>
      <c r="BL865" s="11">
        <f t="shared" si="3881"/>
        <v>6118</v>
      </c>
      <c r="BM865" s="11">
        <f t="shared" si="3881"/>
        <v>7502</v>
      </c>
      <c r="BN865" s="11">
        <f t="shared" si="3881"/>
        <v>9611</v>
      </c>
      <c r="BO865" s="11">
        <f t="shared" ref="BO865" si="3882">+BO819</f>
        <v>10734</v>
      </c>
      <c r="BP865" s="11"/>
    </row>
    <row r="866" spans="2:68" s="100" customFormat="1">
      <c r="B866" s="100" t="s">
        <v>312</v>
      </c>
      <c r="D866" s="11"/>
      <c r="E866" s="11"/>
      <c r="F866" s="11"/>
      <c r="G866" s="11"/>
      <c r="H866" s="857" t="s">
        <v>271</v>
      </c>
      <c r="I866" s="857" t="s">
        <v>271</v>
      </c>
      <c r="J866" s="857" t="s">
        <v>271</v>
      </c>
      <c r="K866" s="857" t="s">
        <v>271</v>
      </c>
      <c r="L866" s="857" t="s">
        <v>271</v>
      </c>
      <c r="M866" s="857" t="s">
        <v>271</v>
      </c>
      <c r="N866" s="857" t="s">
        <v>271</v>
      </c>
      <c r="O866" s="857" t="s">
        <v>271</v>
      </c>
      <c r="P866" s="857" t="s">
        <v>271</v>
      </c>
      <c r="Q866" s="857" t="s">
        <v>271</v>
      </c>
      <c r="R866" s="857" t="s">
        <v>271</v>
      </c>
      <c r="S866" s="857" t="s">
        <v>271</v>
      </c>
      <c r="T866" s="857" t="s">
        <v>271</v>
      </c>
      <c r="U866" s="857" t="s">
        <v>271</v>
      </c>
      <c r="V866" s="857" t="s">
        <v>271</v>
      </c>
      <c r="W866" s="857" t="s">
        <v>271</v>
      </c>
      <c r="X866" s="857" t="s">
        <v>271</v>
      </c>
      <c r="Y866" s="857" t="s">
        <v>271</v>
      </c>
      <c r="Z866" s="857" t="s">
        <v>271</v>
      </c>
      <c r="AA866" s="857" t="s">
        <v>271</v>
      </c>
      <c r="AB866" s="857" t="s">
        <v>271</v>
      </c>
      <c r="AC866" s="857" t="s">
        <v>271</v>
      </c>
      <c r="AD866" s="857" t="s">
        <v>271</v>
      </c>
      <c r="AE866" s="857" t="s">
        <v>271</v>
      </c>
      <c r="AF866" s="857" t="s">
        <v>271</v>
      </c>
      <c r="AG866" s="857" t="s">
        <v>271</v>
      </c>
      <c r="AH866" s="857" t="s">
        <v>271</v>
      </c>
      <c r="AI866" s="857" t="s">
        <v>271</v>
      </c>
      <c r="AJ866" s="857" t="s">
        <v>271</v>
      </c>
      <c r="AK866" s="857" t="s">
        <v>271</v>
      </c>
      <c r="AL866" s="857" t="s">
        <v>271</v>
      </c>
      <c r="AM866" s="857" t="s">
        <v>271</v>
      </c>
      <c r="AN866" s="29"/>
      <c r="AO866" s="29"/>
      <c r="AP866" s="29"/>
      <c r="AQ866" s="29"/>
      <c r="AR866" s="29"/>
      <c r="AS866" s="11"/>
      <c r="AT866" s="11"/>
      <c r="AU866" s="11">
        <f t="shared" ref="AU866:BE866" si="3883">AU119</f>
        <v>1835.3499999999995</v>
      </c>
      <c r="AV866" s="11">
        <f t="shared" si="3883"/>
        <v>2934.8999999999996</v>
      </c>
      <c r="AW866" s="11">
        <f t="shared" si="3883"/>
        <v>337.34999999999945</v>
      </c>
      <c r="AX866" s="11">
        <f t="shared" si="3883"/>
        <v>4654.5499999999993</v>
      </c>
      <c r="AY866" s="11">
        <f t="shared" si="3883"/>
        <v>4524.8499999999985</v>
      </c>
      <c r="AZ866" s="11">
        <f t="shared" si="3883"/>
        <v>6461</v>
      </c>
      <c r="BA866" s="11">
        <f t="shared" si="3883"/>
        <v>5824.75</v>
      </c>
      <c r="BB866" s="11">
        <f t="shared" si="3883"/>
        <v>4281.4499999999989</v>
      </c>
      <c r="BC866" s="11">
        <f t="shared" si="3883"/>
        <v>5581.2999999999993</v>
      </c>
      <c r="BD866" s="11">
        <f t="shared" si="3883"/>
        <v>3703.0499999999993</v>
      </c>
      <c r="BE866" s="11">
        <f t="shared" si="3883"/>
        <v>5233.1499999999996</v>
      </c>
      <c r="BG866" s="11">
        <f t="shared" ref="BG866:BO866" si="3884">BG119</f>
        <v>5462.15</v>
      </c>
      <c r="BH866" s="11">
        <f t="shared" si="3884"/>
        <v>8172.4499999999989</v>
      </c>
      <c r="BI866" s="11">
        <f t="shared" si="3884"/>
        <v>4560.9599999999991</v>
      </c>
      <c r="BJ866" s="11">
        <f t="shared" si="3884"/>
        <v>774.47999999999956</v>
      </c>
      <c r="BK866" s="11">
        <f t="shared" si="3884"/>
        <v>-1362.4400000000023</v>
      </c>
      <c r="BL866" s="11">
        <f t="shared" si="3884"/>
        <v>1531.4199999999983</v>
      </c>
      <c r="BM866" s="11">
        <f t="shared" si="3884"/>
        <v>1580.3599999999969</v>
      </c>
      <c r="BN866" s="11">
        <f t="shared" si="3884"/>
        <v>-4098.7799999999988</v>
      </c>
      <c r="BO866" s="11">
        <f t="shared" si="3884"/>
        <v>-508.71374999999898</v>
      </c>
      <c r="BP866" s="11"/>
    </row>
    <row r="867" spans="2:68" s="852" customFormat="1">
      <c r="B867" t="s">
        <v>198</v>
      </c>
      <c r="D867" s="939"/>
      <c r="E867" s="939"/>
      <c r="F867" s="939"/>
      <c r="G867" s="939"/>
      <c r="H867" s="940">
        <f>+H868-H865-H864</f>
        <v>4592.45</v>
      </c>
      <c r="I867" s="940">
        <f t="shared" ref="I867:V867" si="3885">+I868-I865-I864</f>
        <v>-1854.3000000000002</v>
      </c>
      <c r="J867" s="940">
        <f t="shared" si="3885"/>
        <v>2712.8999999999996</v>
      </c>
      <c r="K867" s="940">
        <f t="shared" si="3885"/>
        <v>2377.3999999999996</v>
      </c>
      <c r="L867" s="940">
        <f t="shared" si="3885"/>
        <v>3778.3999999999996</v>
      </c>
      <c r="M867" s="940">
        <f t="shared" si="3885"/>
        <v>-1606.8500000000004</v>
      </c>
      <c r="N867" s="940">
        <f t="shared" si="3885"/>
        <v>1645.6099999999997</v>
      </c>
      <c r="O867" s="940">
        <f t="shared" si="3885"/>
        <v>-547.20000000000073</v>
      </c>
      <c r="P867" s="940">
        <f t="shared" si="3885"/>
        <v>1638.4099999999999</v>
      </c>
      <c r="Q867" s="940">
        <f t="shared" si="3885"/>
        <v>-3482.1499999999996</v>
      </c>
      <c r="R867" s="940">
        <f t="shared" si="3885"/>
        <v>1138.0599999999995</v>
      </c>
      <c r="S867" s="940">
        <f t="shared" si="3885"/>
        <v>2043.1599999999999</v>
      </c>
      <c r="T867" s="940">
        <f t="shared" si="3885"/>
        <v>-436.94000000000051</v>
      </c>
      <c r="U867" s="940">
        <f t="shared" si="3885"/>
        <v>-4990.1499999999996</v>
      </c>
      <c r="V867" s="940">
        <f t="shared" si="3885"/>
        <v>2902.0299999999988</v>
      </c>
      <c r="W867" s="940">
        <f t="shared" ref="W867:X867" si="3886">+W868-W865-W864</f>
        <v>3216.619999999999</v>
      </c>
      <c r="X867" s="940">
        <f t="shared" si="3886"/>
        <v>2496.0400000000009</v>
      </c>
      <c r="Y867" s="940">
        <f t="shared" ref="Y867:Z867" si="3887">+Y868-Y865-Y864</f>
        <v>-6297.23</v>
      </c>
      <c r="Z867" s="940">
        <f t="shared" si="3887"/>
        <v>4101.5599999999995</v>
      </c>
      <c r="AA867" s="940">
        <f t="shared" ref="AA867:AB867" si="3888">+AA868-AA865-AA864</f>
        <v>2465.0499999999993</v>
      </c>
      <c r="AB867" s="940">
        <f t="shared" si="3888"/>
        <v>3412.0400000000009</v>
      </c>
      <c r="AC867" s="940">
        <f t="shared" ref="AC867:AD867" si="3889">+AC868-AC865-AC864</f>
        <v>-8699.85</v>
      </c>
      <c r="AD867" s="940">
        <f t="shared" si="3889"/>
        <v>3756.8999999999996</v>
      </c>
      <c r="AE867" s="940">
        <f t="shared" ref="AE867:AF867" si="3890">+AE868-AE865-AE864</f>
        <v>2468.2700000000004</v>
      </c>
      <c r="AF867" s="940">
        <f t="shared" si="3890"/>
        <v>1174.119999999999</v>
      </c>
      <c r="AG867" s="940">
        <f t="shared" ref="AG867:AH867" si="3891">+AG868-AG865-AG864</f>
        <v>-12005.900000000001</v>
      </c>
      <c r="AH867" s="940">
        <f t="shared" si="3891"/>
        <v>515.32999999999993</v>
      </c>
      <c r="AI867" s="940">
        <f t="shared" ref="AI867:AJ867" si="3892">+AI868-AI865-AI864</f>
        <v>2945.67</v>
      </c>
      <c r="AJ867" s="940">
        <f t="shared" si="3892"/>
        <v>2600.6399999999994</v>
      </c>
      <c r="AK867" s="940">
        <f t="shared" ref="AK867:AL867" si="3893">+AK868-AK865-AK864</f>
        <v>-11387.24</v>
      </c>
      <c r="AL867" s="940">
        <f t="shared" si="3893"/>
        <v>1859.369999999999</v>
      </c>
      <c r="AM867" s="940">
        <f t="shared" ref="AM867" si="3894">+AM868-AM865-AM864</f>
        <v>6408.5162500000006</v>
      </c>
      <c r="AN867" s="29"/>
      <c r="AO867" s="29"/>
      <c r="AP867" s="29"/>
      <c r="AQ867" s="29"/>
      <c r="AR867" s="29"/>
      <c r="AS867" s="939"/>
      <c r="AT867" s="939"/>
      <c r="AU867" s="940">
        <f>+AU868-AU865-AU864-AU866</f>
        <v>-95.000000000000909</v>
      </c>
      <c r="AV867" s="940">
        <f t="shared" ref="AV867:BE867" si="3895">+AV868-AV865-AV864-AV866</f>
        <v>-337</v>
      </c>
      <c r="AW867" s="940">
        <f t="shared" si="3895"/>
        <v>1545.9999999999991</v>
      </c>
      <c r="AX867" s="940">
        <f t="shared" si="3895"/>
        <v>-1404</v>
      </c>
      <c r="AY867" s="940">
        <f t="shared" si="3895"/>
        <v>-709</v>
      </c>
      <c r="AZ867" s="940">
        <f t="shared" si="3895"/>
        <v>915</v>
      </c>
      <c r="BA867" s="940">
        <f t="shared" si="3895"/>
        <v>-673</v>
      </c>
      <c r="BB867" s="940">
        <f t="shared" si="3895"/>
        <v>2396.9999999999982</v>
      </c>
      <c r="BC867" s="940">
        <f t="shared" si="3895"/>
        <v>-2981</v>
      </c>
      <c r="BD867" s="940">
        <f t="shared" si="3895"/>
        <v>-431</v>
      </c>
      <c r="BE867" s="940">
        <f t="shared" si="3895"/>
        <v>1347.0000000000018</v>
      </c>
      <c r="BG867" s="940">
        <f>+BG868-BG865-BG864-BG866</f>
        <v>1186</v>
      </c>
      <c r="BH867" s="940">
        <f t="shared" ref="BH867:BJ867" si="3896">+BH868-BH865-BH864-BH866</f>
        <v>-344.00000000000182</v>
      </c>
      <c r="BI867" s="940">
        <f t="shared" si="3896"/>
        <v>-1291</v>
      </c>
      <c r="BJ867" s="940">
        <f t="shared" si="3896"/>
        <v>563</v>
      </c>
      <c r="BK867" s="940">
        <f t="shared" ref="BK867" si="3897">+BK868-BK865-BK864-BK866</f>
        <v>2054</v>
      </c>
      <c r="BL867" s="940">
        <f t="shared" ref="BL867:BM867" si="3898">+BL868-BL865-BL864</f>
        <v>2765.4199999999983</v>
      </c>
      <c r="BM867" s="940">
        <f t="shared" si="3898"/>
        <v>937.36000000000058</v>
      </c>
      <c r="BN867" s="940">
        <f t="shared" ref="BN867:BO867" si="3899">+BN868-BN865-BN864</f>
        <v>-7370.7799999999988</v>
      </c>
      <c r="BO867" s="940">
        <f t="shared" si="3899"/>
        <v>-518.71374999999534</v>
      </c>
      <c r="BP867" s="939"/>
    </row>
    <row r="868" spans="2:68" s="1" customFormat="1" ht="10.5">
      <c r="B868" s="837" t="s">
        <v>145</v>
      </c>
      <c r="D868" s="838"/>
      <c r="E868" s="838"/>
      <c r="F868" s="838"/>
      <c r="G868" s="838"/>
      <c r="H868" s="838">
        <f t="shared" ref="H868:AJ868" si="3900">+H832-H873</f>
        <v>9249</v>
      </c>
      <c r="I868" s="838">
        <f t="shared" si="3900"/>
        <v>3793</v>
      </c>
      <c r="J868" s="838">
        <f t="shared" si="3900"/>
        <v>8560</v>
      </c>
      <c r="K868" s="838">
        <f t="shared" si="3900"/>
        <v>7705</v>
      </c>
      <c r="L868" s="838">
        <f t="shared" si="3900"/>
        <v>9740</v>
      </c>
      <c r="M868" s="838">
        <f t="shared" si="3900"/>
        <v>4575</v>
      </c>
      <c r="N868" s="838">
        <f t="shared" si="3900"/>
        <v>8651</v>
      </c>
      <c r="O868" s="838">
        <f t="shared" si="3900"/>
        <v>7318</v>
      </c>
      <c r="P868" s="838">
        <f t="shared" si="3900"/>
        <v>9357</v>
      </c>
      <c r="Q868" s="838">
        <f t="shared" si="3900"/>
        <v>5000</v>
      </c>
      <c r="R868" s="838">
        <f t="shared" si="3900"/>
        <v>10120</v>
      </c>
      <c r="S868" s="838">
        <f t="shared" si="3900"/>
        <v>10808</v>
      </c>
      <c r="T868" s="838">
        <f t="shared" si="3900"/>
        <v>9018</v>
      </c>
      <c r="U868" s="838">
        <f t="shared" si="3900"/>
        <v>6180</v>
      </c>
      <c r="V868" s="838">
        <f t="shared" si="3900"/>
        <v>13604</v>
      </c>
      <c r="W868" s="838">
        <f t="shared" si="3900"/>
        <v>12873</v>
      </c>
      <c r="X868" s="838">
        <f t="shared" si="3900"/>
        <v>13835</v>
      </c>
      <c r="Y868" s="838">
        <f t="shared" si="3900"/>
        <v>7116</v>
      </c>
      <c r="Z868" s="838">
        <f t="shared" si="3900"/>
        <v>16179</v>
      </c>
      <c r="AA868" s="838">
        <f t="shared" si="3900"/>
        <v>15410</v>
      </c>
      <c r="AB868" s="838">
        <f t="shared" si="3900"/>
        <v>17140</v>
      </c>
      <c r="AC868" s="838">
        <f t="shared" si="3900"/>
        <v>7680</v>
      </c>
      <c r="AD868" s="838">
        <f t="shared" si="3900"/>
        <v>19086</v>
      </c>
      <c r="AE868" s="838">
        <f t="shared" si="3900"/>
        <v>15929</v>
      </c>
      <c r="AF868" s="838">
        <f t="shared" si="3900"/>
        <v>16598</v>
      </c>
      <c r="AG868" s="838">
        <f t="shared" si="3900"/>
        <v>4373</v>
      </c>
      <c r="AH868" s="838">
        <f t="shared" si="3900"/>
        <v>16641</v>
      </c>
      <c r="AI868" s="838">
        <f t="shared" si="3900"/>
        <v>18070</v>
      </c>
      <c r="AJ868" s="838">
        <f t="shared" si="3900"/>
        <v>19383</v>
      </c>
      <c r="AK868" s="838">
        <f t="shared" ref="AK868:AL868" si="3901">+AK832-AK873</f>
        <v>7353</v>
      </c>
      <c r="AL868" s="838">
        <f t="shared" si="3901"/>
        <v>17917</v>
      </c>
      <c r="AM868" s="838">
        <f t="shared" ref="AM868" si="3902">+AM832-AM873</f>
        <v>18195</v>
      </c>
      <c r="AN868" s="29"/>
      <c r="AO868" s="29"/>
      <c r="AP868" s="29"/>
      <c r="AQ868" s="29"/>
      <c r="AR868" s="29"/>
      <c r="AS868" s="838"/>
      <c r="AT868" s="838"/>
      <c r="AU868" s="838">
        <f t="shared" ref="AU868:BE868" si="3903">+AU832-AU873</f>
        <v>15532</v>
      </c>
      <c r="AV868" s="838">
        <f t="shared" si="3903"/>
        <v>18430</v>
      </c>
      <c r="AW868" s="838">
        <f t="shared" si="3903"/>
        <v>15918</v>
      </c>
      <c r="AX868" s="838">
        <f t="shared" si="3903"/>
        <v>22096</v>
      </c>
      <c r="AY868" s="838">
        <f t="shared" si="3903"/>
        <v>24639</v>
      </c>
      <c r="AZ868" s="838">
        <f t="shared" si="3903"/>
        <v>29321</v>
      </c>
      <c r="BA868" s="838">
        <f t="shared" si="3903"/>
        <v>24576</v>
      </c>
      <c r="BB868" s="838">
        <f t="shared" si="3903"/>
        <v>27017</v>
      </c>
      <c r="BC868" s="838">
        <f t="shared" si="3903"/>
        <v>23724</v>
      </c>
      <c r="BD868" s="838">
        <f t="shared" si="3903"/>
        <v>24425</v>
      </c>
      <c r="BE868" s="838">
        <f t="shared" si="3903"/>
        <v>29307</v>
      </c>
      <c r="BG868" s="838">
        <f t="shared" ref="BG868:BN868" si="3904">+BG832-BG873</f>
        <v>24425</v>
      </c>
      <c r="BH868" s="838">
        <f t="shared" si="3904"/>
        <v>29307</v>
      </c>
      <c r="BI868" s="838">
        <f t="shared" si="3904"/>
        <v>30284</v>
      </c>
      <c r="BJ868" s="838">
        <f t="shared" si="3904"/>
        <v>35285</v>
      </c>
      <c r="BK868" s="838">
        <f t="shared" si="3904"/>
        <v>41675</v>
      </c>
      <c r="BL868" s="838">
        <f t="shared" si="3904"/>
        <v>52540</v>
      </c>
      <c r="BM868" s="838">
        <f t="shared" si="3904"/>
        <v>59835</v>
      </c>
      <c r="BN868" s="838">
        <f t="shared" si="3904"/>
        <v>55682</v>
      </c>
      <c r="BO868" s="838">
        <f t="shared" ref="BO868" si="3905">+BO832-BO873</f>
        <v>62848</v>
      </c>
      <c r="BP868" s="838"/>
    </row>
    <row r="869" spans="2:68" s="1" customFormat="1" ht="10.5">
      <c r="B869" s="837"/>
      <c r="D869" s="838"/>
      <c r="E869" s="838"/>
      <c r="F869" s="838"/>
      <c r="G869" s="838"/>
      <c r="H869" s="838"/>
      <c r="I869" s="838"/>
      <c r="J869" s="838"/>
      <c r="K869" s="838"/>
      <c r="L869" s="838"/>
      <c r="M869" s="838"/>
      <c r="N869" s="838"/>
      <c r="O869" s="838"/>
      <c r="P869" s="838"/>
      <c r="Q869" s="838"/>
      <c r="R869" s="838"/>
      <c r="S869" s="838"/>
      <c r="T869" s="838"/>
      <c r="U869" s="838"/>
      <c r="V869" s="838"/>
      <c r="W869" s="838"/>
      <c r="X869" s="838"/>
      <c r="Y869" s="838"/>
      <c r="Z869" s="838"/>
      <c r="AA869" s="838"/>
      <c r="AB869" s="838"/>
      <c r="AC869" s="838"/>
      <c r="AD869" s="838"/>
      <c r="AE869" s="838"/>
      <c r="AF869" s="838"/>
      <c r="AG869" s="838"/>
      <c r="AH869" s="838"/>
      <c r="AI869" s="838"/>
      <c r="AJ869" s="838"/>
      <c r="AK869" s="838"/>
      <c r="AL869" s="838"/>
      <c r="AM869" s="29"/>
      <c r="AN869" s="29"/>
      <c r="AO869" s="29"/>
      <c r="AP869" s="29"/>
      <c r="AQ869" s="29"/>
      <c r="AR869" s="29"/>
      <c r="AS869" s="838"/>
      <c r="AT869" s="838"/>
      <c r="AU869" s="838"/>
      <c r="AV869" s="838"/>
      <c r="AW869" s="838"/>
      <c r="AX869" s="838"/>
      <c r="AY869" s="838"/>
      <c r="AZ869" s="838"/>
      <c r="BA869" s="838"/>
      <c r="BB869" s="838"/>
      <c r="BC869" s="838"/>
      <c r="BD869" s="838"/>
      <c r="BE869" s="838"/>
      <c r="BG869" s="838"/>
      <c r="BH869" s="838"/>
      <c r="BI869" s="838"/>
      <c r="BJ869" s="838"/>
      <c r="BK869" s="838"/>
      <c r="BL869" s="838"/>
      <c r="BM869" s="838"/>
      <c r="BN869" s="838"/>
      <c r="BO869" s="838"/>
      <c r="BP869" s="838"/>
    </row>
    <row r="870" spans="2:68" s="1" customFormat="1" ht="10.5">
      <c r="B870" s="45" t="s">
        <v>131</v>
      </c>
      <c r="D870" s="838"/>
      <c r="E870" s="838"/>
      <c r="F870" s="838"/>
      <c r="G870" s="838"/>
      <c r="H870" s="838"/>
      <c r="I870" s="838"/>
      <c r="J870" s="838"/>
      <c r="K870" s="838"/>
      <c r="L870" s="838"/>
      <c r="M870" s="838"/>
      <c r="N870" s="838"/>
      <c r="O870" s="838"/>
      <c r="P870" s="838"/>
      <c r="Q870" s="838"/>
      <c r="R870" s="838"/>
      <c r="S870" s="838"/>
      <c r="T870" s="838"/>
      <c r="U870" s="838"/>
      <c r="V870" s="838"/>
      <c r="W870" s="838"/>
      <c r="X870" s="838"/>
      <c r="Y870" s="838"/>
      <c r="Z870" s="838"/>
      <c r="AA870" s="838"/>
      <c r="AB870" s="838"/>
      <c r="AC870" s="838"/>
      <c r="AD870" s="838"/>
      <c r="AE870" s="838"/>
      <c r="AF870" s="838"/>
      <c r="AG870" s="838"/>
      <c r="AH870" s="838"/>
      <c r="AI870" s="838"/>
      <c r="AJ870" s="838"/>
      <c r="AK870" s="838"/>
      <c r="AL870" s="838"/>
      <c r="AM870" s="29"/>
      <c r="AN870" s="29"/>
      <c r="AO870" s="29"/>
      <c r="AP870" s="29"/>
      <c r="AQ870" s="29"/>
      <c r="AR870" s="29"/>
      <c r="AS870" s="838"/>
      <c r="AT870" s="838"/>
      <c r="AU870" s="838"/>
      <c r="AV870" s="838"/>
      <c r="AW870" s="838"/>
      <c r="AX870" s="838"/>
      <c r="AY870" s="838"/>
      <c r="AZ870" s="838"/>
      <c r="BA870" s="838"/>
      <c r="BB870" s="838"/>
      <c r="BC870" s="838"/>
      <c r="BD870" s="838"/>
      <c r="BE870" s="838"/>
      <c r="BG870" s="838"/>
      <c r="BH870" s="838"/>
      <c r="BI870" s="838"/>
      <c r="BJ870" s="838"/>
      <c r="BK870" s="838"/>
      <c r="BL870" s="838"/>
      <c r="BM870" s="838"/>
      <c r="BN870" s="838"/>
      <c r="BO870" s="838"/>
      <c r="BP870" s="838"/>
    </row>
    <row r="871" spans="2:68" s="100" customFormat="1">
      <c r="B871" s="100" t="str">
        <f>+B835</f>
        <v>Additions to property plant and equipment</v>
      </c>
      <c r="D871" s="11"/>
      <c r="E871" s="11"/>
      <c r="F871" s="11"/>
      <c r="G871" s="11"/>
      <c r="H871" s="857"/>
      <c r="I871" s="857"/>
      <c r="J871" s="857"/>
      <c r="K871" s="857"/>
      <c r="L871" s="857"/>
      <c r="M871" s="857"/>
      <c r="N871" s="857"/>
      <c r="O871" s="857"/>
      <c r="P871" s="857">
        <f>+P873-P872</f>
        <v>3602</v>
      </c>
      <c r="Q871" s="857">
        <f t="shared" ref="Q871:BM871" si="3906">+Q873-Q872</f>
        <v>3707</v>
      </c>
      <c r="R871" s="857">
        <f t="shared" si="3906"/>
        <v>2565</v>
      </c>
      <c r="S871" s="857">
        <f t="shared" si="3906"/>
        <v>4051</v>
      </c>
      <c r="T871" s="857">
        <f t="shared" si="3906"/>
        <v>3385</v>
      </c>
      <c r="U871" s="857">
        <f t="shared" si="3906"/>
        <v>3545</v>
      </c>
      <c r="V871" s="857">
        <f t="shared" si="3906"/>
        <v>3767</v>
      </c>
      <c r="W871" s="857">
        <f t="shared" si="3906"/>
        <v>4744</v>
      </c>
      <c r="X871" s="857">
        <f t="shared" si="3906"/>
        <v>4907</v>
      </c>
      <c r="Y871" s="857">
        <f t="shared" si="3906"/>
        <v>4174</v>
      </c>
      <c r="Z871" s="857">
        <f t="shared" si="3906"/>
        <v>5089</v>
      </c>
      <c r="AA871" s="857">
        <f t="shared" si="3906"/>
        <v>6452</v>
      </c>
      <c r="AB871" s="857">
        <f t="shared" si="3906"/>
        <v>5810</v>
      </c>
      <c r="AC871" s="857">
        <f t="shared" si="3906"/>
        <v>5865</v>
      </c>
      <c r="AD871" s="857">
        <f t="shared" si="3906"/>
        <v>5340</v>
      </c>
      <c r="AE871" s="857">
        <f t="shared" si="3906"/>
        <v>6871</v>
      </c>
      <c r="AF871" s="857">
        <f t="shared" si="3906"/>
        <v>6283</v>
      </c>
      <c r="AG871" s="857">
        <f t="shared" ref="AG871:AH871" si="3907">+AG873-AG872</f>
        <v>6274</v>
      </c>
      <c r="AH871" s="857">
        <f t="shared" si="3907"/>
        <v>6607</v>
      </c>
      <c r="AI871" s="857">
        <f t="shared" ref="AI871:AJ871" si="3908">+AI873-AI872</f>
        <v>8943</v>
      </c>
      <c r="AJ871" s="857">
        <f t="shared" si="3908"/>
        <v>9917</v>
      </c>
      <c r="AK871" s="857">
        <f t="shared" ref="AK871:AL871" si="3909">+AK873-AK872</f>
        <v>9735</v>
      </c>
      <c r="AL871" s="857">
        <f t="shared" si="3909"/>
        <v>10952</v>
      </c>
      <c r="AM871" s="857">
        <f t="shared" ref="AM871" si="3910">+AM873-AM872</f>
        <v>13873</v>
      </c>
      <c r="AN871" s="29"/>
      <c r="AO871" s="29"/>
      <c r="AP871" s="29"/>
      <c r="AQ871" s="29"/>
      <c r="AR871" s="29"/>
      <c r="AS871" s="11">
        <f t="shared" si="3906"/>
        <v>812</v>
      </c>
      <c r="AT871" s="11">
        <f t="shared" si="3906"/>
        <v>1578</v>
      </c>
      <c r="AU871" s="11">
        <f t="shared" si="3906"/>
        <v>2264</v>
      </c>
      <c r="AV871" s="11">
        <f t="shared" si="3906"/>
        <v>3182</v>
      </c>
      <c r="AW871" s="11">
        <f t="shared" si="3906"/>
        <v>3119</v>
      </c>
      <c r="AX871" s="11">
        <f t="shared" si="3906"/>
        <v>1977</v>
      </c>
      <c r="AY871" s="11">
        <f t="shared" si="3906"/>
        <v>2355</v>
      </c>
      <c r="AZ871" s="11">
        <f t="shared" si="3906"/>
        <v>2305</v>
      </c>
      <c r="BA871" s="11">
        <f t="shared" si="3906"/>
        <v>4257</v>
      </c>
      <c r="BB871" s="11">
        <f t="shared" si="3906"/>
        <v>5485</v>
      </c>
      <c r="BC871" s="11">
        <f t="shared" si="3906"/>
        <v>5944</v>
      </c>
      <c r="BD871" s="11">
        <f t="shared" si="3906"/>
        <v>8343</v>
      </c>
      <c r="BE871" s="11">
        <f t="shared" si="3906"/>
        <v>8129</v>
      </c>
      <c r="BG871" s="11">
        <f t="shared" si="3906"/>
        <v>8343</v>
      </c>
      <c r="BH871" s="11">
        <f t="shared" si="3906"/>
        <v>8129</v>
      </c>
      <c r="BI871" s="11">
        <f t="shared" si="3906"/>
        <v>11632</v>
      </c>
      <c r="BJ871" s="11">
        <f t="shared" si="3906"/>
        <v>13925</v>
      </c>
      <c r="BK871" s="11">
        <f t="shared" si="3906"/>
        <v>15441</v>
      </c>
      <c r="BL871" s="11">
        <f t="shared" si="3906"/>
        <v>20622</v>
      </c>
      <c r="BM871" s="11">
        <f t="shared" si="3906"/>
        <v>23886</v>
      </c>
      <c r="BN871" s="11">
        <f t="shared" ref="BN871:BO871" si="3911">+BN873-BN872</f>
        <v>28107</v>
      </c>
      <c r="BO871" s="11">
        <f t="shared" si="3911"/>
        <v>44477</v>
      </c>
      <c r="BP871" s="11"/>
    </row>
    <row r="872" spans="2:68" s="953" customFormat="1" ht="11.45">
      <c r="B872" t="s">
        <v>570</v>
      </c>
      <c r="D872" s="34">
        <f t="shared" ref="D872:AJ872" si="3912">+D873-(-D835)</f>
        <v>144</v>
      </c>
      <c r="E872" s="34">
        <f t="shared" si="3912"/>
        <v>-24</v>
      </c>
      <c r="F872" s="34">
        <f t="shared" si="3912"/>
        <v>-8</v>
      </c>
      <c r="G872" s="34">
        <f t="shared" si="3912"/>
        <v>445</v>
      </c>
      <c r="H872" s="34">
        <f t="shared" si="3912"/>
        <v>137</v>
      </c>
      <c r="I872" s="34">
        <f t="shared" si="3912"/>
        <v>512</v>
      </c>
      <c r="J872" s="34">
        <f t="shared" si="3912"/>
        <v>405</v>
      </c>
      <c r="K872" s="34">
        <f t="shared" si="3912"/>
        <v>1017</v>
      </c>
      <c r="L872" s="34">
        <f t="shared" si="3912"/>
        <v>568</v>
      </c>
      <c r="M872" s="34">
        <f t="shared" si="3912"/>
        <v>714</v>
      </c>
      <c r="N872" s="34">
        <f t="shared" si="3912"/>
        <v>566</v>
      </c>
      <c r="O872" s="34">
        <f t="shared" si="3912"/>
        <v>120</v>
      </c>
      <c r="P872" s="34">
        <f t="shared" si="3912"/>
        <v>698</v>
      </c>
      <c r="Q872" s="34">
        <f t="shared" si="3912"/>
        <v>193</v>
      </c>
      <c r="R872" s="34">
        <f t="shared" si="3912"/>
        <v>835</v>
      </c>
      <c r="S872" s="34">
        <f t="shared" si="3912"/>
        <v>1249</v>
      </c>
      <c r="T872" s="34">
        <f t="shared" si="3912"/>
        <v>1415</v>
      </c>
      <c r="U872" s="34">
        <f t="shared" si="3912"/>
        <v>955</v>
      </c>
      <c r="V872" s="34">
        <f t="shared" si="3912"/>
        <v>133</v>
      </c>
      <c r="W872" s="34">
        <f t="shared" si="3912"/>
        <v>1056</v>
      </c>
      <c r="X872" s="34">
        <f t="shared" si="3912"/>
        <v>593</v>
      </c>
      <c r="Y872" s="34">
        <f t="shared" si="3912"/>
        <v>1226</v>
      </c>
      <c r="Z872" s="34">
        <f t="shared" si="3912"/>
        <v>911</v>
      </c>
      <c r="AA872" s="34">
        <f t="shared" si="3912"/>
        <v>848</v>
      </c>
      <c r="AB872" s="34">
        <f t="shared" si="3912"/>
        <v>1590</v>
      </c>
      <c r="AC872" s="34">
        <f t="shared" si="3912"/>
        <v>935</v>
      </c>
      <c r="AD872" s="34">
        <f t="shared" si="3912"/>
        <v>960</v>
      </c>
      <c r="AE872" s="34">
        <f t="shared" si="3912"/>
        <v>1829</v>
      </c>
      <c r="AF872" s="34">
        <f t="shared" si="3912"/>
        <v>317</v>
      </c>
      <c r="AG872" s="34">
        <f t="shared" si="3912"/>
        <v>526</v>
      </c>
      <c r="AH872" s="34">
        <f t="shared" si="3912"/>
        <v>1193</v>
      </c>
      <c r="AI872" s="34">
        <f t="shared" si="3912"/>
        <v>1757</v>
      </c>
      <c r="AJ872" s="34">
        <f t="shared" si="3912"/>
        <v>1283</v>
      </c>
      <c r="AK872" s="34">
        <f t="shared" ref="AK872:AL872" si="3913">+AK873-(-AK835)</f>
        <v>1765</v>
      </c>
      <c r="AL872" s="34">
        <f t="shared" si="3913"/>
        <v>3048</v>
      </c>
      <c r="AM872" s="34">
        <f t="shared" ref="AM872" si="3914">+AM873-(-AM835)</f>
        <v>5127</v>
      </c>
      <c r="AN872" s="29"/>
      <c r="AO872" s="29"/>
      <c r="AP872" s="29"/>
      <c r="AQ872" s="29"/>
      <c r="AR872" s="29"/>
      <c r="AS872" s="34">
        <f t="shared" ref="AS872:BE872" si="3915">+AS873-(-AS835)</f>
        <v>0</v>
      </c>
      <c r="AT872" s="34">
        <f t="shared" si="3915"/>
        <v>0</v>
      </c>
      <c r="AU872" s="34">
        <f t="shared" si="3915"/>
        <v>0</v>
      </c>
      <c r="AV872" s="34">
        <f t="shared" si="3915"/>
        <v>0</v>
      </c>
      <c r="AW872" s="34">
        <f t="shared" si="3915"/>
        <v>0</v>
      </c>
      <c r="AX872" s="34">
        <f t="shared" si="3915"/>
        <v>0</v>
      </c>
      <c r="AY872" s="34">
        <f t="shared" si="3915"/>
        <v>0</v>
      </c>
      <c r="AZ872" s="34">
        <f t="shared" si="3915"/>
        <v>0</v>
      </c>
      <c r="BA872" s="34">
        <f t="shared" si="3915"/>
        <v>0</v>
      </c>
      <c r="BB872" s="34">
        <f t="shared" si="3915"/>
        <v>0</v>
      </c>
      <c r="BC872" s="34">
        <f t="shared" si="3915"/>
        <v>0</v>
      </c>
      <c r="BD872" s="34">
        <f t="shared" si="3915"/>
        <v>557</v>
      </c>
      <c r="BE872" s="34">
        <f t="shared" si="3915"/>
        <v>2071</v>
      </c>
      <c r="BG872" s="34">
        <f t="shared" ref="BG872:BN872" si="3916">+BG873-(-BG835)</f>
        <v>557</v>
      </c>
      <c r="BH872" s="34">
        <f t="shared" si="3916"/>
        <v>2071</v>
      </c>
      <c r="BI872" s="34">
        <f t="shared" si="3916"/>
        <v>1968</v>
      </c>
      <c r="BJ872" s="34">
        <f t="shared" si="3916"/>
        <v>2975</v>
      </c>
      <c r="BK872" s="34">
        <f t="shared" si="3916"/>
        <v>3559</v>
      </c>
      <c r="BL872" s="34">
        <f t="shared" si="3916"/>
        <v>3578</v>
      </c>
      <c r="BM872" s="34">
        <f t="shared" si="3916"/>
        <v>5314</v>
      </c>
      <c r="BN872" s="34">
        <f t="shared" si="3916"/>
        <v>3793</v>
      </c>
      <c r="BO872" s="34">
        <f t="shared" ref="BO872" si="3917">+BO873-(-BO835)</f>
        <v>11223</v>
      </c>
      <c r="BP872" s="30"/>
    </row>
    <row r="873" spans="2:68" s="1" customFormat="1" ht="10.5">
      <c r="B873" s="837" t="s">
        <v>571</v>
      </c>
      <c r="C873"/>
      <c r="D873" s="29">
        <v>1500</v>
      </c>
      <c r="E873" s="29">
        <v>2000</v>
      </c>
      <c r="F873" s="29">
        <v>2300</v>
      </c>
      <c r="G873" s="29">
        <v>3100</v>
      </c>
      <c r="H873" s="29">
        <v>2300</v>
      </c>
      <c r="I873" s="29">
        <v>2500</v>
      </c>
      <c r="J873" s="29">
        <v>2100</v>
      </c>
      <c r="K873" s="11">
        <v>3300</v>
      </c>
      <c r="L873" s="29">
        <v>2700</v>
      </c>
      <c r="M873" s="29">
        <v>3300</v>
      </c>
      <c r="N873" s="29">
        <v>3500</v>
      </c>
      <c r="O873" s="11">
        <v>4100</v>
      </c>
      <c r="P873" s="29">
        <v>4300</v>
      </c>
      <c r="Q873" s="29">
        <v>3900</v>
      </c>
      <c r="R873" s="29">
        <v>3400</v>
      </c>
      <c r="S873" s="11">
        <v>5300</v>
      </c>
      <c r="T873" s="29">
        <v>4800</v>
      </c>
      <c r="U873" s="29">
        <v>4500</v>
      </c>
      <c r="V873" s="29">
        <v>3900</v>
      </c>
      <c r="W873" s="29">
        <v>5800</v>
      </c>
      <c r="X873" s="29">
        <v>5500</v>
      </c>
      <c r="Y873" s="29">
        <v>5400</v>
      </c>
      <c r="Z873" s="29">
        <v>6000</v>
      </c>
      <c r="AA873" s="29">
        <v>7300</v>
      </c>
      <c r="AB873" s="29">
        <v>7400</v>
      </c>
      <c r="AC873" s="29">
        <v>6800</v>
      </c>
      <c r="AD873" s="29">
        <v>6300</v>
      </c>
      <c r="AE873" s="29">
        <v>8700</v>
      </c>
      <c r="AF873" s="29">
        <v>6600</v>
      </c>
      <c r="AG873" s="29">
        <v>6800</v>
      </c>
      <c r="AH873" s="29">
        <v>7800</v>
      </c>
      <c r="AI873" s="29">
        <v>10700</v>
      </c>
      <c r="AJ873" s="29">
        <v>11200</v>
      </c>
      <c r="AK873" s="29">
        <v>11500</v>
      </c>
      <c r="AL873" s="29">
        <v>14000</v>
      </c>
      <c r="AM873" s="29">
        <v>19000</v>
      </c>
      <c r="AN873" s="29"/>
      <c r="AO873" s="29"/>
      <c r="AP873" s="29"/>
      <c r="AQ873" s="29"/>
      <c r="AR873" s="29"/>
      <c r="AS873" s="8">
        <f t="shared" ref="AS873:BC873" si="3918">-AS835</f>
        <v>812</v>
      </c>
      <c r="AT873" s="8">
        <f t="shared" si="3918"/>
        <v>1578</v>
      </c>
      <c r="AU873" s="8">
        <f t="shared" si="3918"/>
        <v>2264</v>
      </c>
      <c r="AV873" s="8">
        <f t="shared" si="3918"/>
        <v>3182</v>
      </c>
      <c r="AW873" s="8">
        <f t="shared" si="3918"/>
        <v>3119</v>
      </c>
      <c r="AX873" s="8">
        <f t="shared" si="3918"/>
        <v>1977</v>
      </c>
      <c r="AY873" s="8">
        <f t="shared" si="3918"/>
        <v>2355</v>
      </c>
      <c r="AZ873" s="8">
        <f t="shared" si="3918"/>
        <v>2305</v>
      </c>
      <c r="BA873" s="8">
        <f t="shared" si="3918"/>
        <v>4257</v>
      </c>
      <c r="BB873" s="8">
        <f t="shared" si="3918"/>
        <v>5485</v>
      </c>
      <c r="BC873" s="8">
        <f t="shared" si="3918"/>
        <v>5944</v>
      </c>
      <c r="BD873" s="8">
        <f>+SUM(D873:G873)</f>
        <v>8900</v>
      </c>
      <c r="BE873" s="8">
        <f>+SUM(H873:K873)</f>
        <v>10200</v>
      </c>
      <c r="BF873"/>
      <c r="BG873" s="8">
        <f>+BD873</f>
        <v>8900</v>
      </c>
      <c r="BH873" s="8">
        <f>+SUM(H873:K873)</f>
        <v>10200</v>
      </c>
      <c r="BI873" s="29">
        <f>+SUM(L873:O873)</f>
        <v>13600</v>
      </c>
      <c r="BJ873" s="29">
        <f>+SUM(P873:S873)</f>
        <v>16900</v>
      </c>
      <c r="BK873" s="8">
        <f>SUM(T873:W873)</f>
        <v>19000</v>
      </c>
      <c r="BL873" s="11">
        <f>SUM(X873:AA873)</f>
        <v>24200</v>
      </c>
      <c r="BM873" s="8">
        <f>SUM(AB873:AE873)</f>
        <v>29200</v>
      </c>
      <c r="BN873" s="8">
        <f>SUM(AF873:AI873)</f>
        <v>31900</v>
      </c>
      <c r="BO873" s="8">
        <f>+SUM(AJ873:AM873)</f>
        <v>55700</v>
      </c>
      <c r="BP873" s="838"/>
    </row>
    <row r="874" spans="2:68" s="1" customFormat="1" ht="10.5">
      <c r="B874" s="837"/>
      <c r="D874" s="838"/>
      <c r="E874" s="838"/>
      <c r="F874" s="838"/>
      <c r="G874" s="838"/>
      <c r="H874" s="838"/>
      <c r="I874" s="838"/>
      <c r="J874" s="838"/>
      <c r="K874" s="838"/>
      <c r="L874" s="838"/>
      <c r="M874" s="838"/>
      <c r="N874" s="838"/>
      <c r="O874" s="838"/>
      <c r="P874" s="838"/>
      <c r="Q874" s="838"/>
      <c r="R874" s="838"/>
      <c r="S874" s="838"/>
      <c r="T874" s="838"/>
      <c r="U874" s="838"/>
      <c r="V874" s="838"/>
      <c r="W874" s="838"/>
      <c r="X874" s="838"/>
      <c r="Y874" s="838"/>
      <c r="Z874" s="838"/>
      <c r="AA874" s="838"/>
      <c r="AB874" s="838"/>
      <c r="AC874" s="838"/>
      <c r="AD874" s="838"/>
      <c r="AE874" s="838"/>
      <c r="AF874" s="838"/>
      <c r="AG874" s="838"/>
      <c r="AH874" s="838"/>
      <c r="AI874" s="838"/>
      <c r="AJ874" s="838"/>
      <c r="AK874" s="838"/>
      <c r="AL874" s="838"/>
      <c r="AM874" s="29"/>
      <c r="AN874" s="29"/>
      <c r="AO874" s="29"/>
      <c r="AP874" s="29"/>
      <c r="AQ874" s="29"/>
      <c r="AR874" s="29"/>
      <c r="AS874" s="838"/>
      <c r="AT874" s="838"/>
      <c r="AU874" s="838"/>
      <c r="AV874" s="838"/>
      <c r="AW874" s="838"/>
      <c r="AX874" s="838"/>
      <c r="AY874" s="838"/>
      <c r="AZ874" s="838"/>
      <c r="BA874" s="838"/>
      <c r="BB874" s="838"/>
      <c r="BC874" s="838"/>
      <c r="BD874" s="838"/>
      <c r="BE874" s="838"/>
      <c r="BG874" s="838"/>
      <c r="BH874" s="838"/>
      <c r="BI874" s="838"/>
      <c r="BJ874" s="838"/>
      <c r="BK874" s="838"/>
      <c r="BL874" s="838"/>
      <c r="BM874" s="838"/>
      <c r="BN874" s="838"/>
      <c r="BO874" s="838"/>
      <c r="BP874" s="838"/>
    </row>
    <row r="875" spans="2:68" s="1" customFormat="1" ht="10.5">
      <c r="B875" s="847" t="s">
        <v>118</v>
      </c>
      <c r="D875" s="838"/>
      <c r="E875" s="838"/>
      <c r="F875" s="838"/>
      <c r="G875" s="838"/>
      <c r="H875" s="838"/>
      <c r="I875" s="838"/>
      <c r="J875" s="838"/>
      <c r="K875" s="838"/>
      <c r="L875" s="838"/>
      <c r="M875" s="838"/>
      <c r="N875" s="838"/>
      <c r="O875" s="838"/>
      <c r="P875" s="838"/>
      <c r="Q875" s="838"/>
      <c r="R875" s="838"/>
      <c r="S875" s="838"/>
      <c r="T875" s="838"/>
      <c r="U875" s="838"/>
      <c r="V875" s="838"/>
      <c r="W875" s="838"/>
      <c r="X875" s="838"/>
      <c r="Y875" s="838"/>
      <c r="Z875" s="838"/>
      <c r="AA875" s="838"/>
      <c r="AB875" s="838"/>
      <c r="AC875" s="838"/>
      <c r="AD875" s="838"/>
      <c r="AE875" s="838"/>
      <c r="AF875" s="838"/>
      <c r="AG875" s="838"/>
      <c r="AH875" s="838"/>
      <c r="AI875" s="838"/>
      <c r="AJ875" s="838"/>
      <c r="AK875" s="838"/>
      <c r="AL875" s="838"/>
      <c r="AM875" s="29"/>
      <c r="AN875" s="29"/>
      <c r="AO875" s="29"/>
      <c r="AP875" s="29"/>
      <c r="AQ875" s="29"/>
      <c r="AR875" s="29"/>
      <c r="AS875" s="838"/>
      <c r="AT875" s="838"/>
      <c r="AU875" s="838"/>
      <c r="AV875" s="838"/>
      <c r="AW875" s="838"/>
      <c r="AX875" s="838"/>
      <c r="AY875" s="838"/>
      <c r="AZ875" s="838"/>
      <c r="BA875" s="838"/>
      <c r="BB875" s="838"/>
      <c r="BC875" s="838"/>
      <c r="BD875" s="838"/>
      <c r="BE875" s="838"/>
      <c r="BF875" s="838"/>
      <c r="BG875" s="849"/>
      <c r="BH875" s="849"/>
      <c r="BI875" s="849"/>
      <c r="BJ875" s="849"/>
      <c r="BK875" s="849"/>
      <c r="BL875" s="849"/>
      <c r="BM875" s="849"/>
      <c r="BN875" s="849"/>
      <c r="BO875" s="849"/>
      <c r="BP875" s="849"/>
    </row>
    <row r="876" spans="2:68" s="3" customFormat="1">
      <c r="B876" s="884" t="str">
        <f>+B871</f>
        <v>Additions to property plant and equipment</v>
      </c>
      <c r="D876" s="92"/>
      <c r="E876" s="92"/>
      <c r="F876" s="92"/>
      <c r="G876" s="92"/>
      <c r="H876" s="228">
        <f t="shared" ref="H876:O876" si="3919">+H871/H857</f>
        <v>0</v>
      </c>
      <c r="I876" s="228">
        <f t="shared" si="3919"/>
        <v>0</v>
      </c>
      <c r="J876" s="228">
        <f t="shared" si="3919"/>
        <v>0</v>
      </c>
      <c r="K876" s="228">
        <f t="shared" si="3919"/>
        <v>0</v>
      </c>
      <c r="L876" s="228">
        <f t="shared" si="3919"/>
        <v>0</v>
      </c>
      <c r="M876" s="228">
        <f t="shared" si="3919"/>
        <v>0</v>
      </c>
      <c r="N876" s="228">
        <f t="shared" si="3919"/>
        <v>0</v>
      </c>
      <c r="O876" s="228">
        <f t="shared" si="3919"/>
        <v>0</v>
      </c>
      <c r="P876" s="228">
        <f>+P871/P$12</f>
        <v>0.1238481639389355</v>
      </c>
      <c r="Q876" s="228">
        <f t="shared" ref="Q876:AF876" si="3920">+Q871/Q$12</f>
        <v>0.11416340734809523</v>
      </c>
      <c r="R876" s="228">
        <f t="shared" si="3920"/>
        <v>8.3903045369794899E-2</v>
      </c>
      <c r="S876" s="228">
        <f t="shared" si="3920"/>
        <v>0.12014710680072367</v>
      </c>
      <c r="T876" s="228">
        <f t="shared" si="3920"/>
        <v>0.10240508243836031</v>
      </c>
      <c r="U876" s="228">
        <f t="shared" si="3920"/>
        <v>9.605484203110605E-2</v>
      </c>
      <c r="V876" s="228">
        <f t="shared" si="3920"/>
        <v>0.10756403300876617</v>
      </c>
      <c r="W876" s="228">
        <f t="shared" si="3920"/>
        <v>0.12473378381931481</v>
      </c>
      <c r="X876" s="228">
        <f t="shared" si="3920"/>
        <v>0.13207191688647252</v>
      </c>
      <c r="Y876" s="228">
        <f t="shared" si="3920"/>
        <v>9.6898504967963595E-2</v>
      </c>
      <c r="Z876" s="228">
        <f t="shared" si="3920"/>
        <v>0.12202081235313864</v>
      </c>
      <c r="AA876" s="228">
        <f t="shared" si="3920"/>
        <v>0.13979892529034496</v>
      </c>
      <c r="AB876" s="228">
        <f t="shared" si="3920"/>
        <v>0.12820795727872542</v>
      </c>
      <c r="AC876" s="228">
        <f t="shared" si="3920"/>
        <v>0.11338153417878132</v>
      </c>
      <c r="AD876" s="228">
        <f t="shared" si="3920"/>
        <v>0.10818476499189628</v>
      </c>
      <c r="AE876" s="228">
        <f t="shared" si="3920"/>
        <v>0.13247855008194351</v>
      </c>
      <c r="AF876" s="228">
        <f t="shared" si="3920"/>
        <v>0.12535413590838354</v>
      </c>
      <c r="AG876" s="228">
        <f t="shared" ref="AG876:AH876" si="3921">+AG871/AG$12</f>
        <v>0.11894515327885946</v>
      </c>
      <c r="AH876" s="228">
        <f t="shared" si="3921"/>
        <v>0.12499763512874359</v>
      </c>
      <c r="AI876" s="228">
        <f t="shared" ref="AI876:AJ876" si="3922">+AI871/AI$12</f>
        <v>0.15915926604851482</v>
      </c>
      <c r="AJ876" s="228">
        <f t="shared" si="3922"/>
        <v>0.17546932781287047</v>
      </c>
      <c r="AK876" s="228">
        <f t="shared" ref="AK876:AL876" si="3923">+AK871/AK$12</f>
        <v>0.15696549500161239</v>
      </c>
      <c r="AL876" s="228">
        <f t="shared" si="3923"/>
        <v>0.17705066442497333</v>
      </c>
      <c r="AM876" s="228">
        <f t="shared" ref="AM876" si="3924">+AM871/AM$12</f>
        <v>0.21433095925965981</v>
      </c>
      <c r="AN876" s="29"/>
      <c r="AO876" s="29"/>
      <c r="AP876" s="29"/>
      <c r="AQ876" s="29"/>
      <c r="AR876" s="29"/>
      <c r="AS876" s="228"/>
      <c r="AT876" s="228"/>
      <c r="AU876" s="228"/>
      <c r="AV876" s="228"/>
      <c r="AW876" s="228"/>
      <c r="AX876" s="228">
        <f t="shared" ref="AX876:BD878" si="3925">+AX871/AX$12</f>
        <v>3.1640099865565582E-2</v>
      </c>
      <c r="AY876" s="228">
        <f t="shared" si="3925"/>
        <v>3.3670274366269674E-2</v>
      </c>
      <c r="AZ876" s="228">
        <f t="shared" si="3925"/>
        <v>3.1265683707933749E-2</v>
      </c>
      <c r="BA876" s="228">
        <f t="shared" si="3925"/>
        <v>5.4682783336972858E-2</v>
      </c>
      <c r="BB876" s="228">
        <f t="shared" si="3925"/>
        <v>6.3167229048863904E-2</v>
      </c>
      <c r="BC876" s="228">
        <f t="shared" si="3925"/>
        <v>6.3517845693524255E-2</v>
      </c>
      <c r="BD876" s="228">
        <f t="shared" si="3925"/>
        <v>9.7784810126582272E-2</v>
      </c>
      <c r="BE876" s="228">
        <f t="shared" ref="BE876" si="3926">+BE871/BE$12</f>
        <v>9.0372429127292944E-2</v>
      </c>
      <c r="BF876" s="228"/>
      <c r="BG876" s="228">
        <f t="shared" ref="BG876:BM876" si="3927">+BG871/BG$12</f>
        <v>9.1526427803497373E-2</v>
      </c>
      <c r="BH876" s="228">
        <f t="shared" si="3927"/>
        <v>8.4176409066904143E-2</v>
      </c>
      <c r="BI876" s="228">
        <f t="shared" si="3927"/>
        <v>0.10540050743022834</v>
      </c>
      <c r="BJ876" s="228">
        <f t="shared" si="3927"/>
        <v>0.11065375110256431</v>
      </c>
      <c r="BK876" s="228">
        <f t="shared" si="3927"/>
        <v>0.10796769569625564</v>
      </c>
      <c r="BL876" s="228">
        <f t="shared" si="3927"/>
        <v>0.12268573604302509</v>
      </c>
      <c r="BM876" s="228">
        <f t="shared" si="3927"/>
        <v>0.12047208352246935</v>
      </c>
      <c r="BN876" s="228">
        <f t="shared" ref="BN876:BO876" si="3928">+BN871/BN$12</f>
        <v>0.13263336715192411</v>
      </c>
      <c r="BO876" s="228">
        <f t="shared" si="3928"/>
        <v>0.18144842160230415</v>
      </c>
      <c r="BP876" s="94"/>
    </row>
    <row r="877" spans="2:68" s="942" customFormat="1" ht="11.1" customHeight="1">
      <c r="B877" s="884" t="str">
        <f t="shared" ref="B877:B878" si="3929">+B872</f>
        <v>Assets acquired under capital leases</v>
      </c>
      <c r="D877" s="846"/>
      <c r="E877" s="846"/>
      <c r="F877" s="846"/>
      <c r="G877" s="846"/>
      <c r="H877" s="840" t="e">
        <f t="shared" ref="H877:O877" si="3930">+H872/H858</f>
        <v>#DIV/0!</v>
      </c>
      <c r="I877" s="840" t="e">
        <f t="shared" si="3930"/>
        <v>#DIV/0!</v>
      </c>
      <c r="J877" s="840" t="e">
        <f t="shared" si="3930"/>
        <v>#DIV/0!</v>
      </c>
      <c r="K877" s="840" t="e">
        <f t="shared" si="3930"/>
        <v>#DIV/0!</v>
      </c>
      <c r="L877" s="840" t="e">
        <f t="shared" si="3930"/>
        <v>#DIV/0!</v>
      </c>
      <c r="M877" s="840" t="e">
        <f t="shared" si="3930"/>
        <v>#DIV/0!</v>
      </c>
      <c r="N877" s="840" t="e">
        <f t="shared" si="3930"/>
        <v>#DIV/0!</v>
      </c>
      <c r="O877" s="840" t="e">
        <f t="shared" si="3930"/>
        <v>#DIV/0!</v>
      </c>
      <c r="P877" s="840">
        <f t="shared" ref="P877:AF877" si="3931">+P872/P$12</f>
        <v>2.3999449869343971E-2</v>
      </c>
      <c r="Q877" s="840">
        <f t="shared" si="3931"/>
        <v>5.9437652058760126E-3</v>
      </c>
      <c r="R877" s="840">
        <f t="shared" si="3931"/>
        <v>2.7313467011219783E-2</v>
      </c>
      <c r="S877" s="840">
        <f t="shared" si="3931"/>
        <v>3.7043627843521075E-2</v>
      </c>
      <c r="T877" s="840">
        <f t="shared" si="3931"/>
        <v>4.2807442141884734E-2</v>
      </c>
      <c r="U877" s="840">
        <f t="shared" si="3931"/>
        <v>2.5876551238281038E-2</v>
      </c>
      <c r="V877" s="840">
        <f t="shared" si="3931"/>
        <v>3.797721367179692E-3</v>
      </c>
      <c r="W877" s="840">
        <f t="shared" si="3931"/>
        <v>2.7765361659611389E-2</v>
      </c>
      <c r="X877" s="840">
        <f t="shared" si="3931"/>
        <v>1.5960596436453679E-2</v>
      </c>
      <c r="Y877" s="840">
        <f t="shared" si="3931"/>
        <v>2.846132417123224E-2</v>
      </c>
      <c r="Z877" s="840">
        <f t="shared" si="3931"/>
        <v>2.1843379849422147E-2</v>
      </c>
      <c r="AA877" s="840">
        <f t="shared" si="3931"/>
        <v>1.8374068296065176E-2</v>
      </c>
      <c r="AB877" s="840">
        <f t="shared" si="3931"/>
        <v>3.5086170752697661E-2</v>
      </c>
      <c r="AC877" s="840">
        <f t="shared" si="3931"/>
        <v>1.8075317042994123E-2</v>
      </c>
      <c r="AD877" s="840">
        <f t="shared" si="3931"/>
        <v>1.9448946515397084E-2</v>
      </c>
      <c r="AE877" s="840">
        <f t="shared" si="3931"/>
        <v>3.5264629326135159E-2</v>
      </c>
      <c r="AF877" s="840">
        <f t="shared" si="3931"/>
        <v>6.3245680539483658E-3</v>
      </c>
      <c r="AG877" s="840">
        <f t="shared" ref="AG877:AH877" si="3932">+AG872/AG$12</f>
        <v>9.9721311164615994E-3</v>
      </c>
      <c r="AH877" s="840">
        <f t="shared" si="3932"/>
        <v>2.2570331271165599E-2</v>
      </c>
      <c r="AI877" s="840">
        <f t="shared" ref="AI877:AJ877" si="3933">+AI872/AI$12</f>
        <v>3.1269465553756072E-2</v>
      </c>
      <c r="AJ877" s="840">
        <f t="shared" si="3933"/>
        <v>2.2701134172019039E-2</v>
      </c>
      <c r="AK877" s="840">
        <f t="shared" ref="AK877:AL877" si="3934">+AK872/AK$12</f>
        <v>2.8458561754272815E-2</v>
      </c>
      <c r="AL877" s="840">
        <f t="shared" si="3934"/>
        <v>4.9274144007242393E-2</v>
      </c>
      <c r="AM877" s="840">
        <f t="shared" ref="AM877" si="3935">+AM872/AM$12</f>
        <v>7.9209603411250329E-2</v>
      </c>
      <c r="AN877" s="29"/>
      <c r="AO877" s="29"/>
      <c r="AP877" s="29"/>
      <c r="AQ877" s="29"/>
      <c r="AR877" s="29"/>
      <c r="AS877" s="840"/>
      <c r="AT877" s="840"/>
      <c r="AU877" s="840"/>
      <c r="AV877" s="840"/>
      <c r="AW877" s="840"/>
      <c r="AX877" s="840">
        <f t="shared" si="3925"/>
        <v>0</v>
      </c>
      <c r="AY877" s="840">
        <f t="shared" si="3925"/>
        <v>0</v>
      </c>
      <c r="AZ877" s="840">
        <f t="shared" si="3925"/>
        <v>0</v>
      </c>
      <c r="BA877" s="840">
        <f t="shared" si="3925"/>
        <v>0</v>
      </c>
      <c r="BB877" s="840">
        <f t="shared" si="3925"/>
        <v>0</v>
      </c>
      <c r="BC877" s="840">
        <f t="shared" si="3925"/>
        <v>0</v>
      </c>
      <c r="BD877" s="840">
        <f t="shared" si="3925"/>
        <v>6.5283638068448198E-3</v>
      </c>
      <c r="BE877" s="840">
        <f t="shared" ref="BE877" si="3936">+BE872/BE$12</f>
        <v>2.3023902167871039E-2</v>
      </c>
      <c r="BF877" s="840"/>
      <c r="BG877" s="840">
        <f t="shared" ref="BG877" si="3937">+BG872/BG$12</f>
        <v>6.1105382100620931E-3</v>
      </c>
      <c r="BH877" s="840">
        <f t="shared" ref="BH877:BM877" si="3938">+BH872/BH$12</f>
        <v>2.1445361443911733E-2</v>
      </c>
      <c r="BI877" s="840">
        <f t="shared" si="3938"/>
        <v>1.7832548024646611E-2</v>
      </c>
      <c r="BJ877" s="840">
        <f t="shared" si="3938"/>
        <v>2.3640568009344977E-2</v>
      </c>
      <c r="BK877" s="840">
        <f t="shared" si="3938"/>
        <v>2.4885501520819496E-2</v>
      </c>
      <c r="BL877" s="840">
        <f t="shared" si="3938"/>
        <v>2.1286468992432535E-2</v>
      </c>
      <c r="BM877" s="840">
        <f t="shared" si="3938"/>
        <v>2.6801835880365159E-2</v>
      </c>
      <c r="BN877" s="840">
        <f t="shared" ref="BN877:BO877" si="3939">+BN872/BN$12</f>
        <v>1.7898685793832431E-2</v>
      </c>
      <c r="BO877" s="840">
        <f t="shared" si="3939"/>
        <v>4.5785364022813128E-2</v>
      </c>
      <c r="BP877" s="943"/>
    </row>
    <row r="878" spans="2:68" s="7" customFormat="1" ht="11.1" customHeight="1">
      <c r="B878" s="841" t="str">
        <f t="shared" si="3929"/>
        <v>Total Capex</v>
      </c>
      <c r="D878" s="842" t="e">
        <f t="shared" ref="D878:O878" si="3940">+D873/D859</f>
        <v>#DIV/0!</v>
      </c>
      <c r="E878" s="842" t="e">
        <f t="shared" si="3940"/>
        <v>#DIV/0!</v>
      </c>
      <c r="F878" s="842" t="e">
        <f t="shared" si="3940"/>
        <v>#DIV/0!</v>
      </c>
      <c r="G878" s="842" t="e">
        <f t="shared" si="3940"/>
        <v>#DIV/0!</v>
      </c>
      <c r="H878" s="842" t="e">
        <f t="shared" si="3940"/>
        <v>#DIV/0!</v>
      </c>
      <c r="I878" s="842" t="e">
        <f t="shared" si="3940"/>
        <v>#DIV/0!</v>
      </c>
      <c r="J878" s="842" t="e">
        <f t="shared" si="3940"/>
        <v>#DIV/0!</v>
      </c>
      <c r="K878" s="842" t="e">
        <f t="shared" si="3940"/>
        <v>#DIV/0!</v>
      </c>
      <c r="L878" s="842" t="e">
        <f t="shared" si="3940"/>
        <v>#DIV/0!</v>
      </c>
      <c r="M878" s="842" t="e">
        <f t="shared" si="3940"/>
        <v>#DIV/0!</v>
      </c>
      <c r="N878" s="842" t="e">
        <f t="shared" si="3940"/>
        <v>#DIV/0!</v>
      </c>
      <c r="O878" s="842" t="e">
        <f t="shared" si="3940"/>
        <v>#DIV/0!</v>
      </c>
      <c r="P878" s="842">
        <f t="shared" ref="P878:AF878" si="3941">+P873/P$12</f>
        <v>0.14784761380827946</v>
      </c>
      <c r="Q878" s="842">
        <f t="shared" si="3941"/>
        <v>0.12010717255397124</v>
      </c>
      <c r="R878" s="842">
        <f t="shared" si="3941"/>
        <v>0.11121651238101468</v>
      </c>
      <c r="S878" s="842">
        <f t="shared" si="3941"/>
        <v>0.15719073464424474</v>
      </c>
      <c r="T878" s="842">
        <f t="shared" si="3941"/>
        <v>0.14521252458024506</v>
      </c>
      <c r="U878" s="842">
        <f t="shared" si="3941"/>
        <v>0.12193139326938709</v>
      </c>
      <c r="V878" s="842">
        <f t="shared" si="3941"/>
        <v>0.11136175437594587</v>
      </c>
      <c r="W878" s="842">
        <f t="shared" si="3941"/>
        <v>0.15249914547892621</v>
      </c>
      <c r="X878" s="842">
        <f t="shared" si="3941"/>
        <v>0.14803251332292619</v>
      </c>
      <c r="Y878" s="842">
        <f t="shared" si="3941"/>
        <v>0.12535982913919583</v>
      </c>
      <c r="Z878" s="842">
        <f t="shared" si="3941"/>
        <v>0.14386419220256078</v>
      </c>
      <c r="AA878" s="842">
        <f t="shared" si="3941"/>
        <v>0.15817299358641013</v>
      </c>
      <c r="AB878" s="842">
        <f t="shared" si="3941"/>
        <v>0.1632941280314231</v>
      </c>
      <c r="AC878" s="842">
        <f t="shared" si="3941"/>
        <v>0.13145685122177544</v>
      </c>
      <c r="AD878" s="842">
        <f t="shared" si="3941"/>
        <v>0.12763371150729336</v>
      </c>
      <c r="AE878" s="842">
        <f t="shared" si="3941"/>
        <v>0.16774317940807867</v>
      </c>
      <c r="AF878" s="842">
        <f t="shared" si="3941"/>
        <v>0.13167870396233192</v>
      </c>
      <c r="AG878" s="842">
        <f t="shared" ref="AG878:AH878" si="3942">+AG873/AG$12</f>
        <v>0.12891728439532107</v>
      </c>
      <c r="AH878" s="842">
        <f t="shared" si="3942"/>
        <v>0.14756796639990918</v>
      </c>
      <c r="AI878" s="842">
        <f t="shared" ref="AI878:AJ878" si="3943">+AI873/AI$12</f>
        <v>0.19042873160227092</v>
      </c>
      <c r="AJ878" s="842">
        <f t="shared" si="3943"/>
        <v>0.1981704619848895</v>
      </c>
      <c r="AK878" s="842">
        <f t="shared" ref="AK878:AL878" si="3944">+AK873/AK$12</f>
        <v>0.18542405675588519</v>
      </c>
      <c r="AL878" s="842">
        <f t="shared" si="3944"/>
        <v>0.22632480843221572</v>
      </c>
      <c r="AM878" s="842">
        <f t="shared" ref="AM878" si="3945">+AM873/AM$12</f>
        <v>0.29354056267091011</v>
      </c>
      <c r="AN878" s="29"/>
      <c r="AO878" s="29"/>
      <c r="AP878" s="29"/>
      <c r="AQ878" s="29"/>
      <c r="AR878" s="29"/>
      <c r="AS878" s="842" t="e">
        <f t="shared" ref="AS878:AW878" si="3946">+AS873/AS859</f>
        <v>#DIV/0!</v>
      </c>
      <c r="AT878" s="842" t="e">
        <f t="shared" si="3946"/>
        <v>#DIV/0!</v>
      </c>
      <c r="AU878" s="842" t="e">
        <f t="shared" si="3946"/>
        <v>#DIV/0!</v>
      </c>
      <c r="AV878" s="842" t="e">
        <f t="shared" si="3946"/>
        <v>#DIV/0!</v>
      </c>
      <c r="AW878" s="842" t="e">
        <f t="shared" si="3946"/>
        <v>#DIV/0!</v>
      </c>
      <c r="AX878" s="842">
        <f t="shared" si="3925"/>
        <v>3.1640099865565582E-2</v>
      </c>
      <c r="AY878" s="842">
        <f t="shared" si="3925"/>
        <v>3.3670274366269674E-2</v>
      </c>
      <c r="AZ878" s="842">
        <f t="shared" si="3925"/>
        <v>3.1265683707933749E-2</v>
      </c>
      <c r="BA878" s="842">
        <f t="shared" si="3925"/>
        <v>5.4682783336972858E-2</v>
      </c>
      <c r="BB878" s="842">
        <f t="shared" si="3925"/>
        <v>6.3167229048863904E-2</v>
      </c>
      <c r="BC878" s="842">
        <f t="shared" si="3925"/>
        <v>6.3517845693524255E-2</v>
      </c>
      <c r="BD878" s="842">
        <f t="shared" si="3925"/>
        <v>0.10431317393342709</v>
      </c>
      <c r="BE878" s="842">
        <f t="shared" ref="BE878" si="3947">+BE873/BE$12</f>
        <v>0.11339633129516398</v>
      </c>
      <c r="BF878" s="842"/>
      <c r="BG878" s="842">
        <f t="shared" ref="BG878" si="3948">+BG873/BG$12</f>
        <v>9.7636966013559465E-2</v>
      </c>
      <c r="BH878" s="842">
        <f t="shared" ref="BH878:BM878" si="3949">+BH873/BH$12</f>
        <v>0.10562177051081588</v>
      </c>
      <c r="BI878" s="842">
        <f t="shared" si="3949"/>
        <v>0.12323305545487495</v>
      </c>
      <c r="BJ878" s="842">
        <f t="shared" si="3949"/>
        <v>0.13429431911190928</v>
      </c>
      <c r="BK878" s="842">
        <f t="shared" si="3949"/>
        <v>0.13285319721707514</v>
      </c>
      <c r="BL878" s="842">
        <f t="shared" si="3949"/>
        <v>0.14397220503545763</v>
      </c>
      <c r="BM878" s="842">
        <f t="shared" si="3949"/>
        <v>0.14727391940283452</v>
      </c>
      <c r="BN878" s="842">
        <f t="shared" ref="BN878:BO878" si="3950">+BN873/BN$12</f>
        <v>0.15053205294575656</v>
      </c>
      <c r="BO878" s="842">
        <f t="shared" si="3950"/>
        <v>0.22723378562511728</v>
      </c>
      <c r="BP878" s="842"/>
    </row>
    <row r="879" spans="2:68" s="1" customFormat="1" ht="11.1" customHeight="1">
      <c r="B879" s="837"/>
      <c r="D879" s="838"/>
      <c r="E879" s="838"/>
      <c r="F879" s="838"/>
      <c r="G879" s="838"/>
      <c r="H879" s="838"/>
      <c r="I879" s="838"/>
      <c r="J879" s="838"/>
      <c r="K879" s="838"/>
      <c r="L879" s="838"/>
      <c r="M879" s="838"/>
      <c r="N879" s="838"/>
      <c r="O879" s="838"/>
      <c r="P879" s="838"/>
      <c r="Q879" s="838"/>
      <c r="R879" s="838"/>
      <c r="S879" s="838"/>
      <c r="T879" s="838"/>
      <c r="U879" s="838"/>
      <c r="V879" s="838"/>
      <c r="W879" s="838"/>
      <c r="X879" s="838"/>
      <c r="Y879" s="838"/>
      <c r="Z879" s="838"/>
      <c r="AA879" s="838"/>
      <c r="AB879" s="838"/>
      <c r="AC879" s="838"/>
      <c r="AD879" s="838"/>
      <c r="AE879" s="838"/>
      <c r="AF879" s="838"/>
      <c r="AG879" s="838"/>
      <c r="AH879" s="838"/>
      <c r="AI879" s="838"/>
      <c r="AJ879" s="838"/>
      <c r="AK879" s="838"/>
      <c r="AL879" s="838"/>
      <c r="AM879" s="29"/>
      <c r="AN879" s="29"/>
      <c r="AO879" s="29"/>
      <c r="AP879" s="29"/>
      <c r="AQ879" s="29"/>
      <c r="AR879" s="29"/>
      <c r="AS879" s="838"/>
      <c r="AT879" s="838"/>
      <c r="AU879" s="838"/>
      <c r="AV879" s="838"/>
      <c r="AW879" s="838"/>
      <c r="AX879" s="838"/>
      <c r="AY879" s="838"/>
      <c r="AZ879" s="838"/>
      <c r="BA879" s="838"/>
      <c r="BB879" s="838"/>
      <c r="BC879" s="838"/>
      <c r="BD879" s="838"/>
      <c r="BE879" s="838"/>
      <c r="BG879" s="838"/>
      <c r="BH879" s="838"/>
      <c r="BI879" s="838"/>
      <c r="BJ879" s="838"/>
      <c r="BK879" s="838"/>
      <c r="BL879" s="838"/>
      <c r="BM879" s="838"/>
      <c r="BN879" s="838"/>
      <c r="BO879" s="838"/>
      <c r="BP879" s="838"/>
    </row>
    <row r="880" spans="2:68" ht="11.1" customHeight="1">
      <c r="B880" s="5" t="s">
        <v>572</v>
      </c>
      <c r="C880" s="4"/>
      <c r="AL880" s="29"/>
      <c r="AM880" s="29"/>
      <c r="AN880" s="29"/>
      <c r="AO880" s="29"/>
      <c r="AP880" s="29"/>
      <c r="AQ880" s="29"/>
      <c r="AR880" s="29"/>
      <c r="BL880" s="100"/>
    </row>
    <row r="881" spans="2:68" ht="11.1" customHeight="1">
      <c r="B881" s="1"/>
      <c r="AL881" s="29"/>
      <c r="AM881" s="29"/>
      <c r="AN881" s="29"/>
      <c r="AO881" s="29"/>
      <c r="AP881" s="29"/>
      <c r="AQ881" s="29"/>
      <c r="AR881" s="29"/>
      <c r="BL881" s="100"/>
    </row>
    <row r="882" spans="2:68" ht="11.1" customHeight="1">
      <c r="B882" s="45" t="s">
        <v>573</v>
      </c>
      <c r="D882" s="876" t="s">
        <v>574</v>
      </c>
      <c r="E882" s="877"/>
      <c r="F882" s="877"/>
      <c r="G882" s="877"/>
      <c r="H882" s="877"/>
      <c r="I882" s="877"/>
      <c r="J882" s="877"/>
      <c r="AL882" s="29"/>
      <c r="AM882" s="29"/>
      <c r="AN882" s="29"/>
      <c r="AO882" s="29"/>
      <c r="AP882" s="29"/>
      <c r="AQ882" s="29"/>
      <c r="AR882" s="29"/>
      <c r="BL882" s="100"/>
    </row>
    <row r="883" spans="2:68" ht="11.1" customHeight="1">
      <c r="B883" t="s">
        <v>575</v>
      </c>
      <c r="D883" s="29">
        <v>5431</v>
      </c>
      <c r="E883" s="29">
        <v>7185</v>
      </c>
      <c r="F883" s="29">
        <v>7170</v>
      </c>
      <c r="G883" s="29">
        <v>6510</v>
      </c>
      <c r="H883" s="29">
        <v>13928</v>
      </c>
      <c r="I883" s="29">
        <v>8468</v>
      </c>
      <c r="J883" s="29">
        <v>6713</v>
      </c>
      <c r="K883" s="29">
        <v>7663</v>
      </c>
      <c r="L883" s="29">
        <v>6884</v>
      </c>
      <c r="M883" s="29">
        <v>12859</v>
      </c>
      <c r="N883" s="29">
        <v>9221</v>
      </c>
      <c r="O883" s="29">
        <v>11946</v>
      </c>
      <c r="P883" s="29">
        <v>15137</v>
      </c>
      <c r="Q883" s="29">
        <v>6638</v>
      </c>
      <c r="R883" s="29">
        <v>11212</v>
      </c>
      <c r="S883" s="29">
        <f>+BJ883</f>
        <v>11356</v>
      </c>
      <c r="T883" s="29">
        <v>13117</v>
      </c>
      <c r="U883" s="29">
        <v>8864</v>
      </c>
      <c r="V883" s="29">
        <v>11710</v>
      </c>
      <c r="W883" s="29">
        <v>13576</v>
      </c>
      <c r="X883" s="29">
        <v>17205</v>
      </c>
      <c r="Y883" s="29">
        <v>14432</v>
      </c>
      <c r="Z883" s="29">
        <v>13702</v>
      </c>
      <c r="AA883" s="29">
        <v>14224</v>
      </c>
      <c r="AB883" s="29">
        <v>19165</v>
      </c>
      <c r="AC883" s="29">
        <v>20604</v>
      </c>
      <c r="AD883" s="29">
        <v>12498</v>
      </c>
      <c r="AE883" s="29">
        <v>13931</v>
      </c>
      <c r="AF883" s="29">
        <v>22884</v>
      </c>
      <c r="AG883" s="29">
        <v>15646</v>
      </c>
      <c r="AH883" s="29">
        <v>26562</v>
      </c>
      <c r="AI883" s="29">
        <v>34704</v>
      </c>
      <c r="AJ883" s="29">
        <v>80452</v>
      </c>
      <c r="AK883" s="29">
        <v>17305</v>
      </c>
      <c r="AL883" s="29">
        <v>19634</v>
      </c>
      <c r="AM883" s="29">
        <v>18315</v>
      </c>
      <c r="AN883" s="29"/>
      <c r="AO883" s="29"/>
      <c r="AP883" s="29"/>
      <c r="AQ883" s="29"/>
      <c r="AR883" s="29"/>
      <c r="AS883" s="1213"/>
      <c r="AT883" s="29">
        <v>6714</v>
      </c>
      <c r="AU883" s="29">
        <v>6111</v>
      </c>
      <c r="AV883" s="29">
        <v>10339</v>
      </c>
      <c r="AW883" s="29">
        <v>6076</v>
      </c>
      <c r="AX883" s="29">
        <v>5505</v>
      </c>
      <c r="AY883" s="29">
        <v>9610</v>
      </c>
      <c r="AZ883" s="29">
        <v>6938</v>
      </c>
      <c r="BA883" s="29">
        <v>3804</v>
      </c>
      <c r="BB883" s="29">
        <v>8669</v>
      </c>
      <c r="BC883" s="29">
        <v>5595</v>
      </c>
      <c r="BD883" s="29">
        <v>6510</v>
      </c>
      <c r="BE883" s="29">
        <v>7663</v>
      </c>
      <c r="BG883" s="61">
        <f>+BD883</f>
        <v>6510</v>
      </c>
      <c r="BH883" s="29">
        <v>7663</v>
      </c>
      <c r="BI883" s="29">
        <v>11946</v>
      </c>
      <c r="BJ883" s="29">
        <v>11356</v>
      </c>
      <c r="BK883" s="11">
        <f t="shared" ref="BK883:BK888" si="3951">+W883</f>
        <v>13576</v>
      </c>
      <c r="BL883" s="11">
        <f>+AA883</f>
        <v>14224</v>
      </c>
      <c r="BM883" s="11">
        <f>+AE883</f>
        <v>13931</v>
      </c>
      <c r="BN883" s="11">
        <f>+AI883</f>
        <v>34704</v>
      </c>
      <c r="BO883" s="11">
        <f>+AM883</f>
        <v>18315</v>
      </c>
      <c r="BP883" s="29"/>
    </row>
    <row r="884" spans="2:68" ht="11.1" customHeight="1">
      <c r="B884" t="s">
        <v>576</v>
      </c>
      <c r="D884" s="29">
        <v>93924</v>
      </c>
      <c r="E884" s="29">
        <v>95455</v>
      </c>
      <c r="F884" s="29">
        <v>98382</v>
      </c>
      <c r="G884" s="29">
        <v>106730</v>
      </c>
      <c r="H884" s="29">
        <v>123004</v>
      </c>
      <c r="I884" s="29">
        <v>114313</v>
      </c>
      <c r="J884" s="29">
        <v>119305</v>
      </c>
      <c r="K884" s="29">
        <v>125318</v>
      </c>
      <c r="L884" s="29">
        <v>131587</v>
      </c>
      <c r="M884" s="29">
        <v>129921</v>
      </c>
      <c r="N884" s="29">
        <v>123049</v>
      </c>
      <c r="O884" s="29">
        <v>121822</v>
      </c>
      <c r="P884" s="29">
        <v>120743</v>
      </c>
      <c r="Q884" s="29">
        <v>121024</v>
      </c>
      <c r="R884" s="29">
        <v>120406</v>
      </c>
      <c r="S884" s="29">
        <f t="shared" ref="S884:S888" si="3952">+BJ884</f>
        <v>122463</v>
      </c>
      <c r="T884" s="29">
        <v>123519</v>
      </c>
      <c r="U884" s="29">
        <v>125389</v>
      </c>
      <c r="V884" s="29">
        <v>125916</v>
      </c>
      <c r="W884" s="29">
        <v>122951</v>
      </c>
      <c r="X884" s="29">
        <v>120772</v>
      </c>
      <c r="Y884" s="29">
        <v>117536</v>
      </c>
      <c r="Z884" s="29">
        <v>111705</v>
      </c>
      <c r="AA884" s="29">
        <v>116110</v>
      </c>
      <c r="AB884" s="29">
        <v>111450</v>
      </c>
      <c r="AC884" s="29">
        <v>104765</v>
      </c>
      <c r="AD884" s="29">
        <v>92195</v>
      </c>
      <c r="AE884" s="29">
        <v>90826</v>
      </c>
      <c r="AF884" s="29">
        <v>84378</v>
      </c>
      <c r="AG884" s="29">
        <v>83862</v>
      </c>
      <c r="AH884" s="29">
        <v>77865</v>
      </c>
      <c r="AI884" s="29">
        <v>76558</v>
      </c>
      <c r="AJ884" s="29">
        <v>63499</v>
      </c>
      <c r="AK884" s="29">
        <v>63712</v>
      </c>
      <c r="AL884" s="29">
        <v>60387</v>
      </c>
      <c r="AM884" s="29">
        <v>57228</v>
      </c>
      <c r="AN884" s="29"/>
      <c r="AO884" s="29"/>
      <c r="AP884" s="29"/>
      <c r="AQ884" s="29"/>
      <c r="AR884" s="29"/>
      <c r="AS884" s="1213"/>
      <c r="AT884" s="29">
        <v>27447</v>
      </c>
      <c r="AU884" s="29">
        <v>17300</v>
      </c>
      <c r="AV884" s="29">
        <v>13323</v>
      </c>
      <c r="AW884" s="29">
        <v>25371</v>
      </c>
      <c r="AX884" s="29">
        <v>31283</v>
      </c>
      <c r="AY884" s="29">
        <v>43162</v>
      </c>
      <c r="AZ884" s="29">
        <v>56102</v>
      </c>
      <c r="BA884" s="29">
        <v>73218</v>
      </c>
      <c r="BB884" s="29">
        <v>77040</v>
      </c>
      <c r="BC884" s="29">
        <v>90931</v>
      </c>
      <c r="BD884" s="29">
        <v>106730</v>
      </c>
      <c r="BE884" s="29">
        <v>125318</v>
      </c>
      <c r="BG884" s="61">
        <f t="shared" ref="BG884:BG897" si="3953">+BD884</f>
        <v>106730</v>
      </c>
      <c r="BH884" s="29">
        <v>125318</v>
      </c>
      <c r="BI884" s="29">
        <v>121822</v>
      </c>
      <c r="BJ884" s="29">
        <v>122463</v>
      </c>
      <c r="BK884" s="11">
        <f t="shared" si="3951"/>
        <v>122951</v>
      </c>
      <c r="BL884" s="11">
        <f t="shared" ref="BL884:BL897" si="3954">+AA884</f>
        <v>116110</v>
      </c>
      <c r="BM884" s="11">
        <f t="shared" ref="BM884:BM897" si="3955">+AE884</f>
        <v>90826</v>
      </c>
      <c r="BN884" s="11">
        <f t="shared" ref="BN884:BN922" si="3956">+AI884</f>
        <v>76558</v>
      </c>
      <c r="BO884" s="11">
        <f t="shared" ref="BO884:BO922" si="3957">+AM884</f>
        <v>57228</v>
      </c>
      <c r="BP884" s="29"/>
    </row>
    <row r="885" spans="2:68" ht="11.1" customHeight="1">
      <c r="B885" t="s">
        <v>577</v>
      </c>
      <c r="D885" s="29">
        <v>11444</v>
      </c>
      <c r="E885" s="29">
        <v>14507</v>
      </c>
      <c r="F885" s="29">
        <v>12247</v>
      </c>
      <c r="G885" s="29">
        <v>18277</v>
      </c>
      <c r="H885" s="29">
        <v>11129</v>
      </c>
      <c r="I885" s="29">
        <v>14343</v>
      </c>
      <c r="J885" s="29">
        <v>12882</v>
      </c>
      <c r="K885" s="29">
        <v>22431</v>
      </c>
      <c r="L885" s="29">
        <v>14561</v>
      </c>
      <c r="M885" s="29">
        <v>18428</v>
      </c>
      <c r="N885" s="29">
        <v>17208</v>
      </c>
      <c r="O885" s="29">
        <v>26481</v>
      </c>
      <c r="P885" s="29">
        <v>17390</v>
      </c>
      <c r="Q885" s="29">
        <v>19680</v>
      </c>
      <c r="R885" s="29">
        <v>19269</v>
      </c>
      <c r="S885" s="29">
        <f t="shared" si="3952"/>
        <v>29524</v>
      </c>
      <c r="T885" s="29">
        <v>19087</v>
      </c>
      <c r="U885" s="29">
        <v>23525</v>
      </c>
      <c r="V885" s="29">
        <v>22699</v>
      </c>
      <c r="W885" s="29">
        <v>32011</v>
      </c>
      <c r="X885" s="29">
        <v>22851</v>
      </c>
      <c r="Y885" s="29">
        <v>27312</v>
      </c>
      <c r="Z885" s="29">
        <v>26322</v>
      </c>
      <c r="AA885" s="29">
        <v>38043</v>
      </c>
      <c r="AB885" s="29">
        <v>27349</v>
      </c>
      <c r="AC885" s="29">
        <v>33520</v>
      </c>
      <c r="AD885" s="29">
        <v>32613</v>
      </c>
      <c r="AE885" s="29">
        <v>44261</v>
      </c>
      <c r="AF885" s="29">
        <v>31279</v>
      </c>
      <c r="AG885" s="29">
        <v>35833</v>
      </c>
      <c r="AH885" s="29">
        <v>37420</v>
      </c>
      <c r="AI885" s="29">
        <v>48688</v>
      </c>
      <c r="AJ885" s="29">
        <v>36953</v>
      </c>
      <c r="AK885" s="29">
        <v>42831</v>
      </c>
      <c r="AL885" s="29">
        <v>44029</v>
      </c>
      <c r="AM885" s="29">
        <v>56924</v>
      </c>
      <c r="AN885" s="29"/>
      <c r="AO885" s="29"/>
      <c r="AP885" s="29"/>
      <c r="AQ885" s="29"/>
      <c r="AR885" s="29"/>
      <c r="AS885" s="1213"/>
      <c r="AT885" s="29">
        <v>9316</v>
      </c>
      <c r="AU885" s="29">
        <v>11338</v>
      </c>
      <c r="AV885" s="29">
        <v>13589</v>
      </c>
      <c r="AW885" s="29">
        <v>11192</v>
      </c>
      <c r="AX885" s="29">
        <v>13014</v>
      </c>
      <c r="AY885" s="29">
        <v>14987</v>
      </c>
      <c r="AZ885" s="29">
        <v>15780</v>
      </c>
      <c r="BA885" s="29">
        <v>17486</v>
      </c>
      <c r="BB885" s="29">
        <v>19544</v>
      </c>
      <c r="BC885" s="29">
        <v>17908</v>
      </c>
      <c r="BD885" s="29">
        <v>18277</v>
      </c>
      <c r="BE885" s="29">
        <v>19792</v>
      </c>
      <c r="BG885" s="61">
        <f t="shared" si="3953"/>
        <v>18277</v>
      </c>
      <c r="BH885" s="29">
        <v>22431</v>
      </c>
      <c r="BI885" s="29">
        <v>26481</v>
      </c>
      <c r="BJ885" s="29">
        <v>29524</v>
      </c>
      <c r="BK885" s="11">
        <f t="shared" si="3951"/>
        <v>32011</v>
      </c>
      <c r="BL885" s="11">
        <f t="shared" si="3954"/>
        <v>38043</v>
      </c>
      <c r="BM885" s="11">
        <f t="shared" si="3955"/>
        <v>44261</v>
      </c>
      <c r="BN885" s="11">
        <f t="shared" si="3956"/>
        <v>48688</v>
      </c>
      <c r="BO885" s="11">
        <f t="shared" si="3957"/>
        <v>56924</v>
      </c>
      <c r="BP885" s="29"/>
    </row>
    <row r="886" spans="2:68" ht="11.1" customHeight="1">
      <c r="B886" t="s">
        <v>538</v>
      </c>
      <c r="D886" s="29">
        <v>3816</v>
      </c>
      <c r="E886" s="29">
        <v>2702</v>
      </c>
      <c r="F886" s="29">
        <v>2450</v>
      </c>
      <c r="G886" s="29">
        <v>2251</v>
      </c>
      <c r="H886" s="29">
        <v>3122</v>
      </c>
      <c r="I886" s="29">
        <v>1961</v>
      </c>
      <c r="J886" s="29">
        <v>1979</v>
      </c>
      <c r="K886" s="29">
        <v>2181</v>
      </c>
      <c r="L886" s="29">
        <v>3211</v>
      </c>
      <c r="M886" s="29">
        <v>2003</v>
      </c>
      <c r="N886" s="29">
        <v>2084</v>
      </c>
      <c r="O886" s="29">
        <v>2662</v>
      </c>
      <c r="P886" s="29">
        <v>3614</v>
      </c>
      <c r="Q886" s="29">
        <v>1961</v>
      </c>
      <c r="R886" s="29">
        <v>1951</v>
      </c>
      <c r="S886" s="29">
        <f t="shared" si="3952"/>
        <v>2063</v>
      </c>
      <c r="T886" s="29">
        <v>2622</v>
      </c>
      <c r="U886" s="29">
        <v>1823</v>
      </c>
      <c r="V886" s="29">
        <v>1644</v>
      </c>
      <c r="W886" s="29">
        <v>1895</v>
      </c>
      <c r="X886" s="29">
        <v>2705</v>
      </c>
      <c r="Y886" s="29">
        <v>1924</v>
      </c>
      <c r="Z886" s="29">
        <v>2245</v>
      </c>
      <c r="AA886" s="29">
        <v>2636</v>
      </c>
      <c r="AB886" s="29">
        <v>3411</v>
      </c>
      <c r="AC886" s="29">
        <v>3019</v>
      </c>
      <c r="AD886" s="29">
        <v>3296</v>
      </c>
      <c r="AE886" s="29">
        <v>3742</v>
      </c>
      <c r="AF886" s="29">
        <v>4268</v>
      </c>
      <c r="AG886" s="29">
        <v>2980</v>
      </c>
      <c r="AH886" s="29">
        <v>2877</v>
      </c>
      <c r="AI886" s="29">
        <v>2500</v>
      </c>
      <c r="AJ886" s="29">
        <v>3000</v>
      </c>
      <c r="AK886" s="29">
        <v>1615</v>
      </c>
      <c r="AL886" s="29">
        <v>1304</v>
      </c>
      <c r="AM886" s="29">
        <v>1246</v>
      </c>
      <c r="AN886" s="29"/>
      <c r="AO886" s="29"/>
      <c r="AP886" s="29"/>
      <c r="AQ886" s="29"/>
      <c r="AR886" s="29"/>
      <c r="AS886" s="1213"/>
      <c r="AT886" s="29">
        <v>1478</v>
      </c>
      <c r="AU886" s="29">
        <v>1127</v>
      </c>
      <c r="AV886" s="29">
        <v>985</v>
      </c>
      <c r="AW886" s="29">
        <v>717</v>
      </c>
      <c r="AX886" s="29">
        <v>740</v>
      </c>
      <c r="AY886" s="29">
        <v>1372</v>
      </c>
      <c r="AZ886" s="29">
        <v>1137</v>
      </c>
      <c r="BA886" s="29">
        <v>1938</v>
      </c>
      <c r="BB886" s="29">
        <v>2660</v>
      </c>
      <c r="BC886" s="29">
        <v>2902</v>
      </c>
      <c r="BD886" s="29">
        <v>2251</v>
      </c>
      <c r="BE886" s="29">
        <v>2181</v>
      </c>
      <c r="BG886" s="61">
        <f t="shared" si="3953"/>
        <v>2251</v>
      </c>
      <c r="BH886" s="29">
        <v>2181</v>
      </c>
      <c r="BI886" s="29">
        <v>2662</v>
      </c>
      <c r="BJ886" s="29">
        <v>2063</v>
      </c>
      <c r="BK886" s="11">
        <f t="shared" si="3951"/>
        <v>1895</v>
      </c>
      <c r="BL886" s="11">
        <f t="shared" si="3954"/>
        <v>2636</v>
      </c>
      <c r="BM886" s="11">
        <f t="shared" si="3955"/>
        <v>3742</v>
      </c>
      <c r="BN886" s="11">
        <f t="shared" si="3956"/>
        <v>2500</v>
      </c>
      <c r="BO886" s="11">
        <f t="shared" si="3957"/>
        <v>1246</v>
      </c>
      <c r="BP886" s="29"/>
    </row>
    <row r="887" spans="2:68" ht="11.1" customHeight="1">
      <c r="B887" t="s">
        <v>534</v>
      </c>
      <c r="D887" s="29">
        <v>1447</v>
      </c>
      <c r="E887" s="29">
        <v>1618</v>
      </c>
      <c r="F887" s="29">
        <v>1574</v>
      </c>
      <c r="G887" s="29">
        <v>0</v>
      </c>
      <c r="H887" s="29">
        <v>0</v>
      </c>
      <c r="I887" s="29">
        <v>0</v>
      </c>
      <c r="J887" s="29">
        <v>0</v>
      </c>
      <c r="K887" s="29">
        <v>0</v>
      </c>
      <c r="L887" s="29">
        <v>0</v>
      </c>
      <c r="M887" s="29">
        <v>0</v>
      </c>
      <c r="N887" s="29">
        <v>0</v>
      </c>
      <c r="O887" s="29">
        <v>0</v>
      </c>
      <c r="P887" s="29">
        <v>0</v>
      </c>
      <c r="Q887" s="29">
        <v>0</v>
      </c>
      <c r="R887" s="29">
        <v>0</v>
      </c>
      <c r="S887" s="29">
        <f t="shared" si="3952"/>
        <v>0</v>
      </c>
      <c r="T887" s="29">
        <v>0</v>
      </c>
      <c r="U887" s="29">
        <v>0</v>
      </c>
      <c r="V887" s="29">
        <v>0</v>
      </c>
      <c r="W887" s="29">
        <v>0</v>
      </c>
      <c r="X887" s="29">
        <v>0</v>
      </c>
      <c r="Y887" s="29">
        <v>0</v>
      </c>
      <c r="Z887" s="29">
        <v>0</v>
      </c>
      <c r="AA887" s="29">
        <v>0</v>
      </c>
      <c r="AB887" s="29">
        <v>0</v>
      </c>
      <c r="AC887" s="29">
        <v>0</v>
      </c>
      <c r="AD887" s="29">
        <v>0</v>
      </c>
      <c r="AE887" s="29">
        <v>0</v>
      </c>
      <c r="AF887" s="29">
        <v>0</v>
      </c>
      <c r="AG887" s="29">
        <v>0</v>
      </c>
      <c r="AH887" s="29">
        <v>0</v>
      </c>
      <c r="AI887" s="29">
        <v>0</v>
      </c>
      <c r="AJ887" s="29">
        <v>0</v>
      </c>
      <c r="AK887" s="29">
        <v>0</v>
      </c>
      <c r="AL887" s="29">
        <v>0</v>
      </c>
      <c r="AM887" s="29">
        <v>0</v>
      </c>
      <c r="AN887" s="29"/>
      <c r="AO887" s="29"/>
      <c r="AP887" s="29"/>
      <c r="AQ887" s="29"/>
      <c r="AR887" s="29"/>
      <c r="AS887" s="1213"/>
      <c r="AT887" s="29">
        <v>1940</v>
      </c>
      <c r="AU887" s="29">
        <v>1899</v>
      </c>
      <c r="AV887" s="29">
        <v>2017</v>
      </c>
      <c r="AW887" s="29">
        <v>2213</v>
      </c>
      <c r="AX887" s="29">
        <v>2184</v>
      </c>
      <c r="AY887" s="29">
        <v>2467</v>
      </c>
      <c r="AZ887" s="29">
        <v>2035</v>
      </c>
      <c r="BA887" s="29">
        <v>1632</v>
      </c>
      <c r="BB887" s="29">
        <v>1941</v>
      </c>
      <c r="BC887" s="29">
        <v>0</v>
      </c>
      <c r="BD887" s="29">
        <v>0</v>
      </c>
      <c r="BE887" s="29">
        <v>0</v>
      </c>
      <c r="BG887" s="61">
        <f t="shared" si="3953"/>
        <v>0</v>
      </c>
      <c r="BH887" s="29">
        <v>0</v>
      </c>
      <c r="BI887" s="29">
        <v>0</v>
      </c>
      <c r="BJ887" s="29">
        <v>0</v>
      </c>
      <c r="BK887" s="11">
        <f t="shared" si="3951"/>
        <v>0</v>
      </c>
      <c r="BL887" s="11">
        <f t="shared" si="3954"/>
        <v>0</v>
      </c>
      <c r="BM887" s="11">
        <f t="shared" si="3955"/>
        <v>0</v>
      </c>
      <c r="BN887" s="11">
        <f t="shared" si="3956"/>
        <v>0</v>
      </c>
      <c r="BO887" s="11">
        <f t="shared" si="3957"/>
        <v>0</v>
      </c>
      <c r="BP887" s="29"/>
    </row>
    <row r="888" spans="2:68" s="852" customFormat="1" ht="11.1" customHeight="1">
      <c r="B888" t="s">
        <v>544</v>
      </c>
      <c r="D888" s="939">
        <v>5594</v>
      </c>
      <c r="E888" s="939">
        <v>6345</v>
      </c>
      <c r="F888" s="939">
        <v>6598</v>
      </c>
      <c r="G888" s="939">
        <v>5892</v>
      </c>
      <c r="H888" s="939">
        <v>6726</v>
      </c>
      <c r="I888" s="939">
        <v>5864</v>
      </c>
      <c r="J888" s="939">
        <v>5434</v>
      </c>
      <c r="K888" s="939">
        <v>5103</v>
      </c>
      <c r="L888" s="939">
        <v>4788</v>
      </c>
      <c r="M888" s="939">
        <v>4422</v>
      </c>
      <c r="N888" s="939">
        <v>5097</v>
      </c>
      <c r="O888" s="939">
        <v>6751</v>
      </c>
      <c r="P888" s="939">
        <v>7311</v>
      </c>
      <c r="Q888" s="939">
        <v>7571</v>
      </c>
      <c r="R888" s="939">
        <v>7049</v>
      </c>
      <c r="S888" s="939">
        <f t="shared" si="3952"/>
        <v>10146</v>
      </c>
      <c r="T888" s="939">
        <v>7551</v>
      </c>
      <c r="U888" s="939">
        <v>7473</v>
      </c>
      <c r="V888" s="939">
        <v>8536</v>
      </c>
      <c r="W888" s="939">
        <v>11482</v>
      </c>
      <c r="X888" s="939">
        <v>13544</v>
      </c>
      <c r="Y888" s="939">
        <v>12769</v>
      </c>
      <c r="Z888" s="30">
        <v>11640</v>
      </c>
      <c r="AA888" s="939">
        <v>13393</v>
      </c>
      <c r="AB888" s="939">
        <v>12951</v>
      </c>
      <c r="AC888" s="939">
        <v>12280</v>
      </c>
      <c r="AD888" s="939">
        <v>13320</v>
      </c>
      <c r="AE888" s="939">
        <v>16924</v>
      </c>
      <c r="AF888" s="939">
        <v>18003</v>
      </c>
      <c r="AG888" s="939">
        <v>19502</v>
      </c>
      <c r="AH888" s="939">
        <v>19165</v>
      </c>
      <c r="AI888" s="939">
        <v>21807</v>
      </c>
      <c r="AJ888" s="939">
        <v>23682</v>
      </c>
      <c r="AK888" s="939">
        <v>21930</v>
      </c>
      <c r="AL888" s="939">
        <v>21826</v>
      </c>
      <c r="AM888" s="30">
        <v>26021</v>
      </c>
      <c r="AN888" s="29"/>
      <c r="AO888" s="29"/>
      <c r="AP888" s="29"/>
      <c r="AQ888" s="29"/>
      <c r="AR888" s="29"/>
      <c r="AS888" s="1213"/>
      <c r="AT888" s="939">
        <v>2115</v>
      </c>
      <c r="AU888" s="939">
        <v>2393</v>
      </c>
      <c r="AV888" s="939">
        <v>2989</v>
      </c>
      <c r="AW888" s="939">
        <v>3711</v>
      </c>
      <c r="AX888" s="939">
        <v>2950</v>
      </c>
      <c r="AY888" s="939">
        <v>3320</v>
      </c>
      <c r="AZ888" s="939">
        <v>3092</v>
      </c>
      <c r="BA888" s="939">
        <v>3388</v>
      </c>
      <c r="BB888" s="939">
        <v>4392</v>
      </c>
      <c r="BC888" s="939">
        <v>5461</v>
      </c>
      <c r="BD888" s="939">
        <v>5892</v>
      </c>
      <c r="BE888" s="939">
        <v>4897</v>
      </c>
      <c r="BG888" s="1209">
        <f t="shared" si="3953"/>
        <v>5892</v>
      </c>
      <c r="BH888" s="939">
        <v>5103</v>
      </c>
      <c r="BI888" s="939">
        <v>6751</v>
      </c>
      <c r="BJ888" s="939">
        <v>10146</v>
      </c>
      <c r="BK888" s="940">
        <f t="shared" si="3951"/>
        <v>11482</v>
      </c>
      <c r="BL888" s="940">
        <f t="shared" si="3954"/>
        <v>13393</v>
      </c>
      <c r="BM888" s="940">
        <f t="shared" si="3955"/>
        <v>16924</v>
      </c>
      <c r="BN888" s="940">
        <f t="shared" si="3956"/>
        <v>21807</v>
      </c>
      <c r="BO888" s="940">
        <f t="shared" si="3957"/>
        <v>26021</v>
      </c>
      <c r="BP888" s="939"/>
    </row>
    <row r="889" spans="2:68" ht="11.1" customHeight="1">
      <c r="B889" s="12" t="s">
        <v>578</v>
      </c>
      <c r="D889" s="8">
        <f>SUM(D883:D888)</f>
        <v>121656</v>
      </c>
      <c r="E889" s="8">
        <f t="shared" ref="E889:AJ889" si="3958">SUM(E883:E888)</f>
        <v>127812</v>
      </c>
      <c r="F889" s="8">
        <f t="shared" si="3958"/>
        <v>128421</v>
      </c>
      <c r="G889" s="8">
        <f t="shared" si="3958"/>
        <v>139660</v>
      </c>
      <c r="H889" s="8">
        <f t="shared" si="3958"/>
        <v>157909</v>
      </c>
      <c r="I889" s="8">
        <f t="shared" si="3958"/>
        <v>144949</v>
      </c>
      <c r="J889" s="8">
        <f t="shared" si="3958"/>
        <v>146313</v>
      </c>
      <c r="K889" s="8">
        <f t="shared" si="3958"/>
        <v>162696</v>
      </c>
      <c r="L889" s="8">
        <f t="shared" si="3958"/>
        <v>161031</v>
      </c>
      <c r="M889" s="8">
        <f t="shared" si="3958"/>
        <v>167633</v>
      </c>
      <c r="N889" s="8">
        <f t="shared" si="3958"/>
        <v>156659</v>
      </c>
      <c r="O889" s="8">
        <f t="shared" si="3958"/>
        <v>169662</v>
      </c>
      <c r="P889" s="8">
        <f t="shared" si="3958"/>
        <v>164195</v>
      </c>
      <c r="Q889" s="8">
        <f t="shared" si="3958"/>
        <v>156874</v>
      </c>
      <c r="R889" s="8">
        <f t="shared" si="3958"/>
        <v>159887</v>
      </c>
      <c r="S889" s="8">
        <f t="shared" si="3958"/>
        <v>175552</v>
      </c>
      <c r="T889" s="8">
        <f t="shared" si="3958"/>
        <v>165896</v>
      </c>
      <c r="U889" s="8">
        <f t="shared" si="3958"/>
        <v>167074</v>
      </c>
      <c r="V889" s="8">
        <f t="shared" si="3958"/>
        <v>170505</v>
      </c>
      <c r="W889" s="8">
        <f t="shared" si="3958"/>
        <v>181915</v>
      </c>
      <c r="X889" s="8">
        <f t="shared" si="3958"/>
        <v>177077</v>
      </c>
      <c r="Y889" s="8">
        <f t="shared" si="3958"/>
        <v>173973</v>
      </c>
      <c r="Z889" s="8">
        <f t="shared" si="3958"/>
        <v>165614</v>
      </c>
      <c r="AA889" s="8">
        <f t="shared" si="3958"/>
        <v>184406</v>
      </c>
      <c r="AB889" s="8">
        <f t="shared" si="3958"/>
        <v>174326</v>
      </c>
      <c r="AC889" s="8">
        <f t="shared" si="3958"/>
        <v>174188</v>
      </c>
      <c r="AD889" s="8">
        <f t="shared" si="3958"/>
        <v>153922</v>
      </c>
      <c r="AE889" s="8">
        <f t="shared" si="3958"/>
        <v>169684</v>
      </c>
      <c r="AF889" s="8">
        <f t="shared" si="3958"/>
        <v>160812</v>
      </c>
      <c r="AG889" s="8">
        <f t="shared" si="3958"/>
        <v>157823</v>
      </c>
      <c r="AH889" s="8">
        <f t="shared" si="3958"/>
        <v>163889</v>
      </c>
      <c r="AI889" s="8">
        <f t="shared" si="3958"/>
        <v>184257</v>
      </c>
      <c r="AJ889" s="8">
        <f t="shared" si="3958"/>
        <v>207586</v>
      </c>
      <c r="AK889" s="8">
        <v>147393</v>
      </c>
      <c r="AL889" s="8">
        <f>+SUM(AL883:AL888)</f>
        <v>147180</v>
      </c>
      <c r="AM889" s="8">
        <f>+SUM(AM883:AM888)</f>
        <v>159734</v>
      </c>
      <c r="AN889" s="29"/>
      <c r="AR889" s="29"/>
      <c r="AS889" s="1213"/>
      <c r="AT889" s="8">
        <f t="shared" ref="AT889:BE889" si="3959">SUM(AT883:AT888)</f>
        <v>49010</v>
      </c>
      <c r="AU889" s="8">
        <f t="shared" si="3959"/>
        <v>40168</v>
      </c>
      <c r="AV889" s="8">
        <f t="shared" si="3959"/>
        <v>43242</v>
      </c>
      <c r="AW889" s="8">
        <f t="shared" si="3959"/>
        <v>49280</v>
      </c>
      <c r="AX889" s="8">
        <f t="shared" si="3959"/>
        <v>55676</v>
      </c>
      <c r="AY889" s="8">
        <f t="shared" si="3959"/>
        <v>74918</v>
      </c>
      <c r="AZ889" s="8">
        <f t="shared" si="3959"/>
        <v>85084</v>
      </c>
      <c r="BA889" s="8">
        <f t="shared" si="3959"/>
        <v>101466</v>
      </c>
      <c r="BB889" s="8">
        <f t="shared" si="3959"/>
        <v>114246</v>
      </c>
      <c r="BC889" s="8">
        <f t="shared" si="3959"/>
        <v>122797</v>
      </c>
      <c r="BD889" s="8">
        <f t="shared" si="3959"/>
        <v>139660</v>
      </c>
      <c r="BE889" s="8">
        <f t="shared" si="3959"/>
        <v>159851</v>
      </c>
      <c r="BG889" s="8">
        <f t="shared" si="3953"/>
        <v>139660</v>
      </c>
      <c r="BH889" s="8">
        <f t="shared" ref="BH889" si="3960">SUM(BH883:BH888)</f>
        <v>162696</v>
      </c>
      <c r="BI889" s="8">
        <v>169662</v>
      </c>
      <c r="BJ889" s="8">
        <f>+SUM(BJ883:BJ888)</f>
        <v>175552</v>
      </c>
      <c r="BK889" s="11">
        <f>+SUM(BK883:BK888)</f>
        <v>181915</v>
      </c>
      <c r="BL889" s="11">
        <f t="shared" si="3954"/>
        <v>184406</v>
      </c>
      <c r="BM889" s="11">
        <f t="shared" si="3955"/>
        <v>169684</v>
      </c>
      <c r="BN889" s="11">
        <f t="shared" si="3956"/>
        <v>184257</v>
      </c>
      <c r="BO889" s="11">
        <f t="shared" si="3957"/>
        <v>159734</v>
      </c>
      <c r="BP889" s="8"/>
    </row>
    <row r="890" spans="2:68" ht="11.1" customHeight="1">
      <c r="B890" t="s">
        <v>579</v>
      </c>
      <c r="D890" s="29">
        <v>0</v>
      </c>
      <c r="E890" s="29">
        <v>0</v>
      </c>
      <c r="F890" s="29">
        <v>0</v>
      </c>
      <c r="G890" s="29">
        <v>0</v>
      </c>
      <c r="H890" s="29">
        <v>0</v>
      </c>
      <c r="I890" s="29">
        <v>0</v>
      </c>
      <c r="J890" s="29">
        <v>0</v>
      </c>
      <c r="K890" s="29">
        <v>6555</v>
      </c>
      <c r="L890" s="29">
        <v>6844</v>
      </c>
      <c r="M890" s="29">
        <v>6749</v>
      </c>
      <c r="N890" s="29">
        <v>6859</v>
      </c>
      <c r="O890" s="29">
        <v>6686</v>
      </c>
      <c r="P890" s="29">
        <v>6734</v>
      </c>
      <c r="Q890" s="29">
        <v>6806</v>
      </c>
      <c r="R890" s="29">
        <v>7121</v>
      </c>
      <c r="S890" s="29">
        <f t="shared" ref="S890:S896" si="3961">+BJ890</f>
        <v>7379</v>
      </c>
      <c r="T890" s="29">
        <v>7890</v>
      </c>
      <c r="U890" s="29">
        <v>8439</v>
      </c>
      <c r="V890" s="29">
        <v>8448</v>
      </c>
      <c r="W890" s="29">
        <v>8753</v>
      </c>
      <c r="X890" s="29">
        <v>9047</v>
      </c>
      <c r="Y890" s="29">
        <v>10298</v>
      </c>
      <c r="Z890" s="29">
        <v>10673</v>
      </c>
      <c r="AA890" s="29">
        <v>11088</v>
      </c>
      <c r="AB890" s="29">
        <v>11575</v>
      </c>
      <c r="AC890" s="29">
        <v>12354</v>
      </c>
      <c r="AD890" s="29">
        <v>12916</v>
      </c>
      <c r="AE890" s="29">
        <v>13148</v>
      </c>
      <c r="AF890" s="29">
        <v>13347</v>
      </c>
      <c r="AG890" s="29">
        <v>13624</v>
      </c>
      <c r="AH890" s="29">
        <v>13879</v>
      </c>
      <c r="AI890" s="29">
        <v>14346</v>
      </c>
      <c r="AJ890" s="29">
        <v>15435</v>
      </c>
      <c r="AK890" s="29">
        <v>16398</v>
      </c>
      <c r="AL890" s="29">
        <v>17371</v>
      </c>
      <c r="AM890" s="29">
        <v>18961</v>
      </c>
      <c r="AN890" s="29"/>
      <c r="AO890" s="29"/>
      <c r="AP890" s="29"/>
      <c r="AQ890" s="29"/>
      <c r="AR890" s="29"/>
      <c r="AS890" s="1213"/>
      <c r="AT890" s="29">
        <v>0</v>
      </c>
      <c r="AU890" s="29">
        <v>0</v>
      </c>
      <c r="AV890" s="29">
        <v>0</v>
      </c>
      <c r="AW890" s="29">
        <v>0</v>
      </c>
      <c r="AX890" s="29">
        <v>0</v>
      </c>
      <c r="AY890" s="29">
        <v>0</v>
      </c>
      <c r="AZ890" s="29">
        <v>0</v>
      </c>
      <c r="BA890" s="29">
        <v>0</v>
      </c>
      <c r="BB890" s="29">
        <v>0</v>
      </c>
      <c r="BC890" s="29">
        <v>0</v>
      </c>
      <c r="BD890" s="29">
        <v>0</v>
      </c>
      <c r="BE890" s="29">
        <v>0</v>
      </c>
      <c r="BG890" s="61">
        <f t="shared" si="3953"/>
        <v>0</v>
      </c>
      <c r="BH890" s="29">
        <v>6555</v>
      </c>
      <c r="BI890" s="29">
        <v>6686</v>
      </c>
      <c r="BJ890" s="29">
        <v>7379</v>
      </c>
      <c r="BK890" s="11">
        <f t="shared" ref="BK890:BK896" si="3962">+W890</f>
        <v>8753</v>
      </c>
      <c r="BL890" s="11">
        <f t="shared" si="3954"/>
        <v>11088</v>
      </c>
      <c r="BM890" s="11">
        <f t="shared" si="3955"/>
        <v>13148</v>
      </c>
      <c r="BN890" s="11">
        <f t="shared" si="3956"/>
        <v>14346</v>
      </c>
      <c r="BO890" s="11">
        <f t="shared" si="3957"/>
        <v>18961</v>
      </c>
      <c r="BP890" s="29"/>
    </row>
    <row r="891" spans="2:68" ht="11.1" customHeight="1">
      <c r="B891" t="s">
        <v>580</v>
      </c>
      <c r="D891" s="29">
        <v>15046</v>
      </c>
      <c r="E891" s="29">
        <v>15789</v>
      </c>
      <c r="F891" s="29">
        <v>16831</v>
      </c>
      <c r="G891" s="29">
        <v>18356</v>
      </c>
      <c r="H891" s="29">
        <v>19224</v>
      </c>
      <c r="I891" s="29">
        <v>21379</v>
      </c>
      <c r="J891" s="29">
        <v>21962</v>
      </c>
      <c r="K891" s="29">
        <v>23734</v>
      </c>
      <c r="L891" s="29">
        <v>24809</v>
      </c>
      <c r="M891" s="29">
        <v>26304</v>
      </c>
      <c r="N891" s="29">
        <v>27929</v>
      </c>
      <c r="O891" s="29">
        <v>29460</v>
      </c>
      <c r="P891" s="29">
        <v>31430</v>
      </c>
      <c r="Q891" s="29">
        <v>32717</v>
      </c>
      <c r="R891" s="29">
        <v>33648</v>
      </c>
      <c r="S891" s="29">
        <f t="shared" si="3961"/>
        <v>36477</v>
      </c>
      <c r="T891" s="29">
        <v>38409</v>
      </c>
      <c r="U891" s="29">
        <v>40522</v>
      </c>
      <c r="V891" s="29">
        <v>41221</v>
      </c>
      <c r="W891" s="29">
        <v>44151</v>
      </c>
      <c r="X891" s="29">
        <v>47927</v>
      </c>
      <c r="Y891" s="29">
        <v>51737</v>
      </c>
      <c r="Z891" s="29">
        <v>54945</v>
      </c>
      <c r="AA891" s="29">
        <v>59715</v>
      </c>
      <c r="AB891" s="29">
        <v>63772</v>
      </c>
      <c r="AC891" s="29">
        <v>67214</v>
      </c>
      <c r="AD891" s="29">
        <v>70298</v>
      </c>
      <c r="AE891" s="29">
        <v>74398</v>
      </c>
      <c r="AF891" s="29">
        <v>77037</v>
      </c>
      <c r="AG891" s="29">
        <v>82755</v>
      </c>
      <c r="AH891" s="29">
        <v>88132</v>
      </c>
      <c r="AI891" s="29">
        <v>95641</v>
      </c>
      <c r="AJ891" s="29">
        <v>102502</v>
      </c>
      <c r="AK891" s="29">
        <v>112308</v>
      </c>
      <c r="AL891" s="29">
        <v>121375</v>
      </c>
      <c r="AM891" s="29">
        <v>135591</v>
      </c>
      <c r="AN891" s="29"/>
      <c r="AO891" s="29"/>
      <c r="AP891" s="29"/>
      <c r="AQ891" s="29"/>
      <c r="AR891" s="29"/>
      <c r="AS891" s="1213"/>
      <c r="AT891" s="29">
        <v>3044</v>
      </c>
      <c r="AU891" s="29">
        <v>4350</v>
      </c>
      <c r="AV891" s="29">
        <v>6242</v>
      </c>
      <c r="AW891" s="29">
        <v>7535</v>
      </c>
      <c r="AX891" s="29">
        <v>7630</v>
      </c>
      <c r="AY891" s="29">
        <v>8162</v>
      </c>
      <c r="AZ891" s="29">
        <v>8269</v>
      </c>
      <c r="BA891" s="29">
        <v>9991</v>
      </c>
      <c r="BB891" s="29">
        <v>13011</v>
      </c>
      <c r="BC891" s="29">
        <v>14731</v>
      </c>
      <c r="BD891" s="29">
        <v>18356</v>
      </c>
      <c r="BE891" s="29">
        <v>23734</v>
      </c>
      <c r="BG891" s="61">
        <f t="shared" si="3953"/>
        <v>18356</v>
      </c>
      <c r="BH891" s="29">
        <v>23734</v>
      </c>
      <c r="BI891" s="29">
        <v>29460</v>
      </c>
      <c r="BJ891" s="29">
        <v>36477</v>
      </c>
      <c r="BK891" s="11">
        <f t="shared" si="3962"/>
        <v>44151</v>
      </c>
      <c r="BL891" s="11">
        <f t="shared" si="3954"/>
        <v>59715</v>
      </c>
      <c r="BM891" s="11">
        <f t="shared" si="3955"/>
        <v>74398</v>
      </c>
      <c r="BN891" s="11">
        <f t="shared" si="3956"/>
        <v>95641</v>
      </c>
      <c r="BO891" s="11">
        <f t="shared" si="3957"/>
        <v>135591</v>
      </c>
      <c r="BP891" s="29"/>
    </row>
    <row r="892" spans="2:68" ht="11.1" customHeight="1">
      <c r="B892" t="s">
        <v>581</v>
      </c>
      <c r="D892" s="29">
        <v>11438</v>
      </c>
      <c r="E892" s="29">
        <v>11514</v>
      </c>
      <c r="F892" s="29">
        <v>11315</v>
      </c>
      <c r="G892" s="29">
        <v>10431</v>
      </c>
      <c r="H892" s="29">
        <v>10486</v>
      </c>
      <c r="I892" s="29">
        <v>8912</v>
      </c>
      <c r="J892" s="29">
        <v>7381</v>
      </c>
      <c r="K892" s="29">
        <v>6023</v>
      </c>
      <c r="L892" s="29">
        <v>5343</v>
      </c>
      <c r="M892" s="29">
        <v>3961</v>
      </c>
      <c r="N892" s="29">
        <v>2818</v>
      </c>
      <c r="O892" s="29">
        <v>1862</v>
      </c>
      <c r="P892" s="29">
        <v>2034</v>
      </c>
      <c r="Q892" s="29">
        <v>2274</v>
      </c>
      <c r="R892" s="29">
        <v>2403</v>
      </c>
      <c r="S892" s="29">
        <f t="shared" si="3961"/>
        <v>2649</v>
      </c>
      <c r="T892" s="29">
        <v>2684</v>
      </c>
      <c r="U892" s="29">
        <v>2755</v>
      </c>
      <c r="V892" s="29">
        <v>2660</v>
      </c>
      <c r="W892" s="29">
        <v>2965</v>
      </c>
      <c r="X892" s="29">
        <v>3103</v>
      </c>
      <c r="Y892" s="29">
        <v>3794</v>
      </c>
      <c r="Z892" s="29">
        <v>5395</v>
      </c>
      <c r="AA892" s="29">
        <v>5984</v>
      </c>
      <c r="AB892" s="29">
        <v>6393</v>
      </c>
      <c r="AC892" s="29">
        <v>6994</v>
      </c>
      <c r="AD892" s="29">
        <v>6907</v>
      </c>
      <c r="AE892" s="29">
        <v>6891</v>
      </c>
      <c r="AF892" s="29">
        <v>6839</v>
      </c>
      <c r="AG892" s="29">
        <v>7097</v>
      </c>
      <c r="AH892" s="29">
        <v>9415</v>
      </c>
      <c r="AI892" s="29">
        <v>9879</v>
      </c>
      <c r="AJ892" s="29">
        <v>11423</v>
      </c>
      <c r="AK892" s="29">
        <v>13367</v>
      </c>
      <c r="AL892" s="29">
        <v>14807</v>
      </c>
      <c r="AM892" s="29">
        <v>14600</v>
      </c>
      <c r="AN892" s="29"/>
      <c r="AO892" s="29"/>
      <c r="AP892" s="29"/>
      <c r="AQ892" s="29"/>
      <c r="AR892" s="29"/>
      <c r="AS892" s="1213"/>
      <c r="AT892" s="29">
        <v>9232</v>
      </c>
      <c r="AU892" s="29">
        <v>10117</v>
      </c>
      <c r="AV892" s="29">
        <v>6588</v>
      </c>
      <c r="AW892" s="29">
        <v>4933</v>
      </c>
      <c r="AX892" s="29">
        <v>7754</v>
      </c>
      <c r="AY892" s="29">
        <v>10865</v>
      </c>
      <c r="AZ892" s="29">
        <v>9776</v>
      </c>
      <c r="BA892" s="29">
        <v>10844</v>
      </c>
      <c r="BB892" s="29">
        <v>14597</v>
      </c>
      <c r="BC892" s="29">
        <v>12053</v>
      </c>
      <c r="BD892" s="29">
        <v>10431</v>
      </c>
      <c r="BE892" s="29">
        <v>6023</v>
      </c>
      <c r="BG892" s="61">
        <f t="shared" si="3953"/>
        <v>10431</v>
      </c>
      <c r="BH892" s="29">
        <v>6023</v>
      </c>
      <c r="BI892" s="29">
        <v>1862</v>
      </c>
      <c r="BJ892" s="29">
        <v>2649</v>
      </c>
      <c r="BK892" s="11">
        <f t="shared" si="3962"/>
        <v>2965</v>
      </c>
      <c r="BL892" s="11">
        <f t="shared" si="3954"/>
        <v>5984</v>
      </c>
      <c r="BM892" s="11">
        <f t="shared" si="3955"/>
        <v>6891</v>
      </c>
      <c r="BN892" s="11">
        <f t="shared" si="3956"/>
        <v>9879</v>
      </c>
      <c r="BO892" s="11">
        <f t="shared" si="3957"/>
        <v>14600</v>
      </c>
      <c r="BP892" s="29"/>
    </row>
    <row r="893" spans="2:68" ht="11.1" customHeight="1">
      <c r="B893" t="s">
        <v>534</v>
      </c>
      <c r="D893" s="29">
        <v>0</v>
      </c>
      <c r="E893" s="29">
        <v>0</v>
      </c>
      <c r="F893" s="29">
        <v>0</v>
      </c>
      <c r="G893" s="29">
        <v>0</v>
      </c>
      <c r="H893" s="29">
        <v>0</v>
      </c>
      <c r="I893" s="29">
        <v>0</v>
      </c>
      <c r="J893" s="29">
        <v>0</v>
      </c>
      <c r="K893" s="29">
        <v>0</v>
      </c>
      <c r="L893" s="29">
        <v>0</v>
      </c>
      <c r="M893" s="29">
        <v>0</v>
      </c>
      <c r="N893" s="29">
        <v>0</v>
      </c>
      <c r="O893" s="29">
        <v>0</v>
      </c>
      <c r="P893" s="29">
        <v>0</v>
      </c>
      <c r="Q893" s="29">
        <v>0</v>
      </c>
      <c r="R893" s="29">
        <v>0</v>
      </c>
      <c r="S893" s="29">
        <f t="shared" si="3961"/>
        <v>0</v>
      </c>
      <c r="T893" s="29">
        <v>0</v>
      </c>
      <c r="U893" s="29">
        <v>0</v>
      </c>
      <c r="V893" s="29">
        <v>0</v>
      </c>
      <c r="W893" s="29">
        <v>0</v>
      </c>
      <c r="X893" s="29">
        <v>0</v>
      </c>
      <c r="Y893" s="29">
        <v>0</v>
      </c>
      <c r="Z893" s="29">
        <v>0</v>
      </c>
      <c r="AA893" s="29">
        <v>0</v>
      </c>
      <c r="AB893" s="29">
        <v>0</v>
      </c>
      <c r="AC893" s="29">
        <v>0</v>
      </c>
      <c r="AD893" s="29">
        <v>0</v>
      </c>
      <c r="AE893" s="29">
        <v>0</v>
      </c>
      <c r="AF893" s="29">
        <v>0</v>
      </c>
      <c r="AG893" s="29">
        <v>0</v>
      </c>
      <c r="AH893" s="29">
        <v>0</v>
      </c>
      <c r="AI893" s="29">
        <v>0</v>
      </c>
      <c r="AJ893" s="29">
        <v>0</v>
      </c>
      <c r="AK893" s="29">
        <v>0</v>
      </c>
      <c r="AL893" s="29">
        <v>0</v>
      </c>
      <c r="AM893" s="29">
        <v>0</v>
      </c>
      <c r="AN893" s="29"/>
      <c r="AO893" s="29"/>
      <c r="AR893" s="29"/>
      <c r="AS893" s="1213"/>
      <c r="AT893" s="29">
        <v>2611</v>
      </c>
      <c r="AU893" s="29">
        <v>1389</v>
      </c>
      <c r="AV893" s="29">
        <v>949</v>
      </c>
      <c r="AW893" s="29">
        <v>279</v>
      </c>
      <c r="AX893" s="29">
        <v>0</v>
      </c>
      <c r="AY893" s="29">
        <v>0</v>
      </c>
      <c r="AZ893" s="29">
        <v>0</v>
      </c>
      <c r="BA893" s="29">
        <v>0</v>
      </c>
      <c r="BB893" s="29">
        <v>0</v>
      </c>
      <c r="BC893" s="29">
        <v>0</v>
      </c>
      <c r="BD893" s="29">
        <v>0</v>
      </c>
      <c r="BE893" s="29">
        <v>0</v>
      </c>
      <c r="BG893" s="61">
        <f t="shared" si="3953"/>
        <v>0</v>
      </c>
      <c r="BH893" s="29">
        <v>0</v>
      </c>
      <c r="BI893" s="29">
        <v>0</v>
      </c>
      <c r="BJ893" s="29">
        <v>0</v>
      </c>
      <c r="BK893" s="11">
        <f t="shared" si="3962"/>
        <v>0</v>
      </c>
      <c r="BL893" s="11">
        <f t="shared" si="3954"/>
        <v>0</v>
      </c>
      <c r="BM893" s="11">
        <f t="shared" si="3955"/>
        <v>0</v>
      </c>
      <c r="BN893" s="11">
        <f t="shared" si="3956"/>
        <v>0</v>
      </c>
      <c r="BO893" s="11">
        <f t="shared" si="3957"/>
        <v>0</v>
      </c>
      <c r="BP893" s="29"/>
    </row>
    <row r="894" spans="2:68" ht="11.1" customHeight="1">
      <c r="B894" t="s">
        <v>179</v>
      </c>
      <c r="D894" s="29">
        <v>17142</v>
      </c>
      <c r="E894" s="29">
        <v>17436</v>
      </c>
      <c r="F894" s="29">
        <v>17948</v>
      </c>
      <c r="G894" s="29">
        <v>17872</v>
      </c>
      <c r="H894" s="29">
        <v>17907</v>
      </c>
      <c r="I894" s="29">
        <v>34524</v>
      </c>
      <c r="J894" s="29">
        <v>34668</v>
      </c>
      <c r="K894" s="29">
        <v>35122</v>
      </c>
      <c r="L894" s="29">
        <v>35389</v>
      </c>
      <c r="M894" s="29">
        <v>35355</v>
      </c>
      <c r="N894" s="29">
        <v>35582</v>
      </c>
      <c r="O894" s="29">
        <v>35683</v>
      </c>
      <c r="P894" s="29">
        <v>35855</v>
      </c>
      <c r="Q894" s="29">
        <v>41577</v>
      </c>
      <c r="R894" s="29">
        <v>41861</v>
      </c>
      <c r="S894" s="29">
        <f t="shared" si="3961"/>
        <v>42026</v>
      </c>
      <c r="T894" s="29">
        <v>42113</v>
      </c>
      <c r="U894" s="29">
        <v>42248</v>
      </c>
      <c r="V894" s="29">
        <v>42064</v>
      </c>
      <c r="W894" s="29">
        <v>43351</v>
      </c>
      <c r="X894" s="29">
        <v>43890</v>
      </c>
      <c r="Y894" s="29">
        <v>44219</v>
      </c>
      <c r="Z894" s="29">
        <v>49698</v>
      </c>
      <c r="AA894" s="29">
        <v>49711</v>
      </c>
      <c r="AB894" s="29">
        <v>50455</v>
      </c>
      <c r="AC894" s="29">
        <v>50921</v>
      </c>
      <c r="AD894" s="29">
        <v>67371</v>
      </c>
      <c r="AE894" s="29">
        <v>67524</v>
      </c>
      <c r="AF894" s="29">
        <v>67459</v>
      </c>
      <c r="AG894" s="29">
        <v>67905</v>
      </c>
      <c r="AH894" s="29">
        <v>67940</v>
      </c>
      <c r="AI894" s="29">
        <v>67886</v>
      </c>
      <c r="AJ894" s="29">
        <v>67790</v>
      </c>
      <c r="AK894" s="29">
        <v>118931</v>
      </c>
      <c r="AL894" s="29">
        <v>119163</v>
      </c>
      <c r="AM894" s="29">
        <v>119220</v>
      </c>
      <c r="AN894" s="29"/>
      <c r="AO894" s="29"/>
      <c r="AP894" s="29"/>
      <c r="AQ894" s="29"/>
      <c r="AR894" s="29"/>
      <c r="AS894" s="1213"/>
      <c r="AT894" s="29">
        <v>3866</v>
      </c>
      <c r="AU894" s="29">
        <v>4760</v>
      </c>
      <c r="AV894" s="29">
        <v>12108</v>
      </c>
      <c r="AW894" s="29">
        <v>12503</v>
      </c>
      <c r="AX894" s="29">
        <v>12394</v>
      </c>
      <c r="AY894" s="29">
        <v>12581</v>
      </c>
      <c r="AZ894" s="29">
        <v>13452</v>
      </c>
      <c r="BA894" s="29">
        <v>14655</v>
      </c>
      <c r="BB894" s="29">
        <v>20127</v>
      </c>
      <c r="BC894" s="29">
        <v>16939</v>
      </c>
      <c r="BD894" s="29">
        <v>17872</v>
      </c>
      <c r="BE894" s="29">
        <v>35122</v>
      </c>
      <c r="BG894" s="61">
        <f t="shared" si="3953"/>
        <v>17872</v>
      </c>
      <c r="BH894" s="29">
        <v>35122</v>
      </c>
      <c r="BI894" s="29">
        <v>35683</v>
      </c>
      <c r="BJ894" s="29">
        <v>42026</v>
      </c>
      <c r="BK894" s="11">
        <f t="shared" si="3962"/>
        <v>43351</v>
      </c>
      <c r="BL894" s="11">
        <f t="shared" si="3954"/>
        <v>49711</v>
      </c>
      <c r="BM894" s="11">
        <f t="shared" si="3955"/>
        <v>67524</v>
      </c>
      <c r="BN894" s="11">
        <f t="shared" si="3956"/>
        <v>67886</v>
      </c>
      <c r="BO894" s="11">
        <f t="shared" si="3957"/>
        <v>119220</v>
      </c>
      <c r="BP894" s="29"/>
    </row>
    <row r="895" spans="2:68" ht="11.1" customHeight="1">
      <c r="B895" t="s">
        <v>582</v>
      </c>
      <c r="D895" s="29">
        <v>4745</v>
      </c>
      <c r="E895" s="29">
        <v>4619</v>
      </c>
      <c r="F895" s="29">
        <v>4459</v>
      </c>
      <c r="G895" s="29">
        <v>3733</v>
      </c>
      <c r="H895" s="29">
        <v>3522</v>
      </c>
      <c r="I895" s="29">
        <v>11001</v>
      </c>
      <c r="J895" s="29">
        <v>10547</v>
      </c>
      <c r="K895" s="29">
        <v>10106</v>
      </c>
      <c r="L895" s="29">
        <v>9598</v>
      </c>
      <c r="M895" s="29">
        <v>9034</v>
      </c>
      <c r="N895" s="29">
        <v>8544</v>
      </c>
      <c r="O895" s="29">
        <v>8053</v>
      </c>
      <c r="P895" s="29">
        <v>7579</v>
      </c>
      <c r="Q895" s="29">
        <v>8482</v>
      </c>
      <c r="R895" s="29">
        <v>8103</v>
      </c>
      <c r="S895" s="29">
        <f t="shared" si="3961"/>
        <v>7750</v>
      </c>
      <c r="T895" s="29">
        <v>7508</v>
      </c>
      <c r="U895" s="29">
        <v>7126</v>
      </c>
      <c r="V895" s="29">
        <v>6855</v>
      </c>
      <c r="W895" s="29">
        <v>7038</v>
      </c>
      <c r="X895" s="29">
        <v>6923</v>
      </c>
      <c r="Y895" s="29">
        <v>6555</v>
      </c>
      <c r="Z895" s="29">
        <v>8127</v>
      </c>
      <c r="AA895" s="29">
        <v>7800</v>
      </c>
      <c r="AB895" s="29">
        <v>7794</v>
      </c>
      <c r="AC895" s="29">
        <v>7462</v>
      </c>
      <c r="AD895" s="29">
        <v>11348</v>
      </c>
      <c r="AE895" s="29">
        <v>11298</v>
      </c>
      <c r="AF895" s="29">
        <v>10808</v>
      </c>
      <c r="AG895" s="29">
        <v>10354</v>
      </c>
      <c r="AH895" s="29">
        <v>9879</v>
      </c>
      <c r="AI895" s="29">
        <v>9366</v>
      </c>
      <c r="AJ895" s="29">
        <v>8895</v>
      </c>
      <c r="AK895" s="29">
        <v>29896</v>
      </c>
      <c r="AL895" s="29">
        <v>28828</v>
      </c>
      <c r="AM895" s="29">
        <v>27597</v>
      </c>
      <c r="AN895" s="29"/>
      <c r="AO895" s="29"/>
      <c r="AP895" s="29"/>
      <c r="AQ895" s="29"/>
      <c r="AR895" s="29"/>
      <c r="AS895" s="1213"/>
      <c r="AT895" s="29">
        <v>539</v>
      </c>
      <c r="AU895" s="29">
        <v>878</v>
      </c>
      <c r="AV895" s="29">
        <v>1973</v>
      </c>
      <c r="AW895" s="29">
        <v>1759</v>
      </c>
      <c r="AX895" s="29">
        <v>1158</v>
      </c>
      <c r="AY895" s="29">
        <v>744</v>
      </c>
      <c r="AZ895" s="29">
        <v>3170</v>
      </c>
      <c r="BA895" s="29">
        <v>3083</v>
      </c>
      <c r="BB895" s="29">
        <v>6981</v>
      </c>
      <c r="BC895" s="29">
        <v>4835</v>
      </c>
      <c r="BD895" s="29">
        <v>3733</v>
      </c>
      <c r="BE895" s="29">
        <v>10106</v>
      </c>
      <c r="BG895" s="61">
        <f t="shared" si="3953"/>
        <v>3733</v>
      </c>
      <c r="BH895" s="29">
        <v>10106</v>
      </c>
      <c r="BI895" s="29">
        <v>8053</v>
      </c>
      <c r="BJ895" s="29">
        <v>7750</v>
      </c>
      <c r="BK895" s="11">
        <f t="shared" si="3962"/>
        <v>7038</v>
      </c>
      <c r="BL895" s="11">
        <f t="shared" si="3954"/>
        <v>7800</v>
      </c>
      <c r="BM895" s="11">
        <f t="shared" si="3955"/>
        <v>11298</v>
      </c>
      <c r="BN895" s="11">
        <f t="shared" si="3956"/>
        <v>9366</v>
      </c>
      <c r="BO895" s="11">
        <f t="shared" si="3957"/>
        <v>27597</v>
      </c>
      <c r="BP895" s="29"/>
    </row>
    <row r="896" spans="2:68" s="852" customFormat="1" ht="11.1" customHeight="1">
      <c r="B896" t="s">
        <v>535</v>
      </c>
      <c r="D896" s="939">
        <v>2869</v>
      </c>
      <c r="E896" s="939">
        <v>2928</v>
      </c>
      <c r="F896" s="939">
        <v>2895</v>
      </c>
      <c r="G896" s="939">
        <v>3416</v>
      </c>
      <c r="H896" s="939">
        <v>3476</v>
      </c>
      <c r="I896" s="939">
        <v>3845</v>
      </c>
      <c r="J896" s="939">
        <v>4146</v>
      </c>
      <c r="K896" s="939">
        <v>6250</v>
      </c>
      <c r="L896" s="939">
        <v>6083</v>
      </c>
      <c r="M896" s="939">
        <v>6967</v>
      </c>
      <c r="N896" s="939">
        <v>7106</v>
      </c>
      <c r="O896" s="939">
        <v>7442</v>
      </c>
      <c r="P896" s="939">
        <v>9792</v>
      </c>
      <c r="Q896" s="939">
        <v>10129</v>
      </c>
      <c r="R896" s="939">
        <v>10258</v>
      </c>
      <c r="S896" s="939">
        <f t="shared" si="3961"/>
        <v>14723</v>
      </c>
      <c r="T896" s="939">
        <v>14455</v>
      </c>
      <c r="U896" s="939">
        <v>14630</v>
      </c>
      <c r="V896" s="939">
        <v>13696</v>
      </c>
      <c r="W896" s="939">
        <v>13138</v>
      </c>
      <c r="X896" s="939">
        <v>13034</v>
      </c>
      <c r="Y896" s="939">
        <v>13561</v>
      </c>
      <c r="Z896" s="939">
        <v>14427</v>
      </c>
      <c r="AA896" s="939">
        <v>15075</v>
      </c>
      <c r="AB896" s="939">
        <v>21103</v>
      </c>
      <c r="AC896" s="939">
        <v>21256</v>
      </c>
      <c r="AD896" s="30">
        <v>21845</v>
      </c>
      <c r="AE896" s="30">
        <v>21897</v>
      </c>
      <c r="AF896" s="30">
        <v>23482</v>
      </c>
      <c r="AG896" s="30">
        <v>24994</v>
      </c>
      <c r="AH896" s="30">
        <v>26954</v>
      </c>
      <c r="AI896" s="30">
        <v>30601</v>
      </c>
      <c r="AJ896" s="30">
        <v>32154</v>
      </c>
      <c r="AK896" s="30">
        <v>32265</v>
      </c>
      <c r="AL896" s="30">
        <v>35551</v>
      </c>
      <c r="AM896" s="29">
        <v>36460</v>
      </c>
      <c r="AN896" s="29"/>
      <c r="AO896" s="29"/>
      <c r="AP896" s="29"/>
      <c r="AQ896" s="29"/>
      <c r="AR896" s="29"/>
      <c r="AS896" s="1213"/>
      <c r="AT896" s="939">
        <v>1295</v>
      </c>
      <c r="AU896" s="939">
        <v>1509</v>
      </c>
      <c r="AV896" s="939">
        <v>1691</v>
      </c>
      <c r="AW896" s="939">
        <v>1599</v>
      </c>
      <c r="AX896" s="939">
        <v>1501</v>
      </c>
      <c r="AY896" s="939">
        <v>1434</v>
      </c>
      <c r="AZ896" s="939">
        <v>1520</v>
      </c>
      <c r="BA896" s="939">
        <v>2392</v>
      </c>
      <c r="BB896" s="939">
        <v>3422</v>
      </c>
      <c r="BC896" s="939">
        <v>3117</v>
      </c>
      <c r="BD896" s="939">
        <v>3416</v>
      </c>
      <c r="BE896" s="939">
        <v>6250</v>
      </c>
      <c r="BG896" s="1209">
        <f t="shared" si="3953"/>
        <v>3416</v>
      </c>
      <c r="BH896" s="939">
        <v>6250</v>
      </c>
      <c r="BI896" s="939">
        <v>7442</v>
      </c>
      <c r="BJ896" s="939">
        <v>14723</v>
      </c>
      <c r="BK896" s="940">
        <f t="shared" si="3962"/>
        <v>13138</v>
      </c>
      <c r="BL896" s="940">
        <f t="shared" si="3954"/>
        <v>15075</v>
      </c>
      <c r="BM896" s="940">
        <f t="shared" si="3955"/>
        <v>21897</v>
      </c>
      <c r="BN896" s="940">
        <f t="shared" si="3956"/>
        <v>30601</v>
      </c>
      <c r="BO896" s="940">
        <f t="shared" si="3957"/>
        <v>36460</v>
      </c>
      <c r="BP896" s="939"/>
    </row>
    <row r="897" spans="2:68" s="1" customFormat="1" ht="11.1" customHeight="1">
      <c r="B897" s="837" t="s">
        <v>583</v>
      </c>
      <c r="D897" s="838">
        <f t="shared" ref="D897:Q897" si="3963">SUM(D890:D896)+D889</f>
        <v>172896</v>
      </c>
      <c r="E897" s="838">
        <f t="shared" si="3963"/>
        <v>180098</v>
      </c>
      <c r="F897" s="838">
        <f t="shared" si="3963"/>
        <v>181869</v>
      </c>
      <c r="G897" s="838">
        <f t="shared" si="3963"/>
        <v>193468</v>
      </c>
      <c r="H897" s="838">
        <f t="shared" si="3963"/>
        <v>212524</v>
      </c>
      <c r="I897" s="838">
        <f t="shared" si="3963"/>
        <v>224610</v>
      </c>
      <c r="J897" s="838">
        <f t="shared" si="3963"/>
        <v>225017</v>
      </c>
      <c r="K897" s="838">
        <f t="shared" si="3963"/>
        <v>250486</v>
      </c>
      <c r="L897" s="838">
        <f t="shared" si="3963"/>
        <v>249097</v>
      </c>
      <c r="M897" s="838">
        <f t="shared" si="3963"/>
        <v>256003</v>
      </c>
      <c r="N897" s="838">
        <f t="shared" si="3963"/>
        <v>245497</v>
      </c>
      <c r="O897" s="838">
        <f t="shared" si="3963"/>
        <v>258848</v>
      </c>
      <c r="P897" s="838">
        <f t="shared" si="3963"/>
        <v>257619</v>
      </c>
      <c r="Q897" s="838">
        <f t="shared" si="3963"/>
        <v>258859</v>
      </c>
      <c r="R897" s="838">
        <f t="shared" ref="R897:T897" si="3964">SUM(R890:R896)+R889</f>
        <v>263281</v>
      </c>
      <c r="S897" s="838">
        <f t="shared" si="3964"/>
        <v>286556</v>
      </c>
      <c r="T897" s="838">
        <f t="shared" si="3964"/>
        <v>278955</v>
      </c>
      <c r="U897" s="838">
        <f t="shared" ref="U897" si="3965">SUM(U890:U896)+U889</f>
        <v>282794</v>
      </c>
      <c r="V897" s="838">
        <f t="shared" ref="V897:AM897" si="3966">SUM(V890:V896)+V889</f>
        <v>285449</v>
      </c>
      <c r="W897" s="838">
        <f t="shared" si="3966"/>
        <v>301311</v>
      </c>
      <c r="X897" s="838">
        <f t="shared" si="3966"/>
        <v>301001</v>
      </c>
      <c r="Y897" s="838">
        <f t="shared" si="3966"/>
        <v>304137</v>
      </c>
      <c r="Z897" s="838">
        <f t="shared" si="3966"/>
        <v>308879</v>
      </c>
      <c r="AA897" s="838">
        <f t="shared" si="3966"/>
        <v>333779</v>
      </c>
      <c r="AB897" s="838">
        <f t="shared" si="3966"/>
        <v>335418</v>
      </c>
      <c r="AC897" s="838">
        <f t="shared" si="3966"/>
        <v>340389</v>
      </c>
      <c r="AD897" s="838">
        <f t="shared" si="3966"/>
        <v>344607</v>
      </c>
      <c r="AE897" s="838">
        <f t="shared" si="3966"/>
        <v>364840</v>
      </c>
      <c r="AF897" s="838">
        <f t="shared" si="3966"/>
        <v>359784</v>
      </c>
      <c r="AG897" s="838">
        <f t="shared" si="3966"/>
        <v>364552</v>
      </c>
      <c r="AH897" s="838">
        <f t="shared" si="3966"/>
        <v>380088</v>
      </c>
      <c r="AI897" s="838">
        <f t="shared" si="3966"/>
        <v>411976</v>
      </c>
      <c r="AJ897" s="838">
        <f t="shared" si="3966"/>
        <v>445785</v>
      </c>
      <c r="AK897" s="838">
        <f t="shared" si="3966"/>
        <v>470558</v>
      </c>
      <c r="AL897" s="838">
        <f t="shared" si="3966"/>
        <v>484275</v>
      </c>
      <c r="AM897" s="838">
        <f t="shared" si="3966"/>
        <v>512163</v>
      </c>
      <c r="AN897" s="29"/>
      <c r="AO897" s="29"/>
      <c r="AP897" s="29"/>
      <c r="AQ897" s="29"/>
      <c r="AR897" s="29"/>
      <c r="AS897" s="1213"/>
      <c r="AT897" s="838">
        <f t="shared" ref="AT897:BE897" si="3967">SUM(AT890:AT896)+AT889</f>
        <v>69597</v>
      </c>
      <c r="AU897" s="838">
        <f t="shared" si="3967"/>
        <v>63171</v>
      </c>
      <c r="AV897" s="838">
        <f t="shared" si="3967"/>
        <v>72793</v>
      </c>
      <c r="AW897" s="838">
        <f t="shared" si="3967"/>
        <v>77888</v>
      </c>
      <c r="AX897" s="838">
        <f t="shared" si="3967"/>
        <v>86113</v>
      </c>
      <c r="AY897" s="838">
        <f t="shared" si="3967"/>
        <v>108704</v>
      </c>
      <c r="AZ897" s="838">
        <f t="shared" si="3967"/>
        <v>121271</v>
      </c>
      <c r="BA897" s="838">
        <f t="shared" si="3967"/>
        <v>142431</v>
      </c>
      <c r="BB897" s="838">
        <f t="shared" si="3967"/>
        <v>172384</v>
      </c>
      <c r="BC897" s="838">
        <f t="shared" si="3967"/>
        <v>174472</v>
      </c>
      <c r="BD897" s="838">
        <f t="shared" si="3967"/>
        <v>193468</v>
      </c>
      <c r="BE897" s="838">
        <f t="shared" si="3967"/>
        <v>241086</v>
      </c>
      <c r="BG897" s="838">
        <f t="shared" si="3953"/>
        <v>193468</v>
      </c>
      <c r="BH897" s="838">
        <f>SUM(BH890:BH896)+BH889</f>
        <v>250486</v>
      </c>
      <c r="BI897" s="838">
        <v>258848</v>
      </c>
      <c r="BJ897" s="838">
        <f>SUM(BJ890:BJ896,BJ889)</f>
        <v>286556</v>
      </c>
      <c r="BK897" s="849">
        <f>SUM(BK890:BK896,BK889)</f>
        <v>301311</v>
      </c>
      <c r="BL897" s="849">
        <f t="shared" si="3954"/>
        <v>333779</v>
      </c>
      <c r="BM897" s="849">
        <f t="shared" si="3955"/>
        <v>364840</v>
      </c>
      <c r="BN897" s="849">
        <f t="shared" si="3956"/>
        <v>411976</v>
      </c>
      <c r="BO897" s="849">
        <f t="shared" si="3957"/>
        <v>512163</v>
      </c>
      <c r="BP897" s="838"/>
    </row>
    <row r="898" spans="2:68" ht="11.1" customHeight="1">
      <c r="AL898" s="29"/>
      <c r="AM898" s="29"/>
      <c r="AN898" s="29"/>
      <c r="AO898" s="29"/>
      <c r="AP898" s="29"/>
      <c r="AQ898" s="29"/>
      <c r="AR898" s="29"/>
      <c r="AS898" s="1213"/>
      <c r="BK898" s="100"/>
      <c r="BL898" s="100"/>
      <c r="BM898" s="100"/>
      <c r="BN898" s="100"/>
      <c r="BO898" s="100"/>
    </row>
    <row r="899" spans="2:68" ht="11.1" customHeight="1">
      <c r="B899" s="45" t="s">
        <v>584</v>
      </c>
      <c r="AL899" s="29"/>
      <c r="AM899" s="29"/>
      <c r="AN899" s="29"/>
      <c r="AR899" s="29"/>
      <c r="AS899" s="1213"/>
      <c r="BK899" s="100"/>
      <c r="BL899" s="100"/>
      <c r="BM899" s="100"/>
      <c r="BN899" s="100"/>
      <c r="BO899" s="100"/>
    </row>
    <row r="900" spans="2:68" ht="11.1" customHeight="1">
      <c r="B900" t="s">
        <v>539</v>
      </c>
      <c r="D900" s="29">
        <v>6630</v>
      </c>
      <c r="E900" s="29">
        <v>6936</v>
      </c>
      <c r="F900" s="29">
        <v>6759</v>
      </c>
      <c r="G900" s="29">
        <v>6898</v>
      </c>
      <c r="H900" s="29">
        <v>6296</v>
      </c>
      <c r="I900" s="29">
        <v>6580</v>
      </c>
      <c r="J900" s="29">
        <v>6217</v>
      </c>
      <c r="K900" s="29">
        <v>7390</v>
      </c>
      <c r="L900" s="29">
        <v>6866</v>
      </c>
      <c r="M900" s="29">
        <v>7850</v>
      </c>
      <c r="N900" s="29">
        <v>7623</v>
      </c>
      <c r="O900" s="29">
        <v>8617</v>
      </c>
      <c r="P900" s="29">
        <v>8511</v>
      </c>
      <c r="Q900" s="29">
        <v>7563</v>
      </c>
      <c r="R900" s="29">
        <v>7544</v>
      </c>
      <c r="S900" s="29">
        <f t="shared" ref="S900:S907" si="3968">+BJ900</f>
        <v>9382</v>
      </c>
      <c r="T900" s="29">
        <v>8574</v>
      </c>
      <c r="U900" s="29">
        <v>8811</v>
      </c>
      <c r="V900" s="29">
        <v>9246</v>
      </c>
      <c r="W900" s="29">
        <v>12530</v>
      </c>
      <c r="X900" s="29">
        <v>12509</v>
      </c>
      <c r="Y900" s="29">
        <v>12770</v>
      </c>
      <c r="Z900" s="29">
        <v>13412</v>
      </c>
      <c r="AA900" s="29">
        <v>15163</v>
      </c>
      <c r="AB900" s="29">
        <v>14832</v>
      </c>
      <c r="AC900" s="29">
        <v>15314</v>
      </c>
      <c r="AD900" s="29">
        <v>16085</v>
      </c>
      <c r="AE900" s="29">
        <v>19000</v>
      </c>
      <c r="AF900" s="29">
        <v>16609</v>
      </c>
      <c r="AG900" s="29">
        <v>15354</v>
      </c>
      <c r="AH900" s="29">
        <v>15305</v>
      </c>
      <c r="AI900" s="29">
        <v>18095</v>
      </c>
      <c r="AJ900" s="29">
        <v>19307</v>
      </c>
      <c r="AK900" s="29">
        <v>17695</v>
      </c>
      <c r="AL900" s="29">
        <v>18087</v>
      </c>
      <c r="AM900" s="29">
        <v>21996</v>
      </c>
      <c r="AN900" s="29"/>
      <c r="AO900" s="952"/>
      <c r="AP900" s="29"/>
      <c r="AQ900" s="952"/>
      <c r="AR900" s="29"/>
      <c r="AS900" s="1213"/>
      <c r="AT900" s="29">
        <v>2909</v>
      </c>
      <c r="AU900" s="29">
        <v>3247</v>
      </c>
      <c r="AV900" s="29">
        <v>4034</v>
      </c>
      <c r="AW900" s="29">
        <v>3324</v>
      </c>
      <c r="AX900" s="29">
        <v>4025</v>
      </c>
      <c r="AY900" s="29">
        <v>4197</v>
      </c>
      <c r="AZ900" s="29">
        <v>4175</v>
      </c>
      <c r="BA900" s="29">
        <v>4828</v>
      </c>
      <c r="BB900" s="29">
        <v>7432</v>
      </c>
      <c r="BC900" s="29">
        <v>6591</v>
      </c>
      <c r="BD900" s="29">
        <v>6898</v>
      </c>
      <c r="BE900" s="29">
        <v>7390</v>
      </c>
      <c r="BG900" s="61">
        <f t="shared" ref="BG900:BG922" si="3969">+BD900</f>
        <v>6898</v>
      </c>
      <c r="BH900" s="29">
        <v>7390</v>
      </c>
      <c r="BI900" s="29">
        <v>8617</v>
      </c>
      <c r="BJ900" s="29">
        <v>9382</v>
      </c>
      <c r="BK900" s="11">
        <f t="shared" ref="BK900:BK907" si="3970">+W900</f>
        <v>12530</v>
      </c>
      <c r="BL900" s="11">
        <f t="shared" ref="BL900:BL915" si="3971">+AA900</f>
        <v>15163</v>
      </c>
      <c r="BM900" s="11">
        <f t="shared" ref="BM900:BM922" si="3972">+AE900</f>
        <v>19000</v>
      </c>
      <c r="BN900" s="11">
        <f t="shared" si="3956"/>
        <v>18095</v>
      </c>
      <c r="BO900" s="11">
        <f t="shared" si="3957"/>
        <v>21996</v>
      </c>
      <c r="BP900" s="29"/>
    </row>
    <row r="901" spans="2:68" ht="11.1" customHeight="1">
      <c r="B901" t="s">
        <v>585</v>
      </c>
      <c r="D901" s="29">
        <v>3450</v>
      </c>
      <c r="E901" s="29">
        <v>3649</v>
      </c>
      <c r="F901" s="29">
        <v>4276</v>
      </c>
      <c r="G901" s="29">
        <v>5264</v>
      </c>
      <c r="H901" s="29">
        <v>3621</v>
      </c>
      <c r="I901" s="29">
        <v>3982</v>
      </c>
      <c r="J901" s="29">
        <v>4604</v>
      </c>
      <c r="K901" s="29">
        <v>5819</v>
      </c>
      <c r="L901" s="29">
        <v>4108</v>
      </c>
      <c r="M901" s="29">
        <v>4427</v>
      </c>
      <c r="N901" s="29">
        <v>5149</v>
      </c>
      <c r="O901" s="29">
        <v>6103</v>
      </c>
      <c r="P901" s="29">
        <v>4271</v>
      </c>
      <c r="Q901" s="29">
        <v>4624</v>
      </c>
      <c r="R901" s="29">
        <v>5764</v>
      </c>
      <c r="S901" s="29">
        <f t="shared" si="3968"/>
        <v>6830</v>
      </c>
      <c r="T901" s="29">
        <v>4676</v>
      </c>
      <c r="U901" s="29">
        <v>5421</v>
      </c>
      <c r="V901" s="29">
        <v>6254</v>
      </c>
      <c r="W901" s="29">
        <v>7874</v>
      </c>
      <c r="X901" s="29">
        <v>6497</v>
      </c>
      <c r="Y901" s="29">
        <v>6838</v>
      </c>
      <c r="Z901" s="29">
        <v>8032</v>
      </c>
      <c r="AA901" s="29">
        <v>10057</v>
      </c>
      <c r="AB901" s="29">
        <v>6894</v>
      </c>
      <c r="AC901" s="29">
        <v>4998</v>
      </c>
      <c r="AD901" s="29">
        <v>9067</v>
      </c>
      <c r="AE901" s="29">
        <v>10661</v>
      </c>
      <c r="AF901" s="29">
        <v>7405</v>
      </c>
      <c r="AG901" s="29">
        <v>9030</v>
      </c>
      <c r="AH901" s="29">
        <v>10411</v>
      </c>
      <c r="AI901" s="29">
        <v>11009</v>
      </c>
      <c r="AJ901" s="29">
        <v>6990</v>
      </c>
      <c r="AK901" s="29">
        <v>8813</v>
      </c>
      <c r="AL901" s="29">
        <v>10432</v>
      </c>
      <c r="AM901" s="29">
        <v>12564</v>
      </c>
      <c r="AN901" s="29"/>
      <c r="AO901" s="29"/>
      <c r="AP901" s="29"/>
      <c r="AQ901" s="29"/>
      <c r="AR901" s="29"/>
      <c r="AS901" s="1213"/>
      <c r="AT901" s="29">
        <v>1938</v>
      </c>
      <c r="AU901" s="29">
        <v>2325</v>
      </c>
      <c r="AV901" s="29">
        <v>2934</v>
      </c>
      <c r="AW901" s="29">
        <v>3156</v>
      </c>
      <c r="AX901" s="29">
        <v>3283</v>
      </c>
      <c r="AY901" s="29">
        <v>3575</v>
      </c>
      <c r="AZ901" s="29">
        <v>3875</v>
      </c>
      <c r="BA901" s="29">
        <v>4117</v>
      </c>
      <c r="BB901" s="29">
        <v>4797</v>
      </c>
      <c r="BC901" s="29">
        <v>5096</v>
      </c>
      <c r="BD901" s="29">
        <v>5264</v>
      </c>
      <c r="BE901" s="29">
        <v>5819</v>
      </c>
      <c r="BG901" s="61">
        <f t="shared" si="3969"/>
        <v>5264</v>
      </c>
      <c r="BH901" s="29">
        <v>5819</v>
      </c>
      <c r="BI901" s="29">
        <v>6103</v>
      </c>
      <c r="BJ901" s="29">
        <v>6830</v>
      </c>
      <c r="BK901" s="11">
        <f t="shared" si="3970"/>
        <v>7874</v>
      </c>
      <c r="BL901" s="11">
        <f t="shared" si="3971"/>
        <v>10057</v>
      </c>
      <c r="BM901" s="11">
        <f t="shared" si="3972"/>
        <v>10661</v>
      </c>
      <c r="BN901" s="11">
        <f t="shared" si="3956"/>
        <v>11009</v>
      </c>
      <c r="BO901" s="11">
        <f t="shared" si="3957"/>
        <v>12564</v>
      </c>
      <c r="BP901" s="29"/>
    </row>
    <row r="902" spans="2:68" ht="11.1" customHeight="1">
      <c r="B902" t="s">
        <v>586</v>
      </c>
      <c r="D902" s="29">
        <v>9998</v>
      </c>
      <c r="E902" s="29">
        <v>3000</v>
      </c>
      <c r="F902" s="29">
        <v>5498</v>
      </c>
      <c r="G902" s="29">
        <v>12904</v>
      </c>
      <c r="H902" s="29">
        <v>14536</v>
      </c>
      <c r="I902" s="29">
        <v>25065</v>
      </c>
      <c r="J902" s="29">
        <v>7187</v>
      </c>
      <c r="K902" s="29">
        <v>9072</v>
      </c>
      <c r="L902" s="29">
        <v>8170</v>
      </c>
      <c r="M902" s="29">
        <v>12466</v>
      </c>
      <c r="N902" s="29">
        <v>230</v>
      </c>
      <c r="O902" s="29">
        <v>0</v>
      </c>
      <c r="P902" s="29">
        <v>0</v>
      </c>
      <c r="Q902" s="29">
        <v>0</v>
      </c>
      <c r="R902" s="29">
        <v>0</v>
      </c>
      <c r="S902" s="29">
        <f t="shared" si="3968"/>
        <v>0</v>
      </c>
      <c r="T902" s="29">
        <v>0</v>
      </c>
      <c r="U902" s="29">
        <v>0</v>
      </c>
      <c r="V902" s="29">
        <v>0</v>
      </c>
      <c r="W902" s="29">
        <v>0</v>
      </c>
      <c r="X902" s="29">
        <v>0</v>
      </c>
      <c r="Y902" s="29">
        <v>0</v>
      </c>
      <c r="Z902" s="29">
        <v>0</v>
      </c>
      <c r="AA902" s="29">
        <v>0</v>
      </c>
      <c r="AB902" s="29">
        <v>0</v>
      </c>
      <c r="AC902" s="29">
        <v>0</v>
      </c>
      <c r="AD902" s="29">
        <v>0</v>
      </c>
      <c r="AE902" s="29">
        <v>0</v>
      </c>
      <c r="AF902" s="29">
        <v>0</v>
      </c>
      <c r="AG902" s="29">
        <v>0</v>
      </c>
      <c r="AH902" s="29">
        <v>0</v>
      </c>
      <c r="AI902" s="29">
        <v>0</v>
      </c>
      <c r="AJ902" s="29">
        <v>25808</v>
      </c>
      <c r="AK902" s="29">
        <v>27041</v>
      </c>
      <c r="AL902" s="29">
        <v>20535</v>
      </c>
      <c r="AM902" s="29">
        <v>6693</v>
      </c>
      <c r="AN902" s="29"/>
      <c r="AO902" s="29"/>
      <c r="AP902" s="29"/>
      <c r="AQ902" s="29"/>
      <c r="AR902" s="29"/>
      <c r="AS902" s="1213"/>
      <c r="AT902" s="29">
        <v>0</v>
      </c>
      <c r="AU902" s="29">
        <v>0</v>
      </c>
      <c r="AV902" s="29">
        <v>0</v>
      </c>
      <c r="AW902" s="29">
        <v>2000</v>
      </c>
      <c r="AX902" s="29">
        <v>1000</v>
      </c>
      <c r="AY902" s="29">
        <v>0</v>
      </c>
      <c r="AZ902" s="29">
        <v>0</v>
      </c>
      <c r="BA902" s="29">
        <v>0</v>
      </c>
      <c r="BB902" s="29">
        <v>2000</v>
      </c>
      <c r="BC902" s="29">
        <v>4985</v>
      </c>
      <c r="BD902" s="29">
        <v>12904</v>
      </c>
      <c r="BE902" s="29">
        <v>9072</v>
      </c>
      <c r="BG902" s="61">
        <f t="shared" si="3969"/>
        <v>12904</v>
      </c>
      <c r="BH902" s="29">
        <v>9072</v>
      </c>
      <c r="BI902" s="29">
        <v>0</v>
      </c>
      <c r="BJ902" s="29">
        <v>0</v>
      </c>
      <c r="BK902" s="11">
        <f t="shared" si="3970"/>
        <v>0</v>
      </c>
      <c r="BL902" s="11">
        <f t="shared" si="3971"/>
        <v>0</v>
      </c>
      <c r="BM902" s="11">
        <f t="shared" si="3972"/>
        <v>0</v>
      </c>
      <c r="BN902" s="11">
        <f t="shared" si="3956"/>
        <v>0</v>
      </c>
      <c r="BO902" s="11">
        <f t="shared" si="3957"/>
        <v>6693</v>
      </c>
      <c r="BP902" s="29"/>
    </row>
    <row r="903" spans="2:68" ht="11.1" customHeight="1">
      <c r="B903" t="s">
        <v>587</v>
      </c>
      <c r="D903" s="29">
        <v>750</v>
      </c>
      <c r="E903" s="29">
        <v>750</v>
      </c>
      <c r="F903" s="29">
        <v>0</v>
      </c>
      <c r="G903" s="29">
        <v>0</v>
      </c>
      <c r="H903" s="29">
        <v>0</v>
      </c>
      <c r="I903" s="29">
        <v>599</v>
      </c>
      <c r="J903" s="29">
        <v>599</v>
      </c>
      <c r="K903" s="29">
        <v>1049</v>
      </c>
      <c r="L903" s="29">
        <v>1050</v>
      </c>
      <c r="M903" s="29">
        <v>3446</v>
      </c>
      <c r="N903" s="29">
        <v>3447</v>
      </c>
      <c r="O903" s="29">
        <v>3998</v>
      </c>
      <c r="P903" s="29">
        <v>6497</v>
      </c>
      <c r="Q903" s="29">
        <v>3516</v>
      </c>
      <c r="R903" s="29">
        <v>6515</v>
      </c>
      <c r="S903" s="29">
        <f t="shared" si="3968"/>
        <v>5516</v>
      </c>
      <c r="T903" s="29">
        <v>3017</v>
      </c>
      <c r="U903" s="29">
        <v>6247</v>
      </c>
      <c r="V903" s="29">
        <v>3748</v>
      </c>
      <c r="W903" s="29">
        <v>3749</v>
      </c>
      <c r="X903" s="29">
        <v>5714</v>
      </c>
      <c r="Y903" s="29">
        <v>5387</v>
      </c>
      <c r="Z903" s="29">
        <v>8051</v>
      </c>
      <c r="AA903" s="29">
        <v>8072</v>
      </c>
      <c r="AB903" s="29">
        <v>3249</v>
      </c>
      <c r="AC903" s="29">
        <v>7782</v>
      </c>
      <c r="AD903" s="29">
        <v>1749</v>
      </c>
      <c r="AE903" s="29">
        <v>2749</v>
      </c>
      <c r="AF903" s="29">
        <v>3248</v>
      </c>
      <c r="AG903" s="29">
        <v>3997</v>
      </c>
      <c r="AH903" s="29">
        <v>6245</v>
      </c>
      <c r="AI903" s="29">
        <v>5247</v>
      </c>
      <c r="AJ903" s="29">
        <v>3748</v>
      </c>
      <c r="AK903" s="29">
        <v>2250</v>
      </c>
      <c r="AL903" s="29">
        <v>2249</v>
      </c>
      <c r="AM903" s="29">
        <v>2249</v>
      </c>
      <c r="AN903" s="29"/>
      <c r="AO903" s="29"/>
      <c r="AP903" s="29"/>
      <c r="AQ903" s="29"/>
      <c r="AR903" s="29"/>
      <c r="AS903" s="1213"/>
      <c r="AT903" s="29">
        <v>0</v>
      </c>
      <c r="AU903" s="29">
        <v>0</v>
      </c>
      <c r="AV903" s="29">
        <v>0</v>
      </c>
      <c r="AW903" s="29">
        <v>0</v>
      </c>
      <c r="AX903" s="29">
        <v>0</v>
      </c>
      <c r="AY903" s="29">
        <v>0</v>
      </c>
      <c r="AZ903" s="29">
        <v>1231</v>
      </c>
      <c r="BA903" s="29">
        <v>2999</v>
      </c>
      <c r="BB903" s="29">
        <v>0</v>
      </c>
      <c r="BC903" s="29">
        <v>2499</v>
      </c>
      <c r="BD903" s="29">
        <v>0</v>
      </c>
      <c r="BE903" s="29">
        <v>1049</v>
      </c>
      <c r="BG903" s="61">
        <f t="shared" si="3969"/>
        <v>0</v>
      </c>
      <c r="BH903" s="29">
        <v>1049</v>
      </c>
      <c r="BI903" s="29">
        <v>3998</v>
      </c>
      <c r="BJ903" s="29">
        <v>5516</v>
      </c>
      <c r="BK903" s="11">
        <f t="shared" si="3970"/>
        <v>3749</v>
      </c>
      <c r="BL903" s="11">
        <f t="shared" si="3971"/>
        <v>8072</v>
      </c>
      <c r="BM903" s="11">
        <f t="shared" si="3972"/>
        <v>2749</v>
      </c>
      <c r="BN903" s="11">
        <f t="shared" si="3956"/>
        <v>5247</v>
      </c>
      <c r="BO903" s="11">
        <f t="shared" si="3957"/>
        <v>2249</v>
      </c>
      <c r="BP903" s="29"/>
    </row>
    <row r="904" spans="2:68" ht="11.1" customHeight="1">
      <c r="B904" t="s">
        <v>588</v>
      </c>
      <c r="D904" s="29">
        <v>607</v>
      </c>
      <c r="E904" s="29">
        <v>493</v>
      </c>
      <c r="F904" s="29">
        <v>685</v>
      </c>
      <c r="G904" s="29">
        <v>580</v>
      </c>
      <c r="H904" s="29">
        <v>720</v>
      </c>
      <c r="I904" s="29">
        <v>508</v>
      </c>
      <c r="J904" s="29">
        <v>654</v>
      </c>
      <c r="K904" s="29">
        <v>718</v>
      </c>
      <c r="L904" s="29">
        <v>920</v>
      </c>
      <c r="M904" s="29">
        <v>788</v>
      </c>
      <c r="N904" s="29">
        <v>814</v>
      </c>
      <c r="O904" s="29">
        <v>2121</v>
      </c>
      <c r="P904" s="29">
        <v>2341</v>
      </c>
      <c r="Q904" s="29">
        <v>2033</v>
      </c>
      <c r="R904" s="29">
        <v>1950</v>
      </c>
      <c r="S904" s="29">
        <f t="shared" si="3968"/>
        <v>5665</v>
      </c>
      <c r="T904" s="29">
        <v>3440</v>
      </c>
      <c r="U904" s="29">
        <v>2687</v>
      </c>
      <c r="V904" s="29">
        <v>3296</v>
      </c>
      <c r="W904" s="29">
        <v>2130</v>
      </c>
      <c r="X904" s="29">
        <v>2384</v>
      </c>
      <c r="Y904" s="29">
        <v>1562</v>
      </c>
      <c r="Z904" s="29">
        <v>2165</v>
      </c>
      <c r="AA904" s="29">
        <v>2174</v>
      </c>
      <c r="AB904" s="29">
        <v>6272</v>
      </c>
      <c r="AC904" s="29">
        <v>3731</v>
      </c>
      <c r="AD904" s="29">
        <v>4646</v>
      </c>
      <c r="AE904" s="29">
        <v>4067</v>
      </c>
      <c r="AF904" s="29">
        <v>6729</v>
      </c>
      <c r="AG904" s="29">
        <v>3553</v>
      </c>
      <c r="AH904" s="29">
        <v>4163</v>
      </c>
      <c r="AI904" s="29">
        <v>4152</v>
      </c>
      <c r="AJ904" s="29">
        <v>8035</v>
      </c>
      <c r="AK904" s="29">
        <v>5787</v>
      </c>
      <c r="AL904" s="29">
        <v>7311</v>
      </c>
      <c r="AM904" s="29">
        <v>5017</v>
      </c>
      <c r="AN904" s="29"/>
      <c r="AO904" s="29"/>
      <c r="AP904" s="29"/>
      <c r="AQ904" s="29"/>
      <c r="AR904" s="29"/>
      <c r="AS904" s="1213"/>
      <c r="AT904" s="29">
        <v>1557</v>
      </c>
      <c r="AU904" s="29">
        <v>1040</v>
      </c>
      <c r="AV904" s="29">
        <v>3248</v>
      </c>
      <c r="AW904" s="29">
        <v>725</v>
      </c>
      <c r="AX904" s="29">
        <v>1074</v>
      </c>
      <c r="AY904" s="29">
        <v>580</v>
      </c>
      <c r="AZ904" s="29">
        <v>789</v>
      </c>
      <c r="BA904" s="29">
        <v>592</v>
      </c>
      <c r="BB904" s="29">
        <v>782</v>
      </c>
      <c r="BC904" s="29">
        <v>606</v>
      </c>
      <c r="BD904" s="29">
        <v>580</v>
      </c>
      <c r="BE904" s="29">
        <v>718</v>
      </c>
      <c r="BG904" s="61">
        <f t="shared" si="3969"/>
        <v>580</v>
      </c>
      <c r="BH904" s="29">
        <v>718</v>
      </c>
      <c r="BI904" s="29">
        <v>2121</v>
      </c>
      <c r="BJ904" s="29">
        <v>5665</v>
      </c>
      <c r="BK904" s="11">
        <f t="shared" si="3970"/>
        <v>2130</v>
      </c>
      <c r="BL904" s="11">
        <f t="shared" si="3971"/>
        <v>2174</v>
      </c>
      <c r="BM904" s="11">
        <f t="shared" si="3972"/>
        <v>4067</v>
      </c>
      <c r="BN904" s="11">
        <f t="shared" si="3956"/>
        <v>4152</v>
      </c>
      <c r="BO904" s="11">
        <f t="shared" si="3957"/>
        <v>5017</v>
      </c>
      <c r="BP904" s="29"/>
    </row>
    <row r="905" spans="2:68" ht="11.1" customHeight="1">
      <c r="B905" t="s">
        <v>589</v>
      </c>
      <c r="D905" s="29">
        <v>21603</v>
      </c>
      <c r="E905" s="29">
        <v>20929</v>
      </c>
      <c r="F905" s="29">
        <v>20876</v>
      </c>
      <c r="G905" s="29">
        <v>27468</v>
      </c>
      <c r="H905" s="29">
        <v>26304</v>
      </c>
      <c r="I905" s="29">
        <v>26085</v>
      </c>
      <c r="J905" s="29">
        <v>26518</v>
      </c>
      <c r="K905" s="29">
        <v>24013</v>
      </c>
      <c r="L905" s="29">
        <v>22778</v>
      </c>
      <c r="M905" s="29">
        <v>21309</v>
      </c>
      <c r="N905" s="29">
        <v>21370</v>
      </c>
      <c r="O905" s="29">
        <v>28905</v>
      </c>
      <c r="P905" s="29">
        <v>26704</v>
      </c>
      <c r="Q905" s="29">
        <v>24285</v>
      </c>
      <c r="R905" s="29">
        <v>24251</v>
      </c>
      <c r="S905" s="29">
        <f t="shared" si="3968"/>
        <v>32676</v>
      </c>
      <c r="T905" s="29">
        <v>29904</v>
      </c>
      <c r="U905" s="29">
        <v>27343</v>
      </c>
      <c r="V905" s="29">
        <v>27012</v>
      </c>
      <c r="W905" s="29">
        <v>36000</v>
      </c>
      <c r="X905" s="29">
        <v>33476</v>
      </c>
      <c r="Y905" s="29">
        <v>30402</v>
      </c>
      <c r="Z905" s="29">
        <v>30083</v>
      </c>
      <c r="AA905" s="29">
        <v>41525</v>
      </c>
      <c r="AB905" s="29">
        <v>38465</v>
      </c>
      <c r="AC905" s="29">
        <v>34001</v>
      </c>
      <c r="AD905" s="29">
        <v>34027</v>
      </c>
      <c r="AE905" s="29">
        <v>45538</v>
      </c>
      <c r="AF905" s="29">
        <v>41340</v>
      </c>
      <c r="AG905" s="29">
        <v>36982</v>
      </c>
      <c r="AH905" s="29">
        <v>36903</v>
      </c>
      <c r="AI905" s="29">
        <v>50901</v>
      </c>
      <c r="AJ905" s="29">
        <v>46429</v>
      </c>
      <c r="AK905" s="29">
        <v>43068</v>
      </c>
      <c r="AL905" s="29">
        <v>41888</v>
      </c>
      <c r="AM905" s="29">
        <v>57582</v>
      </c>
      <c r="AN905" s="29"/>
      <c r="AO905" s="29"/>
      <c r="AP905" s="29"/>
      <c r="AQ905" s="29"/>
      <c r="AR905" s="29"/>
      <c r="AS905" s="1213"/>
      <c r="AT905" s="29">
        <v>9138</v>
      </c>
      <c r="AU905" s="29">
        <v>10779</v>
      </c>
      <c r="AV905" s="29">
        <v>13397</v>
      </c>
      <c r="AW905" s="29">
        <v>13003</v>
      </c>
      <c r="AX905" s="29">
        <v>13652</v>
      </c>
      <c r="AY905" s="29">
        <v>15722</v>
      </c>
      <c r="AZ905" s="29">
        <v>18653</v>
      </c>
      <c r="BA905" s="29">
        <v>20639</v>
      </c>
      <c r="BB905" s="29">
        <v>23150</v>
      </c>
      <c r="BC905" s="29">
        <v>23223</v>
      </c>
      <c r="BD905" s="29">
        <v>27468</v>
      </c>
      <c r="BE905" s="29">
        <v>34102</v>
      </c>
      <c r="BG905" s="61">
        <f t="shared" si="3969"/>
        <v>27468</v>
      </c>
      <c r="BH905" s="29">
        <v>24013</v>
      </c>
      <c r="BI905" s="29">
        <v>28905</v>
      </c>
      <c r="BJ905" s="29">
        <v>32676</v>
      </c>
      <c r="BK905" s="11">
        <f t="shared" si="3970"/>
        <v>36000</v>
      </c>
      <c r="BL905" s="11">
        <f t="shared" si="3971"/>
        <v>41525</v>
      </c>
      <c r="BM905" s="11">
        <f t="shared" si="3972"/>
        <v>45538</v>
      </c>
      <c r="BN905" s="11">
        <f t="shared" si="3956"/>
        <v>50901</v>
      </c>
      <c r="BO905" s="11">
        <f t="shared" si="3957"/>
        <v>57582</v>
      </c>
      <c r="BP905" s="29"/>
    </row>
    <row r="906" spans="2:68" ht="11.1" customHeight="1">
      <c r="B906" t="s">
        <v>543</v>
      </c>
      <c r="D906" s="29">
        <v>6207</v>
      </c>
      <c r="E906" s="29">
        <v>6447</v>
      </c>
      <c r="F906" s="29">
        <v>5887</v>
      </c>
      <c r="G906" s="29">
        <v>5949</v>
      </c>
      <c r="H906" s="29">
        <v>7123</v>
      </c>
      <c r="I906" s="29">
        <v>6688</v>
      </c>
      <c r="J906" s="29">
        <v>6025</v>
      </c>
      <c r="K906" s="29">
        <v>7684</v>
      </c>
      <c r="L906" s="29">
        <v>7520</v>
      </c>
      <c r="M906" s="29">
        <v>7787</v>
      </c>
      <c r="N906" s="29">
        <v>7500</v>
      </c>
      <c r="O906" s="29">
        <v>8744</v>
      </c>
      <c r="P906" s="29">
        <v>7953</v>
      </c>
      <c r="Q906" s="29">
        <v>8297</v>
      </c>
      <c r="R906" s="29">
        <v>7837</v>
      </c>
      <c r="S906" s="29">
        <f t="shared" si="3968"/>
        <v>9351</v>
      </c>
      <c r="T906" s="29">
        <v>8507</v>
      </c>
      <c r="U906" s="29">
        <v>9131</v>
      </c>
      <c r="V906" s="29">
        <v>9151</v>
      </c>
      <c r="W906" s="29">
        <v>10027</v>
      </c>
      <c r="X906" s="29">
        <v>9476</v>
      </c>
      <c r="Y906" s="29">
        <v>10527</v>
      </c>
      <c r="Z906" s="29">
        <v>10450</v>
      </c>
      <c r="AA906" s="29">
        <v>11666</v>
      </c>
      <c r="AB906" s="29">
        <v>10816</v>
      </c>
      <c r="AC906" s="29">
        <v>11684</v>
      </c>
      <c r="AD906" s="29">
        <v>11865</v>
      </c>
      <c r="AE906" s="29">
        <v>13067</v>
      </c>
      <c r="AF906" s="29">
        <v>12058</v>
      </c>
      <c r="AG906" s="29">
        <v>12802</v>
      </c>
      <c r="AH906" s="29">
        <v>12664</v>
      </c>
      <c r="AI906" s="29">
        <v>14745</v>
      </c>
      <c r="AJ906" s="29">
        <v>14475</v>
      </c>
      <c r="AK906" s="29">
        <v>16362</v>
      </c>
      <c r="AL906" s="29">
        <v>18023</v>
      </c>
      <c r="AM906" s="29">
        <v>19185</v>
      </c>
      <c r="AN906" s="29"/>
      <c r="AO906" s="29"/>
      <c r="AP906" s="29"/>
      <c r="AQ906" s="29"/>
      <c r="AR906" s="29"/>
      <c r="AS906" s="1213"/>
      <c r="AT906" s="29">
        <v>3783</v>
      </c>
      <c r="AU906" s="29">
        <v>3622</v>
      </c>
      <c r="AV906" s="29">
        <v>3659</v>
      </c>
      <c r="AW906" s="29">
        <v>3142</v>
      </c>
      <c r="AX906" s="29">
        <v>2931</v>
      </c>
      <c r="AY906" s="29">
        <v>3492</v>
      </c>
      <c r="AZ906" s="29">
        <v>3151</v>
      </c>
      <c r="BA906" s="29">
        <v>3597</v>
      </c>
      <c r="BB906" s="29">
        <v>6906</v>
      </c>
      <c r="BC906" s="29">
        <v>6555</v>
      </c>
      <c r="BD906" s="29">
        <v>5949</v>
      </c>
      <c r="BE906" s="29">
        <v>6280</v>
      </c>
      <c r="BG906" s="61">
        <f t="shared" si="3969"/>
        <v>5949</v>
      </c>
      <c r="BH906" s="29">
        <v>7684</v>
      </c>
      <c r="BI906" s="29">
        <v>8744</v>
      </c>
      <c r="BJ906" s="29">
        <v>9351</v>
      </c>
      <c r="BK906" s="11">
        <f t="shared" si="3970"/>
        <v>10027</v>
      </c>
      <c r="BL906" s="11">
        <f t="shared" si="3971"/>
        <v>11666</v>
      </c>
      <c r="BM906" s="11">
        <f t="shared" si="3972"/>
        <v>13067</v>
      </c>
      <c r="BN906" s="11">
        <f t="shared" si="3956"/>
        <v>14745</v>
      </c>
      <c r="BO906" s="11">
        <f t="shared" si="3957"/>
        <v>19185</v>
      </c>
      <c r="BP906" s="29"/>
    </row>
    <row r="907" spans="2:68" s="852" customFormat="1" ht="11.1" customHeight="1">
      <c r="B907" t="s">
        <v>590</v>
      </c>
      <c r="D907" s="939">
        <v>154</v>
      </c>
      <c r="E907" s="939">
        <v>439</v>
      </c>
      <c r="F907" s="939">
        <v>373</v>
      </c>
      <c r="G907" s="939">
        <v>294</v>
      </c>
      <c r="H907" s="939">
        <v>210</v>
      </c>
      <c r="I907" s="939">
        <v>1280</v>
      </c>
      <c r="J907" s="939">
        <v>201</v>
      </c>
      <c r="K907" s="939">
        <v>0</v>
      </c>
      <c r="L907" s="939">
        <v>203</v>
      </c>
      <c r="M907" s="939">
        <v>26</v>
      </c>
      <c r="N907" s="939">
        <v>0</v>
      </c>
      <c r="O907" s="939">
        <v>0</v>
      </c>
      <c r="P907" s="939">
        <v>0</v>
      </c>
      <c r="Q907" s="939">
        <v>0</v>
      </c>
      <c r="R907" s="939">
        <v>0</v>
      </c>
      <c r="S907" s="939">
        <f t="shared" si="3968"/>
        <v>0</v>
      </c>
      <c r="T907" s="939">
        <v>0</v>
      </c>
      <c r="U907" s="939">
        <v>0</v>
      </c>
      <c r="V907" s="939">
        <v>0</v>
      </c>
      <c r="W907" s="939">
        <v>0</v>
      </c>
      <c r="X907" s="939">
        <v>0</v>
      </c>
      <c r="Y907" s="939">
        <v>0</v>
      </c>
      <c r="Z907" s="939">
        <v>0</v>
      </c>
      <c r="AA907" s="939">
        <v>0</v>
      </c>
      <c r="AB907" s="939">
        <v>0</v>
      </c>
      <c r="AC907" s="939">
        <v>0</v>
      </c>
      <c r="AD907" s="939">
        <v>0</v>
      </c>
      <c r="AE907" s="939">
        <v>0</v>
      </c>
      <c r="AF907" s="939">
        <v>0</v>
      </c>
      <c r="AG907" s="939">
        <v>0</v>
      </c>
      <c r="AH907" s="30">
        <v>0</v>
      </c>
      <c r="AI907" s="30">
        <v>0</v>
      </c>
      <c r="AJ907" s="30">
        <v>0</v>
      </c>
      <c r="AK907" s="30">
        <v>0</v>
      </c>
      <c r="AL907" s="30">
        <v>0</v>
      </c>
      <c r="AM907" s="30">
        <v>0</v>
      </c>
      <c r="AN907" s="29"/>
      <c r="AO907" s="29"/>
      <c r="AP907" s="29"/>
      <c r="AQ907" s="29"/>
      <c r="AR907" s="29"/>
      <c r="AS907" s="1213"/>
      <c r="AT907" s="939">
        <v>3117</v>
      </c>
      <c r="AU907" s="939">
        <v>2741</v>
      </c>
      <c r="AV907" s="939">
        <v>2614</v>
      </c>
      <c r="AW907" s="939">
        <v>1684</v>
      </c>
      <c r="AX907" s="939">
        <v>182</v>
      </c>
      <c r="AY907" s="939">
        <v>1208</v>
      </c>
      <c r="AZ907" s="939">
        <v>814</v>
      </c>
      <c r="BA907" s="939">
        <v>645</v>
      </c>
      <c r="BB907" s="939">
        <v>558</v>
      </c>
      <c r="BC907" s="939">
        <v>92</v>
      </c>
      <c r="BD907" s="939">
        <v>294</v>
      </c>
      <c r="BE907" s="939">
        <v>97</v>
      </c>
      <c r="BG907" s="58">
        <f t="shared" si="3969"/>
        <v>294</v>
      </c>
      <c r="BH907" s="939">
        <v>0</v>
      </c>
      <c r="BI907" s="939">
        <v>0</v>
      </c>
      <c r="BJ907" s="939">
        <v>0</v>
      </c>
      <c r="BK907" s="940">
        <f t="shared" si="3970"/>
        <v>0</v>
      </c>
      <c r="BL907" s="940">
        <f t="shared" si="3971"/>
        <v>0</v>
      </c>
      <c r="BM907" s="940">
        <f t="shared" si="3972"/>
        <v>0</v>
      </c>
      <c r="BN907" s="940">
        <f t="shared" si="3956"/>
        <v>0</v>
      </c>
      <c r="BO907" s="940">
        <f t="shared" si="3957"/>
        <v>0</v>
      </c>
      <c r="BP907" s="939"/>
    </row>
    <row r="908" spans="2:68" ht="11.1" customHeight="1">
      <c r="B908" s="12" t="s">
        <v>591</v>
      </c>
      <c r="D908" s="8">
        <f>SUM(D900:D907)</f>
        <v>49399</v>
      </c>
      <c r="E908" s="8">
        <f t="shared" ref="E908:AL908" si="3973">SUM(E900:E907)</f>
        <v>42643</v>
      </c>
      <c r="F908" s="8">
        <f t="shared" si="3973"/>
        <v>44354</v>
      </c>
      <c r="G908" s="8">
        <f t="shared" si="3973"/>
        <v>59357</v>
      </c>
      <c r="H908" s="8">
        <f t="shared" si="3973"/>
        <v>58810</v>
      </c>
      <c r="I908" s="8">
        <f t="shared" si="3973"/>
        <v>70787</v>
      </c>
      <c r="J908" s="8">
        <f t="shared" si="3973"/>
        <v>52005</v>
      </c>
      <c r="K908" s="8">
        <f t="shared" si="3973"/>
        <v>55745</v>
      </c>
      <c r="L908" s="8">
        <f t="shared" si="3973"/>
        <v>51615</v>
      </c>
      <c r="M908" s="8">
        <f t="shared" si="3973"/>
        <v>58099</v>
      </c>
      <c r="N908" s="8">
        <f t="shared" si="3973"/>
        <v>46133</v>
      </c>
      <c r="O908" s="8">
        <f t="shared" si="3973"/>
        <v>58488</v>
      </c>
      <c r="P908" s="8">
        <f t="shared" si="3973"/>
        <v>56277</v>
      </c>
      <c r="Q908" s="8">
        <f t="shared" si="3973"/>
        <v>50318</v>
      </c>
      <c r="R908" s="8">
        <f t="shared" si="3973"/>
        <v>53861</v>
      </c>
      <c r="S908" s="8">
        <f t="shared" si="3973"/>
        <v>69420</v>
      </c>
      <c r="T908" s="8">
        <f t="shared" si="3973"/>
        <v>58118</v>
      </c>
      <c r="U908" s="8">
        <f t="shared" si="3973"/>
        <v>59640</v>
      </c>
      <c r="V908" s="8">
        <f t="shared" si="3973"/>
        <v>58707</v>
      </c>
      <c r="W908" s="8">
        <f t="shared" si="3973"/>
        <v>72310</v>
      </c>
      <c r="X908" s="8">
        <f t="shared" si="3973"/>
        <v>70056</v>
      </c>
      <c r="Y908" s="8">
        <f t="shared" si="3973"/>
        <v>67486</v>
      </c>
      <c r="Z908" s="8">
        <f t="shared" si="3973"/>
        <v>72193</v>
      </c>
      <c r="AA908" s="8">
        <f t="shared" si="3973"/>
        <v>88657</v>
      </c>
      <c r="AB908" s="8">
        <f t="shared" si="3973"/>
        <v>80528</v>
      </c>
      <c r="AC908" s="8">
        <f t="shared" si="3973"/>
        <v>77510</v>
      </c>
      <c r="AD908" s="8">
        <f t="shared" si="3973"/>
        <v>77439</v>
      </c>
      <c r="AE908" s="8">
        <f t="shared" si="3973"/>
        <v>95082</v>
      </c>
      <c r="AF908" s="8">
        <f t="shared" si="3973"/>
        <v>87389</v>
      </c>
      <c r="AG908" s="8">
        <f t="shared" si="3973"/>
        <v>81718</v>
      </c>
      <c r="AH908" s="8">
        <f t="shared" si="3973"/>
        <v>85691</v>
      </c>
      <c r="AI908" s="8">
        <f t="shared" si="3973"/>
        <v>104149</v>
      </c>
      <c r="AJ908" s="8">
        <f t="shared" si="3973"/>
        <v>124792</v>
      </c>
      <c r="AK908" s="8">
        <f t="shared" si="3973"/>
        <v>121016</v>
      </c>
      <c r="AL908" s="8">
        <f t="shared" si="3973"/>
        <v>118525</v>
      </c>
      <c r="AM908" s="8">
        <f t="shared" ref="AM908" si="3974">SUM(AM900:AM907)</f>
        <v>125286</v>
      </c>
      <c r="AN908" s="29"/>
      <c r="AR908" s="29"/>
      <c r="AS908" s="1213"/>
      <c r="AT908" s="8">
        <f t="shared" ref="AT908:BE908" si="3975">SUM(AT900:AT907)</f>
        <v>22442</v>
      </c>
      <c r="AU908" s="8">
        <f t="shared" si="3975"/>
        <v>23754</v>
      </c>
      <c r="AV908" s="8">
        <f t="shared" si="3975"/>
        <v>29886</v>
      </c>
      <c r="AW908" s="8">
        <f t="shared" si="3975"/>
        <v>27034</v>
      </c>
      <c r="AX908" s="8">
        <f t="shared" si="3975"/>
        <v>26147</v>
      </c>
      <c r="AY908" s="8">
        <f t="shared" si="3975"/>
        <v>28774</v>
      </c>
      <c r="AZ908" s="8">
        <f t="shared" si="3975"/>
        <v>32688</v>
      </c>
      <c r="BA908" s="8">
        <f t="shared" si="3975"/>
        <v>37417</v>
      </c>
      <c r="BB908" s="8">
        <f t="shared" si="3975"/>
        <v>45625</v>
      </c>
      <c r="BC908" s="8">
        <f t="shared" si="3975"/>
        <v>49647</v>
      </c>
      <c r="BD908" s="8">
        <f t="shared" si="3975"/>
        <v>59357</v>
      </c>
      <c r="BE908" s="8">
        <f t="shared" si="3975"/>
        <v>64527</v>
      </c>
      <c r="BG908" s="8">
        <f t="shared" si="3969"/>
        <v>59357</v>
      </c>
      <c r="BH908" s="8">
        <f t="shared" ref="BH908" si="3976">SUM(BH900:BH907)</f>
        <v>55745</v>
      </c>
      <c r="BI908" s="8">
        <v>58488</v>
      </c>
      <c r="BJ908" s="8">
        <f>SUM(BJ900:BJ907)</f>
        <v>69420</v>
      </c>
      <c r="BK908" s="11">
        <f>SUM(BK900:BK907)</f>
        <v>72310</v>
      </c>
      <c r="BL908" s="11">
        <f t="shared" si="3971"/>
        <v>88657</v>
      </c>
      <c r="BM908" s="11">
        <f t="shared" si="3972"/>
        <v>95082</v>
      </c>
      <c r="BN908" s="11">
        <f t="shared" si="3956"/>
        <v>104149</v>
      </c>
      <c r="BO908" s="11">
        <f t="shared" si="3957"/>
        <v>125286</v>
      </c>
      <c r="BP908" s="8"/>
    </row>
    <row r="909" spans="2:68" ht="11.1" customHeight="1">
      <c r="B909" t="s">
        <v>592</v>
      </c>
      <c r="D909" s="29">
        <v>27819</v>
      </c>
      <c r="E909" s="29">
        <v>40679</v>
      </c>
      <c r="F909" s="29">
        <v>40896</v>
      </c>
      <c r="G909" s="29">
        <v>40557</v>
      </c>
      <c r="H909" s="29">
        <v>60154</v>
      </c>
      <c r="I909" s="29">
        <v>59306</v>
      </c>
      <c r="J909" s="29">
        <v>76222</v>
      </c>
      <c r="K909" s="29">
        <v>76073</v>
      </c>
      <c r="L909" s="29">
        <v>76255</v>
      </c>
      <c r="M909" s="29">
        <v>73348</v>
      </c>
      <c r="N909" s="29">
        <v>73480</v>
      </c>
      <c r="O909" s="29">
        <v>72242</v>
      </c>
      <c r="P909" s="29">
        <v>69733</v>
      </c>
      <c r="Q909" s="29">
        <v>69653</v>
      </c>
      <c r="R909" s="29">
        <v>66585</v>
      </c>
      <c r="S909" s="29">
        <f t="shared" ref="S909:S914" si="3977">+BJ909</f>
        <v>66662</v>
      </c>
      <c r="T909" s="29">
        <v>66478</v>
      </c>
      <c r="U909" s="29">
        <v>63361</v>
      </c>
      <c r="V909" s="29">
        <v>62862</v>
      </c>
      <c r="W909" s="29">
        <v>59578</v>
      </c>
      <c r="X909" s="29">
        <v>57055</v>
      </c>
      <c r="Y909" s="29">
        <v>55136</v>
      </c>
      <c r="Z909" s="29">
        <v>50007</v>
      </c>
      <c r="AA909" s="29">
        <v>50074</v>
      </c>
      <c r="AB909" s="29">
        <v>50039</v>
      </c>
      <c r="AC909" s="29">
        <v>48260</v>
      </c>
      <c r="AD909" s="29">
        <v>48177</v>
      </c>
      <c r="AE909" s="29">
        <v>47032</v>
      </c>
      <c r="AF909" s="29">
        <v>45374</v>
      </c>
      <c r="AG909" s="29">
        <v>44119</v>
      </c>
      <c r="AH909" s="29">
        <v>41965</v>
      </c>
      <c r="AI909" s="29">
        <v>41990</v>
      </c>
      <c r="AJ909" s="29">
        <v>41946</v>
      </c>
      <c r="AK909" s="29">
        <v>44928</v>
      </c>
      <c r="AL909" s="29">
        <v>42658</v>
      </c>
      <c r="AM909" s="29">
        <v>42688</v>
      </c>
      <c r="AN909" s="29"/>
      <c r="AO909" s="29"/>
      <c r="AP909" s="29"/>
      <c r="AQ909" s="29"/>
      <c r="AR909" s="29"/>
      <c r="AS909" s="1213"/>
      <c r="AT909" s="29">
        <v>0</v>
      </c>
      <c r="AU909" s="29">
        <v>0</v>
      </c>
      <c r="AV909" s="29">
        <v>0</v>
      </c>
      <c r="AW909" s="29">
        <v>3746</v>
      </c>
      <c r="AX909" s="29">
        <v>4939</v>
      </c>
      <c r="AY909" s="29">
        <v>11921</v>
      </c>
      <c r="AZ909" s="29">
        <v>10713</v>
      </c>
      <c r="BA909" s="29">
        <v>12601</v>
      </c>
      <c r="BB909" s="29">
        <v>20645</v>
      </c>
      <c r="BC909" s="29">
        <v>27808</v>
      </c>
      <c r="BD909" s="29">
        <v>40557</v>
      </c>
      <c r="BE909" s="29">
        <v>76073</v>
      </c>
      <c r="BG909" s="61">
        <f t="shared" si="3969"/>
        <v>40557</v>
      </c>
      <c r="BH909" s="29">
        <v>76073</v>
      </c>
      <c r="BI909" s="29">
        <v>72242</v>
      </c>
      <c r="BJ909" s="29">
        <v>66662</v>
      </c>
      <c r="BK909" s="11">
        <f t="shared" ref="BK909:BK914" si="3978">+W909</f>
        <v>59578</v>
      </c>
      <c r="BL909" s="11">
        <f t="shared" si="3971"/>
        <v>50074</v>
      </c>
      <c r="BM909" s="11">
        <f t="shared" si="3972"/>
        <v>47032</v>
      </c>
      <c r="BN909" s="11">
        <f t="shared" si="3956"/>
        <v>41990</v>
      </c>
      <c r="BO909" s="11">
        <f t="shared" si="3957"/>
        <v>42688</v>
      </c>
      <c r="BP909" s="29"/>
    </row>
    <row r="910" spans="2:68" ht="11.1" customHeight="1">
      <c r="B910" t="s">
        <v>593</v>
      </c>
      <c r="D910" s="29">
        <v>0</v>
      </c>
      <c r="E910" s="29">
        <v>0</v>
      </c>
      <c r="F910" s="29">
        <v>0</v>
      </c>
      <c r="G910" s="29">
        <v>0</v>
      </c>
      <c r="H910" s="29">
        <v>0</v>
      </c>
      <c r="I910" s="29">
        <v>0</v>
      </c>
      <c r="J910" s="29">
        <v>0</v>
      </c>
      <c r="K910" s="29">
        <v>5372</v>
      </c>
      <c r="L910" s="29">
        <v>5768</v>
      </c>
      <c r="M910" s="29">
        <v>5640</v>
      </c>
      <c r="N910" s="29">
        <v>5751</v>
      </c>
      <c r="O910" s="29">
        <v>5568</v>
      </c>
      <c r="P910" s="29">
        <v>5652</v>
      </c>
      <c r="Q910" s="29">
        <v>5683</v>
      </c>
      <c r="R910" s="29">
        <v>5972</v>
      </c>
      <c r="S910" s="29">
        <f t="shared" si="3977"/>
        <v>6188</v>
      </c>
      <c r="T910" s="29">
        <v>6659</v>
      </c>
      <c r="U910" s="29">
        <v>7172</v>
      </c>
      <c r="V910" s="29">
        <v>7248</v>
      </c>
      <c r="W910" s="29">
        <v>7671</v>
      </c>
      <c r="X910" s="29">
        <v>7753</v>
      </c>
      <c r="Y910" s="29">
        <v>8875</v>
      </c>
      <c r="Z910" s="29">
        <v>9272</v>
      </c>
      <c r="AA910" s="29">
        <v>9629</v>
      </c>
      <c r="AB910" s="29">
        <v>14346</v>
      </c>
      <c r="AC910" s="29">
        <v>26121</v>
      </c>
      <c r="AD910" s="29">
        <v>11357</v>
      </c>
      <c r="AE910" s="29">
        <v>11489</v>
      </c>
      <c r="AF910" s="29">
        <v>11660</v>
      </c>
      <c r="AG910" s="29">
        <v>11998</v>
      </c>
      <c r="AH910" s="29">
        <v>12312</v>
      </c>
      <c r="AI910" s="29">
        <v>12728</v>
      </c>
      <c r="AJ910" s="29">
        <v>13487</v>
      </c>
      <c r="AK910" s="29">
        <v>14155</v>
      </c>
      <c r="AL910" s="29">
        <v>14469</v>
      </c>
      <c r="AM910" s="29">
        <v>15497</v>
      </c>
      <c r="AN910" s="29"/>
      <c r="AO910" s="29"/>
      <c r="AP910" s="29"/>
      <c r="AQ910" s="29"/>
      <c r="AR910" s="29"/>
      <c r="AS910" s="1213"/>
      <c r="AT910" s="29">
        <v>0</v>
      </c>
      <c r="AU910" s="29">
        <v>0</v>
      </c>
      <c r="AV910" s="29">
        <v>0</v>
      </c>
      <c r="AW910" s="29">
        <v>0</v>
      </c>
      <c r="AX910" s="29">
        <v>0</v>
      </c>
      <c r="AY910" s="29">
        <v>0</v>
      </c>
      <c r="AZ910" s="29">
        <v>0</v>
      </c>
      <c r="BA910" s="29">
        <v>0</v>
      </c>
      <c r="BB910" s="29">
        <v>0</v>
      </c>
      <c r="BC910" s="29">
        <v>0</v>
      </c>
      <c r="BD910" s="29">
        <v>0</v>
      </c>
      <c r="BE910" s="29">
        <v>0</v>
      </c>
      <c r="BG910" s="61">
        <f t="shared" si="3969"/>
        <v>0</v>
      </c>
      <c r="BH910" s="29">
        <v>5372</v>
      </c>
      <c r="BI910" s="29">
        <v>5568</v>
      </c>
      <c r="BJ910" s="29">
        <v>6188</v>
      </c>
      <c r="BK910" s="11">
        <f t="shared" si="3978"/>
        <v>7671</v>
      </c>
      <c r="BL910" s="11">
        <f t="shared" si="3971"/>
        <v>9629</v>
      </c>
      <c r="BM910" s="11">
        <f t="shared" si="3972"/>
        <v>11489</v>
      </c>
      <c r="BN910" s="11">
        <f t="shared" si="3956"/>
        <v>12728</v>
      </c>
      <c r="BO910" s="11">
        <f t="shared" si="3957"/>
        <v>15497</v>
      </c>
      <c r="BP910" s="29"/>
    </row>
    <row r="911" spans="2:68" ht="11.1" customHeight="1">
      <c r="B911" t="s">
        <v>594</v>
      </c>
      <c r="D911" s="29">
        <v>2784</v>
      </c>
      <c r="E911" s="29">
        <v>4102</v>
      </c>
      <c r="F911" s="29">
        <v>5017</v>
      </c>
      <c r="G911" s="29">
        <v>6441</v>
      </c>
      <c r="H911" s="29">
        <v>7284</v>
      </c>
      <c r="I911" s="29">
        <v>8595</v>
      </c>
      <c r="J911" s="29">
        <v>9215</v>
      </c>
      <c r="K911" s="29">
        <v>2643</v>
      </c>
      <c r="L911" s="29">
        <v>2126</v>
      </c>
      <c r="M911" s="29">
        <v>2500</v>
      </c>
      <c r="N911" s="29">
        <v>2585</v>
      </c>
      <c r="O911" s="29">
        <v>3815</v>
      </c>
      <c r="P911" s="29">
        <v>3538</v>
      </c>
      <c r="Q911" s="29">
        <v>3799</v>
      </c>
      <c r="R911" s="29">
        <v>3884</v>
      </c>
      <c r="S911" s="29">
        <f t="shared" si="3977"/>
        <v>4530</v>
      </c>
      <c r="T911" s="29">
        <v>4122</v>
      </c>
      <c r="U911" s="29">
        <v>3878</v>
      </c>
      <c r="V911" s="29">
        <v>3385</v>
      </c>
      <c r="W911" s="29">
        <v>3180</v>
      </c>
      <c r="X911" s="29">
        <v>2829</v>
      </c>
      <c r="Y911" s="29">
        <v>2985</v>
      </c>
      <c r="Z911" s="29">
        <v>2631</v>
      </c>
      <c r="AA911" s="29">
        <v>2616</v>
      </c>
      <c r="AB911" s="29">
        <v>2550</v>
      </c>
      <c r="AC911" s="29">
        <v>2768</v>
      </c>
      <c r="AD911" s="29">
        <v>2769</v>
      </c>
      <c r="AE911" s="29">
        <v>2870</v>
      </c>
      <c r="AF911" s="29">
        <v>2549</v>
      </c>
      <c r="AG911" s="29">
        <v>2644</v>
      </c>
      <c r="AH911" s="29">
        <v>2698</v>
      </c>
      <c r="AI911" s="29">
        <v>2912</v>
      </c>
      <c r="AJ911" s="29">
        <v>2759</v>
      </c>
      <c r="AK911" s="29">
        <v>2966</v>
      </c>
      <c r="AL911" s="29">
        <v>2945</v>
      </c>
      <c r="AM911" s="29">
        <v>2602</v>
      </c>
      <c r="AN911" s="29"/>
      <c r="AO911" s="29"/>
      <c r="AP911" s="29"/>
      <c r="AQ911" s="29"/>
      <c r="AR911" s="29"/>
      <c r="AS911" s="1213"/>
      <c r="AT911" s="29">
        <v>1764</v>
      </c>
      <c r="AU911" s="29">
        <v>1867</v>
      </c>
      <c r="AV911" s="29">
        <v>1900</v>
      </c>
      <c r="AW911" s="29">
        <v>1281</v>
      </c>
      <c r="AX911" s="29">
        <v>1178</v>
      </c>
      <c r="AY911" s="29">
        <v>1398</v>
      </c>
      <c r="AZ911" s="29">
        <v>1406</v>
      </c>
      <c r="BA911" s="29">
        <v>1760</v>
      </c>
      <c r="BB911" s="29">
        <v>2008</v>
      </c>
      <c r="BC911" s="29">
        <v>2095</v>
      </c>
      <c r="BD911" s="29">
        <v>6441</v>
      </c>
      <c r="BE911" s="29">
        <v>10377</v>
      </c>
      <c r="BG911" s="61">
        <f t="shared" si="3969"/>
        <v>6441</v>
      </c>
      <c r="BH911" s="29">
        <v>2643</v>
      </c>
      <c r="BI911" s="29">
        <v>3815</v>
      </c>
      <c r="BJ911" s="29">
        <v>4530</v>
      </c>
      <c r="BK911" s="11">
        <f t="shared" si="3978"/>
        <v>3180</v>
      </c>
      <c r="BL911" s="11">
        <f t="shared" si="3971"/>
        <v>2616</v>
      </c>
      <c r="BM911" s="11">
        <f t="shared" si="3972"/>
        <v>2870</v>
      </c>
      <c r="BN911" s="11">
        <f t="shared" si="3956"/>
        <v>2912</v>
      </c>
      <c r="BO911" s="11">
        <f t="shared" si="3957"/>
        <v>2602</v>
      </c>
      <c r="BP911" s="29"/>
    </row>
    <row r="912" spans="2:68" ht="11.1" customHeight="1">
      <c r="B912" t="s">
        <v>534</v>
      </c>
      <c r="D912" s="29">
        <v>2169</v>
      </c>
      <c r="E912" s="29">
        <v>2194</v>
      </c>
      <c r="F912" s="29">
        <v>2674</v>
      </c>
      <c r="G912" s="29">
        <v>1476</v>
      </c>
      <c r="H912" s="29">
        <v>1564</v>
      </c>
      <c r="I912" s="29">
        <v>1133</v>
      </c>
      <c r="J912" s="29">
        <v>465</v>
      </c>
      <c r="K912" s="29">
        <v>5734</v>
      </c>
      <c r="L912" s="29">
        <v>5513</v>
      </c>
      <c r="M912" s="29">
        <v>3186</v>
      </c>
      <c r="N912" s="29">
        <v>2417</v>
      </c>
      <c r="O912" s="29">
        <v>541</v>
      </c>
      <c r="P912" s="29">
        <v>1977</v>
      </c>
      <c r="Q912" s="29">
        <v>2062</v>
      </c>
      <c r="R912" s="29">
        <v>1838</v>
      </c>
      <c r="S912" s="29">
        <f t="shared" si="3977"/>
        <v>233</v>
      </c>
      <c r="T912" s="29">
        <v>234</v>
      </c>
      <c r="U912" s="29">
        <v>222</v>
      </c>
      <c r="V912" s="29">
        <v>185</v>
      </c>
      <c r="W912" s="29">
        <v>204</v>
      </c>
      <c r="X912" s="29">
        <v>187</v>
      </c>
      <c r="Y912" s="29">
        <v>174</v>
      </c>
      <c r="Z912" s="29">
        <v>173</v>
      </c>
      <c r="AA912" s="29">
        <v>198</v>
      </c>
      <c r="AB912" s="29">
        <v>212</v>
      </c>
      <c r="AC912" s="29">
        <v>199</v>
      </c>
      <c r="AD912" s="29">
        <v>304</v>
      </c>
      <c r="AE912" s="29">
        <v>230</v>
      </c>
      <c r="AF912" s="29">
        <v>223</v>
      </c>
      <c r="AG912" s="29">
        <v>289</v>
      </c>
      <c r="AH912" s="29">
        <v>302</v>
      </c>
      <c r="AI912" s="29">
        <v>433</v>
      </c>
      <c r="AJ912" s="29">
        <v>470</v>
      </c>
      <c r="AK912" s="29">
        <v>2548</v>
      </c>
      <c r="AL912" s="29">
        <v>2469</v>
      </c>
      <c r="AM912" s="29">
        <v>2618</v>
      </c>
      <c r="AN912" s="29"/>
      <c r="AO912" s="29"/>
      <c r="AP912" s="29"/>
      <c r="AQ912" s="29"/>
      <c r="AR912" s="29"/>
      <c r="AS912" s="1213"/>
      <c r="AT912" s="29">
        <v>0</v>
      </c>
      <c r="AU912" s="29">
        <v>0</v>
      </c>
      <c r="AV912" s="29">
        <v>0</v>
      </c>
      <c r="AW912" s="29">
        <v>0</v>
      </c>
      <c r="AX912" s="29">
        <v>229</v>
      </c>
      <c r="AY912" s="29">
        <v>1456</v>
      </c>
      <c r="AZ912" s="29">
        <v>1893</v>
      </c>
      <c r="BA912" s="29">
        <v>1709</v>
      </c>
      <c r="BB912" s="29">
        <v>2728</v>
      </c>
      <c r="BC912" s="29">
        <v>1295</v>
      </c>
      <c r="BD912" s="29">
        <v>1476</v>
      </c>
      <c r="BE912" s="29">
        <v>531</v>
      </c>
      <c r="BG912" s="61">
        <f t="shared" si="3969"/>
        <v>1476</v>
      </c>
      <c r="BH912" s="29">
        <v>5734</v>
      </c>
      <c r="BI912" s="29">
        <v>541</v>
      </c>
      <c r="BJ912" s="29">
        <v>233</v>
      </c>
      <c r="BK912" s="11">
        <f t="shared" si="3978"/>
        <v>204</v>
      </c>
      <c r="BL912" s="11">
        <f t="shared" si="3971"/>
        <v>198</v>
      </c>
      <c r="BM912" s="11">
        <f t="shared" si="3972"/>
        <v>230</v>
      </c>
      <c r="BN912" s="11">
        <f t="shared" si="3956"/>
        <v>433</v>
      </c>
      <c r="BO912" s="11">
        <f t="shared" si="3957"/>
        <v>2618</v>
      </c>
      <c r="BP912" s="29"/>
    </row>
    <row r="913" spans="2:68" ht="11.1" customHeight="1">
      <c r="B913" t="s">
        <v>536</v>
      </c>
      <c r="D913" s="29">
        <v>13280</v>
      </c>
      <c r="E913" s="29">
        <v>13700</v>
      </c>
      <c r="F913" s="29">
        <v>14122</v>
      </c>
      <c r="G913" s="29">
        <v>13640</v>
      </c>
      <c r="H913" s="29">
        <v>14340</v>
      </c>
      <c r="I913" s="29">
        <v>15980</v>
      </c>
      <c r="J913" s="29">
        <v>17381</v>
      </c>
      <c r="K913" s="29">
        <v>3549</v>
      </c>
      <c r="L913" s="29">
        <v>18173</v>
      </c>
      <c r="M913" s="29">
        <v>4820</v>
      </c>
      <c r="N913" s="29">
        <v>5223</v>
      </c>
      <c r="O913" s="29">
        <v>5211</v>
      </c>
      <c r="P913" s="29">
        <v>5539</v>
      </c>
      <c r="Q913" s="29">
        <v>6055</v>
      </c>
      <c r="R913" s="29">
        <v>6763</v>
      </c>
      <c r="S913" s="29">
        <f t="shared" si="3977"/>
        <v>7581</v>
      </c>
      <c r="T913" s="29">
        <v>8826</v>
      </c>
      <c r="U913" s="29">
        <v>9658</v>
      </c>
      <c r="V913" s="29">
        <v>9673</v>
      </c>
      <c r="W913" s="29">
        <v>10632</v>
      </c>
      <c r="X913" s="29">
        <v>11525</v>
      </c>
      <c r="Y913" s="29">
        <v>12544</v>
      </c>
      <c r="Z913" s="29">
        <v>12941</v>
      </c>
      <c r="AA913" s="29">
        <v>13427</v>
      </c>
      <c r="AB913" s="29">
        <v>10050</v>
      </c>
      <c r="AC913" s="29">
        <v>10774</v>
      </c>
      <c r="AD913" s="29">
        <v>15154</v>
      </c>
      <c r="AE913" s="29">
        <v>15526</v>
      </c>
      <c r="AF913" s="29">
        <v>15311</v>
      </c>
      <c r="AG913" s="29">
        <v>16479</v>
      </c>
      <c r="AH913" s="29">
        <v>17437</v>
      </c>
      <c r="AI913" s="29">
        <v>17981</v>
      </c>
      <c r="AJ913" s="29">
        <v>18634</v>
      </c>
      <c r="AK913" s="29">
        <v>20787</v>
      </c>
      <c r="AL913" s="29">
        <v>23271</v>
      </c>
      <c r="AM913" s="29">
        <v>27064</v>
      </c>
      <c r="AN913" s="29"/>
      <c r="AO913" s="29"/>
      <c r="AP913" s="29"/>
      <c r="AQ913" s="29"/>
      <c r="AR913" s="29"/>
      <c r="AS913" s="1213"/>
      <c r="AT913" s="29">
        <v>5287</v>
      </c>
      <c r="AU913" s="29">
        <v>6453</v>
      </c>
      <c r="AV913" s="29">
        <v>4721</v>
      </c>
      <c r="AW913" s="29">
        <v>6269</v>
      </c>
      <c r="AX913" s="29">
        <v>7445</v>
      </c>
      <c r="AY913" s="29">
        <v>8072</v>
      </c>
      <c r="AZ913" s="29">
        <v>8208</v>
      </c>
      <c r="BA913" s="29">
        <v>10000</v>
      </c>
      <c r="BB913" s="29">
        <v>11594</v>
      </c>
      <c r="BC913" s="29">
        <v>13544</v>
      </c>
      <c r="BD913" s="29">
        <v>13640</v>
      </c>
      <c r="BE913" s="29">
        <v>17184</v>
      </c>
      <c r="BG913" s="61">
        <f t="shared" si="3969"/>
        <v>13640</v>
      </c>
      <c r="BH913" s="29">
        <v>3549</v>
      </c>
      <c r="BI913" s="29">
        <v>5211</v>
      </c>
      <c r="BJ913" s="29">
        <v>7581</v>
      </c>
      <c r="BK913" s="11">
        <f t="shared" si="3978"/>
        <v>10632</v>
      </c>
      <c r="BL913" s="11">
        <f t="shared" si="3971"/>
        <v>13427</v>
      </c>
      <c r="BM913" s="11">
        <f t="shared" si="3972"/>
        <v>15526</v>
      </c>
      <c r="BN913" s="11">
        <f t="shared" si="3956"/>
        <v>17981</v>
      </c>
      <c r="BO913" s="11">
        <f t="shared" si="3957"/>
        <v>27064</v>
      </c>
      <c r="BP913" s="29"/>
    </row>
    <row r="914" spans="2:68" s="852" customFormat="1" ht="11.1" customHeight="1">
      <c r="B914" t="s">
        <v>595</v>
      </c>
      <c r="D914" s="939">
        <v>0</v>
      </c>
      <c r="E914" s="939">
        <v>0</v>
      </c>
      <c r="F914" s="939">
        <v>0</v>
      </c>
      <c r="G914" s="939">
        <v>0</v>
      </c>
      <c r="H914" s="939">
        <v>0</v>
      </c>
      <c r="I914" s="939">
        <v>0</v>
      </c>
      <c r="J914" s="939">
        <v>0</v>
      </c>
      <c r="K914" s="939">
        <v>13485</v>
      </c>
      <c r="L914" s="939">
        <v>0</v>
      </c>
      <c r="M914" s="939">
        <v>30050</v>
      </c>
      <c r="N914" s="939">
        <v>30669</v>
      </c>
      <c r="O914" s="939">
        <v>30265</v>
      </c>
      <c r="P914" s="939">
        <v>28936</v>
      </c>
      <c r="Q914" s="939">
        <v>29161</v>
      </c>
      <c r="R914" s="939">
        <v>29514</v>
      </c>
      <c r="S914" s="939">
        <f t="shared" si="3977"/>
        <v>29612</v>
      </c>
      <c r="T914" s="939">
        <v>28457</v>
      </c>
      <c r="U914" s="939">
        <v>28754</v>
      </c>
      <c r="V914" s="939">
        <v>28888</v>
      </c>
      <c r="W914" s="939">
        <v>29432</v>
      </c>
      <c r="X914" s="939">
        <v>28204</v>
      </c>
      <c r="Y914" s="939">
        <v>26701</v>
      </c>
      <c r="Z914" s="939">
        <v>27157</v>
      </c>
      <c r="AA914" s="939">
        <v>27190</v>
      </c>
      <c r="AB914" s="30">
        <v>25715</v>
      </c>
      <c r="AC914" s="30">
        <v>14747</v>
      </c>
      <c r="AD914" s="30">
        <v>26483</v>
      </c>
      <c r="AE914" s="30">
        <v>26069</v>
      </c>
      <c r="AF914" s="30">
        <v>23712</v>
      </c>
      <c r="AG914" s="30">
        <v>24169</v>
      </c>
      <c r="AH914" s="30">
        <v>25000</v>
      </c>
      <c r="AI914" s="30">
        <v>25560</v>
      </c>
      <c r="AJ914" s="30">
        <v>22983</v>
      </c>
      <c r="AK914" s="30">
        <v>25890</v>
      </c>
      <c r="AL914" s="30">
        <v>26786</v>
      </c>
      <c r="AM914" s="29">
        <v>27931</v>
      </c>
      <c r="AN914" s="29"/>
      <c r="AO914" s="29"/>
      <c r="AP914" s="29"/>
      <c r="AQ914" s="29"/>
      <c r="AR914" s="29"/>
      <c r="AS914" s="1213"/>
      <c r="AT914" s="939">
        <v>0</v>
      </c>
      <c r="AU914" s="939">
        <v>0</v>
      </c>
      <c r="AV914" s="939">
        <v>0</v>
      </c>
      <c r="AW914" s="939">
        <v>0</v>
      </c>
      <c r="AX914" s="939">
        <v>0</v>
      </c>
      <c r="AY914" s="939">
        <v>0</v>
      </c>
      <c r="AZ914" s="939">
        <v>0</v>
      </c>
      <c r="BA914" s="939">
        <v>0</v>
      </c>
      <c r="BB914" s="939">
        <v>0</v>
      </c>
      <c r="BC914" s="939">
        <v>0</v>
      </c>
      <c r="BD914" s="939">
        <v>0</v>
      </c>
      <c r="BE914" s="939">
        <v>0</v>
      </c>
      <c r="BG914" s="58">
        <f t="shared" si="3969"/>
        <v>0</v>
      </c>
      <c r="BH914" s="939">
        <v>13485</v>
      </c>
      <c r="BI914" s="939">
        <v>30265</v>
      </c>
      <c r="BJ914" s="939">
        <v>29612</v>
      </c>
      <c r="BK914" s="940">
        <f t="shared" si="3978"/>
        <v>29432</v>
      </c>
      <c r="BL914" s="940">
        <f t="shared" si="3971"/>
        <v>27190</v>
      </c>
      <c r="BM914" s="940">
        <f t="shared" si="3972"/>
        <v>26069</v>
      </c>
      <c r="BN914" s="940">
        <f t="shared" si="3956"/>
        <v>25560</v>
      </c>
      <c r="BO914" s="940">
        <f t="shared" si="3957"/>
        <v>27931</v>
      </c>
      <c r="BP914" s="939"/>
    </row>
    <row r="915" spans="2:68" s="1" customFormat="1" ht="11.1" customHeight="1">
      <c r="B915" s="837" t="s">
        <v>596</v>
      </c>
      <c r="D915" s="838">
        <f t="shared" ref="D915:Q915" si="3979">SUM(D909:D914)+D908</f>
        <v>95451</v>
      </c>
      <c r="E915" s="838">
        <f t="shared" si="3979"/>
        <v>103318</v>
      </c>
      <c r="F915" s="838">
        <f t="shared" si="3979"/>
        <v>107063</v>
      </c>
      <c r="G915" s="838">
        <f t="shared" si="3979"/>
        <v>121471</v>
      </c>
      <c r="H915" s="838">
        <f t="shared" si="3979"/>
        <v>142152</v>
      </c>
      <c r="I915" s="838">
        <f t="shared" si="3979"/>
        <v>155801</v>
      </c>
      <c r="J915" s="838">
        <f t="shared" si="3979"/>
        <v>155288</v>
      </c>
      <c r="K915" s="838">
        <f t="shared" si="3979"/>
        <v>162601</v>
      </c>
      <c r="L915" s="838">
        <f t="shared" si="3979"/>
        <v>159450</v>
      </c>
      <c r="M915" s="838">
        <f t="shared" si="3979"/>
        <v>177643</v>
      </c>
      <c r="N915" s="838">
        <f t="shared" si="3979"/>
        <v>166258</v>
      </c>
      <c r="O915" s="838">
        <f t="shared" si="3979"/>
        <v>176130</v>
      </c>
      <c r="P915" s="838">
        <f t="shared" si="3979"/>
        <v>171652</v>
      </c>
      <c r="Q915" s="838">
        <f t="shared" si="3979"/>
        <v>166731</v>
      </c>
      <c r="R915" s="838">
        <f t="shared" ref="R915:T915" si="3980">SUM(R909:R914)+R908</f>
        <v>168417</v>
      </c>
      <c r="S915" s="838">
        <f t="shared" si="3980"/>
        <v>184226</v>
      </c>
      <c r="T915" s="838">
        <f t="shared" si="3980"/>
        <v>172894</v>
      </c>
      <c r="U915" s="838">
        <f t="shared" ref="U915" si="3981">SUM(U909:U914)+U908</f>
        <v>172685</v>
      </c>
      <c r="V915" s="838">
        <f t="shared" ref="V915:AM915" si="3982">SUM(V909:V914)+V908</f>
        <v>170948</v>
      </c>
      <c r="W915" s="838">
        <f t="shared" si="3982"/>
        <v>183007</v>
      </c>
      <c r="X915" s="838">
        <f t="shared" si="3982"/>
        <v>177609</v>
      </c>
      <c r="Y915" s="838">
        <f t="shared" si="3982"/>
        <v>173901</v>
      </c>
      <c r="Z915" s="838">
        <f t="shared" si="3982"/>
        <v>174374</v>
      </c>
      <c r="AA915" s="838">
        <f t="shared" si="3982"/>
        <v>191791</v>
      </c>
      <c r="AB915" s="838">
        <f t="shared" si="3982"/>
        <v>183440</v>
      </c>
      <c r="AC915" s="838">
        <f t="shared" si="3982"/>
        <v>180379</v>
      </c>
      <c r="AD915" s="838">
        <f t="shared" si="3982"/>
        <v>181683</v>
      </c>
      <c r="AE915" s="838">
        <f t="shared" si="3982"/>
        <v>198298</v>
      </c>
      <c r="AF915" s="838">
        <f t="shared" si="3982"/>
        <v>186218</v>
      </c>
      <c r="AG915" s="838">
        <f t="shared" si="3982"/>
        <v>181416</v>
      </c>
      <c r="AH915" s="838">
        <f t="shared" si="3982"/>
        <v>185405</v>
      </c>
      <c r="AI915" s="838">
        <f t="shared" si="3982"/>
        <v>205753</v>
      </c>
      <c r="AJ915" s="838">
        <f t="shared" si="3982"/>
        <v>225071</v>
      </c>
      <c r="AK915" s="838">
        <f t="shared" si="3982"/>
        <v>232290</v>
      </c>
      <c r="AL915" s="838">
        <f t="shared" si="3982"/>
        <v>231123</v>
      </c>
      <c r="AM915" s="838">
        <f t="shared" si="3982"/>
        <v>243686</v>
      </c>
      <c r="AN915" s="29"/>
      <c r="AR915" s="29"/>
      <c r="AS915" s="1213"/>
      <c r="AT915" s="838">
        <f t="shared" ref="AT915:BE915" si="3983">SUM(AT909:AT914)+AT908</f>
        <v>29493</v>
      </c>
      <c r="AU915" s="838">
        <f t="shared" si="3983"/>
        <v>32074</v>
      </c>
      <c r="AV915" s="838">
        <f t="shared" si="3983"/>
        <v>36507</v>
      </c>
      <c r="AW915" s="838">
        <f t="shared" si="3983"/>
        <v>38330</v>
      </c>
      <c r="AX915" s="838">
        <f t="shared" si="3983"/>
        <v>39938</v>
      </c>
      <c r="AY915" s="838">
        <f t="shared" si="3983"/>
        <v>51621</v>
      </c>
      <c r="AZ915" s="838">
        <f t="shared" si="3983"/>
        <v>54908</v>
      </c>
      <c r="BA915" s="838">
        <f t="shared" si="3983"/>
        <v>63487</v>
      </c>
      <c r="BB915" s="838">
        <f t="shared" si="3983"/>
        <v>82600</v>
      </c>
      <c r="BC915" s="838">
        <f t="shared" si="3983"/>
        <v>94389</v>
      </c>
      <c r="BD915" s="838">
        <f t="shared" si="3983"/>
        <v>121471</v>
      </c>
      <c r="BE915" s="838">
        <f t="shared" si="3983"/>
        <v>168692</v>
      </c>
      <c r="BG915" s="838">
        <f t="shared" si="3969"/>
        <v>121471</v>
      </c>
      <c r="BH915" s="838">
        <f>SUM(BH909:BH914)+BH908</f>
        <v>162601</v>
      </c>
      <c r="BI915" s="838">
        <f>SUM(BI909:BI914)+BI908</f>
        <v>176130</v>
      </c>
      <c r="BJ915" s="838">
        <f>SUM(BJ909:BJ914)+BJ908</f>
        <v>184226</v>
      </c>
      <c r="BK915" s="849">
        <f>SUM(BK909:BK914)+BK908</f>
        <v>183007</v>
      </c>
      <c r="BL915" s="849">
        <f t="shared" si="3971"/>
        <v>191791</v>
      </c>
      <c r="BM915" s="849">
        <f t="shared" si="3972"/>
        <v>198298</v>
      </c>
      <c r="BN915" s="849">
        <f t="shared" si="3956"/>
        <v>205753</v>
      </c>
      <c r="BO915" s="849">
        <f t="shared" si="3957"/>
        <v>243686</v>
      </c>
      <c r="BP915" s="838"/>
    </row>
    <row r="916" spans="2:68" ht="11.1" customHeight="1">
      <c r="AL916" s="29"/>
      <c r="AM916" s="29"/>
      <c r="AN916" s="29"/>
      <c r="AO916" s="29"/>
      <c r="AP916" s="29"/>
      <c r="AQ916" s="29"/>
      <c r="AR916" s="29"/>
      <c r="AS916" s="1213"/>
      <c r="BG916" s="61">
        <f t="shared" si="3969"/>
        <v>0</v>
      </c>
      <c r="BK916" s="100"/>
      <c r="BL916" s="100"/>
      <c r="BM916" s="100"/>
      <c r="BN916" s="100"/>
      <c r="BO916" s="100"/>
    </row>
    <row r="917" spans="2:68" ht="11.1" customHeight="1">
      <c r="B917" s="45" t="s">
        <v>597</v>
      </c>
      <c r="AL917" s="29"/>
      <c r="AM917" s="29"/>
      <c r="AN917" s="29"/>
      <c r="AO917" s="29"/>
      <c r="AP917" s="29"/>
      <c r="AQ917" s="29"/>
      <c r="AR917" s="29"/>
      <c r="AS917" s="1213"/>
      <c r="BG917" s="61">
        <f t="shared" si="3969"/>
        <v>0</v>
      </c>
      <c r="BK917" s="100"/>
      <c r="BL917" s="100"/>
      <c r="BM917" s="100"/>
      <c r="BN917" s="100"/>
      <c r="BO917" s="100"/>
    </row>
    <row r="918" spans="2:68" ht="11.1" customHeight="1">
      <c r="B918" t="s">
        <v>598</v>
      </c>
      <c r="D918" s="29">
        <v>68093</v>
      </c>
      <c r="E918" s="29">
        <v>68279</v>
      </c>
      <c r="F918" s="29">
        <v>68012</v>
      </c>
      <c r="G918" s="29">
        <v>68178</v>
      </c>
      <c r="H918" s="29">
        <v>67747</v>
      </c>
      <c r="I918" s="29">
        <v>68177</v>
      </c>
      <c r="J918" s="29">
        <v>68554</v>
      </c>
      <c r="K918" s="29">
        <v>69315</v>
      </c>
      <c r="L918" s="29">
        <v>69419</v>
      </c>
      <c r="M918" s="29">
        <v>70192</v>
      </c>
      <c r="N918" s="29">
        <v>70418</v>
      </c>
      <c r="O918" s="29">
        <v>71223</v>
      </c>
      <c r="P918" s="29">
        <v>71303</v>
      </c>
      <c r="Q918" s="29">
        <v>77556</v>
      </c>
      <c r="R918" s="29">
        <v>77791</v>
      </c>
      <c r="S918" s="29">
        <f t="shared" ref="S918:S920" si="3984">+BJ918</f>
        <v>78520</v>
      </c>
      <c r="T918" s="29">
        <v>78882</v>
      </c>
      <c r="U918" s="29">
        <v>79625</v>
      </c>
      <c r="V918" s="29">
        <v>79813</v>
      </c>
      <c r="W918" s="29">
        <v>80552</v>
      </c>
      <c r="X918" s="29">
        <v>81089</v>
      </c>
      <c r="Y918" s="29">
        <v>81896</v>
      </c>
      <c r="Z918" s="29">
        <v>82308</v>
      </c>
      <c r="AA918" s="29">
        <v>83111</v>
      </c>
      <c r="AB918" s="29">
        <v>83751</v>
      </c>
      <c r="AC918" s="29">
        <v>84528</v>
      </c>
      <c r="AD918" s="29">
        <v>85767</v>
      </c>
      <c r="AE918" s="29">
        <v>86939</v>
      </c>
      <c r="AF918" s="29">
        <v>88535</v>
      </c>
      <c r="AG918" s="29">
        <v>90225</v>
      </c>
      <c r="AH918" s="29">
        <v>92093</v>
      </c>
      <c r="AI918" s="29">
        <v>93718</v>
      </c>
      <c r="AJ918" s="29">
        <v>95508</v>
      </c>
      <c r="AK918" s="29">
        <v>97480</v>
      </c>
      <c r="AL918" s="29">
        <v>99193</v>
      </c>
      <c r="AM918" s="29">
        <v>100923</v>
      </c>
      <c r="AN918" s="29"/>
      <c r="AO918" s="29"/>
      <c r="AP918" s="29"/>
      <c r="AQ918" s="29"/>
      <c r="AR918" s="29"/>
      <c r="AS918" s="1213"/>
      <c r="AT918" s="29">
        <v>59005</v>
      </c>
      <c r="AU918" s="29">
        <v>60557</v>
      </c>
      <c r="AV918" s="29">
        <v>62849</v>
      </c>
      <c r="AW918" s="29">
        <v>62382</v>
      </c>
      <c r="AX918" s="29">
        <v>62856</v>
      </c>
      <c r="AY918" s="29">
        <v>63415</v>
      </c>
      <c r="AZ918" s="29">
        <v>65797</v>
      </c>
      <c r="BA918" s="29">
        <v>67306</v>
      </c>
      <c r="BB918" s="29">
        <v>68366</v>
      </c>
      <c r="BC918" s="29">
        <v>68465</v>
      </c>
      <c r="BD918" s="29">
        <v>68178</v>
      </c>
      <c r="BE918" s="29">
        <v>69315</v>
      </c>
      <c r="BG918" s="61">
        <f t="shared" si="3969"/>
        <v>68178</v>
      </c>
      <c r="BH918" s="29">
        <v>69315</v>
      </c>
      <c r="BI918" s="29">
        <v>71223</v>
      </c>
      <c r="BJ918" s="29">
        <v>78520</v>
      </c>
      <c r="BK918" s="11">
        <f>+W918</f>
        <v>80552</v>
      </c>
      <c r="BL918" s="11">
        <f t="shared" ref="BL918:BL922" si="3985">+AA918</f>
        <v>83111</v>
      </c>
      <c r="BM918" s="11">
        <f t="shared" si="3972"/>
        <v>86939</v>
      </c>
      <c r="BN918" s="11">
        <f t="shared" si="3956"/>
        <v>93718</v>
      </c>
      <c r="BO918" s="11">
        <f t="shared" si="3957"/>
        <v>100923</v>
      </c>
      <c r="BP918" s="29"/>
    </row>
    <row r="919" spans="2:68" ht="11.1" customHeight="1">
      <c r="B919" t="s">
        <v>599</v>
      </c>
      <c r="D919" s="29">
        <v>7614</v>
      </c>
      <c r="E919" s="29">
        <v>6728</v>
      </c>
      <c r="F919" s="29">
        <v>4954</v>
      </c>
      <c r="G919" s="29">
        <v>2282</v>
      </c>
      <c r="H919" s="29">
        <v>944</v>
      </c>
      <c r="I919" s="29">
        <v>120</v>
      </c>
      <c r="J919" s="29">
        <v>531</v>
      </c>
      <c r="K919" s="29">
        <v>17769</v>
      </c>
      <c r="L919" s="29">
        <v>19702</v>
      </c>
      <c r="M919" s="29">
        <v>8567</v>
      </c>
      <c r="N919" s="29">
        <v>9974</v>
      </c>
      <c r="O919" s="29">
        <v>13682</v>
      </c>
      <c r="P919" s="29">
        <v>17279</v>
      </c>
      <c r="Q919" s="29">
        <v>16585</v>
      </c>
      <c r="R919" s="29">
        <v>18338</v>
      </c>
      <c r="S919" s="29">
        <f t="shared" si="3984"/>
        <v>24150</v>
      </c>
      <c r="T919" s="29">
        <v>27240</v>
      </c>
      <c r="U919" s="29">
        <v>30739</v>
      </c>
      <c r="V919" s="29">
        <v>32012</v>
      </c>
      <c r="W919" s="29">
        <v>34566</v>
      </c>
      <c r="X919" s="29">
        <v>39193</v>
      </c>
      <c r="Y919" s="29">
        <v>44973</v>
      </c>
      <c r="Z919" s="29">
        <v>50735</v>
      </c>
      <c r="AA919" s="29">
        <v>57055</v>
      </c>
      <c r="AB919" s="29">
        <v>66944</v>
      </c>
      <c r="AC919" s="29">
        <v>75045</v>
      </c>
      <c r="AD919" s="29">
        <v>79633</v>
      </c>
      <c r="AE919" s="29">
        <v>84281</v>
      </c>
      <c r="AF919" s="29">
        <v>92374</v>
      </c>
      <c r="AG919" s="29">
        <v>99368</v>
      </c>
      <c r="AH919" s="29">
        <v>108234</v>
      </c>
      <c r="AI919" s="29">
        <v>118848</v>
      </c>
      <c r="AJ919" s="29">
        <v>132143</v>
      </c>
      <c r="AK919" s="29">
        <v>145737</v>
      </c>
      <c r="AL919" s="29">
        <v>159394</v>
      </c>
      <c r="AM919" s="29">
        <v>173144</v>
      </c>
      <c r="AN919" s="29"/>
      <c r="AO919" s="29"/>
      <c r="AP919" s="29"/>
      <c r="AQ919" s="29"/>
      <c r="AR919" s="29"/>
      <c r="AS919" s="1213"/>
      <c r="AT919" s="29">
        <v>-18901</v>
      </c>
      <c r="AU919" s="29">
        <v>-29460</v>
      </c>
      <c r="AV919" s="29">
        <v>-26563</v>
      </c>
      <c r="AW919" s="29">
        <v>-22824</v>
      </c>
      <c r="AX919" s="29">
        <v>-16681</v>
      </c>
      <c r="AY919" s="29">
        <v>-6332</v>
      </c>
      <c r="AZ919" s="29">
        <v>-856</v>
      </c>
      <c r="BA919" s="29">
        <v>9895</v>
      </c>
      <c r="BB919" s="29">
        <v>17710</v>
      </c>
      <c r="BC919" s="29">
        <v>9096</v>
      </c>
      <c r="BD919" s="29">
        <v>2282</v>
      </c>
      <c r="BE919" s="29">
        <v>2648</v>
      </c>
      <c r="BG919" s="61">
        <f t="shared" si="3969"/>
        <v>2282</v>
      </c>
      <c r="BH919" s="29">
        <v>17769</v>
      </c>
      <c r="BI919" s="29">
        <v>13682</v>
      </c>
      <c r="BJ919" s="29">
        <v>24150</v>
      </c>
      <c r="BK919" s="11">
        <f>+W919</f>
        <v>34566</v>
      </c>
      <c r="BL919" s="11">
        <f t="shared" si="3985"/>
        <v>57055</v>
      </c>
      <c r="BM919" s="11">
        <f t="shared" si="3972"/>
        <v>84281</v>
      </c>
      <c r="BN919" s="11">
        <f t="shared" si="3956"/>
        <v>118848</v>
      </c>
      <c r="BO919" s="11">
        <f t="shared" si="3957"/>
        <v>173144</v>
      </c>
      <c r="BP919" s="29"/>
    </row>
    <row r="920" spans="2:68" ht="11.1" customHeight="1">
      <c r="B920" t="s">
        <v>600</v>
      </c>
      <c r="D920" s="30">
        <v>1738</v>
      </c>
      <c r="E920" s="30">
        <v>1773</v>
      </c>
      <c r="F920" s="30">
        <v>1840</v>
      </c>
      <c r="G920" s="30">
        <v>1537</v>
      </c>
      <c r="H920" s="30">
        <v>1681</v>
      </c>
      <c r="I920" s="30">
        <v>512</v>
      </c>
      <c r="J920" s="30">
        <v>644</v>
      </c>
      <c r="K920" s="30">
        <v>627</v>
      </c>
      <c r="L920" s="30">
        <v>526</v>
      </c>
      <c r="M920" s="30">
        <v>-399</v>
      </c>
      <c r="N920" s="30">
        <v>-1153</v>
      </c>
      <c r="O920" s="30">
        <v>-2187</v>
      </c>
      <c r="P920" s="30">
        <v>-2615</v>
      </c>
      <c r="Q920" s="30">
        <v>-2013</v>
      </c>
      <c r="R920" s="30">
        <v>-1265</v>
      </c>
      <c r="S920" s="30">
        <f t="shared" si="3984"/>
        <v>-340</v>
      </c>
      <c r="T920" s="30">
        <v>-61</v>
      </c>
      <c r="U920" s="30">
        <v>-255</v>
      </c>
      <c r="V920" s="30">
        <v>2676</v>
      </c>
      <c r="W920" s="30">
        <v>3186</v>
      </c>
      <c r="X920" s="30">
        <v>3110</v>
      </c>
      <c r="Y920" s="30">
        <v>3367</v>
      </c>
      <c r="Z920" s="30">
        <v>1462</v>
      </c>
      <c r="AA920" s="30">
        <v>1822</v>
      </c>
      <c r="AB920" s="30">
        <v>1283</v>
      </c>
      <c r="AC920" s="30">
        <v>437</v>
      </c>
      <c r="AD920" s="30">
        <v>-2476</v>
      </c>
      <c r="AE920" s="30">
        <v>-4678</v>
      </c>
      <c r="AF920" s="30">
        <v>-7343</v>
      </c>
      <c r="AG920" s="30">
        <v>-6457</v>
      </c>
      <c r="AH920" s="30">
        <v>-5644</v>
      </c>
      <c r="AI920" s="30">
        <v>-6343</v>
      </c>
      <c r="AJ920" s="30">
        <v>-6937</v>
      </c>
      <c r="AK920" s="30">
        <v>-4949</v>
      </c>
      <c r="AL920" s="29">
        <v>-5435</v>
      </c>
      <c r="AM920" s="29">
        <v>-5590</v>
      </c>
      <c r="AN920" s="29"/>
      <c r="AO920" s="29"/>
      <c r="AP920" s="29"/>
      <c r="AQ920" s="29"/>
      <c r="AR920" s="29"/>
      <c r="AS920" s="1213"/>
      <c r="AT920" s="30">
        <v>0</v>
      </c>
      <c r="AU920" s="30">
        <v>0</v>
      </c>
      <c r="AV920" s="30">
        <v>0</v>
      </c>
      <c r="AW920" s="30">
        <v>0</v>
      </c>
      <c r="AX920" s="30">
        <v>0</v>
      </c>
      <c r="AY920" s="30">
        <v>0</v>
      </c>
      <c r="AZ920" s="30">
        <v>1422</v>
      </c>
      <c r="BA920" s="30">
        <v>1743</v>
      </c>
      <c r="BB920" s="30">
        <v>3708</v>
      </c>
      <c r="BC920" s="30">
        <v>2522</v>
      </c>
      <c r="BD920" s="30">
        <v>1537</v>
      </c>
      <c r="BE920" s="30">
        <v>431</v>
      </c>
      <c r="BF920" s="953"/>
      <c r="BG920" s="58">
        <f t="shared" si="3969"/>
        <v>1537</v>
      </c>
      <c r="BH920" s="30">
        <v>627</v>
      </c>
      <c r="BI920" s="30">
        <v>-2187</v>
      </c>
      <c r="BJ920" s="30">
        <v>-340</v>
      </c>
      <c r="BK920" s="34">
        <f>+W920</f>
        <v>3186</v>
      </c>
      <c r="BL920" s="34">
        <f t="shared" si="3985"/>
        <v>1822</v>
      </c>
      <c r="BM920" s="34">
        <f t="shared" si="3972"/>
        <v>-4678</v>
      </c>
      <c r="BN920" s="34">
        <f t="shared" si="3956"/>
        <v>-6343</v>
      </c>
      <c r="BO920" s="34">
        <f t="shared" si="3957"/>
        <v>-5590</v>
      </c>
      <c r="BP920" s="30"/>
    </row>
    <row r="921" spans="2:68" s="1" customFormat="1" ht="11.1" customHeight="1">
      <c r="B921" s="837" t="s">
        <v>601</v>
      </c>
      <c r="D921" s="959">
        <f>SUM(D918:D920)</f>
        <v>77445</v>
      </c>
      <c r="E921" s="959">
        <f t="shared" ref="E921:O921" si="3986">SUM(E918:E920)</f>
        <v>76780</v>
      </c>
      <c r="F921" s="959">
        <f t="shared" si="3986"/>
        <v>74806</v>
      </c>
      <c r="G921" s="959">
        <f t="shared" si="3986"/>
        <v>71997</v>
      </c>
      <c r="H921" s="959">
        <f t="shared" si="3986"/>
        <v>70372</v>
      </c>
      <c r="I921" s="959">
        <f t="shared" si="3986"/>
        <v>68809</v>
      </c>
      <c r="J921" s="959">
        <f t="shared" si="3986"/>
        <v>69729</v>
      </c>
      <c r="K921" s="959">
        <f t="shared" si="3986"/>
        <v>87711</v>
      </c>
      <c r="L921" s="959">
        <f t="shared" si="3986"/>
        <v>89647</v>
      </c>
      <c r="M921" s="959">
        <f t="shared" si="3986"/>
        <v>78360</v>
      </c>
      <c r="N921" s="959">
        <f t="shared" si="3986"/>
        <v>79239</v>
      </c>
      <c r="O921" s="959">
        <f t="shared" si="3986"/>
        <v>82718</v>
      </c>
      <c r="P921" s="959">
        <f t="shared" ref="P921:Q921" si="3987">SUM(P918:P920)</f>
        <v>85967</v>
      </c>
      <c r="Q921" s="959">
        <f t="shared" si="3987"/>
        <v>92128</v>
      </c>
      <c r="R921" s="959">
        <f t="shared" ref="R921:T921" si="3988">SUM(R918:R920)</f>
        <v>94864</v>
      </c>
      <c r="S921" s="959">
        <f t="shared" si="3988"/>
        <v>102330</v>
      </c>
      <c r="T921" s="959">
        <f t="shared" si="3988"/>
        <v>106061</v>
      </c>
      <c r="U921" s="959">
        <f t="shared" ref="U921:V921" si="3989">SUM(U918:U920)</f>
        <v>110109</v>
      </c>
      <c r="V921" s="959">
        <f t="shared" si="3989"/>
        <v>114501</v>
      </c>
      <c r="W921" s="959">
        <f t="shared" ref="W921:X921" si="3990">SUM(W918:W920)</f>
        <v>118304</v>
      </c>
      <c r="X921" s="959">
        <f t="shared" si="3990"/>
        <v>123392</v>
      </c>
      <c r="Y921" s="959">
        <f t="shared" ref="Y921:Z921" si="3991">SUM(Y918:Y920)</f>
        <v>130236</v>
      </c>
      <c r="Z921" s="959">
        <f t="shared" si="3991"/>
        <v>134505</v>
      </c>
      <c r="AA921" s="959">
        <f t="shared" ref="AA921:AC921" si="3992">SUM(AA918:AA920)</f>
        <v>141988</v>
      </c>
      <c r="AB921" s="959">
        <f t="shared" si="3992"/>
        <v>151978</v>
      </c>
      <c r="AC921" s="959">
        <f t="shared" si="3992"/>
        <v>160010</v>
      </c>
      <c r="AD921" s="959">
        <f t="shared" ref="AD921:AE921" si="3993">SUM(AD918:AD920)</f>
        <v>162924</v>
      </c>
      <c r="AE921" s="959">
        <f t="shared" si="3993"/>
        <v>166542</v>
      </c>
      <c r="AF921" s="959">
        <f t="shared" ref="AF921:AG921" si="3994">SUM(AF918:AF920)</f>
        <v>173566</v>
      </c>
      <c r="AG921" s="959">
        <f t="shared" si="3994"/>
        <v>183136</v>
      </c>
      <c r="AH921" s="959">
        <f t="shared" ref="AH921:AI921" si="3995">SUM(AH918:AH920)</f>
        <v>194683</v>
      </c>
      <c r="AI921" s="959">
        <f t="shared" si="3995"/>
        <v>206223</v>
      </c>
      <c r="AJ921" s="959">
        <f t="shared" ref="AJ921:AK921" si="3996">SUM(AJ918:AJ920)</f>
        <v>220714</v>
      </c>
      <c r="AK921" s="959">
        <f t="shared" si="3996"/>
        <v>238268</v>
      </c>
      <c r="AL921" s="959">
        <f t="shared" ref="AL921:AM921" si="3997">SUM(AL918:AL920)</f>
        <v>253152</v>
      </c>
      <c r="AM921" s="959">
        <f t="shared" si="3997"/>
        <v>268477</v>
      </c>
      <c r="AN921" s="29"/>
      <c r="AO921" s="29"/>
      <c r="AP921" s="29"/>
      <c r="AQ921" s="29"/>
      <c r="AR921" s="29"/>
      <c r="AS921" s="997"/>
      <c r="AT921" s="959">
        <f t="shared" ref="AT921:BE921" si="3998">SUM(AT918:AT920)</f>
        <v>40104</v>
      </c>
      <c r="AU921" s="959">
        <f t="shared" si="3998"/>
        <v>31097</v>
      </c>
      <c r="AV921" s="959">
        <f t="shared" si="3998"/>
        <v>36286</v>
      </c>
      <c r="AW921" s="959">
        <f t="shared" si="3998"/>
        <v>39558</v>
      </c>
      <c r="AX921" s="959">
        <f t="shared" si="3998"/>
        <v>46175</v>
      </c>
      <c r="AY921" s="959">
        <f t="shared" si="3998"/>
        <v>57083</v>
      </c>
      <c r="AZ921" s="959">
        <f t="shared" si="3998"/>
        <v>66363</v>
      </c>
      <c r="BA921" s="959">
        <f t="shared" si="3998"/>
        <v>78944</v>
      </c>
      <c r="BB921" s="959">
        <f t="shared" si="3998"/>
        <v>89784</v>
      </c>
      <c r="BC921" s="959">
        <f t="shared" si="3998"/>
        <v>80083</v>
      </c>
      <c r="BD921" s="959">
        <f t="shared" si="3998"/>
        <v>71997</v>
      </c>
      <c r="BE921" s="959">
        <f t="shared" si="3998"/>
        <v>72394</v>
      </c>
      <c r="BF921" s="102"/>
      <c r="BG921" s="959">
        <f t="shared" si="3969"/>
        <v>71997</v>
      </c>
      <c r="BH921" s="959">
        <f t="shared" ref="BH921" si="3999">SUM(BH918:BH920)</f>
        <v>87711</v>
      </c>
      <c r="BI921" s="959">
        <f t="shared" ref="BI921:BJ921" si="4000">SUM(BI918:BI920)</f>
        <v>82718</v>
      </c>
      <c r="BJ921" s="959">
        <f t="shared" si="4000"/>
        <v>102330</v>
      </c>
      <c r="BK921" s="959">
        <f t="shared" ref="BK921" si="4001">SUM(BK918:BK920)</f>
        <v>118304</v>
      </c>
      <c r="BL921" s="959">
        <f t="shared" si="3985"/>
        <v>141988</v>
      </c>
      <c r="BM921" s="959">
        <f t="shared" si="3972"/>
        <v>166542</v>
      </c>
      <c r="BN921" s="959">
        <f t="shared" si="3956"/>
        <v>206223</v>
      </c>
      <c r="BO921" s="959">
        <f t="shared" si="3957"/>
        <v>268477</v>
      </c>
      <c r="BP921" s="959"/>
    </row>
    <row r="922" spans="2:68" s="1" customFormat="1" ht="11.1" customHeight="1">
      <c r="B922" s="1" t="s">
        <v>602</v>
      </c>
      <c r="D922" s="838">
        <f>+D915+D921</f>
        <v>172896</v>
      </c>
      <c r="E922" s="838">
        <f t="shared" ref="E922:O922" si="4002">+E915+E921</f>
        <v>180098</v>
      </c>
      <c r="F922" s="838">
        <f t="shared" si="4002"/>
        <v>181869</v>
      </c>
      <c r="G922" s="838">
        <f t="shared" si="4002"/>
        <v>193468</v>
      </c>
      <c r="H922" s="838">
        <f t="shared" si="4002"/>
        <v>212524</v>
      </c>
      <c r="I922" s="838">
        <f t="shared" si="4002"/>
        <v>224610</v>
      </c>
      <c r="J922" s="838">
        <f t="shared" si="4002"/>
        <v>225017</v>
      </c>
      <c r="K922" s="838">
        <f t="shared" si="4002"/>
        <v>250312</v>
      </c>
      <c r="L922" s="838">
        <f t="shared" si="4002"/>
        <v>249097</v>
      </c>
      <c r="M922" s="838">
        <f t="shared" si="4002"/>
        <v>256003</v>
      </c>
      <c r="N922" s="838">
        <f t="shared" si="4002"/>
        <v>245497</v>
      </c>
      <c r="O922" s="838">
        <f t="shared" si="4002"/>
        <v>258848</v>
      </c>
      <c r="P922" s="838">
        <f t="shared" ref="P922:Q922" si="4003">+P915+P921</f>
        <v>257619</v>
      </c>
      <c r="Q922" s="838">
        <f t="shared" si="4003"/>
        <v>258859</v>
      </c>
      <c r="R922" s="838">
        <f t="shared" ref="R922:T922" si="4004">+R915+R921</f>
        <v>263281</v>
      </c>
      <c r="S922" s="838">
        <f t="shared" si="4004"/>
        <v>286556</v>
      </c>
      <c r="T922" s="838">
        <f t="shared" si="4004"/>
        <v>278955</v>
      </c>
      <c r="U922" s="838">
        <f t="shared" ref="U922:V922" si="4005">+U915+U921</f>
        <v>282794</v>
      </c>
      <c r="V922" s="838">
        <f t="shared" si="4005"/>
        <v>285449</v>
      </c>
      <c r="W922" s="838">
        <f t="shared" ref="W922:X922" si="4006">+W915+W921</f>
        <v>301311</v>
      </c>
      <c r="X922" s="838">
        <f t="shared" si="4006"/>
        <v>301001</v>
      </c>
      <c r="Y922" s="838">
        <f t="shared" ref="Y922:Z922" si="4007">+Y915+Y921</f>
        <v>304137</v>
      </c>
      <c r="Z922" s="838">
        <f t="shared" si="4007"/>
        <v>308879</v>
      </c>
      <c r="AA922" s="838">
        <f t="shared" ref="AA922:AC922" si="4008">+AA915+AA921</f>
        <v>333779</v>
      </c>
      <c r="AB922" s="838">
        <f t="shared" si="4008"/>
        <v>335418</v>
      </c>
      <c r="AC922" s="838">
        <f t="shared" si="4008"/>
        <v>340389</v>
      </c>
      <c r="AD922" s="838">
        <f t="shared" ref="AD922:AE922" si="4009">+AD915+AD921</f>
        <v>344607</v>
      </c>
      <c r="AE922" s="838">
        <f t="shared" si="4009"/>
        <v>364840</v>
      </c>
      <c r="AF922" s="838">
        <f t="shared" ref="AF922:AG922" si="4010">+AF915+AF921</f>
        <v>359784</v>
      </c>
      <c r="AG922" s="838">
        <f t="shared" si="4010"/>
        <v>364552</v>
      </c>
      <c r="AH922" s="838">
        <f t="shared" ref="AH922:AI922" si="4011">+AH915+AH921</f>
        <v>380088</v>
      </c>
      <c r="AI922" s="838">
        <f t="shared" si="4011"/>
        <v>411976</v>
      </c>
      <c r="AJ922" s="838">
        <f t="shared" ref="AJ922:AK922" si="4012">+AJ915+AJ921</f>
        <v>445785</v>
      </c>
      <c r="AK922" s="838">
        <f t="shared" si="4012"/>
        <v>470558</v>
      </c>
      <c r="AL922" s="838">
        <f t="shared" ref="AL922:AM922" si="4013">+AL915+AL921</f>
        <v>484275</v>
      </c>
      <c r="AM922" s="838">
        <f t="shared" si="4013"/>
        <v>512163</v>
      </c>
      <c r="AN922" s="29"/>
      <c r="AO922" s="29"/>
      <c r="AP922" s="29"/>
      <c r="AQ922" s="29"/>
      <c r="AR922" s="29"/>
      <c r="AS922" s="997"/>
      <c r="AT922" s="838">
        <f t="shared" ref="AT922:BE922" si="4014">+AT915+AT921</f>
        <v>69597</v>
      </c>
      <c r="AU922" s="838">
        <f t="shared" si="4014"/>
        <v>63171</v>
      </c>
      <c r="AV922" s="838">
        <f t="shared" si="4014"/>
        <v>72793</v>
      </c>
      <c r="AW922" s="838">
        <f t="shared" si="4014"/>
        <v>77888</v>
      </c>
      <c r="AX922" s="838">
        <f t="shared" si="4014"/>
        <v>86113</v>
      </c>
      <c r="AY922" s="838">
        <f t="shared" si="4014"/>
        <v>108704</v>
      </c>
      <c r="AZ922" s="838">
        <f t="shared" si="4014"/>
        <v>121271</v>
      </c>
      <c r="BA922" s="838">
        <f t="shared" si="4014"/>
        <v>142431</v>
      </c>
      <c r="BB922" s="838">
        <f t="shared" si="4014"/>
        <v>172384</v>
      </c>
      <c r="BC922" s="838">
        <f t="shared" si="4014"/>
        <v>174472</v>
      </c>
      <c r="BD922" s="838">
        <f t="shared" si="4014"/>
        <v>193468</v>
      </c>
      <c r="BE922" s="838">
        <f t="shared" si="4014"/>
        <v>241086</v>
      </c>
      <c r="BG922" s="838">
        <f t="shared" si="3969"/>
        <v>193468</v>
      </c>
      <c r="BH922" s="838">
        <f t="shared" ref="BH922" si="4015">+BH915+BH921</f>
        <v>250312</v>
      </c>
      <c r="BI922" s="838">
        <f t="shared" ref="BI922:BJ922" si="4016">+BI915+BI921</f>
        <v>258848</v>
      </c>
      <c r="BJ922" s="838">
        <f t="shared" si="4016"/>
        <v>286556</v>
      </c>
      <c r="BK922" s="849">
        <f t="shared" ref="BK922" si="4017">+BK915+BK921</f>
        <v>301311</v>
      </c>
      <c r="BL922" s="849">
        <f t="shared" si="3985"/>
        <v>333779</v>
      </c>
      <c r="BM922" s="849">
        <f t="shared" si="3972"/>
        <v>364840</v>
      </c>
      <c r="BN922" s="849">
        <f t="shared" si="3956"/>
        <v>411976</v>
      </c>
      <c r="BO922" s="849">
        <f t="shared" si="3957"/>
        <v>512163</v>
      </c>
      <c r="BP922" s="838"/>
    </row>
    <row r="923" spans="2:68" ht="11.1" customHeight="1">
      <c r="AL923" s="29"/>
      <c r="AM923" s="29"/>
      <c r="AN923" s="29"/>
      <c r="AO923" s="29"/>
      <c r="AP923" s="29"/>
      <c r="AQ923" s="29"/>
      <c r="AR923" s="29"/>
      <c r="BK923" s="100"/>
      <c r="BL923" s="100"/>
    </row>
    <row r="924" spans="2:68" s="3" customFormat="1" ht="11.1" customHeight="1">
      <c r="B924" s="1232" t="s">
        <v>603</v>
      </c>
      <c r="AL924" s="40"/>
      <c r="AM924" s="40"/>
      <c r="AN924" s="40"/>
      <c r="AO924" s="40"/>
      <c r="AP924" s="40"/>
      <c r="AQ924" s="40"/>
      <c r="AR924" s="40"/>
      <c r="BK924" s="872"/>
      <c r="BL924" s="872"/>
    </row>
    <row r="925" spans="2:68" s="3" customFormat="1" ht="11.1" customHeight="1">
      <c r="B925" s="3" t="s">
        <v>543</v>
      </c>
      <c r="D925" s="40"/>
      <c r="E925" s="40"/>
      <c r="F925" s="40"/>
      <c r="G925" s="40"/>
      <c r="H925" s="40"/>
      <c r="I925" s="40"/>
      <c r="J925" s="40"/>
      <c r="K925" s="40">
        <v>113</v>
      </c>
      <c r="L925" s="40"/>
      <c r="M925" s="40">
        <v>156</v>
      </c>
      <c r="N925" s="40">
        <v>181</v>
      </c>
      <c r="O925" s="40">
        <v>176</v>
      </c>
      <c r="P925" s="40">
        <v>203</v>
      </c>
      <c r="Q925" s="40">
        <v>245</v>
      </c>
      <c r="R925" s="40">
        <v>282</v>
      </c>
      <c r="S925" s="40">
        <v>317</v>
      </c>
      <c r="T925" s="40">
        <v>404</v>
      </c>
      <c r="U925" s="40">
        <v>464</v>
      </c>
      <c r="V925" s="40">
        <v>470</v>
      </c>
      <c r="W925" s="40">
        <v>540</v>
      </c>
      <c r="X925" s="40">
        <v>596</v>
      </c>
      <c r="Y925" s="40">
        <v>699</v>
      </c>
      <c r="Z925" s="40">
        <v>753</v>
      </c>
      <c r="AA925" s="40">
        <v>791</v>
      </c>
      <c r="AB925" s="40">
        <v>882</v>
      </c>
      <c r="AC925" s="40">
        <v>944</v>
      </c>
      <c r="AD925" s="40">
        <v>988</v>
      </c>
      <c r="AE925" s="40">
        <v>1060</v>
      </c>
      <c r="AF925" s="40">
        <v>1055</v>
      </c>
      <c r="AG925" s="40">
        <v>1105</v>
      </c>
      <c r="AH925" s="40">
        <v>1153</v>
      </c>
      <c r="AI925" s="40">
        <v>1197</v>
      </c>
      <c r="AJ925" s="40">
        <v>1577</v>
      </c>
      <c r="AK925" s="40">
        <v>1691</v>
      </c>
      <c r="AL925" s="40">
        <v>1869</v>
      </c>
      <c r="AM925" s="40">
        <v>2349</v>
      </c>
      <c r="AN925" s="40"/>
      <c r="AO925" s="40"/>
      <c r="AP925" s="40"/>
      <c r="AQ925" s="40"/>
      <c r="AR925" s="40"/>
      <c r="AS925" s="1233"/>
      <c r="AT925" s="40"/>
      <c r="AU925" s="40"/>
      <c r="AV925" s="40"/>
      <c r="AW925" s="40"/>
      <c r="AX925" s="40"/>
      <c r="AY925" s="40"/>
      <c r="AZ925" s="40"/>
      <c r="BA925" s="40"/>
      <c r="BB925" s="40"/>
      <c r="BC925" s="40"/>
      <c r="BD925" s="40"/>
      <c r="BE925" s="40"/>
      <c r="BG925" s="1234"/>
      <c r="BH925" s="40">
        <f>+K925</f>
        <v>113</v>
      </c>
      <c r="BI925" s="40">
        <f>+O925</f>
        <v>176</v>
      </c>
      <c r="BJ925" s="40">
        <f>+S925</f>
        <v>317</v>
      </c>
      <c r="BK925" s="94">
        <f>+W925</f>
        <v>540</v>
      </c>
      <c r="BL925" s="94">
        <f t="shared" ref="BL925" si="4018">+AA925</f>
        <v>791</v>
      </c>
      <c r="BM925" s="94">
        <f t="shared" ref="BM925" si="4019">+AE925</f>
        <v>1060</v>
      </c>
      <c r="BN925" s="94">
        <f t="shared" ref="BN925" si="4020">+AI925</f>
        <v>1197</v>
      </c>
      <c r="BO925" s="94">
        <f>+AM925</f>
        <v>2349</v>
      </c>
      <c r="BP925" s="40"/>
    </row>
    <row r="926" spans="2:68" s="3" customFormat="1" ht="11.1" customHeight="1">
      <c r="B926" s="3" t="s">
        <v>536</v>
      </c>
      <c r="D926" s="1235"/>
      <c r="E926" s="1235"/>
      <c r="F926" s="1235"/>
      <c r="G926" s="1235"/>
      <c r="H926" s="1235"/>
      <c r="I926" s="1235"/>
      <c r="J926" s="1235"/>
      <c r="K926" s="1235">
        <v>2425</v>
      </c>
      <c r="L926" s="1235"/>
      <c r="M926" s="1235">
        <v>3746</v>
      </c>
      <c r="N926" s="1235">
        <v>4150</v>
      </c>
      <c r="O926" s="1235">
        <v>4125</v>
      </c>
      <c r="P926" s="1235">
        <v>4471</v>
      </c>
      <c r="Q926" s="1235">
        <v>4965</v>
      </c>
      <c r="R926" s="1235">
        <v>5528</v>
      </c>
      <c r="S926" s="1235">
        <v>6257</v>
      </c>
      <c r="T926" s="1235">
        <v>7461</v>
      </c>
      <c r="U926" s="1235">
        <v>8287</v>
      </c>
      <c r="V926" s="1235">
        <v>8140</v>
      </c>
      <c r="W926" s="1235">
        <v>8956</v>
      </c>
      <c r="X926" s="1235">
        <v>9571</v>
      </c>
      <c r="Y926" s="1235">
        <v>10819</v>
      </c>
      <c r="Z926" s="1235">
        <v>11301</v>
      </c>
      <c r="AA926" s="1235">
        <v>11750</v>
      </c>
      <c r="AB926" s="1235">
        <v>12666</v>
      </c>
      <c r="AC926" s="1235">
        <v>13251</v>
      </c>
      <c r="AD926" s="1235">
        <v>13551</v>
      </c>
      <c r="AE926" s="1235">
        <v>13842</v>
      </c>
      <c r="AF926" s="1235">
        <v>13575</v>
      </c>
      <c r="AG926" s="1235">
        <v>14479</v>
      </c>
      <c r="AH926" s="1235">
        <v>15310</v>
      </c>
      <c r="AI926" s="1235">
        <v>15870</v>
      </c>
      <c r="AJ926" s="1235">
        <v>16577</v>
      </c>
      <c r="AK926" s="1235">
        <v>18506</v>
      </c>
      <c r="AL926" s="1235">
        <v>21036</v>
      </c>
      <c r="AM926" s="1235">
        <v>24796</v>
      </c>
      <c r="AN926" s="40"/>
      <c r="AO926" s="40"/>
      <c r="AP926" s="40"/>
      <c r="AQ926" s="40"/>
      <c r="AR926" s="40"/>
      <c r="AS926" s="1233"/>
      <c r="AT926" s="1235"/>
      <c r="AU926" s="1235"/>
      <c r="AV926" s="1235"/>
      <c r="AW926" s="1235"/>
      <c r="AX926" s="1235"/>
      <c r="AY926" s="1235"/>
      <c r="AZ926" s="1235"/>
      <c r="BA926" s="1235"/>
      <c r="BB926" s="1235"/>
      <c r="BC926" s="1235"/>
      <c r="BD926" s="1235"/>
      <c r="BE926" s="1235"/>
      <c r="BF926" s="942"/>
      <c r="BG926" s="1236"/>
      <c r="BH926" s="1235">
        <f t="shared" ref="BH926" si="4021">+K926</f>
        <v>2425</v>
      </c>
      <c r="BI926" s="1235">
        <f t="shared" ref="BI926" si="4022">+O926</f>
        <v>4125</v>
      </c>
      <c r="BJ926" s="1235">
        <f t="shared" ref="BJ926" si="4023">+S926</f>
        <v>6257</v>
      </c>
      <c r="BK926" s="943">
        <f t="shared" ref="BK926" si="4024">+W926</f>
        <v>8956</v>
      </c>
      <c r="BL926" s="943">
        <f t="shared" ref="BL926" si="4025">+AA926</f>
        <v>11750</v>
      </c>
      <c r="BM926" s="943">
        <f t="shared" ref="BM926" si="4026">+AE926</f>
        <v>13842</v>
      </c>
      <c r="BN926" s="943">
        <f t="shared" ref="BN926" si="4027">+AI926</f>
        <v>15870</v>
      </c>
      <c r="BO926" s="943">
        <f t="shared" ref="BO926:BO927" si="4028">+AM926</f>
        <v>24796</v>
      </c>
      <c r="BP926" s="1235"/>
    </row>
    <row r="927" spans="2:68" s="7" customFormat="1" ht="11.1" customHeight="1">
      <c r="B927" s="1139" t="s">
        <v>604</v>
      </c>
      <c r="D927" s="1237"/>
      <c r="E927" s="1237"/>
      <c r="F927" s="1237"/>
      <c r="G927" s="1237"/>
      <c r="H927" s="1237"/>
      <c r="I927" s="1237"/>
      <c r="J927" s="1237"/>
      <c r="K927" s="938">
        <f t="shared" ref="K927:M927" si="4029">+SUM(K925:K926)</f>
        <v>2538</v>
      </c>
      <c r="L927" s="938"/>
      <c r="M927" s="938">
        <f t="shared" si="4029"/>
        <v>3902</v>
      </c>
      <c r="N927" s="938">
        <f t="shared" ref="N927" si="4030">+SUM(N925:N926)</f>
        <v>4331</v>
      </c>
      <c r="O927" s="938">
        <f t="shared" ref="O927" si="4031">+SUM(O925:O926)</f>
        <v>4301</v>
      </c>
      <c r="P927" s="938">
        <f t="shared" ref="P927" si="4032">+SUM(P925:P926)</f>
        <v>4674</v>
      </c>
      <c r="Q927" s="938">
        <f t="shared" ref="Q927" si="4033">+SUM(Q925:Q926)</f>
        <v>5210</v>
      </c>
      <c r="R927" s="938">
        <f t="shared" ref="R927" si="4034">+SUM(R925:R926)</f>
        <v>5810</v>
      </c>
      <c r="S927" s="938">
        <f t="shared" ref="S927" si="4035">+SUM(S925:S926)</f>
        <v>6574</v>
      </c>
      <c r="T927" s="938">
        <f t="shared" ref="T927" si="4036">+SUM(T925:T926)</f>
        <v>7865</v>
      </c>
      <c r="U927" s="938">
        <f t="shared" ref="U927" si="4037">+SUM(U925:U926)</f>
        <v>8751</v>
      </c>
      <c r="V927" s="938">
        <f t="shared" ref="V927" si="4038">+SUM(V925:V926)</f>
        <v>8610</v>
      </c>
      <c r="W927" s="938">
        <f t="shared" ref="W927" si="4039">+SUM(W925:W926)</f>
        <v>9496</v>
      </c>
      <c r="X927" s="938">
        <f t="shared" ref="X927" si="4040">+SUM(X925:X926)</f>
        <v>10167</v>
      </c>
      <c r="Y927" s="938">
        <f t="shared" ref="Y927" si="4041">+SUM(Y925:Y926)</f>
        <v>11518</v>
      </c>
      <c r="Z927" s="938">
        <f t="shared" ref="Z927" si="4042">+SUM(Z925:Z926)</f>
        <v>12054</v>
      </c>
      <c r="AA927" s="938">
        <f t="shared" ref="AA927" si="4043">+SUM(AA925:AA926)</f>
        <v>12541</v>
      </c>
      <c r="AB927" s="938">
        <f t="shared" ref="AB927" si="4044">+SUM(AB925:AB926)</f>
        <v>13548</v>
      </c>
      <c r="AC927" s="938">
        <f t="shared" ref="AC927" si="4045">+SUM(AC925:AC926)</f>
        <v>14195</v>
      </c>
      <c r="AD927" s="938">
        <f t="shared" ref="AD927" si="4046">+SUM(AD925:AD926)</f>
        <v>14539</v>
      </c>
      <c r="AE927" s="938">
        <f t="shared" ref="AE927" si="4047">+SUM(AE925:AE926)</f>
        <v>14902</v>
      </c>
      <c r="AF927" s="938">
        <f t="shared" ref="AF927" si="4048">+SUM(AF925:AF926)</f>
        <v>14630</v>
      </c>
      <c r="AG927" s="938">
        <f t="shared" ref="AG927" si="4049">+SUM(AG925:AG926)</f>
        <v>15584</v>
      </c>
      <c r="AH927" s="938">
        <f t="shared" ref="AH927" si="4050">+SUM(AH925:AH926)</f>
        <v>16463</v>
      </c>
      <c r="AI927" s="938">
        <f t="shared" ref="AI927" si="4051">+SUM(AI925:AI926)</f>
        <v>17067</v>
      </c>
      <c r="AJ927" s="938">
        <f t="shared" ref="AJ927" si="4052">+SUM(AJ925:AJ926)</f>
        <v>18154</v>
      </c>
      <c r="AK927" s="938">
        <f t="shared" ref="AK927" si="4053">+SUM(AK925:AK926)</f>
        <v>20197</v>
      </c>
      <c r="AL927" s="938">
        <f t="shared" ref="AL927:AM927" si="4054">+SUM(AL925:AL926)</f>
        <v>22905</v>
      </c>
      <c r="AM927" s="938">
        <f t="shared" si="4054"/>
        <v>27145</v>
      </c>
      <c r="AN927" s="40"/>
      <c r="AO927" s="40"/>
      <c r="AP927" s="40"/>
      <c r="AQ927" s="40"/>
      <c r="AR927" s="40"/>
      <c r="AS927" s="1238"/>
      <c r="AT927" s="1237"/>
      <c r="AU927" s="1237"/>
      <c r="AV927" s="1237"/>
      <c r="AW927" s="1237"/>
      <c r="AX927" s="1237"/>
      <c r="AY927" s="1237"/>
      <c r="AZ927" s="1237"/>
      <c r="BA927" s="1237"/>
      <c r="BB927" s="1237"/>
      <c r="BC927" s="1237"/>
      <c r="BD927" s="1237"/>
      <c r="BE927" s="1237"/>
      <c r="BF927" s="1164"/>
      <c r="BG927" s="1237"/>
      <c r="BH927" s="938">
        <f>+SUM(BH925:BH926)</f>
        <v>2538</v>
      </c>
      <c r="BI927" s="938">
        <f t="shared" ref="BI927:BN927" si="4055">+SUM(BI925:BI926)</f>
        <v>4301</v>
      </c>
      <c r="BJ927" s="938">
        <f t="shared" si="4055"/>
        <v>6574</v>
      </c>
      <c r="BK927" s="938">
        <f t="shared" si="4055"/>
        <v>9496</v>
      </c>
      <c r="BL927" s="938">
        <f t="shared" si="4055"/>
        <v>12541</v>
      </c>
      <c r="BM927" s="938">
        <f t="shared" si="4055"/>
        <v>14902</v>
      </c>
      <c r="BN927" s="938">
        <f t="shared" si="4055"/>
        <v>17067</v>
      </c>
      <c r="BO927" s="938">
        <f t="shared" si="4028"/>
        <v>27145</v>
      </c>
      <c r="BP927" s="1237"/>
    </row>
    <row r="928" spans="2:68" ht="11.1" customHeight="1">
      <c r="AL928" s="29"/>
      <c r="AM928" s="29"/>
      <c r="AN928" s="29"/>
      <c r="AO928" s="29"/>
      <c r="AP928" s="29"/>
      <c r="AQ928" s="29"/>
      <c r="AR928" s="29"/>
      <c r="BK928" s="100"/>
      <c r="BL928" s="100"/>
    </row>
    <row r="929" spans="2:72" s="3" customFormat="1" ht="11.1" customHeight="1">
      <c r="B929" s="13" t="s">
        <v>605</v>
      </c>
      <c r="D929" s="40"/>
      <c r="E929" s="40"/>
      <c r="F929" s="40"/>
      <c r="G929" s="40"/>
      <c r="H929" s="40">
        <v>12</v>
      </c>
      <c r="I929" s="40">
        <v>15</v>
      </c>
      <c r="J929" s="40">
        <v>19</v>
      </c>
      <c r="K929" s="40">
        <v>22</v>
      </c>
      <c r="L929" s="40">
        <v>30</v>
      </c>
      <c r="M929" s="40">
        <v>44</v>
      </c>
      <c r="N929" s="40">
        <v>47</v>
      </c>
      <c r="O929" s="40">
        <v>54</v>
      </c>
      <c r="P929" s="40">
        <v>55</v>
      </c>
      <c r="Q929" s="40">
        <v>59</v>
      </c>
      <c r="R929" s="40">
        <v>65</v>
      </c>
      <c r="S929" s="40">
        <v>68</v>
      </c>
      <c r="T929" s="40">
        <v>78</v>
      </c>
      <c r="U929" s="40">
        <v>84</v>
      </c>
      <c r="V929" s="40">
        <v>87</v>
      </c>
      <c r="W929" s="40">
        <v>87</v>
      </c>
      <c r="X929" s="40">
        <v>92</v>
      </c>
      <c r="Y929" s="40">
        <v>94</v>
      </c>
      <c r="Z929" s="40">
        <v>100</v>
      </c>
      <c r="AA929" s="40">
        <v>100</v>
      </c>
      <c r="AB929" s="40">
        <v>104</v>
      </c>
      <c r="AC929" s="40">
        <v>107</v>
      </c>
      <c r="AD929" s="40">
        <v>109</v>
      </c>
      <c r="AE929" s="40">
        <v>109</v>
      </c>
      <c r="AF929" s="40">
        <v>113</v>
      </c>
      <c r="AG929" s="40">
        <v>119</v>
      </c>
      <c r="AH929" s="40">
        <v>132</v>
      </c>
      <c r="AI929" s="40">
        <v>137</v>
      </c>
      <c r="AJ929" s="40">
        <v>149</v>
      </c>
      <c r="AK929" s="40">
        <v>168</v>
      </c>
      <c r="AL929" s="40">
        <v>190</v>
      </c>
      <c r="AM929" s="40">
        <f>+BO929-SUM(AJ929:AL929)</f>
        <v>227</v>
      </c>
      <c r="AN929" s="40"/>
      <c r="AO929" s="40"/>
      <c r="AP929" s="40"/>
      <c r="AQ929" s="40"/>
      <c r="AR929" s="40"/>
      <c r="AS929" s="1233"/>
      <c r="AT929" s="40"/>
      <c r="AU929" s="40"/>
      <c r="AV929" s="40"/>
      <c r="AW929" s="40"/>
      <c r="AX929" s="40"/>
      <c r="AY929" s="40"/>
      <c r="AZ929" s="40"/>
      <c r="BA929" s="40"/>
      <c r="BB929" s="40"/>
      <c r="BC929" s="40"/>
      <c r="BD929" s="40"/>
      <c r="BE929" s="40"/>
      <c r="BG929" s="1234"/>
      <c r="BH929" s="40">
        <f>+SUM(H929:K929)</f>
        <v>68</v>
      </c>
      <c r="BI929" s="40">
        <f>+SUM(L929:O929)</f>
        <v>175</v>
      </c>
      <c r="BJ929" s="40">
        <f>+SUM(P929:S929)</f>
        <v>247</v>
      </c>
      <c r="BK929" s="11">
        <f t="shared" ref="BK929" si="4056">SUM(T929:W929)</f>
        <v>336</v>
      </c>
      <c r="BL929" s="11">
        <f t="shared" ref="BL929" si="4057">SUM(X929:AA929)</f>
        <v>386</v>
      </c>
      <c r="BM929" s="11">
        <f t="shared" ref="BM929" si="4058">+SUM(AB929:AE929)</f>
        <v>429</v>
      </c>
      <c r="BN929" s="11">
        <f t="shared" ref="BN929" si="4059">+SUM(AF929:AI929)</f>
        <v>501</v>
      </c>
      <c r="BO929" s="94">
        <v>734</v>
      </c>
      <c r="BP929" s="40"/>
    </row>
    <row r="930" spans="2:72" s="3" customFormat="1">
      <c r="B930" s="15" t="s">
        <v>138</v>
      </c>
      <c r="D930" s="228"/>
      <c r="E930" s="228"/>
      <c r="F930" s="228"/>
      <c r="G930" s="228"/>
      <c r="H930" s="228"/>
      <c r="I930" s="228"/>
      <c r="J930" s="228"/>
      <c r="K930" s="228"/>
      <c r="L930" s="228"/>
      <c r="M930" s="228"/>
      <c r="N930" s="228">
        <f t="shared" ref="N930:AK930" si="4060">+N929/AVERAGE(M927:N927)*4</f>
        <v>4.5669865176727803E-2</v>
      </c>
      <c r="O930" s="228">
        <f t="shared" si="4060"/>
        <v>5.0046339202965709E-2</v>
      </c>
      <c r="P930" s="228">
        <f t="shared" si="4060"/>
        <v>4.9025069637883008E-2</v>
      </c>
      <c r="Q930" s="228">
        <f t="shared" si="4060"/>
        <v>4.775394577094294E-2</v>
      </c>
      <c r="R930" s="228">
        <f t="shared" si="4060"/>
        <v>4.7186932849364795E-2</v>
      </c>
      <c r="S930" s="228">
        <f t="shared" si="4060"/>
        <v>4.3927648578811367E-2</v>
      </c>
      <c r="T930" s="228">
        <f t="shared" si="4060"/>
        <v>4.3216289216704756E-2</v>
      </c>
      <c r="U930" s="228">
        <f t="shared" si="4060"/>
        <v>4.0442946557534908E-2</v>
      </c>
      <c r="V930" s="228">
        <f t="shared" si="4060"/>
        <v>4.0089856575082079E-2</v>
      </c>
      <c r="W930" s="228">
        <f t="shared" si="4060"/>
        <v>3.8440296034463715E-2</v>
      </c>
      <c r="X930" s="228">
        <f t="shared" si="4060"/>
        <v>3.7430707420027465E-2</v>
      </c>
      <c r="Y930" s="228">
        <f t="shared" si="4060"/>
        <v>3.4678349089232188E-2</v>
      </c>
      <c r="Z930" s="228">
        <f t="shared" si="4060"/>
        <v>3.3938571186153066E-2</v>
      </c>
      <c r="AA930" s="228">
        <f t="shared" si="4060"/>
        <v>3.2526936369180727E-2</v>
      </c>
      <c r="AB930" s="228">
        <f t="shared" si="4060"/>
        <v>3.1890835217907927E-2</v>
      </c>
      <c r="AC930" s="228">
        <f t="shared" si="4060"/>
        <v>3.085462999675594E-2</v>
      </c>
      <c r="AD930" s="228">
        <f t="shared" si="4060"/>
        <v>3.0347323727987749E-2</v>
      </c>
      <c r="AE930" s="228">
        <f t="shared" si="4060"/>
        <v>2.9618559152202711E-2</v>
      </c>
      <c r="AF930" s="228">
        <f t="shared" si="4060"/>
        <v>3.0610862792902614E-2</v>
      </c>
      <c r="AG930" s="228">
        <f t="shared" si="4060"/>
        <v>3.1508572185079763E-2</v>
      </c>
      <c r="AH930" s="228">
        <f t="shared" si="4060"/>
        <v>3.2951602334071829E-2</v>
      </c>
      <c r="AI930" s="228">
        <f t="shared" si="4060"/>
        <v>3.2687145839546676E-2</v>
      </c>
      <c r="AJ930" s="228">
        <f t="shared" si="4060"/>
        <v>3.3843445671616366E-2</v>
      </c>
      <c r="AK930" s="228">
        <f t="shared" si="4060"/>
        <v>3.5044718521029437E-2</v>
      </c>
      <c r="AL930" s="228">
        <f>+AL929/AVERAGE(AK927:AL927)*4</f>
        <v>3.5265184910212986E-2</v>
      </c>
      <c r="AM930" s="228">
        <f>+AM929/AVERAGE(AL927:AM927)*4</f>
        <v>3.6283716283716287E-2</v>
      </c>
      <c r="AN930" s="228"/>
      <c r="AO930" s="228"/>
      <c r="AP930" s="228"/>
      <c r="AQ930" s="228"/>
      <c r="AR930" s="228"/>
      <c r="AS930" s="228"/>
      <c r="AT930" s="228"/>
      <c r="AU930" s="228"/>
      <c r="AV930" s="228"/>
      <c r="AW930" s="228"/>
      <c r="AX930" s="228"/>
      <c r="AY930" s="228"/>
      <c r="AZ930" s="228"/>
      <c r="BA930" s="228"/>
      <c r="BB930" s="228"/>
      <c r="BC930" s="228"/>
      <c r="BD930" s="228"/>
      <c r="BE930" s="228"/>
      <c r="BF930" s="228"/>
      <c r="BG930" s="228"/>
      <c r="BH930" s="228"/>
      <c r="BI930" s="228">
        <f t="shared" ref="BI930:BM930" si="4061">+BI929/AVERAGE(BH927:BI927)</f>
        <v>5.1177072671443197E-2</v>
      </c>
      <c r="BJ930" s="228">
        <f t="shared" si="4061"/>
        <v>4.5425287356321842E-2</v>
      </c>
      <c r="BK930" s="228">
        <f t="shared" si="4061"/>
        <v>4.1817050404480395E-2</v>
      </c>
      <c r="BL930" s="228">
        <f t="shared" si="4061"/>
        <v>3.5031991650406137E-2</v>
      </c>
      <c r="BM930" s="228">
        <f t="shared" si="4061"/>
        <v>3.1264803410705824E-2</v>
      </c>
      <c r="BN930" s="228">
        <f>+BN929/AVERAGE(BM927:BN927)</f>
        <v>3.1342863398917703E-2</v>
      </c>
      <c r="BO930" s="228">
        <f>+BO929/AVERAGE(BN927:BO927)</f>
        <v>3.320365511625803E-2</v>
      </c>
      <c r="BP930" s="228"/>
      <c r="BQ930" s="228"/>
      <c r="BR930" s="228"/>
      <c r="BS930" s="228"/>
      <c r="BT930" s="228"/>
    </row>
    <row r="931" spans="2:72" ht="11.1" customHeight="1">
      <c r="B931" s="12"/>
      <c r="AL931" s="29"/>
      <c r="AM931" s="29"/>
      <c r="AN931" s="29"/>
      <c r="AO931" s="29"/>
      <c r="AP931" s="29"/>
      <c r="AQ931" s="29"/>
      <c r="AR931" s="29"/>
      <c r="BK931" s="100"/>
      <c r="BL931" s="100"/>
    </row>
    <row r="932" spans="2:72" s="872" customFormat="1">
      <c r="B932" s="875" t="s">
        <v>606</v>
      </c>
      <c r="D932" s="94">
        <f t="shared" ref="D932:AM932" si="4062">+D134-D927</f>
        <v>38567</v>
      </c>
      <c r="E932" s="94">
        <f t="shared" si="4062"/>
        <v>44429</v>
      </c>
      <c r="F932" s="94">
        <f t="shared" si="4062"/>
        <v>46394</v>
      </c>
      <c r="G932" s="94">
        <f t="shared" si="4062"/>
        <v>53461</v>
      </c>
      <c r="H932" s="94">
        <f t="shared" si="4062"/>
        <v>74690</v>
      </c>
      <c r="I932" s="94">
        <f t="shared" si="4062"/>
        <v>84970</v>
      </c>
      <c r="J932" s="94">
        <f t="shared" si="4062"/>
        <v>84008</v>
      </c>
      <c r="K932" s="94">
        <f t="shared" si="4062"/>
        <v>91566</v>
      </c>
      <c r="L932" s="94">
        <f t="shared" si="4062"/>
        <v>91243</v>
      </c>
      <c r="M932" s="94">
        <f t="shared" si="4062"/>
        <v>94900</v>
      </c>
      <c r="N932" s="94">
        <f t="shared" si="4062"/>
        <v>82908</v>
      </c>
      <c r="O932" s="94">
        <f t="shared" si="4062"/>
        <v>81808</v>
      </c>
      <c r="P932" s="94">
        <f t="shared" si="4062"/>
        <v>81882</v>
      </c>
      <c r="Q932" s="94">
        <f t="shared" si="4062"/>
        <v>78852</v>
      </c>
      <c r="R932" s="94">
        <f t="shared" si="4062"/>
        <v>79072</v>
      </c>
      <c r="S932" s="94">
        <f t="shared" si="4062"/>
        <v>78366</v>
      </c>
      <c r="T932" s="94">
        <f t="shared" si="4062"/>
        <v>76154</v>
      </c>
      <c r="U932" s="94">
        <f t="shared" si="4062"/>
        <v>76780</v>
      </c>
      <c r="V932" s="94">
        <f t="shared" si="4062"/>
        <v>73858</v>
      </c>
      <c r="W932" s="94">
        <f t="shared" si="4062"/>
        <v>70998</v>
      </c>
      <c r="X932" s="94">
        <f t="shared" si="4062"/>
        <v>70522</v>
      </c>
      <c r="Y932" s="94">
        <f t="shared" si="4062"/>
        <v>69398</v>
      </c>
      <c r="Z932" s="94">
        <f t="shared" si="4062"/>
        <v>67330</v>
      </c>
      <c r="AA932" s="94">
        <f t="shared" si="4062"/>
        <v>67775</v>
      </c>
      <c r="AB932" s="94">
        <f t="shared" si="4062"/>
        <v>67634</v>
      </c>
      <c r="AC932" s="94">
        <f t="shared" si="4062"/>
        <v>82163</v>
      </c>
      <c r="AD932" s="94">
        <f t="shared" si="4062"/>
        <v>61283</v>
      </c>
      <c r="AE932" s="94">
        <f t="shared" si="4062"/>
        <v>61270</v>
      </c>
      <c r="AF932" s="94">
        <f t="shared" si="4062"/>
        <v>60282</v>
      </c>
      <c r="AG932" s="94">
        <f t="shared" si="4062"/>
        <v>60114</v>
      </c>
      <c r="AH932" s="94">
        <f t="shared" si="4062"/>
        <v>60522</v>
      </c>
      <c r="AI932" s="94">
        <f t="shared" si="4062"/>
        <v>59965</v>
      </c>
      <c r="AJ932" s="94">
        <f t="shared" si="4062"/>
        <v>84989</v>
      </c>
      <c r="AK932" s="94">
        <f t="shared" si="4062"/>
        <v>88374</v>
      </c>
      <c r="AL932" s="94">
        <f t="shared" si="4062"/>
        <v>79911</v>
      </c>
      <c r="AM932" s="94">
        <f t="shared" si="4062"/>
        <v>67127</v>
      </c>
      <c r="AN932" s="94"/>
      <c r="AO932" s="94"/>
      <c r="AP932" s="94"/>
      <c r="AQ932" s="94"/>
      <c r="BG932" s="94"/>
      <c r="BH932" s="94">
        <f t="shared" ref="BH932:BO932" si="4063">+BH134-BH927</f>
        <v>91566</v>
      </c>
      <c r="BI932" s="94">
        <f t="shared" si="4063"/>
        <v>81808</v>
      </c>
      <c r="BJ932" s="94">
        <f t="shared" si="4063"/>
        <v>78366</v>
      </c>
      <c r="BK932" s="94">
        <f t="shared" si="4063"/>
        <v>70998</v>
      </c>
      <c r="BL932" s="94">
        <f t="shared" si="4063"/>
        <v>67775</v>
      </c>
      <c r="BM932" s="94">
        <f t="shared" si="4063"/>
        <v>61270</v>
      </c>
      <c r="BN932" s="94">
        <f t="shared" si="4063"/>
        <v>59965</v>
      </c>
      <c r="BO932" s="94">
        <f t="shared" si="4063"/>
        <v>67127</v>
      </c>
      <c r="BP932" s="94"/>
    </row>
    <row r="933" spans="2:72" s="872" customFormat="1">
      <c r="B933" s="875" t="s">
        <v>607</v>
      </c>
      <c r="D933" s="94">
        <f t="shared" ref="D933:AK933" si="4064">+D792*-1-D929</f>
        <v>249</v>
      </c>
      <c r="E933" s="94">
        <f t="shared" si="4064"/>
        <v>309</v>
      </c>
      <c r="F933" s="94">
        <f t="shared" si="4064"/>
        <v>340</v>
      </c>
      <c r="G933" s="94">
        <f t="shared" si="4064"/>
        <v>345</v>
      </c>
      <c r="H933" s="94">
        <f t="shared" si="4064"/>
        <v>425</v>
      </c>
      <c r="I933" s="94">
        <f t="shared" si="4064"/>
        <v>506</v>
      </c>
      <c r="J933" s="94">
        <f t="shared" si="4064"/>
        <v>590</v>
      </c>
      <c r="K933" s="94">
        <f t="shared" si="4064"/>
        <v>633</v>
      </c>
      <c r="L933" s="94">
        <f t="shared" si="4064"/>
        <v>642</v>
      </c>
      <c r="M933" s="94">
        <f t="shared" si="4064"/>
        <v>654</v>
      </c>
      <c r="N933" s="94">
        <f t="shared" si="4064"/>
        <v>644</v>
      </c>
      <c r="O933" s="94">
        <f t="shared" si="4064"/>
        <v>618</v>
      </c>
      <c r="P933" s="94">
        <f t="shared" si="4064"/>
        <v>619</v>
      </c>
      <c r="Q933" s="94">
        <f t="shared" si="4064"/>
        <v>613</v>
      </c>
      <c r="R933" s="94">
        <f t="shared" si="4064"/>
        <v>606</v>
      </c>
      <c r="S933" s="94">
        <f t="shared" si="4064"/>
        <v>601</v>
      </c>
      <c r="T933" s="94">
        <f t="shared" si="4064"/>
        <v>559</v>
      </c>
      <c r="U933" s="94">
        <f t="shared" si="4064"/>
        <v>570</v>
      </c>
      <c r="V933" s="94">
        <f t="shared" si="4064"/>
        <v>527</v>
      </c>
      <c r="W933" s="94">
        <f t="shared" si="4064"/>
        <v>599</v>
      </c>
      <c r="X933" s="94">
        <f t="shared" si="4064"/>
        <v>497</v>
      </c>
      <c r="Y933" s="94">
        <f t="shared" si="4064"/>
        <v>477</v>
      </c>
      <c r="Z933" s="94">
        <f t="shared" si="4064"/>
        <v>533</v>
      </c>
      <c r="AA933" s="94">
        <f t="shared" si="4064"/>
        <v>453</v>
      </c>
      <c r="AB933" s="94">
        <f t="shared" si="4064"/>
        <v>435</v>
      </c>
      <c r="AC933" s="94">
        <f t="shared" si="4064"/>
        <v>418</v>
      </c>
      <c r="AD933" s="94">
        <f t="shared" si="4064"/>
        <v>394</v>
      </c>
      <c r="AE933" s="94">
        <f t="shared" si="4064"/>
        <v>387</v>
      </c>
      <c r="AF933" s="94">
        <f t="shared" si="4064"/>
        <v>387</v>
      </c>
      <c r="AG933" s="94">
        <f t="shared" si="4064"/>
        <v>371</v>
      </c>
      <c r="AH933" s="94">
        <f t="shared" si="4064"/>
        <v>364</v>
      </c>
      <c r="AI933" s="94">
        <f t="shared" si="4064"/>
        <v>345</v>
      </c>
      <c r="AJ933" s="94">
        <f t="shared" si="4064"/>
        <v>376</v>
      </c>
      <c r="AK933" s="94">
        <f t="shared" si="4064"/>
        <v>741</v>
      </c>
      <c r="AL933" s="94">
        <f>+AL792*-1-AL929</f>
        <v>610</v>
      </c>
      <c r="AM933" s="94">
        <f t="shared" ref="AM933" si="4065">+AM792*-1-AM929</f>
        <v>474</v>
      </c>
      <c r="AN933" s="94"/>
      <c r="AO933" s="94"/>
      <c r="AP933" s="94"/>
      <c r="AQ933" s="94"/>
      <c r="BG933" s="94"/>
      <c r="BH933" s="94">
        <f t="shared" ref="BH933:BN933" si="4066">+BH792*-1-BH929</f>
        <v>2154</v>
      </c>
      <c r="BI933" s="94">
        <f t="shared" si="4066"/>
        <v>2558</v>
      </c>
      <c r="BJ933" s="94">
        <f t="shared" si="4066"/>
        <v>2439</v>
      </c>
      <c r="BK933" s="94">
        <f t="shared" si="4066"/>
        <v>2255</v>
      </c>
      <c r="BL933" s="94">
        <f t="shared" si="4066"/>
        <v>1960</v>
      </c>
      <c r="BM933" s="94">
        <f t="shared" si="4066"/>
        <v>1634</v>
      </c>
      <c r="BN933" s="94">
        <f t="shared" si="4066"/>
        <v>1467</v>
      </c>
      <c r="BO933" s="94">
        <f t="shared" ref="BO933" si="4067">+BO792*-1-BO929</f>
        <v>2201</v>
      </c>
      <c r="BP933" s="94"/>
    </row>
    <row r="934" spans="2:72" s="3" customFormat="1">
      <c r="B934" s="15" t="s">
        <v>138</v>
      </c>
      <c r="D934" s="228"/>
      <c r="E934" s="228">
        <f t="shared" ref="E934:AJ934" si="4068">+E933/AVERAGE(D932:E932)*4</f>
        <v>2.9784567930984624E-2</v>
      </c>
      <c r="F934" s="228">
        <f t="shared" si="4068"/>
        <v>2.9948361097959769E-2</v>
      </c>
      <c r="G934" s="228">
        <f t="shared" si="4068"/>
        <v>2.7640078113264233E-2</v>
      </c>
      <c r="H934" s="228">
        <f t="shared" si="4068"/>
        <v>2.653120147326201E-2</v>
      </c>
      <c r="I934" s="228">
        <f t="shared" si="4068"/>
        <v>2.5353876988600775E-2</v>
      </c>
      <c r="J934" s="228">
        <f t="shared" si="4068"/>
        <v>2.7932630283232136E-2</v>
      </c>
      <c r="K934" s="228">
        <f t="shared" si="4068"/>
        <v>2.8842539328146538E-2</v>
      </c>
      <c r="L934" s="228">
        <f t="shared" si="4068"/>
        <v>2.8094896859563807E-2</v>
      </c>
      <c r="M934" s="228">
        <f t="shared" si="4068"/>
        <v>2.8107422787856648E-2</v>
      </c>
      <c r="N934" s="228">
        <f t="shared" si="4068"/>
        <v>2.8975074237379647E-2</v>
      </c>
      <c r="O934" s="228">
        <f t="shared" si="4068"/>
        <v>3.0015299060200586E-2</v>
      </c>
      <c r="P934" s="228">
        <f t="shared" si="4068"/>
        <v>3.0252306188527093E-2</v>
      </c>
      <c r="Q934" s="228">
        <f t="shared" si="4068"/>
        <v>3.0510035213458259E-2</v>
      </c>
      <c r="R934" s="228">
        <f t="shared" si="4068"/>
        <v>3.0698310579772549E-2</v>
      </c>
      <c r="S934" s="228">
        <f t="shared" si="4068"/>
        <v>3.0539005830866755E-2</v>
      </c>
      <c r="T934" s="228">
        <f t="shared" si="4068"/>
        <v>2.8941237380274397E-2</v>
      </c>
      <c r="U934" s="228">
        <f t="shared" si="4068"/>
        <v>2.9816783710620267E-2</v>
      </c>
      <c r="V934" s="228">
        <f t="shared" si="4068"/>
        <v>2.7987625964232134E-2</v>
      </c>
      <c r="W934" s="228">
        <f t="shared" si="4068"/>
        <v>3.3081128845197989E-2</v>
      </c>
      <c r="X934" s="228">
        <f t="shared" si="4068"/>
        <v>2.8094968908988129E-2</v>
      </c>
      <c r="Y934" s="228">
        <f t="shared" si="4068"/>
        <v>2.7272727272727271E-2</v>
      </c>
      <c r="Z934" s="228">
        <f t="shared" si="4068"/>
        <v>3.1186004329764202E-2</v>
      </c>
      <c r="AA934" s="228">
        <f t="shared" si="4068"/>
        <v>2.6823581658709891E-2</v>
      </c>
      <c r="AB934" s="228">
        <f t="shared" si="4068"/>
        <v>2.569991654912155E-2</v>
      </c>
      <c r="AC934" s="228">
        <f t="shared" si="4068"/>
        <v>2.2323544530264292E-2</v>
      </c>
      <c r="AD934" s="228">
        <f t="shared" si="4068"/>
        <v>2.1973425539924433E-2</v>
      </c>
      <c r="AE934" s="228">
        <f t="shared" si="4068"/>
        <v>2.5262539472717928E-2</v>
      </c>
      <c r="AF934" s="228">
        <f t="shared" si="4068"/>
        <v>2.5470580492299593E-2</v>
      </c>
      <c r="AG934" s="228">
        <f t="shared" si="4068"/>
        <v>2.4651981793415063E-2</v>
      </c>
      <c r="AH934" s="228">
        <f t="shared" si="4068"/>
        <v>2.4138731390298086E-2</v>
      </c>
      <c r="AI934" s="228">
        <f t="shared" si="4068"/>
        <v>2.2907035613800659E-2</v>
      </c>
      <c r="AJ934" s="228">
        <f t="shared" si="4068"/>
        <v>2.0751410792389308E-2</v>
      </c>
      <c r="AK934" s="228">
        <f>+AK933/AVERAGE(AJ932:AK932)*4</f>
        <v>3.4194147540132551E-2</v>
      </c>
      <c r="AL934" s="228">
        <f>+AL933/AVERAGE(AK932:AL932)*4</f>
        <v>2.8998425290429924E-2</v>
      </c>
      <c r="AM934" s="228">
        <f t="shared" ref="AM934" si="4069">+AM933/AVERAGE(AL932:AM932)*4</f>
        <v>2.5789251758048939E-2</v>
      </c>
      <c r="AN934" s="228"/>
      <c r="AO934" s="228"/>
      <c r="AP934" s="228"/>
      <c r="AQ934" s="228"/>
      <c r="AR934" s="228"/>
      <c r="AS934" s="228"/>
      <c r="AT934" s="228"/>
      <c r="AU934" s="228"/>
      <c r="AV934" s="228"/>
      <c r="AW934" s="228"/>
      <c r="AX934" s="228"/>
      <c r="AY934" s="228"/>
      <c r="AZ934" s="228"/>
      <c r="BA934" s="228"/>
      <c r="BB934" s="228"/>
      <c r="BC934" s="228"/>
      <c r="BD934" s="228"/>
      <c r="BE934" s="228"/>
      <c r="BF934" s="228"/>
      <c r="BG934" s="228"/>
      <c r="BH934" s="228"/>
      <c r="BI934" s="228">
        <f t="shared" ref="BI934:BM934" si="4070">+BI933/AVERAGE(BH932:BI932)</f>
        <v>2.9508461476345935E-2</v>
      </c>
      <c r="BJ934" s="228">
        <f t="shared" si="4070"/>
        <v>3.0454380860813864E-2</v>
      </c>
      <c r="BK934" s="228">
        <f t="shared" si="4070"/>
        <v>3.0194692161431134E-2</v>
      </c>
      <c r="BL934" s="228">
        <f t="shared" si="4070"/>
        <v>2.8247569772217939E-2</v>
      </c>
      <c r="BM934" s="228">
        <f t="shared" si="4070"/>
        <v>2.5324499205703437E-2</v>
      </c>
      <c r="BN934" s="228">
        <f>+BN933/AVERAGE(BM932:BN932)</f>
        <v>2.4200932074071018E-2</v>
      </c>
      <c r="BO934" s="228">
        <f t="shared" ref="BO934" si="4071">+BO933/AVERAGE(BN932:BO932)</f>
        <v>3.4636326440688633E-2</v>
      </c>
      <c r="BP934" s="228"/>
      <c r="BQ934" s="228"/>
      <c r="BR934" s="228"/>
      <c r="BS934" s="228"/>
      <c r="BT934" s="228"/>
    </row>
    <row r="935" spans="2:72" ht="11.1" customHeight="1">
      <c r="AL935" s="29"/>
      <c r="AM935" s="29"/>
      <c r="AN935" s="29"/>
      <c r="AO935" s="29"/>
      <c r="AP935" s="29"/>
      <c r="AQ935" s="29"/>
      <c r="AR935" s="29"/>
      <c r="BK935" s="100"/>
      <c r="BL935" s="100"/>
    </row>
    <row r="936" spans="2:72" ht="10.5">
      <c r="B936" s="5" t="s">
        <v>168</v>
      </c>
      <c r="C936" s="4"/>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S936" s="8"/>
      <c r="AT936" s="8"/>
      <c r="AU936" s="8"/>
      <c r="AV936" s="8"/>
      <c r="AW936" s="8"/>
      <c r="AX936" s="8"/>
      <c r="AY936" s="8"/>
      <c r="AZ936" s="8"/>
      <c r="BA936" s="8"/>
      <c r="BB936" s="8"/>
      <c r="BC936" s="8"/>
      <c r="BD936" s="8"/>
      <c r="BE936" s="8"/>
      <c r="BG936" s="8"/>
      <c r="BH936" s="8"/>
      <c r="BI936" s="8"/>
      <c r="BJ936" s="8"/>
      <c r="BK936" s="8"/>
      <c r="BL936" s="8"/>
      <c r="BM936" s="8"/>
      <c r="BN936" s="8"/>
      <c r="BO936" s="8"/>
      <c r="BP936" s="8"/>
      <c r="BQ936" s="8"/>
    </row>
    <row r="937" spans="2:72">
      <c r="B937" t="s">
        <v>608</v>
      </c>
      <c r="D937" s="8">
        <f t="shared" ref="D937:AM937" si="4072">+D885+D886+D888-D900-D901-D905-D906</f>
        <v>-17036</v>
      </c>
      <c r="E937" s="8">
        <f t="shared" si="4072"/>
        <v>-14407</v>
      </c>
      <c r="F937" s="8">
        <f t="shared" si="4072"/>
        <v>-16503</v>
      </c>
      <c r="G937" s="8">
        <f t="shared" si="4072"/>
        <v>-19159</v>
      </c>
      <c r="H937" s="8">
        <f t="shared" si="4072"/>
        <v>-22367</v>
      </c>
      <c r="I937" s="8">
        <f t="shared" si="4072"/>
        <v>-21167</v>
      </c>
      <c r="J937" s="8">
        <f t="shared" si="4072"/>
        <v>-23069</v>
      </c>
      <c r="K937" s="8">
        <f t="shared" si="4072"/>
        <v>-15191</v>
      </c>
      <c r="L937" s="8">
        <f t="shared" si="4072"/>
        <v>-18712</v>
      </c>
      <c r="M937" s="8">
        <f t="shared" si="4072"/>
        <v>-16520</v>
      </c>
      <c r="N937" s="8">
        <f t="shared" si="4072"/>
        <v>-17253</v>
      </c>
      <c r="O937" s="8">
        <f t="shared" si="4072"/>
        <v>-16475</v>
      </c>
      <c r="P937" s="8">
        <f t="shared" si="4072"/>
        <v>-19124</v>
      </c>
      <c r="Q937" s="8">
        <f t="shared" si="4072"/>
        <v>-15557</v>
      </c>
      <c r="R937" s="8">
        <f t="shared" si="4072"/>
        <v>-17127</v>
      </c>
      <c r="S937" s="8">
        <f t="shared" si="4072"/>
        <v>-16506</v>
      </c>
      <c r="T937" s="8">
        <f t="shared" si="4072"/>
        <v>-22401</v>
      </c>
      <c r="U937" s="8">
        <f t="shared" si="4072"/>
        <v>-17885</v>
      </c>
      <c r="V937" s="8">
        <f t="shared" si="4072"/>
        <v>-18784</v>
      </c>
      <c r="W937" s="8">
        <f t="shared" si="4072"/>
        <v>-21043</v>
      </c>
      <c r="X937" s="8">
        <f t="shared" si="4072"/>
        <v>-22858</v>
      </c>
      <c r="Y937" s="8">
        <f t="shared" si="4072"/>
        <v>-18532</v>
      </c>
      <c r="Z937" s="8">
        <f t="shared" si="4072"/>
        <v>-21770</v>
      </c>
      <c r="AA937" s="8">
        <f t="shared" si="4072"/>
        <v>-24339</v>
      </c>
      <c r="AB937" s="8">
        <f t="shared" si="4072"/>
        <v>-27296</v>
      </c>
      <c r="AC937" s="8">
        <f t="shared" si="4072"/>
        <v>-17178</v>
      </c>
      <c r="AD937" s="8">
        <f t="shared" si="4072"/>
        <v>-21815</v>
      </c>
      <c r="AE937" s="8">
        <f t="shared" si="4072"/>
        <v>-23339</v>
      </c>
      <c r="AF937" s="8">
        <f t="shared" si="4072"/>
        <v>-23862</v>
      </c>
      <c r="AG937" s="8">
        <f t="shared" si="4072"/>
        <v>-15853</v>
      </c>
      <c r="AH937" s="8">
        <f t="shared" si="4072"/>
        <v>-15821</v>
      </c>
      <c r="AI937" s="8">
        <f t="shared" si="4072"/>
        <v>-21755</v>
      </c>
      <c r="AJ937" s="8">
        <f t="shared" si="4072"/>
        <v>-23566</v>
      </c>
      <c r="AK937" s="8">
        <f t="shared" si="4072"/>
        <v>-19562</v>
      </c>
      <c r="AL937" s="8">
        <f t="shared" si="4072"/>
        <v>-21271</v>
      </c>
      <c r="AM937" s="8">
        <f t="shared" si="4072"/>
        <v>-27136</v>
      </c>
      <c r="AN937" s="8"/>
      <c r="AO937" s="8"/>
      <c r="AP937" s="8"/>
      <c r="AQ937" s="8"/>
      <c r="AR937" s="8"/>
      <c r="AS937" s="8">
        <f t="shared" ref="AS937:BH937" si="4073">+AS889-AS908-AS883-AS884</f>
        <v>0</v>
      </c>
      <c r="AT937" s="8">
        <f t="shared" si="4073"/>
        <v>-7593</v>
      </c>
      <c r="AU937" s="8">
        <f t="shared" si="4073"/>
        <v>-6997</v>
      </c>
      <c r="AV937" s="8">
        <f t="shared" si="4073"/>
        <v>-10306</v>
      </c>
      <c r="AW937" s="8">
        <f t="shared" si="4073"/>
        <v>-9201</v>
      </c>
      <c r="AX937" s="8">
        <f t="shared" si="4073"/>
        <v>-7259</v>
      </c>
      <c r="AY937" s="8">
        <f t="shared" si="4073"/>
        <v>-6628</v>
      </c>
      <c r="AZ937" s="8">
        <f t="shared" si="4073"/>
        <v>-10644</v>
      </c>
      <c r="BA937" s="8">
        <f t="shared" si="4073"/>
        <v>-12973</v>
      </c>
      <c r="BB937" s="8">
        <f t="shared" si="4073"/>
        <v>-17088</v>
      </c>
      <c r="BC937" s="8">
        <f t="shared" si="4073"/>
        <v>-23376</v>
      </c>
      <c r="BD937" s="8">
        <f t="shared" si="4073"/>
        <v>-32937</v>
      </c>
      <c r="BE937" s="8">
        <f t="shared" si="4073"/>
        <v>-37657</v>
      </c>
      <c r="BF937" s="8">
        <f t="shared" si="4073"/>
        <v>0</v>
      </c>
      <c r="BG937" s="8">
        <f t="shared" si="4073"/>
        <v>-32937</v>
      </c>
      <c r="BH937" s="8">
        <f t="shared" si="4073"/>
        <v>-26030</v>
      </c>
      <c r="BI937" s="8">
        <f t="shared" ref="BI937:BN937" si="4074">+BI885+BI886+BI888-BI900-BI901-BI905-BI906</f>
        <v>-16475</v>
      </c>
      <c r="BJ937" s="8">
        <f t="shared" si="4074"/>
        <v>-16506</v>
      </c>
      <c r="BK937" s="8">
        <f t="shared" si="4074"/>
        <v>-21043</v>
      </c>
      <c r="BL937" s="8">
        <f t="shared" si="4074"/>
        <v>-24339</v>
      </c>
      <c r="BM937" s="8">
        <f t="shared" si="4074"/>
        <v>-23339</v>
      </c>
      <c r="BN937" s="8">
        <f t="shared" si="4074"/>
        <v>-21755</v>
      </c>
      <c r="BO937" s="8">
        <f>+BO885+BO886+BO888-BO900-BO901-BO905-BO906</f>
        <v>-27136</v>
      </c>
      <c r="BP937" s="8"/>
      <c r="BQ937" s="8"/>
    </row>
    <row r="938" spans="2:72" s="953" customFormat="1" ht="11.45">
      <c r="B938" t="s">
        <v>609</v>
      </c>
      <c r="D938" s="10">
        <f t="shared" ref="D938:AM938" si="4075">+D891+D894+D895+D890+D896</f>
        <v>39802</v>
      </c>
      <c r="E938" s="10">
        <f t="shared" si="4075"/>
        <v>40772</v>
      </c>
      <c r="F938" s="10">
        <f t="shared" si="4075"/>
        <v>42133</v>
      </c>
      <c r="G938" s="10">
        <f t="shared" si="4075"/>
        <v>43377</v>
      </c>
      <c r="H938" s="10">
        <f t="shared" si="4075"/>
        <v>44129</v>
      </c>
      <c r="I938" s="10">
        <f t="shared" si="4075"/>
        <v>70749</v>
      </c>
      <c r="J938" s="10">
        <f t="shared" si="4075"/>
        <v>71323</v>
      </c>
      <c r="K938" s="10">
        <f t="shared" si="4075"/>
        <v>81767</v>
      </c>
      <c r="L938" s="10">
        <f t="shared" si="4075"/>
        <v>82723</v>
      </c>
      <c r="M938" s="10">
        <f t="shared" si="4075"/>
        <v>84409</v>
      </c>
      <c r="N938" s="10">
        <f t="shared" si="4075"/>
        <v>86020</v>
      </c>
      <c r="O938" s="10">
        <f t="shared" si="4075"/>
        <v>87324</v>
      </c>
      <c r="P938" s="10">
        <f t="shared" si="4075"/>
        <v>91390</v>
      </c>
      <c r="Q938" s="10">
        <f t="shared" si="4075"/>
        <v>99711</v>
      </c>
      <c r="R938" s="10">
        <f t="shared" si="4075"/>
        <v>100991</v>
      </c>
      <c r="S938" s="10">
        <f t="shared" si="4075"/>
        <v>108355</v>
      </c>
      <c r="T938" s="10">
        <f t="shared" si="4075"/>
        <v>110375</v>
      </c>
      <c r="U938" s="10">
        <f t="shared" si="4075"/>
        <v>112965</v>
      </c>
      <c r="V938" s="10">
        <f t="shared" si="4075"/>
        <v>112284</v>
      </c>
      <c r="W938" s="10">
        <f t="shared" si="4075"/>
        <v>116431</v>
      </c>
      <c r="X938" s="10">
        <f t="shared" si="4075"/>
        <v>120821</v>
      </c>
      <c r="Y938" s="10">
        <f t="shared" si="4075"/>
        <v>126370</v>
      </c>
      <c r="Z938" s="10">
        <f t="shared" si="4075"/>
        <v>137870</v>
      </c>
      <c r="AA938" s="10">
        <f t="shared" si="4075"/>
        <v>143389</v>
      </c>
      <c r="AB938" s="10">
        <f t="shared" si="4075"/>
        <v>154699</v>
      </c>
      <c r="AC938" s="10">
        <f t="shared" si="4075"/>
        <v>159207</v>
      </c>
      <c r="AD938" s="10">
        <f t="shared" si="4075"/>
        <v>183778</v>
      </c>
      <c r="AE938" s="10">
        <f t="shared" si="4075"/>
        <v>188265</v>
      </c>
      <c r="AF938" s="10">
        <f t="shared" si="4075"/>
        <v>192133</v>
      </c>
      <c r="AG938" s="10">
        <f t="shared" si="4075"/>
        <v>199632</v>
      </c>
      <c r="AH938" s="10">
        <f t="shared" si="4075"/>
        <v>206784</v>
      </c>
      <c r="AI938" s="10">
        <f t="shared" si="4075"/>
        <v>217840</v>
      </c>
      <c r="AJ938" s="10">
        <f t="shared" si="4075"/>
        <v>226776</v>
      </c>
      <c r="AK938" s="10">
        <f t="shared" si="4075"/>
        <v>309798</v>
      </c>
      <c r="AL938" s="10">
        <f t="shared" si="4075"/>
        <v>322288</v>
      </c>
      <c r="AM938" s="10">
        <f t="shared" si="4075"/>
        <v>337829</v>
      </c>
      <c r="AN938" s="10"/>
      <c r="AO938" s="10"/>
      <c r="AP938" s="10"/>
      <c r="AQ938" s="10"/>
      <c r="AR938" s="10"/>
      <c r="AS938" s="10">
        <f t="shared" ref="AS938:BO938" si="4076">+AS891+AS894+AS895+AS890+AS896</f>
        <v>0</v>
      </c>
      <c r="AT938" s="10">
        <f t="shared" si="4076"/>
        <v>8744</v>
      </c>
      <c r="AU938" s="10">
        <f t="shared" si="4076"/>
        <v>11497</v>
      </c>
      <c r="AV938" s="10">
        <f t="shared" si="4076"/>
        <v>22014</v>
      </c>
      <c r="AW938" s="10">
        <f t="shared" si="4076"/>
        <v>23396</v>
      </c>
      <c r="AX938" s="10">
        <f t="shared" si="4076"/>
        <v>22683</v>
      </c>
      <c r="AY938" s="10">
        <f t="shared" si="4076"/>
        <v>22921</v>
      </c>
      <c r="AZ938" s="10">
        <f t="shared" si="4076"/>
        <v>26411</v>
      </c>
      <c r="BA938" s="10">
        <f t="shared" si="4076"/>
        <v>30121</v>
      </c>
      <c r="BB938" s="10">
        <f t="shared" si="4076"/>
        <v>43541</v>
      </c>
      <c r="BC938" s="10">
        <f t="shared" si="4076"/>
        <v>39622</v>
      </c>
      <c r="BD938" s="10">
        <f t="shared" si="4076"/>
        <v>43377</v>
      </c>
      <c r="BE938" s="10">
        <f t="shared" si="4076"/>
        <v>75212</v>
      </c>
      <c r="BF938" s="10">
        <f t="shared" si="4076"/>
        <v>0</v>
      </c>
      <c r="BG938" s="10">
        <f t="shared" si="4076"/>
        <v>43377</v>
      </c>
      <c r="BH938" s="10">
        <f t="shared" si="4076"/>
        <v>81767</v>
      </c>
      <c r="BI938" s="10">
        <f t="shared" si="4076"/>
        <v>87324</v>
      </c>
      <c r="BJ938" s="10">
        <f t="shared" si="4076"/>
        <v>108355</v>
      </c>
      <c r="BK938" s="10">
        <f t="shared" si="4076"/>
        <v>116431</v>
      </c>
      <c r="BL938" s="10">
        <f t="shared" si="4076"/>
        <v>143389</v>
      </c>
      <c r="BM938" s="10">
        <f t="shared" si="4076"/>
        <v>188265</v>
      </c>
      <c r="BN938" s="10">
        <f t="shared" si="4076"/>
        <v>217840</v>
      </c>
      <c r="BO938" s="10">
        <f t="shared" si="4076"/>
        <v>337829</v>
      </c>
      <c r="BP938" s="10"/>
    </row>
    <row r="939" spans="2:72">
      <c r="B939" s="12" t="s">
        <v>332</v>
      </c>
      <c r="C939" s="8"/>
      <c r="D939" s="8">
        <f t="shared" ref="D939:AL939" si="4077">+SUM(D937:D938)</f>
        <v>22766</v>
      </c>
      <c r="E939" s="8">
        <f t="shared" si="4077"/>
        <v>26365</v>
      </c>
      <c r="F939" s="8">
        <f t="shared" si="4077"/>
        <v>25630</v>
      </c>
      <c r="G939" s="8">
        <f t="shared" si="4077"/>
        <v>24218</v>
      </c>
      <c r="H939" s="8">
        <f t="shared" si="4077"/>
        <v>21762</v>
      </c>
      <c r="I939" s="8">
        <f t="shared" si="4077"/>
        <v>49582</v>
      </c>
      <c r="J939" s="8">
        <f t="shared" si="4077"/>
        <v>48254</v>
      </c>
      <c r="K939" s="8">
        <f t="shared" si="4077"/>
        <v>66576</v>
      </c>
      <c r="L939" s="8">
        <f t="shared" si="4077"/>
        <v>64011</v>
      </c>
      <c r="M939" s="8">
        <f t="shared" si="4077"/>
        <v>67889</v>
      </c>
      <c r="N939" s="8">
        <f t="shared" si="4077"/>
        <v>68767</v>
      </c>
      <c r="O939" s="8">
        <f t="shared" si="4077"/>
        <v>70849</v>
      </c>
      <c r="P939" s="8">
        <f t="shared" si="4077"/>
        <v>72266</v>
      </c>
      <c r="Q939" s="8">
        <f t="shared" si="4077"/>
        <v>84154</v>
      </c>
      <c r="R939" s="8">
        <f t="shared" si="4077"/>
        <v>83864</v>
      </c>
      <c r="S939" s="8">
        <f t="shared" si="4077"/>
        <v>91849</v>
      </c>
      <c r="T939" s="8">
        <f t="shared" si="4077"/>
        <v>87974</v>
      </c>
      <c r="U939" s="8">
        <f t="shared" si="4077"/>
        <v>95080</v>
      </c>
      <c r="V939" s="8">
        <f t="shared" si="4077"/>
        <v>93500</v>
      </c>
      <c r="W939" s="8">
        <f t="shared" si="4077"/>
        <v>95388</v>
      </c>
      <c r="X939" s="8">
        <f t="shared" si="4077"/>
        <v>97963</v>
      </c>
      <c r="Y939" s="8">
        <f t="shared" si="4077"/>
        <v>107838</v>
      </c>
      <c r="Z939" s="8">
        <f t="shared" si="4077"/>
        <v>116100</v>
      </c>
      <c r="AA939" s="8">
        <f t="shared" si="4077"/>
        <v>119050</v>
      </c>
      <c r="AB939" s="8">
        <f t="shared" si="4077"/>
        <v>127403</v>
      </c>
      <c r="AC939" s="8">
        <f t="shared" si="4077"/>
        <v>142029</v>
      </c>
      <c r="AD939" s="8">
        <f t="shared" si="4077"/>
        <v>161963</v>
      </c>
      <c r="AE939" s="8">
        <f t="shared" si="4077"/>
        <v>164926</v>
      </c>
      <c r="AF939" s="8">
        <f t="shared" si="4077"/>
        <v>168271</v>
      </c>
      <c r="AG939" s="8">
        <f t="shared" si="4077"/>
        <v>183779</v>
      </c>
      <c r="AH939" s="8">
        <f t="shared" si="4077"/>
        <v>190963</v>
      </c>
      <c r="AI939" s="8">
        <f t="shared" si="4077"/>
        <v>196085</v>
      </c>
      <c r="AJ939" s="8">
        <f t="shared" si="4077"/>
        <v>203210</v>
      </c>
      <c r="AK939" s="8">
        <f t="shared" si="4077"/>
        <v>290236</v>
      </c>
      <c r="AL939" s="8">
        <f t="shared" si="4077"/>
        <v>301017</v>
      </c>
      <c r="AM939" s="8">
        <f>+SUM(AM937:AM938)</f>
        <v>310693</v>
      </c>
      <c r="AN939" s="8"/>
      <c r="AO939" s="8"/>
      <c r="AP939" s="8"/>
      <c r="AQ939" s="8"/>
      <c r="AR939" s="8"/>
      <c r="AS939" s="8">
        <f t="shared" ref="AS939" si="4078">+SUM(AS937:AS938)</f>
        <v>0</v>
      </c>
      <c r="AT939" s="8">
        <f t="shared" ref="AT939" si="4079">+SUM(AT937:AT938)</f>
        <v>1151</v>
      </c>
      <c r="AU939" s="8">
        <f t="shared" ref="AU939" si="4080">+SUM(AU937:AU938)</f>
        <v>4500</v>
      </c>
      <c r="AV939" s="8">
        <f t="shared" ref="AV939" si="4081">+SUM(AV937:AV938)</f>
        <v>11708</v>
      </c>
      <c r="AW939" s="8">
        <f t="shared" ref="AW939" si="4082">+SUM(AW937:AW938)</f>
        <v>14195</v>
      </c>
      <c r="AX939" s="8">
        <f t="shared" ref="AX939" si="4083">+SUM(AX937:AX938)</f>
        <v>15424</v>
      </c>
      <c r="AY939" s="8">
        <f t="shared" ref="AY939" si="4084">+SUM(AY937:AY938)</f>
        <v>16293</v>
      </c>
      <c r="AZ939" s="8">
        <f t="shared" ref="AZ939" si="4085">+SUM(AZ937:AZ938)</f>
        <v>15767</v>
      </c>
      <c r="BA939" s="8">
        <f t="shared" ref="BA939" si="4086">+SUM(BA937:BA938)</f>
        <v>17148</v>
      </c>
      <c r="BB939" s="8">
        <f t="shared" ref="BB939" si="4087">+SUM(BB937:BB938)</f>
        <v>26453</v>
      </c>
      <c r="BC939" s="8">
        <f t="shared" ref="BC939" si="4088">+SUM(BC937:BC938)</f>
        <v>16246</v>
      </c>
      <c r="BD939" s="8">
        <f t="shared" ref="BD939" si="4089">+SUM(BD937:BD938)</f>
        <v>10440</v>
      </c>
      <c r="BE939" s="8">
        <f t="shared" ref="BE939" si="4090">+SUM(BE937:BE938)</f>
        <v>37555</v>
      </c>
      <c r="BF939" s="8">
        <f t="shared" ref="BF939" si="4091">+SUM(BF937:BF938)</f>
        <v>0</v>
      </c>
      <c r="BG939" s="8">
        <f t="shared" ref="BG939" si="4092">+SUM(BG937:BG938)</f>
        <v>10440</v>
      </c>
      <c r="BH939" s="8">
        <f t="shared" ref="BH939" si="4093">+SUM(BH937:BH938)</f>
        <v>55737</v>
      </c>
      <c r="BI939" s="8">
        <f t="shared" ref="BI939" si="4094">+SUM(BI937:BI938)</f>
        <v>70849</v>
      </c>
      <c r="BJ939" s="8">
        <f t="shared" ref="BJ939" si="4095">+SUM(BJ937:BJ938)</f>
        <v>91849</v>
      </c>
      <c r="BK939" s="8">
        <f t="shared" ref="BK939" si="4096">+SUM(BK937:BK938)</f>
        <v>95388</v>
      </c>
      <c r="BL939" s="8">
        <f t="shared" ref="BL939" si="4097">+SUM(BL937:BL938)</f>
        <v>119050</v>
      </c>
      <c r="BM939" s="8">
        <f t="shared" ref="BM939" si="4098">+SUM(BM937:BM938)</f>
        <v>164926</v>
      </c>
      <c r="BN939" s="8">
        <f t="shared" ref="BN939" si="4099">+SUM(BN937:BN938)</f>
        <v>196085</v>
      </c>
      <c r="BO939" s="8">
        <f t="shared" ref="BO939" si="4100">+SUM(BO937:BO938)</f>
        <v>310693</v>
      </c>
      <c r="BP939" s="8"/>
    </row>
    <row r="940" spans="2:72">
      <c r="B940" t="s">
        <v>610</v>
      </c>
      <c r="D940" s="8"/>
      <c r="E940" s="8"/>
      <c r="F940" s="8"/>
      <c r="G940" s="8"/>
      <c r="H940" s="8"/>
      <c r="I940" s="8"/>
      <c r="J940" s="8"/>
      <c r="K940" s="8"/>
      <c r="L940" s="8"/>
      <c r="M940" s="8"/>
      <c r="N940" s="8"/>
      <c r="O940" s="8"/>
      <c r="P940" s="8"/>
      <c r="Q940" s="8"/>
      <c r="R940" s="8"/>
      <c r="S940" s="8"/>
      <c r="T940" s="8">
        <f t="shared" ref="T940" si="4101">AVERAGE(S939:T939)</f>
        <v>89911.5</v>
      </c>
      <c r="U940" s="8">
        <f t="shared" ref="U940" si="4102">AVERAGE(T939:U939)</f>
        <v>91527</v>
      </c>
      <c r="V940" s="8">
        <f t="shared" ref="V940" si="4103">AVERAGE(U939:V939)</f>
        <v>94290</v>
      </c>
      <c r="W940" s="8">
        <f t="shared" ref="W940" si="4104">AVERAGE(V939:W939)</f>
        <v>94444</v>
      </c>
      <c r="X940" s="8">
        <f t="shared" ref="X940" si="4105">AVERAGE(W939:X939)</f>
        <v>96675.5</v>
      </c>
      <c r="Y940" s="8">
        <f t="shared" ref="Y940" si="4106">AVERAGE(X939:Y939)</f>
        <v>102900.5</v>
      </c>
      <c r="Z940" s="8">
        <f t="shared" ref="Z940" si="4107">AVERAGE(Y939:Z939)</f>
        <v>111969</v>
      </c>
      <c r="AA940" s="8">
        <f t="shared" ref="AA940" si="4108">AVERAGE(Z939:AA939)</f>
        <v>117575</v>
      </c>
      <c r="AB940" s="8">
        <f t="shared" ref="AB940" si="4109">AVERAGE(AA939:AB939)</f>
        <v>123226.5</v>
      </c>
      <c r="AC940" s="8">
        <f t="shared" ref="AC940" si="4110">AVERAGE(AB939:AC939)</f>
        <v>134716</v>
      </c>
      <c r="AD940" s="8">
        <f t="shared" ref="AD940" si="4111">AVERAGE(AC939:AD939)</f>
        <v>151996</v>
      </c>
      <c r="AE940" s="8">
        <f t="shared" ref="AE940" si="4112">AVERAGE(AD939:AE939)</f>
        <v>163444.5</v>
      </c>
      <c r="AF940" s="8">
        <f t="shared" ref="AF940" si="4113">AVERAGE(AE939:AF939)</f>
        <v>166598.5</v>
      </c>
      <c r="AG940" s="8">
        <f t="shared" ref="AG940" si="4114">AVERAGE(AF939:AG939)</f>
        <v>176025</v>
      </c>
      <c r="AH940" s="8">
        <f t="shared" ref="AH940" si="4115">AVERAGE(AG939:AH939)</f>
        <v>187371</v>
      </c>
      <c r="AI940" s="8">
        <f t="shared" ref="AI940" si="4116">AVERAGE(AH939:AI939)</f>
        <v>193524</v>
      </c>
      <c r="AJ940" s="8">
        <f t="shared" ref="AJ940" si="4117">AVERAGE(AI939:AJ939)</f>
        <v>199647.5</v>
      </c>
      <c r="AK940" s="8">
        <f t="shared" ref="AK940" si="4118">AVERAGE(AJ939:AK939)</f>
        <v>246723</v>
      </c>
      <c r="AL940" s="8">
        <f t="shared" ref="AL940" si="4119">AVERAGE(AK939:AL939)</f>
        <v>295626.5</v>
      </c>
      <c r="AM940" s="8">
        <f t="shared" ref="AM940" si="4120">AVERAGE(AL939:AM939)</f>
        <v>305855</v>
      </c>
      <c r="AN940" s="8"/>
      <c r="AO940" s="8"/>
      <c r="AP940" s="8"/>
      <c r="AQ940" s="8"/>
      <c r="AS940" s="8"/>
      <c r="AT940" s="8"/>
      <c r="AU940" s="8">
        <f t="shared" ref="AU940" si="4121">AVERAGE(AT939:AU939)</f>
        <v>2825.5</v>
      </c>
      <c r="AV940" s="8">
        <f t="shared" ref="AV940" si="4122">AVERAGE(AU939:AV939)</f>
        <v>8104</v>
      </c>
      <c r="AW940" s="8">
        <f t="shared" ref="AW940" si="4123">AVERAGE(AV939:AW939)</f>
        <v>12951.5</v>
      </c>
      <c r="AX940" s="8">
        <f t="shared" ref="AX940" si="4124">AVERAGE(AW939:AX939)</f>
        <v>14809.5</v>
      </c>
      <c r="AY940" s="8">
        <f t="shared" ref="AY940" si="4125">AVERAGE(AX939:AY939)</f>
        <v>15858.5</v>
      </c>
      <c r="AZ940" s="8">
        <f t="shared" ref="AZ940" si="4126">AVERAGE(AY939:AZ939)</f>
        <v>16030</v>
      </c>
      <c r="BA940" s="8">
        <f t="shared" ref="BA940" si="4127">AVERAGE(AZ939:BA939)</f>
        <v>16457.5</v>
      </c>
      <c r="BB940" s="8">
        <f t="shared" ref="BB940" si="4128">AVERAGE(BA939:BB939)</f>
        <v>21800.5</v>
      </c>
      <c r="BC940" s="8">
        <f t="shared" ref="BC940" si="4129">AVERAGE(BB939:BC939)</f>
        <v>21349.5</v>
      </c>
      <c r="BD940" s="8">
        <f t="shared" ref="BD940" si="4130">AVERAGE(BC939:BD939)</f>
        <v>13343</v>
      </c>
      <c r="BE940" s="8">
        <f t="shared" ref="BE940" si="4131">AVERAGE(BD939:BE939)</f>
        <v>23997.5</v>
      </c>
      <c r="BF940" s="8">
        <f t="shared" ref="BF940" si="4132">AVERAGE(BE939:BF939)</f>
        <v>18777.5</v>
      </c>
      <c r="BG940" s="8">
        <f t="shared" ref="BG940" si="4133">AVERAGE(BF939:BG939)</f>
        <v>5220</v>
      </c>
      <c r="BH940" s="8">
        <f t="shared" ref="BH940:BN940" si="4134">AVERAGE(BG939:BH939)</f>
        <v>33088.5</v>
      </c>
      <c r="BI940" s="8">
        <f t="shared" si="4134"/>
        <v>63293</v>
      </c>
      <c r="BJ940" s="8">
        <f t="shared" si="4134"/>
        <v>81349</v>
      </c>
      <c r="BK940" s="8">
        <f t="shared" si="4134"/>
        <v>93618.5</v>
      </c>
      <c r="BL940" s="8">
        <f t="shared" si="4134"/>
        <v>107219</v>
      </c>
      <c r="BM940" s="8">
        <f t="shared" si="4134"/>
        <v>141988</v>
      </c>
      <c r="BN940" s="8">
        <f t="shared" si="4134"/>
        <v>180505.5</v>
      </c>
      <c r="BO940" s="8">
        <f>AVERAGE(BN939:BO939)</f>
        <v>253389</v>
      </c>
      <c r="BP940" s="8"/>
      <c r="BQ940" s="8"/>
    </row>
    <row r="941" spans="2:72">
      <c r="B941" s="1224" t="s">
        <v>185</v>
      </c>
      <c r="D941" s="8">
        <f t="shared" ref="D941:AM941" si="4135">+D48</f>
        <v>6316</v>
      </c>
      <c r="E941" s="8">
        <f t="shared" si="4135"/>
        <v>7489</v>
      </c>
      <c r="F941" s="8">
        <f t="shared" si="4135"/>
        <v>6277</v>
      </c>
      <c r="G941" s="8">
        <f t="shared" si="4135"/>
        <v>7106</v>
      </c>
      <c r="H941" s="8">
        <f t="shared" si="4135"/>
        <v>6715</v>
      </c>
      <c r="I941" s="8">
        <f t="shared" si="4135"/>
        <v>7905</v>
      </c>
      <c r="J941" s="8">
        <f t="shared" si="4135"/>
        <v>6723</v>
      </c>
      <c r="K941" s="8">
        <f t="shared" si="4135"/>
        <v>7988</v>
      </c>
      <c r="L941" s="8">
        <f t="shared" si="4135"/>
        <v>7708</v>
      </c>
      <c r="M941" s="8">
        <f t="shared" si="4135"/>
        <v>8679</v>
      </c>
      <c r="N941" s="8">
        <f t="shared" si="4135"/>
        <v>8292</v>
      </c>
      <c r="O941" s="8">
        <f t="shared" si="4135"/>
        <v>10379</v>
      </c>
      <c r="P941" s="8">
        <f t="shared" si="4135"/>
        <v>9955</v>
      </c>
      <c r="Q941" s="8">
        <f t="shared" si="4135"/>
        <v>10258</v>
      </c>
      <c r="R941" s="8">
        <f t="shared" si="4135"/>
        <v>10341</v>
      </c>
      <c r="S941" s="8">
        <f t="shared" si="4135"/>
        <v>12405</v>
      </c>
      <c r="T941" s="8">
        <f t="shared" si="4135"/>
        <v>12686</v>
      </c>
      <c r="U941" s="8">
        <f t="shared" si="4135"/>
        <v>13891</v>
      </c>
      <c r="V941" s="8">
        <f t="shared" si="4135"/>
        <v>12975</v>
      </c>
      <c r="W941" s="8">
        <f t="shared" si="4135"/>
        <v>13407</v>
      </c>
      <c r="X941" s="8">
        <f t="shared" si="4135"/>
        <v>15876</v>
      </c>
      <c r="Y941" s="8">
        <f t="shared" si="4135"/>
        <v>17897</v>
      </c>
      <c r="Z941" s="8">
        <f t="shared" si="4135"/>
        <v>17048</v>
      </c>
      <c r="AA941" s="8">
        <f t="shared" si="4135"/>
        <v>19095</v>
      </c>
      <c r="AB941" s="8">
        <f t="shared" si="4135"/>
        <v>20238</v>
      </c>
      <c r="AC941" s="8">
        <f t="shared" si="4135"/>
        <v>22247</v>
      </c>
      <c r="AD941" s="8">
        <f t="shared" si="4135"/>
        <v>20364</v>
      </c>
      <c r="AE941" s="8">
        <f t="shared" si="4135"/>
        <v>20534</v>
      </c>
      <c r="AF941" s="8">
        <f t="shared" si="4135"/>
        <v>21518</v>
      </c>
      <c r="AG941" s="8">
        <f t="shared" si="4135"/>
        <v>21570</v>
      </c>
      <c r="AH941" s="8">
        <f t="shared" si="4135"/>
        <v>22352</v>
      </c>
      <c r="AI941" s="8">
        <f t="shared" si="4135"/>
        <v>24254</v>
      </c>
      <c r="AJ941" s="8">
        <f t="shared" si="4135"/>
        <v>26895</v>
      </c>
      <c r="AK941" s="8">
        <f t="shared" si="4135"/>
        <v>28162</v>
      </c>
      <c r="AL941" s="8">
        <f t="shared" si="4135"/>
        <v>28521</v>
      </c>
      <c r="AM941" s="8">
        <f t="shared" si="4135"/>
        <v>28865</v>
      </c>
      <c r="AN941" s="8"/>
      <c r="AO941" s="8"/>
      <c r="AP941" s="8"/>
      <c r="AQ941" s="8"/>
      <c r="AS941" s="8">
        <f t="shared" ref="AS941:BO941" si="4136">+AS48</f>
        <v>14576</v>
      </c>
      <c r="AT941" s="8">
        <f t="shared" si="4136"/>
        <v>16380</v>
      </c>
      <c r="AU941" s="8">
        <f t="shared" si="4136"/>
        <v>18438</v>
      </c>
      <c r="AV941" s="8">
        <f t="shared" si="4136"/>
        <v>22271</v>
      </c>
      <c r="AW941" s="8">
        <f t="shared" si="4136"/>
        <v>20363</v>
      </c>
      <c r="AX941" s="8">
        <f t="shared" si="4136"/>
        <v>24098</v>
      </c>
      <c r="AY941" s="8">
        <f t="shared" si="4136"/>
        <v>27161</v>
      </c>
      <c r="AZ941" s="8">
        <f t="shared" si="4136"/>
        <v>27956</v>
      </c>
      <c r="BA941" s="8">
        <f t="shared" si="4136"/>
        <v>27497</v>
      </c>
      <c r="BB941" s="8">
        <f t="shared" si="4136"/>
        <v>27886</v>
      </c>
      <c r="BC941" s="8">
        <f t="shared" si="4136"/>
        <v>28172</v>
      </c>
      <c r="BD941" s="8">
        <f t="shared" si="4136"/>
        <v>21292</v>
      </c>
      <c r="BE941" s="8">
        <f t="shared" si="4136"/>
        <v>22632</v>
      </c>
      <c r="BF941">
        <f t="shared" si="4136"/>
        <v>0</v>
      </c>
      <c r="BG941" s="8">
        <f t="shared" si="4136"/>
        <v>27188</v>
      </c>
      <c r="BH941" s="8">
        <f t="shared" si="4136"/>
        <v>29331</v>
      </c>
      <c r="BI941" s="8">
        <f t="shared" si="4136"/>
        <v>35058</v>
      </c>
      <c r="BJ941" s="8">
        <f t="shared" si="4136"/>
        <v>42959</v>
      </c>
      <c r="BK941" s="8">
        <f t="shared" si="4136"/>
        <v>52959</v>
      </c>
      <c r="BL941" s="8">
        <f t="shared" si="4136"/>
        <v>69916</v>
      </c>
      <c r="BM941" s="8">
        <f t="shared" si="4136"/>
        <v>83383</v>
      </c>
      <c r="BN941" s="8">
        <f t="shared" si="4136"/>
        <v>89694</v>
      </c>
      <c r="BO941" s="8">
        <f t="shared" si="4136"/>
        <v>112443</v>
      </c>
      <c r="BP941" s="8"/>
    </row>
    <row r="942" spans="2:72" s="3" customFormat="1">
      <c r="B942" s="13" t="s">
        <v>611</v>
      </c>
      <c r="C942" s="228"/>
      <c r="D942" s="228">
        <f t="shared" ref="D942:AL942" si="4137">+SUM(A941:D941)/AVERAGE(A939:D939)</f>
        <v>0.27743125713783712</v>
      </c>
      <c r="E942" s="228">
        <f t="shared" si="4137"/>
        <v>0.56196698622051255</v>
      </c>
      <c r="F942" s="228">
        <f t="shared" si="4137"/>
        <v>0.8058479688607697</v>
      </c>
      <c r="G942" s="228">
        <f t="shared" si="4137"/>
        <v>1.0987381161660554</v>
      </c>
      <c r="H942" s="228">
        <f t="shared" si="4137"/>
        <v>1.1262873181934168</v>
      </c>
      <c r="I942" s="228">
        <f t="shared" si="4137"/>
        <v>0.92425242590269985</v>
      </c>
      <c r="J942" s="228">
        <f t="shared" si="4137"/>
        <v>0.79126105579351391</v>
      </c>
      <c r="K942" s="228">
        <f t="shared" si="4137"/>
        <v>0.63018466595765255</v>
      </c>
      <c r="L942" s="228">
        <f t="shared" si="4137"/>
        <v>0.53101482775377262</v>
      </c>
      <c r="M942" s="228">
        <f t="shared" si="4137"/>
        <v>0.50416244477769223</v>
      </c>
      <c r="N942" s="228">
        <f t="shared" si="4137"/>
        <v>0.4889482605718391</v>
      </c>
      <c r="O942" s="228">
        <f t="shared" si="4137"/>
        <v>0.51647785029243209</v>
      </c>
      <c r="P942" s="228">
        <f t="shared" si="4137"/>
        <v>0.53336478762988304</v>
      </c>
      <c r="Q942" s="228">
        <f t="shared" si="4137"/>
        <v>0.52539555999945953</v>
      </c>
      <c r="R942" s="228">
        <f t="shared" si="4137"/>
        <v>0.52624440351875246</v>
      </c>
      <c r="S942" s="228">
        <f t="shared" si="4137"/>
        <v>0.51737105316243792</v>
      </c>
      <c r="T942" s="228">
        <f t="shared" si="4137"/>
        <v>0.52541247294022264</v>
      </c>
      <c r="U942" s="228">
        <f t="shared" si="4137"/>
        <v>0.54991679836774288</v>
      </c>
      <c r="V942" s="228">
        <f t="shared" si="4137"/>
        <v>0.56413221390705293</v>
      </c>
      <c r="W942" s="228">
        <f t="shared" si="4137"/>
        <v>0.56954041221480767</v>
      </c>
      <c r="X942" s="228">
        <f t="shared" si="4137"/>
        <v>0.58805386313234587</v>
      </c>
      <c r="Y942" s="228">
        <f t="shared" si="4137"/>
        <v>0.60964455558680375</v>
      </c>
      <c r="Z942" s="228">
        <f t="shared" si="4137"/>
        <v>0.61566923642847049</v>
      </c>
      <c r="AA942" s="228">
        <f t="shared" si="4137"/>
        <v>0.63422920006984906</v>
      </c>
      <c r="AB942" s="228">
        <f t="shared" si="4137"/>
        <v>0.63162773097274394</v>
      </c>
      <c r="AC942" s="228">
        <f t="shared" si="4137"/>
        <v>0.62331196911502984</v>
      </c>
      <c r="AD942" s="228">
        <f t="shared" si="4137"/>
        <v>0.59547457057471687</v>
      </c>
      <c r="AE942" s="228">
        <f t="shared" si="4137"/>
        <v>0.55931620721054598</v>
      </c>
      <c r="AF942" s="228">
        <f t="shared" si="4137"/>
        <v>0.53147810147381702</v>
      </c>
      <c r="AG942" s="228">
        <f t="shared" si="4137"/>
        <v>0.49480733909821056</v>
      </c>
      <c r="AH942" s="228">
        <f t="shared" si="4137"/>
        <v>0.48577066668173385</v>
      </c>
      <c r="AI942" s="228">
        <f t="shared" si="4137"/>
        <v>0.48542412508219479</v>
      </c>
      <c r="AJ942" s="228">
        <f t="shared" si="4137"/>
        <v>0.49129951152205903</v>
      </c>
      <c r="AK942" s="228">
        <f t="shared" si="4137"/>
        <v>0.46184528230743194</v>
      </c>
      <c r="AL942" s="228">
        <f t="shared" si="4137"/>
        <v>0.43544381493880158</v>
      </c>
      <c r="AM942" s="228">
        <f>+SUM(AJ941:AM941)/AVERAGE(AJ940:AM940)</f>
        <v>0.42923237251062174</v>
      </c>
      <c r="AN942" s="228"/>
      <c r="AO942" s="228"/>
      <c r="AP942" s="228"/>
      <c r="AQ942" s="228"/>
      <c r="AR942" s="228"/>
      <c r="AS942" s="228"/>
      <c r="AT942" s="228"/>
      <c r="AU942" s="228">
        <f t="shared" ref="AU942:BN942" si="4138">+AU941/AU940</f>
        <v>6.5255706954521324</v>
      </c>
      <c r="AV942" s="228">
        <f t="shared" si="4138"/>
        <v>2.7481490621915103</v>
      </c>
      <c r="AW942" s="228">
        <f t="shared" si="4138"/>
        <v>1.5722503184959271</v>
      </c>
      <c r="AX942" s="228">
        <f t="shared" si="4138"/>
        <v>1.6271987575542726</v>
      </c>
      <c r="AY942" s="228">
        <f t="shared" si="4138"/>
        <v>1.7127092726298199</v>
      </c>
      <c r="AZ942" s="228">
        <f t="shared" si="4138"/>
        <v>1.7439800374298191</v>
      </c>
      <c r="BA942" s="228">
        <f t="shared" si="4138"/>
        <v>1.6707883943490809</v>
      </c>
      <c r="BB942" s="228">
        <f t="shared" si="4138"/>
        <v>1.2791449737391345</v>
      </c>
      <c r="BC942" s="228">
        <f t="shared" si="4138"/>
        <v>1.3195625190285487</v>
      </c>
      <c r="BD942" s="228">
        <f t="shared" si="4138"/>
        <v>1.5957430862624598</v>
      </c>
      <c r="BE942" s="228">
        <f t="shared" si="4138"/>
        <v>0.94309823939993753</v>
      </c>
      <c r="BF942" s="228">
        <f t="shared" si="4138"/>
        <v>0</v>
      </c>
      <c r="BG942" s="228">
        <f t="shared" si="4138"/>
        <v>5.208429118773946</v>
      </c>
      <c r="BH942" s="228">
        <f t="shared" si="4138"/>
        <v>0.88644090847273227</v>
      </c>
      <c r="BI942" s="228">
        <f t="shared" si="4138"/>
        <v>0.5539001153366091</v>
      </c>
      <c r="BJ942" s="228">
        <f t="shared" si="4138"/>
        <v>0.52808270538052093</v>
      </c>
      <c r="BK942" s="228">
        <f t="shared" si="4138"/>
        <v>0.56568947376853929</v>
      </c>
      <c r="BL942" s="228">
        <f t="shared" si="4138"/>
        <v>0.6520859176078867</v>
      </c>
      <c r="BM942" s="228">
        <f t="shared" si="4138"/>
        <v>0.58725385243823425</v>
      </c>
      <c r="BN942" s="228">
        <f t="shared" si="4138"/>
        <v>0.49690452645487254</v>
      </c>
      <c r="BO942" s="228">
        <f>+BO941/BO940</f>
        <v>0.44375643773013035</v>
      </c>
      <c r="BP942" s="228"/>
    </row>
    <row r="943" spans="2:72" s="3" customFormat="1" hidden="1" outlineLevel="1">
      <c r="B943" s="15" t="s">
        <v>612</v>
      </c>
      <c r="D943" s="228"/>
      <c r="E943" s="228"/>
      <c r="F943" s="228"/>
      <c r="G943" s="228"/>
      <c r="H943" s="228"/>
      <c r="I943" s="228"/>
      <c r="J943" s="228"/>
      <c r="K943" s="228"/>
      <c r="L943" s="228"/>
      <c r="M943" s="228"/>
      <c r="N943" s="228"/>
      <c r="O943" s="228"/>
      <c r="P943" s="228"/>
      <c r="Q943" s="228"/>
      <c r="R943" s="228"/>
      <c r="S943" s="228"/>
      <c r="T943" s="228">
        <f t="shared" ref="T943:AL943" si="4139">(T941-P941)/(T940-P940)*4</f>
        <v>0.12149725007368356</v>
      </c>
      <c r="U943" s="228">
        <f t="shared" si="4139"/>
        <v>0.15877282113474711</v>
      </c>
      <c r="V943" s="228">
        <f t="shared" si="4139"/>
        <v>0.11174037543748011</v>
      </c>
      <c r="W943" s="228">
        <f t="shared" si="4139"/>
        <v>4.2437846766337724E-2</v>
      </c>
      <c r="X943" s="228">
        <f t="shared" si="4139"/>
        <v>1.8864577173270254</v>
      </c>
      <c r="Y943" s="228">
        <f t="shared" si="4139"/>
        <v>1.4088890842748494</v>
      </c>
      <c r="Z943" s="228">
        <f t="shared" si="4139"/>
        <v>0.92154533627467616</v>
      </c>
      <c r="AA943" s="228">
        <f t="shared" si="4139"/>
        <v>0.98361506203795768</v>
      </c>
      <c r="AB943" s="228">
        <f t="shared" si="4139"/>
        <v>0.65715038981582619</v>
      </c>
      <c r="AC943" s="228">
        <f t="shared" si="4139"/>
        <v>0.5469032389872861</v>
      </c>
      <c r="AD943" s="228">
        <f t="shared" si="4139"/>
        <v>0.33137632098333625</v>
      </c>
      <c r="AE943" s="228">
        <f t="shared" si="4139"/>
        <v>0.1254864343409019</v>
      </c>
      <c r="AF943" s="228">
        <f t="shared" si="4139"/>
        <v>0.11804851055980817</v>
      </c>
      <c r="AG943" s="228">
        <f t="shared" si="4139"/>
        <v>-6.5554721731341845E-2</v>
      </c>
      <c r="AH943" s="228">
        <f t="shared" si="4139"/>
        <v>0.22479151943462897</v>
      </c>
      <c r="AI943" s="228">
        <f t="shared" si="4139"/>
        <v>0.49468907395402184</v>
      </c>
      <c r="AJ943" s="228">
        <f t="shared" si="4139"/>
        <v>0.65079124935701538</v>
      </c>
      <c r="AK943" s="228">
        <f t="shared" si="4139"/>
        <v>0.37296670344281307</v>
      </c>
      <c r="AL943" s="228">
        <f t="shared" si="4139"/>
        <v>0.22794222926317831</v>
      </c>
      <c r="AM943" s="228">
        <f>(AM941-AI941)/(AM940-AI940)*4</f>
        <v>0.16419332152299898</v>
      </c>
      <c r="AN943" s="228"/>
      <c r="AO943" s="228"/>
      <c r="AP943" s="228"/>
      <c r="AQ943" s="228"/>
      <c r="AR943" s="228"/>
      <c r="AS943" s="228"/>
      <c r="AT943" s="228"/>
      <c r="AU943" s="228"/>
      <c r="AV943" s="228"/>
      <c r="AW943" s="228"/>
      <c r="AX943" s="228"/>
      <c r="AY943" s="228"/>
      <c r="AZ943" s="228"/>
      <c r="BA943" s="228"/>
      <c r="BB943" s="228"/>
      <c r="BC943" s="228"/>
      <c r="BD943" s="228"/>
      <c r="BE943" s="228"/>
      <c r="BF943" s="228"/>
      <c r="BG943" s="829"/>
      <c r="BH943" s="228"/>
      <c r="BI943" s="228">
        <f t="shared" ref="BI943:BN943" si="4140">(BI941-BH941)/(BI940-BH940)</f>
        <v>0.18960750881491167</v>
      </c>
      <c r="BJ943" s="228">
        <f t="shared" si="4140"/>
        <v>0.43758307487815684</v>
      </c>
      <c r="BK943" s="228">
        <f t="shared" si="4140"/>
        <v>0.81502913729165816</v>
      </c>
      <c r="BL943" s="228">
        <f t="shared" si="4140"/>
        <v>1.2467923973383332</v>
      </c>
      <c r="BM943" s="228">
        <f t="shared" si="4140"/>
        <v>0.38732779199861944</v>
      </c>
      <c r="BN943" s="228">
        <f t="shared" si="4140"/>
        <v>0.16384760173946908</v>
      </c>
      <c r="BO943" s="228">
        <f>(BO941-BN941)/(BO940-BN940)</f>
        <v>0.31212825948259892</v>
      </c>
      <c r="BP943" s="228"/>
    </row>
    <row r="944" spans="2:72" collapsed="1">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S944" s="8"/>
      <c r="AT944" s="8"/>
      <c r="AU944" s="8"/>
      <c r="AV944" s="8"/>
      <c r="AW944" s="8"/>
      <c r="AX944" s="8"/>
      <c r="AY944" s="8"/>
      <c r="AZ944" s="8"/>
      <c r="BA944" s="8"/>
      <c r="BB944" s="8"/>
      <c r="BC944" s="8"/>
      <c r="BD944" s="8"/>
      <c r="BE944" s="8"/>
      <c r="BG944" s="8"/>
      <c r="BH944" s="8"/>
      <c r="BI944" s="8"/>
      <c r="BJ944" s="8"/>
      <c r="BK944" s="8"/>
      <c r="BL944" s="8"/>
      <c r="BM944" s="8"/>
      <c r="BN944" s="8"/>
      <c r="BO944" s="8"/>
      <c r="BP944" s="8"/>
      <c r="BQ944" s="8"/>
    </row>
    <row r="945" spans="2:72">
      <c r="B945" t="s">
        <v>613</v>
      </c>
      <c r="D945" s="8">
        <f t="shared" ref="D945:AM945" si="4141">+D136+D921</f>
        <v>16657</v>
      </c>
      <c r="E945" s="8">
        <f t="shared" si="4141"/>
        <v>18569</v>
      </c>
      <c r="F945" s="8">
        <f t="shared" si="4141"/>
        <v>15648</v>
      </c>
      <c r="G945" s="8">
        <f t="shared" si="4141"/>
        <v>12218</v>
      </c>
      <c r="H945" s="8">
        <f t="shared" si="4141"/>
        <v>8130</v>
      </c>
      <c r="I945" s="8">
        <f t="shared" si="4141"/>
        <v>30998</v>
      </c>
      <c r="J945" s="8">
        <f t="shared" si="4141"/>
        <v>27719</v>
      </c>
      <c r="K945" s="8">
        <f t="shared" si="4141"/>
        <v>48834</v>
      </c>
      <c r="L945" s="8">
        <f t="shared" si="4141"/>
        <v>42419</v>
      </c>
      <c r="M945" s="8">
        <f t="shared" si="4141"/>
        <v>34382</v>
      </c>
      <c r="N945" s="8">
        <f t="shared" si="4141"/>
        <v>34208</v>
      </c>
      <c r="O945" s="8">
        <f t="shared" si="4141"/>
        <v>35059</v>
      </c>
      <c r="P945" s="8">
        <f t="shared" si="4141"/>
        <v>36643</v>
      </c>
      <c r="Q945" s="8">
        <f t="shared" si="4141"/>
        <v>48528</v>
      </c>
      <c r="R945" s="8">
        <f t="shared" si="4141"/>
        <v>48128</v>
      </c>
      <c r="S945" s="8">
        <f t="shared" si="4141"/>
        <v>53451</v>
      </c>
      <c r="T945" s="8">
        <f t="shared" si="4141"/>
        <v>53444</v>
      </c>
      <c r="U945" s="8">
        <f t="shared" si="4141"/>
        <v>61387</v>
      </c>
      <c r="V945" s="8">
        <f t="shared" si="4141"/>
        <v>59343</v>
      </c>
      <c r="W945" s="8">
        <f t="shared" si="4141"/>
        <v>62271</v>
      </c>
      <c r="X945" s="8">
        <f t="shared" si="4141"/>
        <v>66104</v>
      </c>
      <c r="Y945" s="8">
        <f t="shared" si="4141"/>
        <v>79184</v>
      </c>
      <c r="Z945" s="8">
        <f t="shared" si="4141"/>
        <v>88482</v>
      </c>
      <c r="AA945" s="8">
        <f t="shared" si="4141"/>
        <v>91970</v>
      </c>
      <c r="AB945" s="8">
        <f t="shared" si="4141"/>
        <v>102545</v>
      </c>
      <c r="AC945" s="8">
        <f t="shared" si="4141"/>
        <v>130999</v>
      </c>
      <c r="AD945" s="8">
        <f t="shared" si="4141"/>
        <v>134053</v>
      </c>
      <c r="AE945" s="8">
        <f t="shared" si="4141"/>
        <v>137957</v>
      </c>
      <c r="AF945" s="8">
        <f t="shared" si="4141"/>
        <v>141216</v>
      </c>
      <c r="AG945" s="8">
        <f t="shared" si="4141"/>
        <v>159326</v>
      </c>
      <c r="AH945" s="8">
        <f t="shared" si="4141"/>
        <v>167241</v>
      </c>
      <c r="AI945" s="8">
        <f t="shared" si="4141"/>
        <v>171993</v>
      </c>
      <c r="AJ945" s="8">
        <f t="shared" si="4141"/>
        <v>179906</v>
      </c>
      <c r="AK945" s="8">
        <f t="shared" si="4141"/>
        <v>265822</v>
      </c>
      <c r="AL945" s="8">
        <f t="shared" si="4141"/>
        <v>275947</v>
      </c>
      <c r="AM945" s="8">
        <f t="shared" si="4141"/>
        <v>287206</v>
      </c>
      <c r="AN945" s="8"/>
      <c r="AO945" s="8"/>
      <c r="AP945" s="8"/>
      <c r="AQ945" s="8"/>
      <c r="AS945" s="8"/>
      <c r="AT945" s="8">
        <f t="shared" ref="AT945:BO945" si="4142">+AT136+AT921</f>
        <v>5943</v>
      </c>
      <c r="AU945" s="8">
        <f t="shared" si="4142"/>
        <v>7686</v>
      </c>
      <c r="AV945" s="8">
        <f t="shared" si="4142"/>
        <v>12624</v>
      </c>
      <c r="AW945" s="8">
        <f t="shared" si="4142"/>
        <v>13857</v>
      </c>
      <c r="AX945" s="8">
        <f t="shared" si="4142"/>
        <v>15326</v>
      </c>
      <c r="AY945" s="8">
        <f t="shared" si="4142"/>
        <v>16232</v>
      </c>
      <c r="AZ945" s="8">
        <f t="shared" si="4142"/>
        <v>15267</v>
      </c>
      <c r="BA945" s="8">
        <f t="shared" si="4142"/>
        <v>17522</v>
      </c>
      <c r="BB945" s="8">
        <f t="shared" si="4142"/>
        <v>26720</v>
      </c>
      <c r="BC945" s="8">
        <f t="shared" si="4142"/>
        <v>18849</v>
      </c>
      <c r="BD945" s="8">
        <f t="shared" si="4142"/>
        <v>12218</v>
      </c>
      <c r="BE945" s="8">
        <f t="shared" si="4142"/>
        <v>25607</v>
      </c>
      <c r="BF945">
        <f t="shared" si="4142"/>
        <v>0</v>
      </c>
      <c r="BG945" s="8">
        <f t="shared" si="4142"/>
        <v>12218</v>
      </c>
      <c r="BH945" s="8">
        <f t="shared" si="4142"/>
        <v>48834</v>
      </c>
      <c r="BI945" s="8">
        <f t="shared" si="4142"/>
        <v>35059</v>
      </c>
      <c r="BJ945" s="8">
        <f t="shared" si="4142"/>
        <v>53451</v>
      </c>
      <c r="BK945" s="8">
        <f t="shared" si="4142"/>
        <v>62271</v>
      </c>
      <c r="BL945" s="8">
        <f t="shared" si="4142"/>
        <v>91970</v>
      </c>
      <c r="BM945" s="8">
        <f t="shared" si="4142"/>
        <v>137957</v>
      </c>
      <c r="BN945" s="8">
        <f t="shared" si="4142"/>
        <v>171993</v>
      </c>
      <c r="BO945" s="8">
        <f t="shared" si="4142"/>
        <v>287206</v>
      </c>
      <c r="BP945" s="8"/>
      <c r="BQ945" s="8"/>
    </row>
    <row r="946" spans="2:72">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S946" s="8"/>
      <c r="AT946" s="8"/>
      <c r="AU946" s="8"/>
      <c r="AV946" s="8"/>
      <c r="AW946" s="8"/>
      <c r="AX946" s="8"/>
      <c r="AY946" s="8"/>
      <c r="AZ946" s="8"/>
      <c r="BA946" s="8"/>
      <c r="BB946" s="8"/>
      <c r="BC946" s="8"/>
      <c r="BD946" s="8"/>
      <c r="BE946" s="8"/>
      <c r="BG946" s="8"/>
      <c r="BH946" s="8"/>
      <c r="BI946" s="8"/>
      <c r="BJ946" s="8"/>
      <c r="BK946" s="8"/>
      <c r="BL946" s="8"/>
      <c r="BM946" s="8"/>
      <c r="BN946" s="8"/>
      <c r="BO946" s="8"/>
      <c r="BP946" s="8"/>
      <c r="BQ946" s="8"/>
    </row>
    <row r="947" spans="2:72" ht="11.1" customHeight="1">
      <c r="B947" s="5" t="s">
        <v>614</v>
      </c>
      <c r="C947" s="4"/>
      <c r="AL947" s="29"/>
      <c r="AM947" s="29"/>
      <c r="AN947" s="29"/>
      <c r="AO947" s="29"/>
      <c r="AP947" s="29"/>
      <c r="AQ947" s="29"/>
      <c r="AR947" s="29"/>
      <c r="BK947" s="100"/>
      <c r="BL947" s="100"/>
    </row>
    <row r="948" spans="2:72" ht="11.1" customHeight="1">
      <c r="AL948" s="29"/>
      <c r="AM948" s="29"/>
      <c r="AN948" s="29"/>
      <c r="AO948" s="29"/>
      <c r="AP948" s="29"/>
      <c r="AQ948" s="29"/>
      <c r="AR948" s="29"/>
      <c r="BK948" s="100"/>
      <c r="BL948" s="100"/>
    </row>
    <row r="949" spans="2:72" ht="11.1" customHeight="1">
      <c r="B949" s="45" t="s">
        <v>615</v>
      </c>
      <c r="AL949" s="29"/>
      <c r="AM949" s="29"/>
      <c r="AN949" s="29"/>
      <c r="AO949" s="29"/>
      <c r="AP949" s="29"/>
      <c r="AQ949" s="29"/>
      <c r="AR949" s="29"/>
    </row>
    <row r="950" spans="2:72" ht="11.1" customHeight="1">
      <c r="B950" t="s">
        <v>335</v>
      </c>
      <c r="D950" s="29">
        <v>8718</v>
      </c>
      <c r="E950" s="29">
        <v>8257</v>
      </c>
      <c r="F950" s="29">
        <v>8006</v>
      </c>
      <c r="G950" s="29">
        <v>10673</v>
      </c>
      <c r="H950" s="29">
        <v>9656</v>
      </c>
      <c r="I950" s="29">
        <v>9839</v>
      </c>
      <c r="J950" s="29">
        <v>9697</v>
      </c>
      <c r="K950" s="29">
        <v>12692</v>
      </c>
      <c r="L950" s="29">
        <v>11808</v>
      </c>
      <c r="M950" s="29">
        <v>11290</v>
      </c>
      <c r="N950" s="29">
        <v>11185</v>
      </c>
      <c r="O950" s="29">
        <v>14864</v>
      </c>
      <c r="P950" s="29">
        <v>13753</v>
      </c>
      <c r="Q950" s="29">
        <v>12635</v>
      </c>
      <c r="R950" s="29">
        <v>12679</v>
      </c>
      <c r="S950" s="29">
        <v>16831</v>
      </c>
      <c r="T950" s="29">
        <v>15560</v>
      </c>
      <c r="U950" s="29">
        <v>14266</v>
      </c>
      <c r="V950" s="29">
        <v>14077</v>
      </c>
      <c r="W950" s="29">
        <v>18643</v>
      </c>
      <c r="X950" s="29">
        <v>17675</v>
      </c>
      <c r="Y950" s="29">
        <v>16225</v>
      </c>
      <c r="Z950" s="29">
        <v>16169</v>
      </c>
      <c r="AA950" s="29">
        <v>22120</v>
      </c>
      <c r="AB950" s="29">
        <v>20565</v>
      </c>
      <c r="AC950" s="29">
        <v>18494</v>
      </c>
      <c r="AD950" s="29">
        <v>18578</v>
      </c>
      <c r="AE950" s="29">
        <v>24558</v>
      </c>
      <c r="AF950" s="29">
        <v>22405</v>
      </c>
      <c r="AG950" s="29">
        <v>20120</v>
      </c>
      <c r="AH950" s="29">
        <v>20504</v>
      </c>
      <c r="AI950" s="29">
        <v>27572</v>
      </c>
      <c r="AJ950" s="29">
        <v>25316</v>
      </c>
      <c r="AK950" s="29">
        <v>22591</v>
      </c>
      <c r="AL950" s="29">
        <v>22929</v>
      </c>
      <c r="AM950" s="29">
        <v>30879</v>
      </c>
      <c r="AN950" s="29"/>
      <c r="AO950" s="29"/>
      <c r="AP950" s="29"/>
      <c r="AQ950" s="29"/>
      <c r="AR950" s="29"/>
      <c r="BG950" s="8">
        <f>+SUM(D950:G950)</f>
        <v>35654</v>
      </c>
      <c r="BH950" s="8">
        <f>+SUM(H950:K950)</f>
        <v>41884</v>
      </c>
      <c r="BI950" s="8">
        <f>+SUM(L950:O950)</f>
        <v>49147</v>
      </c>
      <c r="BJ950" s="8">
        <f>+SUM(P950:S950)</f>
        <v>55898</v>
      </c>
      <c r="BK950" s="8">
        <f>SUM(T950:W950)</f>
        <v>62546</v>
      </c>
      <c r="BL950" s="8">
        <f>SUM(X950:AA950)</f>
        <v>72189</v>
      </c>
      <c r="BM950" s="8">
        <f>SUM(AB950:AE950)</f>
        <v>82195</v>
      </c>
      <c r="BN950" s="8">
        <f>+SUM(AF950:AI950)</f>
        <v>90601</v>
      </c>
      <c r="BO950" s="8">
        <f>+SUM(AJ950:AM950)</f>
        <v>101715</v>
      </c>
      <c r="BP950" s="8"/>
    </row>
    <row r="951" spans="2:72" ht="11.1" customHeight="1">
      <c r="B951" t="s">
        <v>337</v>
      </c>
      <c r="D951" s="29">
        <v>7107</v>
      </c>
      <c r="E951" s="29">
        <v>6702</v>
      </c>
      <c r="F951" s="29">
        <v>6679</v>
      </c>
      <c r="G951" s="29">
        <v>8913</v>
      </c>
      <c r="H951" s="29">
        <v>8057</v>
      </c>
      <c r="I951" s="29">
        <v>7676</v>
      </c>
      <c r="J951" s="29">
        <v>7735</v>
      </c>
      <c r="K951" s="29">
        <v>11152</v>
      </c>
      <c r="L951" s="29">
        <v>10156</v>
      </c>
      <c r="M951" s="29">
        <v>9759</v>
      </c>
      <c r="N951" s="29">
        <v>9987</v>
      </c>
      <c r="O951" s="29">
        <v>14706</v>
      </c>
      <c r="P951" s="29">
        <v>13298</v>
      </c>
      <c r="Q951" s="29">
        <v>12551</v>
      </c>
      <c r="R951" s="29">
        <v>12531</v>
      </c>
      <c r="S951" s="29">
        <v>16988</v>
      </c>
      <c r="T951" s="29">
        <v>15255</v>
      </c>
      <c r="U951" s="29">
        <v>13766</v>
      </c>
      <c r="V951" s="29">
        <v>12984</v>
      </c>
      <c r="W951" s="29">
        <v>16620</v>
      </c>
      <c r="X951" s="29">
        <v>15039</v>
      </c>
      <c r="Y951" s="29">
        <v>13786</v>
      </c>
      <c r="Z951" s="29">
        <v>13098</v>
      </c>
      <c r="AA951" s="29">
        <v>17710</v>
      </c>
      <c r="AB951" s="29">
        <v>16117</v>
      </c>
      <c r="AC951" s="29">
        <v>14549</v>
      </c>
      <c r="AD951" s="29">
        <v>14524</v>
      </c>
      <c r="AE951" s="29">
        <v>19371</v>
      </c>
      <c r="AF951" s="29">
        <v>17294</v>
      </c>
      <c r="AG951" s="29">
        <v>15822</v>
      </c>
      <c r="AH951" s="29">
        <v>15552</v>
      </c>
      <c r="AI951" s="29">
        <v>21563</v>
      </c>
      <c r="AJ951" s="29">
        <v>19471</v>
      </c>
      <c r="AK951" s="29">
        <v>17696</v>
      </c>
      <c r="AL951" s="29">
        <v>16696</v>
      </c>
      <c r="AM951" s="29">
        <v>23117</v>
      </c>
      <c r="AN951" s="29"/>
      <c r="AO951" s="29"/>
      <c r="AP951" s="29"/>
      <c r="AQ951" s="29"/>
      <c r="AR951" s="29"/>
      <c r="BG951" s="8">
        <f>+SUM(D951:G951)</f>
        <v>29401</v>
      </c>
      <c r="BH951" s="8">
        <f>+SUM(H951:K951)</f>
        <v>34620</v>
      </c>
      <c r="BI951" s="8">
        <f>+SUM(L951:O951)</f>
        <v>44608</v>
      </c>
      <c r="BJ951" s="8">
        <f>+SUM(P951:S951)</f>
        <v>55368</v>
      </c>
      <c r="BK951" s="8">
        <f>SUM(T951:W951)</f>
        <v>58625</v>
      </c>
      <c r="BL951" s="8">
        <f t="shared" ref="BL951:BL952" si="4143">SUM(X951:AA951)</f>
        <v>59633</v>
      </c>
      <c r="BM951" s="8">
        <f t="shared" ref="BM951:BM953" si="4144">SUM(AB951:AE951)</f>
        <v>64561</v>
      </c>
      <c r="BN951" s="8">
        <f t="shared" ref="BN951:BN953" si="4145">+SUM(AF951:AI951)</f>
        <v>70231</v>
      </c>
      <c r="BO951" s="8">
        <f t="shared" ref="BO951:BO953" si="4146">+SUM(AJ951:AM951)</f>
        <v>76980</v>
      </c>
      <c r="BP951" s="8"/>
    </row>
    <row r="952" spans="2:72" s="852" customFormat="1" ht="11.1" customHeight="1">
      <c r="B952" t="s">
        <v>339</v>
      </c>
      <c r="D952" s="939">
        <v>2366</v>
      </c>
      <c r="E952" s="939">
        <v>2393</v>
      </c>
      <c r="F952" s="939">
        <v>2427</v>
      </c>
      <c r="G952" s="939">
        <v>2607</v>
      </c>
      <c r="H952" s="939">
        <v>2657</v>
      </c>
      <c r="I952" s="939">
        <v>2476</v>
      </c>
      <c r="J952" s="939">
        <v>2472</v>
      </c>
      <c r="K952" s="939">
        <v>2812</v>
      </c>
      <c r="L952" s="939">
        <v>2940</v>
      </c>
      <c r="M952" s="939">
        <v>2760</v>
      </c>
      <c r="N952" s="939">
        <v>2783</v>
      </c>
      <c r="O952" s="939">
        <v>3150</v>
      </c>
      <c r="P952" s="939">
        <v>3191</v>
      </c>
      <c r="Q952" s="939">
        <v>2898</v>
      </c>
      <c r="R952" s="939">
        <v>2925</v>
      </c>
      <c r="S952" s="939">
        <v>3387</v>
      </c>
      <c r="T952" s="939">
        <v>3211</v>
      </c>
      <c r="U952" s="939">
        <v>3189</v>
      </c>
      <c r="V952" s="939">
        <v>3336</v>
      </c>
      <c r="W952" s="939">
        <v>3917</v>
      </c>
      <c r="X952" s="939">
        <v>3591</v>
      </c>
      <c r="Y952" s="939">
        <v>3376</v>
      </c>
      <c r="Z952" s="939">
        <v>3447</v>
      </c>
      <c r="AA952" s="939">
        <v>4311</v>
      </c>
      <c r="AB952" s="939">
        <v>4333</v>
      </c>
      <c r="AC952" s="939">
        <v>3726</v>
      </c>
      <c r="AD952" s="939">
        <v>3694</v>
      </c>
      <c r="AE952" s="939">
        <v>4479</v>
      </c>
      <c r="AF952" s="939">
        <v>4190</v>
      </c>
      <c r="AG952" s="939">
        <v>3684</v>
      </c>
      <c r="AH952" s="939">
        <v>3545</v>
      </c>
      <c r="AI952" s="939">
        <v>4678</v>
      </c>
      <c r="AJ952" s="939">
        <v>4401</v>
      </c>
      <c r="AK952" s="939">
        <v>5747</v>
      </c>
      <c r="AL952" s="939">
        <v>5208</v>
      </c>
      <c r="AM952" s="939">
        <v>6188</v>
      </c>
      <c r="AN952" s="939"/>
      <c r="AO952" s="939"/>
      <c r="AP952" s="939"/>
      <c r="AQ952" s="939"/>
      <c r="AS952" s="939"/>
      <c r="AT952" s="939"/>
      <c r="AU952" s="939"/>
      <c r="AV952" s="939"/>
      <c r="AW952" s="939"/>
      <c r="AX952" s="939"/>
      <c r="AY952" s="939"/>
      <c r="AZ952" s="939"/>
      <c r="BA952" s="939"/>
      <c r="BB952" s="939"/>
      <c r="BC952" s="939"/>
      <c r="BD952" s="939"/>
      <c r="BE952" s="939"/>
      <c r="BG952" s="940">
        <f>+SUM(D952:G952)</f>
        <v>9793</v>
      </c>
      <c r="BH952" s="940">
        <f>+SUM(H952:K952)</f>
        <v>10417</v>
      </c>
      <c r="BI952" s="940">
        <f>+SUM(L952:O952)</f>
        <v>11633</v>
      </c>
      <c r="BJ952" s="940">
        <f>+SUM(P952:S952)</f>
        <v>12401</v>
      </c>
      <c r="BK952" s="940">
        <f>SUM(T952:W952)</f>
        <v>13653</v>
      </c>
      <c r="BL952" s="940">
        <f t="shared" si="4143"/>
        <v>14725</v>
      </c>
      <c r="BM952" s="940">
        <f t="shared" si="4144"/>
        <v>16232</v>
      </c>
      <c r="BN952" s="940">
        <f t="shared" si="4145"/>
        <v>16097</v>
      </c>
      <c r="BO952" s="940">
        <f t="shared" si="4146"/>
        <v>21544</v>
      </c>
      <c r="BP952" s="939"/>
    </row>
    <row r="953" spans="2:72" s="1" customFormat="1" ht="10.5">
      <c r="B953" s="837" t="s">
        <v>616</v>
      </c>
      <c r="D953" s="838">
        <f>SUM(D950:D952)</f>
        <v>18191</v>
      </c>
      <c r="E953" s="838">
        <f t="shared" ref="E953:O953" si="4147">SUM(E950:E952)</f>
        <v>17352</v>
      </c>
      <c r="F953" s="838">
        <f t="shared" si="4147"/>
        <v>17112</v>
      </c>
      <c r="G953" s="838">
        <f t="shared" si="4147"/>
        <v>22193</v>
      </c>
      <c r="H953" s="838">
        <f t="shared" si="4147"/>
        <v>20370</v>
      </c>
      <c r="I953" s="838">
        <f t="shared" si="4147"/>
        <v>19991</v>
      </c>
      <c r="J953" s="838">
        <f t="shared" si="4147"/>
        <v>19904</v>
      </c>
      <c r="K953" s="838">
        <f t="shared" si="4147"/>
        <v>26656</v>
      </c>
      <c r="L953" s="838">
        <f t="shared" si="4147"/>
        <v>24904</v>
      </c>
      <c r="M953" s="838">
        <f t="shared" si="4147"/>
        <v>23809</v>
      </c>
      <c r="N953" s="838">
        <f t="shared" si="4147"/>
        <v>23955</v>
      </c>
      <c r="O953" s="838">
        <f t="shared" si="4147"/>
        <v>32720</v>
      </c>
      <c r="P953" s="838">
        <f t="shared" ref="P953:V953" si="4148">SUM(P950:P952)</f>
        <v>30242</v>
      </c>
      <c r="Q953" s="838">
        <f t="shared" si="4148"/>
        <v>28084</v>
      </c>
      <c r="R953" s="838">
        <f t="shared" si="4148"/>
        <v>28135</v>
      </c>
      <c r="S953" s="838">
        <f t="shared" si="4148"/>
        <v>37206</v>
      </c>
      <c r="T953" s="838">
        <f t="shared" si="4148"/>
        <v>34026</v>
      </c>
      <c r="U953" s="838">
        <f t="shared" si="4148"/>
        <v>31221</v>
      </c>
      <c r="V953" s="838">
        <f t="shared" si="4148"/>
        <v>30397</v>
      </c>
      <c r="W953" s="838">
        <f t="shared" ref="W953:X953" si="4149">SUM(W950:W952)</f>
        <v>39180</v>
      </c>
      <c r="X953" s="838">
        <f t="shared" si="4149"/>
        <v>36305</v>
      </c>
      <c r="Y953" s="838">
        <f t="shared" ref="Y953:Z953" si="4150">SUM(Y950:Y952)</f>
        <v>33387</v>
      </c>
      <c r="Z953" s="838">
        <f t="shared" si="4150"/>
        <v>32714</v>
      </c>
      <c r="AA953" s="838">
        <f t="shared" ref="AA953:AB953" si="4151">SUM(AA950:AA952)</f>
        <v>44141</v>
      </c>
      <c r="AB953" s="838">
        <f t="shared" si="4151"/>
        <v>41015</v>
      </c>
      <c r="AC953" s="838">
        <f t="shared" ref="AC953:AD953" si="4152">SUM(AC950:AC952)</f>
        <v>36769</v>
      </c>
      <c r="AD953" s="838">
        <f t="shared" si="4152"/>
        <v>36796</v>
      </c>
      <c r="AE953" s="838">
        <f t="shared" ref="AE953:AF953" si="4153">SUM(AE950:AE952)</f>
        <v>48408</v>
      </c>
      <c r="AF953" s="838">
        <f t="shared" si="4153"/>
        <v>43889</v>
      </c>
      <c r="AG953" s="838">
        <f t="shared" ref="AG953:AH953" si="4154">SUM(AG950:AG952)</f>
        <v>39626</v>
      </c>
      <c r="AH953" s="838">
        <f t="shared" si="4154"/>
        <v>39601</v>
      </c>
      <c r="AI953" s="838">
        <f t="shared" ref="AI953:AJ953" si="4155">SUM(AI950:AI952)</f>
        <v>53813</v>
      </c>
      <c r="AJ953" s="838">
        <f t="shared" si="4155"/>
        <v>49188</v>
      </c>
      <c r="AK953" s="838">
        <f t="shared" ref="AK953:AL953" si="4156">SUM(AK950:AK952)</f>
        <v>46034</v>
      </c>
      <c r="AL953" s="838">
        <f t="shared" si="4156"/>
        <v>44833</v>
      </c>
      <c r="AM953" s="838">
        <f t="shared" ref="AM953" si="4157">SUM(AM950:AM952)</f>
        <v>60184</v>
      </c>
      <c r="AN953" s="838"/>
      <c r="AO953" s="838"/>
      <c r="AP953" s="838"/>
      <c r="AQ953" s="838"/>
      <c r="AS953" s="838"/>
      <c r="AT953" s="838"/>
      <c r="AU953" s="838"/>
      <c r="AV953" s="838"/>
      <c r="AW953" s="838"/>
      <c r="AX953" s="838"/>
      <c r="AY953" s="838"/>
      <c r="AZ953" s="838"/>
      <c r="BA953" s="838"/>
      <c r="BB953" s="838"/>
      <c r="BC953" s="838"/>
      <c r="BD953" s="838"/>
      <c r="BE953" s="838"/>
      <c r="BG953" s="838">
        <f>+SUM(D953:G953)</f>
        <v>74848</v>
      </c>
      <c r="BH953" s="838">
        <f>+SUM(H953:K953)</f>
        <v>86921</v>
      </c>
      <c r="BI953" s="838">
        <f>+SUM(L953:O953)</f>
        <v>105388</v>
      </c>
      <c r="BJ953" s="838">
        <f>SUM(BJ950:BJ952)</f>
        <v>123667</v>
      </c>
      <c r="BK953" s="838">
        <f>SUM(BK950:BK952)</f>
        <v>134824</v>
      </c>
      <c r="BL953" s="838">
        <f t="shared" ref="BL953" si="4158">SUM(BL950:BL952)</f>
        <v>146547</v>
      </c>
      <c r="BM953" s="838">
        <f t="shared" si="4144"/>
        <v>162988</v>
      </c>
      <c r="BN953" s="838">
        <f t="shared" si="4145"/>
        <v>176929</v>
      </c>
      <c r="BO953" s="838">
        <f t="shared" si="4146"/>
        <v>200239</v>
      </c>
      <c r="BP953" s="838"/>
    </row>
    <row r="954" spans="2:72">
      <c r="V954" s="29"/>
      <c r="W954" s="29"/>
      <c r="X954" s="29"/>
      <c r="Y954" s="29"/>
      <c r="Z954" s="29"/>
      <c r="AA954" s="29"/>
      <c r="AB954" s="29"/>
      <c r="AC954" s="29"/>
      <c r="AD954" s="29"/>
      <c r="AE954" s="29"/>
      <c r="AF954" s="29"/>
      <c r="AG954" s="29"/>
      <c r="AH954" s="29"/>
      <c r="AI954" s="29"/>
      <c r="AJ954" s="29"/>
      <c r="AK954" s="29"/>
      <c r="AL954" s="29"/>
      <c r="AM954" s="29"/>
    </row>
    <row r="955" spans="2:72" s="3" customFormat="1">
      <c r="B955" s="24" t="s">
        <v>113</v>
      </c>
    </row>
    <row r="956" spans="2:72" s="3" customFormat="1">
      <c r="B956" s="13" t="str">
        <f>+B950</f>
        <v>Productivity and Business Processes</v>
      </c>
      <c r="D956" s="228"/>
      <c r="E956" s="228"/>
      <c r="F956" s="228"/>
      <c r="G956" s="228"/>
      <c r="H956" s="228">
        <f>+IFERROR(H950/D950-1,"n/a ")</f>
        <v>0.10759348474420749</v>
      </c>
      <c r="I956" s="228">
        <f t="shared" ref="I956:O959" si="4159">+IFERROR(I950/E950-1,"n/a ")</f>
        <v>0.19159501029429582</v>
      </c>
      <c r="J956" s="228">
        <f t="shared" si="4159"/>
        <v>0.21121658755933059</v>
      </c>
      <c r="K956" s="228">
        <f t="shared" si="4159"/>
        <v>0.18916893094725018</v>
      </c>
      <c r="L956" s="228">
        <f t="shared" si="4159"/>
        <v>0.22286661143330577</v>
      </c>
      <c r="M956" s="228">
        <f t="shared" si="4159"/>
        <v>0.14747433682284794</v>
      </c>
      <c r="N956" s="228">
        <f t="shared" si="4159"/>
        <v>0.15344952047024862</v>
      </c>
      <c r="O956" s="228">
        <f t="shared" si="4159"/>
        <v>0.1711314213677908</v>
      </c>
      <c r="P956" s="228">
        <f t="shared" ref="P956:P959" si="4160">+IFERROR(P950/L950-1,"n/a ")</f>
        <v>0.1647188346883468</v>
      </c>
      <c r="Q956" s="228">
        <f t="shared" ref="Q956:Q959" si="4161">+IFERROR(Q950/M950-1,"n/a ")</f>
        <v>0.11913197519929142</v>
      </c>
      <c r="R956" s="228">
        <f t="shared" ref="R956:R959" si="4162">+IFERROR(R950/N950-1,"n/a ")</f>
        <v>0.13357174787662052</v>
      </c>
      <c r="S956" s="228">
        <f t="shared" ref="S956:S959" si="4163">+IFERROR(S950/O950-1,"n/a ")</f>
        <v>0.13233315392895584</v>
      </c>
      <c r="T956" s="228">
        <f t="shared" ref="T956:T959" si="4164">+IFERROR(T950/P950-1,"n/a ")</f>
        <v>0.13138951501490581</v>
      </c>
      <c r="U956" s="228">
        <f t="shared" ref="U956:U959" si="4165">+IFERROR(U950/Q950-1,"n/a ")</f>
        <v>0.12908587257617721</v>
      </c>
      <c r="V956" s="228">
        <f t="shared" ref="V956:V959" si="4166">+IFERROR(V950/R950-1,"n/a ")</f>
        <v>0.11026106159791782</v>
      </c>
      <c r="W956" s="228">
        <f t="shared" ref="W956:W959" si="4167">+IFERROR(W950/S950-1,"n/a ")</f>
        <v>0.10765848731507344</v>
      </c>
      <c r="X956" s="228">
        <f t="shared" ref="X956:X959" si="4168">+IFERROR(X950/T950-1,"n/a ")</f>
        <v>0.13592544987146526</v>
      </c>
      <c r="Y956" s="228">
        <f t="shared" ref="Y956:Y959" si="4169">+IFERROR(Y950/U950-1,"n/a ")</f>
        <v>0.13731950091125755</v>
      </c>
      <c r="Z956" s="228">
        <f t="shared" ref="Z956:Z959" si="4170">+IFERROR(Z950/V950-1,"n/a ")</f>
        <v>0.14861120977481002</v>
      </c>
      <c r="AA956" s="228">
        <f t="shared" ref="AA956:AA959" si="4171">+IFERROR(AA950/W950-1,"n/a ")</f>
        <v>0.1865043179745749</v>
      </c>
      <c r="AB956" s="228">
        <f t="shared" ref="AB956:AB959" si="4172">+IFERROR(AB950/X950-1,"n/a ")</f>
        <v>0.16350777934936356</v>
      </c>
      <c r="AC956" s="228">
        <f t="shared" ref="AC956:AC959" si="4173">+IFERROR(AC950/Y950-1,"n/a ")</f>
        <v>0.13984591679506941</v>
      </c>
      <c r="AD956" s="228">
        <f t="shared" ref="AD956:AD959" si="4174">+IFERROR(AD950/Z950-1,"n/a ")</f>
        <v>0.14898880573937778</v>
      </c>
      <c r="AE956" s="228">
        <f t="shared" ref="AE956:AE959" si="4175">+IFERROR(AE950/AA950-1,"n/a ")</f>
        <v>0.11021699819168163</v>
      </c>
      <c r="AF956" s="228">
        <f t="shared" ref="AF956:AF959" si="4176">+IFERROR(AF950/AB950-1,"n/a ")</f>
        <v>8.9472404570872799E-2</v>
      </c>
      <c r="AG956" s="228">
        <f t="shared" ref="AG956:AG959" si="4177">+IFERROR(AG950/AC950-1,"n/a ")</f>
        <v>8.7920406618362756E-2</v>
      </c>
      <c r="AH956" s="228">
        <f t="shared" ref="AH956:AH959" si="4178">+IFERROR(AH950/AD950-1,"n/a ")</f>
        <v>0.10367100871999146</v>
      </c>
      <c r="AI956" s="228">
        <f t="shared" ref="AI956:AI959" si="4179">+IFERROR(AI950/AE950-1,"n/a ")</f>
        <v>0.12272986399543928</v>
      </c>
      <c r="AJ956" s="228">
        <f t="shared" ref="AJ956:AJ959" si="4180">+IFERROR(AJ950/AF950-1,"n/a ")</f>
        <v>0.12992635572416877</v>
      </c>
      <c r="AK956" s="228">
        <f t="shared" ref="AK956:AK959" si="4181">+IFERROR(AK950/AG950-1,"n/a ")</f>
        <v>0.12281312127236577</v>
      </c>
      <c r="AL956" s="228">
        <f t="shared" ref="AL956:AL959" si="4182">+IFERROR(AL950/AH950-1,"n/a ")</f>
        <v>0.11826960593055014</v>
      </c>
      <c r="AM956" s="228">
        <f t="shared" ref="AM956:AM959" si="4183">+IFERROR(AM950/AI950-1,"n/a ")</f>
        <v>0.1199405193674743</v>
      </c>
      <c r="AN956" s="228"/>
      <c r="AO956" s="228"/>
      <c r="AP956" s="228"/>
      <c r="AQ956" s="228"/>
      <c r="AR956" s="228"/>
      <c r="AS956" s="228"/>
      <c r="AT956" s="228"/>
      <c r="AU956" s="228"/>
      <c r="AV956" s="228"/>
      <c r="AW956" s="228"/>
      <c r="AX956" s="228"/>
      <c r="AY956" s="228"/>
      <c r="AZ956" s="228"/>
      <c r="BA956" s="228"/>
      <c r="BB956" s="228"/>
      <c r="BC956" s="228"/>
      <c r="BD956" s="228"/>
      <c r="BE956" s="228"/>
      <c r="BF956" s="228"/>
      <c r="BG956" s="228"/>
      <c r="BH956" s="228">
        <f>+IFERROR(BH950/BG950-1,"n/a ")</f>
        <v>0.17473495259998884</v>
      </c>
      <c r="BI956" s="228">
        <f>+IFERROR(BI950/BH950-1,"n/a ")</f>
        <v>0.17340750644637581</v>
      </c>
      <c r="BJ956" s="228">
        <f t="shared" ref="BJ956:BJ959" si="4184">+IFERROR(BJ950/BI950-1,"n/a ")</f>
        <v>0.13736341994424883</v>
      </c>
      <c r="BK956" s="228">
        <f t="shared" ref="BK956:BK959" si="4185">+IFERROR(BK950/BJ950-1,"n/a ")</f>
        <v>0.11893090987155186</v>
      </c>
      <c r="BL956" s="228">
        <f t="shared" ref="BL956:BL959" si="4186">+IFERROR(BL950/BK950-1,"n/a ")</f>
        <v>0.15417452754772487</v>
      </c>
      <c r="BM956" s="228">
        <f t="shared" ref="BM956:BM959" si="4187">+IFERROR(BM950/BL950-1,"n/a ")</f>
        <v>0.13860837523722447</v>
      </c>
      <c r="BN956" s="228">
        <f t="shared" ref="BN956:BN959" si="4188">+IFERROR(BN950/BM950-1,"n/a ")</f>
        <v>0.10226899446438353</v>
      </c>
      <c r="BO956" s="228">
        <f t="shared" ref="BO956:BO959" si="4189">+IFERROR(BO950/BN950-1,"n/a ")</f>
        <v>0.12266972770719975</v>
      </c>
      <c r="BP956" s="228"/>
      <c r="BQ956" s="228"/>
      <c r="BR956" s="228"/>
      <c r="BS956" s="228"/>
      <c r="BT956" s="228"/>
    </row>
    <row r="957" spans="2:72" s="3" customFormat="1">
      <c r="B957" s="13" t="str">
        <f t="shared" ref="B957:B959" si="4190">+B951</f>
        <v>Intelligent Cloud</v>
      </c>
      <c r="D957" s="228"/>
      <c r="E957" s="228"/>
      <c r="F957" s="228"/>
      <c r="G957" s="228"/>
      <c r="H957" s="228">
        <f t="shared" ref="H957:H959" si="4191">+IFERROR(H951/D951-1,"n/a ")</f>
        <v>0.13367102856338819</v>
      </c>
      <c r="I957" s="228">
        <f t="shared" si="4159"/>
        <v>0.14532975231274237</v>
      </c>
      <c r="J957" s="228">
        <f t="shared" si="4159"/>
        <v>0.15810750112292249</v>
      </c>
      <c r="K957" s="228">
        <f t="shared" si="4159"/>
        <v>0.25120610344440708</v>
      </c>
      <c r="L957" s="228">
        <f t="shared" si="4159"/>
        <v>0.2605188035248851</v>
      </c>
      <c r="M957" s="228">
        <f t="shared" si="4159"/>
        <v>0.27136529442417934</v>
      </c>
      <c r="N957" s="228">
        <f t="shared" si="4159"/>
        <v>0.29114414996767946</v>
      </c>
      <c r="O957" s="228">
        <f t="shared" si="4159"/>
        <v>0.31868723098995688</v>
      </c>
      <c r="P957" s="228">
        <f t="shared" si="4160"/>
        <v>0.30937376920047255</v>
      </c>
      <c r="Q957" s="228">
        <f t="shared" si="4161"/>
        <v>0.28609488677118566</v>
      </c>
      <c r="R957" s="228">
        <f t="shared" si="4162"/>
        <v>0.25473115049564443</v>
      </c>
      <c r="S957" s="228">
        <f t="shared" si="4163"/>
        <v>0.1551747586019312</v>
      </c>
      <c r="T957" s="228">
        <f t="shared" si="4164"/>
        <v>0.1471649872161227</v>
      </c>
      <c r="U957" s="228">
        <f t="shared" si="4165"/>
        <v>9.6805035455342248E-2</v>
      </c>
      <c r="V957" s="228">
        <f t="shared" si="4166"/>
        <v>3.6150347139095151E-2</v>
      </c>
      <c r="W957" s="228">
        <f t="shared" si="4167"/>
        <v>-2.1662349894042809E-2</v>
      </c>
      <c r="X957" s="228">
        <f t="shared" si="4168"/>
        <v>-1.415929203539823E-2</v>
      </c>
      <c r="Y957" s="228">
        <f t="shared" si="4169"/>
        <v>1.4528548597994018E-3</v>
      </c>
      <c r="Z957" s="228">
        <f t="shared" si="4170"/>
        <v>8.7800369685766544E-3</v>
      </c>
      <c r="AA957" s="228">
        <f t="shared" si="4171"/>
        <v>6.5583634175691907E-2</v>
      </c>
      <c r="AB957" s="228">
        <f t="shared" si="4172"/>
        <v>7.1680297892147138E-2</v>
      </c>
      <c r="AC957" s="228">
        <f t="shared" si="4173"/>
        <v>5.5346003191643733E-2</v>
      </c>
      <c r="AD957" s="228">
        <f t="shared" si="4174"/>
        <v>0.10887158344785464</v>
      </c>
      <c r="AE957" s="228">
        <f t="shared" si="4175"/>
        <v>9.3788819875776364E-2</v>
      </c>
      <c r="AF957" s="228">
        <f t="shared" si="4176"/>
        <v>7.3028479245517142E-2</v>
      </c>
      <c r="AG957" s="228">
        <f t="shared" si="4177"/>
        <v>8.7497422503264755E-2</v>
      </c>
      <c r="AH957" s="228">
        <f t="shared" si="4178"/>
        <v>7.0779399614431249E-2</v>
      </c>
      <c r="AI957" s="228">
        <f t="shared" si="4179"/>
        <v>0.11315884569717616</v>
      </c>
      <c r="AJ957" s="228">
        <f t="shared" si="4180"/>
        <v>0.12588180871978727</v>
      </c>
      <c r="AK957" s="228">
        <f t="shared" si="4181"/>
        <v>0.11844267475666803</v>
      </c>
      <c r="AL957" s="228">
        <f t="shared" si="4182"/>
        <v>7.3559670781893072E-2</v>
      </c>
      <c r="AM957" s="228">
        <f t="shared" si="4183"/>
        <v>7.2067894077818551E-2</v>
      </c>
      <c r="AN957" s="228"/>
      <c r="AO957" s="228"/>
      <c r="AP957" s="228"/>
      <c r="AQ957" s="228"/>
      <c r="AR957" s="228"/>
      <c r="AS957" s="228"/>
      <c r="AT957" s="228"/>
      <c r="AU957" s="228"/>
      <c r="AV957" s="228"/>
      <c r="AW957" s="228"/>
      <c r="AX957" s="228"/>
      <c r="AY957" s="228"/>
      <c r="AZ957" s="228"/>
      <c r="BA957" s="228"/>
      <c r="BB957" s="228"/>
      <c r="BC957" s="228"/>
      <c r="BD957" s="228"/>
      <c r="BE957" s="228"/>
      <c r="BF957" s="228"/>
      <c r="BG957" s="228"/>
      <c r="BH957" s="228">
        <f t="shared" ref="BH957:BI959" si="4192">+IFERROR(BH951/BG951-1,"n/a ")</f>
        <v>0.17751096901465946</v>
      </c>
      <c r="BI957" s="228">
        <f t="shared" si="4192"/>
        <v>0.28850375505488146</v>
      </c>
      <c r="BJ957" s="228">
        <f t="shared" si="4184"/>
        <v>0.24121233859397417</v>
      </c>
      <c r="BK957" s="228">
        <f t="shared" si="4185"/>
        <v>5.8824591821990957E-2</v>
      </c>
      <c r="BL957" s="228">
        <f t="shared" si="4186"/>
        <v>1.7194029850746251E-2</v>
      </c>
      <c r="BM957" s="228">
        <f t="shared" si="4187"/>
        <v>8.2638807371757217E-2</v>
      </c>
      <c r="BN957" s="228">
        <f t="shared" si="4188"/>
        <v>8.7823918464707829E-2</v>
      </c>
      <c r="BO957" s="228">
        <f t="shared" si="4189"/>
        <v>9.6097165069556123E-2</v>
      </c>
      <c r="BP957" s="228"/>
      <c r="BQ957" s="228"/>
      <c r="BR957" s="228"/>
      <c r="BS957" s="228"/>
      <c r="BT957" s="228"/>
    </row>
    <row r="958" spans="2:72" s="839" customFormat="1" ht="11.45">
      <c r="B958" s="13" t="str">
        <f t="shared" si="4190"/>
        <v>More Personal Computing</v>
      </c>
      <c r="D958" s="840"/>
      <c r="E958" s="840"/>
      <c r="F958" s="840"/>
      <c r="G958" s="840"/>
      <c r="H958" s="840">
        <f t="shared" si="4191"/>
        <v>0.1229923922231615</v>
      </c>
      <c r="I958" s="840">
        <f t="shared" si="4159"/>
        <v>3.4684496447973334E-2</v>
      </c>
      <c r="J958" s="840">
        <f t="shared" si="4159"/>
        <v>1.8541409147095234E-2</v>
      </c>
      <c r="K958" s="840">
        <f t="shared" si="4159"/>
        <v>7.8634445723053226E-2</v>
      </c>
      <c r="L958" s="840">
        <f t="shared" si="4159"/>
        <v>0.10651110274745945</v>
      </c>
      <c r="M958" s="840">
        <f t="shared" si="4159"/>
        <v>0.1147011308562198</v>
      </c>
      <c r="N958" s="840">
        <f t="shared" si="4159"/>
        <v>0.1258090614886731</v>
      </c>
      <c r="O958" s="840">
        <f t="shared" si="4159"/>
        <v>0.12019914651493591</v>
      </c>
      <c r="P958" s="840">
        <f t="shared" si="4160"/>
        <v>8.5374149659863896E-2</v>
      </c>
      <c r="Q958" s="840">
        <f t="shared" si="4161"/>
        <v>5.0000000000000044E-2</v>
      </c>
      <c r="R958" s="840">
        <f t="shared" si="4162"/>
        <v>5.1024074739489667E-2</v>
      </c>
      <c r="S958" s="840">
        <f t="shared" si="4163"/>
        <v>7.5238095238095326E-2</v>
      </c>
      <c r="T958" s="840">
        <f t="shared" si="4164"/>
        <v>6.2676277029145577E-3</v>
      </c>
      <c r="U958" s="840">
        <f t="shared" si="4165"/>
        <v>0.10041407867494834</v>
      </c>
      <c r="V958" s="840">
        <f t="shared" si="4166"/>
        <v>0.14051282051282055</v>
      </c>
      <c r="W958" s="840">
        <f t="shared" si="4167"/>
        <v>0.15648066135222916</v>
      </c>
      <c r="X958" s="840">
        <f t="shared" si="4168"/>
        <v>0.11834319526627213</v>
      </c>
      <c r="Y958" s="840">
        <f t="shared" si="4169"/>
        <v>5.8639071809344578E-2</v>
      </c>
      <c r="Z958" s="840">
        <f t="shared" si="4170"/>
        <v>3.3273381294963933E-2</v>
      </c>
      <c r="AA958" s="840">
        <f t="shared" si="4171"/>
        <v>0.100587184069441</v>
      </c>
      <c r="AB958" s="840">
        <f t="shared" si="4172"/>
        <v>0.20662768031189094</v>
      </c>
      <c r="AC958" s="840">
        <f t="shared" si="4173"/>
        <v>0.10367298578199047</v>
      </c>
      <c r="AD958" s="840">
        <f t="shared" si="4174"/>
        <v>7.1656512909776593E-2</v>
      </c>
      <c r="AE958" s="840">
        <f t="shared" si="4175"/>
        <v>3.8970076548364707E-2</v>
      </c>
      <c r="AF958" s="840">
        <f t="shared" si="4176"/>
        <v>-3.3002538656819791E-2</v>
      </c>
      <c r="AG958" s="840">
        <f t="shared" si="4177"/>
        <v>-1.1272141706924366E-2</v>
      </c>
      <c r="AH958" s="840">
        <f t="shared" si="4178"/>
        <v>-4.0335679480238196E-2</v>
      </c>
      <c r="AI958" s="840">
        <f t="shared" si="4179"/>
        <v>4.4429560169680693E-2</v>
      </c>
      <c r="AJ958" s="840">
        <f t="shared" si="4180"/>
        <v>5.0357995226730345E-2</v>
      </c>
      <c r="AK958" s="840">
        <f t="shared" si="4181"/>
        <v>0.55998914223669916</v>
      </c>
      <c r="AL958" s="840">
        <f t="shared" si="4182"/>
        <v>0.46911142454160792</v>
      </c>
      <c r="AM958" s="840">
        <f t="shared" si="4183"/>
        <v>0.32278751603249245</v>
      </c>
      <c r="AN958" s="840"/>
      <c r="AO958" s="840"/>
      <c r="AP958" s="840"/>
      <c r="AQ958" s="840"/>
      <c r="AR958" s="840"/>
      <c r="AS958" s="840"/>
      <c r="AT958" s="840"/>
      <c r="AU958" s="840"/>
      <c r="AV958" s="840"/>
      <c r="AW958" s="840"/>
      <c r="AX958" s="840"/>
      <c r="AY958" s="840"/>
      <c r="AZ958" s="840"/>
      <c r="BA958" s="840"/>
      <c r="BB958" s="840"/>
      <c r="BC958" s="840"/>
      <c r="BD958" s="840"/>
      <c r="BE958" s="840"/>
      <c r="BF958" s="840"/>
      <c r="BG958" s="840"/>
      <c r="BH958" s="840">
        <f t="shared" si="4192"/>
        <v>6.3718982947003067E-2</v>
      </c>
      <c r="BI958" s="840">
        <f t="shared" si="4192"/>
        <v>0.11673226456753394</v>
      </c>
      <c r="BJ958" s="840">
        <f t="shared" si="4184"/>
        <v>6.6019083641364995E-2</v>
      </c>
      <c r="BK958" s="840">
        <f t="shared" si="4185"/>
        <v>0.10095960003225546</v>
      </c>
      <c r="BL958" s="840">
        <f t="shared" si="4186"/>
        <v>7.8517541932175972E-2</v>
      </c>
      <c r="BM958" s="840">
        <f t="shared" si="4187"/>
        <v>0.1023429541595926</v>
      </c>
      <c r="BN958" s="840">
        <f t="shared" si="4188"/>
        <v>-8.3169048792508526E-3</v>
      </c>
      <c r="BO958" s="840">
        <f t="shared" si="4189"/>
        <v>0.3383860346648444</v>
      </c>
      <c r="BP958" s="840"/>
      <c r="BQ958" s="840"/>
      <c r="BR958" s="840"/>
      <c r="BS958" s="840"/>
      <c r="BT958" s="840"/>
    </row>
    <row r="959" spans="2:72" s="7" customFormat="1">
      <c r="B959" s="841" t="str">
        <f t="shared" si="4190"/>
        <v>Total uneaerned revenue</v>
      </c>
      <c r="D959" s="842"/>
      <c r="E959" s="842"/>
      <c r="F959" s="842"/>
      <c r="G959" s="842"/>
      <c r="H959" s="842">
        <f t="shared" si="4191"/>
        <v>0.11978450882304426</v>
      </c>
      <c r="I959" s="842">
        <f t="shared" si="4159"/>
        <v>0.15208621484555085</v>
      </c>
      <c r="J959" s="842">
        <f t="shared" si="4159"/>
        <v>0.16316035530621775</v>
      </c>
      <c r="K959" s="842">
        <f t="shared" si="4159"/>
        <v>0.20109944577118921</v>
      </c>
      <c r="L959" s="842">
        <f t="shared" si="4159"/>
        <v>0.22258222876779588</v>
      </c>
      <c r="M959" s="842">
        <f t="shared" si="4159"/>
        <v>0.19098594367465349</v>
      </c>
      <c r="N959" s="842">
        <f t="shared" si="4159"/>
        <v>0.20352692926045024</v>
      </c>
      <c r="O959" s="842">
        <f t="shared" si="4159"/>
        <v>0.22749099639855941</v>
      </c>
      <c r="P959" s="842">
        <f t="shared" si="4160"/>
        <v>0.21434307741728231</v>
      </c>
      <c r="Q959" s="842">
        <f t="shared" si="4161"/>
        <v>0.17955395018690412</v>
      </c>
      <c r="R959" s="842">
        <f t="shared" si="4162"/>
        <v>0.17449384262158207</v>
      </c>
      <c r="S959" s="842">
        <f t="shared" si="4163"/>
        <v>0.13710268948655258</v>
      </c>
      <c r="T959" s="842">
        <f t="shared" si="4164"/>
        <v>0.12512399973546717</v>
      </c>
      <c r="U959" s="842">
        <f t="shared" si="4165"/>
        <v>0.11170061244836926</v>
      </c>
      <c r="V959" s="842">
        <f t="shared" si="4166"/>
        <v>8.0398080682424045E-2</v>
      </c>
      <c r="W959" s="842">
        <f t="shared" si="4167"/>
        <v>5.3055958716336171E-2</v>
      </c>
      <c r="X959" s="842">
        <f t="shared" si="4168"/>
        <v>6.6978193146417508E-2</v>
      </c>
      <c r="Y959" s="842">
        <f t="shared" si="4169"/>
        <v>6.9376381281829547E-2</v>
      </c>
      <c r="Z959" s="842">
        <f t="shared" si="4170"/>
        <v>7.6224627430338421E-2</v>
      </c>
      <c r="AA959" s="842">
        <f t="shared" si="4171"/>
        <v>0.12662072485962228</v>
      </c>
      <c r="AB959" s="842">
        <f t="shared" si="4172"/>
        <v>0.1297341963916816</v>
      </c>
      <c r="AC959" s="842">
        <f t="shared" si="4173"/>
        <v>0.10129691197172552</v>
      </c>
      <c r="AD959" s="842">
        <f t="shared" si="4174"/>
        <v>0.12477838234395056</v>
      </c>
      <c r="AE959" s="842">
        <f t="shared" si="4175"/>
        <v>9.666749733807567E-2</v>
      </c>
      <c r="AF959" s="842">
        <f t="shared" si="4176"/>
        <v>7.0071924905522387E-2</v>
      </c>
      <c r="AG959" s="842">
        <f t="shared" si="4177"/>
        <v>7.7701324485300205E-2</v>
      </c>
      <c r="AH959" s="842">
        <f t="shared" si="4178"/>
        <v>7.6231112077399743E-2</v>
      </c>
      <c r="AI959" s="842">
        <f t="shared" si="4179"/>
        <v>0.11165509833085441</v>
      </c>
      <c r="AJ959" s="842">
        <f t="shared" si="4180"/>
        <v>0.12073640319897927</v>
      </c>
      <c r="AK959" s="842">
        <f t="shared" si="4181"/>
        <v>0.16171200726795543</v>
      </c>
      <c r="AL959" s="842">
        <f t="shared" si="4182"/>
        <v>0.13211787581121692</v>
      </c>
      <c r="AM959" s="842">
        <f t="shared" si="4183"/>
        <v>0.11839146674595358</v>
      </c>
      <c r="AN959" s="842"/>
      <c r="AO959" s="842"/>
      <c r="AP959" s="842"/>
      <c r="AQ959" s="842"/>
      <c r="AR959" s="842"/>
      <c r="AS959" s="842"/>
      <c r="AT959" s="842"/>
      <c r="AU959" s="842"/>
      <c r="AV959" s="842"/>
      <c r="AW959" s="842"/>
      <c r="AX959" s="842"/>
      <c r="AY959" s="842"/>
      <c r="AZ959" s="842"/>
      <c r="BA959" s="842"/>
      <c r="BB959" s="842"/>
      <c r="BC959" s="842"/>
      <c r="BD959" s="842"/>
      <c r="BE959" s="842"/>
      <c r="BF959" s="842"/>
      <c r="BG959" s="842"/>
      <c r="BH959" s="842">
        <f t="shared" si="4192"/>
        <v>0.16130023514322356</v>
      </c>
      <c r="BI959" s="842">
        <f t="shared" si="4192"/>
        <v>0.21245728880247583</v>
      </c>
      <c r="BJ959" s="842">
        <f t="shared" si="4184"/>
        <v>0.17344479447375405</v>
      </c>
      <c r="BK959" s="842">
        <f t="shared" si="4185"/>
        <v>9.021808566553724E-2</v>
      </c>
      <c r="BL959" s="842">
        <f t="shared" si="4186"/>
        <v>8.6950394588500624E-2</v>
      </c>
      <c r="BM959" s="842">
        <f t="shared" si="4187"/>
        <v>0.11218926351272973</v>
      </c>
      <c r="BN959" s="842">
        <f t="shared" si="4188"/>
        <v>8.5533904336515532E-2</v>
      </c>
      <c r="BO959" s="842">
        <f t="shared" si="4189"/>
        <v>0.13174776322705717</v>
      </c>
      <c r="BP959" s="842"/>
      <c r="BQ959" s="842"/>
      <c r="BR959" s="842"/>
      <c r="BS959" s="842"/>
      <c r="BT959" s="842"/>
    </row>
    <row r="961" spans="2:68" s="100" customFormat="1" ht="10.5">
      <c r="B961" s="958" t="s">
        <v>617</v>
      </c>
    </row>
    <row r="962" spans="2:68" s="100" customFormat="1">
      <c r="B962" s="100" t="s">
        <v>335</v>
      </c>
      <c r="D962" s="11"/>
      <c r="E962" s="11"/>
      <c r="F962" s="11"/>
      <c r="G962" s="11"/>
      <c r="H962" s="11">
        <f t="shared" ref="H962:AE962" si="4193">+H950-G950</f>
        <v>-1017</v>
      </c>
      <c r="I962" s="11">
        <f t="shared" si="4193"/>
        <v>183</v>
      </c>
      <c r="J962" s="11">
        <f t="shared" si="4193"/>
        <v>-142</v>
      </c>
      <c r="K962" s="11">
        <f t="shared" si="4193"/>
        <v>2995</v>
      </c>
      <c r="L962" s="11">
        <f t="shared" si="4193"/>
        <v>-884</v>
      </c>
      <c r="M962" s="11">
        <f t="shared" si="4193"/>
        <v>-518</v>
      </c>
      <c r="N962" s="11">
        <f t="shared" si="4193"/>
        <v>-105</v>
      </c>
      <c r="O962" s="11">
        <f t="shared" si="4193"/>
        <v>3679</v>
      </c>
      <c r="P962" s="11">
        <f t="shared" si="4193"/>
        <v>-1111</v>
      </c>
      <c r="Q962" s="11">
        <f t="shared" si="4193"/>
        <v>-1118</v>
      </c>
      <c r="R962" s="11">
        <f t="shared" si="4193"/>
        <v>44</v>
      </c>
      <c r="S962" s="11">
        <f t="shared" si="4193"/>
        <v>4152</v>
      </c>
      <c r="T962" s="11">
        <f t="shared" si="4193"/>
        <v>-1271</v>
      </c>
      <c r="U962" s="11">
        <f t="shared" si="4193"/>
        <v>-1294</v>
      </c>
      <c r="V962" s="11">
        <f t="shared" si="4193"/>
        <v>-189</v>
      </c>
      <c r="W962" s="11">
        <f t="shared" si="4193"/>
        <v>4566</v>
      </c>
      <c r="X962" s="11">
        <f t="shared" si="4193"/>
        <v>-968</v>
      </c>
      <c r="Y962" s="11">
        <f t="shared" si="4193"/>
        <v>-1450</v>
      </c>
      <c r="Z962" s="11">
        <f t="shared" si="4193"/>
        <v>-56</v>
      </c>
      <c r="AA962" s="11">
        <f t="shared" si="4193"/>
        <v>5951</v>
      </c>
      <c r="AB962" s="11">
        <f t="shared" si="4193"/>
        <v>-1555</v>
      </c>
      <c r="AC962" s="11">
        <f t="shared" si="4193"/>
        <v>-2071</v>
      </c>
      <c r="AD962" s="11">
        <f t="shared" si="4193"/>
        <v>84</v>
      </c>
      <c r="AE962" s="11">
        <f t="shared" si="4193"/>
        <v>5980</v>
      </c>
      <c r="AF962" s="11">
        <f>+AF950-AE950</f>
        <v>-2153</v>
      </c>
      <c r="AG962" s="11">
        <f t="shared" ref="AG962:AG965" si="4194">+AG950-AF950</f>
        <v>-2285</v>
      </c>
      <c r="AH962" s="11">
        <f t="shared" ref="AH962:AH965" si="4195">+AH950-AG950</f>
        <v>384</v>
      </c>
      <c r="AI962" s="11">
        <f t="shared" ref="AI962:AI965" si="4196">+AI950-AH950</f>
        <v>7068</v>
      </c>
      <c r="AJ962" s="11">
        <f t="shared" ref="AJ962:AJ965" si="4197">+AJ950-AI950</f>
        <v>-2256</v>
      </c>
      <c r="AK962" s="11">
        <f t="shared" ref="AK962:AK965" si="4198">+AK950-AJ950</f>
        <v>-2725</v>
      </c>
      <c r="AL962" s="11">
        <f t="shared" ref="AL962:AL965" si="4199">+AL950-AK950</f>
        <v>338</v>
      </c>
      <c r="AM962" s="11">
        <f t="shared" ref="AM962:AM965" si="4200">+AM950-AL950</f>
        <v>7950</v>
      </c>
      <c r="AN962" s="11"/>
      <c r="AO962" s="11"/>
      <c r="AP962" s="11"/>
      <c r="AQ962" s="11"/>
      <c r="BG962" s="11"/>
      <c r="BH962" s="11">
        <f t="shared" ref="BH962:BM962" si="4201">+BH950-BG950</f>
        <v>6230</v>
      </c>
      <c r="BI962" s="11">
        <f t="shared" si="4201"/>
        <v>7263</v>
      </c>
      <c r="BJ962" s="11">
        <f t="shared" si="4201"/>
        <v>6751</v>
      </c>
      <c r="BK962" s="11">
        <f t="shared" si="4201"/>
        <v>6648</v>
      </c>
      <c r="BL962" s="11">
        <f t="shared" si="4201"/>
        <v>9643</v>
      </c>
      <c r="BM962" s="11">
        <f t="shared" si="4201"/>
        <v>10006</v>
      </c>
      <c r="BN962" s="11">
        <f t="shared" ref="BN962:BN965" si="4202">+BN950-BM950</f>
        <v>8406</v>
      </c>
      <c r="BO962" s="11">
        <f t="shared" ref="BO962:BO965" si="4203">+BO950-BN950</f>
        <v>11114</v>
      </c>
      <c r="BP962" s="11"/>
    </row>
    <row r="963" spans="2:68" s="100" customFormat="1">
      <c r="B963" s="100" t="s">
        <v>337</v>
      </c>
      <c r="D963" s="11"/>
      <c r="E963" s="11"/>
      <c r="F963" s="11"/>
      <c r="G963" s="11"/>
      <c r="H963" s="11">
        <f t="shared" ref="H963:AF963" si="4204">+H951-G951</f>
        <v>-856</v>
      </c>
      <c r="I963" s="11">
        <f t="shared" si="4204"/>
        <v>-381</v>
      </c>
      <c r="J963" s="11">
        <f t="shared" si="4204"/>
        <v>59</v>
      </c>
      <c r="K963" s="11">
        <f t="shared" si="4204"/>
        <v>3417</v>
      </c>
      <c r="L963" s="11">
        <f t="shared" si="4204"/>
        <v>-996</v>
      </c>
      <c r="M963" s="11">
        <f t="shared" si="4204"/>
        <v>-397</v>
      </c>
      <c r="N963" s="11">
        <f t="shared" si="4204"/>
        <v>228</v>
      </c>
      <c r="O963" s="11">
        <f t="shared" si="4204"/>
        <v>4719</v>
      </c>
      <c r="P963" s="11">
        <f t="shared" si="4204"/>
        <v>-1408</v>
      </c>
      <c r="Q963" s="11">
        <f t="shared" si="4204"/>
        <v>-747</v>
      </c>
      <c r="R963" s="11">
        <f t="shared" si="4204"/>
        <v>-20</v>
      </c>
      <c r="S963" s="11">
        <f t="shared" si="4204"/>
        <v>4457</v>
      </c>
      <c r="T963" s="11">
        <f t="shared" si="4204"/>
        <v>-1733</v>
      </c>
      <c r="U963" s="11">
        <f t="shared" si="4204"/>
        <v>-1489</v>
      </c>
      <c r="V963" s="11">
        <f t="shared" si="4204"/>
        <v>-782</v>
      </c>
      <c r="W963" s="11">
        <f t="shared" si="4204"/>
        <v>3636</v>
      </c>
      <c r="X963" s="11">
        <f t="shared" si="4204"/>
        <v>-1581</v>
      </c>
      <c r="Y963" s="11">
        <f t="shared" si="4204"/>
        <v>-1253</v>
      </c>
      <c r="Z963" s="11">
        <f t="shared" si="4204"/>
        <v>-688</v>
      </c>
      <c r="AA963" s="11">
        <f t="shared" si="4204"/>
        <v>4612</v>
      </c>
      <c r="AB963" s="11">
        <f t="shared" si="4204"/>
        <v>-1593</v>
      </c>
      <c r="AC963" s="11">
        <f t="shared" si="4204"/>
        <v>-1568</v>
      </c>
      <c r="AD963" s="11">
        <f t="shared" si="4204"/>
        <v>-25</v>
      </c>
      <c r="AE963" s="11">
        <f t="shared" si="4204"/>
        <v>4847</v>
      </c>
      <c r="AF963" s="11">
        <f t="shared" si="4204"/>
        <v>-2077</v>
      </c>
      <c r="AG963" s="11">
        <f t="shared" si="4194"/>
        <v>-1472</v>
      </c>
      <c r="AH963" s="11">
        <f t="shared" si="4195"/>
        <v>-270</v>
      </c>
      <c r="AI963" s="11">
        <f t="shared" si="4196"/>
        <v>6011</v>
      </c>
      <c r="AJ963" s="11">
        <f t="shared" si="4197"/>
        <v>-2092</v>
      </c>
      <c r="AK963" s="11">
        <f t="shared" si="4198"/>
        <v>-1775</v>
      </c>
      <c r="AL963" s="11">
        <f t="shared" si="4199"/>
        <v>-1000</v>
      </c>
      <c r="AM963" s="11">
        <f t="shared" si="4200"/>
        <v>6421</v>
      </c>
      <c r="AN963" s="11"/>
      <c r="AO963" s="11"/>
      <c r="AP963" s="11"/>
      <c r="AQ963" s="11"/>
      <c r="BG963" s="11"/>
      <c r="BH963" s="11">
        <f t="shared" ref="BH963:BM963" si="4205">+BH951-BG951</f>
        <v>5219</v>
      </c>
      <c r="BI963" s="11">
        <f t="shared" si="4205"/>
        <v>9988</v>
      </c>
      <c r="BJ963" s="11">
        <f t="shared" si="4205"/>
        <v>10760</v>
      </c>
      <c r="BK963" s="11">
        <f t="shared" si="4205"/>
        <v>3257</v>
      </c>
      <c r="BL963" s="11">
        <f t="shared" si="4205"/>
        <v>1008</v>
      </c>
      <c r="BM963" s="11">
        <f t="shared" si="4205"/>
        <v>4928</v>
      </c>
      <c r="BN963" s="11">
        <f t="shared" si="4202"/>
        <v>5670</v>
      </c>
      <c r="BO963" s="11">
        <f t="shared" si="4203"/>
        <v>6749</v>
      </c>
      <c r="BP963" s="11"/>
    </row>
    <row r="964" spans="2:68" s="1003" customFormat="1">
      <c r="B964" s="100" t="s">
        <v>339</v>
      </c>
      <c r="D964" s="940"/>
      <c r="E964" s="940"/>
      <c r="F964" s="940"/>
      <c r="G964" s="940"/>
      <c r="H964" s="940">
        <f t="shared" ref="H964:AF964" si="4206">+H952-G952</f>
        <v>50</v>
      </c>
      <c r="I964" s="940">
        <f t="shared" si="4206"/>
        <v>-181</v>
      </c>
      <c r="J964" s="940">
        <f t="shared" si="4206"/>
        <v>-4</v>
      </c>
      <c r="K964" s="940">
        <f t="shared" si="4206"/>
        <v>340</v>
      </c>
      <c r="L964" s="940">
        <f t="shared" si="4206"/>
        <v>128</v>
      </c>
      <c r="M964" s="940">
        <f t="shared" si="4206"/>
        <v>-180</v>
      </c>
      <c r="N964" s="940">
        <f t="shared" si="4206"/>
        <v>23</v>
      </c>
      <c r="O964" s="940">
        <f t="shared" si="4206"/>
        <v>367</v>
      </c>
      <c r="P964" s="940">
        <f t="shared" si="4206"/>
        <v>41</v>
      </c>
      <c r="Q964" s="940">
        <f t="shared" si="4206"/>
        <v>-293</v>
      </c>
      <c r="R964" s="940">
        <f t="shared" si="4206"/>
        <v>27</v>
      </c>
      <c r="S964" s="940">
        <f t="shared" si="4206"/>
        <v>462</v>
      </c>
      <c r="T964" s="940">
        <f t="shared" si="4206"/>
        <v>-176</v>
      </c>
      <c r="U964" s="940">
        <f t="shared" si="4206"/>
        <v>-22</v>
      </c>
      <c r="V964" s="940">
        <f t="shared" si="4206"/>
        <v>147</v>
      </c>
      <c r="W964" s="940">
        <f t="shared" si="4206"/>
        <v>581</v>
      </c>
      <c r="X964" s="940">
        <f t="shared" si="4206"/>
        <v>-326</v>
      </c>
      <c r="Y964" s="940">
        <f t="shared" si="4206"/>
        <v>-215</v>
      </c>
      <c r="Z964" s="940">
        <f t="shared" si="4206"/>
        <v>71</v>
      </c>
      <c r="AA964" s="940">
        <f t="shared" si="4206"/>
        <v>864</v>
      </c>
      <c r="AB964" s="940">
        <f t="shared" si="4206"/>
        <v>22</v>
      </c>
      <c r="AC964" s="940">
        <f t="shared" si="4206"/>
        <v>-607</v>
      </c>
      <c r="AD964" s="940">
        <f t="shared" si="4206"/>
        <v>-32</v>
      </c>
      <c r="AE964" s="940">
        <f t="shared" si="4206"/>
        <v>785</v>
      </c>
      <c r="AF964" s="940">
        <f t="shared" si="4206"/>
        <v>-289</v>
      </c>
      <c r="AG964" s="940">
        <f t="shared" si="4194"/>
        <v>-506</v>
      </c>
      <c r="AH964" s="940">
        <f t="shared" si="4195"/>
        <v>-139</v>
      </c>
      <c r="AI964" s="940">
        <f t="shared" si="4196"/>
        <v>1133</v>
      </c>
      <c r="AJ964" s="940">
        <f t="shared" si="4197"/>
        <v>-277</v>
      </c>
      <c r="AK964" s="940">
        <f t="shared" si="4198"/>
        <v>1346</v>
      </c>
      <c r="AL964" s="940">
        <f t="shared" si="4199"/>
        <v>-539</v>
      </c>
      <c r="AM964" s="940">
        <f t="shared" si="4200"/>
        <v>980</v>
      </c>
      <c r="AN964" s="940"/>
      <c r="AO964" s="940"/>
      <c r="AP964" s="940"/>
      <c r="AQ964" s="940"/>
      <c r="AS964" s="940"/>
      <c r="AT964" s="940"/>
      <c r="AU964" s="940"/>
      <c r="AV964" s="940"/>
      <c r="AW964" s="940"/>
      <c r="AX964" s="940"/>
      <c r="AY964" s="940"/>
      <c r="AZ964" s="940"/>
      <c r="BA964" s="940"/>
      <c r="BB964" s="940"/>
      <c r="BC964" s="940"/>
      <c r="BD964" s="940"/>
      <c r="BE964" s="940"/>
      <c r="BG964" s="940"/>
      <c r="BH964" s="940">
        <f t="shared" ref="BH964:BM964" si="4207">+BH952-BG952</f>
        <v>624</v>
      </c>
      <c r="BI964" s="940">
        <f t="shared" si="4207"/>
        <v>1216</v>
      </c>
      <c r="BJ964" s="940">
        <f t="shared" si="4207"/>
        <v>768</v>
      </c>
      <c r="BK964" s="940">
        <f t="shared" si="4207"/>
        <v>1252</v>
      </c>
      <c r="BL964" s="940">
        <f t="shared" si="4207"/>
        <v>1072</v>
      </c>
      <c r="BM964" s="940">
        <f t="shared" si="4207"/>
        <v>1507</v>
      </c>
      <c r="BN964" s="940">
        <f t="shared" si="4202"/>
        <v>-135</v>
      </c>
      <c r="BO964" s="940">
        <f t="shared" si="4203"/>
        <v>5447</v>
      </c>
      <c r="BP964" s="940"/>
    </row>
    <row r="965" spans="2:68" s="102" customFormat="1" ht="10.5">
      <c r="B965" s="873" t="s">
        <v>618</v>
      </c>
      <c r="D965" s="849"/>
      <c r="E965" s="849"/>
      <c r="F965" s="849"/>
      <c r="G965" s="849"/>
      <c r="H965" s="849">
        <f t="shared" ref="H965:AF965" si="4208">+H953-G953</f>
        <v>-1823</v>
      </c>
      <c r="I965" s="849">
        <f t="shared" si="4208"/>
        <v>-379</v>
      </c>
      <c r="J965" s="849">
        <f t="shared" si="4208"/>
        <v>-87</v>
      </c>
      <c r="K965" s="849">
        <f t="shared" si="4208"/>
        <v>6752</v>
      </c>
      <c r="L965" s="849">
        <f t="shared" si="4208"/>
        <v>-1752</v>
      </c>
      <c r="M965" s="849">
        <f t="shared" si="4208"/>
        <v>-1095</v>
      </c>
      <c r="N965" s="849">
        <f t="shared" si="4208"/>
        <v>146</v>
      </c>
      <c r="O965" s="849">
        <f t="shared" si="4208"/>
        <v>8765</v>
      </c>
      <c r="P965" s="849">
        <f t="shared" si="4208"/>
        <v>-2478</v>
      </c>
      <c r="Q965" s="849">
        <f t="shared" si="4208"/>
        <v>-2158</v>
      </c>
      <c r="R965" s="849">
        <f t="shared" si="4208"/>
        <v>51</v>
      </c>
      <c r="S965" s="849">
        <f t="shared" si="4208"/>
        <v>9071</v>
      </c>
      <c r="T965" s="849">
        <f t="shared" si="4208"/>
        <v>-3180</v>
      </c>
      <c r="U965" s="849">
        <f t="shared" si="4208"/>
        <v>-2805</v>
      </c>
      <c r="V965" s="849">
        <f t="shared" si="4208"/>
        <v>-824</v>
      </c>
      <c r="W965" s="849">
        <f t="shared" si="4208"/>
        <v>8783</v>
      </c>
      <c r="X965" s="849">
        <f t="shared" si="4208"/>
        <v>-2875</v>
      </c>
      <c r="Y965" s="849">
        <f t="shared" si="4208"/>
        <v>-2918</v>
      </c>
      <c r="Z965" s="849">
        <f t="shared" si="4208"/>
        <v>-673</v>
      </c>
      <c r="AA965" s="849">
        <f t="shared" si="4208"/>
        <v>11427</v>
      </c>
      <c r="AB965" s="849">
        <f t="shared" si="4208"/>
        <v>-3126</v>
      </c>
      <c r="AC965" s="849">
        <f t="shared" si="4208"/>
        <v>-4246</v>
      </c>
      <c r="AD965" s="849">
        <f t="shared" si="4208"/>
        <v>27</v>
      </c>
      <c r="AE965" s="849">
        <f t="shared" si="4208"/>
        <v>11612</v>
      </c>
      <c r="AF965" s="849">
        <f t="shared" si="4208"/>
        <v>-4519</v>
      </c>
      <c r="AG965" s="849">
        <f t="shared" si="4194"/>
        <v>-4263</v>
      </c>
      <c r="AH965" s="849">
        <f t="shared" si="4195"/>
        <v>-25</v>
      </c>
      <c r="AI965" s="849">
        <f t="shared" si="4196"/>
        <v>14212</v>
      </c>
      <c r="AJ965" s="849">
        <f t="shared" si="4197"/>
        <v>-4625</v>
      </c>
      <c r="AK965" s="849">
        <f t="shared" si="4198"/>
        <v>-3154</v>
      </c>
      <c r="AL965" s="849">
        <f t="shared" si="4199"/>
        <v>-1201</v>
      </c>
      <c r="AM965" s="849">
        <f t="shared" si="4200"/>
        <v>15351</v>
      </c>
      <c r="AN965" s="849"/>
      <c r="AO965" s="849"/>
      <c r="AP965" s="849"/>
      <c r="AQ965" s="849"/>
      <c r="AS965" s="849"/>
      <c r="AT965" s="849"/>
      <c r="AU965" s="849"/>
      <c r="AV965" s="849"/>
      <c r="AW965" s="849"/>
      <c r="AX965" s="849"/>
      <c r="AY965" s="849"/>
      <c r="AZ965" s="849"/>
      <c r="BA965" s="849"/>
      <c r="BB965" s="849"/>
      <c r="BC965" s="849"/>
      <c r="BD965" s="849"/>
      <c r="BE965" s="849"/>
      <c r="BG965" s="849"/>
      <c r="BH965" s="849">
        <f t="shared" ref="BH965:BM965" si="4209">+BH953-BG953</f>
        <v>12073</v>
      </c>
      <c r="BI965" s="849">
        <f t="shared" si="4209"/>
        <v>18467</v>
      </c>
      <c r="BJ965" s="849">
        <f t="shared" si="4209"/>
        <v>18279</v>
      </c>
      <c r="BK965" s="849">
        <f t="shared" si="4209"/>
        <v>11157</v>
      </c>
      <c r="BL965" s="849">
        <f t="shared" si="4209"/>
        <v>11723</v>
      </c>
      <c r="BM965" s="849">
        <f t="shared" si="4209"/>
        <v>16441</v>
      </c>
      <c r="BN965" s="849">
        <f t="shared" si="4202"/>
        <v>13941</v>
      </c>
      <c r="BO965" s="849">
        <f t="shared" si="4203"/>
        <v>23310</v>
      </c>
      <c r="BP965" s="849"/>
    </row>
    <row r="966" spans="2:68">
      <c r="AA966" s="8"/>
      <c r="AB966" s="8"/>
      <c r="AC966" s="8"/>
      <c r="AD966" s="8"/>
      <c r="AE966" s="8"/>
      <c r="AF966" s="8"/>
    </row>
    <row r="967" spans="2:68" s="100" customFormat="1" ht="10.5">
      <c r="B967" s="958" t="s">
        <v>86</v>
      </c>
    </row>
    <row r="968" spans="2:68" s="100" customFormat="1">
      <c r="B968" s="100" t="s">
        <v>335</v>
      </c>
      <c r="D968" s="11"/>
      <c r="E968" s="11"/>
      <c r="F968" s="11"/>
      <c r="G968" s="11"/>
      <c r="H968" s="11">
        <f t="shared" ref="H968:AM968" si="4210">+H148</f>
        <v>6436</v>
      </c>
      <c r="I968" s="11">
        <f t="shared" si="4210"/>
        <v>7179</v>
      </c>
      <c r="J968" s="11">
        <f t="shared" si="4210"/>
        <v>7707</v>
      </c>
      <c r="K968" s="11">
        <f t="shared" si="4210"/>
        <v>8548</v>
      </c>
      <c r="L968" s="11">
        <f t="shared" si="4210"/>
        <v>8238</v>
      </c>
      <c r="M968" s="11">
        <f t="shared" si="4210"/>
        <v>8953</v>
      </c>
      <c r="N968" s="11">
        <f t="shared" si="4210"/>
        <v>9006</v>
      </c>
      <c r="O968" s="11">
        <f t="shared" si="4210"/>
        <v>9668</v>
      </c>
      <c r="P968" s="11">
        <f t="shared" si="4210"/>
        <v>9771</v>
      </c>
      <c r="Q968" s="11">
        <f t="shared" si="4210"/>
        <v>10100</v>
      </c>
      <c r="R968" s="11">
        <f t="shared" si="4210"/>
        <v>10242</v>
      </c>
      <c r="S968" s="11">
        <f t="shared" si="4210"/>
        <v>11047</v>
      </c>
      <c r="T968" s="11">
        <f t="shared" si="4210"/>
        <v>11077</v>
      </c>
      <c r="U968" s="11">
        <f t="shared" si="4210"/>
        <v>11826</v>
      </c>
      <c r="V968" s="11">
        <f t="shared" si="4210"/>
        <v>11743</v>
      </c>
      <c r="W968" s="11">
        <f t="shared" si="4210"/>
        <v>11752</v>
      </c>
      <c r="X968" s="11">
        <f t="shared" si="4210"/>
        <v>12319</v>
      </c>
      <c r="Y968" s="11">
        <f t="shared" si="4210"/>
        <v>13353</v>
      </c>
      <c r="Z968" s="11">
        <f t="shared" si="4210"/>
        <v>13552</v>
      </c>
      <c r="AA968" s="11">
        <f t="shared" si="4210"/>
        <v>14691</v>
      </c>
      <c r="AB968" s="11">
        <f t="shared" si="4210"/>
        <v>15039</v>
      </c>
      <c r="AC968" s="11">
        <f t="shared" si="4210"/>
        <v>15936</v>
      </c>
      <c r="AD968" s="11">
        <f t="shared" si="4210"/>
        <v>15789</v>
      </c>
      <c r="AE968" s="11">
        <f t="shared" si="4210"/>
        <v>16600</v>
      </c>
      <c r="AF968" s="11">
        <f t="shared" si="4210"/>
        <v>16465</v>
      </c>
      <c r="AG968" s="11">
        <f t="shared" si="4210"/>
        <v>17002</v>
      </c>
      <c r="AH968" s="11">
        <f t="shared" si="4210"/>
        <v>17516</v>
      </c>
      <c r="AI968" s="11">
        <f t="shared" si="4210"/>
        <v>18291</v>
      </c>
      <c r="AJ968" s="11">
        <f t="shared" si="4210"/>
        <v>18592</v>
      </c>
      <c r="AK968" s="11">
        <f t="shared" si="4210"/>
        <v>19249</v>
      </c>
      <c r="AL968" s="11">
        <f t="shared" si="4210"/>
        <v>19570</v>
      </c>
      <c r="AM968" s="11">
        <f t="shared" si="4210"/>
        <v>20317</v>
      </c>
      <c r="AN968" s="11"/>
      <c r="AO968" s="11"/>
      <c r="AP968" s="11"/>
      <c r="AQ968" s="11"/>
      <c r="BG968" s="11"/>
      <c r="BH968" s="11">
        <f t="shared" ref="BH968:BO970" si="4211">+BH148</f>
        <v>29870</v>
      </c>
      <c r="BI968" s="11">
        <f t="shared" si="4211"/>
        <v>35865</v>
      </c>
      <c r="BJ968" s="11">
        <f t="shared" si="4211"/>
        <v>41160</v>
      </c>
      <c r="BK968" s="11">
        <f t="shared" si="4211"/>
        <v>46398</v>
      </c>
      <c r="BL968" s="11">
        <f t="shared" si="4211"/>
        <v>53915</v>
      </c>
      <c r="BM968" s="11">
        <f t="shared" si="4211"/>
        <v>63364</v>
      </c>
      <c r="BN968" s="11">
        <f t="shared" si="4211"/>
        <v>69274</v>
      </c>
      <c r="BO968" s="11">
        <f t="shared" si="4211"/>
        <v>77728</v>
      </c>
      <c r="BP968" s="11"/>
    </row>
    <row r="969" spans="2:68" s="100" customFormat="1">
      <c r="B969" s="100" t="s">
        <v>337</v>
      </c>
      <c r="D969" s="11"/>
      <c r="E969" s="11"/>
      <c r="F969" s="11"/>
      <c r="G969" s="11"/>
      <c r="H969" s="11">
        <f t="shared" ref="H969:AM969" si="4212">+H149</f>
        <v>6097</v>
      </c>
      <c r="I969" s="11">
        <f t="shared" si="4212"/>
        <v>6758</v>
      </c>
      <c r="J969" s="11">
        <f t="shared" si="4212"/>
        <v>6730</v>
      </c>
      <c r="K969" s="11">
        <f t="shared" si="4212"/>
        <v>7822</v>
      </c>
      <c r="L969" s="11">
        <f t="shared" si="4212"/>
        <v>6922</v>
      </c>
      <c r="M969" s="11">
        <f t="shared" si="4212"/>
        <v>7795</v>
      </c>
      <c r="N969" s="11">
        <f t="shared" si="4212"/>
        <v>7896</v>
      </c>
      <c r="O969" s="11">
        <f t="shared" si="4212"/>
        <v>9606</v>
      </c>
      <c r="P969" s="11">
        <f t="shared" si="4212"/>
        <v>8567</v>
      </c>
      <c r="Q969" s="11">
        <f t="shared" si="4212"/>
        <v>9378</v>
      </c>
      <c r="R969" s="11">
        <f t="shared" si="4212"/>
        <v>9649</v>
      </c>
      <c r="S969" s="11">
        <f t="shared" si="4212"/>
        <v>11391</v>
      </c>
      <c r="T969" s="11">
        <f t="shared" si="4212"/>
        <v>10845</v>
      </c>
      <c r="U969" s="11">
        <f t="shared" si="4212"/>
        <v>11869</v>
      </c>
      <c r="V969" s="11">
        <f t="shared" si="4212"/>
        <v>12281</v>
      </c>
      <c r="W969" s="11">
        <f t="shared" si="4212"/>
        <v>13371</v>
      </c>
      <c r="X969" s="11">
        <f t="shared" si="4212"/>
        <v>12986</v>
      </c>
      <c r="Y969" s="11">
        <f t="shared" si="4212"/>
        <v>14601</v>
      </c>
      <c r="Z969" s="11">
        <f t="shared" si="4212"/>
        <v>15118</v>
      </c>
      <c r="AA969" s="11">
        <f t="shared" si="4212"/>
        <v>17375</v>
      </c>
      <c r="AB969" s="11">
        <f t="shared" si="4212"/>
        <v>16964</v>
      </c>
      <c r="AC969" s="11">
        <f t="shared" si="4212"/>
        <v>18327</v>
      </c>
      <c r="AD969" s="11">
        <f t="shared" si="4212"/>
        <v>19051</v>
      </c>
      <c r="AE969" s="11">
        <f t="shared" si="4212"/>
        <v>20909</v>
      </c>
      <c r="AF969" s="11">
        <f t="shared" si="4212"/>
        <v>20325</v>
      </c>
      <c r="AG969" s="11">
        <f t="shared" si="4212"/>
        <v>21508</v>
      </c>
      <c r="AH969" s="11">
        <f t="shared" si="4212"/>
        <v>22081</v>
      </c>
      <c r="AI969" s="11">
        <f t="shared" si="4212"/>
        <v>23993</v>
      </c>
      <c r="AJ969" s="11">
        <f t="shared" si="4212"/>
        <v>24259</v>
      </c>
      <c r="AK969" s="11">
        <f t="shared" si="4212"/>
        <v>25880</v>
      </c>
      <c r="AL969" s="11">
        <f t="shared" si="4212"/>
        <v>26708</v>
      </c>
      <c r="AM969" s="11">
        <f t="shared" si="4212"/>
        <v>28515</v>
      </c>
      <c r="AN969" s="11"/>
      <c r="AO969" s="11"/>
      <c r="AP969" s="11"/>
      <c r="AQ969" s="11"/>
      <c r="BG969" s="11"/>
      <c r="BH969" s="11">
        <f t="shared" si="4211"/>
        <v>27407</v>
      </c>
      <c r="BI969" s="11">
        <f t="shared" si="4211"/>
        <v>32219</v>
      </c>
      <c r="BJ969" s="11">
        <f t="shared" si="4211"/>
        <v>38985</v>
      </c>
      <c r="BK969" s="11">
        <f t="shared" si="4211"/>
        <v>48366</v>
      </c>
      <c r="BL969" s="11">
        <f t="shared" si="4211"/>
        <v>60080</v>
      </c>
      <c r="BM969" s="11">
        <f t="shared" si="4211"/>
        <v>75251</v>
      </c>
      <c r="BN969" s="11">
        <f t="shared" si="4211"/>
        <v>87907</v>
      </c>
      <c r="BO969" s="11">
        <f t="shared" si="4211"/>
        <v>105362</v>
      </c>
      <c r="BP969" s="11"/>
    </row>
    <row r="970" spans="2:68" s="1003" customFormat="1">
      <c r="B970" s="100" t="s">
        <v>339</v>
      </c>
      <c r="D970" s="940"/>
      <c r="E970" s="940"/>
      <c r="F970" s="940"/>
      <c r="G970" s="940"/>
      <c r="H970" s="940">
        <f t="shared" ref="H970:AM970" si="4213">+H150</f>
        <v>9395</v>
      </c>
      <c r="I970" s="940">
        <f t="shared" si="4213"/>
        <v>11889</v>
      </c>
      <c r="J970" s="940">
        <f t="shared" si="4213"/>
        <v>8775</v>
      </c>
      <c r="K970" s="940">
        <f t="shared" si="4213"/>
        <v>9235</v>
      </c>
      <c r="L970" s="940">
        <f t="shared" si="4213"/>
        <v>9378</v>
      </c>
      <c r="M970" s="940">
        <f t="shared" si="4213"/>
        <v>12170</v>
      </c>
      <c r="N970" s="940">
        <f t="shared" si="4213"/>
        <v>9917</v>
      </c>
      <c r="O970" s="940">
        <f t="shared" si="4213"/>
        <v>10811</v>
      </c>
      <c r="P970" s="940">
        <f t="shared" si="4213"/>
        <v>10746</v>
      </c>
      <c r="Q970" s="940">
        <f t="shared" si="4213"/>
        <v>12993</v>
      </c>
      <c r="R970" s="940">
        <f t="shared" si="4213"/>
        <v>10680</v>
      </c>
      <c r="S970" s="940">
        <f t="shared" si="4213"/>
        <v>11279</v>
      </c>
      <c r="T970" s="940">
        <f t="shared" si="4213"/>
        <v>11133</v>
      </c>
      <c r="U970" s="940">
        <f t="shared" si="4213"/>
        <v>13211</v>
      </c>
      <c r="V970" s="940">
        <f t="shared" si="4213"/>
        <v>10997</v>
      </c>
      <c r="W970" s="940">
        <f t="shared" si="4213"/>
        <v>12910</v>
      </c>
      <c r="X970" s="940">
        <f t="shared" si="4213"/>
        <v>11849</v>
      </c>
      <c r="Y970" s="940">
        <f t="shared" si="4213"/>
        <v>15122</v>
      </c>
      <c r="Z970" s="940">
        <f t="shared" si="4213"/>
        <v>13036</v>
      </c>
      <c r="AA970" s="940">
        <f t="shared" si="4213"/>
        <v>14086</v>
      </c>
      <c r="AB970" s="940">
        <f t="shared" si="4213"/>
        <v>13314</v>
      </c>
      <c r="AC970" s="940">
        <f t="shared" si="4213"/>
        <v>17465</v>
      </c>
      <c r="AD970" s="940">
        <f t="shared" si="4213"/>
        <v>14520</v>
      </c>
      <c r="AE970" s="940">
        <f t="shared" si="4213"/>
        <v>14356</v>
      </c>
      <c r="AF970" s="940">
        <f t="shared" si="4213"/>
        <v>13332</v>
      </c>
      <c r="AG970" s="940">
        <f t="shared" si="4213"/>
        <v>14237</v>
      </c>
      <c r="AH970" s="940">
        <f t="shared" si="4213"/>
        <v>13260</v>
      </c>
      <c r="AI970" s="940">
        <f t="shared" si="4213"/>
        <v>13905</v>
      </c>
      <c r="AJ970" s="940">
        <f t="shared" si="4213"/>
        <v>13666</v>
      </c>
      <c r="AK970" s="940">
        <f t="shared" si="4213"/>
        <v>16891</v>
      </c>
      <c r="AL970" s="940">
        <f t="shared" si="4213"/>
        <v>15580</v>
      </c>
      <c r="AM970" s="940">
        <f t="shared" si="4213"/>
        <v>15895</v>
      </c>
      <c r="AN970" s="940"/>
      <c r="AO970" s="940"/>
      <c r="AP970" s="940"/>
      <c r="AQ970" s="940"/>
      <c r="AS970" s="940"/>
      <c r="AT970" s="940"/>
      <c r="AU970" s="940"/>
      <c r="AV970" s="940"/>
      <c r="AW970" s="940"/>
      <c r="AX970" s="940"/>
      <c r="AY970" s="940"/>
      <c r="AZ970" s="940"/>
      <c r="BA970" s="940"/>
      <c r="BB970" s="940"/>
      <c r="BC970" s="940"/>
      <c r="BD970" s="940"/>
      <c r="BE970" s="940"/>
      <c r="BG970" s="940"/>
      <c r="BH970" s="940">
        <f t="shared" si="4211"/>
        <v>39294</v>
      </c>
      <c r="BI970" s="940">
        <f t="shared" si="4211"/>
        <v>42276</v>
      </c>
      <c r="BJ970" s="940">
        <f t="shared" si="4211"/>
        <v>45698</v>
      </c>
      <c r="BK970" s="940">
        <f t="shared" si="4211"/>
        <v>48251</v>
      </c>
      <c r="BL970" s="940">
        <f t="shared" si="4211"/>
        <v>54093</v>
      </c>
      <c r="BM970" s="940">
        <f t="shared" si="4211"/>
        <v>59655</v>
      </c>
      <c r="BN970" s="940">
        <f t="shared" si="4211"/>
        <v>54734</v>
      </c>
      <c r="BO970" s="940">
        <f t="shared" si="4211"/>
        <v>62032</v>
      </c>
      <c r="BP970" s="940"/>
    </row>
    <row r="971" spans="2:68" s="102" customFormat="1" ht="10.5">
      <c r="B971" s="873" t="s">
        <v>477</v>
      </c>
      <c r="D971" s="849"/>
      <c r="E971" s="849"/>
      <c r="F971" s="849"/>
      <c r="G971" s="849"/>
      <c r="H971" s="849">
        <f>SUM(H968:H970)</f>
        <v>21928</v>
      </c>
      <c r="I971" s="849">
        <f t="shared" ref="I971:AF971" si="4214">SUM(I968:I970)</f>
        <v>25826</v>
      </c>
      <c r="J971" s="849">
        <f t="shared" si="4214"/>
        <v>23212</v>
      </c>
      <c r="K971" s="849">
        <f t="shared" si="4214"/>
        <v>25605</v>
      </c>
      <c r="L971" s="849">
        <f t="shared" si="4214"/>
        <v>24538</v>
      </c>
      <c r="M971" s="849">
        <f t="shared" si="4214"/>
        <v>28918</v>
      </c>
      <c r="N971" s="849">
        <f t="shared" si="4214"/>
        <v>26819</v>
      </c>
      <c r="O971" s="849">
        <f t="shared" si="4214"/>
        <v>30085</v>
      </c>
      <c r="P971" s="849">
        <f t="shared" si="4214"/>
        <v>29084</v>
      </c>
      <c r="Q971" s="849">
        <f t="shared" si="4214"/>
        <v>32471</v>
      </c>
      <c r="R971" s="849">
        <f t="shared" si="4214"/>
        <v>30571</v>
      </c>
      <c r="S971" s="849">
        <f t="shared" si="4214"/>
        <v>33717</v>
      </c>
      <c r="T971" s="849">
        <f t="shared" si="4214"/>
        <v>33055</v>
      </c>
      <c r="U971" s="849">
        <f t="shared" si="4214"/>
        <v>36906</v>
      </c>
      <c r="V971" s="849">
        <f t="shared" si="4214"/>
        <v>35021</v>
      </c>
      <c r="W971" s="849">
        <f t="shared" si="4214"/>
        <v>38033</v>
      </c>
      <c r="X971" s="849">
        <f t="shared" si="4214"/>
        <v>37154</v>
      </c>
      <c r="Y971" s="849">
        <f t="shared" si="4214"/>
        <v>43076</v>
      </c>
      <c r="Z971" s="849">
        <f t="shared" si="4214"/>
        <v>41706</v>
      </c>
      <c r="AA971" s="849">
        <f t="shared" si="4214"/>
        <v>46152</v>
      </c>
      <c r="AB971" s="849">
        <f t="shared" si="4214"/>
        <v>45317</v>
      </c>
      <c r="AC971" s="849">
        <f t="shared" si="4214"/>
        <v>51728</v>
      </c>
      <c r="AD971" s="849">
        <f t="shared" si="4214"/>
        <v>49360</v>
      </c>
      <c r="AE971" s="849">
        <f t="shared" si="4214"/>
        <v>51865</v>
      </c>
      <c r="AF971" s="849">
        <f t="shared" si="4214"/>
        <v>50122</v>
      </c>
      <c r="AG971" s="849">
        <f t="shared" ref="AG971:AH971" si="4215">SUM(AG968:AG970)</f>
        <v>52747</v>
      </c>
      <c r="AH971" s="849">
        <f t="shared" si="4215"/>
        <v>52857</v>
      </c>
      <c r="AI971" s="849">
        <f t="shared" ref="AI971:AJ971" si="4216">SUM(AI968:AI970)</f>
        <v>56189</v>
      </c>
      <c r="AJ971" s="849">
        <f t="shared" si="4216"/>
        <v>56517</v>
      </c>
      <c r="AK971" s="849">
        <f t="shared" ref="AK971:AL971" si="4217">SUM(AK968:AK970)</f>
        <v>62020</v>
      </c>
      <c r="AL971" s="849">
        <f t="shared" si="4217"/>
        <v>61858</v>
      </c>
      <c r="AM971" s="849">
        <f t="shared" ref="AM971" si="4218">SUM(AM968:AM970)</f>
        <v>64727</v>
      </c>
      <c r="AN971" s="849"/>
      <c r="AO971" s="849"/>
      <c r="AP971" s="849"/>
      <c r="AQ971" s="849"/>
      <c r="AS971" s="849"/>
      <c r="AT971" s="849"/>
      <c r="AU971" s="849"/>
      <c r="AV971" s="849"/>
      <c r="AW971" s="849"/>
      <c r="AX971" s="849"/>
      <c r="AY971" s="849"/>
      <c r="AZ971" s="849"/>
      <c r="BA971" s="849"/>
      <c r="BB971" s="849"/>
      <c r="BC971" s="849"/>
      <c r="BD971" s="849"/>
      <c r="BE971" s="849"/>
      <c r="BG971" s="849"/>
      <c r="BH971" s="849">
        <f t="shared" ref="BH971:BM971" si="4219">SUM(BH968:BH970)</f>
        <v>96571</v>
      </c>
      <c r="BI971" s="849">
        <f t="shared" si="4219"/>
        <v>110360</v>
      </c>
      <c r="BJ971" s="849">
        <f t="shared" si="4219"/>
        <v>125843</v>
      </c>
      <c r="BK971" s="849">
        <f t="shared" si="4219"/>
        <v>143015</v>
      </c>
      <c r="BL971" s="849">
        <f t="shared" si="4219"/>
        <v>168088</v>
      </c>
      <c r="BM971" s="849">
        <f t="shared" si="4219"/>
        <v>198270</v>
      </c>
      <c r="BN971" s="849">
        <f t="shared" ref="BN971:BO971" si="4220">SUM(BN968:BN970)</f>
        <v>211915</v>
      </c>
      <c r="BO971" s="849">
        <f t="shared" si="4220"/>
        <v>245122</v>
      </c>
      <c r="BP971" s="849"/>
    </row>
    <row r="973" spans="2:68" s="100" customFormat="1" ht="10.5">
      <c r="B973" s="958" t="s">
        <v>614</v>
      </c>
    </row>
    <row r="974" spans="2:68" s="100" customFormat="1">
      <c r="B974" s="100" t="s">
        <v>335</v>
      </c>
      <c r="D974" s="11"/>
      <c r="E974" s="11"/>
      <c r="F974" s="11"/>
      <c r="G974" s="11"/>
      <c r="H974" s="11">
        <f>+H968+H962</f>
        <v>5419</v>
      </c>
      <c r="I974" s="11">
        <f t="shared" ref="I974:AF974" si="4221">+I968+I962</f>
        <v>7362</v>
      </c>
      <c r="J974" s="11">
        <f t="shared" si="4221"/>
        <v>7565</v>
      </c>
      <c r="K974" s="11">
        <f t="shared" si="4221"/>
        <v>11543</v>
      </c>
      <c r="L974" s="11">
        <f t="shared" si="4221"/>
        <v>7354</v>
      </c>
      <c r="M974" s="11">
        <f t="shared" si="4221"/>
        <v>8435</v>
      </c>
      <c r="N974" s="11">
        <f t="shared" si="4221"/>
        <v>8901</v>
      </c>
      <c r="O974" s="11">
        <f t="shared" si="4221"/>
        <v>13347</v>
      </c>
      <c r="P974" s="11">
        <f t="shared" si="4221"/>
        <v>8660</v>
      </c>
      <c r="Q974" s="11">
        <f t="shared" si="4221"/>
        <v>8982</v>
      </c>
      <c r="R974" s="11">
        <f t="shared" si="4221"/>
        <v>10286</v>
      </c>
      <c r="S974" s="11">
        <f t="shared" si="4221"/>
        <v>15199</v>
      </c>
      <c r="T974" s="11">
        <f t="shared" si="4221"/>
        <v>9806</v>
      </c>
      <c r="U974" s="11">
        <f t="shared" si="4221"/>
        <v>10532</v>
      </c>
      <c r="V974" s="11">
        <f t="shared" si="4221"/>
        <v>11554</v>
      </c>
      <c r="W974" s="11">
        <f t="shared" si="4221"/>
        <v>16318</v>
      </c>
      <c r="X974" s="11">
        <f t="shared" si="4221"/>
        <v>11351</v>
      </c>
      <c r="Y974" s="11">
        <f t="shared" si="4221"/>
        <v>11903</v>
      </c>
      <c r="Z974" s="11">
        <f t="shared" si="4221"/>
        <v>13496</v>
      </c>
      <c r="AA974" s="11">
        <f t="shared" si="4221"/>
        <v>20642</v>
      </c>
      <c r="AB974" s="11">
        <f t="shared" si="4221"/>
        <v>13484</v>
      </c>
      <c r="AC974" s="11">
        <f t="shared" si="4221"/>
        <v>13865</v>
      </c>
      <c r="AD974" s="11">
        <f t="shared" si="4221"/>
        <v>15873</v>
      </c>
      <c r="AE974" s="11">
        <f t="shared" si="4221"/>
        <v>22580</v>
      </c>
      <c r="AF974" s="11">
        <f t="shared" si="4221"/>
        <v>14312</v>
      </c>
      <c r="AG974" s="11">
        <f t="shared" ref="AG974:AH974" si="4222">+AG968+AG962</f>
        <v>14717</v>
      </c>
      <c r="AH974" s="11">
        <f t="shared" si="4222"/>
        <v>17900</v>
      </c>
      <c r="AI974" s="11">
        <f t="shared" ref="AI974:AJ974" si="4223">+AI968+AI962</f>
        <v>25359</v>
      </c>
      <c r="AJ974" s="11">
        <f t="shared" si="4223"/>
        <v>16336</v>
      </c>
      <c r="AK974" s="11">
        <f t="shared" ref="AK974:AL974" si="4224">+AK968+AK962</f>
        <v>16524</v>
      </c>
      <c r="AL974" s="11">
        <f t="shared" si="4224"/>
        <v>19908</v>
      </c>
      <c r="AM974" s="11">
        <f t="shared" ref="AM974" si="4225">+AM968+AM962</f>
        <v>28267</v>
      </c>
      <c r="AN974" s="11"/>
      <c r="AO974" s="11"/>
      <c r="AP974" s="11"/>
      <c r="AQ974" s="11"/>
      <c r="BG974" s="11"/>
      <c r="BH974" s="11">
        <f t="shared" ref="BH974:BM974" si="4226">+BH968+BH962</f>
        <v>36100</v>
      </c>
      <c r="BI974" s="11">
        <f t="shared" si="4226"/>
        <v>43128</v>
      </c>
      <c r="BJ974" s="11">
        <f t="shared" si="4226"/>
        <v>47911</v>
      </c>
      <c r="BK974" s="11">
        <f t="shared" si="4226"/>
        <v>53046</v>
      </c>
      <c r="BL974" s="11">
        <f t="shared" si="4226"/>
        <v>63558</v>
      </c>
      <c r="BM974" s="11">
        <f t="shared" si="4226"/>
        <v>73370</v>
      </c>
      <c r="BN974" s="11">
        <f t="shared" ref="BN974:BO974" si="4227">+BN968+BN962</f>
        <v>77680</v>
      </c>
      <c r="BO974" s="11">
        <f t="shared" si="4227"/>
        <v>88842</v>
      </c>
      <c r="BP974" s="11"/>
    </row>
    <row r="975" spans="2:68" s="100" customFormat="1">
      <c r="B975" s="100" t="s">
        <v>337</v>
      </c>
      <c r="D975" s="11"/>
      <c r="E975" s="11"/>
      <c r="F975" s="11"/>
      <c r="G975" s="11"/>
      <c r="H975" s="11">
        <f t="shared" ref="H975:AF975" si="4228">+H969+H963</f>
        <v>5241</v>
      </c>
      <c r="I975" s="11">
        <f t="shared" si="4228"/>
        <v>6377</v>
      </c>
      <c r="J975" s="11">
        <f t="shared" si="4228"/>
        <v>6789</v>
      </c>
      <c r="K975" s="11">
        <f t="shared" si="4228"/>
        <v>11239</v>
      </c>
      <c r="L975" s="11">
        <f t="shared" si="4228"/>
        <v>5926</v>
      </c>
      <c r="M975" s="11">
        <f t="shared" si="4228"/>
        <v>7398</v>
      </c>
      <c r="N975" s="11">
        <f t="shared" si="4228"/>
        <v>8124</v>
      </c>
      <c r="O975" s="11">
        <f t="shared" si="4228"/>
        <v>14325</v>
      </c>
      <c r="P975" s="11">
        <f t="shared" si="4228"/>
        <v>7159</v>
      </c>
      <c r="Q975" s="11">
        <f t="shared" si="4228"/>
        <v>8631</v>
      </c>
      <c r="R975" s="11">
        <f t="shared" si="4228"/>
        <v>9629</v>
      </c>
      <c r="S975" s="11">
        <f t="shared" si="4228"/>
        <v>15848</v>
      </c>
      <c r="T975" s="11">
        <f t="shared" si="4228"/>
        <v>9112</v>
      </c>
      <c r="U975" s="11">
        <f t="shared" si="4228"/>
        <v>10380</v>
      </c>
      <c r="V975" s="11">
        <f t="shared" si="4228"/>
        <v>11499</v>
      </c>
      <c r="W975" s="11">
        <f t="shared" si="4228"/>
        <v>17007</v>
      </c>
      <c r="X975" s="11">
        <f t="shared" si="4228"/>
        <v>11405</v>
      </c>
      <c r="Y975" s="11">
        <f t="shared" si="4228"/>
        <v>13348</v>
      </c>
      <c r="Z975" s="11">
        <f t="shared" si="4228"/>
        <v>14430</v>
      </c>
      <c r="AA975" s="11">
        <f t="shared" si="4228"/>
        <v>21987</v>
      </c>
      <c r="AB975" s="11">
        <f t="shared" si="4228"/>
        <v>15371</v>
      </c>
      <c r="AC975" s="11">
        <f t="shared" si="4228"/>
        <v>16759</v>
      </c>
      <c r="AD975" s="11">
        <f t="shared" si="4228"/>
        <v>19026</v>
      </c>
      <c r="AE975" s="11">
        <f t="shared" si="4228"/>
        <v>25756</v>
      </c>
      <c r="AF975" s="11">
        <f t="shared" si="4228"/>
        <v>18248</v>
      </c>
      <c r="AG975" s="11">
        <f t="shared" ref="AG975:AH975" si="4229">+AG969+AG963</f>
        <v>20036</v>
      </c>
      <c r="AH975" s="11">
        <f t="shared" si="4229"/>
        <v>21811</v>
      </c>
      <c r="AI975" s="11">
        <f t="shared" ref="AI975:AJ975" si="4230">+AI969+AI963</f>
        <v>30004</v>
      </c>
      <c r="AJ975" s="11">
        <f t="shared" si="4230"/>
        <v>22167</v>
      </c>
      <c r="AK975" s="11">
        <f t="shared" ref="AK975:AL975" si="4231">+AK969+AK963</f>
        <v>24105</v>
      </c>
      <c r="AL975" s="11">
        <f t="shared" si="4231"/>
        <v>25708</v>
      </c>
      <c r="AM975" s="11">
        <f t="shared" ref="AM975" si="4232">+AM969+AM963</f>
        <v>34936</v>
      </c>
      <c r="AN975" s="11"/>
      <c r="AO975" s="11"/>
      <c r="AP975" s="11"/>
      <c r="AQ975" s="11"/>
      <c r="BG975" s="11"/>
      <c r="BH975" s="11">
        <f t="shared" ref="BH975:BM975" si="4233">+BH969+BH963</f>
        <v>32626</v>
      </c>
      <c r="BI975" s="11">
        <f t="shared" si="4233"/>
        <v>42207</v>
      </c>
      <c r="BJ975" s="11">
        <f t="shared" si="4233"/>
        <v>49745</v>
      </c>
      <c r="BK975" s="11">
        <f t="shared" si="4233"/>
        <v>51623</v>
      </c>
      <c r="BL975" s="11">
        <f t="shared" si="4233"/>
        <v>61088</v>
      </c>
      <c r="BM975" s="11">
        <f t="shared" si="4233"/>
        <v>80179</v>
      </c>
      <c r="BN975" s="11">
        <f t="shared" ref="BN975:BO975" si="4234">+BN969+BN963</f>
        <v>93577</v>
      </c>
      <c r="BO975" s="11">
        <f t="shared" si="4234"/>
        <v>112111</v>
      </c>
      <c r="BP975" s="11"/>
    </row>
    <row r="976" spans="2:68" s="1003" customFormat="1">
      <c r="B976" s="100" t="s">
        <v>339</v>
      </c>
      <c r="D976" s="940"/>
      <c r="E976" s="940"/>
      <c r="F976" s="940"/>
      <c r="G976" s="940"/>
      <c r="H976" s="940">
        <f t="shared" ref="H976:AF976" si="4235">+H970+H964</f>
        <v>9445</v>
      </c>
      <c r="I976" s="940">
        <f t="shared" si="4235"/>
        <v>11708</v>
      </c>
      <c r="J976" s="940">
        <f t="shared" si="4235"/>
        <v>8771</v>
      </c>
      <c r="K976" s="940">
        <f t="shared" si="4235"/>
        <v>9575</v>
      </c>
      <c r="L976" s="940">
        <f t="shared" si="4235"/>
        <v>9506</v>
      </c>
      <c r="M976" s="940">
        <f t="shared" si="4235"/>
        <v>11990</v>
      </c>
      <c r="N976" s="940">
        <f t="shared" si="4235"/>
        <v>9940</v>
      </c>
      <c r="O976" s="940">
        <f t="shared" si="4235"/>
        <v>11178</v>
      </c>
      <c r="P976" s="940">
        <f t="shared" si="4235"/>
        <v>10787</v>
      </c>
      <c r="Q976" s="940">
        <f t="shared" si="4235"/>
        <v>12700</v>
      </c>
      <c r="R976" s="940">
        <f t="shared" si="4235"/>
        <v>10707</v>
      </c>
      <c r="S976" s="940">
        <f t="shared" si="4235"/>
        <v>11741</v>
      </c>
      <c r="T976" s="940">
        <f t="shared" si="4235"/>
        <v>10957</v>
      </c>
      <c r="U976" s="940">
        <f t="shared" si="4235"/>
        <v>13189</v>
      </c>
      <c r="V976" s="940">
        <f t="shared" si="4235"/>
        <v>11144</v>
      </c>
      <c r="W976" s="940">
        <f t="shared" si="4235"/>
        <v>13491</v>
      </c>
      <c r="X976" s="940">
        <f t="shared" si="4235"/>
        <v>11523</v>
      </c>
      <c r="Y976" s="940">
        <f t="shared" si="4235"/>
        <v>14907</v>
      </c>
      <c r="Z976" s="940">
        <f t="shared" si="4235"/>
        <v>13107</v>
      </c>
      <c r="AA976" s="940">
        <f t="shared" si="4235"/>
        <v>14950</v>
      </c>
      <c r="AB976" s="940">
        <f t="shared" si="4235"/>
        <v>13336</v>
      </c>
      <c r="AC976" s="940">
        <f t="shared" si="4235"/>
        <v>16858</v>
      </c>
      <c r="AD976" s="940">
        <f t="shared" si="4235"/>
        <v>14488</v>
      </c>
      <c r="AE976" s="940">
        <f t="shared" si="4235"/>
        <v>15141</v>
      </c>
      <c r="AF976" s="940">
        <f t="shared" si="4235"/>
        <v>13043</v>
      </c>
      <c r="AG976" s="940">
        <f t="shared" ref="AG976:AH976" si="4236">+AG970+AG964</f>
        <v>13731</v>
      </c>
      <c r="AH976" s="940">
        <f t="shared" si="4236"/>
        <v>13121</v>
      </c>
      <c r="AI976" s="940">
        <f t="shared" ref="AI976:AJ976" si="4237">+AI970+AI964</f>
        <v>15038</v>
      </c>
      <c r="AJ976" s="940">
        <f t="shared" si="4237"/>
        <v>13389</v>
      </c>
      <c r="AK976" s="940">
        <f t="shared" ref="AK976:AL976" si="4238">+AK970+AK964</f>
        <v>18237</v>
      </c>
      <c r="AL976" s="940">
        <f t="shared" si="4238"/>
        <v>15041</v>
      </c>
      <c r="AM976" s="940">
        <f t="shared" ref="AM976" si="4239">+AM970+AM964</f>
        <v>16875</v>
      </c>
      <c r="AN976" s="940"/>
      <c r="AO976" s="940"/>
      <c r="AP976" s="940"/>
      <c r="AQ976" s="940"/>
      <c r="AS976" s="940"/>
      <c r="AT976" s="940"/>
      <c r="AU976" s="940"/>
      <c r="AV976" s="940"/>
      <c r="AW976" s="940"/>
      <c r="AX976" s="940"/>
      <c r="AY976" s="940"/>
      <c r="AZ976" s="940"/>
      <c r="BA976" s="940"/>
      <c r="BB976" s="940"/>
      <c r="BC976" s="940"/>
      <c r="BD976" s="940"/>
      <c r="BE976" s="940"/>
      <c r="BG976" s="940"/>
      <c r="BH976" s="940">
        <f t="shared" ref="BH976:BM976" si="4240">+BH970+BH964</f>
        <v>39918</v>
      </c>
      <c r="BI976" s="940">
        <f t="shared" si="4240"/>
        <v>43492</v>
      </c>
      <c r="BJ976" s="940">
        <f t="shared" si="4240"/>
        <v>46466</v>
      </c>
      <c r="BK976" s="940">
        <f t="shared" si="4240"/>
        <v>49503</v>
      </c>
      <c r="BL976" s="940">
        <f t="shared" si="4240"/>
        <v>55165</v>
      </c>
      <c r="BM976" s="940">
        <f t="shared" si="4240"/>
        <v>61162</v>
      </c>
      <c r="BN976" s="940">
        <f t="shared" ref="BN976:BO976" si="4241">+BN970+BN964</f>
        <v>54599</v>
      </c>
      <c r="BO976" s="940">
        <f t="shared" si="4241"/>
        <v>67479</v>
      </c>
      <c r="BP976" s="940"/>
    </row>
    <row r="977" spans="2:72" s="102" customFormat="1" ht="10.5">
      <c r="B977" s="873" t="s">
        <v>619</v>
      </c>
      <c r="D977" s="849"/>
      <c r="E977" s="849"/>
      <c r="F977" s="849"/>
      <c r="G977" s="849"/>
      <c r="H977" s="849">
        <f t="shared" ref="H977:AF977" si="4242">+H971+H965</f>
        <v>20105</v>
      </c>
      <c r="I977" s="849">
        <f t="shared" si="4242"/>
        <v>25447</v>
      </c>
      <c r="J977" s="849">
        <f t="shared" si="4242"/>
        <v>23125</v>
      </c>
      <c r="K977" s="849">
        <f t="shared" si="4242"/>
        <v>32357</v>
      </c>
      <c r="L977" s="849">
        <f t="shared" si="4242"/>
        <v>22786</v>
      </c>
      <c r="M977" s="849">
        <f t="shared" si="4242"/>
        <v>27823</v>
      </c>
      <c r="N977" s="849">
        <f t="shared" si="4242"/>
        <v>26965</v>
      </c>
      <c r="O977" s="849">
        <f t="shared" si="4242"/>
        <v>38850</v>
      </c>
      <c r="P977" s="849">
        <f t="shared" si="4242"/>
        <v>26606</v>
      </c>
      <c r="Q977" s="849">
        <f t="shared" si="4242"/>
        <v>30313</v>
      </c>
      <c r="R977" s="849">
        <f t="shared" si="4242"/>
        <v>30622</v>
      </c>
      <c r="S977" s="849">
        <f t="shared" si="4242"/>
        <v>42788</v>
      </c>
      <c r="T977" s="849">
        <f t="shared" si="4242"/>
        <v>29875</v>
      </c>
      <c r="U977" s="849">
        <f t="shared" si="4242"/>
        <v>34101</v>
      </c>
      <c r="V977" s="849">
        <f t="shared" si="4242"/>
        <v>34197</v>
      </c>
      <c r="W977" s="849">
        <f t="shared" si="4242"/>
        <v>46816</v>
      </c>
      <c r="X977" s="849">
        <f t="shared" si="4242"/>
        <v>34279</v>
      </c>
      <c r="Y977" s="849">
        <f t="shared" si="4242"/>
        <v>40158</v>
      </c>
      <c r="Z977" s="849">
        <f t="shared" si="4242"/>
        <v>41033</v>
      </c>
      <c r="AA977" s="849">
        <f t="shared" si="4242"/>
        <v>57579</v>
      </c>
      <c r="AB977" s="849">
        <f t="shared" si="4242"/>
        <v>42191</v>
      </c>
      <c r="AC977" s="849">
        <f t="shared" si="4242"/>
        <v>47482</v>
      </c>
      <c r="AD977" s="849">
        <f t="shared" si="4242"/>
        <v>49387</v>
      </c>
      <c r="AE977" s="849">
        <f t="shared" si="4242"/>
        <v>63477</v>
      </c>
      <c r="AF977" s="849">
        <f t="shared" si="4242"/>
        <v>45603</v>
      </c>
      <c r="AG977" s="849">
        <f t="shared" ref="AG977:AH977" si="4243">+AG971+AG965</f>
        <v>48484</v>
      </c>
      <c r="AH977" s="849">
        <f t="shared" si="4243"/>
        <v>52832</v>
      </c>
      <c r="AI977" s="849">
        <f t="shared" ref="AI977:AJ977" si="4244">+AI971+AI965</f>
        <v>70401</v>
      </c>
      <c r="AJ977" s="849">
        <f t="shared" si="4244"/>
        <v>51892</v>
      </c>
      <c r="AK977" s="849">
        <f t="shared" ref="AK977:AL977" si="4245">+AK971+AK965</f>
        <v>58866</v>
      </c>
      <c r="AL977" s="849">
        <f t="shared" si="4245"/>
        <v>60657</v>
      </c>
      <c r="AM977" s="849">
        <f t="shared" ref="AM977" si="4246">+AM971+AM965</f>
        <v>80078</v>
      </c>
      <c r="AN977" s="849"/>
      <c r="AO977" s="849"/>
      <c r="AP977" s="849"/>
      <c r="AQ977" s="849"/>
      <c r="AS977" s="849"/>
      <c r="AT977" s="849"/>
      <c r="AU977" s="849"/>
      <c r="AV977" s="849"/>
      <c r="AW977" s="849"/>
      <c r="AX977" s="849"/>
      <c r="AY977" s="849"/>
      <c r="AZ977" s="849"/>
      <c r="BA977" s="849"/>
      <c r="BB977" s="849"/>
      <c r="BC977" s="849"/>
      <c r="BD977" s="849"/>
      <c r="BE977" s="849"/>
      <c r="BG977" s="849"/>
      <c r="BH977" s="849">
        <f t="shared" ref="BH977:BM977" si="4247">+BH971+BH965</f>
        <v>108644</v>
      </c>
      <c r="BI977" s="849">
        <f t="shared" si="4247"/>
        <v>128827</v>
      </c>
      <c r="BJ977" s="849">
        <f t="shared" si="4247"/>
        <v>144122</v>
      </c>
      <c r="BK977" s="849">
        <f t="shared" si="4247"/>
        <v>154172</v>
      </c>
      <c r="BL977" s="849">
        <f t="shared" si="4247"/>
        <v>179811</v>
      </c>
      <c r="BM977" s="849">
        <f t="shared" si="4247"/>
        <v>214711</v>
      </c>
      <c r="BN977" s="849">
        <f t="shared" ref="BN977:BO977" si="4248">+BN971+BN965</f>
        <v>225856</v>
      </c>
      <c r="BO977" s="849">
        <f t="shared" si="4248"/>
        <v>268432</v>
      </c>
      <c r="BP977" s="849"/>
    </row>
    <row r="979" spans="2:72" s="3" customFormat="1">
      <c r="B979" s="24" t="s">
        <v>113</v>
      </c>
    </row>
    <row r="980" spans="2:72" s="3" customFormat="1">
      <c r="B980" s="13" t="str">
        <f>+B974</f>
        <v>Productivity and Business Processes</v>
      </c>
      <c r="D980" s="228"/>
      <c r="E980" s="228"/>
      <c r="F980" s="228"/>
      <c r="G980" s="228"/>
      <c r="H980" s="228" t="str">
        <f>+IFERROR(H974/D974-1,"n/a ")</f>
        <v xml:space="preserve">n/a </v>
      </c>
      <c r="I980" s="228" t="str">
        <f t="shared" ref="I980:I983" si="4249">+IFERROR(I974/E974-1,"n/a ")</f>
        <v xml:space="preserve">n/a </v>
      </c>
      <c r="J980" s="228" t="str">
        <f t="shared" ref="J980:J983" si="4250">+IFERROR(J974/F974-1,"n/a ")</f>
        <v xml:space="preserve">n/a </v>
      </c>
      <c r="K980" s="228" t="str">
        <f t="shared" ref="K980:K983" si="4251">+IFERROR(K974/G974-1,"n/a ")</f>
        <v xml:space="preserve">n/a </v>
      </c>
      <c r="L980" s="228">
        <f t="shared" ref="L980:L983" si="4252">+IFERROR(L974/H974-1,"n/a ")</f>
        <v>0.35707695146706042</v>
      </c>
      <c r="M980" s="228">
        <f t="shared" ref="M980:M983" si="4253">+IFERROR(M974/I974-1,"n/a ")</f>
        <v>0.14574843792447711</v>
      </c>
      <c r="N980" s="228">
        <f t="shared" ref="N980:N983" si="4254">+IFERROR(N974/J974-1,"n/a ")</f>
        <v>0.17660277594183738</v>
      </c>
      <c r="O980" s="228">
        <f t="shared" ref="O980:O983" si="4255">+IFERROR(O974/K974-1,"n/a ")</f>
        <v>0.15628519449016731</v>
      </c>
      <c r="P980" s="228">
        <f t="shared" ref="P980:P983" si="4256">+IFERROR(P974/L974-1,"n/a ")</f>
        <v>0.17759042697851513</v>
      </c>
      <c r="Q980" s="228">
        <f t="shared" ref="Q980:Q983" si="4257">+IFERROR(Q974/M974-1,"n/a ")</f>
        <v>6.4848844101956127E-2</v>
      </c>
      <c r="R980" s="228">
        <f t="shared" ref="R980:R983" si="4258">+IFERROR(R974/N974-1,"n/a ")</f>
        <v>0.15560049432648015</v>
      </c>
      <c r="S980" s="228">
        <f t="shared" ref="S980:S983" si="4259">+IFERROR(S974/O974-1,"n/a ")</f>
        <v>0.13875777328238548</v>
      </c>
      <c r="T980" s="228">
        <f t="shared" ref="T980:T983" si="4260">+IFERROR(T974/P974-1,"n/a ")</f>
        <v>0.13233256351039269</v>
      </c>
      <c r="U980" s="228">
        <f t="shared" ref="U980:U983" si="4261">+IFERROR(U974/Q974-1,"n/a ")</f>
        <v>0.17256735693609437</v>
      </c>
      <c r="V980" s="228">
        <f t="shared" ref="V980:V983" si="4262">+IFERROR(V974/R974-1,"n/a ")</f>
        <v>0.12327435349018079</v>
      </c>
      <c r="W980" s="228">
        <f t="shared" ref="W980:W983" si="4263">+IFERROR(W974/S974-1,"n/a ")</f>
        <v>7.362326468846625E-2</v>
      </c>
      <c r="X980" s="228">
        <f t="shared" ref="X980:X983" si="4264">+IFERROR(X974/T974-1,"n/a ")</f>
        <v>0.15755659800122368</v>
      </c>
      <c r="Y980" s="228">
        <f t="shared" ref="Y980:Y983" si="4265">+IFERROR(Y974/U974-1,"n/a ")</f>
        <v>0.13017470565894418</v>
      </c>
      <c r="Z980" s="228">
        <f t="shared" ref="Z980:Z983" si="4266">+IFERROR(Z974/V974-1,"n/a ")</f>
        <v>0.16808031850441396</v>
      </c>
      <c r="AA980" s="228">
        <f t="shared" ref="AA980:AA983" si="4267">+IFERROR(AA974/W974-1,"n/a ")</f>
        <v>0.26498345385463895</v>
      </c>
      <c r="AB980" s="228">
        <f t="shared" ref="AB980:AB983" si="4268">+IFERROR(AB974/X974-1,"n/a ")</f>
        <v>0.18791295921064233</v>
      </c>
      <c r="AC980" s="228">
        <f t="shared" ref="AC980:AC983" si="4269">+IFERROR(AC974/Y974-1,"n/a ")</f>
        <v>0.16483239519448878</v>
      </c>
      <c r="AD980" s="228">
        <f t="shared" ref="AD980:AD983" si="4270">+IFERROR(AD974/Z974-1,"n/a ")</f>
        <v>0.17612625963248374</v>
      </c>
      <c r="AE980" s="228">
        <f t="shared" ref="AE980:AE983" si="4271">+IFERROR(AE974/AA974-1,"n/a ")</f>
        <v>9.388625133223516E-2</v>
      </c>
      <c r="AF980" s="228">
        <f t="shared" ref="AF980:AF983" si="4272">+IFERROR(AF974/AB974-1,"n/a ")</f>
        <v>6.1406110946306658E-2</v>
      </c>
      <c r="AG980" s="228">
        <f t="shared" ref="AG980:AG983" si="4273">+IFERROR(AG974/AC974-1,"n/a ")</f>
        <v>6.144969347277307E-2</v>
      </c>
      <c r="AH980" s="228">
        <f t="shared" ref="AH980:AH983" si="4274">+IFERROR(AH974/AD974-1,"n/a ")</f>
        <v>0.12770112770112774</v>
      </c>
      <c r="AI980" s="228">
        <f t="shared" ref="AI980:AI983" si="4275">+IFERROR(AI974/AE974-1,"n/a ")</f>
        <v>0.12307351638618247</v>
      </c>
      <c r="AJ980" s="228">
        <f t="shared" ref="AJ980:AJ983" si="4276">+IFERROR(AJ974/AF974-1,"n/a ")</f>
        <v>0.14141978759083296</v>
      </c>
      <c r="AK980" s="228">
        <f t="shared" ref="AK980:AK983" si="4277">+IFERROR(AK974/AG974-1,"n/a ")</f>
        <v>0.12278317591900523</v>
      </c>
      <c r="AL980" s="228">
        <f t="shared" ref="AL980:AL983" si="4278">+IFERROR(AL974/AH974-1,"n/a ")</f>
        <v>0.11217877094972062</v>
      </c>
      <c r="AM980" s="228">
        <f t="shared" ref="AM980:AM983" si="4279">+IFERROR(AM974/AI974-1,"n/a ")</f>
        <v>0.11467329153357775</v>
      </c>
      <c r="AN980" s="228"/>
      <c r="AO980" s="228"/>
      <c r="AP980" s="228"/>
      <c r="AQ980" s="228"/>
      <c r="AR980" s="228"/>
      <c r="AS980" s="228"/>
      <c r="AT980" s="228"/>
      <c r="AU980" s="228"/>
      <c r="AV980" s="228"/>
      <c r="AW980" s="228"/>
      <c r="AX980" s="228"/>
      <c r="AY980" s="228"/>
      <c r="AZ980" s="228"/>
      <c r="BA980" s="228"/>
      <c r="BB980" s="228"/>
      <c r="BC980" s="228"/>
      <c r="BD980" s="228"/>
      <c r="BE980" s="228"/>
      <c r="BF980" s="228"/>
      <c r="BG980" s="228"/>
      <c r="BH980" s="228" t="str">
        <f>+IFERROR(BH974/BG974-1,"n/a ")</f>
        <v xml:space="preserve">n/a </v>
      </c>
      <c r="BI980" s="228">
        <f>+IFERROR(BI974/BH974-1,"n/a ")</f>
        <v>0.19468144044321334</v>
      </c>
      <c r="BJ980" s="228">
        <f t="shared" ref="BJ980:BJ983" si="4280">+IFERROR(BJ974/BI974-1,"n/a ")</f>
        <v>0.11090242997588584</v>
      </c>
      <c r="BK980" s="228">
        <f t="shared" ref="BK980:BK983" si="4281">+IFERROR(BK974/BJ974-1,"n/a ")</f>
        <v>0.107177892342051</v>
      </c>
      <c r="BL980" s="228">
        <f t="shared" ref="BL980:BL983" si="4282">+IFERROR(BL974/BK974-1,"n/a ")</f>
        <v>0.19816762809636912</v>
      </c>
      <c r="BM980" s="228">
        <f t="shared" ref="BM980:BM983" si="4283">+IFERROR(BM974/BL974-1,"n/a ")</f>
        <v>0.15437867774316372</v>
      </c>
      <c r="BN980" s="228">
        <f t="shared" ref="BN980:BN983" si="4284">+IFERROR(BN974/BM974-1,"n/a ")</f>
        <v>5.8743355594929714E-2</v>
      </c>
      <c r="BO980" s="228">
        <f t="shared" ref="BO980:BO983" si="4285">+IFERROR(BO974/BN974-1,"n/a ")</f>
        <v>0.1436920700308959</v>
      </c>
      <c r="BP980" s="228"/>
      <c r="BQ980" s="228"/>
      <c r="BR980" s="228"/>
      <c r="BS980" s="228"/>
      <c r="BT980" s="228"/>
    </row>
    <row r="981" spans="2:72" s="3" customFormat="1">
      <c r="B981" s="13" t="str">
        <f t="shared" ref="B981:B983" si="4286">+B975</f>
        <v>Intelligent Cloud</v>
      </c>
      <c r="D981" s="228"/>
      <c r="E981" s="228"/>
      <c r="F981" s="228"/>
      <c r="G981" s="228"/>
      <c r="H981" s="228" t="str">
        <f t="shared" ref="H981:H983" si="4287">+IFERROR(H975/D975-1,"n/a ")</f>
        <v xml:space="preserve">n/a </v>
      </c>
      <c r="I981" s="228" t="str">
        <f t="shared" si="4249"/>
        <v xml:space="preserve">n/a </v>
      </c>
      <c r="J981" s="228" t="str">
        <f t="shared" si="4250"/>
        <v xml:space="preserve">n/a </v>
      </c>
      <c r="K981" s="228" t="str">
        <f t="shared" si="4251"/>
        <v xml:space="preserve">n/a </v>
      </c>
      <c r="L981" s="228">
        <f t="shared" si="4252"/>
        <v>0.13070024804426628</v>
      </c>
      <c r="M981" s="228">
        <f t="shared" si="4253"/>
        <v>0.16010663321310958</v>
      </c>
      <c r="N981" s="228">
        <f t="shared" si="4254"/>
        <v>0.19664162615996461</v>
      </c>
      <c r="O981" s="228">
        <f t="shared" si="4255"/>
        <v>0.27457958893139955</v>
      </c>
      <c r="P981" s="228">
        <f t="shared" si="4256"/>
        <v>0.20806614917313526</v>
      </c>
      <c r="Q981" s="228">
        <f t="shared" si="4257"/>
        <v>0.16666666666666674</v>
      </c>
      <c r="R981" s="228">
        <f t="shared" si="4258"/>
        <v>0.18525356967011319</v>
      </c>
      <c r="S981" s="228">
        <f t="shared" si="4259"/>
        <v>0.10631762652705068</v>
      </c>
      <c r="T981" s="228">
        <f t="shared" si="4260"/>
        <v>0.27280346417097356</v>
      </c>
      <c r="U981" s="228">
        <f t="shared" si="4261"/>
        <v>0.20264164059784506</v>
      </c>
      <c r="V981" s="228">
        <f t="shared" si="4262"/>
        <v>0.19420500571191202</v>
      </c>
      <c r="W981" s="228">
        <f t="shared" si="4263"/>
        <v>7.3132256436143406E-2</v>
      </c>
      <c r="X981" s="228">
        <f t="shared" si="4264"/>
        <v>0.2516461808604038</v>
      </c>
      <c r="Y981" s="228">
        <f t="shared" si="4265"/>
        <v>0.28593448940269739</v>
      </c>
      <c r="Z981" s="228">
        <f t="shared" si="4266"/>
        <v>0.25489172971562746</v>
      </c>
      <c r="AA981" s="228">
        <f t="shared" si="4267"/>
        <v>0.2928206032810019</v>
      </c>
      <c r="AB981" s="228">
        <f t="shared" si="4268"/>
        <v>0.34774221832529584</v>
      </c>
      <c r="AC981" s="228">
        <f t="shared" si="4269"/>
        <v>0.25554390170812114</v>
      </c>
      <c r="AD981" s="228">
        <f t="shared" si="4270"/>
        <v>0.31850311850311841</v>
      </c>
      <c r="AE981" s="228">
        <f t="shared" si="4271"/>
        <v>0.17141947514440359</v>
      </c>
      <c r="AF981" s="228">
        <f t="shared" si="4272"/>
        <v>0.18717064602172928</v>
      </c>
      <c r="AG981" s="228">
        <f t="shared" si="4273"/>
        <v>0.1955367265349961</v>
      </c>
      <c r="AH981" s="228">
        <f t="shared" si="4274"/>
        <v>0.14637863975612331</v>
      </c>
      <c r="AI981" s="228">
        <f t="shared" si="4275"/>
        <v>0.16493244292592024</v>
      </c>
      <c r="AJ981" s="228">
        <f t="shared" si="4276"/>
        <v>0.21476326172731253</v>
      </c>
      <c r="AK981" s="228">
        <f t="shared" si="4277"/>
        <v>0.20308444799361158</v>
      </c>
      <c r="AL981" s="228">
        <f t="shared" si="4278"/>
        <v>0.1786713126404107</v>
      </c>
      <c r="AM981" s="228">
        <f t="shared" si="4279"/>
        <v>0.16437808292227696</v>
      </c>
      <c r="AN981" s="228"/>
      <c r="AO981" s="228"/>
      <c r="AP981" s="228"/>
      <c r="AQ981" s="228"/>
      <c r="AR981" s="228"/>
      <c r="AS981" s="228"/>
      <c r="AT981" s="228"/>
      <c r="AU981" s="228"/>
      <c r="AV981" s="228"/>
      <c r="AW981" s="228"/>
      <c r="AX981" s="228"/>
      <c r="AY981" s="228"/>
      <c r="AZ981" s="228"/>
      <c r="BA981" s="228"/>
      <c r="BB981" s="228"/>
      <c r="BC981" s="228"/>
      <c r="BD981" s="228"/>
      <c r="BE981" s="228"/>
      <c r="BF981" s="228"/>
      <c r="BG981" s="228"/>
      <c r="BH981" s="228" t="str">
        <f t="shared" ref="BH981:BH983" si="4288">+IFERROR(BH975/BG975-1,"n/a ")</f>
        <v xml:space="preserve">n/a </v>
      </c>
      <c r="BI981" s="228">
        <f t="shared" ref="BI981:BI983" si="4289">+IFERROR(BI975/BH975-1,"n/a ")</f>
        <v>0.29366149696561017</v>
      </c>
      <c r="BJ981" s="228">
        <f t="shared" si="4280"/>
        <v>0.17859596749354378</v>
      </c>
      <c r="BK981" s="228">
        <f t="shared" si="4281"/>
        <v>3.7752537943511966E-2</v>
      </c>
      <c r="BL981" s="228">
        <f t="shared" si="4282"/>
        <v>0.18334850744823039</v>
      </c>
      <c r="BM981" s="228">
        <f t="shared" si="4283"/>
        <v>0.31251636982713471</v>
      </c>
      <c r="BN981" s="228">
        <f t="shared" si="4284"/>
        <v>0.16710111126354787</v>
      </c>
      <c r="BO981" s="228">
        <f t="shared" si="4285"/>
        <v>0.19806148946856594</v>
      </c>
      <c r="BP981" s="228"/>
      <c r="BQ981" s="228"/>
      <c r="BR981" s="228"/>
      <c r="BS981" s="228"/>
      <c r="BT981" s="228"/>
    </row>
    <row r="982" spans="2:72" s="839" customFormat="1" ht="11.45">
      <c r="B982" s="13" t="str">
        <f t="shared" si="4286"/>
        <v>More Personal Computing</v>
      </c>
      <c r="D982" s="840"/>
      <c r="E982" s="840"/>
      <c r="F982" s="840"/>
      <c r="G982" s="840"/>
      <c r="H982" s="840" t="str">
        <f t="shared" si="4287"/>
        <v xml:space="preserve">n/a </v>
      </c>
      <c r="I982" s="840" t="str">
        <f t="shared" si="4249"/>
        <v xml:space="preserve">n/a </v>
      </c>
      <c r="J982" s="840" t="str">
        <f t="shared" si="4250"/>
        <v xml:space="preserve">n/a </v>
      </c>
      <c r="K982" s="840" t="str">
        <f t="shared" si="4251"/>
        <v xml:space="preserve">n/a </v>
      </c>
      <c r="L982" s="840">
        <f t="shared" si="4252"/>
        <v>6.4584436209633722E-3</v>
      </c>
      <c r="M982" s="840">
        <f t="shared" si="4253"/>
        <v>2.4086094977793016E-2</v>
      </c>
      <c r="N982" s="840">
        <f t="shared" si="4254"/>
        <v>0.13328012769353559</v>
      </c>
      <c r="O982" s="840">
        <f t="shared" si="4255"/>
        <v>0.16741514360313325</v>
      </c>
      <c r="P982" s="840">
        <f t="shared" si="4256"/>
        <v>0.13475699558173782</v>
      </c>
      <c r="Q982" s="840">
        <f t="shared" si="4257"/>
        <v>5.92160133444537E-2</v>
      </c>
      <c r="R982" s="840">
        <f t="shared" si="4258"/>
        <v>7.7162977867203164E-2</v>
      </c>
      <c r="S982" s="840">
        <f t="shared" si="4259"/>
        <v>5.036679191268556E-2</v>
      </c>
      <c r="T982" s="840">
        <f t="shared" si="4260"/>
        <v>1.5759710762955459E-2</v>
      </c>
      <c r="U982" s="840">
        <f t="shared" si="4261"/>
        <v>3.8503937007873912E-2</v>
      </c>
      <c r="V982" s="840">
        <f t="shared" si="4262"/>
        <v>4.0814420472587987E-2</v>
      </c>
      <c r="W982" s="840">
        <f t="shared" si="4263"/>
        <v>0.14905033642790233</v>
      </c>
      <c r="X982" s="840">
        <f t="shared" si="4264"/>
        <v>5.1656475312585659E-2</v>
      </c>
      <c r="Y982" s="840">
        <f t="shared" si="4265"/>
        <v>0.13026006520585343</v>
      </c>
      <c r="Z982" s="840">
        <f t="shared" si="4266"/>
        <v>0.17614860014357503</v>
      </c>
      <c r="AA982" s="840">
        <f t="shared" si="4267"/>
        <v>0.10814617152175532</v>
      </c>
      <c r="AB982" s="840">
        <f t="shared" si="4268"/>
        <v>0.15733749891521298</v>
      </c>
      <c r="AC982" s="840">
        <f t="shared" si="4269"/>
        <v>0.13087811095458513</v>
      </c>
      <c r="AD982" s="840">
        <f t="shared" si="4270"/>
        <v>0.10536354619668886</v>
      </c>
      <c r="AE982" s="840">
        <f t="shared" si="4271"/>
        <v>1.2775919732441521E-2</v>
      </c>
      <c r="AF982" s="840">
        <f t="shared" si="4272"/>
        <v>-2.1970605878824268E-2</v>
      </c>
      <c r="AG982" s="840">
        <f t="shared" si="4273"/>
        <v>-0.18549056827618937</v>
      </c>
      <c r="AH982" s="840">
        <f t="shared" si="4274"/>
        <v>-9.4353948094975104E-2</v>
      </c>
      <c r="AI982" s="840">
        <f t="shared" si="4275"/>
        <v>-6.8027210884353817E-3</v>
      </c>
      <c r="AJ982" s="840">
        <f t="shared" si="4276"/>
        <v>2.6527639346776155E-2</v>
      </c>
      <c r="AK982" s="840">
        <f t="shared" si="4277"/>
        <v>0.3281625518898843</v>
      </c>
      <c r="AL982" s="840">
        <f t="shared" si="4278"/>
        <v>0.14633031018977216</v>
      </c>
      <c r="AM982" s="840">
        <f t="shared" si="4279"/>
        <v>0.12215720175555256</v>
      </c>
      <c r="AN982" s="840"/>
      <c r="AO982" s="840"/>
      <c r="AP982" s="840"/>
      <c r="AQ982" s="840"/>
      <c r="AR982" s="840"/>
      <c r="AS982" s="840"/>
      <c r="AT982" s="840"/>
      <c r="AU982" s="840"/>
      <c r="AV982" s="840"/>
      <c r="AW982" s="840"/>
      <c r="AX982" s="840"/>
      <c r="AY982" s="840"/>
      <c r="AZ982" s="840"/>
      <c r="BA982" s="840"/>
      <c r="BB982" s="840"/>
      <c r="BC982" s="840"/>
      <c r="BD982" s="840"/>
      <c r="BE982" s="840"/>
      <c r="BF982" s="840"/>
      <c r="BG982" s="840"/>
      <c r="BH982" s="840" t="str">
        <f t="shared" si="4288"/>
        <v xml:space="preserve">n/a </v>
      </c>
      <c r="BI982" s="840">
        <f t="shared" si="4289"/>
        <v>8.953354376471756E-2</v>
      </c>
      <c r="BJ982" s="840">
        <f t="shared" si="4280"/>
        <v>6.8380391796192486E-2</v>
      </c>
      <c r="BK982" s="840">
        <f t="shared" si="4281"/>
        <v>6.5359617785047064E-2</v>
      </c>
      <c r="BL982" s="840">
        <f t="shared" si="4282"/>
        <v>0.11437690645011411</v>
      </c>
      <c r="BM982" s="840">
        <f t="shared" si="4283"/>
        <v>0.10871023293755089</v>
      </c>
      <c r="BN982" s="840">
        <f t="shared" si="4284"/>
        <v>-0.10730518949674639</v>
      </c>
      <c r="BO982" s="840">
        <f t="shared" si="4285"/>
        <v>0.23590175644242573</v>
      </c>
      <c r="BP982" s="840"/>
      <c r="BQ982" s="840"/>
      <c r="BR982" s="840"/>
      <c r="BS982" s="840"/>
      <c r="BT982" s="840"/>
    </row>
    <row r="983" spans="2:72" s="7" customFormat="1">
      <c r="B983" s="841" t="str">
        <f t="shared" si="4286"/>
        <v>Total billings</v>
      </c>
      <c r="D983" s="842"/>
      <c r="E983" s="842"/>
      <c r="F983" s="842"/>
      <c r="G983" s="842"/>
      <c r="H983" s="842" t="str">
        <f t="shared" si="4287"/>
        <v xml:space="preserve">n/a </v>
      </c>
      <c r="I983" s="842" t="str">
        <f t="shared" si="4249"/>
        <v xml:space="preserve">n/a </v>
      </c>
      <c r="J983" s="842" t="str">
        <f t="shared" si="4250"/>
        <v xml:space="preserve">n/a </v>
      </c>
      <c r="K983" s="842" t="str">
        <f t="shared" si="4251"/>
        <v xml:space="preserve">n/a </v>
      </c>
      <c r="L983" s="842">
        <f t="shared" si="4252"/>
        <v>0.13334991295697596</v>
      </c>
      <c r="M983" s="842">
        <f t="shared" si="4253"/>
        <v>9.3370534837112329E-2</v>
      </c>
      <c r="N983" s="842">
        <f t="shared" si="4254"/>
        <v>0.16605405405405405</v>
      </c>
      <c r="O983" s="842">
        <f t="shared" si="4255"/>
        <v>0.20066755261612634</v>
      </c>
      <c r="P983" s="842">
        <f t="shared" si="4256"/>
        <v>0.16764680066707638</v>
      </c>
      <c r="Q983" s="842">
        <f t="shared" si="4257"/>
        <v>8.9494303274269438E-2</v>
      </c>
      <c r="R983" s="842">
        <f t="shared" si="4258"/>
        <v>0.13562024847023912</v>
      </c>
      <c r="S983" s="842">
        <f t="shared" si="4259"/>
        <v>0.10136422136422141</v>
      </c>
      <c r="T983" s="842">
        <f t="shared" si="4260"/>
        <v>0.12286702247613324</v>
      </c>
      <c r="U983" s="842">
        <f t="shared" si="4261"/>
        <v>0.12496288721010784</v>
      </c>
      <c r="V983" s="842">
        <f t="shared" si="4262"/>
        <v>0.1167461302331656</v>
      </c>
      <c r="W983" s="842">
        <f t="shared" si="4263"/>
        <v>9.4138543516873785E-2</v>
      </c>
      <c r="X983" s="842">
        <f t="shared" si="4264"/>
        <v>0.14741422594142262</v>
      </c>
      <c r="Y983" s="842">
        <f t="shared" si="4265"/>
        <v>0.17761942465030356</v>
      </c>
      <c r="Z983" s="842">
        <f t="shared" si="4266"/>
        <v>0.19990057607392453</v>
      </c>
      <c r="AA983" s="842">
        <f t="shared" si="4267"/>
        <v>0.22990003417634997</v>
      </c>
      <c r="AB983" s="842">
        <f t="shared" si="4268"/>
        <v>0.23081186732401759</v>
      </c>
      <c r="AC983" s="842">
        <f t="shared" si="4269"/>
        <v>0.18237960057771807</v>
      </c>
      <c r="AD983" s="842">
        <f t="shared" si="4270"/>
        <v>0.20359223064362819</v>
      </c>
      <c r="AE983" s="842">
        <f t="shared" si="4271"/>
        <v>0.10243317876309077</v>
      </c>
      <c r="AF983" s="842">
        <f t="shared" si="4272"/>
        <v>8.0870327795027341E-2</v>
      </c>
      <c r="AG983" s="842">
        <f t="shared" si="4273"/>
        <v>2.1102733667495155E-2</v>
      </c>
      <c r="AH983" s="842">
        <f t="shared" si="4274"/>
        <v>6.9755198736509705E-2</v>
      </c>
      <c r="AI983" s="842">
        <f t="shared" si="4275"/>
        <v>0.10907887896403423</v>
      </c>
      <c r="AJ983" s="842">
        <f t="shared" si="4276"/>
        <v>0.13790759379865358</v>
      </c>
      <c r="AK983" s="842">
        <f t="shared" si="4277"/>
        <v>0.2141324973187031</v>
      </c>
      <c r="AL983" s="842">
        <f t="shared" si="4278"/>
        <v>0.14811099333737121</v>
      </c>
      <c r="AM983" s="842">
        <f t="shared" si="4279"/>
        <v>0.13745543387167802</v>
      </c>
      <c r="AN983" s="842"/>
      <c r="AO983" s="842"/>
      <c r="AP983" s="842"/>
      <c r="AQ983" s="842"/>
      <c r="AR983" s="842"/>
      <c r="AS983" s="842"/>
      <c r="AT983" s="842"/>
      <c r="AU983" s="842"/>
      <c r="AV983" s="842"/>
      <c r="AW983" s="842"/>
      <c r="AX983" s="842"/>
      <c r="AY983" s="842"/>
      <c r="AZ983" s="842"/>
      <c r="BA983" s="842"/>
      <c r="BB983" s="842"/>
      <c r="BC983" s="842"/>
      <c r="BD983" s="842"/>
      <c r="BE983" s="842"/>
      <c r="BF983" s="842"/>
      <c r="BG983" s="842"/>
      <c r="BH983" s="842" t="str">
        <f t="shared" si="4288"/>
        <v xml:space="preserve">n/a </v>
      </c>
      <c r="BI983" s="842">
        <f t="shared" si="4289"/>
        <v>0.18577187879680435</v>
      </c>
      <c r="BJ983" s="842">
        <f t="shared" si="4280"/>
        <v>0.1187251119718693</v>
      </c>
      <c r="BK983" s="842">
        <f t="shared" si="4281"/>
        <v>6.9732587668780655E-2</v>
      </c>
      <c r="BL983" s="842">
        <f t="shared" si="4282"/>
        <v>0.16630127390187588</v>
      </c>
      <c r="BM983" s="842">
        <f t="shared" si="4283"/>
        <v>0.19409268620940878</v>
      </c>
      <c r="BN983" s="842">
        <f t="shared" si="4284"/>
        <v>5.1906981943170116E-2</v>
      </c>
      <c r="BO983" s="842">
        <f t="shared" si="4285"/>
        <v>0.18850949277415707</v>
      </c>
      <c r="BP983" s="842"/>
      <c r="BQ983" s="842"/>
      <c r="BR983" s="842"/>
      <c r="BS983" s="842"/>
      <c r="BT983" s="842"/>
    </row>
    <row r="986" spans="2:72" ht="10.5">
      <c r="B986" s="5" t="s">
        <v>329</v>
      </c>
      <c r="C986" s="4"/>
    </row>
    <row r="988" spans="2:72" ht="10.5">
      <c r="B988" s="958" t="s">
        <v>620</v>
      </c>
      <c r="C988" s="100"/>
      <c r="D988" s="958"/>
      <c r="E988" s="958"/>
      <c r="F988" s="958"/>
      <c r="G988" s="958"/>
      <c r="H988" s="958"/>
      <c r="I988" s="958"/>
      <c r="J988" s="958"/>
      <c r="K988" s="958"/>
      <c r="L988" s="958"/>
      <c r="M988" s="958"/>
      <c r="N988" s="958"/>
      <c r="O988" s="958"/>
      <c r="P988" s="958"/>
      <c r="Q988" s="958"/>
      <c r="R988" s="958"/>
      <c r="S988" s="958"/>
      <c r="T988" s="958"/>
      <c r="U988" s="958"/>
      <c r="V988" s="958"/>
      <c r="W988" s="958"/>
      <c r="X988" s="958"/>
      <c r="Y988" s="958"/>
      <c r="Z988" s="958"/>
      <c r="AA988" s="958"/>
      <c r="AB988" s="958"/>
      <c r="AC988" s="958"/>
      <c r="AD988" s="958"/>
      <c r="AE988" s="826"/>
      <c r="AF988" s="826"/>
      <c r="AG988" s="826"/>
      <c r="AH988" s="826"/>
      <c r="AI988" s="826"/>
      <c r="AJ988" s="826"/>
      <c r="AK988" s="826"/>
      <c r="AL988" s="826"/>
      <c r="AM988" s="826"/>
      <c r="AN988" s="826"/>
      <c r="AO988" s="826"/>
      <c r="AP988" s="826"/>
      <c r="AQ988" s="826"/>
    </row>
    <row r="989" spans="2:72">
      <c r="B989" s="1170" t="s">
        <v>621</v>
      </c>
      <c r="C989" s="1171"/>
      <c r="D989" s="1171">
        <f>+D$12*D1010</f>
        <v>13591.5</v>
      </c>
      <c r="E989" s="1171">
        <f t="shared" ref="E989:AM989" si="4290">+E$12*E1010</f>
        <v>16414.45</v>
      </c>
      <c r="F989" s="1171">
        <f t="shared" si="4290"/>
        <v>13986.050000000001</v>
      </c>
      <c r="G989" s="1171">
        <f t="shared" si="4290"/>
        <v>15258.1</v>
      </c>
      <c r="H989" s="1171">
        <f t="shared" si="4290"/>
        <v>14253.2</v>
      </c>
      <c r="I989" s="1171">
        <f t="shared" si="4290"/>
        <v>16786.900000000001</v>
      </c>
      <c r="J989" s="1171">
        <f t="shared" si="4290"/>
        <v>15087.800000000001</v>
      </c>
      <c r="K989" s="1171">
        <f t="shared" si="4290"/>
        <v>16643.25</v>
      </c>
      <c r="L989" s="1171">
        <f t="shared" si="4290"/>
        <v>15949.7</v>
      </c>
      <c r="M989" s="1171">
        <f t="shared" si="4290"/>
        <v>18796.7</v>
      </c>
      <c r="N989" s="1171">
        <f t="shared" si="4290"/>
        <v>17432.350000000002</v>
      </c>
      <c r="O989" s="1171">
        <f t="shared" si="4290"/>
        <v>19555.25</v>
      </c>
      <c r="P989" s="1171">
        <f t="shared" si="4290"/>
        <v>18904.600000000002</v>
      </c>
      <c r="Q989" s="1171">
        <f t="shared" si="4290"/>
        <v>21106.15</v>
      </c>
      <c r="R989" s="1171">
        <f t="shared" si="4290"/>
        <v>19871.150000000001</v>
      </c>
      <c r="S989" s="1171">
        <f t="shared" si="4290"/>
        <v>21916.05</v>
      </c>
      <c r="T989" s="1171">
        <f t="shared" si="4290"/>
        <v>21485.75</v>
      </c>
      <c r="U989" s="1171">
        <f t="shared" si="4290"/>
        <v>23988.9</v>
      </c>
      <c r="V989" s="1171">
        <f t="shared" si="4290"/>
        <v>22763.65</v>
      </c>
      <c r="W989" s="1171">
        <f t="shared" si="4290"/>
        <v>24721.45</v>
      </c>
      <c r="X989" s="1171">
        <f t="shared" si="4290"/>
        <v>24150.100000000002</v>
      </c>
      <c r="Y989" s="1171">
        <f t="shared" si="4290"/>
        <v>27999.4</v>
      </c>
      <c r="Z989" s="1171">
        <f t="shared" si="4290"/>
        <v>27108.9</v>
      </c>
      <c r="AA989" s="1171">
        <f t="shared" si="4290"/>
        <v>29998.799999999999</v>
      </c>
      <c r="AB989" s="1171">
        <f t="shared" si="4290"/>
        <v>29456.05</v>
      </c>
      <c r="AC989" s="1171">
        <f t="shared" si="4290"/>
        <v>31036.799999999999</v>
      </c>
      <c r="AD989" s="1171">
        <f t="shared" si="4290"/>
        <v>29616</v>
      </c>
      <c r="AE989" s="1171">
        <f t="shared" si="4290"/>
        <v>31119</v>
      </c>
      <c r="AF989" s="1171">
        <f t="shared" si="4290"/>
        <v>32579.300000000003</v>
      </c>
      <c r="AG989" s="1171">
        <f t="shared" si="4290"/>
        <v>31648.199999999997</v>
      </c>
      <c r="AH989" s="1171">
        <f t="shared" si="4290"/>
        <v>31714.199999999997</v>
      </c>
      <c r="AI989" s="1171">
        <f t="shared" si="4290"/>
        <v>33713.4</v>
      </c>
      <c r="AJ989" s="1171">
        <f t="shared" si="4290"/>
        <v>36736.050000000003</v>
      </c>
      <c r="AK989" s="1171">
        <f t="shared" si="4290"/>
        <v>37212</v>
      </c>
      <c r="AL989" s="1171">
        <f t="shared" si="4290"/>
        <v>37114.799999999996</v>
      </c>
      <c r="AM989" s="1171">
        <f t="shared" si="4290"/>
        <v>38836.199999999997</v>
      </c>
      <c r="AN989" s="1171">
        <f t="shared" ref="AN989:AQ989" si="4291">+AN$12*AN1010</f>
        <v>42449.334635605068</v>
      </c>
      <c r="AO989" s="1171">
        <f t="shared" si="4291"/>
        <v>42092.993023178016</v>
      </c>
      <c r="AP989" s="1171">
        <f t="shared" si="4291"/>
        <v>42633.393947131721</v>
      </c>
      <c r="AQ989" s="1171">
        <f t="shared" si="4291"/>
        <v>44816.719854959832</v>
      </c>
    </row>
    <row r="990" spans="2:72">
      <c r="B990" s="1170" t="s">
        <v>622</v>
      </c>
      <c r="C990" s="1171"/>
      <c r="D990" s="1171">
        <f t="shared" ref="D990:AM990" si="4292">+D$12*D1011</f>
        <v>2718.3</v>
      </c>
      <c r="E990" s="1171">
        <f t="shared" si="4292"/>
        <v>3282.8900000000003</v>
      </c>
      <c r="F990" s="1171">
        <f t="shared" si="4292"/>
        <v>2797.21</v>
      </c>
      <c r="G990" s="1171">
        <f t="shared" si="4292"/>
        <v>3051.62</v>
      </c>
      <c r="H990" s="1171">
        <f t="shared" si="4292"/>
        <v>2850.64</v>
      </c>
      <c r="I990" s="1171">
        <f t="shared" si="4292"/>
        <v>3357.38</v>
      </c>
      <c r="J990" s="1171">
        <f t="shared" si="4292"/>
        <v>3017.56</v>
      </c>
      <c r="K990" s="1171">
        <f t="shared" si="4292"/>
        <v>3328.65</v>
      </c>
      <c r="L990" s="1171">
        <f t="shared" si="4292"/>
        <v>3189.94</v>
      </c>
      <c r="M990" s="1171">
        <f t="shared" si="4292"/>
        <v>3759.34</v>
      </c>
      <c r="N990" s="1171">
        <f t="shared" si="4292"/>
        <v>3486.4700000000003</v>
      </c>
      <c r="O990" s="1171">
        <f t="shared" si="4292"/>
        <v>3911.05</v>
      </c>
      <c r="P990" s="1171">
        <f t="shared" si="4292"/>
        <v>3780.92</v>
      </c>
      <c r="Q990" s="1171">
        <f t="shared" si="4292"/>
        <v>4221.2300000000005</v>
      </c>
      <c r="R990" s="1171">
        <f t="shared" si="4292"/>
        <v>3974.23</v>
      </c>
      <c r="S990" s="1171">
        <f t="shared" si="4292"/>
        <v>4383.21</v>
      </c>
      <c r="T990" s="1171">
        <f t="shared" si="4292"/>
        <v>4297.1500000000005</v>
      </c>
      <c r="U990" s="1171">
        <f t="shared" si="4292"/>
        <v>4797.78</v>
      </c>
      <c r="V990" s="1171">
        <f t="shared" si="4292"/>
        <v>4552.7300000000005</v>
      </c>
      <c r="W990" s="1171">
        <f t="shared" si="4292"/>
        <v>4944.29</v>
      </c>
      <c r="X990" s="1171">
        <f t="shared" si="4292"/>
        <v>4830.0200000000004</v>
      </c>
      <c r="Y990" s="1171">
        <f t="shared" si="4292"/>
        <v>5599.88</v>
      </c>
      <c r="Z990" s="1171">
        <f t="shared" si="4292"/>
        <v>5421.78</v>
      </c>
      <c r="AA990" s="1171">
        <f t="shared" si="4292"/>
        <v>5999.76</v>
      </c>
      <c r="AB990" s="1171">
        <f t="shared" si="4292"/>
        <v>6797.55</v>
      </c>
      <c r="AC990" s="1171">
        <f t="shared" si="4292"/>
        <v>9311.0399999999991</v>
      </c>
      <c r="AD990" s="1171">
        <f t="shared" si="4292"/>
        <v>7404</v>
      </c>
      <c r="AE990" s="1171">
        <f t="shared" si="4292"/>
        <v>7779.75</v>
      </c>
      <c r="AF990" s="1171">
        <f t="shared" si="4292"/>
        <v>7518.2999999999993</v>
      </c>
      <c r="AG990" s="1171">
        <f t="shared" si="4292"/>
        <v>9494.4599999999991</v>
      </c>
      <c r="AH990" s="1171">
        <f t="shared" si="4292"/>
        <v>7928.5499999999993</v>
      </c>
      <c r="AI990" s="1171">
        <f t="shared" si="4292"/>
        <v>8428.35</v>
      </c>
      <c r="AJ990" s="1171">
        <f t="shared" si="4292"/>
        <v>8477.5499999999993</v>
      </c>
      <c r="AK990" s="1171">
        <f t="shared" si="4292"/>
        <v>11163.6</v>
      </c>
      <c r="AL990" s="1171">
        <f t="shared" si="4292"/>
        <v>9278.6999999999989</v>
      </c>
      <c r="AM990" s="1171">
        <f t="shared" si="4292"/>
        <v>9709.0499999999993</v>
      </c>
      <c r="AN990" s="1171">
        <f t="shared" ref="AN990:AQ990" si="4293">+AN$12*AN1011</f>
        <v>9796.0003005242452</v>
      </c>
      <c r="AO990" s="1171">
        <f t="shared" si="4293"/>
        <v>12627.897906953405</v>
      </c>
      <c r="AP990" s="1171">
        <f t="shared" si="4293"/>
        <v>10658.34848678293</v>
      </c>
      <c r="AQ990" s="1171">
        <f t="shared" si="4293"/>
        <v>11204.179963739958</v>
      </c>
    </row>
    <row r="991" spans="2:72">
      <c r="B991" s="1170" t="s">
        <v>623</v>
      </c>
      <c r="C991" s="1171"/>
      <c r="D991" s="1171">
        <f t="shared" ref="D991:AM991" si="4294">+D$12*D1012</f>
        <v>2718.3</v>
      </c>
      <c r="E991" s="1171">
        <f t="shared" si="4294"/>
        <v>3282.8900000000003</v>
      </c>
      <c r="F991" s="1171">
        <f t="shared" si="4294"/>
        <v>2797.21</v>
      </c>
      <c r="G991" s="1171">
        <f t="shared" si="4294"/>
        <v>3051.62</v>
      </c>
      <c r="H991" s="1171">
        <f t="shared" si="4294"/>
        <v>2850.64</v>
      </c>
      <c r="I991" s="1171">
        <f t="shared" si="4294"/>
        <v>3357.38</v>
      </c>
      <c r="J991" s="1171">
        <f t="shared" si="4294"/>
        <v>3017.56</v>
      </c>
      <c r="K991" s="1171">
        <f t="shared" si="4294"/>
        <v>3328.65</v>
      </c>
      <c r="L991" s="1171">
        <f t="shared" si="4294"/>
        <v>3189.94</v>
      </c>
      <c r="M991" s="1171">
        <f t="shared" si="4294"/>
        <v>3759.34</v>
      </c>
      <c r="N991" s="1171">
        <f t="shared" si="4294"/>
        <v>3486.4700000000003</v>
      </c>
      <c r="O991" s="1171">
        <f t="shared" si="4294"/>
        <v>3911.05</v>
      </c>
      <c r="P991" s="1171">
        <f t="shared" si="4294"/>
        <v>3780.92</v>
      </c>
      <c r="Q991" s="1171">
        <f t="shared" si="4294"/>
        <v>4221.2300000000005</v>
      </c>
      <c r="R991" s="1171">
        <f t="shared" si="4294"/>
        <v>3974.23</v>
      </c>
      <c r="S991" s="1171">
        <f t="shared" si="4294"/>
        <v>4383.21</v>
      </c>
      <c r="T991" s="1171">
        <f t="shared" si="4294"/>
        <v>4297.1500000000005</v>
      </c>
      <c r="U991" s="1171">
        <f t="shared" si="4294"/>
        <v>4797.78</v>
      </c>
      <c r="V991" s="1171">
        <f t="shared" si="4294"/>
        <v>4552.7300000000005</v>
      </c>
      <c r="W991" s="1171">
        <f t="shared" si="4294"/>
        <v>4944.29</v>
      </c>
      <c r="X991" s="1171">
        <f t="shared" si="4294"/>
        <v>4830.0200000000004</v>
      </c>
      <c r="Y991" s="1171">
        <f t="shared" si="4294"/>
        <v>5599.88</v>
      </c>
      <c r="Z991" s="1171">
        <f t="shared" si="4294"/>
        <v>5421.78</v>
      </c>
      <c r="AA991" s="1171">
        <f t="shared" si="4294"/>
        <v>5999.76</v>
      </c>
      <c r="AB991" s="1171">
        <f t="shared" si="4294"/>
        <v>6797.55</v>
      </c>
      <c r="AC991" s="1171">
        <f t="shared" si="4294"/>
        <v>9311.0399999999991</v>
      </c>
      <c r="AD991" s="1171">
        <f t="shared" si="4294"/>
        <v>8884.7999999999993</v>
      </c>
      <c r="AE991" s="1171">
        <f t="shared" si="4294"/>
        <v>9335.6999999999989</v>
      </c>
      <c r="AF991" s="1171">
        <f t="shared" si="4294"/>
        <v>7518.2999999999993</v>
      </c>
      <c r="AG991" s="1171">
        <f t="shared" si="4294"/>
        <v>9494.4599999999991</v>
      </c>
      <c r="AH991" s="1171">
        <f t="shared" si="4294"/>
        <v>9514.26</v>
      </c>
      <c r="AI991" s="1171">
        <f t="shared" si="4294"/>
        <v>10114.02</v>
      </c>
      <c r="AJ991" s="1171">
        <f t="shared" si="4294"/>
        <v>8477.5499999999993</v>
      </c>
      <c r="AK991" s="1171">
        <f t="shared" si="4294"/>
        <v>11163.6</v>
      </c>
      <c r="AL991" s="1171">
        <f t="shared" si="4294"/>
        <v>11134.439999999999</v>
      </c>
      <c r="AM991" s="1171">
        <f t="shared" si="4294"/>
        <v>11650.859999999999</v>
      </c>
      <c r="AN991" s="1171">
        <f t="shared" ref="AN991:AQ991" si="4295">+AN$12*AN1012</f>
        <v>9796.0003005242452</v>
      </c>
      <c r="AO991" s="1171">
        <f t="shared" si="4295"/>
        <v>12627.897906953405</v>
      </c>
      <c r="AP991" s="1171">
        <f t="shared" si="4295"/>
        <v>12790.018184139515</v>
      </c>
      <c r="AQ991" s="1171">
        <f t="shared" si="4295"/>
        <v>13445.015956487949</v>
      </c>
    </row>
    <row r="992" spans="2:72">
      <c r="B992" s="1170" t="s">
        <v>624</v>
      </c>
      <c r="C992" s="1171"/>
      <c r="D992" s="1171">
        <f t="shared" ref="D992:AM992" si="4296">+D$12*D1013</f>
        <v>627.29999999999995</v>
      </c>
      <c r="E992" s="1171">
        <f t="shared" si="4296"/>
        <v>757.58999999999992</v>
      </c>
      <c r="F992" s="1171">
        <f t="shared" si="4296"/>
        <v>645.51</v>
      </c>
      <c r="G992" s="1171">
        <f t="shared" si="4296"/>
        <v>704.22</v>
      </c>
      <c r="H992" s="1171">
        <f t="shared" si="4296"/>
        <v>657.84</v>
      </c>
      <c r="I992" s="1171">
        <f t="shared" si="4296"/>
        <v>774.78</v>
      </c>
      <c r="J992" s="1171">
        <f t="shared" si="4296"/>
        <v>696.36</v>
      </c>
      <c r="K992" s="1171">
        <f t="shared" si="4296"/>
        <v>768.15</v>
      </c>
      <c r="L992" s="1171">
        <f t="shared" si="4296"/>
        <v>736.14</v>
      </c>
      <c r="M992" s="1171">
        <f t="shared" si="4296"/>
        <v>867.54</v>
      </c>
      <c r="N992" s="1171">
        <f t="shared" si="4296"/>
        <v>804.56999999999994</v>
      </c>
      <c r="O992" s="1171">
        <f t="shared" si="4296"/>
        <v>902.55</v>
      </c>
      <c r="P992" s="1171">
        <f t="shared" si="4296"/>
        <v>872.52</v>
      </c>
      <c r="Q992" s="1171">
        <f t="shared" si="4296"/>
        <v>974.13</v>
      </c>
      <c r="R992" s="1171">
        <f t="shared" si="4296"/>
        <v>917.13</v>
      </c>
      <c r="S992" s="1171">
        <f t="shared" si="4296"/>
        <v>1011.51</v>
      </c>
      <c r="T992" s="1171">
        <f t="shared" si="4296"/>
        <v>991.65</v>
      </c>
      <c r="U992" s="1171">
        <f t="shared" si="4296"/>
        <v>1107.18</v>
      </c>
      <c r="V992" s="1171">
        <f t="shared" si="4296"/>
        <v>1050.6299999999999</v>
      </c>
      <c r="W992" s="1171">
        <f t="shared" si="4296"/>
        <v>1140.99</v>
      </c>
      <c r="X992" s="1171">
        <f t="shared" si="4296"/>
        <v>1114.6199999999999</v>
      </c>
      <c r="Y992" s="1171">
        <f t="shared" si="4296"/>
        <v>1292.28</v>
      </c>
      <c r="Z992" s="1171">
        <f t="shared" si="4296"/>
        <v>1251.18</v>
      </c>
      <c r="AA992" s="1171">
        <f t="shared" si="4296"/>
        <v>1384.56</v>
      </c>
      <c r="AB992" s="1171">
        <f t="shared" si="4296"/>
        <v>906.34</v>
      </c>
      <c r="AC992" s="1171">
        <f t="shared" si="4296"/>
        <v>775.92</v>
      </c>
      <c r="AD992" s="1171">
        <f t="shared" si="4296"/>
        <v>740.4</v>
      </c>
      <c r="AE992" s="1171">
        <f t="shared" si="4296"/>
        <v>777.97500000000002</v>
      </c>
      <c r="AF992" s="1171">
        <f t="shared" si="4296"/>
        <v>1002.44</v>
      </c>
      <c r="AG992" s="1171">
        <f t="shared" si="4296"/>
        <v>791.20499999999993</v>
      </c>
      <c r="AH992" s="1171">
        <f t="shared" si="4296"/>
        <v>792.85500000000002</v>
      </c>
      <c r="AI992" s="1171">
        <f t="shared" si="4296"/>
        <v>842.83499999999992</v>
      </c>
      <c r="AJ992" s="1171">
        <f t="shared" si="4296"/>
        <v>1130.3399999999999</v>
      </c>
      <c r="AK992" s="1171">
        <f t="shared" si="4296"/>
        <v>930.3</v>
      </c>
      <c r="AL992" s="1171">
        <f t="shared" si="4296"/>
        <v>927.87</v>
      </c>
      <c r="AM992" s="1171">
        <f t="shared" si="4296"/>
        <v>970.90499999999997</v>
      </c>
      <c r="AN992" s="1171">
        <f t="shared" ref="AN992:AQ992" si="4297">+AN$12*AN1013</f>
        <v>1306.1333734032328</v>
      </c>
      <c r="AO992" s="1171">
        <f t="shared" si="4297"/>
        <v>1052.3248255794504</v>
      </c>
      <c r="AP992" s="1171">
        <f t="shared" si="4297"/>
        <v>1065.8348486782929</v>
      </c>
      <c r="AQ992" s="1171">
        <f t="shared" si="4297"/>
        <v>1120.4179963739957</v>
      </c>
    </row>
    <row r="993" spans="1:60">
      <c r="B993" s="1170" t="s">
        <v>625</v>
      </c>
      <c r="C993" s="1171"/>
      <c r="D993" s="1171">
        <f t="shared" ref="D993:AM993" si="4298">+D$12*D1014</f>
        <v>627.29999999999995</v>
      </c>
      <c r="E993" s="1171">
        <f t="shared" si="4298"/>
        <v>757.58999999999992</v>
      </c>
      <c r="F993" s="1171">
        <f t="shared" si="4298"/>
        <v>645.51</v>
      </c>
      <c r="G993" s="1171">
        <f t="shared" si="4298"/>
        <v>704.22</v>
      </c>
      <c r="H993" s="1171">
        <f t="shared" si="4298"/>
        <v>657.84</v>
      </c>
      <c r="I993" s="1171">
        <f t="shared" si="4298"/>
        <v>774.78</v>
      </c>
      <c r="J993" s="1171">
        <f t="shared" si="4298"/>
        <v>696.36</v>
      </c>
      <c r="K993" s="1171">
        <f t="shared" si="4298"/>
        <v>768.15</v>
      </c>
      <c r="L993" s="1171">
        <f t="shared" si="4298"/>
        <v>736.14</v>
      </c>
      <c r="M993" s="1171">
        <f t="shared" si="4298"/>
        <v>867.54</v>
      </c>
      <c r="N993" s="1171">
        <f t="shared" si="4298"/>
        <v>804.56999999999994</v>
      </c>
      <c r="O993" s="1171">
        <f t="shared" si="4298"/>
        <v>902.55</v>
      </c>
      <c r="P993" s="1171">
        <f t="shared" si="4298"/>
        <v>872.52</v>
      </c>
      <c r="Q993" s="1171">
        <f t="shared" si="4298"/>
        <v>974.13</v>
      </c>
      <c r="R993" s="1171">
        <f t="shared" si="4298"/>
        <v>917.13</v>
      </c>
      <c r="S993" s="1171">
        <f t="shared" si="4298"/>
        <v>1011.51</v>
      </c>
      <c r="T993" s="1171">
        <f t="shared" si="4298"/>
        <v>991.65</v>
      </c>
      <c r="U993" s="1171">
        <f t="shared" si="4298"/>
        <v>1107.18</v>
      </c>
      <c r="V993" s="1171">
        <f t="shared" si="4298"/>
        <v>1050.6299999999999</v>
      </c>
      <c r="W993" s="1171">
        <f t="shared" si="4298"/>
        <v>1140.99</v>
      </c>
      <c r="X993" s="1171">
        <f t="shared" si="4298"/>
        <v>1114.6199999999999</v>
      </c>
      <c r="Y993" s="1171">
        <f t="shared" si="4298"/>
        <v>1292.28</v>
      </c>
      <c r="Z993" s="1171">
        <f t="shared" si="4298"/>
        <v>1251.18</v>
      </c>
      <c r="AA993" s="1171">
        <f t="shared" si="4298"/>
        <v>1384.56</v>
      </c>
      <c r="AB993" s="1171">
        <f t="shared" si="4298"/>
        <v>906.34</v>
      </c>
      <c r="AC993" s="1171">
        <f t="shared" si="4298"/>
        <v>775.92</v>
      </c>
      <c r="AD993" s="1171">
        <f t="shared" si="4298"/>
        <v>1480.8</v>
      </c>
      <c r="AE993" s="1171">
        <f t="shared" si="4298"/>
        <v>1555.95</v>
      </c>
      <c r="AF993" s="1171">
        <f t="shared" si="4298"/>
        <v>1002.44</v>
      </c>
      <c r="AG993" s="1171">
        <f t="shared" si="4298"/>
        <v>791.20499999999993</v>
      </c>
      <c r="AH993" s="1171">
        <f t="shared" si="4298"/>
        <v>1585.71</v>
      </c>
      <c r="AI993" s="1171">
        <f t="shared" si="4298"/>
        <v>1685.6699999999998</v>
      </c>
      <c r="AJ993" s="1171">
        <f t="shared" si="4298"/>
        <v>1130.3399999999999</v>
      </c>
      <c r="AK993" s="1171">
        <f t="shared" si="4298"/>
        <v>930.3</v>
      </c>
      <c r="AL993" s="1171">
        <f t="shared" si="4298"/>
        <v>1855.74</v>
      </c>
      <c r="AM993" s="1171">
        <f t="shared" si="4298"/>
        <v>1941.81</v>
      </c>
      <c r="AN993" s="1171">
        <f t="shared" ref="AN993:AQ993" si="4299">+AN$12*AN1014</f>
        <v>1306.1333734032328</v>
      </c>
      <c r="AO993" s="1171">
        <f t="shared" si="4299"/>
        <v>1052.3248255794504</v>
      </c>
      <c r="AP993" s="1171">
        <f t="shared" si="4299"/>
        <v>2131.6696973565859</v>
      </c>
      <c r="AQ993" s="1171">
        <f t="shared" si="4299"/>
        <v>2240.8359927479914</v>
      </c>
    </row>
    <row r="994" spans="1:60" ht="11.45">
      <c r="B994" s="1170" t="s">
        <v>626</v>
      </c>
      <c r="C994" s="1172"/>
      <c r="D994" s="1172">
        <f t="shared" ref="D994:AM994" si="4300">+D$12*D1015</f>
        <v>627.29999999999825</v>
      </c>
      <c r="E994" s="1172">
        <f t="shared" si="4300"/>
        <v>757.58999999999787</v>
      </c>
      <c r="F994" s="1172">
        <f t="shared" si="4300"/>
        <v>645.50999999999817</v>
      </c>
      <c r="G994" s="1172">
        <f t="shared" si="4300"/>
        <v>704.21999999999798</v>
      </c>
      <c r="H994" s="1172">
        <f t="shared" si="4300"/>
        <v>657.8399999999981</v>
      </c>
      <c r="I994" s="1172">
        <f t="shared" si="4300"/>
        <v>774.77999999999781</v>
      </c>
      <c r="J994" s="1172">
        <f t="shared" si="4300"/>
        <v>696.35999999999808</v>
      </c>
      <c r="K994" s="1172">
        <f t="shared" si="4300"/>
        <v>768.14999999999782</v>
      </c>
      <c r="L994" s="1172">
        <f t="shared" si="4300"/>
        <v>736.13999999999794</v>
      </c>
      <c r="M994" s="1172">
        <f t="shared" si="4300"/>
        <v>867.53999999999758</v>
      </c>
      <c r="N994" s="1172">
        <f t="shared" si="4300"/>
        <v>804.56999999999778</v>
      </c>
      <c r="O994" s="1172">
        <f t="shared" si="4300"/>
        <v>902.54999999999745</v>
      </c>
      <c r="P994" s="1172">
        <f t="shared" si="4300"/>
        <v>872.51999999999759</v>
      </c>
      <c r="Q994" s="1172">
        <f t="shared" si="4300"/>
        <v>974.12999999999727</v>
      </c>
      <c r="R994" s="1172">
        <f t="shared" si="4300"/>
        <v>917.12999999999738</v>
      </c>
      <c r="S994" s="1172">
        <f t="shared" si="4300"/>
        <v>1011.5099999999971</v>
      </c>
      <c r="T994" s="1172">
        <f t="shared" si="4300"/>
        <v>991.64999999999725</v>
      </c>
      <c r="U994" s="1172">
        <f t="shared" si="4300"/>
        <v>1107.1799999999969</v>
      </c>
      <c r="V994" s="1172">
        <f t="shared" si="4300"/>
        <v>1050.6299999999972</v>
      </c>
      <c r="W994" s="1172">
        <f t="shared" si="4300"/>
        <v>1140.9899999999968</v>
      </c>
      <c r="X994" s="1172">
        <f t="shared" si="4300"/>
        <v>1114.6199999999969</v>
      </c>
      <c r="Y994" s="1172">
        <f t="shared" si="4300"/>
        <v>1292.2799999999963</v>
      </c>
      <c r="Z994" s="1172">
        <f t="shared" si="4300"/>
        <v>1251.1799999999964</v>
      </c>
      <c r="AA994" s="1172">
        <f t="shared" si="4300"/>
        <v>1384.5599999999961</v>
      </c>
      <c r="AB994" s="1172">
        <f t="shared" si="4300"/>
        <v>453.16999999999535</v>
      </c>
      <c r="AC994" s="1172">
        <f t="shared" si="4300"/>
        <v>517.28000000000043</v>
      </c>
      <c r="AD994" s="1172">
        <f t="shared" si="4300"/>
        <v>1234.0000000000011</v>
      </c>
      <c r="AE994" s="1172">
        <f t="shared" si="4300"/>
        <v>1296.6250000000011</v>
      </c>
      <c r="AF994" s="1172">
        <f t="shared" si="4300"/>
        <v>501.21999999999485</v>
      </c>
      <c r="AG994" s="1172">
        <f t="shared" si="4300"/>
        <v>527.47000000000048</v>
      </c>
      <c r="AH994" s="1172">
        <f t="shared" si="4300"/>
        <v>1321.4250000000011</v>
      </c>
      <c r="AI994" s="1172">
        <f t="shared" si="4300"/>
        <v>1404.7250000000013</v>
      </c>
      <c r="AJ994" s="1172">
        <f t="shared" si="4300"/>
        <v>565.16999999999427</v>
      </c>
      <c r="AK994" s="1172">
        <f t="shared" si="4300"/>
        <v>620.2000000000005</v>
      </c>
      <c r="AL994" s="1172">
        <f t="shared" si="4300"/>
        <v>1546.4500000000014</v>
      </c>
      <c r="AM994" s="1172">
        <f t="shared" si="4300"/>
        <v>1618.1750000000015</v>
      </c>
      <c r="AN994" s="1172">
        <f t="shared" ref="AN994:AQ994" si="4301">+AN$12*AN1015</f>
        <v>653.0666867016098</v>
      </c>
      <c r="AO994" s="1172">
        <f t="shared" si="4301"/>
        <v>701.54988371963429</v>
      </c>
      <c r="AP994" s="1172">
        <f t="shared" si="4301"/>
        <v>1776.3914144638231</v>
      </c>
      <c r="AQ994" s="1172">
        <f t="shared" si="4301"/>
        <v>1867.3633272899947</v>
      </c>
    </row>
    <row r="995" spans="1:60" ht="10.5">
      <c r="B995" s="1173" t="s">
        <v>341</v>
      </c>
      <c r="C995" s="1174"/>
      <c r="D995" s="1174">
        <f t="shared" ref="D995:AM995" si="4302">+SUM(D989:D994)</f>
        <v>20909.999999999996</v>
      </c>
      <c r="E995" s="1174">
        <f t="shared" si="4302"/>
        <v>25252.999999999996</v>
      </c>
      <c r="F995" s="1174">
        <f t="shared" si="4302"/>
        <v>21516.999999999996</v>
      </c>
      <c r="G995" s="1174">
        <f t="shared" si="4302"/>
        <v>23474</v>
      </c>
      <c r="H995" s="1174">
        <f t="shared" si="4302"/>
        <v>21927.999999999996</v>
      </c>
      <c r="I995" s="1174">
        <f t="shared" si="4302"/>
        <v>25826</v>
      </c>
      <c r="J995" s="1174">
        <f t="shared" si="4302"/>
        <v>23212</v>
      </c>
      <c r="K995" s="1174">
        <f t="shared" si="4302"/>
        <v>25605.000000000004</v>
      </c>
      <c r="L995" s="1174">
        <f t="shared" si="4302"/>
        <v>24537.999999999996</v>
      </c>
      <c r="M995" s="1174">
        <f t="shared" si="4302"/>
        <v>28918</v>
      </c>
      <c r="N995" s="1174">
        <f t="shared" si="4302"/>
        <v>26819</v>
      </c>
      <c r="O995" s="1174">
        <f t="shared" si="4302"/>
        <v>30084.999999999993</v>
      </c>
      <c r="P995" s="1174">
        <f t="shared" si="4302"/>
        <v>29084</v>
      </c>
      <c r="Q995" s="1174">
        <f t="shared" si="4302"/>
        <v>32471</v>
      </c>
      <c r="R995" s="1174">
        <f t="shared" si="4302"/>
        <v>30571</v>
      </c>
      <c r="S995" s="1174">
        <f t="shared" si="4302"/>
        <v>33716.999999999993</v>
      </c>
      <c r="T995" s="1174">
        <f t="shared" si="4302"/>
        <v>33055</v>
      </c>
      <c r="U995" s="1174">
        <f t="shared" si="4302"/>
        <v>36906</v>
      </c>
      <c r="V995" s="1174">
        <f t="shared" si="4302"/>
        <v>35020.999999999993</v>
      </c>
      <c r="W995" s="1174">
        <f t="shared" si="4302"/>
        <v>38032.999999999993</v>
      </c>
      <c r="X995" s="1174">
        <f t="shared" si="4302"/>
        <v>37154</v>
      </c>
      <c r="Y995" s="1174">
        <f t="shared" si="4302"/>
        <v>43075.999999999993</v>
      </c>
      <c r="Z995" s="1174">
        <f t="shared" si="4302"/>
        <v>41705.999999999993</v>
      </c>
      <c r="AA995" s="1174">
        <f t="shared" si="4302"/>
        <v>46151.999999999993</v>
      </c>
      <c r="AB995" s="1174">
        <f t="shared" si="4302"/>
        <v>45316.999999999993</v>
      </c>
      <c r="AC995" s="1174">
        <f t="shared" si="4302"/>
        <v>51727.999999999993</v>
      </c>
      <c r="AD995" s="1174">
        <f t="shared" si="4302"/>
        <v>49360.000000000007</v>
      </c>
      <c r="AE995" s="1174">
        <f t="shared" si="4302"/>
        <v>51864.999999999993</v>
      </c>
      <c r="AF995" s="1174">
        <f t="shared" si="4302"/>
        <v>50122.000000000007</v>
      </c>
      <c r="AG995" s="1174">
        <f t="shared" si="4302"/>
        <v>52747</v>
      </c>
      <c r="AH995" s="1174">
        <f t="shared" si="4302"/>
        <v>52857.000000000007</v>
      </c>
      <c r="AI995" s="1174">
        <f t="shared" si="4302"/>
        <v>56189</v>
      </c>
      <c r="AJ995" s="1174">
        <f t="shared" si="4302"/>
        <v>56516.999999999993</v>
      </c>
      <c r="AK995" s="1174">
        <f t="shared" si="4302"/>
        <v>62020</v>
      </c>
      <c r="AL995" s="1174">
        <f t="shared" si="4302"/>
        <v>61857.999999999993</v>
      </c>
      <c r="AM995" s="1174">
        <f t="shared" si="4302"/>
        <v>64727</v>
      </c>
      <c r="AN995" s="1174">
        <f t="shared" ref="AN995:AQ995" si="4303">+SUM(AN989:AN994)</f>
        <v>65306.668670161635</v>
      </c>
      <c r="AO995" s="1174">
        <f t="shared" si="4303"/>
        <v>70154.988371963351</v>
      </c>
      <c r="AP995" s="1174">
        <f t="shared" si="4303"/>
        <v>71055.656578552866</v>
      </c>
      <c r="AQ995" s="1174">
        <f t="shared" si="4303"/>
        <v>74694.533091599718</v>
      </c>
    </row>
    <row r="996" spans="1:60">
      <c r="B996" s="1175"/>
      <c r="C996" s="1171"/>
      <c r="D996" s="1171"/>
      <c r="E996" s="1171"/>
      <c r="F996" s="1171"/>
      <c r="G996" s="1171"/>
      <c r="H996" s="1171"/>
      <c r="I996" s="1171"/>
      <c r="J996" s="1171"/>
      <c r="K996" s="1171"/>
      <c r="L996" s="1171"/>
      <c r="M996" s="1171"/>
      <c r="N996" s="1171"/>
      <c r="O996" s="1171"/>
      <c r="P996" s="1171"/>
      <c r="Q996" s="1171"/>
      <c r="R996" s="1171"/>
      <c r="S996" s="1171"/>
      <c r="T996" s="1171"/>
      <c r="U996" s="1171"/>
      <c r="V996" s="1171"/>
      <c r="W996" s="1171"/>
      <c r="X996" s="1171"/>
      <c r="Y996" s="1171"/>
      <c r="Z996" s="1171"/>
      <c r="AA996" s="1171"/>
      <c r="AB996" s="1171"/>
      <c r="AC996" s="1171"/>
      <c r="AD996" s="1171"/>
      <c r="AE996" s="1171"/>
      <c r="AF996" s="1171"/>
      <c r="AG996" s="1171"/>
      <c r="AH996" s="1171"/>
      <c r="AI996" s="1171"/>
      <c r="AJ996" s="1171"/>
      <c r="AK996" s="1171"/>
      <c r="AL996" s="1171"/>
      <c r="AM996" s="1171"/>
      <c r="AN996" s="1171"/>
      <c r="AO996" s="1171"/>
      <c r="AP996" s="1171"/>
      <c r="AQ996" s="1171"/>
    </row>
    <row r="997" spans="1:60">
      <c r="B997" s="1176" t="s">
        <v>87</v>
      </c>
      <c r="C997" s="872"/>
      <c r="D997" s="228"/>
      <c r="E997" s="228"/>
      <c r="F997" s="228"/>
      <c r="G997" s="228"/>
      <c r="H997" s="228"/>
      <c r="I997" s="228"/>
      <c r="J997" s="228"/>
      <c r="K997" s="228"/>
      <c r="L997" s="228"/>
      <c r="M997" s="228"/>
      <c r="N997" s="228"/>
      <c r="O997" s="228"/>
      <c r="P997" s="228"/>
      <c r="Q997" s="228"/>
      <c r="R997" s="228"/>
      <c r="S997" s="228"/>
      <c r="T997" s="228"/>
      <c r="U997" s="228"/>
      <c r="V997" s="228"/>
      <c r="W997" s="228"/>
      <c r="X997" s="228"/>
      <c r="Y997" s="228"/>
      <c r="Z997" s="228"/>
      <c r="AA997" s="228"/>
      <c r="AB997" s="228"/>
      <c r="AC997" s="228"/>
      <c r="AD997" s="228"/>
      <c r="AE997" s="228"/>
      <c r="AF997" s="228"/>
      <c r="AG997" s="228"/>
      <c r="AH997" s="228"/>
      <c r="AI997" s="228"/>
      <c r="AJ997" s="228"/>
      <c r="AK997" s="228"/>
      <c r="AL997" s="228"/>
      <c r="AM997" s="228"/>
      <c r="AN997" s="228"/>
      <c r="AO997" s="228"/>
      <c r="AP997" s="228"/>
      <c r="AQ997" s="228"/>
    </row>
    <row r="998" spans="1:60">
      <c r="B998" s="1177" t="str">
        <f>+B989</f>
        <v>USD</v>
      </c>
      <c r="C998" s="872"/>
      <c r="D998" s="228" t="str">
        <f>IFERROR(D989/#REF!-1,"")</f>
        <v/>
      </c>
      <c r="E998" s="228" t="str">
        <f>IFERROR(E989/#REF!-1,"")</f>
        <v/>
      </c>
      <c r="F998" s="228" t="str">
        <f>IFERROR(F989/#REF!-1,"")</f>
        <v/>
      </c>
      <c r="G998" s="228" t="str">
        <f>IFERROR(G989/#REF!-1,"")</f>
        <v/>
      </c>
      <c r="H998" s="228">
        <f t="shared" ref="H998:AM998" si="4304">IFERROR(H989/D989-1,"")</f>
        <v>4.8684839789574497E-2</v>
      </c>
      <c r="I998" s="228">
        <f t="shared" si="4304"/>
        <v>2.2690373420979792E-2</v>
      </c>
      <c r="J998" s="228">
        <f t="shared" si="4304"/>
        <v>7.8774922154575489E-2</v>
      </c>
      <c r="K998" s="228">
        <f t="shared" si="4304"/>
        <v>9.0781289937803544E-2</v>
      </c>
      <c r="L998" s="228">
        <f t="shared" si="4304"/>
        <v>0.11902590295512594</v>
      </c>
      <c r="M998" s="228">
        <f t="shared" si="4304"/>
        <v>0.11972430883605667</v>
      </c>
      <c r="N998" s="228">
        <f t="shared" si="4304"/>
        <v>0.15539376184732046</v>
      </c>
      <c r="O998" s="228">
        <f t="shared" si="4304"/>
        <v>0.17496582698691654</v>
      </c>
      <c r="P998" s="228">
        <f t="shared" si="4304"/>
        <v>0.18526367267095933</v>
      </c>
      <c r="Q998" s="228">
        <f t="shared" si="4304"/>
        <v>0.12286465177398154</v>
      </c>
      <c r="R998" s="228">
        <f t="shared" si="4304"/>
        <v>0.13990081658525666</v>
      </c>
      <c r="S998" s="228">
        <f t="shared" si="4304"/>
        <v>0.12072461359481457</v>
      </c>
      <c r="T998" s="228">
        <f t="shared" si="4304"/>
        <v>0.13653555219364577</v>
      </c>
      <c r="U998" s="228">
        <f t="shared" si="4304"/>
        <v>0.13658341289150311</v>
      </c>
      <c r="V998" s="228">
        <f t="shared" si="4304"/>
        <v>0.14556278826338676</v>
      </c>
      <c r="W998" s="228">
        <f t="shared" si="4304"/>
        <v>0.12800664353293589</v>
      </c>
      <c r="X998" s="228">
        <f t="shared" si="4304"/>
        <v>0.12400544546967196</v>
      </c>
      <c r="Y998" s="228">
        <f t="shared" si="4304"/>
        <v>0.16718148810491518</v>
      </c>
      <c r="Z998" s="228">
        <f t="shared" si="4304"/>
        <v>0.19088546871876866</v>
      </c>
      <c r="AA998" s="228">
        <f t="shared" si="4304"/>
        <v>0.21347251071437956</v>
      </c>
      <c r="AB998" s="228">
        <f t="shared" si="4304"/>
        <v>0.2197071647736446</v>
      </c>
      <c r="AC998" s="228">
        <f t="shared" si="4304"/>
        <v>0.1084808960192003</v>
      </c>
      <c r="AD998" s="228">
        <f t="shared" si="4304"/>
        <v>9.2482542633600007E-2</v>
      </c>
      <c r="AE998" s="228">
        <f t="shared" si="4304"/>
        <v>3.7341493659746483E-2</v>
      </c>
      <c r="AF998" s="228">
        <f t="shared" si="4304"/>
        <v>0.10603084935013363</v>
      </c>
      <c r="AG998" s="228">
        <f t="shared" si="4304"/>
        <v>1.9699195793380753E-2</v>
      </c>
      <c r="AH998" s="228">
        <f t="shared" si="4304"/>
        <v>7.0846839546191198E-2</v>
      </c>
      <c r="AI998" s="228">
        <f t="shared" si="4304"/>
        <v>8.3370288248337143E-2</v>
      </c>
      <c r="AJ998" s="228">
        <f t="shared" si="4304"/>
        <v>0.12758868361198683</v>
      </c>
      <c r="AK998" s="228">
        <f t="shared" si="4304"/>
        <v>0.1758014673820314</v>
      </c>
      <c r="AL998" s="228">
        <f t="shared" si="4304"/>
        <v>0.17028964943148495</v>
      </c>
      <c r="AM998" s="228">
        <f t="shared" si="4304"/>
        <v>0.15195144957198004</v>
      </c>
      <c r="AN998" s="228">
        <f t="shared" ref="AN998:AN1004" si="4305">IFERROR(AN989/AJ989-1,"")</f>
        <v>0.15552256259464659</v>
      </c>
      <c r="AO998" s="228">
        <f t="shared" ref="AO998:AO1004" si="4306">IFERROR(AO989/AK989-1,"")</f>
        <v>0.13116717787751297</v>
      </c>
      <c r="AP998" s="228">
        <f t="shared" ref="AP998:AP1004" si="4307">IFERROR(AP989/AL989-1,"")</f>
        <v>0.14868984736902058</v>
      </c>
      <c r="AQ998" s="228">
        <f t="shared" ref="AQ998:AQ1004" si="4308">IFERROR(AQ989/AM989-1,"")</f>
        <v>0.15399343537626842</v>
      </c>
    </row>
    <row r="999" spans="1:60">
      <c r="B999" s="1177" t="str">
        <f t="shared" ref="B999" si="4309">+B990</f>
        <v>EUR</v>
      </c>
      <c r="C999" s="872"/>
      <c r="D999" s="228" t="str">
        <f>IFERROR(D990/#REF!-1,"")</f>
        <v/>
      </c>
      <c r="E999" s="228" t="str">
        <f>IFERROR(E990/#REF!-1,"")</f>
        <v/>
      </c>
      <c r="F999" s="228" t="str">
        <f>IFERROR(F990/#REF!-1,"")</f>
        <v/>
      </c>
      <c r="G999" s="228" t="str">
        <f>IFERROR(G990/#REF!-1,"")</f>
        <v/>
      </c>
      <c r="H999" s="228">
        <f t="shared" ref="H999:AM999" si="4310">IFERROR(H990/D990-1,"")</f>
        <v>4.8684839789574275E-2</v>
      </c>
      <c r="I999" s="228">
        <f t="shared" si="4310"/>
        <v>2.269037342097957E-2</v>
      </c>
      <c r="J999" s="228">
        <f t="shared" si="4310"/>
        <v>7.8774922154575489E-2</v>
      </c>
      <c r="K999" s="228">
        <f t="shared" si="4310"/>
        <v>9.0781289937803544E-2</v>
      </c>
      <c r="L999" s="228">
        <f t="shared" si="4310"/>
        <v>0.11902590295512594</v>
      </c>
      <c r="M999" s="228">
        <f t="shared" si="4310"/>
        <v>0.11972430883605667</v>
      </c>
      <c r="N999" s="228">
        <f t="shared" si="4310"/>
        <v>0.15539376184732046</v>
      </c>
      <c r="O999" s="228">
        <f t="shared" si="4310"/>
        <v>0.17496582698691654</v>
      </c>
      <c r="P999" s="228">
        <f t="shared" si="4310"/>
        <v>0.18526367267095933</v>
      </c>
      <c r="Q999" s="228">
        <f t="shared" si="4310"/>
        <v>0.12286465177398176</v>
      </c>
      <c r="R999" s="228">
        <f t="shared" si="4310"/>
        <v>0.13990081658525666</v>
      </c>
      <c r="S999" s="228">
        <f t="shared" si="4310"/>
        <v>0.12072461359481457</v>
      </c>
      <c r="T999" s="228">
        <f t="shared" si="4310"/>
        <v>0.13653555219364621</v>
      </c>
      <c r="U999" s="228">
        <f t="shared" si="4310"/>
        <v>0.13658341289150311</v>
      </c>
      <c r="V999" s="228">
        <f t="shared" si="4310"/>
        <v>0.14556278826338698</v>
      </c>
      <c r="W999" s="228">
        <f t="shared" si="4310"/>
        <v>0.12800664353293589</v>
      </c>
      <c r="X999" s="228">
        <f t="shared" si="4310"/>
        <v>0.12400544546967174</v>
      </c>
      <c r="Y999" s="228">
        <f t="shared" si="4310"/>
        <v>0.16718148810491518</v>
      </c>
      <c r="Z999" s="228">
        <f t="shared" si="4310"/>
        <v>0.19088546871876866</v>
      </c>
      <c r="AA999" s="228">
        <f t="shared" si="4310"/>
        <v>0.21347251071437956</v>
      </c>
      <c r="AB999" s="228">
        <f t="shared" si="4310"/>
        <v>0.40735442089266694</v>
      </c>
      <c r="AC999" s="228">
        <f t="shared" si="4310"/>
        <v>0.66272134402880045</v>
      </c>
      <c r="AD999" s="228">
        <f t="shared" si="4310"/>
        <v>0.36560317829200017</v>
      </c>
      <c r="AE999" s="228">
        <f t="shared" si="4310"/>
        <v>0.29667686707468288</v>
      </c>
      <c r="AF999" s="228">
        <f t="shared" si="4310"/>
        <v>0.1060308493501334</v>
      </c>
      <c r="AG999" s="228">
        <f t="shared" si="4310"/>
        <v>1.9699195793380753E-2</v>
      </c>
      <c r="AH999" s="228">
        <f t="shared" si="4310"/>
        <v>7.0846839546191198E-2</v>
      </c>
      <c r="AI999" s="228">
        <f t="shared" si="4310"/>
        <v>8.3370288248337143E-2</v>
      </c>
      <c r="AJ999" s="228">
        <f t="shared" si="4310"/>
        <v>0.12758868361198683</v>
      </c>
      <c r="AK999" s="228">
        <f t="shared" si="4310"/>
        <v>0.1758014673820314</v>
      </c>
      <c r="AL999" s="228">
        <f t="shared" si="4310"/>
        <v>0.17028964943148495</v>
      </c>
      <c r="AM999" s="228">
        <f t="shared" si="4310"/>
        <v>0.15195144957198004</v>
      </c>
      <c r="AN999" s="228">
        <f t="shared" si="4305"/>
        <v>0.15552256259464659</v>
      </c>
      <c r="AO999" s="228">
        <f t="shared" si="4306"/>
        <v>0.13116717787751297</v>
      </c>
      <c r="AP999" s="228">
        <f t="shared" si="4307"/>
        <v>0.14868984736902058</v>
      </c>
      <c r="AQ999" s="228">
        <f t="shared" si="4308"/>
        <v>0.15399343537626842</v>
      </c>
    </row>
    <row r="1000" spans="1:60">
      <c r="B1000" s="1177" t="s">
        <v>623</v>
      </c>
      <c r="C1000" s="872"/>
      <c r="D1000" s="228"/>
      <c r="E1000" s="228"/>
      <c r="F1000" s="228"/>
      <c r="G1000" s="228"/>
      <c r="H1000" s="228">
        <f t="shared" ref="H1000:AM1000" si="4311">IFERROR(H991/D991-1,"")</f>
        <v>4.8684839789574275E-2</v>
      </c>
      <c r="I1000" s="228">
        <f t="shared" si="4311"/>
        <v>2.269037342097957E-2</v>
      </c>
      <c r="J1000" s="228">
        <f t="shared" si="4311"/>
        <v>7.8774922154575489E-2</v>
      </c>
      <c r="K1000" s="228">
        <f t="shared" si="4311"/>
        <v>9.0781289937803544E-2</v>
      </c>
      <c r="L1000" s="228">
        <f t="shared" si="4311"/>
        <v>0.11902590295512594</v>
      </c>
      <c r="M1000" s="228">
        <f t="shared" si="4311"/>
        <v>0.11972430883605667</v>
      </c>
      <c r="N1000" s="228">
        <f t="shared" si="4311"/>
        <v>0.15539376184732046</v>
      </c>
      <c r="O1000" s="228">
        <f t="shared" si="4311"/>
        <v>0.17496582698691654</v>
      </c>
      <c r="P1000" s="228">
        <f t="shared" si="4311"/>
        <v>0.18526367267095933</v>
      </c>
      <c r="Q1000" s="228">
        <f t="shared" si="4311"/>
        <v>0.12286465177398176</v>
      </c>
      <c r="R1000" s="228">
        <f t="shared" si="4311"/>
        <v>0.13990081658525666</v>
      </c>
      <c r="S1000" s="228">
        <f t="shared" si="4311"/>
        <v>0.12072461359481457</v>
      </c>
      <c r="T1000" s="228">
        <f t="shared" si="4311"/>
        <v>0.13653555219364621</v>
      </c>
      <c r="U1000" s="228">
        <f t="shared" si="4311"/>
        <v>0.13658341289150311</v>
      </c>
      <c r="V1000" s="228">
        <f t="shared" si="4311"/>
        <v>0.14556278826338698</v>
      </c>
      <c r="W1000" s="228">
        <f t="shared" si="4311"/>
        <v>0.12800664353293589</v>
      </c>
      <c r="X1000" s="228">
        <f t="shared" si="4311"/>
        <v>0.12400544546967174</v>
      </c>
      <c r="Y1000" s="228">
        <f t="shared" si="4311"/>
        <v>0.16718148810491518</v>
      </c>
      <c r="Z1000" s="228">
        <f t="shared" si="4311"/>
        <v>0.19088546871876866</v>
      </c>
      <c r="AA1000" s="228">
        <f t="shared" si="4311"/>
        <v>0.21347251071437956</v>
      </c>
      <c r="AB1000" s="228">
        <f t="shared" si="4311"/>
        <v>0.40735442089266694</v>
      </c>
      <c r="AC1000" s="228">
        <f t="shared" si="4311"/>
        <v>0.66272134402880045</v>
      </c>
      <c r="AD1000" s="228">
        <f t="shared" si="4311"/>
        <v>0.6387238139503999</v>
      </c>
      <c r="AE1000" s="228">
        <f t="shared" si="4311"/>
        <v>0.55601224048961928</v>
      </c>
      <c r="AF1000" s="228">
        <f t="shared" si="4311"/>
        <v>0.1060308493501334</v>
      </c>
      <c r="AG1000" s="228">
        <f t="shared" si="4311"/>
        <v>1.9699195793380753E-2</v>
      </c>
      <c r="AH1000" s="228">
        <f t="shared" si="4311"/>
        <v>7.084683954619142E-2</v>
      </c>
      <c r="AI1000" s="228">
        <f t="shared" si="4311"/>
        <v>8.3370288248337143E-2</v>
      </c>
      <c r="AJ1000" s="228">
        <f t="shared" si="4311"/>
        <v>0.12758868361198683</v>
      </c>
      <c r="AK1000" s="228">
        <f t="shared" si="4311"/>
        <v>0.1758014673820314</v>
      </c>
      <c r="AL1000" s="228">
        <f t="shared" si="4311"/>
        <v>0.17028964943148472</v>
      </c>
      <c r="AM1000" s="228">
        <f t="shared" si="4311"/>
        <v>0.15195144957198004</v>
      </c>
      <c r="AN1000" s="228">
        <f t="shared" si="4305"/>
        <v>0.15552256259464659</v>
      </c>
      <c r="AO1000" s="228">
        <f t="shared" si="4306"/>
        <v>0.13116717787751297</v>
      </c>
      <c r="AP1000" s="228">
        <f t="shared" si="4307"/>
        <v>0.14868984736902058</v>
      </c>
      <c r="AQ1000" s="228">
        <f t="shared" si="4308"/>
        <v>0.15399343537626842</v>
      </c>
    </row>
    <row r="1001" spans="1:60">
      <c r="B1001" s="1177" t="s">
        <v>624</v>
      </c>
      <c r="C1001" s="872"/>
      <c r="D1001" s="228"/>
      <c r="E1001" s="228"/>
      <c r="F1001" s="228"/>
      <c r="G1001" s="228"/>
      <c r="H1001" s="228">
        <f t="shared" ref="H1001:AM1001" si="4312">IFERROR(H992/D992-1,"")</f>
        <v>4.8684839789574497E-2</v>
      </c>
      <c r="I1001" s="228">
        <f t="shared" si="4312"/>
        <v>2.2690373420979792E-2</v>
      </c>
      <c r="J1001" s="228">
        <f t="shared" si="4312"/>
        <v>7.8774922154575489E-2</v>
      </c>
      <c r="K1001" s="228">
        <f t="shared" si="4312"/>
        <v>9.0781289937803544E-2</v>
      </c>
      <c r="L1001" s="228">
        <f t="shared" si="4312"/>
        <v>0.11902590295512572</v>
      </c>
      <c r="M1001" s="228">
        <f t="shared" si="4312"/>
        <v>0.11972430883605667</v>
      </c>
      <c r="N1001" s="228">
        <f t="shared" si="4312"/>
        <v>0.15539376184732023</v>
      </c>
      <c r="O1001" s="228">
        <f t="shared" si="4312"/>
        <v>0.17496582698691654</v>
      </c>
      <c r="P1001" s="228">
        <f t="shared" si="4312"/>
        <v>0.18526367267095933</v>
      </c>
      <c r="Q1001" s="228">
        <f t="shared" si="4312"/>
        <v>0.12286465177398154</v>
      </c>
      <c r="R1001" s="228">
        <f t="shared" si="4312"/>
        <v>0.13990081658525688</v>
      </c>
      <c r="S1001" s="228">
        <f t="shared" si="4312"/>
        <v>0.12072461359481479</v>
      </c>
      <c r="T1001" s="228">
        <f t="shared" si="4312"/>
        <v>0.13653555219364599</v>
      </c>
      <c r="U1001" s="228">
        <f t="shared" si="4312"/>
        <v>0.13658341289150333</v>
      </c>
      <c r="V1001" s="228">
        <f t="shared" si="4312"/>
        <v>0.14556278826338676</v>
      </c>
      <c r="W1001" s="228">
        <f t="shared" si="4312"/>
        <v>0.12800664353293589</v>
      </c>
      <c r="X1001" s="228">
        <f t="shared" si="4312"/>
        <v>0.12400544546967174</v>
      </c>
      <c r="Y1001" s="228">
        <f t="shared" si="4312"/>
        <v>0.16718148810491518</v>
      </c>
      <c r="Z1001" s="228">
        <f t="shared" si="4312"/>
        <v>0.19088546871876888</v>
      </c>
      <c r="AA1001" s="228">
        <f t="shared" si="4312"/>
        <v>0.21347251071437956</v>
      </c>
      <c r="AB1001" s="228">
        <f t="shared" si="4312"/>
        <v>-0.18686189015090338</v>
      </c>
      <c r="AC1001" s="228">
        <f t="shared" si="4312"/>
        <v>-0.3995728479895998</v>
      </c>
      <c r="AD1001" s="228">
        <f t="shared" si="4312"/>
        <v>-0.40823862274013334</v>
      </c>
      <c r="AE1001" s="228">
        <f t="shared" si="4312"/>
        <v>-0.43810669093430399</v>
      </c>
      <c r="AF1001" s="228">
        <f t="shared" si="4312"/>
        <v>0.10603084935013363</v>
      </c>
      <c r="AG1001" s="228">
        <f t="shared" si="4312"/>
        <v>1.9699195793380753E-2</v>
      </c>
      <c r="AH1001" s="228">
        <f t="shared" si="4312"/>
        <v>7.0846839546191198E-2</v>
      </c>
      <c r="AI1001" s="228">
        <f t="shared" si="4312"/>
        <v>8.3370288248336921E-2</v>
      </c>
      <c r="AJ1001" s="228">
        <f t="shared" si="4312"/>
        <v>0.12758868361198661</v>
      </c>
      <c r="AK1001" s="228">
        <f t="shared" si="4312"/>
        <v>0.17580146738203117</v>
      </c>
      <c r="AL1001" s="228">
        <f t="shared" si="4312"/>
        <v>0.17028964943148495</v>
      </c>
      <c r="AM1001" s="228">
        <f t="shared" si="4312"/>
        <v>0.15195144957198026</v>
      </c>
      <c r="AN1001" s="228">
        <f t="shared" si="4305"/>
        <v>0.15552256259464659</v>
      </c>
      <c r="AO1001" s="228">
        <f t="shared" si="4306"/>
        <v>0.13116717787751297</v>
      </c>
      <c r="AP1001" s="228">
        <f t="shared" si="4307"/>
        <v>0.14868984736902036</v>
      </c>
      <c r="AQ1001" s="228">
        <f t="shared" si="4308"/>
        <v>0.1539934353762682</v>
      </c>
    </row>
    <row r="1002" spans="1:60">
      <c r="B1002" s="1177" t="s">
        <v>625</v>
      </c>
      <c r="C1002" s="872"/>
      <c r="D1002" s="228"/>
      <c r="E1002" s="228"/>
      <c r="F1002" s="228"/>
      <c r="G1002" s="228"/>
      <c r="H1002" s="228">
        <f t="shared" ref="H1002:AM1002" si="4313">IFERROR(H993/D993-1,"")</f>
        <v>4.8684839789574497E-2</v>
      </c>
      <c r="I1002" s="228">
        <f t="shared" si="4313"/>
        <v>2.2690373420979792E-2</v>
      </c>
      <c r="J1002" s="228">
        <f t="shared" si="4313"/>
        <v>7.8774922154575489E-2</v>
      </c>
      <c r="K1002" s="228">
        <f t="shared" si="4313"/>
        <v>9.0781289937803544E-2</v>
      </c>
      <c r="L1002" s="228">
        <f t="shared" si="4313"/>
        <v>0.11902590295512572</v>
      </c>
      <c r="M1002" s="228">
        <f t="shared" si="4313"/>
        <v>0.11972430883605667</v>
      </c>
      <c r="N1002" s="228">
        <f t="shared" si="4313"/>
        <v>0.15539376184732023</v>
      </c>
      <c r="O1002" s="228">
        <f t="shared" si="4313"/>
        <v>0.17496582698691654</v>
      </c>
      <c r="P1002" s="228">
        <f t="shared" si="4313"/>
        <v>0.18526367267095933</v>
      </c>
      <c r="Q1002" s="228">
        <f t="shared" si="4313"/>
        <v>0.12286465177398154</v>
      </c>
      <c r="R1002" s="228">
        <f t="shared" si="4313"/>
        <v>0.13990081658525688</v>
      </c>
      <c r="S1002" s="228">
        <f t="shared" si="4313"/>
        <v>0.12072461359481479</v>
      </c>
      <c r="T1002" s="228">
        <f t="shared" si="4313"/>
        <v>0.13653555219364599</v>
      </c>
      <c r="U1002" s="228">
        <f t="shared" si="4313"/>
        <v>0.13658341289150333</v>
      </c>
      <c r="V1002" s="228">
        <f t="shared" si="4313"/>
        <v>0.14556278826338676</v>
      </c>
      <c r="W1002" s="228">
        <f t="shared" si="4313"/>
        <v>0.12800664353293589</v>
      </c>
      <c r="X1002" s="228">
        <f t="shared" si="4313"/>
        <v>0.12400544546967174</v>
      </c>
      <c r="Y1002" s="228">
        <f t="shared" si="4313"/>
        <v>0.16718148810491518</v>
      </c>
      <c r="Z1002" s="228">
        <f t="shared" si="4313"/>
        <v>0.19088546871876888</v>
      </c>
      <c r="AA1002" s="228">
        <f t="shared" si="4313"/>
        <v>0.21347251071437956</v>
      </c>
      <c r="AB1002" s="228">
        <f t="shared" si="4313"/>
        <v>-0.18686189015090338</v>
      </c>
      <c r="AC1002" s="228">
        <f t="shared" si="4313"/>
        <v>-0.3995728479895998</v>
      </c>
      <c r="AD1002" s="228">
        <f t="shared" si="4313"/>
        <v>0.18352275451973332</v>
      </c>
      <c r="AE1002" s="228">
        <f t="shared" si="4313"/>
        <v>0.12378661813139202</v>
      </c>
      <c r="AF1002" s="228">
        <f t="shared" si="4313"/>
        <v>0.10603084935013363</v>
      </c>
      <c r="AG1002" s="228">
        <f t="shared" si="4313"/>
        <v>1.9699195793380753E-2</v>
      </c>
      <c r="AH1002" s="228">
        <f t="shared" si="4313"/>
        <v>7.0846839546191198E-2</v>
      </c>
      <c r="AI1002" s="228">
        <f t="shared" si="4313"/>
        <v>8.3370288248336921E-2</v>
      </c>
      <c r="AJ1002" s="228">
        <f t="shared" si="4313"/>
        <v>0.12758868361198661</v>
      </c>
      <c r="AK1002" s="228">
        <f t="shared" si="4313"/>
        <v>0.17580146738203117</v>
      </c>
      <c r="AL1002" s="228">
        <f t="shared" si="4313"/>
        <v>0.17028964943148495</v>
      </c>
      <c r="AM1002" s="228">
        <f t="shared" si="4313"/>
        <v>0.15195144957198026</v>
      </c>
      <c r="AN1002" s="228">
        <f t="shared" si="4305"/>
        <v>0.15552256259464659</v>
      </c>
      <c r="AO1002" s="228">
        <f t="shared" si="4306"/>
        <v>0.13116717787751297</v>
      </c>
      <c r="AP1002" s="228">
        <f t="shared" si="4307"/>
        <v>0.14868984736902036</v>
      </c>
      <c r="AQ1002" s="228">
        <f t="shared" si="4308"/>
        <v>0.1539934353762682</v>
      </c>
    </row>
    <row r="1003" spans="1:60" ht="11.45">
      <c r="B1003" s="1177" t="str">
        <f>+B994</f>
        <v>CAD</v>
      </c>
      <c r="C1003" s="1161"/>
      <c r="D1003" s="840"/>
      <c r="E1003" s="840"/>
      <c r="F1003" s="840"/>
      <c r="G1003" s="840"/>
      <c r="H1003" s="840">
        <f t="shared" ref="H1003:AM1003" si="4314">IFERROR(H994/D994-1,"")</f>
        <v>4.8684839789574275E-2</v>
      </c>
      <c r="I1003" s="840">
        <f t="shared" si="4314"/>
        <v>2.269037342097957E-2</v>
      </c>
      <c r="J1003" s="840">
        <f t="shared" si="4314"/>
        <v>7.8774922154575489E-2</v>
      </c>
      <c r="K1003" s="840">
        <f t="shared" si="4314"/>
        <v>9.0781289937803544E-2</v>
      </c>
      <c r="L1003" s="840">
        <f t="shared" si="4314"/>
        <v>0.11902590295512594</v>
      </c>
      <c r="M1003" s="840">
        <f t="shared" si="4314"/>
        <v>0.11972430883605667</v>
      </c>
      <c r="N1003" s="840">
        <f t="shared" si="4314"/>
        <v>0.15539376184732023</v>
      </c>
      <c r="O1003" s="840">
        <f t="shared" si="4314"/>
        <v>0.17496582698691654</v>
      </c>
      <c r="P1003" s="840">
        <f t="shared" si="4314"/>
        <v>0.18526367267095933</v>
      </c>
      <c r="Q1003" s="840">
        <f t="shared" si="4314"/>
        <v>0.12286465177398154</v>
      </c>
      <c r="R1003" s="840">
        <f t="shared" si="4314"/>
        <v>0.13990081658525666</v>
      </c>
      <c r="S1003" s="840">
        <f t="shared" si="4314"/>
        <v>0.12072461359481479</v>
      </c>
      <c r="T1003" s="840">
        <f t="shared" si="4314"/>
        <v>0.13653555219364599</v>
      </c>
      <c r="U1003" s="840">
        <f t="shared" si="4314"/>
        <v>0.13658341289150311</v>
      </c>
      <c r="V1003" s="840">
        <f t="shared" si="4314"/>
        <v>0.14556278826338698</v>
      </c>
      <c r="W1003" s="840">
        <f t="shared" si="4314"/>
        <v>0.12800664353293589</v>
      </c>
      <c r="X1003" s="840">
        <f t="shared" si="4314"/>
        <v>0.12400544546967174</v>
      </c>
      <c r="Y1003" s="840">
        <f t="shared" si="4314"/>
        <v>0.16718148810491518</v>
      </c>
      <c r="Z1003" s="840">
        <f t="shared" si="4314"/>
        <v>0.19088546871876866</v>
      </c>
      <c r="AA1003" s="840">
        <f t="shared" si="4314"/>
        <v>0.21347251071437956</v>
      </c>
      <c r="AB1003" s="840">
        <f t="shared" si="4314"/>
        <v>-0.5934309450754548</v>
      </c>
      <c r="AC1003" s="840">
        <f t="shared" si="4314"/>
        <v>-0.59971523199306498</v>
      </c>
      <c r="AD1003" s="840">
        <f t="shared" si="4314"/>
        <v>-1.3731037900218457E-2</v>
      </c>
      <c r="AE1003" s="840">
        <f t="shared" si="4314"/>
        <v>-6.3511151557169909E-2</v>
      </c>
      <c r="AF1003" s="840">
        <f t="shared" si="4314"/>
        <v>0.1060308493501334</v>
      </c>
      <c r="AG1003" s="840">
        <f t="shared" si="4314"/>
        <v>1.9699195793380753E-2</v>
      </c>
      <c r="AH1003" s="840">
        <f t="shared" si="4314"/>
        <v>7.0846839546191198E-2</v>
      </c>
      <c r="AI1003" s="840">
        <f t="shared" si="4314"/>
        <v>8.3370288248337143E-2</v>
      </c>
      <c r="AJ1003" s="840">
        <f t="shared" si="4314"/>
        <v>0.12758868361198683</v>
      </c>
      <c r="AK1003" s="840">
        <f t="shared" si="4314"/>
        <v>0.17580146738203117</v>
      </c>
      <c r="AL1003" s="840">
        <f t="shared" si="4314"/>
        <v>0.17028964943148495</v>
      </c>
      <c r="AM1003" s="840">
        <f t="shared" si="4314"/>
        <v>0.15195144957198026</v>
      </c>
      <c r="AN1003" s="840">
        <f t="shared" si="4305"/>
        <v>0.15552256259464659</v>
      </c>
      <c r="AO1003" s="840">
        <f t="shared" si="4306"/>
        <v>0.1311671778775132</v>
      </c>
      <c r="AP1003" s="840">
        <f t="shared" si="4307"/>
        <v>0.14868984736902036</v>
      </c>
      <c r="AQ1003" s="840">
        <f t="shared" si="4308"/>
        <v>0.1539934353762682</v>
      </c>
    </row>
    <row r="1004" spans="1:60">
      <c r="B1004" s="1178" t="str">
        <f>+B995</f>
        <v>Total Revenue</v>
      </c>
      <c r="C1004" s="1164"/>
      <c r="D1004" s="842" t="str">
        <f>IFERROR(D995/#REF!-1,"")</f>
        <v/>
      </c>
      <c r="E1004" s="842" t="str">
        <f>IFERROR(E995/#REF!-1,"")</f>
        <v/>
      </c>
      <c r="F1004" s="842" t="str">
        <f>IFERROR(F995/#REF!-1,"")</f>
        <v/>
      </c>
      <c r="G1004" s="842" t="str">
        <f>IFERROR(G995/#REF!-1,"")</f>
        <v/>
      </c>
      <c r="H1004" s="842">
        <f t="shared" ref="H1004:AM1004" si="4315">IFERROR(H995/D995-1,"")</f>
        <v>4.8684839789574275E-2</v>
      </c>
      <c r="I1004" s="842">
        <f t="shared" si="4315"/>
        <v>2.2690373420979792E-2</v>
      </c>
      <c r="J1004" s="842">
        <f t="shared" si="4315"/>
        <v>7.8774922154575711E-2</v>
      </c>
      <c r="K1004" s="842">
        <f t="shared" si="4315"/>
        <v>9.0781289937803766E-2</v>
      </c>
      <c r="L1004" s="842">
        <f t="shared" si="4315"/>
        <v>0.11902590295512594</v>
      </c>
      <c r="M1004" s="842">
        <f t="shared" si="4315"/>
        <v>0.11972430883605667</v>
      </c>
      <c r="N1004" s="842">
        <f t="shared" si="4315"/>
        <v>0.15539376184732046</v>
      </c>
      <c r="O1004" s="842">
        <f t="shared" si="4315"/>
        <v>0.1749658269869161</v>
      </c>
      <c r="P1004" s="842">
        <f t="shared" si="4315"/>
        <v>0.18526367267095956</v>
      </c>
      <c r="Q1004" s="842">
        <f t="shared" si="4315"/>
        <v>0.12286465177398154</v>
      </c>
      <c r="R1004" s="842">
        <f t="shared" si="4315"/>
        <v>0.13990081658525666</v>
      </c>
      <c r="S1004" s="842">
        <f t="shared" si="4315"/>
        <v>0.12072461359481479</v>
      </c>
      <c r="T1004" s="842">
        <f t="shared" si="4315"/>
        <v>0.13653555219364599</v>
      </c>
      <c r="U1004" s="842">
        <f t="shared" si="4315"/>
        <v>0.13658341289150311</v>
      </c>
      <c r="V1004" s="842">
        <f t="shared" si="4315"/>
        <v>0.14556278826338653</v>
      </c>
      <c r="W1004" s="842">
        <f t="shared" si="4315"/>
        <v>0.12800664353293589</v>
      </c>
      <c r="X1004" s="842">
        <f t="shared" si="4315"/>
        <v>0.12400544546967174</v>
      </c>
      <c r="Y1004" s="842">
        <f t="shared" si="4315"/>
        <v>0.16718148810491495</v>
      </c>
      <c r="Z1004" s="842">
        <f t="shared" si="4315"/>
        <v>0.19088546871876888</v>
      </c>
      <c r="AA1004" s="842">
        <f t="shared" si="4315"/>
        <v>0.21347251071437956</v>
      </c>
      <c r="AB1004" s="842">
        <f t="shared" si="4315"/>
        <v>0.2197071647736446</v>
      </c>
      <c r="AC1004" s="842">
        <f t="shared" si="4315"/>
        <v>0.2008543040208004</v>
      </c>
      <c r="AD1004" s="842">
        <f t="shared" si="4315"/>
        <v>0.18352275451973377</v>
      </c>
      <c r="AE1004" s="842">
        <f t="shared" si="4315"/>
        <v>0.12378661813139202</v>
      </c>
      <c r="AF1004" s="842">
        <f t="shared" si="4315"/>
        <v>0.10603084935013385</v>
      </c>
      <c r="AG1004" s="842">
        <f t="shared" si="4315"/>
        <v>1.9699195793380975E-2</v>
      </c>
      <c r="AH1004" s="842">
        <f t="shared" si="4315"/>
        <v>7.0846839546191198E-2</v>
      </c>
      <c r="AI1004" s="842">
        <f t="shared" si="4315"/>
        <v>8.3370288248337143E-2</v>
      </c>
      <c r="AJ1004" s="842">
        <f t="shared" si="4315"/>
        <v>0.12758868361198639</v>
      </c>
      <c r="AK1004" s="842">
        <f t="shared" si="4315"/>
        <v>0.17580146738203117</v>
      </c>
      <c r="AL1004" s="842">
        <f t="shared" si="4315"/>
        <v>0.17028964943148472</v>
      </c>
      <c r="AM1004" s="842">
        <f t="shared" si="4315"/>
        <v>0.15195144957198026</v>
      </c>
      <c r="AN1004" s="842">
        <f t="shared" si="4305"/>
        <v>0.15552256259464659</v>
      </c>
      <c r="AO1004" s="842">
        <f t="shared" si="4306"/>
        <v>0.13116717787751297</v>
      </c>
      <c r="AP1004" s="842">
        <f t="shared" si="4307"/>
        <v>0.14868984736902058</v>
      </c>
      <c r="AQ1004" s="842">
        <f t="shared" si="4308"/>
        <v>0.1539934353762682</v>
      </c>
    </row>
    <row r="1005" spans="1:60">
      <c r="B1005" s="1178" t="s">
        <v>627</v>
      </c>
      <c r="C1005" s="1164"/>
      <c r="D1005" s="842"/>
      <c r="E1005" s="842"/>
      <c r="F1005" s="842"/>
      <c r="G1005" s="842"/>
      <c r="H1005" s="1179" t="str">
        <f t="shared" ref="H1005:AM1005" si="4316">+H14</f>
        <v>NA</v>
      </c>
      <c r="I1005" s="1179" t="str">
        <f t="shared" si="4316"/>
        <v>NA</v>
      </c>
      <c r="J1005" s="1179" t="str">
        <f t="shared" si="4316"/>
        <v>NA</v>
      </c>
      <c r="K1005" s="1179" t="str">
        <f t="shared" si="4316"/>
        <v>NA</v>
      </c>
      <c r="L1005" s="1179">
        <f t="shared" si="4316"/>
        <v>0.11404323239693544</v>
      </c>
      <c r="M1005" s="1179">
        <f t="shared" si="4316"/>
        <v>0.11517230697746457</v>
      </c>
      <c r="N1005" s="1179">
        <f t="shared" si="4316"/>
        <v>0.13155824573496466</v>
      </c>
      <c r="O1005" s="1179">
        <f t="shared" si="4316"/>
        <v>0.15218902558094122</v>
      </c>
      <c r="P1005" s="1179">
        <f t="shared" si="4316"/>
        <v>0.18546010269785637</v>
      </c>
      <c r="Q1005" s="1179">
        <f t="shared" si="4316"/>
        <v>0.12631371464139982</v>
      </c>
      <c r="R1005" s="1179">
        <f t="shared" si="4316"/>
        <v>0.16</v>
      </c>
      <c r="S1005" s="1179">
        <f t="shared" si="4316"/>
        <v>0.14324347681568889</v>
      </c>
      <c r="T1005" s="1179">
        <f t="shared" si="4316"/>
        <v>0.15429033145372026</v>
      </c>
      <c r="U1005" s="1179">
        <f t="shared" si="4316"/>
        <v>0.15197037356410337</v>
      </c>
      <c r="V1005" s="1179">
        <f t="shared" si="4316"/>
        <v>0.15910928657878379</v>
      </c>
      <c r="W1005" s="1179">
        <f t="shared" si="4316"/>
        <v>0.14502413322656227</v>
      </c>
      <c r="X1005" s="1179">
        <f t="shared" si="4316"/>
        <v>0.12050704885796401</v>
      </c>
      <c r="Y1005" s="1179">
        <f t="shared" si="4316"/>
        <v>0.15363536010404813</v>
      </c>
      <c r="Z1005" s="1179">
        <f t="shared" si="4316"/>
        <v>0.16171448844978725</v>
      </c>
      <c r="AA1005" s="1179">
        <f t="shared" si="4316"/>
        <v>0.17445905660873451</v>
      </c>
      <c r="AB1005" s="1179">
        <f t="shared" si="4316"/>
        <v>0.20385421219787908</v>
      </c>
      <c r="AC1005" s="1179">
        <f t="shared" si="4316"/>
        <v>0.20078497539232981</v>
      </c>
      <c r="AD1005" s="1179">
        <f t="shared" si="4316"/>
        <v>0.20149706517047911</v>
      </c>
      <c r="AE1005" s="1179">
        <f t="shared" si="4316"/>
        <v>0.16459280637892182</v>
      </c>
      <c r="AF1005" s="1179">
        <f t="shared" si="4316"/>
        <v>0.15702183948628548</v>
      </c>
      <c r="AG1005" s="1179">
        <f t="shared" si="4316"/>
        <v>7.2159387565728428E-2</v>
      </c>
      <c r="AH1005" s="1179">
        <f t="shared" si="4316"/>
        <v>0.10162370340356562</v>
      </c>
      <c r="AI1005" s="1179">
        <f t="shared" si="4316"/>
        <v>9.8637809698255086E-2</v>
      </c>
      <c r="AJ1005" s="1179">
        <f t="shared" si="4316"/>
        <v>0.12288664059694347</v>
      </c>
      <c r="AK1005" s="1179">
        <f t="shared" si="4316"/>
        <v>0.16473771020152805</v>
      </c>
      <c r="AL1005" s="1179">
        <f t="shared" si="4316"/>
        <v>0.16792691034300095</v>
      </c>
      <c r="AM1005" s="1179">
        <f t="shared" si="4316"/>
        <v>0.15532025438320218</v>
      </c>
      <c r="AN1005" s="1060"/>
      <c r="AO1005" s="1060"/>
      <c r="AP1005" s="1060"/>
      <c r="AQ1005" s="1060"/>
    </row>
    <row r="1006" spans="1:60" s="852" customFormat="1">
      <c r="A1006"/>
      <c r="B1006" s="1178" t="s">
        <v>628</v>
      </c>
      <c r="C1006" s="1180"/>
      <c r="D1006" s="1181"/>
      <c r="E1006" s="1181"/>
      <c r="F1006" s="1181"/>
      <c r="G1006" s="1181"/>
      <c r="H1006" s="1181">
        <f>+H1030</f>
        <v>6.1432069761109487E-2</v>
      </c>
      <c r="I1006" s="1181">
        <f t="shared" ref="I1006:AM1006" si="4317">+I1030</f>
        <v>4.4136075448929057E-2</v>
      </c>
      <c r="J1006" s="1181">
        <f t="shared" si="4317"/>
        <v>9.9303572826977105E-2</v>
      </c>
      <c r="K1006" s="1181">
        <f t="shared" si="4317"/>
        <v>0.11186646930563193</v>
      </c>
      <c r="L1006" s="1181">
        <f t="shared" si="4317"/>
        <v>0.11168261942342972</v>
      </c>
      <c r="M1006" s="1181">
        <f t="shared" si="4317"/>
        <v>9.4856366752638754E-2</v>
      </c>
      <c r="N1006" s="1181">
        <f t="shared" si="4317"/>
        <v>0.10912915614177865</v>
      </c>
      <c r="O1006" s="1181">
        <f t="shared" si="4317"/>
        <v>0.1501145889600255</v>
      </c>
      <c r="P1006" s="1181">
        <f t="shared" si="4317"/>
        <v>0.19178498846265102</v>
      </c>
      <c r="Q1006" s="1181">
        <f t="shared" si="4317"/>
        <v>0.13549289090726679</v>
      </c>
      <c r="R1006" s="1181">
        <f t="shared" si="4317"/>
        <v>0.16614662384306733</v>
      </c>
      <c r="S1006" s="1181">
        <f t="shared" si="4317"/>
        <v>0.14102904879896205</v>
      </c>
      <c r="T1006" s="1181">
        <f t="shared" si="4317"/>
        <v>0.15211644340471664</v>
      </c>
      <c r="U1006" s="1181">
        <f t="shared" si="4317"/>
        <v>0.14112100375203274</v>
      </c>
      <c r="V1006" s="1181">
        <f t="shared" si="4317"/>
        <v>0.15471765856708108</v>
      </c>
      <c r="W1006" s="1181">
        <f t="shared" si="4317"/>
        <v>0.13856762941370082</v>
      </c>
      <c r="X1006" s="1181">
        <f t="shared" si="4317"/>
        <v>0.1080123363525316</v>
      </c>
      <c r="Y1006" s="1181">
        <f t="shared" si="4317"/>
        <v>0.14716608201840931</v>
      </c>
      <c r="Z1006" s="1181">
        <f t="shared" si="4317"/>
        <v>0.15549340513517018</v>
      </c>
      <c r="AA1006" s="1181">
        <f t="shared" si="4317"/>
        <v>0.16840935333571272</v>
      </c>
      <c r="AB1006" s="1181">
        <f t="shared" si="4317"/>
        <v>0.20536868084195548</v>
      </c>
      <c r="AC1006" s="1181">
        <f t="shared" si="4317"/>
        <v>0.20644485856007466</v>
      </c>
      <c r="AD1006" s="1181">
        <f t="shared" si="4317"/>
        <v>0.20517970235040672</v>
      </c>
      <c r="AE1006" s="1181">
        <f t="shared" si="4317"/>
        <v>0.16981260939510934</v>
      </c>
      <c r="AF1006" s="1181">
        <f t="shared" si="4317"/>
        <v>0.16080014388702035</v>
      </c>
      <c r="AG1006" s="1181">
        <f t="shared" si="4317"/>
        <v>6.8076478751165626E-2</v>
      </c>
      <c r="AH1006" s="1181">
        <f t="shared" si="4317"/>
        <v>0.10176929502454035</v>
      </c>
      <c r="AI1006" s="1181">
        <f t="shared" si="4317"/>
        <v>8.49424583169891E-2</v>
      </c>
      <c r="AJ1006" s="1181">
        <f t="shared" si="4317"/>
        <v>0.10343033058071605</v>
      </c>
      <c r="AK1006" s="1181">
        <f t="shared" si="4317"/>
        <v>0.15331557389161232</v>
      </c>
      <c r="AL1006" s="1181">
        <f t="shared" si="4317"/>
        <v>0.1619757715626573</v>
      </c>
      <c r="AM1006" s="1181">
        <f t="shared" si="4317"/>
        <v>0.15532025438320218</v>
      </c>
      <c r="AN1006" s="1181">
        <f t="shared" ref="AN1006:AQ1006" si="4318">+AN1030</f>
        <v>0.14940825546404835</v>
      </c>
      <c r="AO1006" s="1181">
        <f t="shared" si="4318"/>
        <v>0.10589368932673393</v>
      </c>
      <c r="AP1006" s="1181">
        <f t="shared" si="4318"/>
        <v>0.12967431227196036</v>
      </c>
      <c r="AQ1006" s="1181">
        <f t="shared" si="4318"/>
        <v>0.13096764038646724</v>
      </c>
    </row>
    <row r="1007" spans="1:60">
      <c r="B1007" s="1182" t="s">
        <v>629</v>
      </c>
      <c r="C1007" s="872"/>
      <c r="D1007" s="228"/>
      <c r="E1007" s="228"/>
      <c r="F1007" s="228"/>
      <c r="G1007" s="228"/>
      <c r="H1007" s="228" t="s">
        <v>271</v>
      </c>
      <c r="I1007" s="228" t="s">
        <v>271</v>
      </c>
      <c r="J1007" s="228" t="s">
        <v>271</v>
      </c>
      <c r="K1007" s="228" t="s">
        <v>271</v>
      </c>
      <c r="L1007" s="228">
        <f>+L1006-L1005</f>
        <v>-2.3606129735057185E-3</v>
      </c>
      <c r="M1007" s="228">
        <f t="shared" ref="M1007:AM1007" si="4319">+M1006-M1005</f>
        <v>-2.0315940224825815E-2</v>
      </c>
      <c r="N1007" s="228">
        <f t="shared" si="4319"/>
        <v>-2.2429089593186013E-2</v>
      </c>
      <c r="O1007" s="228">
        <f t="shared" si="4319"/>
        <v>-2.0744366209157206E-3</v>
      </c>
      <c r="P1007" s="228">
        <f t="shared" si="4319"/>
        <v>6.3248857647946466E-3</v>
      </c>
      <c r="Q1007" s="228">
        <f t="shared" si="4319"/>
        <v>9.1791762658669784E-3</v>
      </c>
      <c r="R1007" s="228">
        <f t="shared" si="4319"/>
        <v>6.1466238430673281E-3</v>
      </c>
      <c r="S1007" s="228">
        <f t="shared" si="4319"/>
        <v>-2.2144280167268326E-3</v>
      </c>
      <c r="T1007" s="228">
        <f t="shared" si="4319"/>
        <v>-2.1738880490036194E-3</v>
      </c>
      <c r="U1007" s="228">
        <f t="shared" si="4319"/>
        <v>-1.0849369812070631E-2</v>
      </c>
      <c r="V1007" s="228">
        <f t="shared" si="4319"/>
        <v>-4.3916280117027029E-3</v>
      </c>
      <c r="W1007" s="228">
        <f t="shared" si="4319"/>
        <v>-6.4565038128614471E-3</v>
      </c>
      <c r="X1007" s="228">
        <f t="shared" si="4319"/>
        <v>-1.2494712505432409E-2</v>
      </c>
      <c r="Y1007" s="228">
        <f t="shared" si="4319"/>
        <v>-6.4692780856388243E-3</v>
      </c>
      <c r="Z1007" s="228">
        <f t="shared" si="4319"/>
        <v>-6.2210833146170708E-3</v>
      </c>
      <c r="AA1007" s="228">
        <f t="shared" si="4319"/>
        <v>-6.0497032730217892E-3</v>
      </c>
      <c r="AB1007" s="228">
        <f t="shared" si="4319"/>
        <v>1.5144686440763944E-3</v>
      </c>
      <c r="AC1007" s="228">
        <f t="shared" si="4319"/>
        <v>5.6598831677448502E-3</v>
      </c>
      <c r="AD1007" s="228">
        <f t="shared" si="4319"/>
        <v>3.682637179927617E-3</v>
      </c>
      <c r="AE1007" s="228">
        <f t="shared" si="4319"/>
        <v>5.2198030161875186E-3</v>
      </c>
      <c r="AF1007" s="228">
        <f t="shared" si="4319"/>
        <v>3.7783044007348721E-3</v>
      </c>
      <c r="AG1007" s="228">
        <f t="shared" si="4319"/>
        <v>-4.0829088145628023E-3</v>
      </c>
      <c r="AH1007" s="228">
        <f t="shared" si="4319"/>
        <v>1.4559162097473044E-4</v>
      </c>
      <c r="AI1007" s="228">
        <f t="shared" si="4319"/>
        <v>-1.3695351381265986E-2</v>
      </c>
      <c r="AJ1007" s="228">
        <f t="shared" si="4319"/>
        <v>-1.9456310016227427E-2</v>
      </c>
      <c r="AK1007" s="228">
        <f t="shared" si="4319"/>
        <v>-1.1422136309915731E-2</v>
      </c>
      <c r="AL1007" s="228">
        <f t="shared" si="4319"/>
        <v>-5.9511387803436455E-3</v>
      </c>
      <c r="AM1007" s="228">
        <f t="shared" si="4319"/>
        <v>0</v>
      </c>
      <c r="AN1007" s="228"/>
      <c r="AO1007" s="228"/>
      <c r="AP1007" s="228"/>
      <c r="AQ1007" s="228"/>
      <c r="AR1007" s="228"/>
      <c r="BH1007" s="228"/>
    </row>
    <row r="1008" spans="1:60">
      <c r="B1008" s="1178"/>
      <c r="C1008" s="1164"/>
      <c r="D1008" s="842"/>
      <c r="E1008" s="842"/>
      <c r="F1008" s="842"/>
      <c r="G1008" s="842"/>
      <c r="H1008" s="1060"/>
      <c r="I1008" s="1060"/>
      <c r="J1008" s="1060"/>
      <c r="K1008" s="1060"/>
      <c r="L1008" s="1060"/>
      <c r="M1008" s="1060"/>
      <c r="N1008" s="1060"/>
      <c r="O1008" s="1060"/>
      <c r="P1008" s="1060"/>
      <c r="Q1008" s="842"/>
      <c r="R1008" s="842"/>
      <c r="S1008" s="842"/>
      <c r="T1008" s="842"/>
      <c r="U1008" s="842"/>
      <c r="V1008" s="842"/>
      <c r="W1008" s="842"/>
      <c r="X1008" s="842"/>
      <c r="Y1008" s="842"/>
      <c r="Z1008" s="842"/>
      <c r="AA1008" s="842"/>
      <c r="AB1008" s="842"/>
      <c r="AC1008" s="842"/>
      <c r="AD1008" s="842"/>
      <c r="AE1008" s="842"/>
      <c r="AF1008" s="842"/>
      <c r="AG1008" s="842"/>
      <c r="AH1008" s="842"/>
      <c r="AI1008" s="842"/>
      <c r="AJ1008" s="842"/>
      <c r="AK1008" s="842"/>
      <c r="AL1008" s="842"/>
      <c r="AM1008" s="842"/>
      <c r="AN1008" s="842"/>
      <c r="AO1008" s="842"/>
      <c r="AP1008" s="842"/>
      <c r="AQ1008" s="842"/>
    </row>
    <row r="1009" spans="2:43">
      <c r="B1009" s="1176" t="s">
        <v>172</v>
      </c>
      <c r="C1009" s="872"/>
      <c r="D1009" s="228"/>
      <c r="E1009" s="228"/>
      <c r="F1009" s="228"/>
      <c r="G1009" s="228"/>
      <c r="H1009" s="228"/>
      <c r="I1009" s="228"/>
      <c r="J1009" s="228"/>
      <c r="K1009" s="228"/>
      <c r="L1009" s="228"/>
      <c r="M1009" s="228"/>
      <c r="N1009" s="228"/>
      <c r="O1009" s="228"/>
      <c r="P1009" s="228"/>
      <c r="Q1009" s="228"/>
      <c r="R1009" s="228"/>
      <c r="S1009" s="228"/>
      <c r="T1009" s="228"/>
      <c r="U1009" s="228"/>
      <c r="V1009" s="228"/>
      <c r="W1009" s="228"/>
      <c r="X1009" s="228"/>
      <c r="Y1009" s="228"/>
      <c r="Z1009" s="228"/>
      <c r="AA1009" s="228"/>
      <c r="AB1009" s="228"/>
      <c r="AC1009" s="228"/>
      <c r="AD1009" s="228"/>
      <c r="AE1009" s="228"/>
      <c r="AF1009" s="228"/>
      <c r="AG1009" s="228"/>
      <c r="AH1009" s="228"/>
      <c r="AI1009" s="228"/>
      <c r="AJ1009" s="228"/>
      <c r="AK1009" s="228"/>
      <c r="AL1009" s="228"/>
      <c r="AM1009" s="228"/>
      <c r="AN1009" s="228"/>
      <c r="AO1009" s="228"/>
      <c r="AP1009" s="228"/>
      <c r="AQ1009" s="228"/>
    </row>
    <row r="1010" spans="2:43">
      <c r="B1010" s="1177" t="str">
        <f t="shared" ref="B1010:B1015" si="4320">+B989</f>
        <v>USD</v>
      </c>
      <c r="C1010" s="872"/>
      <c r="D1010" s="829">
        <v>0.65</v>
      </c>
      <c r="E1010" s="829">
        <f t="shared" ref="E1010:W1010" si="4321">+D1010</f>
        <v>0.65</v>
      </c>
      <c r="F1010" s="829">
        <f t="shared" si="4321"/>
        <v>0.65</v>
      </c>
      <c r="G1010" s="829">
        <f t="shared" si="4321"/>
        <v>0.65</v>
      </c>
      <c r="H1010" s="829">
        <f t="shared" si="4321"/>
        <v>0.65</v>
      </c>
      <c r="I1010" s="829">
        <f t="shared" si="4321"/>
        <v>0.65</v>
      </c>
      <c r="J1010" s="829">
        <f t="shared" si="4321"/>
        <v>0.65</v>
      </c>
      <c r="K1010" s="829">
        <f t="shared" si="4321"/>
        <v>0.65</v>
      </c>
      <c r="L1010" s="829">
        <f t="shared" si="4321"/>
        <v>0.65</v>
      </c>
      <c r="M1010" s="829">
        <f t="shared" si="4321"/>
        <v>0.65</v>
      </c>
      <c r="N1010" s="829">
        <f t="shared" si="4321"/>
        <v>0.65</v>
      </c>
      <c r="O1010" s="829">
        <f t="shared" si="4321"/>
        <v>0.65</v>
      </c>
      <c r="P1010" s="829">
        <f t="shared" si="4321"/>
        <v>0.65</v>
      </c>
      <c r="Q1010" s="829">
        <f t="shared" si="4321"/>
        <v>0.65</v>
      </c>
      <c r="R1010" s="829">
        <f t="shared" si="4321"/>
        <v>0.65</v>
      </c>
      <c r="S1010" s="829">
        <f t="shared" si="4321"/>
        <v>0.65</v>
      </c>
      <c r="T1010" s="829">
        <f t="shared" si="4321"/>
        <v>0.65</v>
      </c>
      <c r="U1010" s="829">
        <f t="shared" si="4321"/>
        <v>0.65</v>
      </c>
      <c r="V1010" s="829">
        <f t="shared" si="4321"/>
        <v>0.65</v>
      </c>
      <c r="W1010" s="829">
        <f t="shared" si="4321"/>
        <v>0.65</v>
      </c>
      <c r="X1010" s="829">
        <f t="shared" ref="X1010:AA1010" si="4322">+W1010</f>
        <v>0.65</v>
      </c>
      <c r="Y1010" s="829">
        <f t="shared" si="4322"/>
        <v>0.65</v>
      </c>
      <c r="Z1010" s="829">
        <f t="shared" si="4322"/>
        <v>0.65</v>
      </c>
      <c r="AA1010" s="829">
        <f t="shared" si="4322"/>
        <v>0.65</v>
      </c>
      <c r="AB1010" s="829">
        <v>0.65</v>
      </c>
      <c r="AC1010" s="829">
        <v>0.6</v>
      </c>
      <c r="AD1010" s="829">
        <v>0.6</v>
      </c>
      <c r="AE1010" s="829">
        <v>0.6</v>
      </c>
      <c r="AF1010" s="829">
        <f>+AB1010</f>
        <v>0.65</v>
      </c>
      <c r="AG1010" s="829">
        <f t="shared" ref="AG1010:AG1014" si="4323">+AC1010</f>
        <v>0.6</v>
      </c>
      <c r="AH1010" s="829">
        <f t="shared" ref="AH1010:AH1014" si="4324">+AD1010</f>
        <v>0.6</v>
      </c>
      <c r="AI1010" s="829">
        <f t="shared" ref="AI1010:AI1014" si="4325">+AE1010</f>
        <v>0.6</v>
      </c>
      <c r="AJ1010" s="829">
        <f t="shared" ref="AJ1010:AJ1014" si="4326">+AF1010</f>
        <v>0.65</v>
      </c>
      <c r="AK1010" s="829">
        <f t="shared" ref="AK1010:AK1014" si="4327">+AG1010</f>
        <v>0.6</v>
      </c>
      <c r="AL1010" s="829">
        <f t="shared" ref="AL1010:AL1014" si="4328">+AH1010</f>
        <v>0.6</v>
      </c>
      <c r="AM1010" s="829">
        <f t="shared" ref="AM1010:AM1014" si="4329">+AI1010</f>
        <v>0.6</v>
      </c>
      <c r="AN1010" s="829">
        <f t="shared" ref="AN1010:AN1014" si="4330">+AJ1010</f>
        <v>0.65</v>
      </c>
      <c r="AO1010" s="829">
        <f t="shared" ref="AO1010:AO1014" si="4331">+AK1010</f>
        <v>0.6</v>
      </c>
      <c r="AP1010" s="829">
        <f t="shared" ref="AP1010:AP1014" si="4332">+AL1010</f>
        <v>0.6</v>
      </c>
      <c r="AQ1010" s="829">
        <f t="shared" ref="AQ1010:AQ1014" si="4333">+AM1010</f>
        <v>0.6</v>
      </c>
    </row>
    <row r="1011" spans="2:43">
      <c r="B1011" s="1177" t="str">
        <f t="shared" si="4320"/>
        <v>EUR</v>
      </c>
      <c r="C1011" s="872"/>
      <c r="D1011" s="829">
        <v>0.13</v>
      </c>
      <c r="E1011" s="829">
        <f t="shared" ref="E1011:W1011" si="4334">+D1011</f>
        <v>0.13</v>
      </c>
      <c r="F1011" s="829">
        <f t="shared" si="4334"/>
        <v>0.13</v>
      </c>
      <c r="G1011" s="829">
        <f t="shared" si="4334"/>
        <v>0.13</v>
      </c>
      <c r="H1011" s="829">
        <f t="shared" si="4334"/>
        <v>0.13</v>
      </c>
      <c r="I1011" s="829">
        <f t="shared" si="4334"/>
        <v>0.13</v>
      </c>
      <c r="J1011" s="829">
        <f t="shared" si="4334"/>
        <v>0.13</v>
      </c>
      <c r="K1011" s="829">
        <f t="shared" si="4334"/>
        <v>0.13</v>
      </c>
      <c r="L1011" s="829">
        <f t="shared" si="4334"/>
        <v>0.13</v>
      </c>
      <c r="M1011" s="829">
        <f t="shared" si="4334"/>
        <v>0.13</v>
      </c>
      <c r="N1011" s="829">
        <f t="shared" si="4334"/>
        <v>0.13</v>
      </c>
      <c r="O1011" s="829">
        <f t="shared" si="4334"/>
        <v>0.13</v>
      </c>
      <c r="P1011" s="829">
        <f t="shared" si="4334"/>
        <v>0.13</v>
      </c>
      <c r="Q1011" s="829">
        <f t="shared" si="4334"/>
        <v>0.13</v>
      </c>
      <c r="R1011" s="829">
        <f t="shared" si="4334"/>
        <v>0.13</v>
      </c>
      <c r="S1011" s="829">
        <f t="shared" si="4334"/>
        <v>0.13</v>
      </c>
      <c r="T1011" s="829">
        <f t="shared" si="4334"/>
        <v>0.13</v>
      </c>
      <c r="U1011" s="829">
        <f t="shared" si="4334"/>
        <v>0.13</v>
      </c>
      <c r="V1011" s="829">
        <f t="shared" si="4334"/>
        <v>0.13</v>
      </c>
      <c r="W1011" s="829">
        <f t="shared" si="4334"/>
        <v>0.13</v>
      </c>
      <c r="X1011" s="829">
        <f t="shared" ref="X1011:AA1011" si="4335">+W1011</f>
        <v>0.13</v>
      </c>
      <c r="Y1011" s="829">
        <f t="shared" si="4335"/>
        <v>0.13</v>
      </c>
      <c r="Z1011" s="829">
        <f t="shared" si="4335"/>
        <v>0.13</v>
      </c>
      <c r="AA1011" s="829">
        <f t="shared" si="4335"/>
        <v>0.13</v>
      </c>
      <c r="AB1011" s="829">
        <v>0.15</v>
      </c>
      <c r="AC1011" s="829">
        <v>0.18</v>
      </c>
      <c r="AD1011" s="829">
        <v>0.15</v>
      </c>
      <c r="AE1011" s="829">
        <v>0.15</v>
      </c>
      <c r="AF1011" s="829">
        <f t="shared" ref="AF1011:AF1014" si="4336">+AB1011</f>
        <v>0.15</v>
      </c>
      <c r="AG1011" s="829">
        <f t="shared" si="4323"/>
        <v>0.18</v>
      </c>
      <c r="AH1011" s="829">
        <f t="shared" si="4324"/>
        <v>0.15</v>
      </c>
      <c r="AI1011" s="829">
        <f t="shared" si="4325"/>
        <v>0.15</v>
      </c>
      <c r="AJ1011" s="829">
        <f t="shared" si="4326"/>
        <v>0.15</v>
      </c>
      <c r="AK1011" s="829">
        <f t="shared" si="4327"/>
        <v>0.18</v>
      </c>
      <c r="AL1011" s="829">
        <f t="shared" si="4328"/>
        <v>0.15</v>
      </c>
      <c r="AM1011" s="829">
        <f t="shared" si="4329"/>
        <v>0.15</v>
      </c>
      <c r="AN1011" s="829">
        <f t="shared" si="4330"/>
        <v>0.15</v>
      </c>
      <c r="AO1011" s="829">
        <f t="shared" si="4331"/>
        <v>0.18</v>
      </c>
      <c r="AP1011" s="829">
        <f t="shared" si="4332"/>
        <v>0.15</v>
      </c>
      <c r="AQ1011" s="829">
        <f t="shared" si="4333"/>
        <v>0.15</v>
      </c>
    </row>
    <row r="1012" spans="2:43">
      <c r="B1012" s="1177" t="str">
        <f t="shared" si="4320"/>
        <v>GBP</v>
      </c>
      <c r="C1012" s="872"/>
      <c r="D1012" s="829">
        <v>0.13</v>
      </c>
      <c r="E1012" s="829">
        <f t="shared" ref="E1012:W1012" si="4337">+D1012</f>
        <v>0.13</v>
      </c>
      <c r="F1012" s="829">
        <f t="shared" si="4337"/>
        <v>0.13</v>
      </c>
      <c r="G1012" s="829">
        <f t="shared" si="4337"/>
        <v>0.13</v>
      </c>
      <c r="H1012" s="829">
        <f t="shared" si="4337"/>
        <v>0.13</v>
      </c>
      <c r="I1012" s="829">
        <f t="shared" si="4337"/>
        <v>0.13</v>
      </c>
      <c r="J1012" s="829">
        <f t="shared" si="4337"/>
        <v>0.13</v>
      </c>
      <c r="K1012" s="829">
        <f t="shared" si="4337"/>
        <v>0.13</v>
      </c>
      <c r="L1012" s="829">
        <f t="shared" si="4337"/>
        <v>0.13</v>
      </c>
      <c r="M1012" s="829">
        <f t="shared" si="4337"/>
        <v>0.13</v>
      </c>
      <c r="N1012" s="829">
        <f t="shared" si="4337"/>
        <v>0.13</v>
      </c>
      <c r="O1012" s="829">
        <f t="shared" si="4337"/>
        <v>0.13</v>
      </c>
      <c r="P1012" s="829">
        <f t="shared" si="4337"/>
        <v>0.13</v>
      </c>
      <c r="Q1012" s="829">
        <f t="shared" si="4337"/>
        <v>0.13</v>
      </c>
      <c r="R1012" s="829">
        <f t="shared" si="4337"/>
        <v>0.13</v>
      </c>
      <c r="S1012" s="829">
        <f t="shared" si="4337"/>
        <v>0.13</v>
      </c>
      <c r="T1012" s="829">
        <f t="shared" si="4337"/>
        <v>0.13</v>
      </c>
      <c r="U1012" s="829">
        <f t="shared" si="4337"/>
        <v>0.13</v>
      </c>
      <c r="V1012" s="829">
        <f t="shared" si="4337"/>
        <v>0.13</v>
      </c>
      <c r="W1012" s="829">
        <f t="shared" si="4337"/>
        <v>0.13</v>
      </c>
      <c r="X1012" s="829">
        <f t="shared" ref="X1012:AA1012" si="4338">+W1012</f>
        <v>0.13</v>
      </c>
      <c r="Y1012" s="829">
        <f t="shared" si="4338"/>
        <v>0.13</v>
      </c>
      <c r="Z1012" s="829">
        <f t="shared" si="4338"/>
        <v>0.13</v>
      </c>
      <c r="AA1012" s="829">
        <f t="shared" si="4338"/>
        <v>0.13</v>
      </c>
      <c r="AB1012" s="829">
        <v>0.15</v>
      </c>
      <c r="AC1012" s="829">
        <v>0.18</v>
      </c>
      <c r="AD1012" s="829">
        <v>0.18</v>
      </c>
      <c r="AE1012" s="829">
        <v>0.18</v>
      </c>
      <c r="AF1012" s="829">
        <f t="shared" si="4336"/>
        <v>0.15</v>
      </c>
      <c r="AG1012" s="829">
        <f t="shared" si="4323"/>
        <v>0.18</v>
      </c>
      <c r="AH1012" s="829">
        <f t="shared" si="4324"/>
        <v>0.18</v>
      </c>
      <c r="AI1012" s="829">
        <f t="shared" si="4325"/>
        <v>0.18</v>
      </c>
      <c r="AJ1012" s="829">
        <f t="shared" si="4326"/>
        <v>0.15</v>
      </c>
      <c r="AK1012" s="829">
        <f t="shared" si="4327"/>
        <v>0.18</v>
      </c>
      <c r="AL1012" s="829">
        <f t="shared" si="4328"/>
        <v>0.18</v>
      </c>
      <c r="AM1012" s="829">
        <f t="shared" si="4329"/>
        <v>0.18</v>
      </c>
      <c r="AN1012" s="829">
        <f t="shared" si="4330"/>
        <v>0.15</v>
      </c>
      <c r="AO1012" s="829">
        <f t="shared" si="4331"/>
        <v>0.18</v>
      </c>
      <c r="AP1012" s="829">
        <f t="shared" si="4332"/>
        <v>0.18</v>
      </c>
      <c r="AQ1012" s="829">
        <f t="shared" si="4333"/>
        <v>0.18</v>
      </c>
    </row>
    <row r="1013" spans="2:43">
      <c r="B1013" s="1177" t="str">
        <f t="shared" si="4320"/>
        <v>JPY</v>
      </c>
      <c r="C1013" s="872"/>
      <c r="D1013" s="829">
        <v>0.03</v>
      </c>
      <c r="E1013" s="829">
        <f t="shared" ref="E1013:W1013" si="4339">+D1013</f>
        <v>0.03</v>
      </c>
      <c r="F1013" s="829">
        <f t="shared" si="4339"/>
        <v>0.03</v>
      </c>
      <c r="G1013" s="829">
        <f t="shared" si="4339"/>
        <v>0.03</v>
      </c>
      <c r="H1013" s="829">
        <f t="shared" si="4339"/>
        <v>0.03</v>
      </c>
      <c r="I1013" s="829">
        <f t="shared" si="4339"/>
        <v>0.03</v>
      </c>
      <c r="J1013" s="829">
        <f t="shared" si="4339"/>
        <v>0.03</v>
      </c>
      <c r="K1013" s="829">
        <f t="shared" si="4339"/>
        <v>0.03</v>
      </c>
      <c r="L1013" s="829">
        <f t="shared" si="4339"/>
        <v>0.03</v>
      </c>
      <c r="M1013" s="829">
        <f t="shared" si="4339"/>
        <v>0.03</v>
      </c>
      <c r="N1013" s="829">
        <f t="shared" si="4339"/>
        <v>0.03</v>
      </c>
      <c r="O1013" s="829">
        <f t="shared" si="4339"/>
        <v>0.03</v>
      </c>
      <c r="P1013" s="829">
        <f t="shared" si="4339"/>
        <v>0.03</v>
      </c>
      <c r="Q1013" s="829">
        <f t="shared" si="4339"/>
        <v>0.03</v>
      </c>
      <c r="R1013" s="829">
        <f t="shared" si="4339"/>
        <v>0.03</v>
      </c>
      <c r="S1013" s="829">
        <f t="shared" si="4339"/>
        <v>0.03</v>
      </c>
      <c r="T1013" s="829">
        <f t="shared" si="4339"/>
        <v>0.03</v>
      </c>
      <c r="U1013" s="829">
        <f t="shared" si="4339"/>
        <v>0.03</v>
      </c>
      <c r="V1013" s="829">
        <f t="shared" si="4339"/>
        <v>0.03</v>
      </c>
      <c r="W1013" s="829">
        <f t="shared" si="4339"/>
        <v>0.03</v>
      </c>
      <c r="X1013" s="829">
        <f t="shared" ref="X1013:AA1013" si="4340">+W1013</f>
        <v>0.03</v>
      </c>
      <c r="Y1013" s="829">
        <f t="shared" si="4340"/>
        <v>0.03</v>
      </c>
      <c r="Z1013" s="829">
        <f t="shared" si="4340"/>
        <v>0.03</v>
      </c>
      <c r="AA1013" s="829">
        <f t="shared" si="4340"/>
        <v>0.03</v>
      </c>
      <c r="AB1013" s="829">
        <v>0.02</v>
      </c>
      <c r="AC1013" s="829">
        <v>1.4999999999999999E-2</v>
      </c>
      <c r="AD1013" s="829">
        <v>1.4999999999999999E-2</v>
      </c>
      <c r="AE1013" s="829">
        <v>1.4999999999999999E-2</v>
      </c>
      <c r="AF1013" s="829">
        <f t="shared" si="4336"/>
        <v>0.02</v>
      </c>
      <c r="AG1013" s="829">
        <f t="shared" si="4323"/>
        <v>1.4999999999999999E-2</v>
      </c>
      <c r="AH1013" s="829">
        <f t="shared" si="4324"/>
        <v>1.4999999999999999E-2</v>
      </c>
      <c r="AI1013" s="829">
        <f t="shared" si="4325"/>
        <v>1.4999999999999999E-2</v>
      </c>
      <c r="AJ1013" s="829">
        <f t="shared" si="4326"/>
        <v>0.02</v>
      </c>
      <c r="AK1013" s="829">
        <f t="shared" si="4327"/>
        <v>1.4999999999999999E-2</v>
      </c>
      <c r="AL1013" s="829">
        <f t="shared" si="4328"/>
        <v>1.4999999999999999E-2</v>
      </c>
      <c r="AM1013" s="829">
        <f t="shared" si="4329"/>
        <v>1.4999999999999999E-2</v>
      </c>
      <c r="AN1013" s="829">
        <f t="shared" si="4330"/>
        <v>0.02</v>
      </c>
      <c r="AO1013" s="829">
        <f t="shared" si="4331"/>
        <v>1.4999999999999999E-2</v>
      </c>
      <c r="AP1013" s="829">
        <f t="shared" si="4332"/>
        <v>1.4999999999999999E-2</v>
      </c>
      <c r="AQ1013" s="829">
        <f t="shared" si="4333"/>
        <v>1.4999999999999999E-2</v>
      </c>
    </row>
    <row r="1014" spans="2:43">
      <c r="B1014" s="1177" t="str">
        <f t="shared" si="4320"/>
        <v>AUD</v>
      </c>
      <c r="C1014" s="872"/>
      <c r="D1014" s="829">
        <v>0.03</v>
      </c>
      <c r="E1014" s="829">
        <f t="shared" ref="E1014:W1014" si="4341">+D1014</f>
        <v>0.03</v>
      </c>
      <c r="F1014" s="829">
        <f t="shared" si="4341"/>
        <v>0.03</v>
      </c>
      <c r="G1014" s="829">
        <f t="shared" si="4341"/>
        <v>0.03</v>
      </c>
      <c r="H1014" s="829">
        <f t="shared" si="4341"/>
        <v>0.03</v>
      </c>
      <c r="I1014" s="829">
        <f t="shared" si="4341"/>
        <v>0.03</v>
      </c>
      <c r="J1014" s="829">
        <f t="shared" si="4341"/>
        <v>0.03</v>
      </c>
      <c r="K1014" s="829">
        <f t="shared" si="4341"/>
        <v>0.03</v>
      </c>
      <c r="L1014" s="829">
        <f t="shared" si="4341"/>
        <v>0.03</v>
      </c>
      <c r="M1014" s="829">
        <f t="shared" si="4341"/>
        <v>0.03</v>
      </c>
      <c r="N1014" s="829">
        <f t="shared" si="4341"/>
        <v>0.03</v>
      </c>
      <c r="O1014" s="829">
        <f t="shared" si="4341"/>
        <v>0.03</v>
      </c>
      <c r="P1014" s="829">
        <f t="shared" si="4341"/>
        <v>0.03</v>
      </c>
      <c r="Q1014" s="829">
        <f t="shared" si="4341"/>
        <v>0.03</v>
      </c>
      <c r="R1014" s="829">
        <f t="shared" si="4341"/>
        <v>0.03</v>
      </c>
      <c r="S1014" s="829">
        <f t="shared" si="4341"/>
        <v>0.03</v>
      </c>
      <c r="T1014" s="829">
        <f t="shared" si="4341"/>
        <v>0.03</v>
      </c>
      <c r="U1014" s="829">
        <f t="shared" si="4341"/>
        <v>0.03</v>
      </c>
      <c r="V1014" s="829">
        <f t="shared" si="4341"/>
        <v>0.03</v>
      </c>
      <c r="W1014" s="829">
        <f t="shared" si="4341"/>
        <v>0.03</v>
      </c>
      <c r="X1014" s="829">
        <f t="shared" ref="X1014:AA1014" si="4342">+W1014</f>
        <v>0.03</v>
      </c>
      <c r="Y1014" s="829">
        <f t="shared" si="4342"/>
        <v>0.03</v>
      </c>
      <c r="Z1014" s="829">
        <f t="shared" si="4342"/>
        <v>0.03</v>
      </c>
      <c r="AA1014" s="829">
        <f t="shared" si="4342"/>
        <v>0.03</v>
      </c>
      <c r="AB1014" s="829">
        <v>0.02</v>
      </c>
      <c r="AC1014" s="829">
        <v>1.4999999999999999E-2</v>
      </c>
      <c r="AD1014" s="829">
        <v>0.03</v>
      </c>
      <c r="AE1014" s="829">
        <v>0.03</v>
      </c>
      <c r="AF1014" s="829">
        <f t="shared" si="4336"/>
        <v>0.02</v>
      </c>
      <c r="AG1014" s="829">
        <f t="shared" si="4323"/>
        <v>1.4999999999999999E-2</v>
      </c>
      <c r="AH1014" s="829">
        <f t="shared" si="4324"/>
        <v>0.03</v>
      </c>
      <c r="AI1014" s="829">
        <f t="shared" si="4325"/>
        <v>0.03</v>
      </c>
      <c r="AJ1014" s="829">
        <f t="shared" si="4326"/>
        <v>0.02</v>
      </c>
      <c r="AK1014" s="829">
        <f t="shared" si="4327"/>
        <v>1.4999999999999999E-2</v>
      </c>
      <c r="AL1014" s="829">
        <f t="shared" si="4328"/>
        <v>0.03</v>
      </c>
      <c r="AM1014" s="829">
        <f t="shared" si="4329"/>
        <v>0.03</v>
      </c>
      <c r="AN1014" s="829">
        <f t="shared" si="4330"/>
        <v>0.02</v>
      </c>
      <c r="AO1014" s="829">
        <f t="shared" si="4331"/>
        <v>1.4999999999999999E-2</v>
      </c>
      <c r="AP1014" s="829">
        <f t="shared" si="4332"/>
        <v>0.03</v>
      </c>
      <c r="AQ1014" s="829">
        <f t="shared" si="4333"/>
        <v>0.03</v>
      </c>
    </row>
    <row r="1015" spans="2:43">
      <c r="B1015" s="1177" t="str">
        <f t="shared" si="4320"/>
        <v>CAD</v>
      </c>
      <c r="C1015" s="872"/>
      <c r="D1015" s="228">
        <f t="shared" ref="D1015" si="4343">1-SUM(D1010:D1014)</f>
        <v>2.9999999999999916E-2</v>
      </c>
      <c r="E1015" s="228">
        <f t="shared" ref="E1015" si="4344">1-SUM(E1010:E1014)</f>
        <v>2.9999999999999916E-2</v>
      </c>
      <c r="F1015" s="228">
        <f t="shared" ref="F1015" si="4345">1-SUM(F1010:F1014)</f>
        <v>2.9999999999999916E-2</v>
      </c>
      <c r="G1015" s="228">
        <f t="shared" ref="G1015" si="4346">1-SUM(G1010:G1014)</f>
        <v>2.9999999999999916E-2</v>
      </c>
      <c r="H1015" s="228">
        <f t="shared" ref="H1015" si="4347">1-SUM(H1010:H1014)</f>
        <v>2.9999999999999916E-2</v>
      </c>
      <c r="I1015" s="228">
        <f t="shared" ref="I1015" si="4348">1-SUM(I1010:I1014)</f>
        <v>2.9999999999999916E-2</v>
      </c>
      <c r="J1015" s="228">
        <f t="shared" ref="J1015" si="4349">1-SUM(J1010:J1014)</f>
        <v>2.9999999999999916E-2</v>
      </c>
      <c r="K1015" s="228">
        <f t="shared" ref="K1015" si="4350">1-SUM(K1010:K1014)</f>
        <v>2.9999999999999916E-2</v>
      </c>
      <c r="L1015" s="228">
        <f t="shared" ref="L1015" si="4351">1-SUM(L1010:L1014)</f>
        <v>2.9999999999999916E-2</v>
      </c>
      <c r="M1015" s="228">
        <f t="shared" ref="M1015" si="4352">1-SUM(M1010:M1014)</f>
        <v>2.9999999999999916E-2</v>
      </c>
      <c r="N1015" s="228">
        <f t="shared" ref="N1015" si="4353">1-SUM(N1010:N1014)</f>
        <v>2.9999999999999916E-2</v>
      </c>
      <c r="O1015" s="228">
        <f t="shared" ref="O1015" si="4354">1-SUM(O1010:O1014)</f>
        <v>2.9999999999999916E-2</v>
      </c>
      <c r="P1015" s="228">
        <f t="shared" ref="P1015" si="4355">1-SUM(P1010:P1014)</f>
        <v>2.9999999999999916E-2</v>
      </c>
      <c r="Q1015" s="228">
        <f t="shared" ref="Q1015" si="4356">1-SUM(Q1010:Q1014)</f>
        <v>2.9999999999999916E-2</v>
      </c>
      <c r="R1015" s="228">
        <f t="shared" ref="R1015" si="4357">1-SUM(R1010:R1014)</f>
        <v>2.9999999999999916E-2</v>
      </c>
      <c r="S1015" s="228">
        <f t="shared" ref="S1015" si="4358">1-SUM(S1010:S1014)</f>
        <v>2.9999999999999916E-2</v>
      </c>
      <c r="T1015" s="228">
        <f t="shared" ref="T1015" si="4359">1-SUM(T1010:T1014)</f>
        <v>2.9999999999999916E-2</v>
      </c>
      <c r="U1015" s="228">
        <f t="shared" ref="U1015" si="4360">1-SUM(U1010:U1014)</f>
        <v>2.9999999999999916E-2</v>
      </c>
      <c r="V1015" s="228">
        <f t="shared" ref="V1015" si="4361">1-SUM(V1010:V1014)</f>
        <v>2.9999999999999916E-2</v>
      </c>
      <c r="W1015" s="228">
        <f t="shared" ref="W1015" si="4362">1-SUM(W1010:W1014)</f>
        <v>2.9999999999999916E-2</v>
      </c>
      <c r="X1015" s="228">
        <f t="shared" ref="X1015" si="4363">1-SUM(X1010:X1014)</f>
        <v>2.9999999999999916E-2</v>
      </c>
      <c r="Y1015" s="228">
        <f t="shared" ref="Y1015" si="4364">1-SUM(Y1010:Y1014)</f>
        <v>2.9999999999999916E-2</v>
      </c>
      <c r="Z1015" s="228">
        <f t="shared" ref="Z1015" si="4365">1-SUM(Z1010:Z1014)</f>
        <v>2.9999999999999916E-2</v>
      </c>
      <c r="AA1015" s="228">
        <f t="shared" ref="AA1015" si="4366">1-SUM(AA1010:AA1014)</f>
        <v>2.9999999999999916E-2</v>
      </c>
      <c r="AB1015" s="228">
        <f t="shared" ref="AB1015" si="4367">1-SUM(AB1010:AB1014)</f>
        <v>9.9999999999998979E-3</v>
      </c>
      <c r="AC1015" s="228">
        <f t="shared" ref="AC1015:AM1015" si="4368">1-SUM(AC1010:AC1014)</f>
        <v>1.0000000000000009E-2</v>
      </c>
      <c r="AD1015" s="228">
        <f t="shared" si="4368"/>
        <v>2.5000000000000022E-2</v>
      </c>
      <c r="AE1015" s="228">
        <f t="shared" ref="AE1015" si="4369">1-SUM(AE1010:AE1014)</f>
        <v>2.5000000000000022E-2</v>
      </c>
      <c r="AF1015" s="228">
        <f t="shared" si="4368"/>
        <v>9.9999999999998979E-3</v>
      </c>
      <c r="AG1015" s="228">
        <f t="shared" si="4368"/>
        <v>1.0000000000000009E-2</v>
      </c>
      <c r="AH1015" s="228">
        <f t="shared" si="4368"/>
        <v>2.5000000000000022E-2</v>
      </c>
      <c r="AI1015" s="228">
        <f t="shared" si="4368"/>
        <v>2.5000000000000022E-2</v>
      </c>
      <c r="AJ1015" s="228">
        <f t="shared" si="4368"/>
        <v>9.9999999999998979E-3</v>
      </c>
      <c r="AK1015" s="228">
        <f t="shared" si="4368"/>
        <v>1.0000000000000009E-2</v>
      </c>
      <c r="AL1015" s="228">
        <f t="shared" si="4368"/>
        <v>2.5000000000000022E-2</v>
      </c>
      <c r="AM1015" s="228">
        <f t="shared" si="4368"/>
        <v>2.5000000000000022E-2</v>
      </c>
      <c r="AN1015" s="228">
        <f t="shared" ref="AN1015:AQ1015" si="4370">1-SUM(AN1010:AN1014)</f>
        <v>9.9999999999998979E-3</v>
      </c>
      <c r="AO1015" s="228">
        <f t="shared" si="4370"/>
        <v>1.0000000000000009E-2</v>
      </c>
      <c r="AP1015" s="228">
        <f t="shared" si="4370"/>
        <v>2.5000000000000022E-2</v>
      </c>
      <c r="AQ1015" s="228">
        <f t="shared" si="4370"/>
        <v>2.5000000000000022E-2</v>
      </c>
    </row>
    <row r="1016" spans="2:43">
      <c r="B1016" s="1178"/>
      <c r="C1016" s="1164"/>
      <c r="D1016" s="842"/>
      <c r="E1016" s="842"/>
      <c r="F1016" s="842"/>
      <c r="G1016" s="842"/>
      <c r="H1016" s="842"/>
      <c r="I1016" s="842"/>
      <c r="J1016" s="842"/>
      <c r="K1016" s="842"/>
      <c r="L1016" s="842"/>
      <c r="M1016" s="842"/>
      <c r="N1016" s="842"/>
      <c r="O1016" s="842"/>
      <c r="P1016" s="842"/>
      <c r="Q1016" s="842"/>
      <c r="R1016" s="842"/>
      <c r="S1016" s="842"/>
      <c r="T1016" s="842"/>
      <c r="U1016" s="842"/>
      <c r="V1016" s="842"/>
      <c r="W1016" s="842"/>
      <c r="X1016" s="842"/>
      <c r="Y1016" s="842"/>
      <c r="Z1016" s="842"/>
      <c r="AA1016" s="842"/>
      <c r="AB1016" s="842"/>
      <c r="AC1016" s="842"/>
      <c r="AD1016" s="842"/>
      <c r="AE1016" s="842"/>
      <c r="AF1016" s="842"/>
      <c r="AG1016" s="842"/>
      <c r="AH1016" s="842"/>
      <c r="AI1016" s="842"/>
      <c r="AJ1016" s="842"/>
      <c r="AK1016" s="842"/>
      <c r="AL1016" s="842"/>
      <c r="AM1016" s="842"/>
      <c r="AN1016" s="842"/>
      <c r="AO1016" s="842"/>
      <c r="AP1016" s="842"/>
      <c r="AQ1016" s="842"/>
    </row>
    <row r="1017" spans="2:43">
      <c r="B1017" s="1176" t="s">
        <v>630</v>
      </c>
      <c r="C1017" s="872"/>
      <c r="D1017" s="228"/>
      <c r="E1017" s="228"/>
      <c r="F1017" s="228"/>
      <c r="G1017" s="228"/>
      <c r="H1017" s="228"/>
      <c r="I1017" s="228"/>
      <c r="J1017" s="228"/>
      <c r="K1017" s="228"/>
      <c r="L1017" s="228"/>
      <c r="M1017" s="228"/>
      <c r="N1017" s="228"/>
      <c r="O1017" s="228"/>
      <c r="P1017" s="228"/>
      <c r="Q1017" s="228"/>
      <c r="R1017" s="228"/>
      <c r="S1017" s="228"/>
      <c r="T1017" s="228"/>
      <c r="U1017" s="228"/>
      <c r="V1017" s="228"/>
      <c r="W1017" s="228"/>
      <c r="X1017" s="228"/>
      <c r="Y1017" s="228"/>
      <c r="Z1017" s="228"/>
      <c r="AA1017" s="228"/>
      <c r="AB1017" s="228"/>
      <c r="AC1017" s="228"/>
      <c r="AD1017" s="228"/>
      <c r="AE1017" s="228"/>
      <c r="AF1017" s="228"/>
      <c r="AG1017" s="228"/>
      <c r="AH1017" s="228"/>
      <c r="AI1017" s="228"/>
      <c r="AJ1017" s="228"/>
      <c r="AK1017" s="228"/>
      <c r="AL1017" s="228"/>
      <c r="AM1017" s="228"/>
      <c r="AN1017" s="228"/>
      <c r="AO1017" s="228"/>
      <c r="AP1017" s="228"/>
      <c r="AQ1017" s="228"/>
    </row>
    <row r="1018" spans="2:43">
      <c r="B1018" s="1177" t="str">
        <f>+B1010</f>
        <v>USD</v>
      </c>
      <c r="C1018" s="872"/>
      <c r="D1018" s="228"/>
      <c r="E1018" s="228"/>
      <c r="F1018" s="228"/>
      <c r="G1018" s="228"/>
      <c r="H1018" s="228">
        <v>0</v>
      </c>
      <c r="I1018" s="228">
        <v>0</v>
      </c>
      <c r="J1018" s="228">
        <v>0</v>
      </c>
      <c r="K1018" s="228">
        <v>0</v>
      </c>
      <c r="L1018" s="228">
        <v>0</v>
      </c>
      <c r="M1018" s="228">
        <v>0</v>
      </c>
      <c r="N1018" s="228">
        <v>0</v>
      </c>
      <c r="O1018" s="228">
        <v>0</v>
      </c>
      <c r="P1018" s="228">
        <v>0</v>
      </c>
      <c r="Q1018" s="228">
        <v>0</v>
      </c>
      <c r="R1018" s="228">
        <v>0</v>
      </c>
      <c r="S1018" s="228">
        <v>0</v>
      </c>
      <c r="T1018" s="228">
        <v>0</v>
      </c>
      <c r="U1018" s="228">
        <v>0</v>
      </c>
      <c r="V1018" s="228">
        <v>0</v>
      </c>
      <c r="W1018" s="228">
        <v>0</v>
      </c>
      <c r="X1018" s="228">
        <v>0</v>
      </c>
      <c r="Y1018" s="228">
        <v>0</v>
      </c>
      <c r="Z1018" s="228">
        <v>0</v>
      </c>
      <c r="AA1018" s="228">
        <v>0</v>
      </c>
      <c r="AB1018" s="228">
        <v>0</v>
      </c>
      <c r="AC1018" s="228">
        <v>0</v>
      </c>
      <c r="AD1018" s="228">
        <v>0</v>
      </c>
      <c r="AE1018" s="228">
        <v>0</v>
      </c>
      <c r="AF1018" s="228">
        <v>0</v>
      </c>
      <c r="AG1018" s="228">
        <v>0</v>
      </c>
      <c r="AH1018" s="228">
        <v>0</v>
      </c>
      <c r="AI1018" s="228">
        <v>0</v>
      </c>
      <c r="AJ1018" s="228">
        <v>0</v>
      </c>
      <c r="AK1018" s="228">
        <v>0</v>
      </c>
      <c r="AL1018" s="228">
        <v>0</v>
      </c>
      <c r="AM1018" s="228">
        <v>0</v>
      </c>
      <c r="AN1018" s="228">
        <v>0</v>
      </c>
      <c r="AO1018" s="228">
        <v>0</v>
      </c>
      <c r="AP1018" s="228">
        <v>0</v>
      </c>
      <c r="AQ1018" s="228">
        <v>0</v>
      </c>
    </row>
    <row r="1019" spans="2:43">
      <c r="B1019" s="1177" t="str">
        <f>+B1011</f>
        <v>EUR</v>
      </c>
      <c r="C1019" s="872"/>
      <c r="D1019" s="228"/>
      <c r="E1019" s="228"/>
      <c r="F1019" s="228"/>
      <c r="G1019" s="228"/>
      <c r="H1019" s="228">
        <f>+H1036</f>
        <v>3.1771708729322334E-3</v>
      </c>
      <c r="I1019" s="228">
        <f t="shared" ref="I1019:AM1019" si="4371">+I1036</f>
        <v>-1.5306286289728632E-2</v>
      </c>
      <c r="J1019" s="228">
        <f t="shared" si="4371"/>
        <v>-3.3988719812266255E-2</v>
      </c>
      <c r="K1019" s="228">
        <f t="shared" si="4371"/>
        <v>-2.5840668205748818E-2</v>
      </c>
      <c r="L1019" s="228">
        <f t="shared" si="4371"/>
        <v>5.2736538837217184E-2</v>
      </c>
      <c r="M1019" s="228">
        <f t="shared" si="4371"/>
        <v>9.2288862051741916E-2</v>
      </c>
      <c r="N1019" s="228">
        <f t="shared" si="4371"/>
        <v>0.15340549859394192</v>
      </c>
      <c r="O1019" s="228">
        <f t="shared" si="4371"/>
        <v>8.3228596886496309E-2</v>
      </c>
      <c r="P1019" s="228">
        <f t="shared" si="4371"/>
        <v>-1.0291754639379813E-2</v>
      </c>
      <c r="Q1019" s="228">
        <f t="shared" si="4371"/>
        <v>-3.1499684064523192E-2</v>
      </c>
      <c r="R1019" s="228">
        <f t="shared" si="4371"/>
        <v>-7.5997742994721063E-2</v>
      </c>
      <c r="S1019" s="228">
        <f t="shared" si="4371"/>
        <v>-5.6954415240071499E-2</v>
      </c>
      <c r="T1019" s="228">
        <f t="shared" si="4371"/>
        <v>-4.3862433669336065E-2</v>
      </c>
      <c r="U1019" s="228">
        <f t="shared" si="4371"/>
        <v>-2.966119633376374E-2</v>
      </c>
      <c r="V1019" s="228">
        <f t="shared" si="4371"/>
        <v>-2.9011489633174015E-2</v>
      </c>
      <c r="W1019" s="228">
        <f t="shared" si="4371"/>
        <v>-2.0118905873434678E-2</v>
      </c>
      <c r="X1019" s="228">
        <f t="shared" si="4371"/>
        <v>5.1412549798567797E-2</v>
      </c>
      <c r="Y1019" s="228">
        <f t="shared" si="4371"/>
        <v>7.7214303796755868E-2</v>
      </c>
      <c r="Z1019" s="228">
        <f t="shared" si="4371"/>
        <v>9.312328432706507E-2</v>
      </c>
      <c r="AA1019" s="228">
        <f t="shared" si="4371"/>
        <v>9.3978837882519484E-2</v>
      </c>
      <c r="AB1019" s="228">
        <f t="shared" si="4371"/>
        <v>8.5548365618435263E-3</v>
      </c>
      <c r="AC1019" s="228">
        <f t="shared" si="4371"/>
        <v>-4.108302950217424E-2</v>
      </c>
      <c r="AD1019" s="228">
        <f t="shared" si="4371"/>
        <v>-6.8773745849703971E-2</v>
      </c>
      <c r="AE1019" s="228">
        <f t="shared" si="4371"/>
        <v>-0.11590445514602665</v>
      </c>
      <c r="AF1019" s="228">
        <f t="shared" si="4371"/>
        <v>-0.14525952820499199</v>
      </c>
      <c r="AG1019" s="228">
        <f t="shared" si="4371"/>
        <v>-0.1065694442312396</v>
      </c>
      <c r="AH1019" s="228">
        <f t="shared" si="4371"/>
        <v>-4.447578869864488E-2</v>
      </c>
      <c r="AI1019" s="228">
        <f t="shared" si="4371"/>
        <v>2.1981012293670554E-2</v>
      </c>
      <c r="AJ1019" s="228">
        <f t="shared" si="4371"/>
        <v>8.0161607165232684E-2</v>
      </c>
      <c r="AK1019" s="228">
        <f t="shared" si="4371"/>
        <v>5.3463748569484437E-2</v>
      </c>
      <c r="AL1019" s="228">
        <f t="shared" si="4371"/>
        <v>1.2246724996555214E-2</v>
      </c>
      <c r="AM1019" s="228">
        <f t="shared" si="4371"/>
        <v>-1.1171142831587377E-2</v>
      </c>
      <c r="AN1019" s="228">
        <f t="shared" ref="AN1019:AQ1019" si="4372">+AN1036</f>
        <v>9.7607275806859128E-3</v>
      </c>
      <c r="AO1019" s="228">
        <f t="shared" si="4372"/>
        <v>3.6700241142999079E-2</v>
      </c>
      <c r="AP1019" s="228">
        <f t="shared" si="4372"/>
        <v>2.7912055789641954E-2</v>
      </c>
      <c r="AQ1019" s="228">
        <f t="shared" si="4372"/>
        <v>3.6744365148836167E-2</v>
      </c>
    </row>
    <row r="1020" spans="2:43">
      <c r="B1020" s="1177" t="str">
        <f>+B1012</f>
        <v>GBP</v>
      </c>
      <c r="C1020" s="872"/>
      <c r="D1020" s="228"/>
      <c r="E1020" s="228"/>
      <c r="F1020" s="228"/>
      <c r="G1020" s="228"/>
      <c r="H1020" s="228">
        <f>+H1039</f>
        <v>-0.15221212413256158</v>
      </c>
      <c r="I1020" s="228">
        <f t="shared" ref="I1020:AM1020" si="4373">+I1039</f>
        <v>-0.18124292715879409</v>
      </c>
      <c r="J1020" s="228">
        <f t="shared" si="4373"/>
        <v>-0.1350993276943423</v>
      </c>
      <c r="K1020" s="228">
        <f t="shared" si="4373"/>
        <v>-0.10830230689761722</v>
      </c>
      <c r="L1020" s="228">
        <f t="shared" si="4373"/>
        <v>-3.386258486035798E-3</v>
      </c>
      <c r="M1020" s="228">
        <f t="shared" si="4373"/>
        <v>6.845590429285564E-2</v>
      </c>
      <c r="N1020" s="228">
        <f t="shared" si="4373"/>
        <v>0.12331367024568918</v>
      </c>
      <c r="O1020" s="228">
        <f t="shared" si="4373"/>
        <v>6.391840705932017E-2</v>
      </c>
      <c r="P1020" s="228">
        <f t="shared" si="4373"/>
        <v>-4.3864578304833035E-3</v>
      </c>
      <c r="Q1020" s="228">
        <f t="shared" si="4373"/>
        <v>-3.0956721952150379E-2</v>
      </c>
      <c r="R1020" s="228">
        <f t="shared" si="4373"/>
        <v>-6.4203804606226211E-2</v>
      </c>
      <c r="S1020" s="228">
        <f t="shared" si="4373"/>
        <v>-5.5489756453738326E-2</v>
      </c>
      <c r="T1020" s="228">
        <f t="shared" si="4373"/>
        <v>-5.375130907811676E-2</v>
      </c>
      <c r="U1020" s="228">
        <f t="shared" si="4373"/>
        <v>1.0508100282231592E-3</v>
      </c>
      <c r="V1020" s="228">
        <f t="shared" si="4373"/>
        <v>-1.5759235744431055E-2</v>
      </c>
      <c r="W1020" s="228">
        <f t="shared" si="4373"/>
        <v>-3.4420898467366845E-2</v>
      </c>
      <c r="X1020" s="228">
        <f t="shared" si="4373"/>
        <v>4.7709717370650884E-2</v>
      </c>
      <c r="Y1020" s="228">
        <f t="shared" si="4373"/>
        <v>2.5947678456481604E-2</v>
      </c>
      <c r="Z1020" s="228">
        <f t="shared" si="4373"/>
        <v>7.5740004927038251E-2</v>
      </c>
      <c r="AA1020" s="228">
        <f t="shared" si="4373"/>
        <v>0.12617797675609022</v>
      </c>
      <c r="AB1020" s="228">
        <f t="shared" si="4373"/>
        <v>6.7048172815994622E-2</v>
      </c>
      <c r="AC1020" s="228">
        <f t="shared" si="4373"/>
        <v>2.0429237217357565E-2</v>
      </c>
      <c r="AD1020" s="228">
        <f t="shared" si="4373"/>
        <v>-2.6642184630809806E-2</v>
      </c>
      <c r="AE1020" s="228">
        <f t="shared" si="4373"/>
        <v>-0.10085948515971321</v>
      </c>
      <c r="AF1020" s="228">
        <f t="shared" si="4373"/>
        <v>-0.14611033974859411</v>
      </c>
      <c r="AG1020" s="228">
        <f t="shared" si="4373"/>
        <v>-0.12874244120191614</v>
      </c>
      <c r="AH1020" s="228">
        <f t="shared" si="4373"/>
        <v>-9.4986955302520548E-2</v>
      </c>
      <c r="AI1020" s="228">
        <f t="shared" si="4373"/>
        <v>-3.9034677095529657E-3</v>
      </c>
      <c r="AJ1020" s="228">
        <f t="shared" si="4373"/>
        <v>7.5825759585997243E-2</v>
      </c>
      <c r="AK1020" s="228">
        <f t="shared" si="4373"/>
        <v>5.7414395883029989E-2</v>
      </c>
      <c r="AL1020" s="228">
        <f t="shared" si="4373"/>
        <v>4.4198297231415662E-2</v>
      </c>
      <c r="AM1020" s="228">
        <f t="shared" si="4373"/>
        <v>7.8047825946239158E-3</v>
      </c>
      <c r="AN1020" s="228">
        <f t="shared" ref="AN1020:AQ1020" si="4374">+AN1039</f>
        <v>2.7427283232257738E-2</v>
      </c>
      <c r="AO1020" s="228">
        <f t="shared" si="4374"/>
        <v>7.9096433200500416E-2</v>
      </c>
      <c r="AP1020" s="228">
        <f t="shared" si="4374"/>
        <v>5.6873921700912877E-2</v>
      </c>
      <c r="AQ1020" s="228">
        <f t="shared" si="4374"/>
        <v>6.2359959746731475E-2</v>
      </c>
    </row>
    <row r="1021" spans="2:43">
      <c r="B1021" s="1177" t="str">
        <f>+B1013</f>
        <v>JPY</v>
      </c>
      <c r="C1021" s="872"/>
      <c r="D1021" s="228"/>
      <c r="E1021" s="228"/>
      <c r="F1021" s="228"/>
      <c r="G1021" s="228"/>
      <c r="H1021" s="228">
        <f>+H1042</f>
        <v>0.19321482375404164</v>
      </c>
      <c r="I1021" s="228">
        <f t="shared" ref="I1021:AM1021" si="4375">+I1042</f>
        <v>0.11255356878178979</v>
      </c>
      <c r="J1021" s="228">
        <f t="shared" si="4375"/>
        <v>1.358883388532961E-2</v>
      </c>
      <c r="K1021" s="228">
        <f t="shared" si="4375"/>
        <v>-2.843921825372564E-2</v>
      </c>
      <c r="L1021" s="228">
        <f t="shared" si="4375"/>
        <v>-7.7108841414519569E-2</v>
      </c>
      <c r="M1021" s="228">
        <f t="shared" si="4375"/>
        <v>-3.3194146082402343E-2</v>
      </c>
      <c r="N1021" s="228">
        <f t="shared" si="4375"/>
        <v>5.0697081256720455E-2</v>
      </c>
      <c r="O1021" s="228">
        <f t="shared" si="4375"/>
        <v>1.7812536006993174E-2</v>
      </c>
      <c r="P1021" s="228">
        <f t="shared" si="4375"/>
        <v>-5.0831651657434751E-3</v>
      </c>
      <c r="Q1021" s="228">
        <f t="shared" si="4375"/>
        <v>1.690951805044083E-3</v>
      </c>
      <c r="R1021" s="228">
        <f t="shared" si="4375"/>
        <v>-1.7152533162530736E-2</v>
      </c>
      <c r="S1021" s="228">
        <f t="shared" si="4375"/>
        <v>-7.0568580489441812E-3</v>
      </c>
      <c r="T1021" s="228">
        <f t="shared" si="4375"/>
        <v>3.8962326617193677E-2</v>
      </c>
      <c r="U1021" s="228">
        <f t="shared" si="4375"/>
        <v>3.6372571378851859E-2</v>
      </c>
      <c r="V1021" s="228">
        <f t="shared" si="4375"/>
        <v>1.0651538449364839E-2</v>
      </c>
      <c r="W1021" s="228">
        <f t="shared" si="4375"/>
        <v>2.1840913392932038E-2</v>
      </c>
      <c r="X1021" s="228">
        <f t="shared" si="4375"/>
        <v>1.1120421021211468E-2</v>
      </c>
      <c r="Y1021" s="228">
        <f t="shared" si="4375"/>
        <v>4.1043496696562487E-2</v>
      </c>
      <c r="Z1021" s="228">
        <f t="shared" si="4375"/>
        <v>2.8181531775921087E-2</v>
      </c>
      <c r="AA1021" s="228">
        <f t="shared" si="4375"/>
        <v>-1.7381185158217405E-2</v>
      </c>
      <c r="AB1021" s="228">
        <f t="shared" si="4375"/>
        <v>-3.6214138307612442E-2</v>
      </c>
      <c r="AC1021" s="228">
        <f t="shared" si="4375"/>
        <v>-8.0795951188879722E-2</v>
      </c>
      <c r="AD1021" s="228">
        <f t="shared" si="4375"/>
        <v>-8.784931084332348E-2</v>
      </c>
      <c r="AE1021" s="228">
        <f t="shared" si="4375"/>
        <v>-0.15514350452504522</v>
      </c>
      <c r="AF1021" s="228">
        <f t="shared" si="4375"/>
        <v>-0.20305499813230576</v>
      </c>
      <c r="AG1021" s="228">
        <f t="shared" si="4375"/>
        <v>-0.19416091844453509</v>
      </c>
      <c r="AH1021" s="228">
        <f t="shared" si="4375"/>
        <v>-0.12174033357332792</v>
      </c>
      <c r="AI1021" s="228">
        <f t="shared" si="4375"/>
        <v>-5.608218837361123E-2</v>
      </c>
      <c r="AJ1021" s="228">
        <f t="shared" si="4375"/>
        <v>-4.3673597341185921E-2</v>
      </c>
      <c r="AK1021" s="228">
        <f t="shared" si="4375"/>
        <v>-4.4947049506070536E-2</v>
      </c>
      <c r="AL1021" s="228">
        <f t="shared" si="4375"/>
        <v>-0.10880326839656895</v>
      </c>
      <c r="AM1021" s="228">
        <f t="shared" si="4375"/>
        <v>-0.1194837970238033</v>
      </c>
      <c r="AN1021" s="228">
        <f t="shared" ref="AN1021:AQ1021" si="4376">+AN1042</f>
        <v>-2.8918458443468964E-2</v>
      </c>
      <c r="AO1021" s="228">
        <f t="shared" si="4376"/>
        <v>3.1768657152410729E-2</v>
      </c>
      <c r="AP1021" s="228">
        <f t="shared" si="4376"/>
        <v>3.7501628869510251E-2</v>
      </c>
      <c r="AQ1021" s="228">
        <f t="shared" si="4376"/>
        <v>8.9406407857184123E-2</v>
      </c>
    </row>
    <row r="1022" spans="2:43">
      <c r="B1022" s="1177" t="str">
        <f t="shared" ref="B1022" si="4377">+B1014</f>
        <v>AUD</v>
      </c>
      <c r="C1022" s="872"/>
      <c r="D1022" s="228"/>
      <c r="E1022" s="228"/>
      <c r="F1022" s="228"/>
      <c r="G1022" s="228"/>
      <c r="H1022" s="228">
        <f>+H1045</f>
        <v>4.470851482408067E-2</v>
      </c>
      <c r="I1022" s="228">
        <f t="shared" ref="I1022:AM1022" si="4378">+I1045</f>
        <v>4.0132275592865918E-2</v>
      </c>
      <c r="J1022" s="228">
        <f t="shared" si="4378"/>
        <v>4.8563500622481826E-2</v>
      </c>
      <c r="K1022" s="228">
        <f t="shared" si="4378"/>
        <v>7.1960324172819501E-3</v>
      </c>
      <c r="L1022" s="228">
        <f t="shared" si="4378"/>
        <v>4.1177629676034E-2</v>
      </c>
      <c r="M1022" s="228">
        <f t="shared" si="4378"/>
        <v>2.6493761882026901E-2</v>
      </c>
      <c r="N1022" s="228">
        <f t="shared" si="4378"/>
        <v>3.7921627683590975E-2</v>
      </c>
      <c r="O1022" s="228">
        <f t="shared" si="4378"/>
        <v>7.7803951965875751E-3</v>
      </c>
      <c r="P1022" s="228">
        <f t="shared" si="4378"/>
        <v>-7.3408314687472997E-2</v>
      </c>
      <c r="Q1022" s="228">
        <f t="shared" si="4378"/>
        <v>-6.735490374488895E-2</v>
      </c>
      <c r="R1022" s="228">
        <f t="shared" si="4378"/>
        <v>-9.3596274196145912E-2</v>
      </c>
      <c r="S1022" s="228">
        <f t="shared" si="4378"/>
        <v>-7.4762315652858291E-2</v>
      </c>
      <c r="T1022" s="228">
        <f t="shared" si="4378"/>
        <v>-6.2640900589496007E-2</v>
      </c>
      <c r="U1022" s="228">
        <f t="shared" si="4378"/>
        <v>-4.6667086520695511E-2</v>
      </c>
      <c r="V1022" s="228">
        <f t="shared" si="4378"/>
        <v>-7.4595633387744886E-2</v>
      </c>
      <c r="W1022" s="228">
        <f t="shared" si="4378"/>
        <v>-6.2392018831452845E-2</v>
      </c>
      <c r="X1022" s="228">
        <f t="shared" si="4378"/>
        <v>4.2636433091761461E-2</v>
      </c>
      <c r="Y1022" s="228">
        <f t="shared" si="4378"/>
        <v>7.0258086273522258E-2</v>
      </c>
      <c r="Z1022" s="228">
        <f t="shared" si="4378"/>
        <v>0.17173094590599103</v>
      </c>
      <c r="AA1022" s="228">
        <f t="shared" si="4378"/>
        <v>0.17258986106915852</v>
      </c>
      <c r="AB1022" s="228">
        <f t="shared" si="4378"/>
        <v>2.7946667120976043E-2</v>
      </c>
      <c r="AC1022" s="228">
        <f t="shared" si="4378"/>
        <v>-4.2067602799668036E-3</v>
      </c>
      <c r="AD1022" s="228">
        <f t="shared" si="4378"/>
        <v>-6.2282589217008244E-2</v>
      </c>
      <c r="AE1022" s="228">
        <f t="shared" si="4378"/>
        <v>-7.1559124148965481E-2</v>
      </c>
      <c r="AF1022" s="228">
        <f t="shared" si="4378"/>
        <v>-7.0027319274538868E-2</v>
      </c>
      <c r="AG1022" s="228">
        <f t="shared" si="4378"/>
        <v>-9.7277479786146204E-2</v>
      </c>
      <c r="AH1022" s="228">
        <f t="shared" si="4378"/>
        <v>-5.6355420783701704E-2</v>
      </c>
      <c r="AI1022" s="228">
        <f t="shared" si="4378"/>
        <v>-6.5334678226264153E-2</v>
      </c>
      <c r="AJ1022" s="228">
        <f t="shared" si="4378"/>
        <v>-4.1635563423365829E-2</v>
      </c>
      <c r="AK1022" s="228">
        <f t="shared" si="4378"/>
        <v>-9.1716029841335533E-3</v>
      </c>
      <c r="AL1022" s="228">
        <f t="shared" si="4378"/>
        <v>-3.7898962034120687E-2</v>
      </c>
      <c r="AM1022" s="228">
        <f t="shared" si="4378"/>
        <v>-1.3493044707962865E-2</v>
      </c>
      <c r="AN1022" s="228">
        <f t="shared" ref="AN1022:AQ1022" si="4379">+AN1045</f>
        <v>2.298158119336402E-2</v>
      </c>
      <c r="AO1022" s="228">
        <f t="shared" si="4379"/>
        <v>6.3142039299664887E-2</v>
      </c>
      <c r="AP1022" s="228">
        <f t="shared" si="4379"/>
        <v>5.3456636793807633E-2</v>
      </c>
      <c r="AQ1022" s="228">
        <f t="shared" si="4379"/>
        <v>5.1294839885971388E-2</v>
      </c>
    </row>
    <row r="1023" spans="2:43">
      <c r="B1023" s="1177" t="str">
        <f>+B1015</f>
        <v>CAD</v>
      </c>
      <c r="C1023" s="1163"/>
      <c r="D1023" s="1113"/>
      <c r="E1023" s="1113"/>
      <c r="F1023" s="1113"/>
      <c r="G1023" s="1113"/>
      <c r="H1023" s="1113">
        <f>+H1048</f>
        <v>2.7133214839494268E-3</v>
      </c>
      <c r="I1023" s="1113">
        <f t="shared" ref="I1023:AM1023" si="4380">+I1048</f>
        <v>3.1165532670129892E-5</v>
      </c>
      <c r="J1023" s="1113">
        <f t="shared" si="4380"/>
        <v>3.6242679731915528E-2</v>
      </c>
      <c r="K1023" s="1113">
        <f t="shared" si="4380"/>
        <v>-4.1815443861636048E-2</v>
      </c>
      <c r="L1023" s="1113">
        <f t="shared" si="4380"/>
        <v>4.082034692960046E-2</v>
      </c>
      <c r="M1023" s="1113">
        <f t="shared" si="4380"/>
        <v>5.0439280777423434E-2</v>
      </c>
      <c r="N1023" s="1113">
        <f t="shared" si="4380"/>
        <v>4.7007708963320072E-2</v>
      </c>
      <c r="O1023" s="1113">
        <f t="shared" si="4380"/>
        <v>4.179021642952585E-2</v>
      </c>
      <c r="P1023" s="1113">
        <f t="shared" si="4380"/>
        <v>-4.1302793980023678E-2</v>
      </c>
      <c r="Q1023" s="1113">
        <f t="shared" si="4380"/>
        <v>-3.8573228402184467E-2</v>
      </c>
      <c r="R1023" s="1113">
        <f t="shared" si="4380"/>
        <v>-4.9199191643766071E-2</v>
      </c>
      <c r="S1023" s="1113">
        <f t="shared" si="4380"/>
        <v>-3.4830701540910836E-2</v>
      </c>
      <c r="T1023" s="1113">
        <f t="shared" si="4380"/>
        <v>-1.0298883130060998E-2</v>
      </c>
      <c r="U1023" s="1113">
        <f t="shared" si="4380"/>
        <v>1.1959280798832239E-3</v>
      </c>
      <c r="V1023" s="1113">
        <f t="shared" si="4380"/>
        <v>-8.4358252103419185E-3</v>
      </c>
      <c r="W1023" s="1113">
        <f t="shared" si="4380"/>
        <v>-3.5193775531139226E-2</v>
      </c>
      <c r="X1023" s="1113">
        <f t="shared" si="4380"/>
        <v>-8.9974841084906609E-3</v>
      </c>
      <c r="Y1023" s="1113">
        <f t="shared" si="4380"/>
        <v>1.3279665558350917E-2</v>
      </c>
      <c r="Z1023" s="1113">
        <f t="shared" si="4380"/>
        <v>5.8983807703955948E-2</v>
      </c>
      <c r="AA1023" s="1113">
        <f t="shared" si="4380"/>
        <v>0.12863529934956941</v>
      </c>
      <c r="AB1023" s="1113">
        <f t="shared" si="4380"/>
        <v>5.8057540077588232E-2</v>
      </c>
      <c r="AC1023" s="1113">
        <f t="shared" si="4380"/>
        <v>3.3724216410368824E-2</v>
      </c>
      <c r="AD1023" s="1113">
        <f t="shared" si="4380"/>
        <v>-3.377802762649651E-5</v>
      </c>
      <c r="AE1023" s="1113">
        <f t="shared" si="4380"/>
        <v>-3.7674563673225747E-2</v>
      </c>
      <c r="AF1023" s="1113">
        <f t="shared" si="4380"/>
        <v>-3.5165005449379283E-2</v>
      </c>
      <c r="AG1023" s="1113">
        <f t="shared" si="4380"/>
        <v>-7.1498457160620532E-2</v>
      </c>
      <c r="AH1023" s="1113">
        <f t="shared" si="4380"/>
        <v>-6.3633964925670639E-2</v>
      </c>
      <c r="AI1023" s="1113">
        <f t="shared" si="4380"/>
        <v>-4.9777555613149893E-2</v>
      </c>
      <c r="AJ1023" s="1113">
        <f t="shared" si="4380"/>
        <v>-2.6712977670334537E-2</v>
      </c>
      <c r="AK1023" s="1113">
        <f t="shared" si="4380"/>
        <v>-2.2399984832826014E-3</v>
      </c>
      <c r="AL1023" s="1113">
        <f t="shared" si="4380"/>
        <v>3.2174173843608767E-3</v>
      </c>
      <c r="AM1023" s="1113">
        <f t="shared" si="4380"/>
        <v>-1.8262965053445934E-2</v>
      </c>
      <c r="AN1023" s="1113">
        <f t="shared" ref="AN1023:AQ1023" si="4381">+AN1048</f>
        <v>-1.6808567505955607E-2</v>
      </c>
      <c r="AO1023" s="1113">
        <f t="shared" si="4381"/>
        <v>7.5779304917700241E-3</v>
      </c>
      <c r="AP1023" s="1113">
        <f t="shared" si="4381"/>
        <v>-1.4492166528743411E-3</v>
      </c>
      <c r="AQ1023" s="1113">
        <f t="shared" si="4381"/>
        <v>1.3470130050488471E-2</v>
      </c>
    </row>
    <row r="1024" spans="2:43">
      <c r="B1024" s="1183" t="s">
        <v>631</v>
      </c>
      <c r="C1024" s="872"/>
      <c r="D1024" s="228"/>
      <c r="E1024" s="228"/>
      <c r="F1024" s="228"/>
      <c r="G1024" s="228"/>
      <c r="H1024" s="228">
        <f>SUMPRODUCT(H1018:H1023,H1010:H1015)</f>
        <v>-1.2155444121889665E-2</v>
      </c>
      <c r="I1024" s="228">
        <f t="shared" ref="I1024:AM1024" si="4382">SUMPRODUCT(I1018:I1023,I1010:I1015)</f>
        <v>-2.096988745108818E-2</v>
      </c>
      <c r="J1024" s="228">
        <f t="shared" si="4382"/>
        <v>-1.9029595748667305E-2</v>
      </c>
      <c r="K1024" s="228">
        <f t="shared" si="4382"/>
        <v>-1.9330345654379973E-2</v>
      </c>
      <c r="L1024" s="228">
        <f t="shared" si="4382"/>
        <v>6.5622105013870245E-3</v>
      </c>
      <c r="M1024" s="228">
        <f t="shared" si="4382"/>
        <v>2.220898652210912E-2</v>
      </c>
      <c r="N1024" s="228">
        <f t="shared" si="4382"/>
        <v>4.004228448626098E-2</v>
      </c>
      <c r="O1024" s="228">
        <f t="shared" si="4382"/>
        <v>2.1150604941949334E-2</v>
      </c>
      <c r="P1024" s="228">
        <f t="shared" si="4382"/>
        <v>-5.5019958360794062E-3</v>
      </c>
      <c r="Q1024" s="228">
        <f t="shared" si="4382"/>
        <v>-1.124644819242844E-2</v>
      </c>
      <c r="R1024" s="228">
        <f t="shared" si="4382"/>
        <v>-2.3024641158196423E-2</v>
      </c>
      <c r="S1024" s="228">
        <f t="shared" si="4382"/>
        <v>-1.8117238577476675E-2</v>
      </c>
      <c r="T1024" s="228">
        <f t="shared" si="4382"/>
        <v>-1.3709110270239768E-2</v>
      </c>
      <c r="U1024" s="228">
        <f t="shared" si="4382"/>
        <v>-3.9923078315790882E-3</v>
      </c>
      <c r="V1024" s="228">
        <f t="shared" si="4382"/>
        <v>-7.9915919035503172E-3</v>
      </c>
      <c r="W1024" s="228">
        <f t="shared" si="4382"/>
        <v>-9.3625209933939964E-3</v>
      </c>
      <c r="X1024" s="228">
        <f t="shared" si="4382"/>
        <v>1.4228675832132899E-2</v>
      </c>
      <c r="Y1024" s="228">
        <f t="shared" si="4382"/>
        <v>1.7148495148773941E-2</v>
      </c>
      <c r="Z1024" s="228">
        <f t="shared" si="4382"/>
        <v>2.9719116164609469E-2</v>
      </c>
      <c r="AA1024" s="228">
        <f t="shared" si="4382"/>
        <v>3.7135705160834566E-2</v>
      </c>
      <c r="AB1024" s="228">
        <f t="shared" si="4382"/>
        <v>1.175567738371887E-2</v>
      </c>
      <c r="AC1024" s="228">
        <f t="shared" si="4382"/>
        <v>-4.6554811191960111E-3</v>
      </c>
      <c r="AD1024" s="228">
        <f t="shared" si="4382"/>
        <v>-1.8298716900852122E-2</v>
      </c>
      <c r="AE1024" s="228">
        <f t="shared" si="4382"/>
        <v>-4.095616598482766E-2</v>
      </c>
      <c r="AF1024" s="228">
        <f t="shared" si="4382"/>
        <v>-4.9518776595668591E-2</v>
      </c>
      <c r="AG1024" s="228">
        <f t="shared" si="4382"/>
        <v>-4.7442699923034459E-2</v>
      </c>
      <c r="AH1024" s="228">
        <f t="shared" si="4382"/>
        <v>-2.8876637009503166E-2</v>
      </c>
      <c r="AI1024" s="228">
        <f t="shared" si="4382"/>
        <v>-1.4511844063897917E-3</v>
      </c>
      <c r="AJ1024" s="228">
        <f t="shared" si="4382"/>
        <v>2.1424792020690111E-2</v>
      </c>
      <c r="AK1024" s="228">
        <f t="shared" si="4382"/>
        <v>1.9123886229266706E-2</v>
      </c>
      <c r="AL1024" s="228">
        <f t="shared" si="4382"/>
        <v>7.1041197987749662E-3</v>
      </c>
      <c r="AM1024" s="228">
        <f t="shared" si="4382"/>
        <v>-2.9244329806378854E-3</v>
      </c>
      <c r="AN1024" s="228">
        <f t="shared" ref="AN1024:AQ1024" si="4383">SUMPRODUCT(AN1018:AN1023,AN1010:AN1015)</f>
        <v>5.2913784018798942E-3</v>
      </c>
      <c r="AO1024" s="228">
        <f t="shared" si="4383"/>
        <v>2.2342841133528746E-2</v>
      </c>
      <c r="AP1024" s="228">
        <f t="shared" si="4383"/>
        <v>1.6554107395145637E-2</v>
      </c>
      <c r="AQ1024" s="228">
        <f t="shared" si="4383"/>
        <v>1.9953142092436205E-2</v>
      </c>
    </row>
    <row r="1025" spans="2:70">
      <c r="B1025" s="1178"/>
      <c r="C1025" s="1164"/>
      <c r="D1025" s="842"/>
      <c r="E1025" s="842"/>
      <c r="F1025" s="842"/>
      <c r="G1025" s="842"/>
      <c r="H1025" s="842"/>
      <c r="I1025" s="842"/>
      <c r="J1025" s="842"/>
      <c r="K1025" s="842"/>
      <c r="L1025" s="842"/>
      <c r="M1025" s="842"/>
      <c r="N1025" s="842"/>
      <c r="O1025" s="842"/>
      <c r="P1025" s="842"/>
      <c r="Q1025" s="842"/>
      <c r="R1025" s="842"/>
      <c r="S1025" s="842"/>
      <c r="T1025" s="842"/>
      <c r="U1025" s="842"/>
      <c r="V1025" s="842"/>
      <c r="W1025" s="842"/>
      <c r="X1025" s="842"/>
      <c r="Y1025" s="842"/>
      <c r="Z1025" s="842"/>
      <c r="AA1025" s="842"/>
      <c r="AB1025" s="842"/>
      <c r="AC1025" s="842"/>
      <c r="AD1025" s="842"/>
      <c r="AE1025" s="842"/>
      <c r="AF1025" s="842"/>
      <c r="AG1025" s="842"/>
      <c r="AH1025" s="842"/>
      <c r="AI1025" s="842"/>
      <c r="AJ1025" s="842"/>
      <c r="AK1025" s="842"/>
      <c r="AL1025" s="842"/>
      <c r="AM1025" s="842"/>
      <c r="AN1025" s="842"/>
      <c r="AO1025" s="842"/>
      <c r="AP1025" s="842"/>
      <c r="AQ1025" s="842"/>
    </row>
    <row r="1026" spans="2:70">
      <c r="B1026" s="1184" t="s">
        <v>632</v>
      </c>
      <c r="C1026" s="1164"/>
      <c r="D1026" s="842"/>
      <c r="E1026" s="842"/>
      <c r="F1026" s="842"/>
      <c r="G1026" s="842"/>
      <c r="H1026" s="842"/>
      <c r="I1026" s="842"/>
      <c r="J1026" s="842"/>
      <c r="K1026" s="842"/>
      <c r="L1026" s="842"/>
      <c r="M1026" s="842"/>
      <c r="N1026" s="842"/>
      <c r="O1026" s="842"/>
      <c r="P1026" s="842"/>
      <c r="Q1026" s="842"/>
      <c r="R1026" s="842"/>
      <c r="S1026" s="842"/>
      <c r="T1026" s="842"/>
      <c r="U1026" s="842"/>
      <c r="V1026" s="842"/>
      <c r="W1026" s="842"/>
      <c r="X1026" s="842"/>
      <c r="Y1026" s="842"/>
      <c r="Z1026" s="842"/>
      <c r="AA1026" s="842"/>
      <c r="AB1026" s="842"/>
      <c r="AC1026" s="842"/>
      <c r="AD1026" s="842"/>
      <c r="AE1026" s="842"/>
      <c r="AF1026" s="842"/>
      <c r="AG1026" s="842"/>
      <c r="AH1026" s="842"/>
      <c r="AI1026" s="842"/>
      <c r="AJ1026" s="842"/>
      <c r="AK1026" s="842"/>
      <c r="AL1026" s="842"/>
      <c r="AM1026" s="842"/>
      <c r="AN1026" s="842"/>
      <c r="AO1026" s="842"/>
      <c r="AP1026" s="842"/>
      <c r="AQ1026" s="842"/>
    </row>
    <row r="1027" spans="2:70">
      <c r="B1027" s="1185" t="s">
        <v>633</v>
      </c>
      <c r="C1027" s="872"/>
      <c r="D1027" s="1186">
        <f t="shared" ref="D1027:AQ1027" si="4384">+D12</f>
        <v>20910</v>
      </c>
      <c r="E1027" s="1186">
        <f t="shared" si="4384"/>
        <v>25253</v>
      </c>
      <c r="F1027" s="1186">
        <f t="shared" si="4384"/>
        <v>21517</v>
      </c>
      <c r="G1027" s="1186">
        <f t="shared" si="4384"/>
        <v>23474</v>
      </c>
      <c r="H1027" s="1186">
        <f t="shared" si="4384"/>
        <v>21928</v>
      </c>
      <c r="I1027" s="1186">
        <f t="shared" si="4384"/>
        <v>25826</v>
      </c>
      <c r="J1027" s="1186">
        <f t="shared" si="4384"/>
        <v>23212</v>
      </c>
      <c r="K1027" s="1186">
        <f t="shared" si="4384"/>
        <v>25605</v>
      </c>
      <c r="L1027" s="1186">
        <f t="shared" si="4384"/>
        <v>24538</v>
      </c>
      <c r="M1027" s="1186">
        <f t="shared" si="4384"/>
        <v>28918</v>
      </c>
      <c r="N1027" s="1186">
        <f t="shared" si="4384"/>
        <v>26819</v>
      </c>
      <c r="O1027" s="1186">
        <f t="shared" si="4384"/>
        <v>30085</v>
      </c>
      <c r="P1027" s="1186">
        <f t="shared" si="4384"/>
        <v>29084</v>
      </c>
      <c r="Q1027" s="1186">
        <f t="shared" si="4384"/>
        <v>32471</v>
      </c>
      <c r="R1027" s="1186">
        <f t="shared" si="4384"/>
        <v>30571</v>
      </c>
      <c r="S1027" s="1186">
        <f t="shared" si="4384"/>
        <v>33717</v>
      </c>
      <c r="T1027" s="1186">
        <f t="shared" si="4384"/>
        <v>33055</v>
      </c>
      <c r="U1027" s="1186">
        <f t="shared" si="4384"/>
        <v>36906</v>
      </c>
      <c r="V1027" s="1186">
        <f t="shared" si="4384"/>
        <v>35021</v>
      </c>
      <c r="W1027" s="1186">
        <f t="shared" si="4384"/>
        <v>38033</v>
      </c>
      <c r="X1027" s="1186">
        <f t="shared" si="4384"/>
        <v>37154</v>
      </c>
      <c r="Y1027" s="1186">
        <f t="shared" si="4384"/>
        <v>43076</v>
      </c>
      <c r="Z1027" s="1186">
        <f t="shared" si="4384"/>
        <v>41706</v>
      </c>
      <c r="AA1027" s="1186">
        <f t="shared" si="4384"/>
        <v>46152</v>
      </c>
      <c r="AB1027" s="1186">
        <f t="shared" si="4384"/>
        <v>45317</v>
      </c>
      <c r="AC1027" s="1186">
        <f t="shared" si="4384"/>
        <v>51728</v>
      </c>
      <c r="AD1027" s="1186">
        <f t="shared" si="4384"/>
        <v>49360</v>
      </c>
      <c r="AE1027" s="1186">
        <f t="shared" si="4384"/>
        <v>51865</v>
      </c>
      <c r="AF1027" s="1186">
        <f t="shared" si="4384"/>
        <v>50122</v>
      </c>
      <c r="AG1027" s="1186">
        <f t="shared" si="4384"/>
        <v>52747</v>
      </c>
      <c r="AH1027" s="1186">
        <f t="shared" si="4384"/>
        <v>52857</v>
      </c>
      <c r="AI1027" s="1186">
        <f t="shared" si="4384"/>
        <v>56189</v>
      </c>
      <c r="AJ1027" s="1186">
        <f t="shared" si="4384"/>
        <v>56517</v>
      </c>
      <c r="AK1027" s="1186">
        <f t="shared" si="4384"/>
        <v>62020</v>
      </c>
      <c r="AL1027" s="1186">
        <f t="shared" si="4384"/>
        <v>61858</v>
      </c>
      <c r="AM1027" s="1186">
        <f t="shared" si="4384"/>
        <v>64727</v>
      </c>
      <c r="AN1027" s="1186">
        <f t="shared" si="4384"/>
        <v>65306.668670161642</v>
      </c>
      <c r="AO1027" s="1186">
        <f t="shared" si="4384"/>
        <v>70154.988371963365</v>
      </c>
      <c r="AP1027" s="1186">
        <f t="shared" si="4384"/>
        <v>71055.656578552866</v>
      </c>
      <c r="AQ1027" s="1186">
        <f t="shared" si="4384"/>
        <v>74694.533091599718</v>
      </c>
    </row>
    <row r="1028" spans="2:70" ht="11.45">
      <c r="B1028" s="1185" t="s">
        <v>634</v>
      </c>
      <c r="C1028" s="1161"/>
      <c r="D1028" s="840"/>
      <c r="E1028" s="840"/>
      <c r="F1028" s="840"/>
      <c r="G1028" s="840"/>
      <c r="H1028" s="840">
        <f t="shared" ref="H1028:K1028" si="4385">+H1024</f>
        <v>-1.2155444121889665E-2</v>
      </c>
      <c r="I1028" s="840">
        <f t="shared" si="4385"/>
        <v>-2.096988745108818E-2</v>
      </c>
      <c r="J1028" s="840">
        <f t="shared" si="4385"/>
        <v>-1.9029595748667305E-2</v>
      </c>
      <c r="K1028" s="840">
        <f t="shared" si="4385"/>
        <v>-1.9330345654379973E-2</v>
      </c>
      <c r="L1028" s="840">
        <f t="shared" ref="L1028:AM1028" si="4386">+L1024</f>
        <v>6.5622105013870245E-3</v>
      </c>
      <c r="M1028" s="840">
        <f t="shared" si="4386"/>
        <v>2.220898652210912E-2</v>
      </c>
      <c r="N1028" s="840">
        <f t="shared" si="4386"/>
        <v>4.004228448626098E-2</v>
      </c>
      <c r="O1028" s="840">
        <f t="shared" si="4386"/>
        <v>2.1150604941949334E-2</v>
      </c>
      <c r="P1028" s="840">
        <f t="shared" si="4386"/>
        <v>-5.5019958360794062E-3</v>
      </c>
      <c r="Q1028" s="840">
        <f t="shared" si="4386"/>
        <v>-1.124644819242844E-2</v>
      </c>
      <c r="R1028" s="840">
        <f t="shared" si="4386"/>
        <v>-2.3024641158196423E-2</v>
      </c>
      <c r="S1028" s="840">
        <f t="shared" si="4386"/>
        <v>-1.8117238577476675E-2</v>
      </c>
      <c r="T1028" s="840">
        <f t="shared" si="4386"/>
        <v>-1.3709110270239768E-2</v>
      </c>
      <c r="U1028" s="840">
        <f t="shared" si="4386"/>
        <v>-3.9923078315790882E-3</v>
      </c>
      <c r="V1028" s="840">
        <f t="shared" si="4386"/>
        <v>-7.9915919035503172E-3</v>
      </c>
      <c r="W1028" s="840">
        <f t="shared" si="4386"/>
        <v>-9.3625209933939964E-3</v>
      </c>
      <c r="X1028" s="840">
        <f t="shared" si="4386"/>
        <v>1.4228675832132899E-2</v>
      </c>
      <c r="Y1028" s="840">
        <f t="shared" si="4386"/>
        <v>1.7148495148773941E-2</v>
      </c>
      <c r="Z1028" s="840">
        <f t="shared" si="4386"/>
        <v>2.9719116164609469E-2</v>
      </c>
      <c r="AA1028" s="840">
        <f t="shared" si="4386"/>
        <v>3.7135705160834566E-2</v>
      </c>
      <c r="AB1028" s="840">
        <f t="shared" si="4386"/>
        <v>1.175567738371887E-2</v>
      </c>
      <c r="AC1028" s="840">
        <f t="shared" si="4386"/>
        <v>-4.6554811191960111E-3</v>
      </c>
      <c r="AD1028" s="840">
        <f t="shared" si="4386"/>
        <v>-1.8298716900852122E-2</v>
      </c>
      <c r="AE1028" s="840">
        <f t="shared" si="4386"/>
        <v>-4.095616598482766E-2</v>
      </c>
      <c r="AF1028" s="840">
        <f t="shared" si="4386"/>
        <v>-4.9518776595668591E-2</v>
      </c>
      <c r="AG1028" s="840">
        <f t="shared" si="4386"/>
        <v>-4.7442699923034459E-2</v>
      </c>
      <c r="AH1028" s="840">
        <f t="shared" si="4386"/>
        <v>-2.8876637009503166E-2</v>
      </c>
      <c r="AI1028" s="840">
        <f t="shared" si="4386"/>
        <v>-1.4511844063897917E-3</v>
      </c>
      <c r="AJ1028" s="840">
        <f t="shared" si="4386"/>
        <v>2.1424792020690111E-2</v>
      </c>
      <c r="AK1028" s="840">
        <f t="shared" si="4386"/>
        <v>1.9123886229266706E-2</v>
      </c>
      <c r="AL1028" s="840">
        <f t="shared" si="4386"/>
        <v>7.1041197987749662E-3</v>
      </c>
      <c r="AM1028" s="840">
        <f t="shared" si="4386"/>
        <v>-2.9244329806378854E-3</v>
      </c>
      <c r="AN1028" s="840">
        <f t="shared" ref="AN1028:AQ1028" si="4387">+AN1024</f>
        <v>5.2913784018798942E-3</v>
      </c>
      <c r="AO1028" s="840">
        <f t="shared" si="4387"/>
        <v>2.2342841133528746E-2</v>
      </c>
      <c r="AP1028" s="840">
        <f t="shared" si="4387"/>
        <v>1.6554107395145637E-2</v>
      </c>
      <c r="AQ1028" s="840">
        <f t="shared" si="4387"/>
        <v>1.9953142092436205E-2</v>
      </c>
    </row>
    <row r="1029" spans="2:70">
      <c r="B1029" s="1187" t="s">
        <v>635</v>
      </c>
      <c r="C1029" s="1186"/>
      <c r="D1029" s="1186"/>
      <c r="E1029" s="1186"/>
      <c r="F1029" s="1186"/>
      <c r="G1029" s="1186"/>
      <c r="H1029" s="1186">
        <f t="shared" ref="H1029:K1029" si="4388">+H1027*(1-H1028)</f>
        <v>22194.544578704797</v>
      </c>
      <c r="I1029" s="1186">
        <f t="shared" si="4388"/>
        <v>26367.568313311804</v>
      </c>
      <c r="J1029" s="1186">
        <f t="shared" si="4388"/>
        <v>23653.714976518066</v>
      </c>
      <c r="K1029" s="1186">
        <f t="shared" si="4388"/>
        <v>26099.953500480402</v>
      </c>
      <c r="L1029" s="1186">
        <f t="shared" ref="L1029:AM1029" si="4389">+L1027*(1-L1028)</f>
        <v>24376.976478716966</v>
      </c>
      <c r="M1029" s="1186">
        <f t="shared" si="4389"/>
        <v>28275.76052775365</v>
      </c>
      <c r="N1029" s="1186">
        <f t="shared" si="4389"/>
        <v>25745.105972362966</v>
      </c>
      <c r="O1029" s="1186">
        <f t="shared" si="4389"/>
        <v>29448.684050321455</v>
      </c>
      <c r="P1029" s="1186">
        <f t="shared" si="4389"/>
        <v>29244.02004689653</v>
      </c>
      <c r="Q1029" s="1186">
        <f t="shared" si="4389"/>
        <v>32836.18341925634</v>
      </c>
      <c r="R1029" s="1186">
        <f t="shared" si="4389"/>
        <v>31274.886304847223</v>
      </c>
      <c r="S1029" s="1186">
        <f t="shared" si="4389"/>
        <v>34327.858933116775</v>
      </c>
      <c r="T1029" s="1186">
        <f t="shared" si="4389"/>
        <v>33508.154639982778</v>
      </c>
      <c r="U1029" s="1186">
        <f t="shared" si="4389"/>
        <v>37053.340112832258</v>
      </c>
      <c r="V1029" s="1186">
        <f t="shared" si="4389"/>
        <v>35300.873540054235</v>
      </c>
      <c r="W1029" s="1186">
        <f t="shared" si="4389"/>
        <v>38389.084760941754</v>
      </c>
      <c r="X1029" s="1186">
        <f t="shared" si="4389"/>
        <v>36625.347778132935</v>
      </c>
      <c r="Y1029" s="1186">
        <f t="shared" si="4389"/>
        <v>42337.311422971412</v>
      </c>
      <c r="Z1029" s="1186">
        <f t="shared" si="4389"/>
        <v>40466.534541238798</v>
      </c>
      <c r="AA1029" s="1186">
        <f t="shared" si="4389"/>
        <v>44438.112935417164</v>
      </c>
      <c r="AB1029" s="1186">
        <f t="shared" si="4389"/>
        <v>44784.267968002016</v>
      </c>
      <c r="AC1029" s="1186">
        <f t="shared" si="4389"/>
        <v>51968.818727333775</v>
      </c>
      <c r="AD1029" s="1186">
        <f t="shared" si="4389"/>
        <v>50263.224666226066</v>
      </c>
      <c r="AE1029" s="1186">
        <f t="shared" si="4389"/>
        <v>53989.191548803086</v>
      </c>
      <c r="AF1029" s="1186">
        <f t="shared" si="4389"/>
        <v>52603.980120528104</v>
      </c>
      <c r="AG1029" s="1186">
        <f t="shared" si="4389"/>
        <v>55249.460092840294</v>
      </c>
      <c r="AH1029" s="1186">
        <f t="shared" si="4389"/>
        <v>54383.332402411317</v>
      </c>
      <c r="AI1029" s="1186">
        <f t="shared" si="4389"/>
        <v>56270.540600610635</v>
      </c>
      <c r="AJ1029" s="1186">
        <f t="shared" si="4389"/>
        <v>55306.135029366655</v>
      </c>
      <c r="AK1029" s="1186">
        <f t="shared" si="4389"/>
        <v>60833.936576060878</v>
      </c>
      <c r="AL1029" s="1186">
        <f t="shared" si="4389"/>
        <v>61418.553357487377</v>
      </c>
      <c r="AM1029" s="1186">
        <f t="shared" si="4389"/>
        <v>64916.289773537748</v>
      </c>
      <c r="AN1029" s="1186">
        <f t="shared" ref="AN1029:AQ1029" si="4390">+AN1027*(1-AN1028)</f>
        <v>64961.106374061623</v>
      </c>
      <c r="AO1029" s="1186">
        <f t="shared" si="4390"/>
        <v>68587.526612044036</v>
      </c>
      <c r="AP1029" s="1186">
        <f t="shared" si="4390"/>
        <v>69879.39360851892</v>
      </c>
      <c r="AQ1029" s="1186">
        <f t="shared" si="4390"/>
        <v>73204.142459294861</v>
      </c>
    </row>
    <row r="1030" spans="2:70">
      <c r="B1030" s="1188" t="s">
        <v>632</v>
      </c>
      <c r="C1030" s="1189"/>
      <c r="D1030" s="1189"/>
      <c r="E1030" s="1189"/>
      <c r="F1030" s="1189"/>
      <c r="G1030" s="1189"/>
      <c r="H1030" s="842">
        <f t="shared" ref="H1030" si="4391">+H1029/D1027-1</f>
        <v>6.1432069761109487E-2</v>
      </c>
      <c r="I1030" s="842">
        <f t="shared" ref="I1030" si="4392">+I1029/E1027-1</f>
        <v>4.4136075448929057E-2</v>
      </c>
      <c r="J1030" s="842">
        <f t="shared" ref="J1030" si="4393">+J1029/F1027-1</f>
        <v>9.9303572826977105E-2</v>
      </c>
      <c r="K1030" s="842">
        <f t="shared" ref="K1030" si="4394">+K1029/G1027-1</f>
        <v>0.11186646930563193</v>
      </c>
      <c r="L1030" s="842">
        <f t="shared" ref="L1030:AM1030" si="4395">+L1029/H1027-1</f>
        <v>0.11168261942342972</v>
      </c>
      <c r="M1030" s="842">
        <f t="shared" si="4395"/>
        <v>9.4856366752638754E-2</v>
      </c>
      <c r="N1030" s="842">
        <f t="shared" si="4395"/>
        <v>0.10912915614177865</v>
      </c>
      <c r="O1030" s="842">
        <f t="shared" si="4395"/>
        <v>0.1501145889600255</v>
      </c>
      <c r="P1030" s="842">
        <f t="shared" si="4395"/>
        <v>0.19178498846265102</v>
      </c>
      <c r="Q1030" s="842">
        <f t="shared" si="4395"/>
        <v>0.13549289090726679</v>
      </c>
      <c r="R1030" s="842">
        <f t="shared" si="4395"/>
        <v>0.16614662384306733</v>
      </c>
      <c r="S1030" s="842">
        <f t="shared" si="4395"/>
        <v>0.14102904879896205</v>
      </c>
      <c r="T1030" s="842">
        <f t="shared" si="4395"/>
        <v>0.15211644340471664</v>
      </c>
      <c r="U1030" s="842">
        <f t="shared" si="4395"/>
        <v>0.14112100375203274</v>
      </c>
      <c r="V1030" s="842">
        <f t="shared" si="4395"/>
        <v>0.15471765856708108</v>
      </c>
      <c r="W1030" s="842">
        <f t="shared" si="4395"/>
        <v>0.13856762941370082</v>
      </c>
      <c r="X1030" s="842">
        <f t="shared" si="4395"/>
        <v>0.1080123363525316</v>
      </c>
      <c r="Y1030" s="842">
        <f t="shared" si="4395"/>
        <v>0.14716608201840931</v>
      </c>
      <c r="Z1030" s="842">
        <f t="shared" si="4395"/>
        <v>0.15549340513517018</v>
      </c>
      <c r="AA1030" s="842">
        <f t="shared" si="4395"/>
        <v>0.16840935333571272</v>
      </c>
      <c r="AB1030" s="842">
        <f t="shared" si="4395"/>
        <v>0.20536868084195548</v>
      </c>
      <c r="AC1030" s="842">
        <f t="shared" si="4395"/>
        <v>0.20644485856007466</v>
      </c>
      <c r="AD1030" s="842">
        <f t="shared" si="4395"/>
        <v>0.20517970235040672</v>
      </c>
      <c r="AE1030" s="842">
        <f t="shared" si="4395"/>
        <v>0.16981260939510934</v>
      </c>
      <c r="AF1030" s="842">
        <f t="shared" si="4395"/>
        <v>0.16080014388702035</v>
      </c>
      <c r="AG1030" s="842">
        <f t="shared" si="4395"/>
        <v>6.8076478751165626E-2</v>
      </c>
      <c r="AH1030" s="842">
        <f t="shared" si="4395"/>
        <v>0.10176929502454035</v>
      </c>
      <c r="AI1030" s="842">
        <f>+AI1029/AE1027-1</f>
        <v>8.49424583169891E-2</v>
      </c>
      <c r="AJ1030" s="842">
        <f t="shared" si="4395"/>
        <v>0.10343033058071605</v>
      </c>
      <c r="AK1030" s="842">
        <f t="shared" si="4395"/>
        <v>0.15331557389161232</v>
      </c>
      <c r="AL1030" s="842">
        <f t="shared" si="4395"/>
        <v>0.1619757715626573</v>
      </c>
      <c r="AM1030" s="842">
        <f t="shared" si="4395"/>
        <v>0.15532025438320218</v>
      </c>
      <c r="AN1030" s="842">
        <f t="shared" ref="AN1030" si="4396">+AN1029/AJ1027-1</f>
        <v>0.14940825546404835</v>
      </c>
      <c r="AO1030" s="842">
        <f t="shared" ref="AO1030" si="4397">+AO1029/AK1027-1</f>
        <v>0.10589368932673393</v>
      </c>
      <c r="AP1030" s="842">
        <f t="shared" ref="AP1030" si="4398">+AP1029/AL1027-1</f>
        <v>0.12967431227196036</v>
      </c>
      <c r="AQ1030" s="842">
        <f t="shared" ref="AQ1030" si="4399">+AQ1029/AM1027-1</f>
        <v>0.13096764038646724</v>
      </c>
    </row>
    <row r="1031" spans="2:70">
      <c r="B1031" s="1187"/>
      <c r="C1031" s="1186"/>
      <c r="D1031" s="1186"/>
      <c r="E1031" s="1186"/>
      <c r="F1031" s="1186"/>
      <c r="G1031" s="1186"/>
      <c r="H1031" s="1186"/>
      <c r="I1031" s="1186"/>
      <c r="J1031" s="1186"/>
      <c r="K1031" s="1186"/>
      <c r="L1031" s="1186"/>
      <c r="M1031" s="1186"/>
      <c r="N1031" s="1186"/>
      <c r="O1031" s="1186"/>
      <c r="P1031" s="1186"/>
      <c r="Q1031" s="1186"/>
      <c r="R1031" s="1186"/>
      <c r="S1031" s="1186"/>
      <c r="T1031" s="1186"/>
      <c r="U1031" s="1186"/>
      <c r="V1031" s="1186"/>
      <c r="W1031" s="1186"/>
      <c r="X1031" s="1186"/>
      <c r="Y1031" s="1186"/>
      <c r="Z1031" s="1186"/>
      <c r="AA1031" s="1186"/>
      <c r="AB1031" s="1186"/>
      <c r="AC1031" s="1186"/>
      <c r="AD1031" s="1186"/>
      <c r="AE1031" s="1186"/>
      <c r="AF1031" s="1186"/>
      <c r="AG1031" s="1186"/>
      <c r="AH1031" s="1186"/>
      <c r="AI1031" s="1186"/>
      <c r="AJ1031" s="1186"/>
      <c r="AK1031" s="1186"/>
      <c r="AL1031" s="1186"/>
      <c r="AM1031" s="1186"/>
      <c r="AN1031" s="1186" t="s">
        <v>636</v>
      </c>
      <c r="AO1031" s="1186" t="s">
        <v>637</v>
      </c>
      <c r="AP1031" s="1186"/>
      <c r="AQ1031" s="1186"/>
    </row>
    <row r="1032" spans="2:70">
      <c r="B1032" s="100" t="s">
        <v>638</v>
      </c>
      <c r="C1032" s="100"/>
      <c r="D1032" s="1190">
        <f>+D1033-91</f>
        <v>42186</v>
      </c>
      <c r="E1032" s="1190">
        <f>+E1033-91</f>
        <v>42278</v>
      </c>
      <c r="F1032" s="1190">
        <f>+F1033-90</f>
        <v>42370</v>
      </c>
      <c r="G1032" s="1190">
        <f>+G1033-90</f>
        <v>42461</v>
      </c>
      <c r="H1032" s="1190">
        <f>+H1033-91</f>
        <v>42552</v>
      </c>
      <c r="I1032" s="1190">
        <f t="shared" ref="I1032:V1032" si="4400">+I1033-90</f>
        <v>42644</v>
      </c>
      <c r="J1032" s="1190">
        <f>+J1033-90</f>
        <v>42735</v>
      </c>
      <c r="K1032" s="1190">
        <f>+K1033-90</f>
        <v>42826</v>
      </c>
      <c r="L1032" s="1190">
        <f>+L1033-91</f>
        <v>42917</v>
      </c>
      <c r="M1032" s="1190">
        <f>+M1033-91</f>
        <v>43009</v>
      </c>
      <c r="N1032" s="1190">
        <f>+N1033-89</f>
        <v>43101</v>
      </c>
      <c r="O1032" s="1190">
        <f>+O1033-90</f>
        <v>43191</v>
      </c>
      <c r="P1032" s="1190">
        <f>+P1033-91</f>
        <v>43282</v>
      </c>
      <c r="Q1032" s="1190">
        <f>+Q1033-91</f>
        <v>43374</v>
      </c>
      <c r="R1032" s="1190">
        <f>+R1033-89</f>
        <v>43466</v>
      </c>
      <c r="S1032" s="1190">
        <f>+S1033-90</f>
        <v>43556</v>
      </c>
      <c r="T1032" s="1190">
        <f>+T1033-91</f>
        <v>43647</v>
      </c>
      <c r="U1032" s="1190">
        <f t="shared" si="4400"/>
        <v>43739</v>
      </c>
      <c r="V1032" s="1190">
        <f t="shared" si="4400"/>
        <v>43830</v>
      </c>
      <c r="W1032" s="1190">
        <f>+W1033-91</f>
        <v>43921</v>
      </c>
      <c r="X1032" s="1190">
        <f>+X1033-91</f>
        <v>44013</v>
      </c>
      <c r="Y1032" s="1190">
        <f>+Y1033-91</f>
        <v>44105</v>
      </c>
      <c r="Z1032" s="1190">
        <f>+Z1033-89</f>
        <v>44197</v>
      </c>
      <c r="AA1032" s="1190">
        <f>+AA1033-90</f>
        <v>44287</v>
      </c>
      <c r="AB1032" s="1190">
        <f>+AB1033-91</f>
        <v>44378</v>
      </c>
      <c r="AC1032" s="1190">
        <f>+AC1033-91</f>
        <v>44470</v>
      </c>
      <c r="AD1032" s="1190">
        <f>+AD1033-89</f>
        <v>44562</v>
      </c>
      <c r="AE1032" s="1190">
        <f>+AE1033-90</f>
        <v>44652</v>
      </c>
      <c r="AF1032" s="1190">
        <f>+AF1033-92</f>
        <v>44743</v>
      </c>
      <c r="AG1032" s="1190">
        <f>+AG1033-90</f>
        <v>44836</v>
      </c>
      <c r="AH1032" s="1190">
        <v>44927</v>
      </c>
      <c r="AI1032" s="1190">
        <f t="shared" ref="AI1032:AN1032" si="4401">+AH1033+1</f>
        <v>45017</v>
      </c>
      <c r="AJ1032" s="1190">
        <f t="shared" si="4401"/>
        <v>45108</v>
      </c>
      <c r="AK1032" s="1190">
        <f t="shared" si="4401"/>
        <v>45200</v>
      </c>
      <c r="AL1032" s="1190">
        <f t="shared" si="4401"/>
        <v>45292</v>
      </c>
      <c r="AM1032" s="1190">
        <f t="shared" si="4401"/>
        <v>45383</v>
      </c>
      <c r="AN1032" s="1429">
        <f t="shared" si="4401"/>
        <v>45474</v>
      </c>
      <c r="AO1032" s="1429">
        <f>+AO1033-1</f>
        <v>45564</v>
      </c>
      <c r="AP1032" s="1190"/>
      <c r="AQ1032" s="1190"/>
    </row>
    <row r="1033" spans="2:70">
      <c r="B1033" s="100" t="s">
        <v>639</v>
      </c>
      <c r="C1033" s="100"/>
      <c r="D1033" s="1190">
        <f t="shared" ref="D1033:X1033" si="4402">+E1032-1</f>
        <v>42277</v>
      </c>
      <c r="E1033" s="1190">
        <f t="shared" si="4402"/>
        <v>42369</v>
      </c>
      <c r="F1033" s="1190">
        <f t="shared" si="4402"/>
        <v>42460</v>
      </c>
      <c r="G1033" s="1190">
        <f t="shared" si="4402"/>
        <v>42551</v>
      </c>
      <c r="H1033" s="1190">
        <f t="shared" si="4402"/>
        <v>42643</v>
      </c>
      <c r="I1033" s="1190">
        <f t="shared" si="4402"/>
        <v>42734</v>
      </c>
      <c r="J1033" s="1190">
        <f t="shared" si="4402"/>
        <v>42825</v>
      </c>
      <c r="K1033" s="1190">
        <f t="shared" si="4402"/>
        <v>42916</v>
      </c>
      <c r="L1033" s="1190">
        <f t="shared" si="4402"/>
        <v>43008</v>
      </c>
      <c r="M1033" s="1190">
        <f t="shared" si="4402"/>
        <v>43100</v>
      </c>
      <c r="N1033" s="1190">
        <f t="shared" si="4402"/>
        <v>43190</v>
      </c>
      <c r="O1033" s="1190">
        <f t="shared" si="4402"/>
        <v>43281</v>
      </c>
      <c r="P1033" s="1190">
        <f t="shared" si="4402"/>
        <v>43373</v>
      </c>
      <c r="Q1033" s="1190">
        <f t="shared" si="4402"/>
        <v>43465</v>
      </c>
      <c r="R1033" s="1190">
        <f t="shared" si="4402"/>
        <v>43555</v>
      </c>
      <c r="S1033" s="1190">
        <f t="shared" si="4402"/>
        <v>43646</v>
      </c>
      <c r="T1033" s="1190">
        <f t="shared" si="4402"/>
        <v>43738</v>
      </c>
      <c r="U1033" s="1190">
        <f t="shared" si="4402"/>
        <v>43829</v>
      </c>
      <c r="V1033" s="1190">
        <f t="shared" si="4402"/>
        <v>43920</v>
      </c>
      <c r="W1033" s="1190">
        <f t="shared" si="4402"/>
        <v>44012</v>
      </c>
      <c r="X1033" s="1190">
        <f t="shared" si="4402"/>
        <v>44104</v>
      </c>
      <c r="Y1033" s="1190">
        <f>+Z1032-1</f>
        <v>44196</v>
      </c>
      <c r="Z1033" s="1190">
        <f>+AA1032-1</f>
        <v>44286</v>
      </c>
      <c r="AA1033" s="1190">
        <f>+AB1032-1</f>
        <v>44377</v>
      </c>
      <c r="AB1033" s="1190">
        <f>+AC1032-1</f>
        <v>44469</v>
      </c>
      <c r="AC1033" s="1190">
        <f t="shared" ref="AC1033:AF1033" si="4403">+AD1032-1</f>
        <v>44561</v>
      </c>
      <c r="AD1033" s="1190">
        <f t="shared" si="4403"/>
        <v>44651</v>
      </c>
      <c r="AE1033" s="1190">
        <f t="shared" si="4403"/>
        <v>44742</v>
      </c>
      <c r="AF1033" s="1190">
        <f t="shared" si="4403"/>
        <v>44835</v>
      </c>
      <c r="AG1033" s="1190">
        <f>+AH1032-1</f>
        <v>44926</v>
      </c>
      <c r="AH1033" s="1190">
        <f>+AH1032+89</f>
        <v>45016</v>
      </c>
      <c r="AI1033" s="1190">
        <f>+AI1032+90</f>
        <v>45107</v>
      </c>
      <c r="AJ1033" s="1190">
        <f>+AJ1032+91</f>
        <v>45199</v>
      </c>
      <c r="AK1033" s="1190">
        <f>+AK1032+91</f>
        <v>45291</v>
      </c>
      <c r="AL1033" s="1190">
        <f>+AL1032+90</f>
        <v>45382</v>
      </c>
      <c r="AM1033" s="1190">
        <f>+AM1032+90</f>
        <v>45473</v>
      </c>
      <c r="AN1033" s="1429">
        <f>+Base!V1</f>
        <v>45565</v>
      </c>
      <c r="AO1033" s="1429">
        <f>+AN1033</f>
        <v>45565</v>
      </c>
      <c r="AP1033" s="1190"/>
      <c r="AQ1033" s="1190"/>
    </row>
    <row r="1034" spans="2:70">
      <c r="B1034" s="100"/>
      <c r="C1034" s="100"/>
      <c r="D1034" s="100"/>
      <c r="E1034" s="100"/>
      <c r="F1034" s="100"/>
      <c r="G1034" s="100"/>
      <c r="H1034" s="100"/>
      <c r="I1034" s="100"/>
      <c r="J1034" s="1190"/>
      <c r="K1034" s="1190"/>
      <c r="L1034" s="1190"/>
      <c r="M1034" s="1190"/>
      <c r="N1034" s="1190"/>
      <c r="O1034" s="1190"/>
      <c r="P1034" s="1190"/>
      <c r="Q1034" s="1190"/>
      <c r="R1034" s="1190"/>
      <c r="S1034" s="1190"/>
      <c r="T1034" s="1190"/>
      <c r="U1034" s="1190"/>
      <c r="V1034" s="1190"/>
      <c r="W1034" s="1190"/>
      <c r="X1034" s="1190"/>
      <c r="Y1034" s="1190"/>
      <c r="Z1034" s="1190"/>
      <c r="AA1034" s="1190"/>
      <c r="AB1034" s="1190"/>
      <c r="AC1034" s="1190"/>
      <c r="AD1034" s="1190"/>
      <c r="AE1034" s="1190"/>
      <c r="AF1034" s="1190"/>
      <c r="AG1034" s="1190"/>
      <c r="AH1034" s="1190"/>
      <c r="AI1034" s="1190"/>
      <c r="AJ1034" s="1190"/>
      <c r="AK1034" s="1190"/>
      <c r="AL1034" s="1190"/>
      <c r="AM1034" s="100"/>
      <c r="AN1034" s="100"/>
      <c r="AO1034" s="100"/>
      <c r="AP1034" s="100"/>
      <c r="AQ1034" s="100"/>
    </row>
    <row r="1035" spans="2:70">
      <c r="B1035" s="100" t="str">
        <f>+BQ1035&amp;" / "&amp;BR1035&amp;" - avg"</f>
        <v>USD / EUR - avg</v>
      </c>
      <c r="C1035" s="100"/>
      <c r="D1035" s="1191">
        <f>_xll.ciqfunctions.udf.CIQAVG("$"&amp;$BQ1035&amp;$BR1035,"iq_lastsaleprice",D$1032,D$1033)</f>
        <v>1.1124763604130401</v>
      </c>
      <c r="E1035" s="1191">
        <f>_xll.ciqfunctions.udf.CIQAVG("$"&amp;$BQ1035&amp;$BR1035,"iq_lastsaleprice",E$1032,E$1033)</f>
        <v>1.0953195798369599</v>
      </c>
      <c r="F1035" s="1191">
        <f>_xll.ciqfunctions.udf.CIQAVG("$"&amp;$BQ1035&amp;$BR1035,"iq_lastsaleprice",F$1032,F$1033)</f>
        <v>1.10295976340659</v>
      </c>
      <c r="G1035" s="1191">
        <f>_xll.ciqfunctions.udf.CIQAVG("$"&amp;$BQ1035&amp;$BR1035,"iq_lastsaleprice",G$1032,G$1033)</f>
        <v>1.12932634146154</v>
      </c>
      <c r="H1035" s="1191">
        <f>_xll.ciqfunctions.udf.CIQAVG("$"&amp;$BQ1035&amp;$BR1035,"iq_lastsaleprice",H$1032,H$1033)</f>
        <v>1.11601088790217</v>
      </c>
      <c r="I1035" s="1191">
        <f>_xll.ciqfunctions.udf.CIQAVG("$"&amp;$BQ1035&amp;$BR1035,"iq_lastsaleprice",I$1032,I$1033)</f>
        <v>1.0785543047692301</v>
      </c>
      <c r="J1035" s="1191">
        <f>_xll.ciqfunctions.udf.CIQAVG("$"&amp;$BQ1035&amp;$BR1035,"iq_lastsaleprice",J$1032,J$1033)</f>
        <v>1.0654715730439599</v>
      </c>
      <c r="K1035" s="1191">
        <f>_xll.ciqfunctions.udf.CIQAVG("$"&amp;$BQ1035&amp;$BR1035,"iq_lastsaleprice",K$1032,K$1033)</f>
        <v>1.1001437941758201</v>
      </c>
      <c r="L1035" s="1191">
        <f>_xll.ciqfunctions.udf.CIQAVG("$"&amp;$BQ1035&amp;$BR1035,"iq_lastsaleprice",L$1032,L$1033)</f>
        <v>1.1748654394347799</v>
      </c>
      <c r="M1035" s="1191">
        <f>_xll.ciqfunctions.udf.CIQAVG("$"&amp;$BQ1035&amp;$BR1035,"iq_lastsaleprice",M$1032,M$1033)</f>
        <v>1.1780928542173901</v>
      </c>
      <c r="N1035" s="1191">
        <f>_xll.ciqfunctions.udf.CIQAVG("$"&amp;$BQ1035&amp;$BR1035,"iq_lastsaleprice",N$1032,N$1033)</f>
        <v>1.2289207709444401</v>
      </c>
      <c r="O1035" s="1191">
        <f>_xll.ciqfunctions.udf.CIQAVG("$"&amp;$BQ1035&amp;$BR1035,"iq_lastsaleprice",O$1032,O$1033)</f>
        <v>1.1917072185384601</v>
      </c>
      <c r="P1035" s="1191">
        <f>_xll.ciqfunctions.udf.CIQAVG("$"&amp;$BQ1035&amp;$BR1035,"iq_lastsaleprice",P$1032,P$1033)</f>
        <v>1.1627740125978301</v>
      </c>
      <c r="Q1035" s="1191">
        <f>_xll.ciqfunctions.udf.CIQAVG("$"&amp;$BQ1035&amp;$BR1035,"iq_lastsaleprice",Q$1032,Q$1033)</f>
        <v>1.1409833015108699</v>
      </c>
      <c r="R1035" s="1191">
        <f>_xll.ciqfunctions.udf.CIQAVG("$"&amp;$BQ1035&amp;$BR1035,"iq_lastsaleprice",R$1032,R$1033)</f>
        <v>1.1355255660333301</v>
      </c>
      <c r="S1035" s="1191">
        <f>_xll.ciqfunctions.udf.CIQAVG("$"&amp;$BQ1035&amp;$BR1035,"iq_lastsaleprice",S$1032,S$1033)</f>
        <v>1.1238342307692299</v>
      </c>
      <c r="T1035" s="1191">
        <f>_xll.ciqfunctions.udf.CIQAVG("$"&amp;$BQ1035&amp;$BR1035,"iq_lastsaleprice",T$1032,T$1033)</f>
        <v>1.11177191459783</v>
      </c>
      <c r="U1035" s="1191">
        <f>_xll.ciqfunctions.udf.CIQAVG("$"&amp;$BQ1035&amp;$BR1035,"iq_lastsaleprice",U$1032,U$1033)</f>
        <v>1.1071403717912101</v>
      </c>
      <c r="V1035" s="1191">
        <f>_xll.ciqfunctions.udf.CIQAVG("$"&amp;$BQ1035&amp;$BR1035,"iq_lastsaleprice",V$1032,V$1033)</f>
        <v>1.10258227784615</v>
      </c>
      <c r="W1035" s="1191">
        <f>_xll.ciqfunctions.udf.CIQAVG("$"&amp;$BQ1035&amp;$BR1035,"iq_lastsaleprice",W$1032,W$1033)</f>
        <v>1.1012239156630399</v>
      </c>
      <c r="X1035" s="1191">
        <f>_xll.ciqfunctions.udf.CIQAVG("$"&amp;$BQ1035&amp;$BR1035,"iq_lastsaleprice",X$1032,X$1033)</f>
        <v>1.1689309435217401</v>
      </c>
      <c r="Y1035" s="1191">
        <f>_xll.ciqfunctions.udf.CIQAVG("$"&amp;$BQ1035&amp;$BR1035,"iq_lastsaleprice",Y$1032,Y$1033)</f>
        <v>1.1926274448043499</v>
      </c>
      <c r="Z1035" s="1191">
        <f>_xll.ciqfunctions.udf.CIQAVG("$"&amp;$BQ1035&amp;$BR1035,"iq_lastsaleprice",Z$1032,Z$1033)</f>
        <v>1.2052583608</v>
      </c>
      <c r="AA1035" s="1191">
        <f>_xll.ciqfunctions.udf.CIQAVG("$"&amp;$BQ1035&amp;$BR1035,"iq_lastsaleprice",AA$1032,AA$1033)</f>
        <v>1.20471565950549</v>
      </c>
      <c r="AB1035" s="1191">
        <f>_xll.ciqfunctions.udf.CIQAVG("$"&amp;$BQ1035&amp;$BR1035,"iq_lastsaleprice",AB$1032,AB$1033)</f>
        <v>1.1789309566956501</v>
      </c>
      <c r="AC1035" s="1191">
        <f>_xll.ciqfunctions.udf.CIQAVG("$"&amp;$BQ1035&amp;$BR1035,"iq_lastsaleprice",AC$1032,AC$1033)</f>
        <v>1.1436306963043501</v>
      </c>
      <c r="AD1035" s="1191">
        <f>_xll.ciqfunctions.udf.CIQAVG("$"&amp;$BQ1035&amp;$BR1035,"iq_lastsaleprice",AD$1032,AD$1033)</f>
        <v>1.1223682286111101</v>
      </c>
      <c r="AE1035" s="1191">
        <f>_xll.ciqfunctions.udf.CIQAVG("$"&amp;$BQ1035&amp;$BR1035,"iq_lastsaleprice",AE$1032,AE$1033)</f>
        <v>1.06508374738462</v>
      </c>
      <c r="AF1035" s="1191">
        <f>_xll.ciqfunctions.udf.CIQAVG("$"&amp;$BQ1035&amp;$BR1035,"iq_lastsaleprice",AF$1032,AF$1033)</f>
        <v>1.00768000213978</v>
      </c>
      <c r="AG1035" s="1191">
        <f>_xll.ciqfunctions.udf.CIQAVG("$"&amp;$BQ1035&amp;$BR1035,"iq_lastsaleprice",AG$1032,AG$1033)</f>
        <v>1.0217546085934099</v>
      </c>
      <c r="AH1035" s="1191">
        <f>_xll.ciqfunctions.udf.CIQAVG("$"&amp;$BQ1035&amp;$BR1035,"iq_lastsaleprice",AH$1032,AH$1033)</f>
        <v>1.0724500164333299</v>
      </c>
      <c r="AI1035" s="1191">
        <f>_xll.ciqfunctions.udf.CIQAVG("$"&amp;$BQ1035&amp;$BR1035,"iq_lastsaleprice",AI$1032,AI$1033)</f>
        <v>1.0884953663296699</v>
      </c>
      <c r="AJ1035" s="1191">
        <f>_xll.ciqfunctions.udf.CIQAVG("$"&amp;$BQ1035&amp;$BR1035,"iq_lastsaleprice",AJ$1032,AJ$1033)</f>
        <v>1.08845725061957</v>
      </c>
      <c r="AK1035" s="1191">
        <f>_xll.ciqfunctions.udf.CIQAVG("$"&amp;$BQ1035&amp;$BR1035,"iq_lastsaleprice",AK$1032,AK$1033)</f>
        <v>1.07638144008696</v>
      </c>
      <c r="AL1035" s="1191">
        <f>_xll.ciqfunctions.udf.CIQAVG("$"&amp;$BQ1035&amp;$BR1035,"iq_lastsaleprice",AL$1032,AL$1033)</f>
        <v>1.08558401685714</v>
      </c>
      <c r="AM1035" s="1191">
        <f>_xll.ciqfunctions.udf.CIQAVG("$"&amp;$BQ1035&amp;$BR1035,"iq_lastsaleprice",AM$1032,AM$1033)</f>
        <v>1.0763356291208801</v>
      </c>
      <c r="AN1035" s="1191">
        <f>_xll.ciqfunctions.udf.CIQAVG("$"&amp;$BQ1035&amp;$BR1035,"iq_lastsaleprice",AN$1032,AN$1033)</f>
        <v>1.0990813853260899</v>
      </c>
      <c r="AO1035" s="1191">
        <f>_xll.ciqfunctions.udf.CIQAVG("$"&amp;$BQ1035&amp;$BR1035,"iq_lastsaleprice",AO$1032,AO$1033)</f>
        <v>1.1158848985000001</v>
      </c>
      <c r="AP1035" s="1191">
        <f t="shared" ref="AP1035" si="4404">+AO1035</f>
        <v>1.1158848985000001</v>
      </c>
      <c r="AQ1035" s="1191">
        <f t="shared" ref="AQ1035" si="4405">+AP1035</f>
        <v>1.1158848985000001</v>
      </c>
      <c r="BQ1035" t="s">
        <v>621</v>
      </c>
      <c r="BR1035" t="s">
        <v>622</v>
      </c>
    </row>
    <row r="1036" spans="2:70">
      <c r="B1036" s="1162" t="s">
        <v>87</v>
      </c>
      <c r="C1036" s="872"/>
      <c r="D1036" s="872"/>
      <c r="E1036" s="872"/>
      <c r="F1036" s="872"/>
      <c r="G1036" s="872"/>
      <c r="H1036" s="1192">
        <f t="shared" ref="H1036:AN1036" si="4406">H1035/D1035-1</f>
        <v>3.1771708729322334E-3</v>
      </c>
      <c r="I1036" s="1192">
        <f t="shared" si="4406"/>
        <v>-1.5306286289728632E-2</v>
      </c>
      <c r="J1036" s="1192">
        <f t="shared" si="4406"/>
        <v>-3.3988719812266255E-2</v>
      </c>
      <c r="K1036" s="1192">
        <f t="shared" si="4406"/>
        <v>-2.5840668205748818E-2</v>
      </c>
      <c r="L1036" s="1192">
        <f t="shared" si="4406"/>
        <v>5.2736538837217184E-2</v>
      </c>
      <c r="M1036" s="1192">
        <f t="shared" si="4406"/>
        <v>9.2288862051741916E-2</v>
      </c>
      <c r="N1036" s="1192">
        <f t="shared" si="4406"/>
        <v>0.15340549859394192</v>
      </c>
      <c r="O1036" s="1192">
        <f t="shared" si="4406"/>
        <v>8.3228596886496309E-2</v>
      </c>
      <c r="P1036" s="1192">
        <f t="shared" si="4406"/>
        <v>-1.0291754639379813E-2</v>
      </c>
      <c r="Q1036" s="1192">
        <f t="shared" si="4406"/>
        <v>-3.1499684064523192E-2</v>
      </c>
      <c r="R1036" s="1192">
        <f t="shared" si="4406"/>
        <v>-7.5997742994721063E-2</v>
      </c>
      <c r="S1036" s="1192">
        <f t="shared" si="4406"/>
        <v>-5.6954415240071499E-2</v>
      </c>
      <c r="T1036" s="1192">
        <f t="shared" si="4406"/>
        <v>-4.3862433669336065E-2</v>
      </c>
      <c r="U1036" s="1192">
        <f t="shared" si="4406"/>
        <v>-2.966119633376374E-2</v>
      </c>
      <c r="V1036" s="1192">
        <f t="shared" si="4406"/>
        <v>-2.9011489633174015E-2</v>
      </c>
      <c r="W1036" s="1192">
        <f t="shared" si="4406"/>
        <v>-2.0118905873434678E-2</v>
      </c>
      <c r="X1036" s="1192">
        <f t="shared" si="4406"/>
        <v>5.1412549798567797E-2</v>
      </c>
      <c r="Y1036" s="1192">
        <f t="shared" si="4406"/>
        <v>7.7214303796755868E-2</v>
      </c>
      <c r="Z1036" s="1192">
        <f t="shared" si="4406"/>
        <v>9.312328432706507E-2</v>
      </c>
      <c r="AA1036" s="1192">
        <f t="shared" si="4406"/>
        <v>9.3978837882519484E-2</v>
      </c>
      <c r="AB1036" s="1192">
        <f t="shared" si="4406"/>
        <v>8.5548365618435263E-3</v>
      </c>
      <c r="AC1036" s="1192">
        <f t="shared" si="4406"/>
        <v>-4.108302950217424E-2</v>
      </c>
      <c r="AD1036" s="1192">
        <f t="shared" si="4406"/>
        <v>-6.8773745849703971E-2</v>
      </c>
      <c r="AE1036" s="1192">
        <f t="shared" si="4406"/>
        <v>-0.11590445514602665</v>
      </c>
      <c r="AF1036" s="1192">
        <f t="shared" si="4406"/>
        <v>-0.14525952820499199</v>
      </c>
      <c r="AG1036" s="1192">
        <f t="shared" si="4406"/>
        <v>-0.1065694442312396</v>
      </c>
      <c r="AH1036" s="1192">
        <f t="shared" si="4406"/>
        <v>-4.447578869864488E-2</v>
      </c>
      <c r="AI1036" s="1192">
        <f t="shared" ref="AI1036" si="4407">AI1035/AE1035-1</f>
        <v>2.1981012293670554E-2</v>
      </c>
      <c r="AJ1036" s="1192">
        <f t="shared" ref="AJ1036" si="4408">AJ1035/AF1035-1</f>
        <v>8.0161607165232684E-2</v>
      </c>
      <c r="AK1036" s="1192">
        <f t="shared" ref="AK1036" si="4409">AK1035/AG1035-1</f>
        <v>5.3463748569484437E-2</v>
      </c>
      <c r="AL1036" s="1192">
        <f t="shared" ref="AL1036" si="4410">AL1035/AH1035-1</f>
        <v>1.2246724996555214E-2</v>
      </c>
      <c r="AM1036" s="1192">
        <f t="shared" si="4406"/>
        <v>-1.1171142831587377E-2</v>
      </c>
      <c r="AN1036" s="1192">
        <f t="shared" si="4406"/>
        <v>9.7607275806859128E-3</v>
      </c>
      <c r="AO1036" s="1192">
        <f t="shared" ref="AO1036" si="4411">AO1035/AK1035-1</f>
        <v>3.6700241142999079E-2</v>
      </c>
      <c r="AP1036" s="1192">
        <f t="shared" ref="AP1036" si="4412">AP1035/AL1035-1</f>
        <v>2.7912055789641954E-2</v>
      </c>
      <c r="AQ1036" s="1192">
        <f t="shared" ref="AQ1036" si="4413">AQ1035/AM1035-1</f>
        <v>3.6744365148836167E-2</v>
      </c>
    </row>
    <row r="1037" spans="2:70">
      <c r="AM1037" s="100"/>
      <c r="AN1037" s="100"/>
      <c r="AO1037" s="100"/>
      <c r="AP1037" s="100"/>
      <c r="AQ1037" s="100"/>
    </row>
    <row r="1038" spans="2:70">
      <c r="B1038" s="100" t="str">
        <f>+BQ1038&amp;" / "&amp;BR1038&amp;" - avg"</f>
        <v>USD / GBP - avg</v>
      </c>
      <c r="C1038" s="100"/>
      <c r="D1038" s="1191">
        <f>_xll.ciqfunctions.udf.CIQAVG("$"&amp;$BQ1038&amp;$BR1038,"iq_lastsaleprice",D$1032,D$1033)</f>
        <v>1.5488705293043501</v>
      </c>
      <c r="E1038" s="1191">
        <f>_xll.ciqfunctions.udf.CIQAVG("$"&amp;$BQ1038&amp;$BR1038,"iq_lastsaleprice",E$1032,E$1033)</f>
        <v>1.51735851491304</v>
      </c>
      <c r="F1038" s="1191">
        <f>_xll.ciqfunctions.udf.CIQAVG("$"&amp;$BQ1038&amp;$BR1038,"iq_lastsaleprice",F$1032,F$1033)</f>
        <v>1.4320842433076899</v>
      </c>
      <c r="G1038" s="1191">
        <f>_xll.ciqfunctions.udf.CIQAVG("$"&amp;$BQ1038&amp;$BR1038,"iq_lastsaleprice",G$1032,G$1033)</f>
        <v>1.4343484880769199</v>
      </c>
      <c r="H1038" s="1191">
        <f>_xll.ciqfunctions.udf.CIQAVG("$"&amp;$BQ1038&amp;$BR1038,"iq_lastsaleprice",H$1032,H$1033)</f>
        <v>1.31311365603261</v>
      </c>
      <c r="I1038" s="1191">
        <f>_xll.ciqfunctions.udf.CIQAVG("$"&amp;$BQ1038&amp;$BR1038,"iq_lastsaleprice",I$1032,I$1033)</f>
        <v>1.24234801612088</v>
      </c>
      <c r="J1038" s="1191">
        <f>_xll.ciqfunctions.udf.CIQAVG("$"&amp;$BQ1038&amp;$BR1038,"iq_lastsaleprice",J$1032,J$1033)</f>
        <v>1.23861062483516</v>
      </c>
      <c r="K1038" s="1191">
        <f>_xll.ciqfunctions.udf.CIQAVG("$"&amp;$BQ1038&amp;$BR1038,"iq_lastsaleprice",K$1032,K$1033)</f>
        <v>1.2790052379230801</v>
      </c>
      <c r="L1038" s="1191">
        <f>_xll.ciqfunctions.udf.CIQAVG("$"&amp;$BQ1038&amp;$BR1038,"iq_lastsaleprice",L$1032,L$1033)</f>
        <v>1.3086671137717401</v>
      </c>
      <c r="M1038" s="1191">
        <f>_xll.ciqfunctions.udf.CIQAVG("$"&amp;$BQ1038&amp;$BR1038,"iq_lastsaleprice",M$1032,M$1033)</f>
        <v>1.32739407301087</v>
      </c>
      <c r="N1038" s="1191">
        <f>_xll.ciqfunctions.udf.CIQAVG("$"&amp;$BQ1038&amp;$BR1038,"iq_lastsaleprice",N$1032,N$1033)</f>
        <v>1.39134824698889</v>
      </c>
      <c r="O1038" s="1191">
        <f>_xll.ciqfunctions.udf.CIQAVG("$"&amp;$BQ1038&amp;$BR1038,"iq_lastsaleprice",O$1032,O$1033)</f>
        <v>1.3607572153516501</v>
      </c>
      <c r="P1038" s="1191">
        <f>_xll.ciqfunctions.udf.CIQAVG("$"&amp;$BQ1038&amp;$BR1038,"iq_lastsaleprice",P$1032,P$1033)</f>
        <v>1.3029267006630401</v>
      </c>
      <c r="Q1038" s="1191">
        <f>_xll.ciqfunctions.udf.CIQAVG("$"&amp;$BQ1038&amp;$BR1038,"iq_lastsaleprice",Q$1032,Q$1033)</f>
        <v>1.28630230377174</v>
      </c>
      <c r="R1038" s="1191">
        <f>_xll.ciqfunctions.udf.CIQAVG("$"&amp;$BQ1038&amp;$BR1038,"iq_lastsaleprice",R$1032,R$1033)</f>
        <v>1.302018396</v>
      </c>
      <c r="S1038" s="1191">
        <f>_xll.ciqfunctions.udf.CIQAVG("$"&amp;$BQ1038&amp;$BR1038,"iq_lastsaleprice",S$1032,S$1033)</f>
        <v>1.2852491288791199</v>
      </c>
      <c r="T1038" s="1191">
        <f>_xll.ciqfunctions.udf.CIQAVG("$"&amp;$BQ1038&amp;$BR1038,"iq_lastsaleprice",T$1032,T$1033)</f>
        <v>1.23289268486957</v>
      </c>
      <c r="U1038" s="1191">
        <f>_xll.ciqfunctions.udf.CIQAVG("$"&amp;$BQ1038&amp;$BR1038,"iq_lastsaleprice",U$1032,U$1033)</f>
        <v>1.28765396313187</v>
      </c>
      <c r="V1038" s="1191">
        <f>_xll.ciqfunctions.udf.CIQAVG("$"&amp;$BQ1038&amp;$BR1038,"iq_lastsaleprice",V$1032,V$1033)</f>
        <v>1.2814995811538501</v>
      </c>
      <c r="W1038" s="1191">
        <f>_xll.ciqfunctions.udf.CIQAVG("$"&amp;$BQ1038&amp;$BR1038,"iq_lastsaleprice",W$1032,W$1033)</f>
        <v>1.2410096991087001</v>
      </c>
      <c r="X1038" s="1191">
        <f>_xll.ciqfunctions.udf.CIQAVG("$"&amp;$BQ1038&amp;$BR1038,"iq_lastsaleprice",X$1032,X$1033)</f>
        <v>1.2917136464130401</v>
      </c>
      <c r="Y1038" s="1191">
        <f>_xll.ciqfunctions.udf.CIQAVG("$"&amp;$BQ1038&amp;$BR1038,"iq_lastsaleprice",Y$1032,Y$1033)</f>
        <v>1.3210655941304299</v>
      </c>
      <c r="Z1038" s="1191">
        <f>_xll.ciqfunctions.udf.CIQAVG("$"&amp;$BQ1038&amp;$BR1038,"iq_lastsaleprice",Z$1032,Z$1033)</f>
        <v>1.3785603657444401</v>
      </c>
      <c r="AA1038" s="1191">
        <f>_xll.ciqfunctions.udf.CIQAVG("$"&amp;$BQ1038&amp;$BR1038,"iq_lastsaleprice",AA$1032,AA$1033)</f>
        <v>1.39759779207692</v>
      </c>
      <c r="AB1038" s="1191">
        <f>_xll.ciqfunctions.udf.CIQAVG("$"&amp;$BQ1038&amp;$BR1038,"iq_lastsaleprice",AB$1032,AB$1033)</f>
        <v>1.37832068620652</v>
      </c>
      <c r="AC1038" s="1191">
        <f>_xll.ciqfunctions.udf.CIQAVG("$"&amp;$BQ1038&amp;$BR1038,"iq_lastsaleprice",AC$1032,AC$1033)</f>
        <v>1.34805395653261</v>
      </c>
      <c r="AD1038" s="1191">
        <f>_xll.ciqfunctions.udf.CIQAVG("$"&amp;$BQ1038&amp;$BR1038,"iq_lastsaleprice",AD$1032,AD$1033)</f>
        <v>1.34183250595556</v>
      </c>
      <c r="AE1038" s="1191">
        <f>_xll.ciqfunctions.udf.CIQAVG("$"&amp;$BQ1038&amp;$BR1038,"iq_lastsaleprice",AE$1032,AE$1033)</f>
        <v>1.25663679830769</v>
      </c>
      <c r="AF1038" s="1191">
        <f>_xll.ciqfunctions.udf.CIQAVG("$"&amp;$BQ1038&amp;$BR1038,"iq_lastsaleprice",AF$1032,AF$1033)</f>
        <v>1.17693378246237</v>
      </c>
      <c r="AG1038" s="1191">
        <f>_xll.ciqfunctions.udf.CIQAVG("$"&amp;$BQ1038&amp;$BR1038,"iq_lastsaleprice",AG$1032,AG$1033)</f>
        <v>1.1745021992967</v>
      </c>
      <c r="AH1038" s="1191">
        <f>_xll.ciqfunctions.udf.CIQAVG("$"&amp;$BQ1038&amp;$BR1038,"iq_lastsaleprice",AH$1032,AH$1033)</f>
        <v>1.2143759216888901</v>
      </c>
      <c r="AI1038" s="1191">
        <f>_xll.ciqfunctions.udf.CIQAVG("$"&amp;$BQ1038&amp;$BR1038,"iq_lastsaleprice",AI$1032,AI$1033)</f>
        <v>1.25173155714286</v>
      </c>
      <c r="AJ1038" s="1191">
        <f>_xll.ciqfunctions.udf.CIQAVG("$"&amp;$BQ1038&amp;$BR1038,"iq_lastsaleprice",AJ$1032,AJ$1033)</f>
        <v>1.2661756805</v>
      </c>
      <c r="AK1038" s="1191">
        <f>_xll.ciqfunctions.udf.CIQAVG("$"&amp;$BQ1038&amp;$BR1038,"iq_lastsaleprice",AK$1032,AK$1033)</f>
        <v>1.2419355335326101</v>
      </c>
      <c r="AL1038" s="1191">
        <f>_xll.ciqfunctions.udf.CIQAVG("$"&amp;$BQ1038&amp;$BR1038,"iq_lastsaleprice",AL$1032,AL$1033)</f>
        <v>1.2680492696263701</v>
      </c>
      <c r="AM1038" s="1191">
        <f>_xll.ciqfunctions.udf.CIQAVG("$"&amp;$BQ1038&amp;$BR1038,"iq_lastsaleprice",AM$1032,AM$1033)</f>
        <v>1.26150104981319</v>
      </c>
      <c r="AN1038" s="1191">
        <f>_xll.ciqfunctions.udf.CIQAVG("$"&amp;$BQ1038&amp;$BR1038,"iq_lastsaleprice",AN$1032,AN$1033)</f>
        <v>1.3009034395108701</v>
      </c>
      <c r="AO1038" s="1191">
        <f>_xll.ciqfunctions.udf.CIQAVG("$"&amp;$BQ1038&amp;$BR1038,"iq_lastsaleprice",AO$1032,AO$1033)</f>
        <v>1.3401682045000001</v>
      </c>
      <c r="AP1038" s="1191">
        <f t="shared" ref="AP1038" si="4414">+AO1038</f>
        <v>1.3401682045000001</v>
      </c>
      <c r="AQ1038" s="1191">
        <f t="shared" ref="AQ1038" si="4415">+AP1038</f>
        <v>1.3401682045000001</v>
      </c>
      <c r="BQ1038" t="s">
        <v>621</v>
      </c>
      <c r="BR1038" t="s">
        <v>623</v>
      </c>
    </row>
    <row r="1039" spans="2:70">
      <c r="B1039" s="1162" t="s">
        <v>87</v>
      </c>
      <c r="C1039" s="872"/>
      <c r="D1039" s="872"/>
      <c r="E1039" s="872"/>
      <c r="F1039" s="872"/>
      <c r="G1039" s="872"/>
      <c r="H1039" s="1192">
        <f t="shared" ref="H1039" si="4416">H1038/D1038-1</f>
        <v>-0.15221212413256158</v>
      </c>
      <c r="I1039" s="1192">
        <f t="shared" ref="I1039" si="4417">I1038/E1038-1</f>
        <v>-0.18124292715879409</v>
      </c>
      <c r="J1039" s="1192">
        <f t="shared" ref="J1039" si="4418">J1038/F1038-1</f>
        <v>-0.1350993276943423</v>
      </c>
      <c r="K1039" s="1192">
        <f t="shared" ref="K1039" si="4419">K1038/G1038-1</f>
        <v>-0.10830230689761722</v>
      </c>
      <c r="L1039" s="1192">
        <f t="shared" ref="L1039" si="4420">L1038/H1038-1</f>
        <v>-3.386258486035798E-3</v>
      </c>
      <c r="M1039" s="1192">
        <f t="shared" ref="M1039" si="4421">M1038/I1038-1</f>
        <v>6.845590429285564E-2</v>
      </c>
      <c r="N1039" s="1192">
        <f t="shared" ref="N1039" si="4422">N1038/J1038-1</f>
        <v>0.12331367024568918</v>
      </c>
      <c r="O1039" s="1192">
        <f t="shared" ref="O1039" si="4423">O1038/K1038-1</f>
        <v>6.391840705932017E-2</v>
      </c>
      <c r="P1039" s="1192">
        <f t="shared" ref="P1039" si="4424">P1038/L1038-1</f>
        <v>-4.3864578304833035E-3</v>
      </c>
      <c r="Q1039" s="1192">
        <f t="shared" ref="Q1039" si="4425">Q1038/M1038-1</f>
        <v>-3.0956721952150379E-2</v>
      </c>
      <c r="R1039" s="1192">
        <f t="shared" ref="R1039" si="4426">R1038/N1038-1</f>
        <v>-6.4203804606226211E-2</v>
      </c>
      <c r="S1039" s="1192">
        <f t="shared" ref="S1039" si="4427">S1038/O1038-1</f>
        <v>-5.5489756453738326E-2</v>
      </c>
      <c r="T1039" s="1192">
        <f t="shared" ref="T1039" si="4428">T1038/P1038-1</f>
        <v>-5.375130907811676E-2</v>
      </c>
      <c r="U1039" s="1192">
        <f t="shared" ref="U1039" si="4429">U1038/Q1038-1</f>
        <v>1.0508100282231592E-3</v>
      </c>
      <c r="V1039" s="1192">
        <f t="shared" ref="V1039" si="4430">V1038/R1038-1</f>
        <v>-1.5759235744431055E-2</v>
      </c>
      <c r="W1039" s="1192">
        <f t="shared" ref="W1039" si="4431">W1038/S1038-1</f>
        <v>-3.4420898467366845E-2</v>
      </c>
      <c r="X1039" s="1192">
        <f t="shared" ref="X1039" si="4432">X1038/T1038-1</f>
        <v>4.7709717370650884E-2</v>
      </c>
      <c r="Y1039" s="1192">
        <f t="shared" ref="Y1039" si="4433">Y1038/U1038-1</f>
        <v>2.5947678456481604E-2</v>
      </c>
      <c r="Z1039" s="1192">
        <f t="shared" ref="Z1039" si="4434">Z1038/V1038-1</f>
        <v>7.5740004927038251E-2</v>
      </c>
      <c r="AA1039" s="1192">
        <f t="shared" ref="AA1039" si="4435">AA1038/W1038-1</f>
        <v>0.12617797675609022</v>
      </c>
      <c r="AB1039" s="1192">
        <f t="shared" ref="AB1039" si="4436">AB1038/X1038-1</f>
        <v>6.7048172815994622E-2</v>
      </c>
      <c r="AC1039" s="1192">
        <f t="shared" ref="AC1039" si="4437">AC1038/Y1038-1</f>
        <v>2.0429237217357565E-2</v>
      </c>
      <c r="AD1039" s="1192">
        <f t="shared" ref="AD1039" si="4438">AD1038/Z1038-1</f>
        <v>-2.6642184630809806E-2</v>
      </c>
      <c r="AE1039" s="1192">
        <f t="shared" ref="AE1039" si="4439">AE1038/AA1038-1</f>
        <v>-0.10085948515971321</v>
      </c>
      <c r="AF1039" s="1192">
        <f t="shared" ref="AF1039" si="4440">AF1038/AB1038-1</f>
        <v>-0.14611033974859411</v>
      </c>
      <c r="AG1039" s="1192">
        <f t="shared" ref="AG1039" si="4441">AG1038/AC1038-1</f>
        <v>-0.12874244120191614</v>
      </c>
      <c r="AH1039" s="1192">
        <f t="shared" ref="AH1039" si="4442">AH1038/AD1038-1</f>
        <v>-9.4986955302520548E-2</v>
      </c>
      <c r="AI1039" s="1192">
        <f t="shared" ref="AI1039" si="4443">AI1038/AE1038-1</f>
        <v>-3.9034677095529657E-3</v>
      </c>
      <c r="AJ1039" s="1192">
        <f t="shared" ref="AJ1039" si="4444">AJ1038/AF1038-1</f>
        <v>7.5825759585997243E-2</v>
      </c>
      <c r="AK1039" s="1192">
        <f t="shared" ref="AK1039" si="4445">AK1038/AG1038-1</f>
        <v>5.7414395883029989E-2</v>
      </c>
      <c r="AL1039" s="1192">
        <f t="shared" ref="AL1039" si="4446">AL1038/AH1038-1</f>
        <v>4.4198297231415662E-2</v>
      </c>
      <c r="AM1039" s="1192">
        <f t="shared" ref="AM1039:AN1039" si="4447">AM1038/AI1038-1</f>
        <v>7.8047825946239158E-3</v>
      </c>
      <c r="AN1039" s="1192">
        <f t="shared" si="4447"/>
        <v>2.7427283232257738E-2</v>
      </c>
      <c r="AO1039" s="1192">
        <f t="shared" ref="AO1039" si="4448">AO1038/AK1038-1</f>
        <v>7.9096433200500416E-2</v>
      </c>
      <c r="AP1039" s="1192">
        <f t="shared" ref="AP1039" si="4449">AP1038/AL1038-1</f>
        <v>5.6873921700912877E-2</v>
      </c>
      <c r="AQ1039" s="1192">
        <f t="shared" ref="AQ1039" si="4450">AQ1038/AM1038-1</f>
        <v>6.2359959746731475E-2</v>
      </c>
    </row>
    <row r="1040" spans="2:70">
      <c r="B1040" s="1193"/>
      <c r="C1040" s="100"/>
      <c r="D1040" s="100"/>
      <c r="E1040" s="100"/>
      <c r="F1040" s="100"/>
      <c r="G1040" s="100"/>
      <c r="H1040" s="100"/>
      <c r="I1040" s="100"/>
      <c r="J1040" s="100"/>
      <c r="K1040" s="869"/>
      <c r="L1040" s="100"/>
      <c r="M1040" s="100"/>
      <c r="N1040" s="869"/>
      <c r="O1040" s="869"/>
      <c r="P1040" s="869"/>
      <c r="Q1040" s="869"/>
      <c r="R1040" s="1194"/>
      <c r="S1040" s="1195"/>
      <c r="T1040" s="1195"/>
      <c r="U1040" s="1195"/>
      <c r="V1040" s="1196"/>
      <c r="W1040" s="869"/>
      <c r="X1040" s="869"/>
      <c r="Y1040" s="869"/>
      <c r="Z1040" s="869"/>
      <c r="AA1040" s="869"/>
      <c r="AB1040" s="869"/>
      <c r="AC1040" s="869"/>
      <c r="AD1040" s="100"/>
      <c r="AE1040" s="100"/>
      <c r="AF1040" s="1170"/>
      <c r="AG1040" s="1170"/>
      <c r="AH1040" s="1170"/>
      <c r="AI1040" s="1170"/>
      <c r="AJ1040" s="1170"/>
      <c r="AK1040" s="1170"/>
      <c r="AL1040" s="1170"/>
      <c r="AM1040" s="100"/>
      <c r="AN1040" s="100"/>
      <c r="AO1040" s="100"/>
      <c r="AP1040" s="100"/>
      <c r="AQ1040" s="100"/>
    </row>
    <row r="1041" spans="2:70">
      <c r="B1041" s="100" t="str">
        <f>+BQ1041&amp;" / "&amp;BR1041&amp;" - avg"</f>
        <v>USD / JPY - avg</v>
      </c>
      <c r="C1041" s="100"/>
      <c r="D1041" s="1191">
        <f>_xll.ciqfunctions.udf.CIQAVG("$"&amp;$BQ1041&amp;$BR1041,"iq_lastsaleprice",D$1032,D$1033)</f>
        <v>8.1879065652173903E-3</v>
      </c>
      <c r="E1041" s="1191">
        <f>_xll.ciqfunctions.udf.CIQAVG("$"&amp;$BQ1041&amp;$BR1041,"iq_lastsaleprice",E$1032,E$1033)</f>
        <v>8.2372480000000008E-3</v>
      </c>
      <c r="F1041" s="1191">
        <f>_xll.ciqfunctions.udf.CIQAVG("$"&amp;$BQ1041&amp;$BR1041,"iq_lastsaleprice",F$1032,F$1033)</f>
        <v>8.6752561978021992E-3</v>
      </c>
      <c r="G1041" s="1191">
        <f>_xll.ciqfunctions.udf.CIQAVG("$"&amp;$BQ1041&amp;$BR1041,"iq_lastsaleprice",G$1032,G$1033)</f>
        <v>9.2673591868131892E-3</v>
      </c>
      <c r="H1041" s="1191">
        <f>_xll.ciqfunctions.udf.CIQAVG("$"&amp;$BQ1041&amp;$BR1041,"iq_lastsaleprice",H$1032,H$1033)</f>
        <v>9.7699314891304297E-3</v>
      </c>
      <c r="I1041" s="1191">
        <f>_xll.ciqfunctions.udf.CIQAVG("$"&amp;$BQ1041&amp;$BR1041,"iq_lastsaleprice",I$1032,I$1033)</f>
        <v>9.1643796593406605E-3</v>
      </c>
      <c r="J1041" s="1191">
        <f>_xll.ciqfunctions.udf.CIQAVG("$"&amp;$BQ1041&amp;$BR1041,"iq_lastsaleprice",J$1032,J$1033)</f>
        <v>8.7931428131868099E-3</v>
      </c>
      <c r="K1041" s="1191">
        <f>_xll.ciqfunctions.udf.CIQAVG("$"&amp;$BQ1041&amp;$BR1041,"iq_lastsaleprice",K$1032,K$1033)</f>
        <v>9.0038027362637392E-3</v>
      </c>
      <c r="L1041" s="1191">
        <f>_xll.ciqfunctions.udf.CIQAVG("$"&amp;$BQ1041&amp;$BR1041,"iq_lastsaleprice",L$1032,L$1033)</f>
        <v>9.0165833913043499E-3</v>
      </c>
      <c r="M1041" s="1191">
        <f>_xll.ciqfunctions.udf.CIQAVG("$"&amp;$BQ1041&amp;$BR1041,"iq_lastsaleprice",M$1032,M$1033)</f>
        <v>8.8601759021739099E-3</v>
      </c>
      <c r="N1041" s="1191">
        <f>_xll.ciqfunctions.udf.CIQAVG("$"&amp;$BQ1041&amp;$BR1041,"iq_lastsaleprice",N$1032,N$1033)</f>
        <v>9.2389294888888893E-3</v>
      </c>
      <c r="O1041" s="1191">
        <f>_xll.ciqfunctions.udf.CIQAVG("$"&amp;$BQ1041&amp;$BR1041,"iq_lastsaleprice",O$1032,O$1033)</f>
        <v>9.1641832967033002E-3</v>
      </c>
      <c r="P1041" s="1191">
        <f>_xll.ciqfunctions.udf.CIQAVG("$"&amp;$BQ1041&amp;$BR1041,"iq_lastsaleprice",P$1032,P$1033)</f>
        <v>8.9707506086956507E-3</v>
      </c>
      <c r="Q1041" s="1191">
        <f>_xll.ciqfunctions.udf.CIQAVG("$"&amp;$BQ1041&amp;$BR1041,"iq_lastsaleprice",Q$1032,Q$1033)</f>
        <v>8.8751580326086998E-3</v>
      </c>
      <c r="R1041" s="1191">
        <f>_xll.ciqfunctions.udf.CIQAVG("$"&amp;$BQ1041&amp;$BR1041,"iq_lastsaleprice",R$1032,R$1033)</f>
        <v>9.0804584444444392E-3</v>
      </c>
      <c r="S1041" s="1191">
        <f>_xll.ciqfunctions.udf.CIQAVG("$"&amp;$BQ1041&amp;$BR1041,"iq_lastsaleprice",S$1032,S$1033)</f>
        <v>9.0995129560439598E-3</v>
      </c>
      <c r="T1041" s="1191">
        <f>_xll.ciqfunctions.udf.CIQAVG("$"&amp;$BQ1041&amp;$BR1041,"iq_lastsaleprice",T$1032,T$1033)</f>
        <v>9.3202719239130396E-3</v>
      </c>
      <c r="U1041" s="1191">
        <f>_xll.ciqfunctions.udf.CIQAVG("$"&amp;$BQ1041&amp;$BR1041,"iq_lastsaleprice",U$1032,U$1033)</f>
        <v>9.1979703516483508E-3</v>
      </c>
      <c r="V1041" s="1191">
        <f>_xll.ciqfunctions.udf.CIQAVG("$"&amp;$BQ1041&amp;$BR1041,"iq_lastsaleprice",V$1032,V$1033)</f>
        <v>9.1771792967032997E-3</v>
      </c>
      <c r="W1041" s="1191">
        <f>_xll.ciqfunctions.udf.CIQAVG("$"&amp;$BQ1041&amp;$BR1041,"iq_lastsaleprice",W$1032,W$1033)</f>
        <v>9.2982546304347796E-3</v>
      </c>
      <c r="X1041" s="1191">
        <f>_xll.ciqfunctions.udf.CIQAVG("$"&amp;$BQ1041&amp;$BR1041,"iq_lastsaleprice",X$1032,X$1033)</f>
        <v>9.4239172717391299E-3</v>
      </c>
      <c r="Y1041" s="1191">
        <f>_xll.ciqfunctions.udf.CIQAVG("$"&amp;$BQ1041&amp;$BR1041,"iq_lastsaleprice",Y$1032,Y$1033)</f>
        <v>9.5754872173913104E-3</v>
      </c>
      <c r="Z1041" s="1191">
        <f>_xll.ciqfunctions.udf.CIQAVG("$"&amp;$BQ1041&amp;$BR1041,"iq_lastsaleprice",Z$1032,Z$1033)</f>
        <v>9.4358062666666694E-3</v>
      </c>
      <c r="AA1041" s="1191">
        <f>_xll.ciqfunctions.udf.CIQAVG("$"&amp;$BQ1041&amp;$BR1041,"iq_lastsaleprice",AA$1032,AA$1033)</f>
        <v>9.1366399450549408E-3</v>
      </c>
      <c r="AB1041" s="1191">
        <f>_xll.ciqfunctions.udf.CIQAVG("$"&amp;$BQ1041&amp;$BR1041,"iq_lastsaleprice",AB$1032,AB$1033)</f>
        <v>9.0826382282608708E-3</v>
      </c>
      <c r="AC1041" s="1191">
        <f>_xll.ciqfunctions.udf.CIQAVG("$"&amp;$BQ1041&amp;$BR1041,"iq_lastsaleprice",AC$1032,AC$1033)</f>
        <v>8.8018266195652207E-3</v>
      </c>
      <c r="AD1041" s="1191">
        <f>_xll.ciqfunctions.udf.CIQAVG("$"&amp;$BQ1041&amp;$BR1041,"iq_lastsaleprice",AD$1032,AD$1033)</f>
        <v>8.6068771888888895E-3</v>
      </c>
      <c r="AE1041" s="1191">
        <f>_xll.ciqfunctions.udf.CIQAVG("$"&amp;$BQ1041&amp;$BR1041,"iq_lastsaleprice",AE$1032,AE$1033)</f>
        <v>7.7191496043956002E-3</v>
      </c>
      <c r="AF1041" s="1191">
        <f>_xll.ciqfunctions.udf.CIQAVG("$"&amp;$BQ1041&amp;$BR1041,"iq_lastsaleprice",AF$1032,AF$1033)</f>
        <v>7.2383631397849504E-3</v>
      </c>
      <c r="AG1041" s="1191">
        <f>_xll.ciqfunctions.udf.CIQAVG("$"&amp;$BQ1041&amp;$BR1041,"iq_lastsaleprice",AG$1032,AG$1033)</f>
        <v>7.0928558791208797E-3</v>
      </c>
      <c r="AH1041" s="1191">
        <f>_xll.ciqfunctions.udf.CIQAVG("$"&amp;$BQ1041&amp;$BR1041,"iq_lastsaleprice",AH$1032,AH$1033)</f>
        <v>7.5590730888888897E-3</v>
      </c>
      <c r="AI1041" s="1191">
        <f>_xll.ciqfunctions.udf.CIQAVG("$"&amp;$BQ1041&amp;$BR1041,"iq_lastsaleprice",AI$1032,AI$1033)</f>
        <v>7.2862428021977996E-3</v>
      </c>
      <c r="AJ1041" s="1191">
        <f>_xll.ciqfunctions.udf.CIQAVG("$"&amp;$BQ1041&amp;$BR1041,"iq_lastsaleprice",AJ$1032,AJ$1033)</f>
        <v>6.9222377826087004E-3</v>
      </c>
      <c r="AK1041" s="1191">
        <f>_xll.ciqfunctions.udf.CIQAVG("$"&amp;$BQ1041&amp;$BR1041,"iq_lastsaleprice",AK$1032,AK$1033)</f>
        <v>6.7740529347826098E-3</v>
      </c>
      <c r="AL1041" s="1191">
        <f>_xll.ciqfunctions.udf.CIQAVG("$"&amp;$BQ1041&amp;$BR1041,"iq_lastsaleprice",AL$1032,AL$1033)</f>
        <v>6.73662123076923E-3</v>
      </c>
      <c r="AM1041" s="1191">
        <f>_xll.ciqfunctions.udf.CIQAVG("$"&amp;$BQ1041&amp;$BR1041,"iq_lastsaleprice",AM$1032,AM$1033)</f>
        <v>6.4156548461538499E-3</v>
      </c>
      <c r="AN1041" s="1191">
        <f>_xll.ciqfunctions.udf.CIQAVG("$"&amp;$BQ1041&amp;$BR1041,"iq_lastsaleprice",AN$1032,AN$1033)</f>
        <v>6.72205733695652E-3</v>
      </c>
      <c r="AO1041" s="1191">
        <f>_xll.ciqfunctions.udf.CIQAVG("$"&amp;$BQ1041&amp;$BR1041,"iq_lastsaleprice",AO$1032,AO$1033)</f>
        <v>6.9892555000000004E-3</v>
      </c>
      <c r="AP1041" s="1191">
        <f t="shared" ref="AP1041" si="4451">+AO1041</f>
        <v>6.9892555000000004E-3</v>
      </c>
      <c r="AQ1041" s="1191">
        <f t="shared" ref="AQ1041" si="4452">+AP1041</f>
        <v>6.9892555000000004E-3</v>
      </c>
      <c r="BQ1041" t="s">
        <v>621</v>
      </c>
      <c r="BR1041" t="s">
        <v>624</v>
      </c>
    </row>
    <row r="1042" spans="2:70">
      <c r="B1042" s="1162" t="s">
        <v>87</v>
      </c>
      <c r="C1042" s="872"/>
      <c r="D1042" s="872"/>
      <c r="E1042" s="872"/>
      <c r="F1042" s="872"/>
      <c r="G1042" s="872"/>
      <c r="H1042" s="1192">
        <f t="shared" ref="H1042" si="4453">H1041/D1041-1</f>
        <v>0.19321482375404164</v>
      </c>
      <c r="I1042" s="1192">
        <f t="shared" ref="I1042" si="4454">I1041/E1041-1</f>
        <v>0.11255356878178979</v>
      </c>
      <c r="J1042" s="1192">
        <f t="shared" ref="J1042" si="4455">J1041/F1041-1</f>
        <v>1.358883388532961E-2</v>
      </c>
      <c r="K1042" s="1192">
        <f t="shared" ref="K1042" si="4456">K1041/G1041-1</f>
        <v>-2.843921825372564E-2</v>
      </c>
      <c r="L1042" s="1192">
        <f t="shared" ref="L1042" si="4457">L1041/H1041-1</f>
        <v>-7.7108841414519569E-2</v>
      </c>
      <c r="M1042" s="1192">
        <f t="shared" ref="M1042" si="4458">M1041/I1041-1</f>
        <v>-3.3194146082402343E-2</v>
      </c>
      <c r="N1042" s="1192">
        <f t="shared" ref="N1042" si="4459">N1041/J1041-1</f>
        <v>5.0697081256720455E-2</v>
      </c>
      <c r="O1042" s="1192">
        <f t="shared" ref="O1042" si="4460">O1041/K1041-1</f>
        <v>1.7812536006993174E-2</v>
      </c>
      <c r="P1042" s="1192">
        <f t="shared" ref="P1042" si="4461">P1041/L1041-1</f>
        <v>-5.0831651657434751E-3</v>
      </c>
      <c r="Q1042" s="1192">
        <f t="shared" ref="Q1042" si="4462">Q1041/M1041-1</f>
        <v>1.690951805044083E-3</v>
      </c>
      <c r="R1042" s="1192">
        <f t="shared" ref="R1042" si="4463">R1041/N1041-1</f>
        <v>-1.7152533162530736E-2</v>
      </c>
      <c r="S1042" s="1192">
        <f t="shared" ref="S1042" si="4464">S1041/O1041-1</f>
        <v>-7.0568580489441812E-3</v>
      </c>
      <c r="T1042" s="1192">
        <f t="shared" ref="T1042" si="4465">T1041/P1041-1</f>
        <v>3.8962326617193677E-2</v>
      </c>
      <c r="U1042" s="1192">
        <f t="shared" ref="U1042" si="4466">U1041/Q1041-1</f>
        <v>3.6372571378851859E-2</v>
      </c>
      <c r="V1042" s="1192">
        <f t="shared" ref="V1042" si="4467">V1041/R1041-1</f>
        <v>1.0651538449364839E-2</v>
      </c>
      <c r="W1042" s="1192">
        <f t="shared" ref="W1042" si="4468">W1041/S1041-1</f>
        <v>2.1840913392932038E-2</v>
      </c>
      <c r="X1042" s="1192">
        <f t="shared" ref="X1042" si="4469">X1041/T1041-1</f>
        <v>1.1120421021211468E-2</v>
      </c>
      <c r="Y1042" s="1192">
        <f t="shared" ref="Y1042" si="4470">Y1041/U1041-1</f>
        <v>4.1043496696562487E-2</v>
      </c>
      <c r="Z1042" s="1192">
        <f t="shared" ref="Z1042" si="4471">Z1041/V1041-1</f>
        <v>2.8181531775921087E-2</v>
      </c>
      <c r="AA1042" s="1192">
        <f t="shared" ref="AA1042" si="4472">AA1041/W1041-1</f>
        <v>-1.7381185158217405E-2</v>
      </c>
      <c r="AB1042" s="1192">
        <f t="shared" ref="AB1042" si="4473">AB1041/X1041-1</f>
        <v>-3.6214138307612442E-2</v>
      </c>
      <c r="AC1042" s="1192">
        <f t="shared" ref="AC1042" si="4474">AC1041/Y1041-1</f>
        <v>-8.0795951188879722E-2</v>
      </c>
      <c r="AD1042" s="1192">
        <f t="shared" ref="AD1042" si="4475">AD1041/Z1041-1</f>
        <v>-8.784931084332348E-2</v>
      </c>
      <c r="AE1042" s="1192">
        <f t="shared" ref="AE1042" si="4476">AE1041/AA1041-1</f>
        <v>-0.15514350452504522</v>
      </c>
      <c r="AF1042" s="1192">
        <f t="shared" ref="AF1042" si="4477">AF1041/AB1041-1</f>
        <v>-0.20305499813230576</v>
      </c>
      <c r="AG1042" s="1192">
        <f t="shared" ref="AG1042" si="4478">AG1041/AC1041-1</f>
        <v>-0.19416091844453509</v>
      </c>
      <c r="AH1042" s="1192">
        <f t="shared" ref="AH1042" si="4479">AH1041/AD1041-1</f>
        <v>-0.12174033357332792</v>
      </c>
      <c r="AI1042" s="1192">
        <f t="shared" ref="AI1042" si="4480">AI1041/AE1041-1</f>
        <v>-5.608218837361123E-2</v>
      </c>
      <c r="AJ1042" s="1192">
        <f t="shared" ref="AJ1042" si="4481">AJ1041/AF1041-1</f>
        <v>-4.3673597341185921E-2</v>
      </c>
      <c r="AK1042" s="1192">
        <f t="shared" ref="AK1042" si="4482">AK1041/AG1041-1</f>
        <v>-4.4947049506070536E-2</v>
      </c>
      <c r="AL1042" s="1192">
        <f t="shared" ref="AL1042" si="4483">AL1041/AH1041-1</f>
        <v>-0.10880326839656895</v>
      </c>
      <c r="AM1042" s="1192">
        <f t="shared" ref="AM1042:AN1042" si="4484">AM1041/AI1041-1</f>
        <v>-0.1194837970238033</v>
      </c>
      <c r="AN1042" s="1192">
        <f t="shared" si="4484"/>
        <v>-2.8918458443468964E-2</v>
      </c>
      <c r="AO1042" s="1192">
        <f t="shared" ref="AO1042" si="4485">AO1041/AK1041-1</f>
        <v>3.1768657152410729E-2</v>
      </c>
      <c r="AP1042" s="1192">
        <f t="shared" ref="AP1042" si="4486">AP1041/AL1041-1</f>
        <v>3.7501628869510251E-2</v>
      </c>
      <c r="AQ1042" s="1192">
        <f t="shared" ref="AQ1042" si="4487">AQ1041/AM1041-1</f>
        <v>8.9406407857184123E-2</v>
      </c>
    </row>
    <row r="1043" spans="2:70">
      <c r="B1043" s="1193"/>
      <c r="C1043" s="100"/>
      <c r="D1043" s="1197"/>
      <c r="E1043" s="1197"/>
      <c r="F1043" s="1197"/>
      <c r="G1043" s="1197"/>
      <c r="H1043" s="1197"/>
      <c r="I1043" s="100"/>
      <c r="J1043" s="100"/>
      <c r="K1043" s="100"/>
      <c r="L1043" s="869"/>
      <c r="M1043" s="100"/>
      <c r="N1043" s="100"/>
      <c r="O1043" s="869"/>
      <c r="P1043" s="869"/>
      <c r="Q1043" s="869"/>
      <c r="R1043" s="869"/>
      <c r="S1043" s="1194"/>
      <c r="T1043" s="1195"/>
      <c r="U1043" s="1195"/>
      <c r="V1043" s="1195"/>
      <c r="W1043" s="1196"/>
      <c r="X1043" s="869"/>
      <c r="Y1043" s="869"/>
      <c r="Z1043" s="869"/>
      <c r="AA1043" s="869"/>
      <c r="AB1043" s="869"/>
      <c r="AC1043" s="869"/>
      <c r="AD1043" s="869"/>
      <c r="AE1043" s="100"/>
      <c r="AF1043" s="100"/>
      <c r="AG1043" s="1170"/>
      <c r="AH1043" s="1170"/>
      <c r="AI1043" s="1170"/>
      <c r="AJ1043" s="1170"/>
      <c r="AK1043" s="1170"/>
      <c r="AL1043" s="1170"/>
      <c r="AM1043" s="100"/>
      <c r="AN1043" s="100"/>
      <c r="AO1043" s="100"/>
      <c r="AP1043" s="100"/>
      <c r="AQ1043" s="100"/>
    </row>
    <row r="1044" spans="2:70">
      <c r="B1044" s="100" t="str">
        <f>+BQ1044&amp;" / "&amp;BR1044&amp;" - avg"</f>
        <v>USD / AUD - avg</v>
      </c>
      <c r="C1044" s="100"/>
      <c r="D1044" s="1191">
        <f>_xll.ciqfunctions.udf.CIQAVG("$"&amp;$BQ1044&amp;$BR1044,"iq_lastsaleprice",D$1032,D$1033)</f>
        <v>0.72573574892391302</v>
      </c>
      <c r="E1044" s="1191">
        <f>_xll.ciqfunctions.udf.CIQAVG("$"&amp;$BQ1044&amp;$BR1044,"iq_lastsaleprice",E$1032,E$1033)</f>
        <v>0.72009689840217395</v>
      </c>
      <c r="F1044" s="1191">
        <f>_xll.ciqfunctions.udf.CIQAVG("$"&amp;$BQ1044&amp;$BR1044,"iq_lastsaleprice",F$1032,F$1033)</f>
        <v>0.722171475296703</v>
      </c>
      <c r="G1044" s="1191">
        <f>_xll.ciqfunctions.udf.CIQAVG("$"&amp;$BQ1044&amp;$BR1044,"iq_lastsaleprice",G$1032,G$1033)</f>
        <v>0.74552602593406603</v>
      </c>
      <c r="H1044" s="1191">
        <f>_xll.ciqfunctions.udf.CIQAVG("$"&amp;$BQ1044&amp;$BR1044,"iq_lastsaleprice",H$1032,H$1033)</f>
        <v>0.75818231641304301</v>
      </c>
      <c r="I1044" s="1191">
        <f>_xll.ciqfunctions.udf.CIQAVG("$"&amp;$BQ1044&amp;$BR1044,"iq_lastsaleprice",I$1032,I$1033)</f>
        <v>0.74899602558241796</v>
      </c>
      <c r="J1044" s="1191">
        <f>_xll.ciqfunctions.udf.CIQAVG("$"&amp;$BQ1044&amp;$BR1044,"iq_lastsaleprice",J$1032,J$1033)</f>
        <v>0.75724265018681303</v>
      </c>
      <c r="K1044" s="1191">
        <f>_xll.ciqfunctions.udf.CIQAVG("$"&amp;$BQ1044&amp;$BR1044,"iq_lastsaleprice",K$1032,K$1033)</f>
        <v>0.75089085538461497</v>
      </c>
      <c r="L1044" s="1191">
        <f>_xll.ciqfunctions.udf.CIQAVG("$"&amp;$BQ1044&amp;$BR1044,"iq_lastsaleprice",L$1032,L$1033)</f>
        <v>0.789402467065217</v>
      </c>
      <c r="M1044" s="1191">
        <f>_xll.ciqfunctions.udf.CIQAVG("$"&amp;$BQ1044&amp;$BR1044,"iq_lastsaleprice",M$1032,M$1033)</f>
        <v>0.76883974793478305</v>
      </c>
      <c r="N1044" s="1191">
        <f>_xll.ciqfunctions.udf.CIQAVG("$"&amp;$BQ1044&amp;$BR1044,"iq_lastsaleprice",N$1032,N$1033)</f>
        <v>0.78595852403333299</v>
      </c>
      <c r="O1044" s="1191">
        <f>_xll.ciqfunctions.udf.CIQAVG("$"&amp;$BQ1044&amp;$BR1044,"iq_lastsaleprice",O$1032,O$1033)</f>
        <v>0.75673308298901099</v>
      </c>
      <c r="P1044" s="1191">
        <f>_xll.ciqfunctions.udf.CIQAVG("$"&amp;$BQ1044&amp;$BR1044,"iq_lastsaleprice",P$1032,P$1033)</f>
        <v>0.731453762347826</v>
      </c>
      <c r="Q1044" s="1191">
        <f>_xll.ciqfunctions.udf.CIQAVG("$"&amp;$BQ1044&amp;$BR1044,"iq_lastsaleprice",Q$1032,Q$1033)</f>
        <v>0.71705462071739101</v>
      </c>
      <c r="R1044" s="1191">
        <f>_xll.ciqfunctions.udf.CIQAVG("$"&amp;$BQ1044&amp;$BR1044,"iq_lastsaleprice",R$1032,R$1033)</f>
        <v>0.71239573451111105</v>
      </c>
      <c r="S1044" s="1191">
        <f>_xll.ciqfunctions.udf.CIQAVG("$"&amp;$BQ1044&amp;$BR1044,"iq_lastsaleprice",S$1032,S$1033)</f>
        <v>0.70015796537362596</v>
      </c>
      <c r="T1044" s="1191">
        <f>_xll.ciqfunctions.udf.CIQAVG("$"&amp;$BQ1044&amp;$BR1044,"iq_lastsaleprice",T$1032,T$1033)</f>
        <v>0.68563483993478302</v>
      </c>
      <c r="U1044" s="1191">
        <f>_xll.ciqfunctions.udf.CIQAVG("$"&amp;$BQ1044&amp;$BR1044,"iq_lastsaleprice",U$1032,U$1033)</f>
        <v>0.68359177069230803</v>
      </c>
      <c r="V1044" s="1191">
        <f>_xll.ciqfunctions.udf.CIQAVG("$"&amp;$BQ1044&amp;$BR1044,"iq_lastsaleprice",V$1032,V$1033)</f>
        <v>0.65925412347252699</v>
      </c>
      <c r="W1044" s="1191">
        <f>_xll.ciqfunctions.udf.CIQAVG("$"&amp;$BQ1044&amp;$BR1044,"iq_lastsaleprice",W$1032,W$1033)</f>
        <v>0.65647369641304298</v>
      </c>
      <c r="X1044" s="1191">
        <f>_xll.ciqfunctions.udf.CIQAVG("$"&amp;$BQ1044&amp;$BR1044,"iq_lastsaleprice",X$1032,X$1033)</f>
        <v>0.71486786391304302</v>
      </c>
      <c r="Y1044" s="1191">
        <f>_xll.ciqfunctions.udf.CIQAVG("$"&amp;$BQ1044&amp;$BR1044,"iq_lastsaleprice",Y$1032,Y$1033)</f>
        <v>0.73161962029347805</v>
      </c>
      <c r="Z1044" s="1191">
        <f>_xll.ciqfunctions.udf.CIQAVG("$"&amp;$BQ1044&amp;$BR1044,"iq_lastsaleprice",Z$1032,Z$1033)</f>
        <v>0.77246845768888905</v>
      </c>
      <c r="AA1044" s="1191">
        <f>_xll.ciqfunctions.udf.CIQAVG("$"&amp;$BQ1044&amp;$BR1044,"iq_lastsaleprice",AA$1032,AA$1033)</f>
        <v>0.76977440047252699</v>
      </c>
      <c r="AB1044" s="1191">
        <f>_xll.ciqfunctions.udf.CIQAVG("$"&amp;$BQ1044&amp;$BR1044,"iq_lastsaleprice",AB$1032,AB$1033)</f>
        <v>0.734846038141304</v>
      </c>
      <c r="AC1044" s="1191">
        <f>_xll.ciqfunctions.udf.CIQAVG("$"&amp;$BQ1044&amp;$BR1044,"iq_lastsaleprice",AC$1032,AC$1033)</f>
        <v>0.72854187193478304</v>
      </c>
      <c r="AD1044" s="1191">
        <f>_xll.ciqfunctions.udf.CIQAVG("$"&amp;$BQ1044&amp;$BR1044,"iq_lastsaleprice",AD$1032,AD$1033)</f>
        <v>0.72435712205555602</v>
      </c>
      <c r="AE1044" s="1191">
        <f>_xll.ciqfunctions.udf.CIQAVG("$"&amp;$BQ1044&amp;$BR1044,"iq_lastsaleprice",AE$1032,AE$1033)</f>
        <v>0.71469001858241799</v>
      </c>
      <c r="AF1044" s="1191">
        <f>_xll.ciqfunctions.udf.CIQAVG("$"&amp;$BQ1044&amp;$BR1044,"iq_lastsaleprice",AF$1032,AF$1033)</f>
        <v>0.68338674001075295</v>
      </c>
      <c r="AG1044" s="1191">
        <f>_xll.ciqfunctions.udf.CIQAVG("$"&amp;$BQ1044&amp;$BR1044,"iq_lastsaleprice",AG$1032,AG$1033)</f>
        <v>0.65767115471428605</v>
      </c>
      <c r="AH1044" s="1191">
        <f>_xll.ciqfunctions.udf.CIQAVG("$"&amp;$BQ1044&amp;$BR1044,"iq_lastsaleprice",AH$1032,AH$1033)</f>
        <v>0.68353567164444395</v>
      </c>
      <c r="AI1044" s="1191">
        <f>_xll.ciqfunctions.udf.CIQAVG("$"&amp;$BQ1044&amp;$BR1044,"iq_lastsaleprice",AI$1032,AI$1033)</f>
        <v>0.66799597618681295</v>
      </c>
      <c r="AJ1044" s="1191">
        <f>_xll.ciqfunctions.udf.CIQAVG("$"&amp;$BQ1044&amp;$BR1044,"iq_lastsaleprice",AJ$1032,AJ$1033)</f>
        <v>0.654933548054348</v>
      </c>
      <c r="AK1044" s="1191">
        <f>_xll.ciqfunctions.udf.CIQAVG("$"&amp;$BQ1044&amp;$BR1044,"iq_lastsaleprice",AK$1032,AK$1033)</f>
        <v>0.65163925598912997</v>
      </c>
      <c r="AL1044" s="1191">
        <f>_xll.ciqfunctions.udf.CIQAVG("$"&amp;$BQ1044&amp;$BR1044,"iq_lastsaleprice",AL$1032,AL$1033)</f>
        <v>0.65763037917582401</v>
      </c>
      <c r="AM1044" s="1191">
        <f>_xll.ciqfunctions.udf.CIQAVG("$"&amp;$BQ1044&amp;$BR1044,"iq_lastsaleprice",AM$1032,AM$1033)</f>
        <v>0.65898267661538501</v>
      </c>
      <c r="AN1044" s="1191">
        <f>_xll.ciqfunctions.udf.CIQAVG("$"&amp;$BQ1044&amp;$BR1044,"iq_lastsaleprice",AN$1032,AN$1033)</f>
        <v>0.66998495656521695</v>
      </c>
      <c r="AO1044" s="1191">
        <f>_xll.ciqfunctions.udf.CIQAVG("$"&amp;$BQ1044&amp;$BR1044,"iq_lastsaleprice",AO$1032,AO$1033)</f>
        <v>0.69278508750000001</v>
      </c>
      <c r="AP1044" s="1191">
        <f t="shared" ref="AP1044" si="4488">+AO1044</f>
        <v>0.69278508750000001</v>
      </c>
      <c r="AQ1044" s="1191">
        <f t="shared" ref="AQ1044" si="4489">+AP1044</f>
        <v>0.69278508750000001</v>
      </c>
      <c r="BQ1044" t="s">
        <v>621</v>
      </c>
      <c r="BR1044" t="s">
        <v>625</v>
      </c>
    </row>
    <row r="1045" spans="2:70">
      <c r="B1045" s="1162" t="s">
        <v>87</v>
      </c>
      <c r="C1045" s="872"/>
      <c r="D1045" s="872"/>
      <c r="E1045" s="872"/>
      <c r="F1045" s="872"/>
      <c r="G1045" s="872"/>
      <c r="H1045" s="1192">
        <f t="shared" ref="H1045" si="4490">H1044/D1044-1</f>
        <v>4.470851482408067E-2</v>
      </c>
      <c r="I1045" s="1192">
        <f t="shared" ref="I1045" si="4491">I1044/E1044-1</f>
        <v>4.0132275592865918E-2</v>
      </c>
      <c r="J1045" s="1192">
        <f t="shared" ref="J1045" si="4492">J1044/F1044-1</f>
        <v>4.8563500622481826E-2</v>
      </c>
      <c r="K1045" s="1192">
        <f t="shared" ref="K1045" si="4493">K1044/G1044-1</f>
        <v>7.1960324172819501E-3</v>
      </c>
      <c r="L1045" s="1192">
        <f t="shared" ref="L1045" si="4494">L1044/H1044-1</f>
        <v>4.1177629676034E-2</v>
      </c>
      <c r="M1045" s="1192">
        <f t="shared" ref="M1045" si="4495">M1044/I1044-1</f>
        <v>2.6493761882026901E-2</v>
      </c>
      <c r="N1045" s="1192">
        <f t="shared" ref="N1045" si="4496">N1044/J1044-1</f>
        <v>3.7921627683590975E-2</v>
      </c>
      <c r="O1045" s="1192">
        <f t="shared" ref="O1045" si="4497">O1044/K1044-1</f>
        <v>7.7803951965875751E-3</v>
      </c>
      <c r="P1045" s="1192">
        <f t="shared" ref="P1045" si="4498">P1044/L1044-1</f>
        <v>-7.3408314687472997E-2</v>
      </c>
      <c r="Q1045" s="1192">
        <f t="shared" ref="Q1045" si="4499">Q1044/M1044-1</f>
        <v>-6.735490374488895E-2</v>
      </c>
      <c r="R1045" s="1192">
        <f t="shared" ref="R1045" si="4500">R1044/N1044-1</f>
        <v>-9.3596274196145912E-2</v>
      </c>
      <c r="S1045" s="1192">
        <f t="shared" ref="S1045" si="4501">S1044/O1044-1</f>
        <v>-7.4762315652858291E-2</v>
      </c>
      <c r="T1045" s="1192">
        <f t="shared" ref="T1045" si="4502">T1044/P1044-1</f>
        <v>-6.2640900589496007E-2</v>
      </c>
      <c r="U1045" s="1192">
        <f t="shared" ref="U1045" si="4503">U1044/Q1044-1</f>
        <v>-4.6667086520695511E-2</v>
      </c>
      <c r="V1045" s="1192">
        <f t="shared" ref="V1045" si="4504">V1044/R1044-1</f>
        <v>-7.4595633387744886E-2</v>
      </c>
      <c r="W1045" s="1192">
        <f t="shared" ref="W1045" si="4505">W1044/S1044-1</f>
        <v>-6.2392018831452845E-2</v>
      </c>
      <c r="X1045" s="1192">
        <f t="shared" ref="X1045" si="4506">X1044/T1044-1</f>
        <v>4.2636433091761461E-2</v>
      </c>
      <c r="Y1045" s="1192">
        <f t="shared" ref="Y1045" si="4507">Y1044/U1044-1</f>
        <v>7.0258086273522258E-2</v>
      </c>
      <c r="Z1045" s="1192">
        <f t="shared" ref="Z1045" si="4508">Z1044/V1044-1</f>
        <v>0.17173094590599103</v>
      </c>
      <c r="AA1045" s="1192">
        <f t="shared" ref="AA1045" si="4509">AA1044/W1044-1</f>
        <v>0.17258986106915852</v>
      </c>
      <c r="AB1045" s="1192">
        <f t="shared" ref="AB1045" si="4510">AB1044/X1044-1</f>
        <v>2.7946667120976043E-2</v>
      </c>
      <c r="AC1045" s="1192">
        <f t="shared" ref="AC1045" si="4511">AC1044/Y1044-1</f>
        <v>-4.2067602799668036E-3</v>
      </c>
      <c r="AD1045" s="1192">
        <f t="shared" ref="AD1045" si="4512">AD1044/Z1044-1</f>
        <v>-6.2282589217008244E-2</v>
      </c>
      <c r="AE1045" s="1192">
        <f t="shared" ref="AE1045" si="4513">AE1044/AA1044-1</f>
        <v>-7.1559124148965481E-2</v>
      </c>
      <c r="AF1045" s="1192">
        <f t="shared" ref="AF1045" si="4514">AF1044/AB1044-1</f>
        <v>-7.0027319274538868E-2</v>
      </c>
      <c r="AG1045" s="1192">
        <f t="shared" ref="AG1045" si="4515">AG1044/AC1044-1</f>
        <v>-9.7277479786146204E-2</v>
      </c>
      <c r="AH1045" s="1192">
        <f t="shared" ref="AH1045" si="4516">AH1044/AD1044-1</f>
        <v>-5.6355420783701704E-2</v>
      </c>
      <c r="AI1045" s="1192">
        <f t="shared" ref="AI1045" si="4517">AI1044/AE1044-1</f>
        <v>-6.5334678226264153E-2</v>
      </c>
      <c r="AJ1045" s="1192">
        <f t="shared" ref="AJ1045" si="4518">AJ1044/AF1044-1</f>
        <v>-4.1635563423365829E-2</v>
      </c>
      <c r="AK1045" s="1192">
        <f t="shared" ref="AK1045" si="4519">AK1044/AG1044-1</f>
        <v>-9.1716029841335533E-3</v>
      </c>
      <c r="AL1045" s="1192">
        <f t="shared" ref="AL1045" si="4520">AL1044/AH1044-1</f>
        <v>-3.7898962034120687E-2</v>
      </c>
      <c r="AM1045" s="1192">
        <f t="shared" ref="AM1045:AN1045" si="4521">AM1044/AI1044-1</f>
        <v>-1.3493044707962865E-2</v>
      </c>
      <c r="AN1045" s="1192">
        <f t="shared" si="4521"/>
        <v>2.298158119336402E-2</v>
      </c>
      <c r="AO1045" s="1192">
        <f t="shared" ref="AO1045" si="4522">AO1044/AK1044-1</f>
        <v>6.3142039299664887E-2</v>
      </c>
      <c r="AP1045" s="1192">
        <f t="shared" ref="AP1045" si="4523">AP1044/AL1044-1</f>
        <v>5.3456636793807633E-2</v>
      </c>
      <c r="AQ1045" s="1192">
        <f t="shared" ref="AQ1045" si="4524">AQ1044/AM1044-1</f>
        <v>5.1294839885971388E-2</v>
      </c>
    </row>
    <row r="1046" spans="2:70">
      <c r="B1046" s="1193"/>
      <c r="C1046" s="100"/>
      <c r="D1046" s="100"/>
      <c r="E1046" s="100"/>
      <c r="F1046" s="100"/>
      <c r="G1046" s="100"/>
      <c r="H1046" s="1197"/>
      <c r="I1046" s="100"/>
      <c r="J1046" s="100"/>
      <c r="K1046" s="100"/>
      <c r="L1046" s="869"/>
      <c r="M1046" s="100"/>
      <c r="N1046" s="100"/>
      <c r="O1046" s="869"/>
      <c r="P1046" s="869"/>
      <c r="Q1046" s="869"/>
      <c r="R1046" s="869"/>
      <c r="S1046" s="1194"/>
      <c r="T1046" s="1195"/>
      <c r="U1046" s="1195"/>
      <c r="V1046" s="1195"/>
      <c r="W1046" s="1196"/>
      <c r="X1046" s="869"/>
      <c r="Y1046" s="869"/>
      <c r="Z1046" s="869"/>
      <c r="AA1046" s="869"/>
      <c r="AB1046" s="869"/>
      <c r="AC1046" s="869"/>
      <c r="AD1046" s="869"/>
      <c r="AE1046" s="100"/>
      <c r="AF1046" s="100"/>
      <c r="AG1046" s="100"/>
      <c r="AH1046" s="100"/>
      <c r="AI1046" s="100"/>
      <c r="AJ1046" s="100"/>
      <c r="AK1046" s="100"/>
      <c r="AL1046" s="100"/>
      <c r="AM1046" s="100"/>
      <c r="AN1046" s="100"/>
      <c r="AO1046" s="100"/>
      <c r="AP1046" s="100"/>
      <c r="AQ1046" s="100"/>
    </row>
    <row r="1047" spans="2:70">
      <c r="B1047" s="100" t="str">
        <f>+BQ1047&amp;" / "&amp;BR1047&amp;" - avg"</f>
        <v>USD / CAD - avg</v>
      </c>
      <c r="C1047" s="100"/>
      <c r="D1047" s="1191">
        <f>_xll.ciqfunctions.udf.CIQAVG("$"&amp;$BQ1047&amp;$BR1047,"iq_lastsaleprice",D$1032,D$1033)</f>
        <v>0.76475193631521698</v>
      </c>
      <c r="E1047" s="1191">
        <f>_xll.ciqfunctions.udf.CIQAVG("$"&amp;$BQ1047&amp;$BR1047,"iq_lastsaleprice",E$1032,E$1033)</f>
        <v>0.74915023963043503</v>
      </c>
      <c r="F1047" s="1191">
        <f>_xll.ciqfunctions.udf.CIQAVG("$"&amp;$BQ1047&amp;$BR1047,"iq_lastsaleprice",F$1032,F$1033)</f>
        <v>0.72895854964835205</v>
      </c>
      <c r="G1047" s="1191">
        <f>_xll.ciqfunctions.udf.CIQAVG("$"&amp;$BQ1047&amp;$BR1047,"iq_lastsaleprice",G$1032,G$1033)</f>
        <v>0.775943388934066</v>
      </c>
      <c r="H1047" s="1191">
        <f>_xll.ciqfunctions.udf.CIQAVG("$"&amp;$BQ1047&amp;$BR1047,"iq_lastsaleprice",H$1032,H$1033)</f>
        <v>0.766826954173913</v>
      </c>
      <c r="I1047" s="1191">
        <f>_xll.ciqfunctions.udf.CIQAVG("$"&amp;$BQ1047&amp;$BR1047,"iq_lastsaleprice",I$1032,I$1033)</f>
        <v>0.74917358729670303</v>
      </c>
      <c r="J1047" s="1191">
        <f>_xll.ciqfunctions.udf.CIQAVG("$"&amp;$BQ1047&amp;$BR1047,"iq_lastsaleprice",J$1032,J$1033)</f>
        <v>0.75537796090109899</v>
      </c>
      <c r="K1047" s="1191">
        <f>_xll.ciqfunctions.udf.CIQAVG("$"&amp;$BQ1047&amp;$BR1047,"iq_lastsaleprice",K$1032,K$1033)</f>
        <v>0.74349697171428597</v>
      </c>
      <c r="L1047" s="1191">
        <f>_xll.ciqfunctions.udf.CIQAVG("$"&amp;$BQ1047&amp;$BR1047,"iq_lastsaleprice",L$1032,L$1033)</f>
        <v>0.79812909647826102</v>
      </c>
      <c r="M1047" s="1191">
        <f>_xll.ciqfunctions.udf.CIQAVG("$"&amp;$BQ1047&amp;$BR1047,"iq_lastsaleprice",M$1032,M$1033)</f>
        <v>0.78696136421739105</v>
      </c>
      <c r="N1047" s="1191">
        <f>_xll.ciqfunctions.udf.CIQAVG("$"&amp;$BQ1047&amp;$BR1047,"iq_lastsaleprice",N$1032,N$1033)</f>
        <v>0.79088654824444404</v>
      </c>
      <c r="O1047" s="1191">
        <f>_xll.ciqfunctions.udf.CIQAVG("$"&amp;$BQ1047&amp;$BR1047,"iq_lastsaleprice",O$1032,O$1033)</f>
        <v>0.77456787107692304</v>
      </c>
      <c r="P1047" s="1191">
        <f>_xll.ciqfunctions.udf.CIQAVG("$"&amp;$BQ1047&amp;$BR1047,"iq_lastsaleprice",P$1032,P$1033)</f>
        <v>0.765164134836957</v>
      </c>
      <c r="Q1047" s="1191">
        <f>_xll.ciqfunctions.udf.CIQAVG("$"&amp;$BQ1047&amp;$BR1047,"iq_lastsaleprice",Q$1032,Q$1033)</f>
        <v>0.75660572377173896</v>
      </c>
      <c r="R1047" s="1191">
        <f>_xll.ciqfunctions.udf.CIQAVG("$"&amp;$BQ1047&amp;$BR1047,"iq_lastsaleprice",R$1032,R$1033)</f>
        <v>0.75197556938888899</v>
      </c>
      <c r="S1047" s="1191">
        <f>_xll.ciqfunctions.udf.CIQAVG("$"&amp;$BQ1047&amp;$BR1047,"iq_lastsaleprice",S$1032,S$1033)</f>
        <v>0.74758912873626404</v>
      </c>
      <c r="T1047" s="1191">
        <f>_xll.ciqfunctions.udf.CIQAVG("$"&amp;$BQ1047&amp;$BR1047,"iq_lastsaleprice",T$1032,T$1033)</f>
        <v>0.75728379883695696</v>
      </c>
      <c r="U1047" s="1191">
        <f>_xll.ciqfunctions.udf.CIQAVG("$"&amp;$BQ1047&amp;$BR1047,"iq_lastsaleprice",U$1032,U$1033)</f>
        <v>0.757510569802198</v>
      </c>
      <c r="V1047" s="1191">
        <f>_xll.ciqfunctions.udf.CIQAVG("$"&amp;$BQ1047&amp;$BR1047,"iq_lastsaleprice",V$1032,V$1033)</f>
        <v>0.74563203492307695</v>
      </c>
      <c r="W1047" s="1191">
        <f>_xll.ciqfunctions.udf.CIQAVG("$"&amp;$BQ1047&amp;$BR1047,"iq_lastsaleprice",W$1032,W$1033)</f>
        <v>0.72127864475000003</v>
      </c>
      <c r="X1047" s="1191">
        <f>_xll.ciqfunctions.udf.CIQAVG("$"&amp;$BQ1047&amp;$BR1047,"iq_lastsaleprice",X$1032,X$1033)</f>
        <v>0.75047014989130401</v>
      </c>
      <c r="Y1047" s="1191">
        <f>_xll.ciqfunctions.udf.CIQAVG("$"&amp;$BQ1047&amp;$BR1047,"iq_lastsaleprice",Y$1032,Y$1033)</f>
        <v>0.76757005682608703</v>
      </c>
      <c r="Z1047" s="1191">
        <f>_xll.ciqfunctions.udf.CIQAVG("$"&amp;$BQ1047&amp;$BR1047,"iq_lastsaleprice",Z$1032,Z$1033)</f>
        <v>0.78961225148888903</v>
      </c>
      <c r="AA1047" s="1191">
        <f>_xll.ciqfunctions.udf.CIQAVG("$"&amp;$BQ1047&amp;$BR1047,"iq_lastsaleprice",AA$1032,AA$1033)</f>
        <v>0.81406053913186804</v>
      </c>
      <c r="AB1047" s="1191">
        <f>_xll.ciqfunctions.udf.CIQAVG("$"&amp;$BQ1047&amp;$BR1047,"iq_lastsaleprice",AB$1032,AB$1033)</f>
        <v>0.79404060069565197</v>
      </c>
      <c r="AC1047" s="1191">
        <f>_xll.ciqfunctions.udf.CIQAVG("$"&amp;$BQ1047&amp;$BR1047,"iq_lastsaleprice",AC$1032,AC$1033)</f>
        <v>0.79345575553260905</v>
      </c>
      <c r="AD1047" s="1191">
        <f>_xll.ciqfunctions.udf.CIQAVG("$"&amp;$BQ1047&amp;$BR1047,"iq_lastsaleprice",AD$1032,AD$1033)</f>
        <v>0.789585579944444</v>
      </c>
      <c r="AE1047" s="1191">
        <f>_xll.ciqfunctions.udf.CIQAVG("$"&amp;$BQ1047&amp;$BR1047,"iq_lastsaleprice",AE$1032,AE$1033)</f>
        <v>0.78339116351648397</v>
      </c>
      <c r="AF1047" s="1191">
        <f>_xll.ciqfunctions.udf.CIQAVG("$"&amp;$BQ1047&amp;$BR1047,"iq_lastsaleprice",AF$1032,AF$1033)</f>
        <v>0.76611815864516097</v>
      </c>
      <c r="AG1047" s="1191">
        <f>_xll.ciqfunctions.udf.CIQAVG("$"&amp;$BQ1047&amp;$BR1047,"iq_lastsaleprice",AG$1032,AG$1033)</f>
        <v>0.736724893186813</v>
      </c>
      <c r="AH1047" s="1191">
        <f>_xll.ciqfunctions.udf.CIQAVG("$"&amp;$BQ1047&amp;$BR1047,"iq_lastsaleprice",AH$1032,AH$1033)</f>
        <v>0.73934111884444398</v>
      </c>
      <c r="AI1047" s="1191">
        <f>_xll.ciqfunctions.udf.CIQAVG("$"&amp;$BQ1047&amp;$BR1047,"iq_lastsaleprice",AI$1032,AI$1033)</f>
        <v>0.74439586630769194</v>
      </c>
      <c r="AJ1047" s="1191">
        <f>_xll.ciqfunctions.udf.CIQAVG("$"&amp;$BQ1047&amp;$BR1047,"iq_lastsaleprice",AJ$1032,AJ$1033)</f>
        <v>0.74565286138043496</v>
      </c>
      <c r="AK1047" s="1191">
        <f>_xll.ciqfunctions.udf.CIQAVG("$"&amp;$BQ1047&amp;$BR1047,"iq_lastsaleprice",AK$1032,AK$1033)</f>
        <v>0.73507463054347799</v>
      </c>
      <c r="AL1047" s="1191">
        <f>_xll.ciqfunctions.udf.CIQAVG("$"&amp;$BQ1047&amp;$BR1047,"iq_lastsaleprice",AL$1032,AL$1033)</f>
        <v>0.74171988781318698</v>
      </c>
      <c r="AM1047" s="1191">
        <f>_xll.ciqfunctions.udf.CIQAVG("$"&amp;$BQ1047&amp;$BR1047,"iq_lastsaleprice",AM$1032,AM$1033)</f>
        <v>0.73080099061538495</v>
      </c>
      <c r="AN1047" s="1191">
        <f>_xll.ciqfunctions.udf.CIQAVG("$"&amp;$BQ1047&amp;$BR1047,"iq_lastsaleprice",AN$1032,AN$1033)</f>
        <v>0.73311950492391298</v>
      </c>
      <c r="AO1047" s="1191">
        <f>_xll.ciqfunctions.udf.CIQAVG("$"&amp;$BQ1047&amp;$BR1047,"iq_lastsaleprice",AO$1032,AO$1033)</f>
        <v>0.74064497500000004</v>
      </c>
      <c r="AP1047" s="1191">
        <f t="shared" ref="AP1047" si="4525">+AO1047</f>
        <v>0.74064497500000004</v>
      </c>
      <c r="AQ1047" s="1191">
        <f t="shared" ref="AQ1047" si="4526">+AP1047</f>
        <v>0.74064497500000004</v>
      </c>
      <c r="BQ1047" t="s">
        <v>621</v>
      </c>
      <c r="BR1047" t="s">
        <v>626</v>
      </c>
    </row>
    <row r="1048" spans="2:70">
      <c r="B1048" s="1162" t="s">
        <v>87</v>
      </c>
      <c r="C1048" s="872"/>
      <c r="D1048" s="872"/>
      <c r="E1048" s="872"/>
      <c r="F1048" s="872"/>
      <c r="G1048" s="872"/>
      <c r="H1048" s="1192">
        <f t="shared" ref="H1048" si="4527">H1047/D1047-1</f>
        <v>2.7133214839494268E-3</v>
      </c>
      <c r="I1048" s="1192">
        <f t="shared" ref="I1048" si="4528">I1047/E1047-1</f>
        <v>3.1165532670129892E-5</v>
      </c>
      <c r="J1048" s="1192">
        <f t="shared" ref="J1048" si="4529">J1047/F1047-1</f>
        <v>3.6242679731915528E-2</v>
      </c>
      <c r="K1048" s="1192">
        <f t="shared" ref="K1048" si="4530">K1047/G1047-1</f>
        <v>-4.1815443861636048E-2</v>
      </c>
      <c r="L1048" s="1192">
        <f t="shared" ref="L1048" si="4531">L1047/H1047-1</f>
        <v>4.082034692960046E-2</v>
      </c>
      <c r="M1048" s="1192">
        <f t="shared" ref="M1048" si="4532">M1047/I1047-1</f>
        <v>5.0439280777423434E-2</v>
      </c>
      <c r="N1048" s="1192">
        <f t="shared" ref="N1048" si="4533">N1047/J1047-1</f>
        <v>4.7007708963320072E-2</v>
      </c>
      <c r="O1048" s="1192">
        <f t="shared" ref="O1048" si="4534">O1047/K1047-1</f>
        <v>4.179021642952585E-2</v>
      </c>
      <c r="P1048" s="1192">
        <f t="shared" ref="P1048" si="4535">P1047/L1047-1</f>
        <v>-4.1302793980023678E-2</v>
      </c>
      <c r="Q1048" s="1192">
        <f t="shared" ref="Q1048" si="4536">Q1047/M1047-1</f>
        <v>-3.8573228402184467E-2</v>
      </c>
      <c r="R1048" s="1192">
        <f t="shared" ref="R1048" si="4537">R1047/N1047-1</f>
        <v>-4.9199191643766071E-2</v>
      </c>
      <c r="S1048" s="1192">
        <f t="shared" ref="S1048" si="4538">S1047/O1047-1</f>
        <v>-3.4830701540910836E-2</v>
      </c>
      <c r="T1048" s="1192">
        <f t="shared" ref="T1048" si="4539">T1047/P1047-1</f>
        <v>-1.0298883130060998E-2</v>
      </c>
      <c r="U1048" s="1192">
        <f t="shared" ref="U1048" si="4540">U1047/Q1047-1</f>
        <v>1.1959280798832239E-3</v>
      </c>
      <c r="V1048" s="1192">
        <f t="shared" ref="V1048" si="4541">V1047/R1047-1</f>
        <v>-8.4358252103419185E-3</v>
      </c>
      <c r="W1048" s="1192">
        <f t="shared" ref="W1048" si="4542">W1047/S1047-1</f>
        <v>-3.5193775531139226E-2</v>
      </c>
      <c r="X1048" s="1192">
        <f t="shared" ref="X1048" si="4543">X1047/T1047-1</f>
        <v>-8.9974841084906609E-3</v>
      </c>
      <c r="Y1048" s="1192">
        <f t="shared" ref="Y1048" si="4544">Y1047/U1047-1</f>
        <v>1.3279665558350917E-2</v>
      </c>
      <c r="Z1048" s="1192">
        <f t="shared" ref="Z1048" si="4545">Z1047/V1047-1</f>
        <v>5.8983807703955948E-2</v>
      </c>
      <c r="AA1048" s="1192">
        <f t="shared" ref="AA1048" si="4546">AA1047/W1047-1</f>
        <v>0.12863529934956941</v>
      </c>
      <c r="AB1048" s="1192">
        <f t="shared" ref="AB1048" si="4547">AB1047/X1047-1</f>
        <v>5.8057540077588232E-2</v>
      </c>
      <c r="AC1048" s="1192">
        <f t="shared" ref="AC1048" si="4548">AC1047/Y1047-1</f>
        <v>3.3724216410368824E-2</v>
      </c>
      <c r="AD1048" s="1192">
        <f t="shared" ref="AD1048" si="4549">AD1047/Z1047-1</f>
        <v>-3.377802762649651E-5</v>
      </c>
      <c r="AE1048" s="1192">
        <f t="shared" ref="AE1048" si="4550">AE1047/AA1047-1</f>
        <v>-3.7674563673225747E-2</v>
      </c>
      <c r="AF1048" s="1192">
        <f t="shared" ref="AF1048" si="4551">AF1047/AB1047-1</f>
        <v>-3.5165005449379283E-2</v>
      </c>
      <c r="AG1048" s="1192">
        <f t="shared" ref="AG1048" si="4552">AG1047/AC1047-1</f>
        <v>-7.1498457160620532E-2</v>
      </c>
      <c r="AH1048" s="1192">
        <f t="shared" ref="AH1048" si="4553">AH1047/AD1047-1</f>
        <v>-6.3633964925670639E-2</v>
      </c>
      <c r="AI1048" s="1192">
        <f t="shared" ref="AI1048" si="4554">AI1047/AE1047-1</f>
        <v>-4.9777555613149893E-2</v>
      </c>
      <c r="AJ1048" s="1192">
        <f t="shared" ref="AJ1048" si="4555">AJ1047/AF1047-1</f>
        <v>-2.6712977670334537E-2</v>
      </c>
      <c r="AK1048" s="1192">
        <f t="shared" ref="AK1048" si="4556">AK1047/AG1047-1</f>
        <v>-2.2399984832826014E-3</v>
      </c>
      <c r="AL1048" s="1192">
        <f t="shared" ref="AL1048" si="4557">AL1047/AH1047-1</f>
        <v>3.2174173843608767E-3</v>
      </c>
      <c r="AM1048" s="1192">
        <f t="shared" ref="AM1048:AN1048" si="4558">AM1047/AI1047-1</f>
        <v>-1.8262965053445934E-2</v>
      </c>
      <c r="AN1048" s="1192">
        <f t="shared" si="4558"/>
        <v>-1.6808567505955607E-2</v>
      </c>
      <c r="AO1048" s="1192">
        <f t="shared" ref="AO1048" si="4559">AO1047/AK1047-1</f>
        <v>7.5779304917700241E-3</v>
      </c>
      <c r="AP1048" s="1192">
        <f t="shared" ref="AP1048" si="4560">AP1047/AL1047-1</f>
        <v>-1.4492166528743411E-3</v>
      </c>
      <c r="AQ1048" s="1192">
        <f t="shared" ref="AQ1048" si="4561">AQ1047/AM1047-1</f>
        <v>1.3470130050488471E-2</v>
      </c>
    </row>
    <row r="1049" spans="2:70">
      <c r="B1049" s="100"/>
      <c r="C1049" s="100"/>
      <c r="D1049" s="100"/>
      <c r="E1049" s="100"/>
      <c r="F1049" s="100"/>
      <c r="G1049" s="100"/>
      <c r="H1049" s="100"/>
      <c r="I1049" s="100"/>
      <c r="J1049" s="100"/>
      <c r="K1049" s="100"/>
      <c r="L1049" s="100"/>
      <c r="M1049" s="100"/>
      <c r="N1049" s="100"/>
      <c r="O1049" s="100"/>
      <c r="P1049" s="100"/>
      <c r="Q1049" s="100"/>
      <c r="R1049" s="100"/>
      <c r="S1049" s="100"/>
      <c r="T1049" s="100"/>
      <c r="U1049" s="100"/>
      <c r="V1049" s="100"/>
      <c r="W1049" s="100"/>
      <c r="X1049" s="100"/>
      <c r="Y1049" s="100"/>
      <c r="Z1049" s="100"/>
      <c r="AA1049" s="100"/>
      <c r="AB1049" s="100"/>
      <c r="AC1049" s="100"/>
      <c r="AD1049" s="100"/>
      <c r="AE1049" s="100"/>
      <c r="AF1049" s="100"/>
      <c r="AG1049" s="100"/>
      <c r="AH1049" s="100"/>
      <c r="AI1049" s="100"/>
      <c r="AJ1049" s="100"/>
      <c r="AK1049" s="100"/>
      <c r="AL1049" s="100"/>
      <c r="AM1049" s="100"/>
      <c r="AN1049" s="100"/>
      <c r="AO1049" s="100"/>
      <c r="AP1049" s="100"/>
      <c r="AQ1049" s="100"/>
    </row>
    <row r="1050" spans="2:70">
      <c r="B1050" s="100"/>
      <c r="C1050" s="100"/>
      <c r="D1050" s="100"/>
      <c r="E1050" s="100"/>
      <c r="F1050" s="100"/>
      <c r="G1050" s="100"/>
      <c r="H1050" s="100"/>
      <c r="I1050" s="100"/>
      <c r="J1050" s="100"/>
      <c r="K1050" s="100"/>
      <c r="L1050" s="100"/>
      <c r="M1050" s="100"/>
      <c r="N1050" s="100"/>
      <c r="O1050" s="100"/>
      <c r="P1050" s="100"/>
      <c r="Q1050" s="100"/>
      <c r="R1050" s="100"/>
      <c r="S1050" s="100"/>
      <c r="T1050" s="100"/>
      <c r="U1050" s="100"/>
      <c r="V1050" s="100"/>
      <c r="W1050" s="100"/>
      <c r="X1050" s="100"/>
      <c r="Y1050" s="100"/>
      <c r="Z1050" s="100"/>
      <c r="AA1050" s="100"/>
      <c r="AB1050" s="100"/>
      <c r="AC1050" s="100"/>
      <c r="AD1050" s="100"/>
      <c r="AE1050" s="100"/>
      <c r="AF1050" s="100"/>
      <c r="AG1050" s="100"/>
      <c r="AH1050" s="100"/>
      <c r="AI1050" s="100"/>
      <c r="AJ1050" s="100"/>
      <c r="AK1050" s="100"/>
      <c r="AL1050" s="100"/>
      <c r="AM1050" s="100"/>
      <c r="AN1050" s="100"/>
      <c r="AO1050" s="100"/>
      <c r="AP1050" s="100"/>
      <c r="AQ1050" s="100"/>
    </row>
    <row r="1052" spans="2:70">
      <c r="BK1052" t="s">
        <v>640</v>
      </c>
      <c r="BL1052" t="s">
        <v>641</v>
      </c>
      <c r="BM1052" t="s">
        <v>266</v>
      </c>
      <c r="BN1052" t="s">
        <v>267</v>
      </c>
      <c r="BO1052" t="s">
        <v>268</v>
      </c>
    </row>
    <row r="1054" spans="2:70">
      <c r="P1054" t="str">
        <f t="shared" ref="P1054:AF1054" si="4562">+P6</f>
        <v>1Q19</v>
      </c>
      <c r="Q1054" t="str">
        <f t="shared" si="4562"/>
        <v>2Q19</v>
      </c>
      <c r="R1054" t="str">
        <f t="shared" si="4562"/>
        <v>3Q19</v>
      </c>
      <c r="S1054" t="str">
        <f t="shared" si="4562"/>
        <v>4Q19</v>
      </c>
      <c r="T1054" t="str">
        <f t="shared" si="4562"/>
        <v>1Q20</v>
      </c>
      <c r="U1054" t="str">
        <f t="shared" si="4562"/>
        <v>2Q20</v>
      </c>
      <c r="V1054" t="str">
        <f t="shared" si="4562"/>
        <v>3Q20</v>
      </c>
      <c r="W1054" t="str">
        <f t="shared" si="4562"/>
        <v>4Q20</v>
      </c>
      <c r="X1054" t="str">
        <f t="shared" si="4562"/>
        <v>1Q21</v>
      </c>
      <c r="Y1054" t="str">
        <f t="shared" si="4562"/>
        <v>2Q21</v>
      </c>
      <c r="Z1054" t="str">
        <f t="shared" si="4562"/>
        <v>3Q21</v>
      </c>
      <c r="AA1054" t="str">
        <f t="shared" si="4562"/>
        <v>4Q21</v>
      </c>
      <c r="AB1054" t="str">
        <f t="shared" si="4562"/>
        <v>1Q22</v>
      </c>
      <c r="AC1054" t="str">
        <f t="shared" si="4562"/>
        <v>2Q22</v>
      </c>
      <c r="AD1054" t="str">
        <f t="shared" si="4562"/>
        <v>3Q22</v>
      </c>
      <c r="AE1054" t="str">
        <f t="shared" si="4562"/>
        <v>4Q22</v>
      </c>
      <c r="AF1054" t="str">
        <f t="shared" si="4562"/>
        <v>1Q23</v>
      </c>
    </row>
    <row r="1055" spans="2:70">
      <c r="B1055" t="s">
        <v>642</v>
      </c>
      <c r="P1055" s="912">
        <f t="shared" ref="P1055:AE1055" si="4563">+P14</f>
        <v>0.18546010269785637</v>
      </c>
      <c r="Q1055" s="912">
        <f t="shared" si="4563"/>
        <v>0.12631371464139982</v>
      </c>
      <c r="R1055" s="912">
        <f t="shared" si="4563"/>
        <v>0.16</v>
      </c>
      <c r="S1055" s="912">
        <f t="shared" si="4563"/>
        <v>0.14324347681568889</v>
      </c>
      <c r="T1055" s="912">
        <f t="shared" si="4563"/>
        <v>0.15429033145372026</v>
      </c>
      <c r="U1055" s="912">
        <f t="shared" si="4563"/>
        <v>0.15197037356410337</v>
      </c>
      <c r="V1055" s="912">
        <f t="shared" si="4563"/>
        <v>0.15910928657878379</v>
      </c>
      <c r="W1055" s="912">
        <f t="shared" si="4563"/>
        <v>0.14502413322656227</v>
      </c>
      <c r="X1055" s="912">
        <f t="shared" si="4563"/>
        <v>0.12050704885796401</v>
      </c>
      <c r="Y1055" s="912">
        <f t="shared" si="4563"/>
        <v>0.15363536010404813</v>
      </c>
      <c r="Z1055" s="912">
        <f t="shared" si="4563"/>
        <v>0.16171448844978725</v>
      </c>
      <c r="AA1055" s="912">
        <f t="shared" si="4563"/>
        <v>0.17445905660873451</v>
      </c>
      <c r="AB1055" s="912">
        <f t="shared" si="4563"/>
        <v>0.20385421219787908</v>
      </c>
      <c r="AC1055" s="912">
        <f t="shared" si="4563"/>
        <v>0.20078497539232981</v>
      </c>
      <c r="AD1055" s="912">
        <f t="shared" si="4563"/>
        <v>0.20149706517047911</v>
      </c>
      <c r="AE1055" s="912">
        <f t="shared" si="4563"/>
        <v>0.16459280637892182</v>
      </c>
      <c r="AF1055" s="912">
        <v>0.16</v>
      </c>
      <c r="BK1055" s="8">
        <f>SUM(R12:U12)</f>
        <v>134249</v>
      </c>
      <c r="BL1055" s="8">
        <f>SUM(V12:Y12)</f>
        <v>153284</v>
      </c>
      <c r="BM1055" s="8">
        <f>SUM(Z12:AC12)</f>
        <v>184903</v>
      </c>
      <c r="BN1055" s="8">
        <f>SUM(AD12:AG12)</f>
        <v>204094</v>
      </c>
      <c r="BO1055" s="8">
        <f>SUM(AH12:AK12)</f>
        <v>227583</v>
      </c>
      <c r="BP1055" s="8"/>
    </row>
    <row r="1056" spans="2:70">
      <c r="B1056" t="s">
        <v>643</v>
      </c>
      <c r="L1056" s="912">
        <f t="shared" ref="L1056:AE1056" si="4564">+L245</f>
        <v>0.09</v>
      </c>
      <c r="M1056" s="912">
        <f t="shared" si="4564"/>
        <v>0.04</v>
      </c>
      <c r="N1056" s="912">
        <f t="shared" si="4564"/>
        <v>0.18</v>
      </c>
      <c r="O1056" s="912">
        <f t="shared" si="4564"/>
        <v>0.18</v>
      </c>
      <c r="P1056" s="912">
        <f t="shared" si="4564"/>
        <v>0.16</v>
      </c>
      <c r="Q1056" s="912">
        <f t="shared" si="4564"/>
        <v>0.22</v>
      </c>
      <c r="R1056" s="912">
        <f t="shared" si="4564"/>
        <v>0.34</v>
      </c>
      <c r="S1056" s="912">
        <f t="shared" si="4564"/>
        <v>0.25</v>
      </c>
      <c r="T1056" s="912">
        <f t="shared" si="4564"/>
        <v>0.35</v>
      </c>
      <c r="U1056" s="912">
        <f t="shared" si="4564"/>
        <v>0.3</v>
      </c>
      <c r="V1056" s="912">
        <f t="shared" si="4564"/>
        <v>0.12</v>
      </c>
      <c r="W1056" s="912">
        <f t="shared" si="4564"/>
        <v>0.14000000000000001</v>
      </c>
      <c r="X1056" s="912">
        <f t="shared" si="4564"/>
        <v>0.18</v>
      </c>
      <c r="Y1056" s="912">
        <f t="shared" si="4564"/>
        <v>0.11</v>
      </c>
      <c r="Z1056" s="912">
        <f t="shared" si="4564"/>
        <v>0.38</v>
      </c>
      <c r="AA1056" s="912">
        <f t="shared" si="4564"/>
        <v>0.25</v>
      </c>
      <c r="AB1056" s="912">
        <f t="shared" si="4564"/>
        <v>0.14000000000000001</v>
      </c>
      <c r="AC1056" s="912">
        <f t="shared" si="4564"/>
        <v>0.37</v>
      </c>
      <c r="AD1056" s="912">
        <f t="shared" si="4564"/>
        <v>0.35</v>
      </c>
      <c r="AE1056" s="912">
        <f t="shared" si="4564"/>
        <v>0.35</v>
      </c>
      <c r="AF1056" s="912">
        <v>0.16</v>
      </c>
      <c r="BL1056" s="912">
        <f>+BL1055/BK1055-1</f>
        <v>0.1417887656518857</v>
      </c>
      <c r="BM1056" s="912">
        <f t="shared" ref="BM1056:BO1056" si="4565">+BM1055/BL1055-1</f>
        <v>0.20627723702408596</v>
      </c>
      <c r="BN1056" s="912">
        <f t="shared" si="4565"/>
        <v>0.10378955452318239</v>
      </c>
      <c r="BO1056" s="912">
        <f t="shared" si="4565"/>
        <v>0.11508912559898876</v>
      </c>
      <c r="BP1056" s="912"/>
    </row>
    <row r="1058" spans="2:68">
      <c r="P1058" t="s">
        <v>216</v>
      </c>
      <c r="Q1058" t="s">
        <v>217</v>
      </c>
      <c r="R1058" t="s">
        <v>218</v>
      </c>
      <c r="S1058" t="s">
        <v>219</v>
      </c>
      <c r="T1058" t="s">
        <v>220</v>
      </c>
      <c r="U1058" t="s">
        <v>221</v>
      </c>
      <c r="V1058" t="s">
        <v>222</v>
      </c>
      <c r="W1058" t="s">
        <v>223</v>
      </c>
      <c r="X1058" t="s">
        <v>224</v>
      </c>
      <c r="Y1058" t="s">
        <v>225</v>
      </c>
      <c r="Z1058" t="s">
        <v>226</v>
      </c>
      <c r="AA1058" t="s">
        <v>227</v>
      </c>
      <c r="AB1058" t="s">
        <v>228</v>
      </c>
      <c r="AC1058" t="s">
        <v>229</v>
      </c>
      <c r="AD1058" t="s">
        <v>230</v>
      </c>
      <c r="AE1058" t="s">
        <v>231</v>
      </c>
      <c r="AF1058" t="s">
        <v>232</v>
      </c>
      <c r="BK1058" s="8">
        <f>SUM(R86:U86)</f>
        <v>61347</v>
      </c>
      <c r="BL1058" s="8">
        <f>SUM(V86:Y86)</f>
        <v>72183</v>
      </c>
      <c r="BM1058" s="8">
        <f>SUM(Z86:AC86)</f>
        <v>91616</v>
      </c>
      <c r="BN1058" s="8">
        <f>SUM(AD86:AG86)</f>
        <v>98176</v>
      </c>
      <c r="BO1058" s="8">
        <f>SUM(AH86:AK86)</f>
        <v>118466</v>
      </c>
      <c r="BP1058" s="8"/>
    </row>
    <row r="1059" spans="2:68">
      <c r="B1059" t="s">
        <v>644</v>
      </c>
      <c r="P1059" s="912">
        <f>+Q1055</f>
        <v>0.12631371464139982</v>
      </c>
      <c r="Q1059" s="912">
        <f t="shared" ref="Q1059:AE1059" si="4566">+R1055</f>
        <v>0.16</v>
      </c>
      <c r="R1059" s="912">
        <f t="shared" si="4566"/>
        <v>0.14324347681568889</v>
      </c>
      <c r="S1059" s="912">
        <f t="shared" si="4566"/>
        <v>0.15429033145372026</v>
      </c>
      <c r="T1059" s="912">
        <f t="shared" si="4566"/>
        <v>0.15197037356410337</v>
      </c>
      <c r="U1059" s="912">
        <f t="shared" si="4566"/>
        <v>0.15910928657878379</v>
      </c>
      <c r="V1059" s="912">
        <f t="shared" si="4566"/>
        <v>0.14502413322656227</v>
      </c>
      <c r="W1059" s="912">
        <f t="shared" si="4566"/>
        <v>0.12050704885796401</v>
      </c>
      <c r="X1059" s="912">
        <f t="shared" si="4566"/>
        <v>0.15363536010404813</v>
      </c>
      <c r="Y1059" s="912">
        <f t="shared" si="4566"/>
        <v>0.16171448844978725</v>
      </c>
      <c r="Z1059" s="912">
        <f t="shared" si="4566"/>
        <v>0.17445905660873451</v>
      </c>
      <c r="AA1059" s="912">
        <f t="shared" si="4566"/>
        <v>0.20385421219787908</v>
      </c>
      <c r="AB1059" s="912">
        <f t="shared" si="4566"/>
        <v>0.20078497539232981</v>
      </c>
      <c r="AC1059" s="912">
        <f t="shared" si="4566"/>
        <v>0.20149706517047911</v>
      </c>
      <c r="AD1059" s="912">
        <f t="shared" si="4566"/>
        <v>0.16459280637892182</v>
      </c>
      <c r="AE1059" s="912">
        <f t="shared" si="4566"/>
        <v>0.16</v>
      </c>
      <c r="AF1059" s="912"/>
      <c r="BK1059" s="8">
        <f>SUM(R111:U111)</f>
        <v>-18000</v>
      </c>
      <c r="BL1059" s="8">
        <f>SUM(V111:Y111)</f>
        <v>-20600</v>
      </c>
      <c r="BM1059" s="8">
        <f>SUM(Z111:AC111)</f>
        <v>-27500</v>
      </c>
      <c r="BN1059" s="8">
        <f>SUM(AD111:AG111)</f>
        <v>-28400</v>
      </c>
      <c r="BO1059" s="8">
        <f>SUM(AH111:AK111)</f>
        <v>-41200</v>
      </c>
      <c r="BP1059" s="8"/>
    </row>
    <row r="1060" spans="2:68">
      <c r="B1060" t="s">
        <v>645</v>
      </c>
      <c r="P1060" s="912">
        <v>0.16</v>
      </c>
      <c r="Q1060" s="912">
        <v>0.22</v>
      </c>
      <c r="R1060" s="912">
        <v>0.34</v>
      </c>
      <c r="S1060" s="912">
        <v>0.25</v>
      </c>
      <c r="T1060" s="912">
        <v>0.35</v>
      </c>
      <c r="U1060" s="912">
        <v>0.3</v>
      </c>
      <c r="V1060" s="912">
        <v>0.12</v>
      </c>
      <c r="W1060" s="912">
        <v>0.14000000000000001</v>
      </c>
      <c r="X1060" s="912">
        <v>0.18</v>
      </c>
      <c r="Y1060" s="912">
        <v>0.11</v>
      </c>
      <c r="Z1060" s="912">
        <v>0.38</v>
      </c>
      <c r="AA1060" s="912">
        <v>0.25</v>
      </c>
      <c r="AB1060" s="912">
        <v>0.14000000000000001</v>
      </c>
      <c r="AC1060" s="912">
        <v>0.37</v>
      </c>
      <c r="AD1060" s="912">
        <v>0.35</v>
      </c>
      <c r="AE1060" s="912">
        <v>0.35</v>
      </c>
      <c r="AF1060" s="912">
        <v>0.16</v>
      </c>
      <c r="BK1060" s="8">
        <f>+BK1059+BK1058</f>
        <v>43347</v>
      </c>
      <c r="BL1060" s="8">
        <f t="shared" ref="BL1060:BO1060" si="4567">+BL1059+BL1058</f>
        <v>51583</v>
      </c>
      <c r="BM1060" s="8">
        <f t="shared" si="4567"/>
        <v>64116</v>
      </c>
      <c r="BN1060" s="8">
        <f t="shared" si="4567"/>
        <v>69776</v>
      </c>
      <c r="BO1060" s="8">
        <f t="shared" si="4567"/>
        <v>77266</v>
      </c>
      <c r="BP1060" s="8"/>
    </row>
    <row r="1061" spans="2:68">
      <c r="BK1061" s="9">
        <f t="shared" ref="BK1061:BN1061" si="4568">+BK1060/BK1055</f>
        <v>0.32288508666731225</v>
      </c>
      <c r="BL1061" s="9">
        <f t="shared" si="4568"/>
        <v>0.33651914094099838</v>
      </c>
      <c r="BM1061" s="9">
        <f t="shared" si="4568"/>
        <v>0.34675478494129353</v>
      </c>
      <c r="BN1061" s="9">
        <f t="shared" si="4568"/>
        <v>0.34188168197007263</v>
      </c>
      <c r="BO1061" s="9">
        <f>+BO1060/BO1055</f>
        <v>0.33950690517305776</v>
      </c>
      <c r="BP1061" s="9"/>
    </row>
    <row r="1062" spans="2:68">
      <c r="P1062" t="s">
        <v>216</v>
      </c>
      <c r="Q1062" t="s">
        <v>217</v>
      </c>
      <c r="R1062" t="s">
        <v>218</v>
      </c>
      <c r="S1062" t="s">
        <v>219</v>
      </c>
      <c r="T1062" t="s">
        <v>220</v>
      </c>
      <c r="U1062" t="s">
        <v>221</v>
      </c>
      <c r="V1062" t="s">
        <v>222</v>
      </c>
      <c r="W1062" t="s">
        <v>223</v>
      </c>
      <c r="X1062" t="s">
        <v>224</v>
      </c>
      <c r="Y1062" t="s">
        <v>225</v>
      </c>
      <c r="Z1062" t="s">
        <v>226</v>
      </c>
      <c r="AA1062" t="s">
        <v>227</v>
      </c>
      <c r="AB1062" t="s">
        <v>228</v>
      </c>
      <c r="AC1062" t="s">
        <v>229</v>
      </c>
      <c r="AD1062" t="s">
        <v>230</v>
      </c>
      <c r="AE1062" t="s">
        <v>231</v>
      </c>
      <c r="AF1062" t="s">
        <v>232</v>
      </c>
    </row>
    <row r="1063" spans="2:68">
      <c r="B1063" t="s">
        <v>646</v>
      </c>
      <c r="P1063" s="912">
        <f t="shared" ref="P1063:AE1063" si="4569">+P1055+L1055</f>
        <v>0.18546010269785637</v>
      </c>
      <c r="Q1063" s="912">
        <f t="shared" si="4569"/>
        <v>0.12631371464139982</v>
      </c>
      <c r="R1063" s="912">
        <f t="shared" si="4569"/>
        <v>0.16</v>
      </c>
      <c r="S1063" s="912">
        <f t="shared" si="4569"/>
        <v>0.14324347681568889</v>
      </c>
      <c r="T1063" s="912">
        <f t="shared" si="4569"/>
        <v>0.33975043415157663</v>
      </c>
      <c r="U1063" s="912">
        <f t="shared" si="4569"/>
        <v>0.27828408820550321</v>
      </c>
      <c r="V1063" s="912">
        <f t="shared" si="4569"/>
        <v>0.31910928657878379</v>
      </c>
      <c r="W1063" s="912">
        <f t="shared" si="4569"/>
        <v>0.28826761004225115</v>
      </c>
      <c r="X1063" s="912">
        <f t="shared" si="4569"/>
        <v>0.27479738031168427</v>
      </c>
      <c r="Y1063" s="912">
        <f t="shared" si="4569"/>
        <v>0.30560573366815147</v>
      </c>
      <c r="Z1063" s="912">
        <f t="shared" si="4569"/>
        <v>0.32082377502857107</v>
      </c>
      <c r="AA1063" s="912">
        <f t="shared" si="4569"/>
        <v>0.31948318983529678</v>
      </c>
      <c r="AB1063" s="912">
        <f t="shared" si="4569"/>
        <v>0.32436126105584306</v>
      </c>
      <c r="AC1063" s="912">
        <f t="shared" si="4569"/>
        <v>0.35442033549637797</v>
      </c>
      <c r="AD1063" s="912">
        <f t="shared" si="4569"/>
        <v>0.36321155362026636</v>
      </c>
      <c r="AE1063" s="912">
        <f t="shared" si="4569"/>
        <v>0.33905186298765633</v>
      </c>
      <c r="AF1063" s="912">
        <f>+AF1055+AB1055</f>
        <v>0.36385421219787906</v>
      </c>
    </row>
    <row r="1064" spans="2:68">
      <c r="B1064" t="s">
        <v>647</v>
      </c>
      <c r="P1064" s="912">
        <f t="shared" ref="P1064:AE1064" si="4570">+P1056+L1056</f>
        <v>0.25</v>
      </c>
      <c r="Q1064" s="912">
        <f t="shared" si="4570"/>
        <v>0.26</v>
      </c>
      <c r="R1064" s="912">
        <f t="shared" si="4570"/>
        <v>0.52</v>
      </c>
      <c r="S1064" s="912">
        <f t="shared" si="4570"/>
        <v>0.43</v>
      </c>
      <c r="T1064" s="912">
        <f t="shared" si="4570"/>
        <v>0.51</v>
      </c>
      <c r="U1064" s="912">
        <f t="shared" si="4570"/>
        <v>0.52</v>
      </c>
      <c r="V1064" s="912">
        <f t="shared" si="4570"/>
        <v>0.46</v>
      </c>
      <c r="W1064" s="912">
        <f t="shared" si="4570"/>
        <v>0.39</v>
      </c>
      <c r="X1064" s="912">
        <f t="shared" si="4570"/>
        <v>0.53</v>
      </c>
      <c r="Y1064" s="912">
        <f t="shared" si="4570"/>
        <v>0.41</v>
      </c>
      <c r="Z1064" s="912">
        <f t="shared" si="4570"/>
        <v>0.5</v>
      </c>
      <c r="AA1064" s="912">
        <f t="shared" si="4570"/>
        <v>0.39</v>
      </c>
      <c r="AB1064" s="912">
        <f t="shared" si="4570"/>
        <v>0.32</v>
      </c>
      <c r="AC1064" s="912">
        <f t="shared" si="4570"/>
        <v>0.48</v>
      </c>
      <c r="AD1064" s="912">
        <f t="shared" si="4570"/>
        <v>0.73</v>
      </c>
      <c r="AE1064" s="912">
        <f t="shared" si="4570"/>
        <v>0.6</v>
      </c>
      <c r="AF1064" s="912">
        <f>+AF1056+AB1056</f>
        <v>0.30000000000000004</v>
      </c>
    </row>
    <row r="1067" spans="2:68">
      <c r="BK1067" s="8"/>
      <c r="BL1067" s="8"/>
      <c r="BM1067" s="8"/>
      <c r="BN1067" s="8"/>
      <c r="BO1067" s="8"/>
      <c r="BP1067" s="8"/>
    </row>
    <row r="1078" spans="63:68">
      <c r="BK1078" s="8"/>
      <c r="BL1078" s="8"/>
      <c r="BM1078" s="8"/>
      <c r="BN1078" s="8"/>
      <c r="BO1078" s="8"/>
      <c r="BP1078" s="8"/>
    </row>
    <row r="1084" spans="63:68">
      <c r="BK1084" s="8"/>
      <c r="BL1084" s="8"/>
      <c r="BM1084" s="8"/>
      <c r="BN1084" s="8"/>
      <c r="BO1084" s="8"/>
      <c r="BP1084" s="8"/>
    </row>
    <row r="1087" spans="63:68">
      <c r="BK1087" s="8"/>
      <c r="BL1087" s="8"/>
      <c r="BM1087" s="8"/>
      <c r="BN1087" s="8"/>
      <c r="BO1087" s="8"/>
      <c r="BP1087" s="8"/>
    </row>
  </sheetData>
  <hyperlinks>
    <hyperlink ref="T597" r:id="rId1" tooltip="Revenue_x000a_ FY: 2019, FQ: 3_x000a_ Period End Date: Sep-30-2019_x000a_ Filing Date: Oct-29-2020_x000a_ Period Type: Quarterly_x000a_ Value: 1,282.0, Currency: USD, Millions" display="javascript:void(0);" xr:uid="{7A34ABB0-8694-4997-9459-8631A971EDC2}"/>
    <hyperlink ref="U597" r:id="rId2" tooltip="Revenue_x000a_ FY: 2019, FQ: 4_x000a_ Period End Date: Dec-31-2019_x000a_ Filing Date: Feb-23-2021_x000a_ Period Type: Quarterly_x000a_ Value: 1,986.0, Currency: USD, Millions" display="javascript:void(0);" xr:uid="{13A8B1D4-5B36-40AC-8666-7FF132570229}"/>
    <hyperlink ref="V597" r:id="rId3" tooltip="Revenue_x000a_ FY: 2020, FQ: 1_x000a_ Period End Date: Mar-31-2020_x000a_ Filing Date: May-04-2021_x000a_ Period Type: Quarterly_x000a_ Value: 1,788.0, Currency: USD, Millions" display="javascript:void(0);" xr:uid="{CCAE0F21-E0F0-42D6-B9E7-F8D88D96C922}"/>
    <hyperlink ref="W597" r:id="rId4" tooltip="Revenue_x000a_ FY: 2020, FQ: 2_x000a_ Period End Date: Jun-30-2020_x000a_ Filing Date: Aug-03-2021_x000a_ Period Type: Quarterly_x000a_ Value: 1,932.0, Currency: USD, Millions" display="javascript:void(0);" xr:uid="{EE5211F0-23E1-47A5-9A7F-0523987E0430}"/>
    <hyperlink ref="T615" r:id="rId5" tooltip="Operating Income_x000a_ FY: 2019, FQ: 2_x000a_ Period End Date: Jun-30-2019_x000a_ Filing Date: Aug-04-2020_x000a_ Period Type: Quarterly_x000a_ Value: 358.0, Currency: USD, Millions" display="javascript:void(0);" xr:uid="{E4BAE026-7DA0-4504-831C-BF2670F434AC}"/>
    <hyperlink ref="U615" r:id="rId6" tooltip="Operating Income_x000a_ FY: 2019, FQ: 3_x000a_ Period End Date: Sep-30-2019_x000a_ Filing Date: Oct-29-2020_x000a_ Period Type: Quarterly_x000a_ Value: 271.0, Currency: USD, Millions" display="javascript:void(0);" xr:uid="{334C42F9-C3B8-4241-9281-818128F39805}"/>
    <hyperlink ref="V615" r:id="rId7" tooltip="Operating Income_x000a_ FY: 2019, FQ: 4_x000a_ Period End Date: Dec-31-2019_x000a_ Filing Date: Feb-23-2021_x000a_ Period Type: Quarterly_x000a_ Value: 487.0, Currency: USD, Millions" display="javascript:void(0);" xr:uid="{C4E238BF-6AEF-4670-8DA3-A2BDB18B03E4}"/>
    <hyperlink ref="W615" r:id="rId8" tooltip="Operating Income_x000a_ FY: 2020, FQ: 1_x000a_ Period End Date: Mar-31-2020_x000a_ Filing Date: May-04-2021_x000a_ Period Type: Quarterly_x000a_ Value: 635.0, Currency: USD, Millions" display="javascript:void(0);" xr:uid="{4BC416E2-B293-486B-B890-DBDAE3E66750}"/>
  </hyperlinks>
  <pageMargins left="0.3" right="0.3" top="0.3" bottom="0.3" header="0.3" footer="0.3"/>
  <pageSetup scale="43" fitToHeight="0" orientation="landscape" r:id="rId9"/>
  <headerFooter>
    <oddFooter>Page &amp;P</oddFooter>
  </headerFooter>
  <rowBreaks count="10" manualBreakCount="10">
    <brk id="144" min="1" max="63" man="1"/>
    <brk id="248" min="1" max="63" man="1"/>
    <brk id="446" min="1" max="63" man="1"/>
    <brk id="505" min="1" max="63" man="1"/>
    <brk id="619" min="1" max="63" man="1"/>
    <brk id="665" min="1" max="63" man="1"/>
    <brk id="726" min="1" max="63" man="1"/>
    <brk id="811" min="1" max="63" man="1"/>
    <brk id="879" min="1" max="63" man="1"/>
    <brk id="985" min="1" max="63" man="1"/>
  </rowBreaks>
  <drawing r:id="rId10"/>
  <legacyDrawing r:id="rId1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13644-2E9B-4566-992C-D58152C0A71D}">
  <sheetPr>
    <pageSetUpPr fitToPage="1"/>
  </sheetPr>
  <dimension ref="A1:CD148"/>
  <sheetViews>
    <sheetView view="pageBreakPreview" zoomScale="85" zoomScaleNormal="85" zoomScaleSheetLayoutView="85" workbookViewId="0">
      <pane xSplit="15" ySplit="7" topLeftCell="Z8" activePane="bottomRight" state="frozen"/>
      <selection pane="bottomRight" activeCell="J83" sqref="J83"/>
      <selection pane="bottomLeft" activeCell="J83" sqref="J83"/>
      <selection pane="topRight" activeCell="J83" sqref="J83"/>
    </sheetView>
  </sheetViews>
  <sheetFormatPr defaultColWidth="9.33203125" defaultRowHeight="9.9499999999999993" outlineLevelCol="1"/>
  <cols>
    <col min="1" max="1" width="42.83203125" customWidth="1"/>
    <col min="2" max="24" width="9.5" hidden="1" customWidth="1" outlineLevel="1"/>
    <col min="25" max="25" width="10.1640625" hidden="1" customWidth="1" outlineLevel="1"/>
    <col min="26" max="26" width="10.1640625" bestFit="1" customWidth="1" collapsed="1"/>
    <col min="27" max="46" width="10.1640625" bestFit="1" customWidth="1"/>
    <col min="47" max="47" width="10.83203125" customWidth="1"/>
    <col min="48" max="59" width="10.1640625" customWidth="1" outlineLevel="1"/>
    <col min="60" max="61" width="9.5" customWidth="1" outlineLevel="1"/>
    <col min="67" max="69" width="9.5" bestFit="1" customWidth="1"/>
    <col min="70" max="74" width="10.1640625" bestFit="1" customWidth="1"/>
    <col min="75" max="80" width="11.5" bestFit="1" customWidth="1"/>
    <col min="81" max="81" width="9.5" bestFit="1" customWidth="1"/>
  </cols>
  <sheetData>
    <row r="1" spans="1:82" s="1" customFormat="1" ht="10.5">
      <c r="A1" t="s">
        <v>60</v>
      </c>
      <c r="B1" s="228"/>
      <c r="C1" s="228"/>
      <c r="D1" s="228"/>
      <c r="E1" s="228"/>
      <c r="F1" s="228"/>
      <c r="G1" s="228"/>
      <c r="H1" s="228"/>
      <c r="I1" s="228"/>
      <c r="J1" s="228"/>
      <c r="K1" s="228"/>
      <c r="L1" s="228"/>
      <c r="M1" s="228"/>
      <c r="N1" s="228"/>
      <c r="O1" s="228"/>
      <c r="P1" s="228"/>
      <c r="Q1" s="228"/>
      <c r="R1" s="792"/>
      <c r="S1" s="792"/>
      <c r="T1" s="792"/>
      <c r="U1" s="792"/>
      <c r="W1" s="792"/>
      <c r="X1" s="792"/>
      <c r="Y1" s="792"/>
      <c r="AN1" s="240"/>
      <c r="AY1" s="53">
        <f ca="1">TODAY()</f>
        <v>45797</v>
      </c>
    </row>
    <row r="2" spans="1:82" s="2" customFormat="1" ht="10.5">
      <c r="A2" s="2" t="s">
        <v>648</v>
      </c>
      <c r="B2" s="1052"/>
      <c r="C2" s="1052"/>
      <c r="D2" s="1052"/>
      <c r="E2" s="1052"/>
      <c r="F2" s="1052"/>
      <c r="G2" s="1052"/>
      <c r="H2" s="1052"/>
      <c r="I2" s="1052"/>
      <c r="J2" s="1052"/>
      <c r="K2" s="1052"/>
      <c r="L2" s="1052"/>
      <c r="M2" s="1052"/>
      <c r="N2" s="1052"/>
      <c r="O2" s="1052"/>
      <c r="P2" s="1052"/>
      <c r="Q2" s="1052"/>
      <c r="R2" s="1052"/>
      <c r="S2" s="1052"/>
      <c r="T2" s="1052"/>
      <c r="U2" s="1052"/>
      <c r="V2" s="1052"/>
      <c r="W2" s="1052"/>
      <c r="X2" s="1052"/>
      <c r="Y2" s="1052"/>
    </row>
    <row r="3" spans="1:82">
      <c r="A3" s="3" t="s">
        <v>63</v>
      </c>
      <c r="AP3" s="1153"/>
      <c r="AQ3" s="1153"/>
      <c r="AR3" s="1153"/>
      <c r="AS3" s="1153"/>
      <c r="AT3" s="1153"/>
      <c r="AU3" s="1153"/>
    </row>
    <row r="4" spans="1:82" ht="13.5">
      <c r="R4" s="821"/>
      <c r="S4" s="31"/>
      <c r="T4" s="31"/>
      <c r="U4" s="31"/>
      <c r="V4" s="31"/>
      <c r="W4" s="31"/>
      <c r="X4" s="31"/>
      <c r="Y4" s="31"/>
      <c r="Z4" s="821" t="s">
        <v>649</v>
      </c>
      <c r="AA4" s="31"/>
      <c r="AB4" s="31"/>
      <c r="AC4" s="31"/>
      <c r="AD4" s="31"/>
      <c r="AE4" s="31"/>
      <c r="AF4" s="31"/>
      <c r="AG4" s="31"/>
      <c r="AH4" s="31"/>
      <c r="AI4" s="31"/>
      <c r="AJ4" s="31"/>
      <c r="AK4" s="31"/>
      <c r="AL4" s="31"/>
      <c r="AM4" s="31"/>
      <c r="AN4" s="31"/>
      <c r="AO4" s="31"/>
      <c r="AP4" s="31"/>
      <c r="AQ4" s="31"/>
      <c r="AR4" s="31"/>
      <c r="AS4" s="31"/>
      <c r="AT4" s="31"/>
      <c r="AU4" s="31"/>
      <c r="AV4" s="31"/>
      <c r="AW4" s="31"/>
      <c r="AX4" s="31"/>
      <c r="AY4" s="31"/>
    </row>
    <row r="5" spans="1:82" ht="13.5">
      <c r="A5" s="932" t="str">
        <f>+'Windows OEM'!B5</f>
        <v>Calendar Qtrs &gt;&gt;</v>
      </c>
      <c r="R5" s="6" t="str">
        <f>+'Windows OEM'!K5</f>
        <v>1Q17</v>
      </c>
      <c r="S5" s="6" t="str">
        <f>+'Windows OEM'!L5</f>
        <v>2Q17</v>
      </c>
      <c r="T5" s="6" t="str">
        <f>+'Windows OEM'!M5</f>
        <v>3Q17</v>
      </c>
      <c r="U5" s="6" t="str">
        <f>+'Windows OEM'!N5</f>
        <v>4Q17</v>
      </c>
      <c r="V5" s="6" t="str">
        <f>+'Windows OEM'!O5</f>
        <v>1Q18</v>
      </c>
      <c r="W5" s="6" t="str">
        <f>+'Windows OEM'!P5</f>
        <v>2Q18</v>
      </c>
      <c r="X5" s="6" t="str">
        <f>+'Windows OEM'!Q5</f>
        <v>3Q18</v>
      </c>
      <c r="Y5" s="6" t="str">
        <f>+'Windows OEM'!R5</f>
        <v>4Q18</v>
      </c>
      <c r="Z5" s="6" t="str">
        <f>+'Windows OEM'!S5</f>
        <v>1Q19</v>
      </c>
      <c r="AA5" s="6" t="str">
        <f>+'Windows OEM'!T5</f>
        <v>2Q19</v>
      </c>
      <c r="AB5" s="6" t="str">
        <f>+'Windows OEM'!U5</f>
        <v>3Q19</v>
      </c>
      <c r="AC5" s="6" t="str">
        <f>+'Windows OEM'!V5</f>
        <v>4Q19</v>
      </c>
      <c r="AD5" s="6" t="str">
        <f>+'Windows OEM'!W5</f>
        <v>1Q20</v>
      </c>
      <c r="AE5" s="6" t="str">
        <f>+'Windows OEM'!X5</f>
        <v>2Q20</v>
      </c>
      <c r="AF5" s="6" t="str">
        <f>+'Windows OEM'!Y5</f>
        <v>3Q20</v>
      </c>
      <c r="AG5" s="6" t="str">
        <f>+'Windows OEM'!Z5</f>
        <v>4Q20</v>
      </c>
      <c r="AH5" s="6" t="str">
        <f>+'Windows OEM'!AA5</f>
        <v>1Q21</v>
      </c>
      <c r="AI5" s="6" t="str">
        <f>+'Windows OEM'!AB5</f>
        <v>2Q21</v>
      </c>
      <c r="AJ5" s="6" t="str">
        <f>+'Windows OEM'!AC5</f>
        <v>3Q21</v>
      </c>
      <c r="AK5" s="6" t="str">
        <f>+'Windows OEM'!AD5</f>
        <v>4Q21</v>
      </c>
      <c r="AL5" s="6" t="str">
        <f>+'Windows OEM'!AE5</f>
        <v>1Q22</v>
      </c>
      <c r="AM5" s="6" t="str">
        <f>+'Windows OEM'!AF5</f>
        <v>2Q22</v>
      </c>
      <c r="AN5" s="6" t="str">
        <f>+'Windows OEM'!AG5</f>
        <v>3Q22</v>
      </c>
      <c r="AO5" s="6" t="str">
        <f>+'Windows OEM'!AH5</f>
        <v>4Q22</v>
      </c>
      <c r="AP5" s="6" t="str">
        <f>+'Windows OEM'!AI5</f>
        <v>1Q23</v>
      </c>
      <c r="AQ5" s="6" t="str">
        <f>+'Windows OEM'!AJ5</f>
        <v>2Q23</v>
      </c>
      <c r="AR5" s="6" t="str">
        <f>+'Windows OEM'!AK5</f>
        <v>3Q23</v>
      </c>
      <c r="AS5" s="6" t="str">
        <f>+'Windows OEM'!AL5</f>
        <v>4Q23</v>
      </c>
      <c r="AT5" s="6" t="str">
        <f>+'Windows OEM'!AM5</f>
        <v>1Q24</v>
      </c>
      <c r="AU5" s="1066" t="str">
        <f>+'Windows OEM'!AN5</f>
        <v>2Q24</v>
      </c>
      <c r="AV5" s="6" t="str">
        <f>+'Windows OEM'!AO5</f>
        <v>3Q24E</v>
      </c>
      <c r="AW5" s="6" t="str">
        <f>+'Windows OEM'!AP5</f>
        <v>4Q24E</v>
      </c>
      <c r="AX5" s="6" t="str">
        <f>+'Windows OEM'!AQ5</f>
        <v>1Q25E</v>
      </c>
      <c r="AY5" s="6" t="str">
        <f>+'Windows OEM'!AR5</f>
        <v>2Q25E</v>
      </c>
    </row>
    <row r="6" spans="1:82" s="28" customFormat="1">
      <c r="A6" s="932" t="str">
        <f>+'Windows OEM'!B6</f>
        <v>MSFT Qtrs &gt;&gt;</v>
      </c>
      <c r="P6" s="28" t="s">
        <v>650</v>
      </c>
      <c r="Q6" s="28" t="s">
        <v>651</v>
      </c>
      <c r="R6" s="28" t="str">
        <f>+'Windows OEM'!K6</f>
        <v>F3Q17</v>
      </c>
      <c r="S6" s="28" t="str">
        <f>+'Windows OEM'!L6</f>
        <v>F4Q17</v>
      </c>
      <c r="T6" s="28" t="str">
        <f>+'Windows OEM'!M6</f>
        <v>F1Q18</v>
      </c>
      <c r="U6" s="28" t="str">
        <f>+'Windows OEM'!N6</f>
        <v>F2Q18</v>
      </c>
      <c r="V6" s="28" t="str">
        <f>+'Windows OEM'!O6</f>
        <v>F3Q18</v>
      </c>
      <c r="W6" s="28" t="str">
        <f>+'Windows OEM'!P6</f>
        <v>F4Q18</v>
      </c>
      <c r="X6" s="28" t="str">
        <f>+'Windows OEM'!Q6</f>
        <v>F1Q19</v>
      </c>
      <c r="Y6" s="28" t="str">
        <f>+'Windows OEM'!R6</f>
        <v>F2Q19</v>
      </c>
      <c r="Z6" s="28" t="str">
        <f>+'Windows OEM'!S6</f>
        <v>F3Q19</v>
      </c>
      <c r="AA6" s="28" t="str">
        <f>+'Windows OEM'!T6</f>
        <v>F4Q19</v>
      </c>
      <c r="AB6" s="28" t="str">
        <f>+'Windows OEM'!U6</f>
        <v>F1Q20</v>
      </c>
      <c r="AC6" s="28" t="str">
        <f>+'Windows OEM'!V6</f>
        <v>F2Q20</v>
      </c>
      <c r="AD6" s="28" t="str">
        <f>+'Windows OEM'!W6</f>
        <v>F3Q20</v>
      </c>
      <c r="AE6" s="28" t="str">
        <f>+'Windows OEM'!X6</f>
        <v>F4Q20</v>
      </c>
      <c r="AF6" s="28" t="str">
        <f>+'Windows OEM'!Y6</f>
        <v>F1Q21</v>
      </c>
      <c r="AG6" s="28" t="str">
        <f>+'Windows OEM'!Z6</f>
        <v>F2Q21</v>
      </c>
      <c r="AH6" s="28" t="str">
        <f>+'Windows OEM'!AA6</f>
        <v>F3Q21</v>
      </c>
      <c r="AI6" s="28" t="str">
        <f>+'Windows OEM'!AB6</f>
        <v>F4Q21</v>
      </c>
      <c r="AJ6" s="28" t="str">
        <f>+'Windows OEM'!AC6</f>
        <v>F1Q22</v>
      </c>
      <c r="AK6" s="28" t="str">
        <f>+'Windows OEM'!AD6</f>
        <v>F2Q22</v>
      </c>
      <c r="AL6" s="28" t="str">
        <f>+'Windows OEM'!AE6</f>
        <v>F3Q22</v>
      </c>
      <c r="AM6" s="28" t="str">
        <f>+'Windows OEM'!AF6</f>
        <v>F4Q22</v>
      </c>
      <c r="AN6" s="28" t="str">
        <f>+'Windows OEM'!AG6</f>
        <v>F1Q23</v>
      </c>
      <c r="AO6" s="28" t="str">
        <f>+'Windows OEM'!AH6</f>
        <v>F2Q23</v>
      </c>
      <c r="AP6" s="28" t="str">
        <f>+'Windows OEM'!AI6</f>
        <v>F3Q23</v>
      </c>
      <c r="AQ6" s="28" t="str">
        <f>+'Windows OEM'!AJ6</f>
        <v>F4Q23</v>
      </c>
      <c r="AR6" s="28" t="str">
        <f>+'Windows OEM'!AK6</f>
        <v>F1Q24</v>
      </c>
      <c r="AS6" s="28" t="str">
        <f>+'Windows OEM'!AL6</f>
        <v>F2Q24</v>
      </c>
      <c r="AT6" s="28" t="str">
        <f>+'Windows OEM'!AM6</f>
        <v>F3Q24</v>
      </c>
      <c r="AU6" s="1097" t="str">
        <f>+'Windows OEM'!AN6</f>
        <v>F4Q24</v>
      </c>
      <c r="AV6" s="28" t="str">
        <f>+'Windows OEM'!AO6</f>
        <v>F1Q25E</v>
      </c>
      <c r="AW6" s="28" t="str">
        <f>+'Windows OEM'!AP6</f>
        <v>F2Q25E</v>
      </c>
      <c r="AX6" s="28" t="str">
        <f>+'Windows OEM'!AQ6</f>
        <v>F3Q25E</v>
      </c>
      <c r="AY6" s="28" t="str">
        <f>+'Windows OEM'!AR6</f>
        <v>F4Q25E</v>
      </c>
      <c r="BN6" s="28" t="s">
        <v>652</v>
      </c>
    </row>
    <row r="7" spans="1:82" s="3" customFormat="1">
      <c r="B7" s="1116">
        <v>41334</v>
      </c>
      <c r="C7" s="1116">
        <v>41426</v>
      </c>
      <c r="D7" s="1116">
        <v>41518</v>
      </c>
      <c r="E7" s="1116">
        <v>41609</v>
      </c>
      <c r="F7" s="1116">
        <v>41699</v>
      </c>
      <c r="G7" s="1116">
        <v>41791</v>
      </c>
      <c r="H7" s="1116">
        <v>41883</v>
      </c>
      <c r="I7" s="1116">
        <v>41974</v>
      </c>
      <c r="J7" s="1116">
        <v>42064</v>
      </c>
      <c r="K7" s="1116">
        <v>42156</v>
      </c>
      <c r="L7" s="1116">
        <v>42248</v>
      </c>
      <c r="M7" s="1116">
        <v>42339</v>
      </c>
      <c r="N7" s="1116">
        <v>42430</v>
      </c>
      <c r="O7" s="1116">
        <v>42522</v>
      </c>
      <c r="P7" s="1116">
        <v>42614</v>
      </c>
      <c r="Q7" s="1116">
        <v>42705</v>
      </c>
      <c r="R7" s="1116">
        <v>42795</v>
      </c>
      <c r="S7" s="1116">
        <v>42887</v>
      </c>
      <c r="T7" s="1116">
        <v>42979</v>
      </c>
      <c r="U7" s="1116">
        <v>43070</v>
      </c>
      <c r="V7" s="1116">
        <v>43160</v>
      </c>
      <c r="W7" s="1116">
        <v>43252</v>
      </c>
      <c r="X7" s="1116">
        <v>43344</v>
      </c>
      <c r="Y7" s="1116">
        <v>43435</v>
      </c>
      <c r="Z7" s="1116">
        <v>43525</v>
      </c>
      <c r="AA7" s="1116">
        <v>43617</v>
      </c>
      <c r="AB7" s="1116">
        <v>43709</v>
      </c>
      <c r="AC7" s="1116">
        <v>43800</v>
      </c>
      <c r="AD7" s="1116">
        <v>43891</v>
      </c>
      <c r="AE7" s="1116">
        <v>43983</v>
      </c>
      <c r="AF7" s="1116">
        <v>44075</v>
      </c>
      <c r="AG7" s="1116">
        <v>44166</v>
      </c>
      <c r="AH7" s="1116">
        <v>44276</v>
      </c>
      <c r="AI7" s="1116">
        <v>44368</v>
      </c>
      <c r="AJ7" s="1116">
        <v>44460</v>
      </c>
      <c r="AK7" s="1116">
        <v>44551</v>
      </c>
      <c r="AL7" s="1116">
        <v>44642</v>
      </c>
      <c r="AM7" s="1116">
        <v>44734</v>
      </c>
      <c r="AN7" s="1116">
        <v>44826</v>
      </c>
      <c r="AO7" s="1116">
        <v>44917</v>
      </c>
      <c r="AP7" s="1116">
        <v>45008</v>
      </c>
      <c r="AQ7" s="1116">
        <v>45100</v>
      </c>
      <c r="AR7" s="1116">
        <v>45192</v>
      </c>
      <c r="AS7" s="1116">
        <v>45649</v>
      </c>
      <c r="AT7" s="1116">
        <v>45375</v>
      </c>
      <c r="AU7" s="1117" t="s">
        <v>653</v>
      </c>
      <c r="AV7" s="1116" t="s">
        <v>654</v>
      </c>
      <c r="AW7" s="1116" t="s">
        <v>655</v>
      </c>
      <c r="AX7" s="1116" t="s">
        <v>656</v>
      </c>
      <c r="AY7" s="1116" t="s">
        <v>657</v>
      </c>
      <c r="AZ7" s="1116" t="s">
        <v>658</v>
      </c>
      <c r="BA7" s="1116" t="s">
        <v>659</v>
      </c>
      <c r="BB7" s="1116" t="s">
        <v>660</v>
      </c>
      <c r="BC7" s="1116" t="s">
        <v>661</v>
      </c>
      <c r="BD7" s="1116" t="s">
        <v>662</v>
      </c>
      <c r="BE7" s="1116" t="s">
        <v>663</v>
      </c>
      <c r="BF7" s="1116" t="s">
        <v>664</v>
      </c>
      <c r="BG7" s="1116" t="s">
        <v>665</v>
      </c>
      <c r="BH7" s="1116" t="s">
        <v>666</v>
      </c>
      <c r="BI7" s="1116" t="s">
        <v>667</v>
      </c>
      <c r="BO7" s="3" t="s">
        <v>668</v>
      </c>
      <c r="BP7" s="3" t="s">
        <v>669</v>
      </c>
      <c r="BQ7" s="3" t="s">
        <v>670</v>
      </c>
      <c r="BR7" s="3" t="s">
        <v>671</v>
      </c>
      <c r="BS7" s="3" t="s">
        <v>672</v>
      </c>
      <c r="BT7" s="3" t="s">
        <v>673</v>
      </c>
      <c r="BU7" s="3" t="s">
        <v>674</v>
      </c>
      <c r="BV7" s="3" t="s">
        <v>675</v>
      </c>
      <c r="BW7" s="3" t="s">
        <v>676</v>
      </c>
      <c r="BX7" s="3" t="s">
        <v>677</v>
      </c>
      <c r="BY7" s="3" t="s">
        <v>678</v>
      </c>
      <c r="BZ7" s="3" t="s">
        <v>679</v>
      </c>
      <c r="CA7" s="3" t="s">
        <v>680</v>
      </c>
      <c r="CB7" s="3" t="s">
        <v>681</v>
      </c>
      <c r="CC7" s="3" t="s">
        <v>682</v>
      </c>
    </row>
    <row r="8" spans="1:82" ht="10.5">
      <c r="A8" s="45" t="s">
        <v>86</v>
      </c>
      <c r="B8" s="45"/>
      <c r="C8" s="45"/>
      <c r="D8" s="45"/>
      <c r="E8" s="45"/>
      <c r="F8" s="45"/>
      <c r="G8" s="45"/>
      <c r="H8" s="45"/>
      <c r="I8" s="45"/>
      <c r="J8" s="45"/>
      <c r="K8" s="45"/>
      <c r="L8" s="45"/>
      <c r="M8" s="45"/>
      <c r="N8" s="45"/>
      <c r="O8" s="45"/>
      <c r="P8" s="45"/>
      <c r="Q8" s="45"/>
      <c r="R8" s="45"/>
      <c r="S8" s="45"/>
      <c r="AU8" s="1067"/>
      <c r="BN8" s="45" t="s">
        <v>683</v>
      </c>
    </row>
    <row r="9" spans="1:82">
      <c r="A9" t="s">
        <v>684</v>
      </c>
      <c r="B9" s="1118">
        <v>621.30177514792899</v>
      </c>
      <c r="C9" s="1118">
        <v>702.79720279720277</v>
      </c>
      <c r="D9" s="1118">
        <v>817.48251748251755</v>
      </c>
      <c r="E9" s="1118">
        <v>965.98639455782313</v>
      </c>
      <c r="F9" s="1118">
        <v>1050</v>
      </c>
      <c r="G9" s="1118">
        <v>1005</v>
      </c>
      <c r="H9" s="1118">
        <v>1169</v>
      </c>
      <c r="I9" s="1118">
        <v>1420</v>
      </c>
      <c r="J9" s="1118">
        <v>1566</v>
      </c>
      <c r="K9" s="1118">
        <v>1824</v>
      </c>
      <c r="L9" s="1118">
        <v>2085</v>
      </c>
      <c r="M9" s="1118">
        <v>2405</v>
      </c>
      <c r="N9" s="1118">
        <v>2566</v>
      </c>
      <c r="O9" s="1118">
        <v>2886</v>
      </c>
      <c r="P9" s="1118">
        <v>3231</v>
      </c>
      <c r="Q9" s="1118">
        <v>3536</v>
      </c>
      <c r="R9" s="1118">
        <v>3661</v>
      </c>
      <c r="S9" s="1118">
        <v>4100</v>
      </c>
      <c r="T9" s="1118">
        <v>4584</v>
      </c>
      <c r="U9" s="1118">
        <v>5113</v>
      </c>
      <c r="V9" s="1118">
        <v>5442</v>
      </c>
      <c r="W9" s="1118">
        <v>6105</v>
      </c>
      <c r="X9" s="1118">
        <v>6679</v>
      </c>
      <c r="Y9" s="1118">
        <v>7430</v>
      </c>
      <c r="Z9" s="1118">
        <v>7696</v>
      </c>
      <c r="AA9" s="1118">
        <v>8381</v>
      </c>
      <c r="AB9" s="1118">
        <v>8995</v>
      </c>
      <c r="AC9" s="1118">
        <v>9954</v>
      </c>
      <c r="AD9" s="1118">
        <v>10219</v>
      </c>
      <c r="AE9" s="1118">
        <v>10808</v>
      </c>
      <c r="AF9" s="1118">
        <v>11601</v>
      </c>
      <c r="AG9" s="1118">
        <v>12742</v>
      </c>
      <c r="AH9" s="1118">
        <v>13503</v>
      </c>
      <c r="AI9" s="1118">
        <v>14809</v>
      </c>
      <c r="AJ9" s="1118">
        <v>16110</v>
      </c>
      <c r="AK9" s="1118">
        <v>17780</v>
      </c>
      <c r="AL9" s="1118">
        <v>18441</v>
      </c>
      <c r="AM9" s="1118">
        <v>19739</v>
      </c>
      <c r="AN9" s="1118">
        <v>20538</v>
      </c>
      <c r="AO9" s="1118">
        <v>21378</v>
      </c>
      <c r="AP9" s="1118">
        <v>21354</v>
      </c>
      <c r="AQ9" s="1118">
        <v>22140</v>
      </c>
      <c r="AR9" s="1118">
        <v>23059</v>
      </c>
      <c r="AS9" s="1118">
        <v>24204</v>
      </c>
      <c r="AT9" s="1118">
        <v>25037</v>
      </c>
      <c r="AU9" s="1159">
        <v>25980.5</v>
      </c>
      <c r="AV9" s="1118">
        <v>27171.7</v>
      </c>
      <c r="AW9" s="1118">
        <v>28613.7</v>
      </c>
      <c r="AX9" s="1118">
        <v>29552.9</v>
      </c>
      <c r="AY9" s="1118">
        <v>30692.9</v>
      </c>
      <c r="AZ9" s="1118">
        <v>32020.1</v>
      </c>
      <c r="BA9" s="1118">
        <v>33679.699999999997</v>
      </c>
      <c r="BB9" s="1119">
        <v>30870.798249999996</v>
      </c>
      <c r="BC9" s="1119">
        <v>31954.498449999996</v>
      </c>
      <c r="BD9" s="1119">
        <v>33114.646449999993</v>
      </c>
      <c r="BE9" s="1119">
        <v>34639.246449999991</v>
      </c>
      <c r="BF9" s="1119">
        <v>34969.168074999994</v>
      </c>
      <c r="BG9" s="1119">
        <v>36161.238294999996</v>
      </c>
      <c r="BH9" s="1119">
        <v>37437.401094999994</v>
      </c>
      <c r="BI9" s="1119">
        <v>39114.461094999991</v>
      </c>
      <c r="BJ9" t="s">
        <v>685</v>
      </c>
      <c r="BL9" s="1155"/>
      <c r="BN9" t="s">
        <v>86</v>
      </c>
      <c r="BO9" s="1120">
        <f>SUM(B9:E9)</f>
        <v>3107.5678899854724</v>
      </c>
      <c r="BP9" s="1120">
        <f>SUM(F9:I9)</f>
        <v>4644</v>
      </c>
      <c r="BQ9" s="1120">
        <f>SUM(J9:M9)</f>
        <v>7880</v>
      </c>
      <c r="BR9" s="1120">
        <f>SUM(N9:Q9)</f>
        <v>12219</v>
      </c>
      <c r="BS9" s="1120">
        <f>SUM(R9:U9)</f>
        <v>17458</v>
      </c>
      <c r="BT9" s="1120">
        <f>SUM(V9:Y9)</f>
        <v>25656</v>
      </c>
      <c r="BU9" s="1120">
        <f>SUM(Z9:AC9)</f>
        <v>35026</v>
      </c>
      <c r="BV9" s="1120">
        <f>SUM(AD9:AG9)</f>
        <v>45370</v>
      </c>
      <c r="BW9" s="1120">
        <f>SUM(AH9:AK9)</f>
        <v>62202</v>
      </c>
      <c r="BX9" s="1120">
        <f>SUM(AL9:AO9)</f>
        <v>80096</v>
      </c>
      <c r="BY9" s="1120">
        <f>SUM(AP9:AS9)</f>
        <v>90757</v>
      </c>
      <c r="BZ9" s="1120">
        <f>SUM(AT9:AW9)</f>
        <v>106802.9</v>
      </c>
      <c r="CA9" s="1120">
        <f>SUM(AX9:BA9)</f>
        <v>125945.59999999999</v>
      </c>
      <c r="CB9" s="1120">
        <f>SUM(BB9:BE9)</f>
        <v>130579.18959999997</v>
      </c>
      <c r="CC9" s="1120">
        <f>SUM(BF9:BI9)</f>
        <v>147682.26855999997</v>
      </c>
      <c r="CD9" s="1120"/>
    </row>
    <row r="10" spans="1:82">
      <c r="A10" s="100" t="s">
        <v>413</v>
      </c>
      <c r="B10" s="1125"/>
      <c r="C10" s="1125"/>
      <c r="D10" s="1125"/>
      <c r="E10" s="1125"/>
      <c r="F10" s="1125"/>
      <c r="G10" s="1125"/>
      <c r="H10" s="1125"/>
      <c r="I10" s="1125"/>
      <c r="J10" s="1118"/>
      <c r="K10" s="1118"/>
      <c r="L10" s="1118">
        <v>414.65200514338648</v>
      </c>
      <c r="M10" s="1118">
        <v>452.68807449153462</v>
      </c>
      <c r="N10" s="1118">
        <v>560.92431128324688</v>
      </c>
      <c r="O10" s="1118">
        <v>698.3493815782831</v>
      </c>
      <c r="P10" s="1158">
        <f>+'Historical Financials'!H483</f>
        <v>811.41105774531002</v>
      </c>
      <c r="Q10" s="1158">
        <f>+'Historical Financials'!I483</f>
        <v>842.61233252092336</v>
      </c>
      <c r="R10" s="1158">
        <f>+'Historical Financials'!J483</f>
        <v>989.48344752810476</v>
      </c>
      <c r="S10" s="1158">
        <f>+'Historical Financials'!K483</f>
        <v>1295.745337170302</v>
      </c>
      <c r="T10" s="1158">
        <f>+'Historical Financials'!L483</f>
        <v>1542.8557865160546</v>
      </c>
      <c r="U10" s="1158">
        <f>+'Historical Financials'!M483</f>
        <v>1678.1076319210672</v>
      </c>
      <c r="V10" s="1158">
        <f>+'Historical Financials'!N483</f>
        <v>1908.3643867994663</v>
      </c>
      <c r="W10" s="1158">
        <f>+'Historical Financials'!O483</f>
        <v>2473.4224949490526</v>
      </c>
      <c r="X10" s="1158">
        <f>+'Historical Financials'!P483</f>
        <v>2714.5637181541724</v>
      </c>
      <c r="Y10" s="1158">
        <f>+'Historical Financials'!Q483</f>
        <v>2980.0382221601849</v>
      </c>
      <c r="Z10" s="1158">
        <f>+'Historical Financials'!R483</f>
        <v>3303.4116490372553</v>
      </c>
      <c r="AA10" s="1158">
        <f>+'Historical Financials'!S483</f>
        <v>4023.4569447866184</v>
      </c>
      <c r="AB10" s="1158">
        <f>+'Historical Financials'!T483</f>
        <v>4318.4699362640222</v>
      </c>
      <c r="AC10" s="1158">
        <f>+'Historical Financials'!U483</f>
        <v>4827.9539634351177</v>
      </c>
      <c r="AD10" s="1158">
        <f>+'Historical Financials'!V483</f>
        <v>5246.5172272705677</v>
      </c>
      <c r="AE10" s="1158">
        <f>+'Historical Financials'!W483</f>
        <v>5907.4284904647411</v>
      </c>
      <c r="AF10" s="1158">
        <f>+'Historical Financials'!X483</f>
        <v>6387.7208123885985</v>
      </c>
      <c r="AG10" s="1158">
        <f>+'Historical Financials'!Y483</f>
        <v>7239.6495255537848</v>
      </c>
      <c r="AH10" s="1158">
        <f>+'Historical Financials'!Z483</f>
        <v>7858.0017297963759</v>
      </c>
      <c r="AI10" s="1158">
        <f>+'Historical Financials'!AA483</f>
        <v>8927.7595417011344</v>
      </c>
      <c r="AJ10" s="1158">
        <f>+'Historical Financials'!AB483</f>
        <v>9578.9385462084992</v>
      </c>
      <c r="AK10" s="1158">
        <f>+'Historical Financials'!AC483</f>
        <v>10560.788326958758</v>
      </c>
      <c r="AL10" s="1158">
        <f>+'Historical Financials'!AD483</f>
        <v>11429.030011195948</v>
      </c>
      <c r="AM10" s="1158">
        <f>+'Historical Financials'!AE483</f>
        <v>12451.041900270982</v>
      </c>
      <c r="AN10" s="1158">
        <f>+'Historical Financials'!AF483</f>
        <v>12900</v>
      </c>
      <c r="AO10" s="1158">
        <f>+'Historical Financials'!AG483</f>
        <v>13875</v>
      </c>
      <c r="AP10" s="1158">
        <f>+'Historical Financials'!AH483</f>
        <v>14514.868114218854</v>
      </c>
      <c r="AQ10" s="1158">
        <f>+'Historical Financials'!AI483</f>
        <v>15688.312794341438</v>
      </c>
      <c r="AR10" s="1158">
        <f>+'Historical Financials'!AJ483</f>
        <v>16641</v>
      </c>
      <c r="AS10" s="1158">
        <f>+'Historical Financials'!AK483</f>
        <v>18037.5</v>
      </c>
      <c r="AT10" s="1158">
        <f>+'Historical Financials'!AL483</f>
        <v>19014.4772296267</v>
      </c>
      <c r="AU10" s="1203">
        <f>+'Historical Financials'!AM483</f>
        <v>20237.923504700455</v>
      </c>
      <c r="AV10" s="1119">
        <f>+AR10*(1+AV15)</f>
        <v>21554.94382798568</v>
      </c>
      <c r="AW10" s="1119">
        <f t="shared" ref="AW10" si="0">+AS10*(1+AW15)</f>
        <v>23671.383996946024</v>
      </c>
      <c r="AX10" s="1119">
        <f t="shared" ref="AX10" si="1">+AT10*(1+AX15)</f>
        <v>25033.588096636504</v>
      </c>
      <c r="AY10" s="1119">
        <f t="shared" ref="AY10" si="2">+AU10*(1+AY15)</f>
        <v>26713.110719455733</v>
      </c>
      <c r="AZ10" s="1119">
        <v>24878.197906907655</v>
      </c>
      <c r="BA10" s="1119">
        <v>25862.722945882422</v>
      </c>
      <c r="BB10" s="1119">
        <v>27048.02505869326</v>
      </c>
      <c r="BC10" s="1119">
        <v>27976.333655539107</v>
      </c>
      <c r="BD10" s="1119">
        <v>28530.744729012018</v>
      </c>
      <c r="BE10" s="1119">
        <v>29398.488044637452</v>
      </c>
      <c r="BF10" s="1119">
        <v>30528.360839585672</v>
      </c>
      <c r="BG10" s="1119">
        <v>31343.413713709495</v>
      </c>
      <c r="BH10" s="1119"/>
      <c r="BI10" s="1119"/>
      <c r="BL10" s="1155"/>
      <c r="BN10" t="s">
        <v>86</v>
      </c>
      <c r="BO10" s="1119"/>
      <c r="BP10" s="1120">
        <f>SUM(F10:I10)</f>
        <v>0</v>
      </c>
      <c r="BQ10" s="1120">
        <f>SUM(J10:M10)</f>
        <v>867.34007963492104</v>
      </c>
      <c r="BR10" s="1120">
        <f>SUM(N10:Q10)</f>
        <v>2913.297083127763</v>
      </c>
      <c r="BS10" s="1120">
        <f>SUM(R10:U10)</f>
        <v>5506.1922031355289</v>
      </c>
      <c r="BT10" s="1120">
        <f>SUM(V10:Y10)</f>
        <v>10076.388822062876</v>
      </c>
      <c r="BU10" s="1120">
        <f>SUM(Z10:AC10)</f>
        <v>16473.292493523015</v>
      </c>
      <c r="BV10" s="1120">
        <f>SUM(AD10:AG10)</f>
        <v>24781.316055677693</v>
      </c>
      <c r="BW10" s="1120">
        <f>SUM(AH10:AK10)</f>
        <v>36925.488144664763</v>
      </c>
      <c r="BX10" s="1120">
        <f>SUM(AL10:AO10)</f>
        <v>50655.071911466934</v>
      </c>
      <c r="BY10" s="1120">
        <f>SUM(AP10:AS10)</f>
        <v>64881.680908560294</v>
      </c>
      <c r="BZ10" s="1120">
        <f>SUM(AT10:AW10)</f>
        <v>84478.72855925886</v>
      </c>
      <c r="CA10" s="1120">
        <f>SUM(AX10:BA10)</f>
        <v>102487.61966888231</v>
      </c>
      <c r="CB10" s="1120">
        <f>SUM(BB10:BE10)</f>
        <v>112953.59148788184</v>
      </c>
      <c r="CC10" s="1120"/>
      <c r="CD10" s="1120"/>
    </row>
    <row r="11" spans="1:82">
      <c r="A11" t="s">
        <v>686</v>
      </c>
      <c r="T11" s="41"/>
      <c r="U11" s="41"/>
      <c r="V11" s="41"/>
      <c r="W11" s="41"/>
      <c r="X11" s="41"/>
      <c r="Y11" s="1118">
        <v>1709</v>
      </c>
      <c r="Z11" s="1118">
        <v>1825</v>
      </c>
      <c r="AA11" s="1118">
        <v>2100</v>
      </c>
      <c r="AB11" s="1118">
        <v>2379</v>
      </c>
      <c r="AC11" s="1118">
        <v>2614</v>
      </c>
      <c r="AD11" s="1118">
        <v>2777</v>
      </c>
      <c r="AE11" s="1118">
        <v>3007</v>
      </c>
      <c r="AF11" s="1118">
        <v>3444</v>
      </c>
      <c r="AG11" s="1118">
        <v>3831</v>
      </c>
      <c r="AH11" s="1118">
        <v>4047</v>
      </c>
      <c r="AI11" s="1118">
        <v>4628</v>
      </c>
      <c r="AJ11" s="1118">
        <v>4990</v>
      </c>
      <c r="AK11" s="1118">
        <v>5541</v>
      </c>
      <c r="AL11" s="1118">
        <v>5821</v>
      </c>
      <c r="AM11" s="1118">
        <v>6276</v>
      </c>
      <c r="AN11" s="1118">
        <v>6868</v>
      </c>
      <c r="AO11" s="1118">
        <v>7315</v>
      </c>
      <c r="AP11" s="1118">
        <v>7454</v>
      </c>
      <c r="AQ11" s="1118">
        <v>8031</v>
      </c>
      <c r="AR11" s="1118">
        <v>8411</v>
      </c>
      <c r="AS11" s="1118">
        <v>9192</v>
      </c>
      <c r="AT11" s="1118">
        <v>9574</v>
      </c>
      <c r="AU11" s="1159">
        <v>10038</v>
      </c>
      <c r="AV11" s="1118">
        <v>10554</v>
      </c>
      <c r="AW11" s="1118">
        <v>11441</v>
      </c>
      <c r="AX11" s="1118">
        <v>11511</v>
      </c>
      <c r="AY11" s="1118">
        <v>12317</v>
      </c>
      <c r="AZ11" s="1118">
        <v>12722.6</v>
      </c>
      <c r="BA11" s="1118">
        <v>13741.7</v>
      </c>
      <c r="BB11" s="1119">
        <v>12883.076097694286</v>
      </c>
      <c r="BC11" s="1119">
        <v>13402.782077288572</v>
      </c>
      <c r="BD11" s="1119">
        <v>14764.843677685056</v>
      </c>
      <c r="BE11" s="1119">
        <v>15539.463664620002</v>
      </c>
      <c r="BF11" s="1119">
        <v>15382.007737870028</v>
      </c>
      <c r="BG11" s="1119">
        <v>16011.155313155914</v>
      </c>
      <c r="BH11" s="1119">
        <v>17676.400302028502</v>
      </c>
      <c r="BI11" s="1119">
        <v>18619.0921063434</v>
      </c>
      <c r="BJ11" t="s">
        <v>685</v>
      </c>
      <c r="BL11" s="1155"/>
      <c r="BN11" t="s">
        <v>86</v>
      </c>
      <c r="BO11" s="1119"/>
      <c r="BP11" s="1120"/>
      <c r="BQ11" s="1120"/>
      <c r="BR11" s="1120"/>
      <c r="BS11" s="1120"/>
      <c r="BT11" s="1120">
        <f>SUM(V11:Y11)</f>
        <v>1709</v>
      </c>
      <c r="BU11" s="1120">
        <f>SUM(Z11:AC11)</f>
        <v>8918</v>
      </c>
      <c r="BV11" s="1120">
        <f>SUM(AD11:AG11)</f>
        <v>13059</v>
      </c>
      <c r="BW11" s="1120">
        <f>SUM(AH11:AK11)</f>
        <v>19206</v>
      </c>
      <c r="BX11" s="1120">
        <f>SUM(AL11:AO11)</f>
        <v>26280</v>
      </c>
      <c r="BY11" s="1120">
        <f>SUM(AP11:AS11)</f>
        <v>33088</v>
      </c>
      <c r="BZ11" s="1120">
        <f>SUM(AT11:AW11)</f>
        <v>41607</v>
      </c>
      <c r="CA11" s="1120">
        <f>SUM(AX11:BA11)</f>
        <v>50292.3</v>
      </c>
      <c r="CB11" s="1120">
        <f>SUM(BB11:BE11)</f>
        <v>56590.165517287918</v>
      </c>
      <c r="CC11" s="1120">
        <f>SUM(BF11:BI11)</f>
        <v>67688.655459397851</v>
      </c>
      <c r="CD11" s="1120"/>
    </row>
    <row r="12" spans="1:82">
      <c r="A12" s="13"/>
      <c r="B12" s="13"/>
      <c r="C12" s="13"/>
      <c r="D12" s="13"/>
      <c r="E12" s="13"/>
      <c r="F12" s="833"/>
      <c r="G12" s="833"/>
      <c r="H12" s="833"/>
      <c r="I12" s="833"/>
      <c r="J12" s="833"/>
      <c r="K12" s="833"/>
      <c r="L12" s="833"/>
      <c r="M12" s="833"/>
      <c r="N12" s="833"/>
      <c r="O12" s="833"/>
      <c r="P12" s="833"/>
      <c r="Q12" s="833"/>
      <c r="R12" s="833"/>
      <c r="S12" s="833"/>
      <c r="T12" s="833"/>
      <c r="U12" s="833"/>
      <c r="V12" s="833"/>
      <c r="W12" s="833"/>
      <c r="X12" s="833"/>
      <c r="Y12" s="833"/>
      <c r="Z12" s="833"/>
      <c r="AA12" s="833"/>
      <c r="AB12" s="833"/>
      <c r="AC12" s="833"/>
      <c r="AD12" s="833"/>
      <c r="AE12" s="833"/>
      <c r="AF12" s="833"/>
      <c r="AG12" s="833"/>
      <c r="AH12" s="833"/>
      <c r="AI12" s="833"/>
      <c r="AJ12" s="833"/>
      <c r="AK12" s="833"/>
      <c r="AL12" s="833"/>
      <c r="AM12" s="833"/>
      <c r="AN12" s="833"/>
      <c r="AO12" s="1122"/>
      <c r="AP12" s="1122"/>
      <c r="AQ12" s="1122"/>
      <c r="AR12" s="1122"/>
      <c r="AS12" s="1122"/>
      <c r="AT12" s="1122"/>
      <c r="AU12" s="1121"/>
      <c r="AV12" s="1122"/>
      <c r="AW12" s="1122"/>
      <c r="AX12" s="1122"/>
      <c r="AY12" s="1122"/>
      <c r="AZ12" s="1122"/>
      <c r="BA12" s="1122"/>
      <c r="BB12" s="1122"/>
      <c r="BC12" s="1122"/>
      <c r="BD12" s="1122"/>
      <c r="BE12" s="1122"/>
      <c r="BF12" s="1122"/>
      <c r="BG12" s="1122"/>
      <c r="BH12" s="1122"/>
      <c r="BI12" s="1122"/>
      <c r="BL12" s="1155"/>
      <c r="BN12" s="13"/>
      <c r="BO12" s="1122"/>
      <c r="BP12" s="1122"/>
      <c r="BQ12" s="1122"/>
      <c r="BR12" s="1122"/>
      <c r="BS12" s="1122"/>
      <c r="BT12" s="1122"/>
      <c r="BU12" s="1122"/>
      <c r="BV12" s="1122"/>
      <c r="BW12" s="1122"/>
      <c r="BX12" s="1122"/>
      <c r="BY12" s="1122"/>
      <c r="BZ12" s="1122"/>
      <c r="CA12" s="1122"/>
      <c r="CB12" s="1122"/>
      <c r="CC12" s="1122"/>
      <c r="CD12" s="1122"/>
    </row>
    <row r="13" spans="1:82" ht="10.5">
      <c r="A13" s="45" t="s">
        <v>113</v>
      </c>
      <c r="B13" s="45"/>
      <c r="C13" s="45"/>
      <c r="D13" s="45"/>
      <c r="E13" s="45"/>
      <c r="F13" s="45"/>
      <c r="G13" s="45"/>
      <c r="H13" s="45"/>
      <c r="I13" s="45"/>
      <c r="J13" s="45"/>
      <c r="K13" s="45"/>
      <c r="L13" s="45"/>
      <c r="M13" s="45"/>
      <c r="N13" s="45"/>
      <c r="O13" s="45"/>
      <c r="P13" s="45"/>
      <c r="Q13" s="45"/>
      <c r="R13" s="45"/>
      <c r="S13" s="45"/>
      <c r="AU13" s="1067"/>
      <c r="BL13" s="1155"/>
      <c r="BN13" s="45"/>
    </row>
    <row r="14" spans="1:82">
      <c r="A14" s="843" t="str">
        <f>+A9</f>
        <v>AWS (cons. forecast)</v>
      </c>
      <c r="B14" s="12"/>
      <c r="C14" s="12"/>
      <c r="D14" s="12"/>
      <c r="E14" s="12"/>
      <c r="F14" s="1146">
        <f t="shared" ref="F14:AP14" si="3">F9/B9-1</f>
        <v>0.69</v>
      </c>
      <c r="G14" s="1146">
        <f t="shared" si="3"/>
        <v>0.43000000000000016</v>
      </c>
      <c r="H14" s="1146">
        <f t="shared" si="3"/>
        <v>0.42999999999999994</v>
      </c>
      <c r="I14" s="1146">
        <f t="shared" si="3"/>
        <v>0.47</v>
      </c>
      <c r="J14" s="1146">
        <f t="shared" si="3"/>
        <v>0.49142857142857133</v>
      </c>
      <c r="K14" s="1146">
        <f t="shared" si="3"/>
        <v>0.81492537313432845</v>
      </c>
      <c r="L14" s="1146">
        <f t="shared" si="3"/>
        <v>0.78357570573139435</v>
      </c>
      <c r="M14" s="1146">
        <f t="shared" si="3"/>
        <v>0.69366197183098599</v>
      </c>
      <c r="N14" s="1146">
        <f t="shared" si="3"/>
        <v>0.63856960408684538</v>
      </c>
      <c r="O14" s="1146">
        <f t="shared" si="3"/>
        <v>0.58223684210526305</v>
      </c>
      <c r="P14" s="1146">
        <f t="shared" si="3"/>
        <v>0.54964028776978413</v>
      </c>
      <c r="Q14" s="1146">
        <f t="shared" si="3"/>
        <v>0.47027027027027035</v>
      </c>
      <c r="R14" s="1147">
        <f t="shared" si="3"/>
        <v>0.42673421667965705</v>
      </c>
      <c r="S14" s="1147">
        <f t="shared" si="3"/>
        <v>0.42065142065142069</v>
      </c>
      <c r="T14" s="1147">
        <f t="shared" si="3"/>
        <v>0.41875580315691741</v>
      </c>
      <c r="U14" s="1147">
        <f t="shared" si="3"/>
        <v>0.44598416289592757</v>
      </c>
      <c r="V14" s="1147">
        <f t="shared" si="3"/>
        <v>0.48647910406992634</v>
      </c>
      <c r="W14" s="1147">
        <f t="shared" si="3"/>
        <v>0.48902439024390243</v>
      </c>
      <c r="X14" s="1147">
        <f t="shared" si="3"/>
        <v>0.45702443280977323</v>
      </c>
      <c r="Y14" s="1147">
        <f t="shared" si="3"/>
        <v>0.45315861529434764</v>
      </c>
      <c r="Z14" s="1147">
        <f t="shared" si="3"/>
        <v>0.41418596104373395</v>
      </c>
      <c r="AA14" s="1147">
        <f t="shared" si="3"/>
        <v>0.37280917280917292</v>
      </c>
      <c r="AB14" s="1147">
        <f t="shared" si="3"/>
        <v>0.34675849678095516</v>
      </c>
      <c r="AC14" s="1147">
        <f t="shared" si="3"/>
        <v>0.33970390309555865</v>
      </c>
      <c r="AD14" s="1147">
        <f t="shared" si="3"/>
        <v>0.32783264033264037</v>
      </c>
      <c r="AE14" s="1147">
        <f t="shared" si="3"/>
        <v>0.28958358191146649</v>
      </c>
      <c r="AF14" s="1147">
        <f t="shared" si="3"/>
        <v>0.28971650917176217</v>
      </c>
      <c r="AG14" s="1147">
        <f t="shared" si="3"/>
        <v>0.28008840667068524</v>
      </c>
      <c r="AH14" s="1147">
        <f t="shared" si="3"/>
        <v>0.32136216850963883</v>
      </c>
      <c r="AI14" s="1147">
        <f t="shared" si="3"/>
        <v>0.37018874907475952</v>
      </c>
      <c r="AJ14" s="1147">
        <f t="shared" si="3"/>
        <v>0.3886733902249806</v>
      </c>
      <c r="AK14" s="1147">
        <f t="shared" si="3"/>
        <v>0.39538533982106427</v>
      </c>
      <c r="AL14" s="1147">
        <f t="shared" si="3"/>
        <v>0.36569651188624741</v>
      </c>
      <c r="AM14" s="1147">
        <f t="shared" si="3"/>
        <v>0.33290566547369838</v>
      </c>
      <c r="AN14" s="1147">
        <f t="shared" si="3"/>
        <v>0.27486033519553077</v>
      </c>
      <c r="AO14" s="1147">
        <f t="shared" si="3"/>
        <v>0.20236220472440936</v>
      </c>
      <c r="AP14" s="1147">
        <f t="shared" si="3"/>
        <v>0.157963234097934</v>
      </c>
      <c r="AQ14" s="1147">
        <f t="shared" ref="AQ14:AU14" si="4">AQ9/AM9-1</f>
        <v>0.12163736764780375</v>
      </c>
      <c r="AR14" s="1147">
        <f t="shared" si="4"/>
        <v>0.1227480767358069</v>
      </c>
      <c r="AS14" s="1147">
        <f t="shared" si="4"/>
        <v>0.13219197305641317</v>
      </c>
      <c r="AT14" s="1147">
        <f t="shared" si="4"/>
        <v>0.17247354125690739</v>
      </c>
      <c r="AU14" s="1148">
        <f t="shared" si="4"/>
        <v>0.17346431797651318</v>
      </c>
      <c r="AV14" s="1149">
        <f t="shared" ref="AV14:BI14" si="5">AV9/AR9-1</f>
        <v>0.17835552278936651</v>
      </c>
      <c r="AW14" s="1149">
        <f t="shared" si="5"/>
        <v>0.1821888943976202</v>
      </c>
      <c r="AX14" s="1149">
        <f t="shared" si="5"/>
        <v>0.18036905380037549</v>
      </c>
      <c r="AY14" s="1149">
        <f t="shared" si="5"/>
        <v>0.18138219048902071</v>
      </c>
      <c r="AZ14" s="1149">
        <f t="shared" si="5"/>
        <v>0.17843565179948251</v>
      </c>
      <c r="BA14" s="1149">
        <f t="shared" si="5"/>
        <v>0.17704805739907803</v>
      </c>
      <c r="BB14" s="1149">
        <f t="shared" si="5"/>
        <v>4.459454909670435E-2</v>
      </c>
      <c r="BC14" s="1149">
        <f t="shared" si="5"/>
        <v>4.1103918170000142E-2</v>
      </c>
      <c r="BD14" s="1149">
        <f t="shared" si="5"/>
        <v>3.4183105299483652E-2</v>
      </c>
      <c r="BE14" s="1149">
        <f t="shared" si="5"/>
        <v>2.8490350270340636E-2</v>
      </c>
      <c r="BF14" s="1149">
        <f t="shared" si="5"/>
        <v>0.13275879009704572</v>
      </c>
      <c r="BG14" s="1149">
        <f t="shared" si="5"/>
        <v>0.13164781326743058</v>
      </c>
      <c r="BH14" s="1149">
        <f t="shared" si="5"/>
        <v>0.13053905472090599</v>
      </c>
      <c r="BI14" s="1149">
        <f t="shared" si="5"/>
        <v>0.12919491916372228</v>
      </c>
      <c r="BL14" s="1155"/>
      <c r="BN14" s="12" t="s">
        <v>687</v>
      </c>
      <c r="BO14" s="1149"/>
      <c r="BP14" s="1149">
        <f t="shared" ref="BP14:CC14" si="6">BP9/BO9-1</f>
        <v>0.49441626519757542</v>
      </c>
      <c r="BQ14" s="1149">
        <f t="shared" si="6"/>
        <v>0.69681309216192933</v>
      </c>
      <c r="BR14" s="1149">
        <f t="shared" si="6"/>
        <v>0.55063451776649752</v>
      </c>
      <c r="BS14" s="1149">
        <f t="shared" si="6"/>
        <v>0.42875849087486695</v>
      </c>
      <c r="BT14" s="1149">
        <f t="shared" si="6"/>
        <v>0.46958414480467403</v>
      </c>
      <c r="BU14" s="1149">
        <f t="shared" si="6"/>
        <v>0.36521671343935136</v>
      </c>
      <c r="BV14" s="1149">
        <f t="shared" si="6"/>
        <v>0.29532347399074976</v>
      </c>
      <c r="BW14" s="1149">
        <f t="shared" si="6"/>
        <v>0.37099404893101173</v>
      </c>
      <c r="BX14" s="1149">
        <f t="shared" si="6"/>
        <v>0.28767563743931057</v>
      </c>
      <c r="BY14" s="1149">
        <f t="shared" si="6"/>
        <v>0.13310277666799841</v>
      </c>
      <c r="BZ14" s="1149">
        <f t="shared" si="6"/>
        <v>0.17680068755027145</v>
      </c>
      <c r="CA14" s="1149">
        <f t="shared" si="6"/>
        <v>0.17923389720691096</v>
      </c>
      <c r="CB14" s="1149">
        <f t="shared" si="6"/>
        <v>3.6790404746176009E-2</v>
      </c>
      <c r="CC14" s="1149">
        <f t="shared" si="6"/>
        <v>0.13097859630153508</v>
      </c>
      <c r="CD14" s="1149"/>
    </row>
    <row r="15" spans="1:82">
      <c r="A15" s="843" t="str">
        <f>+A10</f>
        <v>Azure</v>
      </c>
      <c r="B15" s="1125"/>
      <c r="C15" s="1125"/>
      <c r="D15" s="1125"/>
      <c r="E15" s="1125"/>
      <c r="F15" s="1125"/>
      <c r="G15" s="1125"/>
      <c r="H15" s="1125"/>
      <c r="I15" s="1125"/>
      <c r="J15" s="1118"/>
      <c r="K15" s="1118"/>
      <c r="L15" s="1118"/>
      <c r="M15" s="1118"/>
      <c r="N15" s="1118"/>
      <c r="O15" s="1118"/>
      <c r="P15" s="1118"/>
      <c r="Q15" s="1118"/>
      <c r="R15" s="1147">
        <f t="shared" ref="R15:AU15" si="7">R10/N10-1</f>
        <v>0.76402310904376325</v>
      </c>
      <c r="S15" s="1147">
        <f t="shared" si="7"/>
        <v>0.8554399436022877</v>
      </c>
      <c r="T15" s="1147">
        <f t="shared" si="7"/>
        <v>0.90144781955921327</v>
      </c>
      <c r="U15" s="1147">
        <f t="shared" si="7"/>
        <v>0.99155360912000079</v>
      </c>
      <c r="V15" s="1147">
        <f t="shared" si="7"/>
        <v>0.92864710528193251</v>
      </c>
      <c r="W15" s="1147">
        <f t="shared" si="7"/>
        <v>0.90888010475160708</v>
      </c>
      <c r="X15" s="1147">
        <f t="shared" si="7"/>
        <v>0.75944099369388796</v>
      </c>
      <c r="Y15" s="1147">
        <f t="shared" si="7"/>
        <v>0.77583258992076165</v>
      </c>
      <c r="Z15" s="1147">
        <f t="shared" si="7"/>
        <v>0.73101723752948167</v>
      </c>
      <c r="AA15" s="1147">
        <f t="shared" si="7"/>
        <v>0.62667597347516368</v>
      </c>
      <c r="AB15" s="1147">
        <f t="shared" si="7"/>
        <v>0.59085230064168881</v>
      </c>
      <c r="AC15" s="1147">
        <f t="shared" si="7"/>
        <v>0.62009799992947956</v>
      </c>
      <c r="AD15" s="1147">
        <f t="shared" si="7"/>
        <v>0.58821175943955106</v>
      </c>
      <c r="AE15" s="1147">
        <f t="shared" si="7"/>
        <v>0.46824697555649819</v>
      </c>
      <c r="AF15" s="1147">
        <f t="shared" si="7"/>
        <v>0.47916296898311139</v>
      </c>
      <c r="AG15" s="1147">
        <f t="shared" si="7"/>
        <v>0.49952745622344996</v>
      </c>
      <c r="AH15" s="1147">
        <f t="shared" si="7"/>
        <v>0.49775582341590807</v>
      </c>
      <c r="AI15" s="1147">
        <f t="shared" si="7"/>
        <v>0.51127678584879188</v>
      </c>
      <c r="AJ15" s="1147">
        <f t="shared" si="7"/>
        <v>0.49958628868543009</v>
      </c>
      <c r="AK15" s="1147">
        <f t="shared" si="7"/>
        <v>0.45874303578955766</v>
      </c>
      <c r="AL15" s="1147">
        <f t="shared" si="7"/>
        <v>0.45444483269312119</v>
      </c>
      <c r="AM15" s="1147">
        <f t="shared" si="7"/>
        <v>0.39464350961882055</v>
      </c>
      <c r="AN15" s="1147">
        <f t="shared" si="7"/>
        <v>0.34670453701846027</v>
      </c>
      <c r="AO15" s="1147">
        <f t="shared" si="7"/>
        <v>0.3138223748487583</v>
      </c>
      <c r="AP15" s="1147">
        <f t="shared" si="7"/>
        <v>0.27</v>
      </c>
      <c r="AQ15" s="1147">
        <f t="shared" si="7"/>
        <v>0.26</v>
      </c>
      <c r="AR15" s="1147">
        <f t="shared" si="7"/>
        <v>0.29000000000000004</v>
      </c>
      <c r="AS15" s="1147">
        <f t="shared" si="7"/>
        <v>0.30000000000000004</v>
      </c>
      <c r="AT15" s="1147">
        <f t="shared" si="7"/>
        <v>0.31000000000000005</v>
      </c>
      <c r="AU15" s="1148">
        <f t="shared" si="7"/>
        <v>0.29000000000000004</v>
      </c>
      <c r="AV15" s="1147">
        <f>+AV25+'Historical Financials'!AN1024</f>
        <v>0.29529137840187986</v>
      </c>
      <c r="AW15" s="1147">
        <f>+AW25+'Historical Financials'!AO1024</f>
        <v>0.31234284113352873</v>
      </c>
      <c r="AX15" s="1147">
        <f>+AX25+'Historical Financials'!AP1024</f>
        <v>0.31655410739514561</v>
      </c>
      <c r="AY15" s="1147">
        <f>+AY25+'Historical Financials'!AQ1024</f>
        <v>0.31995314209243619</v>
      </c>
      <c r="AZ15" s="1119"/>
      <c r="BA15" s="1119"/>
      <c r="BB15" s="1119"/>
      <c r="BC15" s="1119"/>
      <c r="BD15" s="1119"/>
      <c r="BE15" s="1119"/>
      <c r="BF15" s="1119"/>
      <c r="BG15" s="1119"/>
      <c r="BH15" s="1119"/>
      <c r="BI15" s="1119"/>
      <c r="BO15" s="1119"/>
      <c r="BP15" s="1120"/>
      <c r="BQ15" s="1120"/>
      <c r="BR15" s="1120"/>
      <c r="BS15" s="1120"/>
      <c r="BT15" s="1120"/>
      <c r="BU15" s="1120"/>
      <c r="BV15" s="1120"/>
      <c r="BW15" s="1120"/>
      <c r="BX15" s="1120"/>
      <c r="BY15" s="1120"/>
      <c r="BZ15" s="1120"/>
      <c r="CA15" s="1120"/>
      <c r="CB15" s="1120"/>
      <c r="CC15" s="1120"/>
      <c r="CD15" s="1120"/>
    </row>
    <row r="16" spans="1:82">
      <c r="A16" s="843" t="str">
        <f>+A11</f>
        <v>Google Cloud (cons. forecast)</v>
      </c>
      <c r="B16" s="12"/>
      <c r="C16" s="12"/>
      <c r="D16" s="12"/>
      <c r="E16" s="12"/>
      <c r="F16" s="12"/>
      <c r="G16" s="1146"/>
      <c r="H16" s="1146"/>
      <c r="I16" s="1146"/>
      <c r="J16" s="1146"/>
      <c r="K16" s="1146"/>
      <c r="L16" s="1146"/>
      <c r="M16" s="1146"/>
      <c r="N16" s="1146"/>
      <c r="O16" s="1146"/>
      <c r="P16" s="1146"/>
      <c r="Q16" s="1146"/>
      <c r="R16" s="1147"/>
      <c r="S16" s="1147"/>
      <c r="T16" s="1147"/>
      <c r="U16" s="1147"/>
      <c r="V16" s="1147"/>
      <c r="W16" s="1147"/>
      <c r="X16" s="1147"/>
      <c r="Y16" s="1147"/>
      <c r="Z16" s="1147"/>
      <c r="AA16" s="1147"/>
      <c r="AB16" s="1147"/>
      <c r="AC16" s="1147">
        <f t="shared" ref="AC16:BI16" si="8">AC11/Y11-1</f>
        <v>0.529549444119368</v>
      </c>
      <c r="AD16" s="1147">
        <f t="shared" si="8"/>
        <v>0.52164383561643834</v>
      </c>
      <c r="AE16" s="1147">
        <f t="shared" si="8"/>
        <v>0.43190476190476201</v>
      </c>
      <c r="AF16" s="1147">
        <f t="shared" si="8"/>
        <v>0.44766708701134927</v>
      </c>
      <c r="AG16" s="1147">
        <f t="shared" si="8"/>
        <v>0.46557000765110934</v>
      </c>
      <c r="AH16" s="1147">
        <f t="shared" si="8"/>
        <v>0.4573280518545193</v>
      </c>
      <c r="AI16" s="1147">
        <f t="shared" si="8"/>
        <v>0.53907549052211512</v>
      </c>
      <c r="AJ16" s="1147">
        <f t="shared" si="8"/>
        <v>0.44889663182346107</v>
      </c>
      <c r="AK16" s="1147">
        <f t="shared" si="8"/>
        <v>0.44635865309318712</v>
      </c>
      <c r="AL16" s="1147">
        <f t="shared" si="8"/>
        <v>0.4383493946132937</v>
      </c>
      <c r="AM16" s="1147">
        <f t="shared" si="8"/>
        <v>0.35609334485738975</v>
      </c>
      <c r="AN16" s="1147">
        <f t="shared" si="8"/>
        <v>0.37635270541082155</v>
      </c>
      <c r="AO16" s="1147">
        <f t="shared" si="8"/>
        <v>0.3201588160981772</v>
      </c>
      <c r="AP16" s="1147">
        <f t="shared" si="8"/>
        <v>0.28053599037965982</v>
      </c>
      <c r="AQ16" s="1147">
        <f t="shared" si="8"/>
        <v>0.2796367112810707</v>
      </c>
      <c r="AR16" s="1147">
        <f t="shared" si="8"/>
        <v>0.22466511357018049</v>
      </c>
      <c r="AS16" s="1147">
        <f t="shared" si="8"/>
        <v>0.25659603554340404</v>
      </c>
      <c r="AT16" s="1147">
        <f t="shared" si="8"/>
        <v>0.28441105446740012</v>
      </c>
      <c r="AU16" s="1148">
        <f t="shared" si="8"/>
        <v>0.24990661187896901</v>
      </c>
      <c r="AV16" s="1146">
        <f t="shared" si="8"/>
        <v>0.25478540007133521</v>
      </c>
      <c r="AW16" s="1146">
        <f t="shared" si="8"/>
        <v>0.24466927763272417</v>
      </c>
      <c r="AX16" s="1146">
        <f t="shared" si="8"/>
        <v>0.20231878002924586</v>
      </c>
      <c r="AY16" s="1146">
        <f t="shared" si="8"/>
        <v>0.22703725841801159</v>
      </c>
      <c r="AZ16" s="1146">
        <f t="shared" si="8"/>
        <v>0.20547659655107076</v>
      </c>
      <c r="BA16" s="1146">
        <f t="shared" si="8"/>
        <v>0.20109256183900026</v>
      </c>
      <c r="BB16" s="1146">
        <f t="shared" si="8"/>
        <v>0.11919695054246238</v>
      </c>
      <c r="BC16" s="1146">
        <f t="shared" si="8"/>
        <v>8.8153127976664081E-2</v>
      </c>
      <c r="BD16" s="1146">
        <f t="shared" si="8"/>
        <v>0.16052093736225737</v>
      </c>
      <c r="BE16" s="1146">
        <f t="shared" si="8"/>
        <v>0.13082541931638736</v>
      </c>
      <c r="BF16" s="1146">
        <f t="shared" si="8"/>
        <v>0.19397010630271616</v>
      </c>
      <c r="BG16" s="1146">
        <f t="shared" si="8"/>
        <v>0.19461431371679994</v>
      </c>
      <c r="BH16" s="1146">
        <f t="shared" si="8"/>
        <v>0.19719522183251059</v>
      </c>
      <c r="BI16" s="1146">
        <f t="shared" si="8"/>
        <v>0.19818112826731893</v>
      </c>
      <c r="BN16" s="12" t="s">
        <v>687</v>
      </c>
      <c r="BP16" s="1149"/>
      <c r="BQ16" s="1149"/>
      <c r="BR16" s="1149"/>
      <c r="BS16" s="1149"/>
      <c r="BT16" s="1149"/>
      <c r="BU16" s="1149"/>
      <c r="BV16" s="1149">
        <f t="shared" ref="BV16:CC16" si="9">BV11/BU11-1</f>
        <v>0.46434178066831122</v>
      </c>
      <c r="BW16" s="1149">
        <f t="shared" si="9"/>
        <v>0.47070985527222597</v>
      </c>
      <c r="BX16" s="1149">
        <f t="shared" si="9"/>
        <v>0.36832239925023424</v>
      </c>
      <c r="BY16" s="1149">
        <f t="shared" si="9"/>
        <v>0.25905631659056327</v>
      </c>
      <c r="BZ16" s="1149">
        <f t="shared" si="9"/>
        <v>0.25746494197292069</v>
      </c>
      <c r="CA16" s="1149">
        <f t="shared" si="9"/>
        <v>0.20874612445021268</v>
      </c>
      <c r="CB16" s="1149">
        <f t="shared" si="9"/>
        <v>0.12522524357183729</v>
      </c>
      <c r="CC16" s="1149">
        <f t="shared" si="9"/>
        <v>0.19612047147519673</v>
      </c>
      <c r="CD16" s="1149"/>
    </row>
    <row r="17" spans="1:82" ht="10.5">
      <c r="A17" s="45"/>
      <c r="B17" s="45"/>
      <c r="C17" s="45"/>
      <c r="D17" s="45"/>
      <c r="E17" s="45"/>
      <c r="F17" s="45"/>
      <c r="G17" s="45"/>
      <c r="H17" s="45"/>
      <c r="I17" s="45"/>
      <c r="J17" s="45"/>
      <c r="K17" s="45"/>
      <c r="L17" s="45"/>
      <c r="M17" s="45"/>
      <c r="N17" s="45"/>
      <c r="O17" s="45"/>
      <c r="P17" s="45"/>
      <c r="Q17" s="45"/>
      <c r="R17" s="45"/>
      <c r="S17" s="45"/>
      <c r="AU17" s="1067"/>
      <c r="BN17" s="45"/>
    </row>
    <row r="18" spans="1:82" ht="10.5">
      <c r="A18" s="45" t="s">
        <v>688</v>
      </c>
      <c r="B18" s="45"/>
      <c r="C18" s="45"/>
      <c r="D18" s="45"/>
      <c r="E18" s="45"/>
      <c r="F18" s="45"/>
      <c r="G18" s="45"/>
      <c r="H18" s="45"/>
      <c r="I18" s="45"/>
      <c r="J18" s="45"/>
      <c r="K18" s="45"/>
      <c r="L18" s="45"/>
      <c r="M18" s="45"/>
      <c r="N18" s="45"/>
      <c r="O18" s="45"/>
      <c r="P18" s="45"/>
      <c r="Q18" s="45"/>
      <c r="R18" s="45"/>
      <c r="S18" s="45"/>
      <c r="AU18" s="1067"/>
      <c r="BN18" s="45"/>
    </row>
    <row r="19" spans="1:82">
      <c r="A19" s="843" t="str">
        <f>+A14</f>
        <v>AWS (cons. forecast)</v>
      </c>
      <c r="B19" s="12"/>
      <c r="C19" s="12"/>
      <c r="D19" s="12"/>
      <c r="E19" s="12"/>
      <c r="F19" s="1146" t="e">
        <f t="shared" ref="F19:Q19" si="10">F14/B14-1</f>
        <v>#DIV/0!</v>
      </c>
      <c r="G19" s="1146" t="e">
        <f t="shared" si="10"/>
        <v>#DIV/0!</v>
      </c>
      <c r="H19" s="1146" t="e">
        <f t="shared" si="10"/>
        <v>#DIV/0!</v>
      </c>
      <c r="I19" s="1146" t="e">
        <f t="shared" si="10"/>
        <v>#DIV/0!</v>
      </c>
      <c r="J19" s="1146">
        <f t="shared" si="10"/>
        <v>-0.28778467908902705</v>
      </c>
      <c r="K19" s="1146">
        <f t="shared" si="10"/>
        <v>0.89517528635890264</v>
      </c>
      <c r="L19" s="1146">
        <f t="shared" si="10"/>
        <v>0.82226908309626623</v>
      </c>
      <c r="M19" s="1146">
        <f t="shared" si="10"/>
        <v>0.47587653581060851</v>
      </c>
      <c r="N19" s="1146">
        <f t="shared" si="10"/>
        <v>0.29941489203718574</v>
      </c>
      <c r="O19" s="1146">
        <f t="shared" si="10"/>
        <v>-0.28553354540196663</v>
      </c>
      <c r="P19" s="1146">
        <f t="shared" si="10"/>
        <v>-0.29854858471301571</v>
      </c>
      <c r="Q19" s="1146">
        <f t="shared" si="10"/>
        <v>-0.32204692001646307</v>
      </c>
      <c r="R19" s="1147">
        <f t="shared" ref="R19:AT19" si="11">+R14+N14</f>
        <v>1.0653038207665024</v>
      </c>
      <c r="S19" s="1147">
        <f t="shared" si="11"/>
        <v>1.0028882627566837</v>
      </c>
      <c r="T19" s="1147">
        <f t="shared" si="11"/>
        <v>0.96839609092670154</v>
      </c>
      <c r="U19" s="1147">
        <f t="shared" si="11"/>
        <v>0.91625443316619792</v>
      </c>
      <c r="V19" s="1147">
        <f t="shared" si="11"/>
        <v>0.91321332074958339</v>
      </c>
      <c r="W19" s="1147">
        <f t="shared" si="11"/>
        <v>0.90967581089532312</v>
      </c>
      <c r="X19" s="1147">
        <f t="shared" si="11"/>
        <v>0.87578023596669063</v>
      </c>
      <c r="Y19" s="1147">
        <f t="shared" si="11"/>
        <v>0.89914277819027522</v>
      </c>
      <c r="Z19" s="1147">
        <f t="shared" si="11"/>
        <v>0.90066506511366029</v>
      </c>
      <c r="AA19" s="1147">
        <f t="shared" si="11"/>
        <v>0.86183356305307535</v>
      </c>
      <c r="AB19" s="1147">
        <f t="shared" si="11"/>
        <v>0.80378292959072839</v>
      </c>
      <c r="AC19" s="1147">
        <f t="shared" si="11"/>
        <v>0.79286251838990629</v>
      </c>
      <c r="AD19" s="1147">
        <f t="shared" si="11"/>
        <v>0.74201860137637432</v>
      </c>
      <c r="AE19" s="1147">
        <f t="shared" si="11"/>
        <v>0.66239275472063941</v>
      </c>
      <c r="AF19" s="1147">
        <f t="shared" si="11"/>
        <v>0.63647500595271733</v>
      </c>
      <c r="AG19" s="1147">
        <f t="shared" si="11"/>
        <v>0.61979230976624389</v>
      </c>
      <c r="AH19" s="1147">
        <f t="shared" si="11"/>
        <v>0.6491948088422792</v>
      </c>
      <c r="AI19" s="1147">
        <f t="shared" si="11"/>
        <v>0.65977233098622601</v>
      </c>
      <c r="AJ19" s="1147">
        <f t="shared" si="11"/>
        <v>0.67838989939674277</v>
      </c>
      <c r="AK19" s="1147">
        <f t="shared" si="11"/>
        <v>0.67547374649174952</v>
      </c>
      <c r="AL19" s="1147">
        <f t="shared" si="11"/>
        <v>0.68705868039588625</v>
      </c>
      <c r="AM19" s="1147">
        <f t="shared" si="11"/>
        <v>0.70309441454845789</v>
      </c>
      <c r="AN19" s="1147">
        <f t="shared" si="11"/>
        <v>0.66353372542051137</v>
      </c>
      <c r="AO19" s="1147">
        <f t="shared" si="11"/>
        <v>0.59774754454547363</v>
      </c>
      <c r="AP19" s="1147">
        <f t="shared" si="11"/>
        <v>0.52365974598418141</v>
      </c>
      <c r="AQ19" s="1147">
        <f t="shared" si="11"/>
        <v>0.45454303312150213</v>
      </c>
      <c r="AR19" s="1147">
        <f t="shared" si="11"/>
        <v>0.39760841193133767</v>
      </c>
      <c r="AS19" s="1147">
        <f t="shared" si="11"/>
        <v>0.33455417778082253</v>
      </c>
      <c r="AT19" s="1147">
        <f t="shared" si="11"/>
        <v>0.33043677535484139</v>
      </c>
      <c r="AU19" s="1148">
        <f>+AU14+AQ14</f>
        <v>0.29510168562431693</v>
      </c>
      <c r="AV19" s="1147">
        <f t="shared" ref="AV19:AY20" si="12">+AV14+AR14</f>
        <v>0.3011035995251734</v>
      </c>
      <c r="AW19" s="1147">
        <f t="shared" si="12"/>
        <v>0.31438086745403337</v>
      </c>
      <c r="AX19" s="1147">
        <f t="shared" si="12"/>
        <v>0.35284259505728288</v>
      </c>
      <c r="AY19" s="1147">
        <f t="shared" si="12"/>
        <v>0.35484650846553389</v>
      </c>
      <c r="AZ19" s="1149">
        <f t="shared" ref="AZ19:BI19" si="13">AZ14/AV14-1</f>
        <v>4.4926565133973639E-4</v>
      </c>
      <c r="BA19" s="1149">
        <f t="shared" si="13"/>
        <v>-2.8217071164186813E-2</v>
      </c>
      <c r="BB19" s="1149">
        <f t="shared" si="13"/>
        <v>-0.75275942210097957</v>
      </c>
      <c r="BC19" s="1149">
        <f t="shared" si="13"/>
        <v>-0.77338503819376792</v>
      </c>
      <c r="BD19" s="1149">
        <f t="shared" si="13"/>
        <v>-0.80842894928925413</v>
      </c>
      <c r="BE19" s="1149">
        <f t="shared" si="13"/>
        <v>-0.83908126025849861</v>
      </c>
      <c r="BF19" s="1149">
        <f t="shared" si="13"/>
        <v>1.9770183304052495</v>
      </c>
      <c r="BG19" s="1149">
        <f t="shared" si="13"/>
        <v>2.2028044801703177</v>
      </c>
      <c r="BH19" s="1149">
        <f t="shared" si="13"/>
        <v>2.8188179095267225</v>
      </c>
      <c r="BI19" s="1149">
        <f t="shared" si="13"/>
        <v>3.5346904456354933</v>
      </c>
      <c r="BN19" s="12" t="s">
        <v>687</v>
      </c>
      <c r="BO19" s="1149"/>
      <c r="BP19" s="1149" t="e">
        <f t="shared" ref="BP19:CC19" si="14">BP14/BO14-1</f>
        <v>#DIV/0!</v>
      </c>
      <c r="BQ19" s="1149">
        <f t="shared" si="14"/>
        <v>0.4093652276659494</v>
      </c>
      <c r="BR19" s="1149">
        <f t="shared" si="14"/>
        <v>-0.20978161294573094</v>
      </c>
      <c r="BS19" s="1149">
        <f t="shared" si="14"/>
        <v>-0.22133742611340146</v>
      </c>
      <c r="BT19" s="1149">
        <f t="shared" si="14"/>
        <v>9.521829840967988E-2</v>
      </c>
      <c r="BU19" s="1149">
        <f t="shared" si="14"/>
        <v>-0.22225501546423554</v>
      </c>
      <c r="BV19" s="1149">
        <f t="shared" si="14"/>
        <v>-0.19137470131198753</v>
      </c>
      <c r="BW19" s="1149">
        <f t="shared" si="14"/>
        <v>0.25622946228321886</v>
      </c>
      <c r="BX19" s="1149">
        <f t="shared" si="14"/>
        <v>-0.22458153097543254</v>
      </c>
      <c r="BY19" s="1149">
        <f t="shared" si="14"/>
        <v>-0.53731647958517725</v>
      </c>
      <c r="BZ19" s="1149">
        <f t="shared" si="14"/>
        <v>0.3283020232648477</v>
      </c>
      <c r="CA19" s="1149">
        <f t="shared" si="14"/>
        <v>1.3762444537709362E-2</v>
      </c>
      <c r="CB19" s="1149">
        <f t="shared" si="14"/>
        <v>-0.79473522966638122</v>
      </c>
      <c r="CC19" s="1149">
        <f t="shared" si="14"/>
        <v>2.5601292566684517</v>
      </c>
      <c r="CD19" s="1149"/>
    </row>
    <row r="20" spans="1:82">
      <c r="A20" s="843" t="str">
        <f>+A15</f>
        <v>Azure</v>
      </c>
      <c r="B20" s="1125"/>
      <c r="C20" s="1125"/>
      <c r="D20" s="1125"/>
      <c r="E20" s="1125"/>
      <c r="F20" s="1125"/>
      <c r="G20" s="1125"/>
      <c r="H20" s="1125"/>
      <c r="I20" s="1125"/>
      <c r="J20" s="1118"/>
      <c r="K20" s="1118"/>
      <c r="L20" s="1118"/>
      <c r="M20" s="1118"/>
      <c r="N20" s="1118"/>
      <c r="O20" s="1118"/>
      <c r="P20" s="1118"/>
      <c r="Q20" s="1118"/>
      <c r="R20" s="1147"/>
      <c r="S20" s="1147"/>
      <c r="T20" s="1147"/>
      <c r="U20" s="1147"/>
      <c r="V20" s="1147">
        <f t="shared" ref="V20:AU20" si="15">+V15+R15</f>
        <v>1.6926702143256958</v>
      </c>
      <c r="W20" s="1147">
        <f t="shared" si="15"/>
        <v>1.7643200483538948</v>
      </c>
      <c r="X20" s="1147">
        <f t="shared" si="15"/>
        <v>1.6608888132531012</v>
      </c>
      <c r="Y20" s="1147">
        <f t="shared" si="15"/>
        <v>1.7673861990407624</v>
      </c>
      <c r="Z20" s="1147">
        <f t="shared" si="15"/>
        <v>1.6596643428114142</v>
      </c>
      <c r="AA20" s="1147">
        <f t="shared" si="15"/>
        <v>1.5355560782267708</v>
      </c>
      <c r="AB20" s="1147">
        <f t="shared" si="15"/>
        <v>1.3502932943355768</v>
      </c>
      <c r="AC20" s="1147">
        <f t="shared" si="15"/>
        <v>1.3959305898502412</v>
      </c>
      <c r="AD20" s="1147">
        <f t="shared" si="15"/>
        <v>1.3192289969690327</v>
      </c>
      <c r="AE20" s="1147">
        <f t="shared" si="15"/>
        <v>1.0949229490316619</v>
      </c>
      <c r="AF20" s="1147">
        <f t="shared" si="15"/>
        <v>1.0700152696248002</v>
      </c>
      <c r="AG20" s="1147">
        <f t="shared" si="15"/>
        <v>1.1196254561529295</v>
      </c>
      <c r="AH20" s="1147">
        <f t="shared" si="15"/>
        <v>1.0859675828554591</v>
      </c>
      <c r="AI20" s="1147">
        <f t="shared" si="15"/>
        <v>0.97952376140529007</v>
      </c>
      <c r="AJ20" s="1147">
        <f t="shared" si="15"/>
        <v>0.97874925766854148</v>
      </c>
      <c r="AK20" s="1147">
        <f t="shared" si="15"/>
        <v>0.95827049201300762</v>
      </c>
      <c r="AL20" s="1147">
        <f t="shared" si="15"/>
        <v>0.95220065610902926</v>
      </c>
      <c r="AM20" s="1147">
        <f t="shared" si="15"/>
        <v>0.90592029546761244</v>
      </c>
      <c r="AN20" s="1147">
        <f t="shared" si="15"/>
        <v>0.84629082570389036</v>
      </c>
      <c r="AO20" s="1147">
        <f t="shared" si="15"/>
        <v>0.77256541063831596</v>
      </c>
      <c r="AP20" s="1147">
        <f t="shared" si="15"/>
        <v>0.72444483269312121</v>
      </c>
      <c r="AQ20" s="1147">
        <f t="shared" si="15"/>
        <v>0.65464350961882056</v>
      </c>
      <c r="AR20" s="1147">
        <f t="shared" si="15"/>
        <v>0.6367045370184603</v>
      </c>
      <c r="AS20" s="1147">
        <f t="shared" si="15"/>
        <v>0.61382237484875835</v>
      </c>
      <c r="AT20" s="1147">
        <f t="shared" si="15"/>
        <v>0.58000000000000007</v>
      </c>
      <c r="AU20" s="1148">
        <f t="shared" si="15"/>
        <v>0.55000000000000004</v>
      </c>
      <c r="AV20" s="1147">
        <f t="shared" si="12"/>
        <v>0.58529137840187984</v>
      </c>
      <c r="AW20" s="1147">
        <f t="shared" si="12"/>
        <v>0.61234284113352877</v>
      </c>
      <c r="AX20" s="1147">
        <f t="shared" si="12"/>
        <v>0.62655410739514572</v>
      </c>
      <c r="AY20" s="1147">
        <f t="shared" si="12"/>
        <v>0.60995314209243623</v>
      </c>
      <c r="AZ20" s="1119"/>
      <c r="BA20" s="1119"/>
      <c r="BB20" s="1119"/>
      <c r="BC20" s="1119"/>
      <c r="BD20" s="1119"/>
      <c r="BE20" s="1119"/>
      <c r="BF20" s="1119"/>
      <c r="BG20" s="1119"/>
      <c r="BH20" s="1119"/>
      <c r="BI20" s="1119"/>
      <c r="BO20" s="1119"/>
      <c r="BP20" s="1120"/>
      <c r="BQ20" s="1120"/>
      <c r="BR20" s="1120"/>
      <c r="BS20" s="1120"/>
      <c r="BT20" s="1120"/>
      <c r="BU20" s="1120"/>
      <c r="BV20" s="1120"/>
      <c r="BW20" s="1120"/>
      <c r="BX20" s="1120"/>
      <c r="BY20" s="1120"/>
      <c r="BZ20" s="1120"/>
      <c r="CA20" s="1120"/>
      <c r="CB20" s="1120"/>
      <c r="CC20" s="1120"/>
      <c r="CD20" s="1120"/>
    </row>
    <row r="21" spans="1:82">
      <c r="A21" s="843" t="str">
        <f>+A16</f>
        <v>Google Cloud (cons. forecast)</v>
      </c>
      <c r="B21" s="12"/>
      <c r="C21" s="12"/>
      <c r="D21" s="12"/>
      <c r="E21" s="12"/>
      <c r="F21" s="12"/>
      <c r="G21" s="1146"/>
      <c r="H21" s="1146"/>
      <c r="I21" s="1146"/>
      <c r="J21" s="1146"/>
      <c r="K21" s="1146"/>
      <c r="L21" s="1146"/>
      <c r="M21" s="1146"/>
      <c r="N21" s="1146"/>
      <c r="O21" s="1146"/>
      <c r="P21" s="1146"/>
      <c r="Q21" s="1146"/>
      <c r="R21" s="1147"/>
      <c r="S21" s="1147"/>
      <c r="T21" s="1147"/>
      <c r="U21" s="1147"/>
      <c r="V21" s="1147"/>
      <c r="W21" s="1147"/>
      <c r="X21" s="1147"/>
      <c r="Y21" s="1147"/>
      <c r="Z21" s="1147"/>
      <c r="AA21" s="1147"/>
      <c r="AB21" s="1147"/>
      <c r="AC21" s="1147"/>
      <c r="AD21" s="1147"/>
      <c r="AE21" s="1147"/>
      <c r="AF21" s="1147"/>
      <c r="AG21" s="1147">
        <f t="shared" ref="AG21:AU21" si="16">+AG16+AC16</f>
        <v>0.99511945177047734</v>
      </c>
      <c r="AH21" s="1147">
        <f t="shared" si="16"/>
        <v>0.97897188747095765</v>
      </c>
      <c r="AI21" s="1147">
        <f t="shared" si="16"/>
        <v>0.97098025242687713</v>
      </c>
      <c r="AJ21" s="1147">
        <f t="shared" si="16"/>
        <v>0.89656371883481034</v>
      </c>
      <c r="AK21" s="1147">
        <f t="shared" si="16"/>
        <v>0.91192866074429646</v>
      </c>
      <c r="AL21" s="1147">
        <f t="shared" si="16"/>
        <v>0.895677446467813</v>
      </c>
      <c r="AM21" s="1147">
        <f t="shared" si="16"/>
        <v>0.89516883537950487</v>
      </c>
      <c r="AN21" s="1147">
        <f t="shared" si="16"/>
        <v>0.82524933723428262</v>
      </c>
      <c r="AO21" s="1147">
        <f t="shared" si="16"/>
        <v>0.76651746919136432</v>
      </c>
      <c r="AP21" s="1147">
        <f t="shared" si="16"/>
        <v>0.71888538499295351</v>
      </c>
      <c r="AQ21" s="1147">
        <f t="shared" si="16"/>
        <v>0.63573005613846045</v>
      </c>
      <c r="AR21" s="1147">
        <f t="shared" si="16"/>
        <v>0.60101781898100204</v>
      </c>
      <c r="AS21" s="1147">
        <f t="shared" si="16"/>
        <v>0.57675485164158125</v>
      </c>
      <c r="AT21" s="1147">
        <f t="shared" si="16"/>
        <v>0.56494704484705993</v>
      </c>
      <c r="AU21" s="1148">
        <f t="shared" si="16"/>
        <v>0.52954332316003971</v>
      </c>
      <c r="AV21" s="1147">
        <f t="shared" ref="AV21" si="17">+AV16+AR16</f>
        <v>0.4794505136415157</v>
      </c>
      <c r="AW21" s="1147">
        <f t="shared" ref="AW21" si="18">+AW16+AS16</f>
        <v>0.50126531317612821</v>
      </c>
      <c r="AX21" s="1147">
        <f t="shared" ref="AX21" si="19">+AX16+AT16</f>
        <v>0.48672983449664597</v>
      </c>
      <c r="AY21" s="1147">
        <f t="shared" ref="AY21" si="20">+AY16+AU16</f>
        <v>0.4769438702969806</v>
      </c>
      <c r="AZ21" s="1146">
        <f t="shared" ref="AZ21:BI21" si="21">AZ16/AV16-1</f>
        <v>-0.19353072627575563</v>
      </c>
      <c r="BA21" s="1146">
        <f t="shared" si="21"/>
        <v>-0.17810456717470435</v>
      </c>
      <c r="BB21" s="1146">
        <f t="shared" si="21"/>
        <v>-0.41084584176895467</v>
      </c>
      <c r="BC21" s="1146">
        <f t="shared" si="21"/>
        <v>-0.61172395847751038</v>
      </c>
      <c r="BD21" s="1146">
        <f t="shared" si="21"/>
        <v>-0.21878724849153208</v>
      </c>
      <c r="BE21" s="1146">
        <f t="shared" si="21"/>
        <v>-0.34942686034737847</v>
      </c>
      <c r="BF21" s="1146">
        <f t="shared" si="21"/>
        <v>0.62730762339105994</v>
      </c>
      <c r="BG21" s="1146">
        <f t="shared" si="21"/>
        <v>1.2076847207091537</v>
      </c>
      <c r="BH21" s="1146">
        <f t="shared" si="21"/>
        <v>0.22847041060748441</v>
      </c>
      <c r="BI21" s="1146">
        <f t="shared" si="21"/>
        <v>0.51485184838612263</v>
      </c>
      <c r="BN21" s="12" t="s">
        <v>687</v>
      </c>
      <c r="BP21" s="1149"/>
      <c r="BQ21" s="1149"/>
      <c r="BR21" s="1149"/>
      <c r="BS21" s="1149"/>
      <c r="BT21" s="1149"/>
      <c r="BU21" s="1149"/>
      <c r="BV21" s="1149" t="e">
        <f t="shared" ref="BV21:CC21" si="22">BV16/BU16-1</f>
        <v>#DIV/0!</v>
      </c>
      <c r="BW21" s="1149">
        <f t="shared" si="22"/>
        <v>1.3714196889087704E-2</v>
      </c>
      <c r="BX21" s="1149">
        <f t="shared" si="22"/>
        <v>-0.21751712838639825</v>
      </c>
      <c r="BY21" s="1149">
        <f t="shared" si="22"/>
        <v>-0.29665880457473015</v>
      </c>
      <c r="BZ21" s="1149">
        <f t="shared" si="22"/>
        <v>-6.1429678248600128E-3</v>
      </c>
      <c r="CA21" s="1149">
        <f t="shared" si="22"/>
        <v>-0.18922505390202637</v>
      </c>
      <c r="CB21" s="1149">
        <f t="shared" si="22"/>
        <v>-0.40010745635804923</v>
      </c>
      <c r="CC21" s="1149">
        <f t="shared" si="22"/>
        <v>0.5661416650604425</v>
      </c>
      <c r="CD21" s="1149"/>
    </row>
    <row r="22" spans="1:82" ht="10.5">
      <c r="A22" s="45"/>
      <c r="B22" s="45"/>
      <c r="C22" s="45"/>
      <c r="D22" s="45"/>
      <c r="E22" s="45"/>
      <c r="F22" s="45"/>
      <c r="G22" s="45"/>
      <c r="H22" s="45"/>
      <c r="I22" s="45"/>
      <c r="J22" s="45"/>
      <c r="K22" s="45"/>
      <c r="L22" s="45"/>
      <c r="M22" s="45"/>
      <c r="N22" s="45"/>
      <c r="O22" s="45"/>
      <c r="P22" s="45"/>
      <c r="Q22" s="45"/>
      <c r="R22" s="45"/>
      <c r="S22" s="45"/>
      <c r="AU22" s="1067"/>
      <c r="BN22" s="45"/>
    </row>
    <row r="23" spans="1:82" ht="10.5">
      <c r="A23" s="45" t="s">
        <v>689</v>
      </c>
      <c r="B23" s="45"/>
      <c r="C23" s="45"/>
      <c r="D23" s="45"/>
      <c r="E23" s="45"/>
      <c r="F23" s="45"/>
      <c r="G23" s="45"/>
      <c r="H23" s="45"/>
      <c r="I23" s="45"/>
      <c r="J23" s="45"/>
      <c r="K23" s="45"/>
      <c r="L23" s="45"/>
      <c r="M23" s="45"/>
      <c r="N23" s="45"/>
      <c r="O23" s="45"/>
      <c r="P23" s="45"/>
      <c r="Q23" s="45"/>
      <c r="R23" s="45"/>
      <c r="S23" s="45"/>
      <c r="AU23" s="1067"/>
      <c r="BN23" s="45"/>
    </row>
    <row r="24" spans="1:82">
      <c r="A24" s="843" t="str">
        <f>+A9</f>
        <v>AWS (cons. forecast)</v>
      </c>
      <c r="B24" s="12"/>
      <c r="C24" s="12"/>
      <c r="D24" s="12"/>
      <c r="E24" s="12"/>
      <c r="F24" s="12"/>
      <c r="G24" s="12"/>
      <c r="H24" s="12"/>
      <c r="I24" s="12"/>
      <c r="J24" s="12"/>
      <c r="K24" s="12"/>
      <c r="L24" s="12"/>
      <c r="M24" s="1146"/>
      <c r="N24" s="1146"/>
      <c r="O24" s="1146"/>
      <c r="P24" s="1146"/>
      <c r="Q24" s="1146"/>
      <c r="R24" s="1147">
        <v>0.43</v>
      </c>
      <c r="S24" s="1147">
        <v>0.42</v>
      </c>
      <c r="T24" s="1147">
        <v>0.42</v>
      </c>
      <c r="U24" s="1147">
        <v>0.44</v>
      </c>
      <c r="V24" s="1147">
        <v>0.49</v>
      </c>
      <c r="W24" s="1147">
        <v>0.49</v>
      </c>
      <c r="X24" s="1147">
        <v>0.46</v>
      </c>
      <c r="Y24" s="1147">
        <v>0.46</v>
      </c>
      <c r="Z24" s="1147">
        <v>0.42</v>
      </c>
      <c r="AA24" s="1147">
        <v>0.37</v>
      </c>
      <c r="AB24" s="1147">
        <v>0.35</v>
      </c>
      <c r="AC24" s="1147">
        <v>0.34</v>
      </c>
      <c r="AD24" s="1147">
        <v>0.33</v>
      </c>
      <c r="AE24" s="1147">
        <v>0.28999999999999998</v>
      </c>
      <c r="AF24" s="1147">
        <v>0.28999999999999998</v>
      </c>
      <c r="AG24" s="1147">
        <v>0.28000000000000003</v>
      </c>
      <c r="AH24" s="1147">
        <v>0.32</v>
      </c>
      <c r="AI24" s="1147">
        <v>0.37</v>
      </c>
      <c r="AJ24" s="1147">
        <v>0.39</v>
      </c>
      <c r="AK24" s="1147">
        <v>0.4</v>
      </c>
      <c r="AL24" s="1147">
        <v>0.37</v>
      </c>
      <c r="AM24" s="1147">
        <v>0.33</v>
      </c>
      <c r="AN24" s="1147">
        <v>0.28000000000000003</v>
      </c>
      <c r="AO24" s="1147">
        <v>0.2</v>
      </c>
      <c r="AP24" s="1147">
        <f>+AP14</f>
        <v>0.157963234097934</v>
      </c>
      <c r="AQ24" s="1147">
        <f t="shared" ref="AQ24:AY24" si="23">+AQ14</f>
        <v>0.12163736764780375</v>
      </c>
      <c r="AR24" s="1147">
        <f t="shared" si="23"/>
        <v>0.1227480767358069</v>
      </c>
      <c r="AS24" s="1147">
        <f t="shared" si="23"/>
        <v>0.13219197305641317</v>
      </c>
      <c r="AT24" s="1147">
        <f t="shared" si="23"/>
        <v>0.17247354125690739</v>
      </c>
      <c r="AU24" s="1148">
        <f t="shared" si="23"/>
        <v>0.17346431797651318</v>
      </c>
      <c r="AV24" s="1147">
        <f t="shared" si="23"/>
        <v>0.17835552278936651</v>
      </c>
      <c r="AW24" s="1147">
        <f t="shared" si="23"/>
        <v>0.1821888943976202</v>
      </c>
      <c r="AX24" s="1147">
        <f t="shared" si="23"/>
        <v>0.18036905380037549</v>
      </c>
      <c r="AY24" s="1147">
        <f t="shared" si="23"/>
        <v>0.18138219048902071</v>
      </c>
      <c r="AZ24" s="1146"/>
      <c r="BA24" s="1146"/>
      <c r="BB24" s="1146"/>
      <c r="BC24" s="1146"/>
      <c r="BD24" s="1146"/>
      <c r="BE24" s="1146"/>
      <c r="BF24" s="1146"/>
      <c r="BG24" s="1146"/>
      <c r="BH24" s="1146"/>
      <c r="BI24" s="1146"/>
      <c r="BN24" s="12"/>
      <c r="BS24" s="1149"/>
      <c r="BT24" s="1149"/>
      <c r="BU24" s="1149"/>
      <c r="BV24" s="1149"/>
      <c r="BW24" s="1149"/>
      <c r="BX24" s="1149"/>
      <c r="BY24" s="1149"/>
      <c r="BZ24" s="1149"/>
      <c r="CA24" s="1149"/>
      <c r="CB24" s="1149"/>
    </row>
    <row r="25" spans="1:82">
      <c r="A25" s="843" t="str">
        <f>+A15</f>
        <v>Azure</v>
      </c>
      <c r="B25" s="12"/>
      <c r="C25" s="12"/>
      <c r="D25" s="12"/>
      <c r="E25" s="12"/>
      <c r="F25" s="12"/>
      <c r="G25" s="12"/>
      <c r="H25" s="12"/>
      <c r="I25" s="12"/>
      <c r="J25" s="12"/>
      <c r="K25" s="12"/>
      <c r="L25" s="12"/>
      <c r="M25" s="1146"/>
      <c r="N25" s="1146"/>
      <c r="O25" s="1146"/>
      <c r="P25" s="1146">
        <v>1.21</v>
      </c>
      <c r="Q25" s="1146">
        <v>0.95</v>
      </c>
      <c r="R25" s="1147">
        <f>+'Historical Financials'!J477</f>
        <v>0.94</v>
      </c>
      <c r="S25" s="1147">
        <f>+'Historical Financials'!K477</f>
        <v>0.98</v>
      </c>
      <c r="T25" s="1147">
        <f>+'Historical Financials'!L477</f>
        <v>0.89</v>
      </c>
      <c r="U25" s="1147">
        <f>+'Historical Financials'!M477</f>
        <v>0.98</v>
      </c>
      <c r="V25" s="1147">
        <f>+'Historical Financials'!N477</f>
        <v>0.89</v>
      </c>
      <c r="W25" s="1147">
        <f>+'Historical Financials'!O477</f>
        <v>0.85</v>
      </c>
      <c r="X25" s="1147">
        <f>+'Historical Financials'!P477</f>
        <v>0.76</v>
      </c>
      <c r="Y25" s="1147">
        <f>+'Historical Financials'!Q477</f>
        <v>0.76</v>
      </c>
      <c r="Z25" s="1147">
        <f>+'Historical Financials'!R477</f>
        <v>0.75</v>
      </c>
      <c r="AA25" s="1147">
        <f>+'Historical Financials'!S477</f>
        <v>0.68</v>
      </c>
      <c r="AB25" s="1147">
        <f>+'Historical Financials'!T477</f>
        <v>0.63</v>
      </c>
      <c r="AC25" s="1147">
        <f>+'Historical Financials'!U477</f>
        <v>0.64</v>
      </c>
      <c r="AD25" s="1147">
        <f>+'Historical Financials'!V477</f>
        <v>0.61</v>
      </c>
      <c r="AE25" s="1147">
        <f>+'Historical Financials'!W477</f>
        <v>0.5</v>
      </c>
      <c r="AF25" s="1147">
        <f>+'Historical Financials'!X477</f>
        <v>0.47</v>
      </c>
      <c r="AG25" s="1147">
        <f>+'Historical Financials'!Y477</f>
        <v>0.48</v>
      </c>
      <c r="AH25" s="1147">
        <f>+'Historical Financials'!Z477</f>
        <v>0.46</v>
      </c>
      <c r="AI25" s="1147">
        <f>+'Historical Financials'!AA477</f>
        <v>0.45</v>
      </c>
      <c r="AJ25" s="1147">
        <f>+'Historical Financials'!AB477</f>
        <v>0.48</v>
      </c>
      <c r="AK25" s="1147">
        <f>+'Historical Financials'!AC477</f>
        <v>0.46</v>
      </c>
      <c r="AL25" s="1147">
        <f>+'Historical Financials'!AD477</f>
        <v>0.49</v>
      </c>
      <c r="AM25" s="1147">
        <f>+'Historical Financials'!AE477</f>
        <v>0.46</v>
      </c>
      <c r="AN25" s="1147">
        <f>+'Historical Financials'!AF477</f>
        <v>0.42</v>
      </c>
      <c r="AO25" s="1147">
        <f>+'Historical Financials'!AG477</f>
        <v>0.38</v>
      </c>
      <c r="AP25" s="1147">
        <f>+'Historical Financials'!AH477</f>
        <v>0.31</v>
      </c>
      <c r="AQ25" s="1147">
        <f>+'Historical Financials'!AI477</f>
        <v>0.27</v>
      </c>
      <c r="AR25" s="1147">
        <f>+'Historical Financials'!AJ477</f>
        <v>0.28000000000000003</v>
      </c>
      <c r="AS25" s="1147">
        <f>+'Historical Financials'!AK477</f>
        <v>0.28000000000000003</v>
      </c>
      <c r="AT25" s="1147">
        <f>+'Historical Financials'!AL477</f>
        <v>0.31</v>
      </c>
      <c r="AU25" s="1148">
        <f>+'Historical Financials'!AM477</f>
        <v>0.3</v>
      </c>
      <c r="AV25" s="1150">
        <v>0.28999999999999998</v>
      </c>
      <c r="AW25" s="1150">
        <v>0.28999999999999998</v>
      </c>
      <c r="AX25" s="1150">
        <v>0.3</v>
      </c>
      <c r="AY25" s="1150">
        <v>0.3</v>
      </c>
      <c r="AZ25" s="1146">
        <v>0.18131087085459141</v>
      </c>
      <c r="BA25" s="1146">
        <v>0.17094279522206435</v>
      </c>
      <c r="BB25" s="1146">
        <v>0.16170625770644365</v>
      </c>
      <c r="BC25" s="1146">
        <v>0.1523651815975664</v>
      </c>
      <c r="BD25" s="1146">
        <v>0.14461245294534542</v>
      </c>
      <c r="BE25" s="1146">
        <v>0.1344054202809768</v>
      </c>
      <c r="BF25" s="1146">
        <v>0.12520771924949847</v>
      </c>
      <c r="BG25" s="1146">
        <v>0.11690742981241242</v>
      </c>
      <c r="BH25" s="1146"/>
      <c r="BI25" s="1146"/>
      <c r="BN25" s="12" t="s">
        <v>690</v>
      </c>
      <c r="BS25" s="1149">
        <f>((N10*(1+R25))+(O10*(1+S25))+(P10*(1+T25))+(Q10*(1+U25)))/SUM(N10:Q10)-1</f>
        <v>0.94723163998574589</v>
      </c>
      <c r="BT25" s="1149">
        <f>((R10*(1+V25))+(S10*(1+W25))+(T10*(1+X25))+(U10*(1+Y25)))/SUM(R10:U10)-1</f>
        <v>0.80454074966440903</v>
      </c>
      <c r="BU25" s="1149">
        <f>((V10*(1+Z25))+(W10*(1+AA25))+(X10*(1+AB25))+(Y10*(1+AC25)))/SUM(V10:Y10)-1</f>
        <v>0.66795756993294453</v>
      </c>
      <c r="BV25" s="1149">
        <f>((Z10*(1+AD25))+(AA10*(1+AE25))+(AB10*(1+AF25))+(AC10*(1+AG25)))/SUM(Z10:AC10)-1</f>
        <v>0.50833240252921175</v>
      </c>
      <c r="BW25" s="1149">
        <f>((AD10*(1+AH25))+(AE10*(1+AI25))+(AF10*(1+AJ25))+(AG10*(1+AK25)))/SUM(AD10:AG10)-1</f>
        <v>0.46277144810182036</v>
      </c>
      <c r="BX25" s="1149">
        <f>((AH10*(1+AL25))+(AI10*(1+AM25))+(AJ10*(1+AN25))+(AK10*(1+AO25)))/SUM(AH10:AK10)-1</f>
        <v>0.43312748981885796</v>
      </c>
      <c r="BY25" s="1149">
        <f>((AL10*(1+AP25))+(AM10*(1+AQ25))+(AN10*(1+AR25))+(AO10*(1+AS25)))/SUM(AL10:AO10)-1</f>
        <v>0.28431073282680952</v>
      </c>
      <c r="BZ25" s="1149">
        <f>((AP10*(1+AT25))+(AQ10*(1+AU25))+(AR10*(1+AV25))+(AS10*(1+AW25)))/SUM(AP10:AS10)-1</f>
        <v>0.29689224576129614</v>
      </c>
      <c r="CA25" s="1149">
        <f>((AT10*(1+AX25))+(AU10*(1+AY25))+(AV10*(1+AZ25))+(AW10*(1+BA25)))/SUM(AT10:AW10)-1</f>
        <v>0.23355368553333178</v>
      </c>
      <c r="CB25" s="1149">
        <f>((AX10*(1+BB25))+(AY10*(1+BC25))+(AZ10*(1+BD25))+(BA10*(1+BE25)))/SUM(AX10:BA10)-1</f>
        <v>0.14823276444793443</v>
      </c>
    </row>
    <row r="26" spans="1:82">
      <c r="A26" s="843" t="str">
        <f>+A11</f>
        <v>Google Cloud (cons. forecast)</v>
      </c>
      <c r="B26" s="12"/>
      <c r="C26" s="12"/>
      <c r="D26" s="12"/>
      <c r="E26" s="12"/>
      <c r="F26" s="12"/>
      <c r="G26" s="1146"/>
      <c r="H26" s="1146"/>
      <c r="I26" s="1146"/>
      <c r="J26" s="1146"/>
      <c r="K26" s="1146"/>
      <c r="L26" s="1146"/>
      <c r="M26" s="1146"/>
      <c r="N26" s="1146"/>
      <c r="O26" s="1146"/>
      <c r="P26" s="1146"/>
      <c r="Q26" s="1146"/>
      <c r="R26" s="1147"/>
      <c r="S26" s="1147"/>
      <c r="T26" s="1147"/>
      <c r="U26" s="1147"/>
      <c r="V26" s="1147"/>
      <c r="W26" s="1147"/>
      <c r="X26" s="1147"/>
      <c r="Y26" s="1147"/>
      <c r="Z26" s="1147"/>
      <c r="AA26" s="1147"/>
      <c r="AB26" s="1147"/>
      <c r="AC26" s="1147" t="s">
        <v>271</v>
      </c>
      <c r="AD26" s="1147" t="s">
        <v>271</v>
      </c>
      <c r="AE26" s="1147" t="s">
        <v>271</v>
      </c>
      <c r="AF26" s="1147" t="s">
        <v>271</v>
      </c>
      <c r="AG26" s="1147" t="s">
        <v>271</v>
      </c>
      <c r="AH26" s="1147" t="s">
        <v>271</v>
      </c>
      <c r="AI26" s="1147" t="s">
        <v>271</v>
      </c>
      <c r="AJ26" s="1147" t="s">
        <v>271</v>
      </c>
      <c r="AK26" s="1147" t="s">
        <v>271</v>
      </c>
      <c r="AL26" s="1147" t="s">
        <v>271</v>
      </c>
      <c r="AM26" s="1147" t="s">
        <v>271</v>
      </c>
      <c r="AN26" s="1147" t="s">
        <v>271</v>
      </c>
      <c r="AO26" s="1147" t="s">
        <v>271</v>
      </c>
      <c r="AP26" s="1147" t="s">
        <v>271</v>
      </c>
      <c r="AQ26" s="1147" t="s">
        <v>271</v>
      </c>
      <c r="AR26" s="1147" t="s">
        <v>271</v>
      </c>
      <c r="AS26" s="1147" t="s">
        <v>271</v>
      </c>
      <c r="AT26" s="1147" t="s">
        <v>271</v>
      </c>
      <c r="AU26" s="1148" t="s">
        <v>271</v>
      </c>
      <c r="AV26" s="1147" t="s">
        <v>271</v>
      </c>
      <c r="AW26" s="1147" t="s">
        <v>271</v>
      </c>
      <c r="AX26" s="1147" t="s">
        <v>271</v>
      </c>
      <c r="AY26" s="1147" t="s">
        <v>271</v>
      </c>
      <c r="AZ26" s="1146"/>
      <c r="BA26" s="1146"/>
      <c r="BB26" s="1146"/>
      <c r="BC26" s="1146"/>
      <c r="BD26" s="1146"/>
      <c r="BE26" s="1146"/>
      <c r="BF26" s="1146"/>
      <c r="BG26" s="1146"/>
      <c r="BH26" s="1146"/>
      <c r="BI26" s="1146"/>
      <c r="BN26" s="12"/>
      <c r="BP26" s="1149"/>
      <c r="BQ26" s="1149"/>
      <c r="BR26" s="1149"/>
      <c r="BS26" s="1149"/>
      <c r="BT26" s="1149"/>
      <c r="BU26" s="1149"/>
      <c r="BV26" s="1149"/>
      <c r="BW26" s="1149"/>
      <c r="BX26" s="1149"/>
      <c r="BY26" s="1149"/>
      <c r="BZ26" s="1149"/>
      <c r="CA26" s="1149"/>
      <c r="CB26" s="1149"/>
      <c r="CC26" s="1149"/>
      <c r="CD26" s="1149"/>
    </row>
    <row r="27" spans="1:82" ht="10.5">
      <c r="A27" s="45"/>
      <c r="B27" s="45"/>
      <c r="C27" s="45"/>
      <c r="D27" s="45"/>
      <c r="E27" s="45"/>
      <c r="F27" s="45"/>
      <c r="G27" s="45"/>
      <c r="H27" s="45"/>
      <c r="I27" s="45"/>
      <c r="J27" s="45"/>
      <c r="K27" s="45"/>
      <c r="L27" s="45"/>
      <c r="M27" s="45"/>
      <c r="N27" s="45"/>
      <c r="O27" s="45"/>
      <c r="P27" s="45"/>
      <c r="Q27" s="45"/>
      <c r="R27" s="45"/>
      <c r="S27" s="45"/>
      <c r="AU27" s="1067"/>
      <c r="BN27" s="45"/>
    </row>
    <row r="28" spans="1:82" ht="10.5">
      <c r="A28" s="45" t="s">
        <v>691</v>
      </c>
      <c r="B28" s="45"/>
      <c r="C28" s="45"/>
      <c r="D28" s="45"/>
      <c r="E28" s="45"/>
      <c r="F28" s="45"/>
      <c r="G28" s="45"/>
      <c r="H28" s="45"/>
      <c r="I28" s="45"/>
      <c r="J28" s="45"/>
      <c r="K28" s="45"/>
      <c r="L28" s="45"/>
      <c r="M28" s="45"/>
      <c r="N28" s="45"/>
      <c r="O28" s="45"/>
      <c r="P28" s="45"/>
      <c r="Q28" s="45"/>
      <c r="R28" s="45"/>
      <c r="S28" s="45"/>
      <c r="AU28" s="1067"/>
      <c r="BN28" s="45"/>
    </row>
    <row r="29" spans="1:82">
      <c r="A29" s="843" t="str">
        <f>+A24</f>
        <v>AWS (cons. forecast)</v>
      </c>
      <c r="B29" s="12"/>
      <c r="C29" s="12"/>
      <c r="D29" s="12"/>
      <c r="E29" s="12"/>
      <c r="F29" s="1146" t="e">
        <f t="shared" ref="F29:Q29" si="24">F24/B24-1</f>
        <v>#DIV/0!</v>
      </c>
      <c r="G29" s="1146" t="e">
        <f t="shared" si="24"/>
        <v>#DIV/0!</v>
      </c>
      <c r="H29" s="1146" t="e">
        <f t="shared" si="24"/>
        <v>#DIV/0!</v>
      </c>
      <c r="I29" s="1146" t="e">
        <f t="shared" si="24"/>
        <v>#DIV/0!</v>
      </c>
      <c r="J29" s="1146" t="e">
        <f t="shared" si="24"/>
        <v>#DIV/0!</v>
      </c>
      <c r="K29" s="1146" t="e">
        <f t="shared" si="24"/>
        <v>#DIV/0!</v>
      </c>
      <c r="L29" s="1146" t="e">
        <f t="shared" si="24"/>
        <v>#DIV/0!</v>
      </c>
      <c r="M29" s="1146" t="e">
        <f t="shared" si="24"/>
        <v>#DIV/0!</v>
      </c>
      <c r="N29" s="1146" t="e">
        <f t="shared" si="24"/>
        <v>#DIV/0!</v>
      </c>
      <c r="O29" s="1146" t="e">
        <f t="shared" si="24"/>
        <v>#DIV/0!</v>
      </c>
      <c r="P29" s="1146" t="e">
        <f t="shared" si="24"/>
        <v>#DIV/0!</v>
      </c>
      <c r="Q29" s="1146" t="e">
        <f t="shared" si="24"/>
        <v>#DIV/0!</v>
      </c>
      <c r="R29" s="1147"/>
      <c r="S29" s="1147"/>
      <c r="T29" s="1147"/>
      <c r="U29" s="1147"/>
      <c r="V29" s="1147">
        <f t="shared" ref="V29:X29" si="25">+V24+R24</f>
        <v>0.91999999999999993</v>
      </c>
      <c r="W29" s="1147">
        <f t="shared" si="25"/>
        <v>0.90999999999999992</v>
      </c>
      <c r="X29" s="1147">
        <f t="shared" si="25"/>
        <v>0.88</v>
      </c>
      <c r="Y29" s="1147">
        <f>+Y24+U24</f>
        <v>0.9</v>
      </c>
      <c r="Z29" s="1147">
        <f t="shared" ref="Z29:AU30" si="26">+Z24+V24</f>
        <v>0.90999999999999992</v>
      </c>
      <c r="AA29" s="1147">
        <f t="shared" si="26"/>
        <v>0.86</v>
      </c>
      <c r="AB29" s="1147">
        <f t="shared" si="26"/>
        <v>0.81</v>
      </c>
      <c r="AC29" s="1147">
        <f t="shared" si="26"/>
        <v>0.8</v>
      </c>
      <c r="AD29" s="1147">
        <f t="shared" si="26"/>
        <v>0.75</v>
      </c>
      <c r="AE29" s="1147">
        <f t="shared" si="26"/>
        <v>0.65999999999999992</v>
      </c>
      <c r="AF29" s="1147">
        <f t="shared" si="26"/>
        <v>0.6399999999999999</v>
      </c>
      <c r="AG29" s="1147">
        <f t="shared" si="26"/>
        <v>0.62000000000000011</v>
      </c>
      <c r="AH29" s="1147">
        <f t="shared" si="26"/>
        <v>0.65</v>
      </c>
      <c r="AI29" s="1147">
        <f t="shared" si="26"/>
        <v>0.65999999999999992</v>
      </c>
      <c r="AJ29" s="1147">
        <f t="shared" si="26"/>
        <v>0.67999999999999994</v>
      </c>
      <c r="AK29" s="1147">
        <f t="shared" si="26"/>
        <v>0.68</v>
      </c>
      <c r="AL29" s="1147">
        <f t="shared" si="26"/>
        <v>0.69</v>
      </c>
      <c r="AM29" s="1147">
        <f t="shared" si="26"/>
        <v>0.7</v>
      </c>
      <c r="AN29" s="1147">
        <f t="shared" si="26"/>
        <v>0.67</v>
      </c>
      <c r="AO29" s="1147">
        <f t="shared" si="26"/>
        <v>0.60000000000000009</v>
      </c>
      <c r="AP29" s="1147">
        <f t="shared" si="26"/>
        <v>0.527963234097934</v>
      </c>
      <c r="AQ29" s="1147">
        <f t="shared" si="26"/>
        <v>0.45163736764780377</v>
      </c>
      <c r="AR29" s="1147">
        <f t="shared" si="26"/>
        <v>0.40274807673580693</v>
      </c>
      <c r="AS29" s="1147">
        <f t="shared" si="26"/>
        <v>0.33219197305641318</v>
      </c>
      <c r="AT29" s="1147">
        <f t="shared" si="26"/>
        <v>0.33043677535484139</v>
      </c>
      <c r="AU29" s="1148">
        <f t="shared" si="26"/>
        <v>0.29510168562431693</v>
      </c>
      <c r="AV29" s="1147">
        <f t="shared" ref="AV29:AV30" si="27">+AV24+AR24</f>
        <v>0.3011035995251734</v>
      </c>
      <c r="AW29" s="1147">
        <f t="shared" ref="AW29:AW30" si="28">+AW24+AS24</f>
        <v>0.31438086745403337</v>
      </c>
      <c r="AX29" s="1147">
        <f t="shared" ref="AX29:AX30" si="29">+AX24+AT24</f>
        <v>0.35284259505728288</v>
      </c>
      <c r="AY29" s="1147">
        <f t="shared" ref="AY29:AY30" si="30">+AY24+AU24</f>
        <v>0.35484650846553389</v>
      </c>
      <c r="AZ29" s="1149"/>
      <c r="BA29" s="1149"/>
      <c r="BB29" s="1149"/>
      <c r="BC29" s="1149"/>
      <c r="BD29" s="1149"/>
      <c r="BE29" s="1149"/>
      <c r="BF29" s="1149"/>
      <c r="BG29" s="1149"/>
      <c r="BH29" s="1149"/>
      <c r="BI29" s="1149"/>
      <c r="BN29" s="12" t="s">
        <v>687</v>
      </c>
      <c r="BO29" s="1149"/>
      <c r="BP29" s="1149" t="e">
        <f t="shared" ref="BP29:CC29" si="31">BP24/BO24-1</f>
        <v>#DIV/0!</v>
      </c>
      <c r="BQ29" s="1149" t="e">
        <f t="shared" si="31"/>
        <v>#DIV/0!</v>
      </c>
      <c r="BR29" s="1149" t="e">
        <f t="shared" si="31"/>
        <v>#DIV/0!</v>
      </c>
      <c r="BS29" s="1149" t="e">
        <f t="shared" si="31"/>
        <v>#DIV/0!</v>
      </c>
      <c r="BT29" s="1149" t="e">
        <f t="shared" si="31"/>
        <v>#DIV/0!</v>
      </c>
      <c r="BU29" s="1149" t="e">
        <f t="shared" si="31"/>
        <v>#DIV/0!</v>
      </c>
      <c r="BV29" s="1149" t="e">
        <f t="shared" si="31"/>
        <v>#DIV/0!</v>
      </c>
      <c r="BW29" s="1149" t="e">
        <f t="shared" si="31"/>
        <v>#DIV/0!</v>
      </c>
      <c r="BX29" s="1149" t="e">
        <f t="shared" si="31"/>
        <v>#DIV/0!</v>
      </c>
      <c r="BY29" s="1149" t="e">
        <f t="shared" si="31"/>
        <v>#DIV/0!</v>
      </c>
      <c r="BZ29" s="1149" t="e">
        <f t="shared" si="31"/>
        <v>#DIV/0!</v>
      </c>
      <c r="CA29" s="1149" t="e">
        <f t="shared" si="31"/>
        <v>#DIV/0!</v>
      </c>
      <c r="CB29" s="1149" t="e">
        <f t="shared" si="31"/>
        <v>#DIV/0!</v>
      </c>
      <c r="CC29" s="1149" t="e">
        <f t="shared" si="31"/>
        <v>#DIV/0!</v>
      </c>
      <c r="CD29" s="1149"/>
    </row>
    <row r="30" spans="1:82">
      <c r="A30" s="843" t="str">
        <f>+A25</f>
        <v>Azure</v>
      </c>
      <c r="B30" s="1125"/>
      <c r="C30" s="1125"/>
      <c r="D30" s="1125"/>
      <c r="E30" s="1125"/>
      <c r="F30" s="1125"/>
      <c r="G30" s="1125"/>
      <c r="H30" s="1125"/>
      <c r="I30" s="1125"/>
      <c r="J30" s="1118"/>
      <c r="K30" s="1118"/>
      <c r="L30" s="1118"/>
      <c r="M30" s="1118"/>
      <c r="N30" s="1118"/>
      <c r="O30" s="1118"/>
      <c r="P30" s="1118"/>
      <c r="Q30" s="1118"/>
      <c r="R30" s="1147"/>
      <c r="S30" s="1147"/>
      <c r="T30" s="1147"/>
      <c r="U30" s="1147"/>
      <c r="V30" s="1147">
        <f t="shared" ref="V30" si="32">+V25+R25</f>
        <v>1.83</v>
      </c>
      <c r="W30" s="1147">
        <f t="shared" ref="W30" si="33">+W25+S25</f>
        <v>1.83</v>
      </c>
      <c r="X30" s="1147">
        <f t="shared" ref="X30:Y30" si="34">+X25+T25</f>
        <v>1.65</v>
      </c>
      <c r="Y30" s="1147">
        <f t="shared" si="34"/>
        <v>1.74</v>
      </c>
      <c r="Z30" s="1147">
        <f t="shared" si="26"/>
        <v>1.6400000000000001</v>
      </c>
      <c r="AA30" s="1147">
        <f t="shared" si="26"/>
        <v>1.53</v>
      </c>
      <c r="AB30" s="1147">
        <f t="shared" si="26"/>
        <v>1.3900000000000001</v>
      </c>
      <c r="AC30" s="1147">
        <f t="shared" si="26"/>
        <v>1.4</v>
      </c>
      <c r="AD30" s="1147">
        <f t="shared" si="26"/>
        <v>1.3599999999999999</v>
      </c>
      <c r="AE30" s="1147">
        <f t="shared" si="26"/>
        <v>1.1800000000000002</v>
      </c>
      <c r="AF30" s="1147">
        <f t="shared" si="26"/>
        <v>1.1000000000000001</v>
      </c>
      <c r="AG30" s="1147">
        <f t="shared" si="26"/>
        <v>1.1200000000000001</v>
      </c>
      <c r="AH30" s="1147">
        <f t="shared" si="26"/>
        <v>1.07</v>
      </c>
      <c r="AI30" s="1147">
        <f t="shared" si="26"/>
        <v>0.95</v>
      </c>
      <c r="AJ30" s="1147">
        <f t="shared" si="26"/>
        <v>0.95</v>
      </c>
      <c r="AK30" s="1147">
        <f t="shared" si="26"/>
        <v>0.94</v>
      </c>
      <c r="AL30" s="1147">
        <f t="shared" si="26"/>
        <v>0.95</v>
      </c>
      <c r="AM30" s="1147">
        <f t="shared" si="26"/>
        <v>0.91</v>
      </c>
      <c r="AN30" s="1147">
        <f t="shared" si="26"/>
        <v>0.89999999999999991</v>
      </c>
      <c r="AO30" s="1147">
        <f t="shared" si="26"/>
        <v>0.84000000000000008</v>
      </c>
      <c r="AP30" s="1147">
        <f t="shared" si="26"/>
        <v>0.8</v>
      </c>
      <c r="AQ30" s="1147">
        <f t="shared" si="26"/>
        <v>0.73</v>
      </c>
      <c r="AR30" s="1147">
        <f t="shared" si="26"/>
        <v>0.7</v>
      </c>
      <c r="AS30" s="1147">
        <f t="shared" si="26"/>
        <v>0.66</v>
      </c>
      <c r="AT30" s="1147">
        <f t="shared" si="26"/>
        <v>0.62</v>
      </c>
      <c r="AU30" s="1148">
        <f t="shared" si="26"/>
        <v>0.57000000000000006</v>
      </c>
      <c r="AV30" s="1147">
        <f t="shared" si="27"/>
        <v>0.57000000000000006</v>
      </c>
      <c r="AW30" s="1147">
        <f t="shared" si="28"/>
        <v>0.57000000000000006</v>
      </c>
      <c r="AX30" s="1147">
        <f t="shared" si="29"/>
        <v>0.61</v>
      </c>
      <c r="AY30" s="1147">
        <f t="shared" si="30"/>
        <v>0.6</v>
      </c>
      <c r="AZ30" s="1119"/>
      <c r="BA30" s="1119"/>
      <c r="BB30" s="1119"/>
      <c r="BC30" s="1119"/>
      <c r="BD30" s="1119"/>
      <c r="BE30" s="1119"/>
      <c r="BF30" s="1119"/>
      <c r="BG30" s="1119"/>
      <c r="BH30" s="1119"/>
      <c r="BI30" s="1119"/>
      <c r="BO30" s="1119"/>
      <c r="BP30" s="1120"/>
      <c r="BQ30" s="1120"/>
      <c r="BR30" s="1120"/>
      <c r="BS30" s="1120"/>
      <c r="BT30" s="1120"/>
      <c r="BU30" s="1120"/>
      <c r="BV30" s="1120"/>
      <c r="BW30" s="1120"/>
      <c r="BX30" s="1120"/>
      <c r="BY30" s="1120"/>
      <c r="BZ30" s="1120"/>
      <c r="CA30" s="1120"/>
      <c r="CB30" s="1120"/>
      <c r="CC30" s="1120"/>
      <c r="CD30" s="1120"/>
    </row>
    <row r="31" spans="1:82">
      <c r="A31" s="843" t="str">
        <f>+A16</f>
        <v>Google Cloud (cons. forecast)</v>
      </c>
      <c r="B31" s="12"/>
      <c r="C31" s="12"/>
      <c r="D31" s="12"/>
      <c r="E31" s="12"/>
      <c r="F31" s="12"/>
      <c r="G31" s="1146"/>
      <c r="H31" s="1146"/>
      <c r="I31" s="1146"/>
      <c r="J31" s="1146"/>
      <c r="K31" s="1146"/>
      <c r="L31" s="1146"/>
      <c r="M31" s="1146"/>
      <c r="N31" s="1146"/>
      <c r="O31" s="1146"/>
      <c r="P31" s="1146"/>
      <c r="Q31" s="1146"/>
      <c r="R31" s="1147"/>
      <c r="S31" s="1147"/>
      <c r="T31" s="1147"/>
      <c r="U31" s="1147"/>
      <c r="V31" s="1147"/>
      <c r="W31" s="1147"/>
      <c r="X31" s="1147"/>
      <c r="Y31" s="1147"/>
      <c r="Z31" s="1147"/>
      <c r="AA31" s="1147"/>
      <c r="AB31" s="1147"/>
      <c r="AC31" s="1147" t="s">
        <v>271</v>
      </c>
      <c r="AD31" s="1147" t="s">
        <v>271</v>
      </c>
      <c r="AE31" s="1147" t="s">
        <v>271</v>
      </c>
      <c r="AF31" s="1147" t="s">
        <v>271</v>
      </c>
      <c r="AG31" s="1147" t="s">
        <v>271</v>
      </c>
      <c r="AH31" s="1147" t="s">
        <v>271</v>
      </c>
      <c r="AI31" s="1147" t="s">
        <v>271</v>
      </c>
      <c r="AJ31" s="1147" t="s">
        <v>271</v>
      </c>
      <c r="AK31" s="1147" t="s">
        <v>271</v>
      </c>
      <c r="AL31" s="1147" t="s">
        <v>271</v>
      </c>
      <c r="AM31" s="1147" t="s">
        <v>271</v>
      </c>
      <c r="AN31" s="1147" t="s">
        <v>271</v>
      </c>
      <c r="AO31" s="1147" t="s">
        <v>271</v>
      </c>
      <c r="AP31" s="1147" t="s">
        <v>271</v>
      </c>
      <c r="AQ31" s="1147" t="s">
        <v>271</v>
      </c>
      <c r="AR31" s="1147" t="s">
        <v>271</v>
      </c>
      <c r="AS31" s="1147" t="s">
        <v>271</v>
      </c>
      <c r="AT31" s="1147" t="s">
        <v>271</v>
      </c>
      <c r="AU31" s="1148" t="s">
        <v>271</v>
      </c>
      <c r="AV31" s="1147" t="s">
        <v>271</v>
      </c>
      <c r="AW31" s="1147" t="s">
        <v>271</v>
      </c>
      <c r="AX31" s="1147" t="s">
        <v>271</v>
      </c>
      <c r="AY31" s="1147" t="s">
        <v>271</v>
      </c>
      <c r="AZ31" s="1146"/>
      <c r="BA31" s="1146"/>
      <c r="BB31" s="1146"/>
      <c r="BC31" s="1146"/>
      <c r="BD31" s="1146"/>
      <c r="BE31" s="1146"/>
      <c r="BF31" s="1146"/>
      <c r="BG31" s="1146"/>
      <c r="BH31" s="1146"/>
      <c r="BI31" s="1146"/>
      <c r="BN31" s="12"/>
      <c r="BP31" s="1149"/>
      <c r="BQ31" s="1149"/>
      <c r="BR31" s="1149"/>
      <c r="BS31" s="1149"/>
      <c r="BT31" s="1149"/>
      <c r="BU31" s="1149"/>
      <c r="BV31" s="1149"/>
      <c r="BW31" s="1149"/>
      <c r="BX31" s="1149"/>
      <c r="BY31" s="1149"/>
      <c r="BZ31" s="1149"/>
      <c r="CA31" s="1149"/>
      <c r="CB31" s="1149"/>
      <c r="CC31" s="1149"/>
      <c r="CD31" s="1149"/>
    </row>
    <row r="32" spans="1:82">
      <c r="A32" s="843"/>
      <c r="B32" s="12"/>
      <c r="C32" s="12"/>
      <c r="D32" s="12"/>
      <c r="E32" s="12"/>
      <c r="F32" s="12"/>
      <c r="G32" s="1146"/>
      <c r="H32" s="1146"/>
      <c r="I32" s="1146"/>
      <c r="J32" s="1146"/>
      <c r="K32" s="1146"/>
      <c r="L32" s="1146"/>
      <c r="M32" s="1146"/>
      <c r="N32" s="1146"/>
      <c r="O32" s="1146"/>
      <c r="P32" s="1146"/>
      <c r="Q32" s="1146"/>
      <c r="R32" s="1147"/>
      <c r="S32" s="1147"/>
      <c r="T32" s="1147"/>
      <c r="U32" s="1147"/>
      <c r="V32" s="1147"/>
      <c r="W32" s="1147"/>
      <c r="X32" s="1147"/>
      <c r="Y32" s="1147"/>
      <c r="Z32" s="1147"/>
      <c r="AA32" s="1147"/>
      <c r="AB32" s="1147"/>
      <c r="AC32" s="1147"/>
      <c r="AD32" s="1147"/>
      <c r="AE32" s="1147"/>
      <c r="AF32" s="1147"/>
      <c r="AG32" s="1147"/>
      <c r="AH32" s="1147"/>
      <c r="AI32" s="1147"/>
      <c r="AJ32" s="1147"/>
      <c r="AK32" s="1147"/>
      <c r="AL32" s="1147"/>
      <c r="AM32" s="1147"/>
      <c r="AN32" s="1147"/>
      <c r="AO32" s="1147"/>
      <c r="AP32" s="1147"/>
      <c r="AQ32" s="1147"/>
      <c r="AR32" s="1147"/>
      <c r="AS32" s="1147"/>
      <c r="AT32" s="1147"/>
      <c r="AU32" s="1148"/>
      <c r="AV32" s="1147"/>
      <c r="AW32" s="1147"/>
      <c r="AX32" s="1147"/>
      <c r="AY32" s="1147"/>
      <c r="AZ32" s="1146"/>
      <c r="BA32" s="1146"/>
      <c r="BB32" s="1146"/>
      <c r="BC32" s="1146"/>
      <c r="BD32" s="1146"/>
      <c r="BE32" s="1146"/>
      <c r="BF32" s="1146"/>
      <c r="BG32" s="1146"/>
      <c r="BH32" s="1146"/>
      <c r="BI32" s="1146"/>
      <c r="BN32" s="12"/>
      <c r="BP32" s="1149"/>
      <c r="BQ32" s="1149"/>
      <c r="BR32" s="1149"/>
      <c r="BS32" s="1149"/>
      <c r="BT32" s="1149"/>
      <c r="BU32" s="1149"/>
      <c r="BV32" s="1149"/>
      <c r="BW32" s="1149"/>
      <c r="BX32" s="1149"/>
      <c r="BY32" s="1149"/>
      <c r="BZ32" s="1149"/>
      <c r="CA32" s="1149"/>
      <c r="CB32" s="1149"/>
      <c r="CC32" s="1149"/>
      <c r="CD32" s="1149"/>
    </row>
    <row r="33" spans="1:82" ht="10.5">
      <c r="A33" s="45" t="s">
        <v>692</v>
      </c>
      <c r="B33" s="45"/>
      <c r="C33" s="45"/>
      <c r="D33" s="45"/>
      <c r="E33" s="45"/>
      <c r="F33" s="45"/>
      <c r="G33" s="45"/>
      <c r="H33" s="45"/>
      <c r="I33" s="45"/>
      <c r="J33" s="45"/>
      <c r="K33" s="45"/>
      <c r="L33" s="45"/>
      <c r="M33" s="45"/>
      <c r="N33" s="45"/>
      <c r="O33" s="45"/>
      <c r="P33" s="45"/>
      <c r="Q33" s="45"/>
      <c r="R33" s="45"/>
      <c r="S33" s="45"/>
      <c r="AU33" s="1067"/>
      <c r="BA33" s="1155"/>
      <c r="BN33" s="45"/>
    </row>
    <row r="34" spans="1:82" ht="10.5">
      <c r="A34" s="843" t="str">
        <f>+A44</f>
        <v>AWS (cons. forecast)</v>
      </c>
      <c r="B34" s="45"/>
      <c r="C34" s="45"/>
      <c r="D34" s="45"/>
      <c r="E34" s="45"/>
      <c r="F34" s="45"/>
      <c r="G34" s="45"/>
      <c r="H34" s="45"/>
      <c r="I34" s="45"/>
      <c r="J34" s="45"/>
      <c r="K34" s="45"/>
      <c r="L34" s="45"/>
      <c r="M34" s="45"/>
      <c r="N34" s="45"/>
      <c r="O34" s="45"/>
      <c r="P34" s="45"/>
      <c r="Q34" s="45"/>
      <c r="R34" s="45"/>
      <c r="S34" s="45"/>
      <c r="Y34" s="1147">
        <f t="shared" ref="Y34:AU34" si="35">+Y9/Y$58</f>
        <v>0.61308495474615499</v>
      </c>
      <c r="Z34" s="1147">
        <f t="shared" si="35"/>
        <v>0.60010550274076313</v>
      </c>
      <c r="AA34" s="1147">
        <f t="shared" si="35"/>
        <v>0.5778223915520263</v>
      </c>
      <c r="AB34" s="1147">
        <f t="shared" si="35"/>
        <v>0.57320485790533748</v>
      </c>
      <c r="AC34" s="1147">
        <f t="shared" si="35"/>
        <v>0.57220202013195143</v>
      </c>
      <c r="AD34" s="1147">
        <f t="shared" si="35"/>
        <v>0.56017488555382655</v>
      </c>
      <c r="AE34" s="1147">
        <f t="shared" si="35"/>
        <v>0.54800553619577697</v>
      </c>
      <c r="AF34" s="1147">
        <f t="shared" si="35"/>
        <v>0.54127518860294954</v>
      </c>
      <c r="AG34" s="1147">
        <f t="shared" si="35"/>
        <v>0.53509375285292504</v>
      </c>
      <c r="AH34" s="1147">
        <f t="shared" si="35"/>
        <v>0.53144675223179061</v>
      </c>
      <c r="AI34" s="1147">
        <f t="shared" si="35"/>
        <v>0.52209150506734225</v>
      </c>
      <c r="AJ34" s="1147">
        <f t="shared" si="35"/>
        <v>0.5251159513141298</v>
      </c>
      <c r="AK34" s="1147">
        <f t="shared" si="35"/>
        <v>0.52476568911957244</v>
      </c>
      <c r="AL34" s="1147">
        <f t="shared" si="35"/>
        <v>0.51668444408063385</v>
      </c>
      <c r="AM34" s="1147">
        <f t="shared" si="35"/>
        <v>0.51315391511235642</v>
      </c>
      <c r="AN34" s="1147">
        <f t="shared" si="35"/>
        <v>0.50955192775269187</v>
      </c>
      <c r="AO34" s="1147">
        <f t="shared" si="35"/>
        <v>0.50220823153542571</v>
      </c>
      <c r="AP34" s="1147">
        <f t="shared" si="35"/>
        <v>0.4929036541094442</v>
      </c>
      <c r="AQ34" s="1147">
        <f t="shared" si="35"/>
        <v>0.48278089336593477</v>
      </c>
      <c r="AR34" s="1147">
        <f t="shared" si="35"/>
        <v>0.47928748103344349</v>
      </c>
      <c r="AS34" s="1147">
        <f t="shared" si="35"/>
        <v>0.47058823529411764</v>
      </c>
      <c r="AT34" s="1147">
        <f t="shared" si="35"/>
        <v>0.46688628788869219</v>
      </c>
      <c r="AU34" s="1148">
        <f t="shared" si="35"/>
        <v>0.4618228174037623</v>
      </c>
      <c r="AV34" s="1147">
        <f t="shared" ref="AV34:AY34" si="36">+AV9/AV$58</f>
        <v>0.45835703267400357</v>
      </c>
      <c r="AW34" s="1147">
        <f t="shared" si="36"/>
        <v>0.44901080068518362</v>
      </c>
      <c r="AX34" s="1147">
        <f t="shared" si="36"/>
        <v>0.44711078818597128</v>
      </c>
      <c r="AY34" s="1147">
        <f t="shared" si="36"/>
        <v>0.44021191401930315</v>
      </c>
      <c r="BA34" s="1155"/>
      <c r="BN34" s="45"/>
    </row>
    <row r="35" spans="1:82" ht="10.5">
      <c r="A35" s="843" t="str">
        <f>+A25</f>
        <v>Azure</v>
      </c>
      <c r="B35" s="45"/>
      <c r="C35" s="45"/>
      <c r="D35" s="45"/>
      <c r="E35" s="45"/>
      <c r="F35" s="45"/>
      <c r="G35" s="45"/>
      <c r="H35" s="45"/>
      <c r="I35" s="45"/>
      <c r="J35" s="45"/>
      <c r="K35" s="45"/>
      <c r="L35" s="45"/>
      <c r="M35" s="45"/>
      <c r="N35" s="45"/>
      <c r="O35" s="45"/>
      <c r="P35" s="45"/>
      <c r="Q35" s="45"/>
      <c r="R35" s="45"/>
      <c r="S35" s="45"/>
      <c r="Y35" s="1147">
        <f t="shared" ref="Y35:AU35" si="37">+Y10/Y$58</f>
        <v>0.24589725418235386</v>
      </c>
      <c r="Z35" s="1147">
        <f t="shared" si="37"/>
        <v>0.25758777396117405</v>
      </c>
      <c r="AA35" s="1147">
        <f t="shared" si="37"/>
        <v>0.27739452501410483</v>
      </c>
      <c r="AB35" s="1147">
        <f t="shared" si="37"/>
        <v>0.27519376833626358</v>
      </c>
      <c r="AC35" s="1147">
        <f t="shared" si="37"/>
        <v>0.2775331536047454</v>
      </c>
      <c r="AD35" s="1147">
        <f t="shared" si="37"/>
        <v>0.28759831562212251</v>
      </c>
      <c r="AE35" s="1147">
        <f t="shared" si="37"/>
        <v>0.29952845276233714</v>
      </c>
      <c r="AF35" s="1147">
        <f t="shared" si="37"/>
        <v>0.29803592685704894</v>
      </c>
      <c r="AG35" s="1147">
        <f t="shared" si="37"/>
        <v>0.30402536760072774</v>
      </c>
      <c r="AH35" s="1147">
        <f t="shared" si="37"/>
        <v>0.30927271705043891</v>
      </c>
      <c r="AI35" s="1147">
        <f t="shared" si="37"/>
        <v>0.31474828928395371</v>
      </c>
      <c r="AJ35" s="1147">
        <f t="shared" si="37"/>
        <v>0.31223174595107778</v>
      </c>
      <c r="AK35" s="1147">
        <f t="shared" si="37"/>
        <v>0.3116951273364707</v>
      </c>
      <c r="AL35" s="1147">
        <f t="shared" si="37"/>
        <v>0.32022135555098202</v>
      </c>
      <c r="AM35" s="1147">
        <f t="shared" si="37"/>
        <v>0.32368918883185815</v>
      </c>
      <c r="AN35" s="1147">
        <f t="shared" si="37"/>
        <v>0.32005160522006648</v>
      </c>
      <c r="AO35" s="1147">
        <f t="shared" si="37"/>
        <v>0.32594906972373616</v>
      </c>
      <c r="AP35" s="1147">
        <f t="shared" si="37"/>
        <v>0.3350394086548249</v>
      </c>
      <c r="AQ35" s="1147">
        <f t="shared" si="37"/>
        <v>0.34209655222476892</v>
      </c>
      <c r="AR35" s="1147">
        <f t="shared" si="37"/>
        <v>0.34588763484442225</v>
      </c>
      <c r="AS35" s="1147">
        <f t="shared" si="37"/>
        <v>0.35069555834232552</v>
      </c>
      <c r="AT35" s="1147">
        <f t="shared" si="37"/>
        <v>0.35457917042315268</v>
      </c>
      <c r="AU35" s="1148">
        <f t="shared" si="37"/>
        <v>0.35974422552847662</v>
      </c>
      <c r="AV35" s="1147">
        <f t="shared" ref="AV35:AY35" si="38">+AV10/AV$58</f>
        <v>0.36360846367545435</v>
      </c>
      <c r="AW35" s="1147">
        <f t="shared" si="38"/>
        <v>0.37145517992413341</v>
      </c>
      <c r="AX35" s="1147">
        <f t="shared" si="38"/>
        <v>0.37873735927811131</v>
      </c>
      <c r="AY35" s="1147">
        <f t="shared" si="38"/>
        <v>0.38313191647648714</v>
      </c>
      <c r="BN35" s="45"/>
    </row>
    <row r="36" spans="1:82" ht="10.5">
      <c r="A36" s="843" t="str">
        <f>+A46</f>
        <v>Google Cloud (cons. forecast)</v>
      </c>
      <c r="B36" s="45"/>
      <c r="C36" s="45"/>
      <c r="D36" s="45"/>
      <c r="E36" s="45"/>
      <c r="F36" s="45"/>
      <c r="G36" s="45"/>
      <c r="H36" s="45"/>
      <c r="I36" s="45"/>
      <c r="J36" s="45"/>
      <c r="K36" s="45"/>
      <c r="L36" s="45"/>
      <c r="M36" s="45"/>
      <c r="N36" s="45"/>
      <c r="O36" s="45"/>
      <c r="P36" s="45"/>
      <c r="Q36" s="45"/>
      <c r="R36" s="45"/>
      <c r="S36" s="45"/>
      <c r="Y36" s="1147">
        <f t="shared" ref="Y36:AU36" si="39">+Y11/Y$58</f>
        <v>0.14101779107149112</v>
      </c>
      <c r="Z36" s="1147">
        <f t="shared" si="39"/>
        <v>0.14230672329806296</v>
      </c>
      <c r="AA36" s="1147">
        <f t="shared" si="39"/>
        <v>0.14478308343386889</v>
      </c>
      <c r="AB36" s="1147">
        <f t="shared" si="39"/>
        <v>0.15160137375839888</v>
      </c>
      <c r="AC36" s="1147">
        <f t="shared" si="39"/>
        <v>0.15026482626330329</v>
      </c>
      <c r="AD36" s="1147">
        <f t="shared" si="39"/>
        <v>0.15222679882405094</v>
      </c>
      <c r="AE36" s="1147">
        <f t="shared" si="39"/>
        <v>0.15246601104188576</v>
      </c>
      <c r="AF36" s="1147">
        <f t="shared" si="39"/>
        <v>0.16068888454000158</v>
      </c>
      <c r="AG36" s="1147">
        <f t="shared" si="39"/>
        <v>0.16088087954634719</v>
      </c>
      <c r="AH36" s="1147">
        <f t="shared" si="39"/>
        <v>0.1592805307177706</v>
      </c>
      <c r="AI36" s="1147">
        <f t="shared" si="39"/>
        <v>0.16316020564870415</v>
      </c>
      <c r="AJ36" s="1147">
        <f t="shared" si="39"/>
        <v>0.16265230273479253</v>
      </c>
      <c r="AK36" s="1147">
        <f t="shared" si="39"/>
        <v>0.16353918354395675</v>
      </c>
      <c r="AL36" s="1147">
        <f t="shared" si="39"/>
        <v>0.16309420036838401</v>
      </c>
      <c r="AM36" s="1147">
        <f t="shared" si="39"/>
        <v>0.16315689605578543</v>
      </c>
      <c r="AN36" s="1147">
        <f t="shared" si="39"/>
        <v>0.17039646702724159</v>
      </c>
      <c r="AO36" s="1147">
        <f t="shared" si="39"/>
        <v>0.17184269874083818</v>
      </c>
      <c r="AP36" s="1147">
        <f t="shared" si="39"/>
        <v>0.17205693723573087</v>
      </c>
      <c r="AQ36" s="1147">
        <f t="shared" si="39"/>
        <v>0.17512255440929639</v>
      </c>
      <c r="AR36" s="1147">
        <f t="shared" si="39"/>
        <v>0.17482488412213423</v>
      </c>
      <c r="AS36" s="1147">
        <f t="shared" si="39"/>
        <v>0.17871620636355681</v>
      </c>
      <c r="AT36" s="1147">
        <f t="shared" si="39"/>
        <v>0.17853454168815508</v>
      </c>
      <c r="AU36" s="1148">
        <f t="shared" si="39"/>
        <v>0.17843295706776105</v>
      </c>
      <c r="AV36" s="1147">
        <f t="shared" ref="AV36:AY36" si="40">+AV11/AV$58</f>
        <v>0.17803450365054205</v>
      </c>
      <c r="AW36" s="1147">
        <f t="shared" si="40"/>
        <v>0.179534019390683</v>
      </c>
      <c r="AX36" s="1147">
        <f t="shared" si="40"/>
        <v>0.17415185253591747</v>
      </c>
      <c r="AY36" s="1147">
        <f t="shared" si="40"/>
        <v>0.17665616950420968</v>
      </c>
      <c r="BN36" s="45"/>
    </row>
    <row r="37" spans="1:82" ht="10.5">
      <c r="A37" s="45"/>
      <c r="B37" s="45"/>
      <c r="C37" s="45"/>
      <c r="D37" s="45"/>
      <c r="E37" s="45"/>
      <c r="F37" s="45"/>
      <c r="G37" s="45"/>
      <c r="H37" s="45"/>
      <c r="I37" s="45"/>
      <c r="J37" s="45"/>
      <c r="K37" s="45"/>
      <c r="L37" s="45"/>
      <c r="M37" s="45"/>
      <c r="N37" s="45"/>
      <c r="O37" s="45"/>
      <c r="P37" s="45"/>
      <c r="Q37" s="45"/>
      <c r="R37" s="45"/>
      <c r="S37" s="45"/>
      <c r="AU37" s="1067"/>
      <c r="BN37" s="45"/>
    </row>
    <row r="38" spans="1:82" ht="10.5">
      <c r="A38" s="45" t="s">
        <v>693</v>
      </c>
      <c r="B38" s="45"/>
      <c r="C38" s="45"/>
      <c r="D38" s="45"/>
      <c r="E38" s="45"/>
      <c r="F38" s="45"/>
      <c r="G38" s="45"/>
      <c r="H38" s="45"/>
      <c r="I38" s="45"/>
      <c r="J38" s="45"/>
      <c r="K38" s="45"/>
      <c r="L38" s="45"/>
      <c r="M38" s="45"/>
      <c r="N38" s="45"/>
      <c r="O38" s="45"/>
      <c r="P38" s="45"/>
      <c r="Q38" s="45"/>
      <c r="R38" s="45"/>
      <c r="S38" s="45"/>
      <c r="AU38" s="1067"/>
      <c r="BN38" s="45"/>
    </row>
    <row r="39" spans="1:82" ht="10.5">
      <c r="A39" s="843" t="str">
        <f>+A14</f>
        <v>AWS (cons. forecast)</v>
      </c>
      <c r="B39" s="45"/>
      <c r="C39" s="45"/>
      <c r="D39" s="45"/>
      <c r="E39" s="45"/>
      <c r="F39" s="45"/>
      <c r="G39" s="45"/>
      <c r="H39" s="45"/>
      <c r="I39" s="45"/>
      <c r="J39" s="45"/>
      <c r="K39" s="45"/>
      <c r="L39" s="45"/>
      <c r="M39" s="45"/>
      <c r="N39" s="45"/>
      <c r="O39" s="45"/>
      <c r="P39" s="45"/>
      <c r="Q39" s="45"/>
      <c r="R39" s="45"/>
      <c r="S39" s="45"/>
      <c r="Y39" s="1147"/>
      <c r="Z39" s="1151">
        <f>+Z34-Y34</f>
        <v>-1.2979452005391856E-2</v>
      </c>
      <c r="AA39" s="1151">
        <f t="shared" ref="AA39:AU39" si="41">+AA34-Z34</f>
        <v>-2.2283111188736826E-2</v>
      </c>
      <c r="AB39" s="1151">
        <f t="shared" si="41"/>
        <v>-4.6175336466888206E-3</v>
      </c>
      <c r="AC39" s="1151">
        <f t="shared" si="41"/>
        <v>-1.0028377733860561E-3</v>
      </c>
      <c r="AD39" s="1151">
        <f t="shared" si="41"/>
        <v>-1.2027134578124876E-2</v>
      </c>
      <c r="AE39" s="1151">
        <f t="shared" si="41"/>
        <v>-1.2169349358049586E-2</v>
      </c>
      <c r="AF39" s="1151">
        <f t="shared" si="41"/>
        <v>-6.7303475928274237E-3</v>
      </c>
      <c r="AG39" s="1151">
        <f t="shared" si="41"/>
        <v>-6.1814357500244999E-3</v>
      </c>
      <c r="AH39" s="1151">
        <f t="shared" si="41"/>
        <v>-3.647000621134433E-3</v>
      </c>
      <c r="AI39" s="1151">
        <f t="shared" si="41"/>
        <v>-9.3552471644483548E-3</v>
      </c>
      <c r="AJ39" s="1151">
        <f t="shared" si="41"/>
        <v>3.0244462467875488E-3</v>
      </c>
      <c r="AK39" s="1151">
        <f t="shared" si="41"/>
        <v>-3.502621945573603E-4</v>
      </c>
      <c r="AL39" s="1151">
        <f t="shared" si="41"/>
        <v>-8.0812450389385893E-3</v>
      </c>
      <c r="AM39" s="1151">
        <f t="shared" si="41"/>
        <v>-3.5305289682774355E-3</v>
      </c>
      <c r="AN39" s="1151">
        <f t="shared" si="41"/>
        <v>-3.6019873596645491E-3</v>
      </c>
      <c r="AO39" s="1151">
        <f t="shared" si="41"/>
        <v>-7.3436962172661602E-3</v>
      </c>
      <c r="AP39" s="1151">
        <f t="shared" si="41"/>
        <v>-9.3045774259815084E-3</v>
      </c>
      <c r="AQ39" s="1151">
        <f t="shared" si="41"/>
        <v>-1.0122760743509429E-2</v>
      </c>
      <c r="AR39" s="1151">
        <f t="shared" si="41"/>
        <v>-3.4934123324912858E-3</v>
      </c>
      <c r="AS39" s="1151">
        <f t="shared" si="41"/>
        <v>-8.6992457393258449E-3</v>
      </c>
      <c r="AT39" s="1151">
        <f t="shared" si="41"/>
        <v>-3.7019474054254542E-3</v>
      </c>
      <c r="AU39" s="1152">
        <f t="shared" si="41"/>
        <v>-5.0634704849298884E-3</v>
      </c>
      <c r="AV39" s="1151">
        <f t="shared" ref="AV39:AV41" si="42">+AV34-AU34</f>
        <v>-3.4657847297587252E-3</v>
      </c>
      <c r="AW39" s="1151">
        <f t="shared" ref="AW39:AW41" si="43">+AW34-AV34</f>
        <v>-9.346231988819953E-3</v>
      </c>
      <c r="AX39" s="1151">
        <f t="shared" ref="AX39:AX41" si="44">+AX34-AW34</f>
        <v>-1.9000124992123446E-3</v>
      </c>
      <c r="AY39" s="1151">
        <f t="shared" ref="AY39:AY41" si="45">+AY34-AX34</f>
        <v>-6.898874166668123E-3</v>
      </c>
      <c r="BN39" s="45"/>
    </row>
    <row r="40" spans="1:82" ht="10.5">
      <c r="A40" s="843" t="str">
        <f>+A35</f>
        <v>Azure</v>
      </c>
      <c r="B40" s="45"/>
      <c r="C40" s="45"/>
      <c r="D40" s="45"/>
      <c r="E40" s="45"/>
      <c r="F40" s="45"/>
      <c r="G40" s="45"/>
      <c r="H40" s="45"/>
      <c r="I40" s="45"/>
      <c r="J40" s="45"/>
      <c r="K40" s="45"/>
      <c r="L40" s="45"/>
      <c r="M40" s="45"/>
      <c r="N40" s="45"/>
      <c r="O40" s="45"/>
      <c r="P40" s="45"/>
      <c r="Q40" s="45"/>
      <c r="R40" s="45"/>
      <c r="S40" s="45"/>
      <c r="Y40" s="1147"/>
      <c r="Z40" s="1151">
        <f t="shared" ref="Z40:AU40" si="46">+Z35-Y35</f>
        <v>1.1690519778820185E-2</v>
      </c>
      <c r="AA40" s="1151">
        <f t="shared" si="46"/>
        <v>1.9806751052930782E-2</v>
      </c>
      <c r="AB40" s="1151">
        <f t="shared" si="46"/>
        <v>-2.2007566778412535E-3</v>
      </c>
      <c r="AC40" s="1151">
        <f t="shared" si="46"/>
        <v>2.3393852684818195E-3</v>
      </c>
      <c r="AD40" s="1151">
        <f t="shared" si="46"/>
        <v>1.0065162017377116E-2</v>
      </c>
      <c r="AE40" s="1151">
        <f t="shared" si="46"/>
        <v>1.1930137140214625E-2</v>
      </c>
      <c r="AF40" s="1151">
        <f t="shared" si="46"/>
        <v>-1.4925259052882001E-3</v>
      </c>
      <c r="AG40" s="1151">
        <f t="shared" si="46"/>
        <v>5.9894407436787978E-3</v>
      </c>
      <c r="AH40" s="1151">
        <f t="shared" si="46"/>
        <v>5.2473494497111695E-3</v>
      </c>
      <c r="AI40" s="1151">
        <f t="shared" si="46"/>
        <v>5.4755722335148027E-3</v>
      </c>
      <c r="AJ40" s="1151">
        <f t="shared" si="46"/>
        <v>-2.5165433328759312E-3</v>
      </c>
      <c r="AK40" s="1151">
        <f t="shared" si="46"/>
        <v>-5.3661861460707616E-4</v>
      </c>
      <c r="AL40" s="1151">
        <f t="shared" si="46"/>
        <v>8.5262282145113222E-3</v>
      </c>
      <c r="AM40" s="1151">
        <f t="shared" si="46"/>
        <v>3.4678332808761314E-3</v>
      </c>
      <c r="AN40" s="1151">
        <f t="shared" si="46"/>
        <v>-3.6375836117916727E-3</v>
      </c>
      <c r="AO40" s="1151">
        <f t="shared" si="46"/>
        <v>5.8974645036696804E-3</v>
      </c>
      <c r="AP40" s="1151">
        <f t="shared" si="46"/>
        <v>9.0903389310887373E-3</v>
      </c>
      <c r="AQ40" s="1151">
        <f t="shared" si="46"/>
        <v>7.0571435699440244E-3</v>
      </c>
      <c r="AR40" s="1151">
        <f t="shared" si="46"/>
        <v>3.7910826196533298E-3</v>
      </c>
      <c r="AS40" s="1151">
        <f t="shared" si="46"/>
        <v>4.8079234979032659E-3</v>
      </c>
      <c r="AT40" s="1151">
        <f t="shared" si="46"/>
        <v>3.883612080827159E-3</v>
      </c>
      <c r="AU40" s="1152">
        <f t="shared" si="46"/>
        <v>5.1650551053239457E-3</v>
      </c>
      <c r="AV40" s="1151">
        <f t="shared" si="42"/>
        <v>3.8642381469777276E-3</v>
      </c>
      <c r="AW40" s="1151">
        <f t="shared" si="43"/>
        <v>7.8467162486790532E-3</v>
      </c>
      <c r="AX40" s="1151">
        <f t="shared" si="44"/>
        <v>7.2821793539779023E-3</v>
      </c>
      <c r="AY40" s="1151">
        <f t="shared" si="45"/>
        <v>4.3945571983758369E-3</v>
      </c>
      <c r="BN40" s="45"/>
    </row>
    <row r="41" spans="1:82" ht="10.5">
      <c r="A41" s="843" t="str">
        <f>+A16</f>
        <v>Google Cloud (cons. forecast)</v>
      </c>
      <c r="B41" s="45"/>
      <c r="C41" s="45"/>
      <c r="D41" s="45"/>
      <c r="E41" s="45"/>
      <c r="F41" s="45"/>
      <c r="G41" s="45"/>
      <c r="H41" s="45"/>
      <c r="I41" s="45"/>
      <c r="J41" s="45"/>
      <c r="K41" s="45"/>
      <c r="L41" s="45"/>
      <c r="M41" s="45"/>
      <c r="N41" s="45"/>
      <c r="O41" s="45"/>
      <c r="P41" s="45"/>
      <c r="Q41" s="45"/>
      <c r="R41" s="45"/>
      <c r="S41" s="45"/>
      <c r="Y41" s="1147"/>
      <c r="Z41" s="1151">
        <f t="shared" ref="Z41:AU41" si="47">+Z36-Y36</f>
        <v>1.2889322265718373E-3</v>
      </c>
      <c r="AA41" s="1151">
        <f t="shared" si="47"/>
        <v>2.4763601358059328E-3</v>
      </c>
      <c r="AB41" s="1151">
        <f t="shared" si="47"/>
        <v>6.8182903245299908E-3</v>
      </c>
      <c r="AC41" s="1151">
        <f t="shared" si="47"/>
        <v>-1.3365474950955969E-3</v>
      </c>
      <c r="AD41" s="1151">
        <f t="shared" si="47"/>
        <v>1.961972560747649E-3</v>
      </c>
      <c r="AE41" s="1151">
        <f t="shared" si="47"/>
        <v>2.3921221783482216E-4</v>
      </c>
      <c r="AF41" s="1151">
        <f t="shared" si="47"/>
        <v>8.222873498115818E-3</v>
      </c>
      <c r="AG41" s="1151">
        <f t="shared" si="47"/>
        <v>1.9199500634561883E-4</v>
      </c>
      <c r="AH41" s="1151">
        <f t="shared" si="47"/>
        <v>-1.6003488285765977E-3</v>
      </c>
      <c r="AI41" s="1151">
        <f t="shared" si="47"/>
        <v>3.8796749309335521E-3</v>
      </c>
      <c r="AJ41" s="1151">
        <f t="shared" si="47"/>
        <v>-5.0790291391161757E-4</v>
      </c>
      <c r="AK41" s="1151">
        <f t="shared" si="47"/>
        <v>8.8688080916421441E-4</v>
      </c>
      <c r="AL41" s="1151">
        <f t="shared" si="47"/>
        <v>-4.4498317557273293E-4</v>
      </c>
      <c r="AM41" s="1151">
        <f t="shared" si="47"/>
        <v>6.2695687401415068E-5</v>
      </c>
      <c r="AN41" s="1151">
        <f t="shared" si="47"/>
        <v>7.2395709714561662E-3</v>
      </c>
      <c r="AO41" s="1151">
        <f t="shared" si="47"/>
        <v>1.4462317135965908E-3</v>
      </c>
      <c r="AP41" s="1151">
        <f t="shared" si="47"/>
        <v>2.1423849489268787E-4</v>
      </c>
      <c r="AQ41" s="1151">
        <f t="shared" si="47"/>
        <v>3.0656171735655158E-3</v>
      </c>
      <c r="AR41" s="1151">
        <f t="shared" si="47"/>
        <v>-2.9767028716215505E-4</v>
      </c>
      <c r="AS41" s="1151">
        <f t="shared" si="47"/>
        <v>3.891322241422579E-3</v>
      </c>
      <c r="AT41" s="1151">
        <f t="shared" si="47"/>
        <v>-1.8166467540173259E-4</v>
      </c>
      <c r="AU41" s="1152">
        <f t="shared" si="47"/>
        <v>-1.015846203940296E-4</v>
      </c>
      <c r="AV41" s="1151">
        <f t="shared" si="42"/>
        <v>-3.984534172190024E-4</v>
      </c>
      <c r="AW41" s="1151">
        <f t="shared" si="43"/>
        <v>1.4995157401409553E-3</v>
      </c>
      <c r="AX41" s="1151">
        <f t="shared" si="44"/>
        <v>-5.3821668547655299E-3</v>
      </c>
      <c r="AY41" s="1151">
        <f t="shared" si="45"/>
        <v>2.5043169682922028E-3</v>
      </c>
      <c r="BN41" s="45"/>
    </row>
    <row r="42" spans="1:82" ht="10.5">
      <c r="A42" s="45"/>
      <c r="B42" s="45"/>
      <c r="C42" s="45"/>
      <c r="D42" s="45"/>
      <c r="E42" s="45"/>
      <c r="F42" s="45"/>
      <c r="G42" s="45"/>
      <c r="H42" s="45"/>
      <c r="I42" s="45"/>
      <c r="J42" s="45"/>
      <c r="K42" s="45"/>
      <c r="L42" s="45"/>
      <c r="M42" s="45"/>
      <c r="N42" s="45"/>
      <c r="O42" s="45"/>
      <c r="P42" s="45"/>
      <c r="Q42" s="45"/>
      <c r="R42" s="45"/>
      <c r="S42" s="45"/>
      <c r="AU42" s="1067"/>
      <c r="BN42" s="45"/>
    </row>
    <row r="43" spans="1:82" ht="10.5">
      <c r="A43" s="858" t="s">
        <v>694</v>
      </c>
      <c r="B43" s="13"/>
      <c r="C43" s="13"/>
      <c r="D43" s="13"/>
      <c r="E43" s="13"/>
      <c r="F43" s="833"/>
      <c r="G43" s="833"/>
      <c r="H43" s="833"/>
      <c r="I43" s="833"/>
      <c r="J43" s="833"/>
      <c r="K43" s="833"/>
      <c r="L43" s="833"/>
      <c r="M43" s="833"/>
      <c r="N43" s="833"/>
      <c r="O43" s="833"/>
      <c r="P43" s="833"/>
      <c r="Q43" s="833"/>
      <c r="R43" s="833"/>
      <c r="S43" s="833"/>
      <c r="T43" s="833"/>
      <c r="U43" s="833"/>
      <c r="V43" s="833"/>
      <c r="W43" s="833"/>
      <c r="X43" s="833"/>
      <c r="Y43" s="833"/>
      <c r="Z43" s="833"/>
      <c r="AA43" s="833"/>
      <c r="AB43" s="833"/>
      <c r="AC43" s="833"/>
      <c r="AD43" s="833"/>
      <c r="AE43" s="833"/>
      <c r="AF43" s="833"/>
      <c r="AG43" s="833"/>
      <c r="AH43" s="833"/>
      <c r="AI43" s="833"/>
      <c r="AJ43" s="833"/>
      <c r="AK43" s="833"/>
      <c r="AL43" s="833"/>
      <c r="AM43" s="833"/>
      <c r="AN43" s="833"/>
      <c r="AO43" s="1122"/>
      <c r="AP43" s="1122"/>
      <c r="AQ43" s="1122"/>
      <c r="AR43" s="1122"/>
      <c r="AS43" s="1122"/>
      <c r="AT43" s="1122"/>
      <c r="AU43" s="1121"/>
      <c r="AV43" s="1122"/>
      <c r="AW43" s="1122"/>
      <c r="AX43" s="1122"/>
      <c r="AY43" s="1122"/>
      <c r="AZ43" s="1122"/>
      <c r="BA43" s="1122"/>
      <c r="BB43" s="1122"/>
      <c r="BC43" s="1122"/>
      <c r="BD43" s="1122"/>
      <c r="BE43" s="1122"/>
      <c r="BF43" s="1122"/>
      <c r="BG43" s="1122"/>
      <c r="BH43" s="1122"/>
      <c r="BI43" s="1122"/>
      <c r="BN43" s="13"/>
      <c r="BO43" s="1122"/>
      <c r="BP43" s="1122"/>
      <c r="BQ43" s="1122"/>
      <c r="BR43" s="1122"/>
      <c r="BS43" s="1122"/>
      <c r="BT43" s="1122"/>
      <c r="BU43" s="1122"/>
      <c r="BV43" s="1122"/>
      <c r="BW43" s="1122"/>
      <c r="BX43" s="1122"/>
      <c r="BY43" s="1122"/>
      <c r="BZ43" s="1122"/>
      <c r="CA43" s="1122"/>
      <c r="CB43" s="1122"/>
      <c r="CC43" s="1122"/>
      <c r="CD43" s="1122"/>
    </row>
    <row r="44" spans="1:82">
      <c r="A44" s="100" t="str">
        <f>+A39</f>
        <v>AWS (cons. forecast)</v>
      </c>
      <c r="B44" s="843"/>
      <c r="C44" s="1119">
        <f t="shared" ref="C44:AH44" si="48">C9-B9</f>
        <v>81.495427649273779</v>
      </c>
      <c r="D44" s="1119">
        <f t="shared" si="48"/>
        <v>114.68531468531478</v>
      </c>
      <c r="E44" s="1119">
        <f t="shared" si="48"/>
        <v>148.50387707530558</v>
      </c>
      <c r="F44" s="1119">
        <f t="shared" si="48"/>
        <v>84.013605442176868</v>
      </c>
      <c r="G44" s="1119">
        <f t="shared" si="48"/>
        <v>-45</v>
      </c>
      <c r="H44" s="1119">
        <f t="shared" si="48"/>
        <v>164</v>
      </c>
      <c r="I44" s="1119">
        <f t="shared" si="48"/>
        <v>251</v>
      </c>
      <c r="J44" s="1119">
        <f t="shared" si="48"/>
        <v>146</v>
      </c>
      <c r="K44" s="1119">
        <f t="shared" si="48"/>
        <v>258</v>
      </c>
      <c r="L44" s="1119">
        <f t="shared" si="48"/>
        <v>261</v>
      </c>
      <c r="M44" s="1119">
        <f t="shared" si="48"/>
        <v>320</v>
      </c>
      <c r="N44" s="1119">
        <f t="shared" si="48"/>
        <v>161</v>
      </c>
      <c r="O44" s="1119">
        <f t="shared" si="48"/>
        <v>320</v>
      </c>
      <c r="P44" s="1119">
        <f t="shared" si="48"/>
        <v>345</v>
      </c>
      <c r="Q44" s="1119">
        <f t="shared" si="48"/>
        <v>305</v>
      </c>
      <c r="R44" s="1119">
        <f t="shared" si="48"/>
        <v>125</v>
      </c>
      <c r="S44" s="1119">
        <f t="shared" si="48"/>
        <v>439</v>
      </c>
      <c r="T44" s="1119">
        <f t="shared" si="48"/>
        <v>484</v>
      </c>
      <c r="U44" s="1119">
        <f t="shared" si="48"/>
        <v>529</v>
      </c>
      <c r="V44" s="1119">
        <f t="shared" si="48"/>
        <v>329</v>
      </c>
      <c r="W44" s="1119">
        <f t="shared" si="48"/>
        <v>663</v>
      </c>
      <c r="X44" s="1119">
        <f t="shared" si="48"/>
        <v>574</v>
      </c>
      <c r="Y44" s="1119">
        <f t="shared" si="48"/>
        <v>751</v>
      </c>
      <c r="Z44" s="1119">
        <f t="shared" si="48"/>
        <v>266</v>
      </c>
      <c r="AA44" s="1119">
        <f t="shared" si="48"/>
        <v>685</v>
      </c>
      <c r="AB44" s="1119">
        <f t="shared" si="48"/>
        <v>614</v>
      </c>
      <c r="AC44" s="1119">
        <f t="shared" si="48"/>
        <v>959</v>
      </c>
      <c r="AD44" s="1119">
        <f t="shared" si="48"/>
        <v>265</v>
      </c>
      <c r="AE44" s="1119">
        <f t="shared" si="48"/>
        <v>589</v>
      </c>
      <c r="AF44" s="1119">
        <f t="shared" si="48"/>
        <v>793</v>
      </c>
      <c r="AG44" s="1119">
        <f t="shared" si="48"/>
        <v>1141</v>
      </c>
      <c r="AH44" s="1119">
        <f t="shared" si="48"/>
        <v>761</v>
      </c>
      <c r="AI44" s="1119">
        <f t="shared" ref="AI44:BI44" si="49">AI9-AH9</f>
        <v>1306</v>
      </c>
      <c r="AJ44" s="1119">
        <f t="shared" si="49"/>
        <v>1301</v>
      </c>
      <c r="AK44" s="1119">
        <f t="shared" si="49"/>
        <v>1670</v>
      </c>
      <c r="AL44" s="1119">
        <f t="shared" si="49"/>
        <v>661</v>
      </c>
      <c r="AM44" s="1119">
        <f t="shared" si="49"/>
        <v>1298</v>
      </c>
      <c r="AN44" s="1119">
        <f t="shared" si="49"/>
        <v>799</v>
      </c>
      <c r="AO44" s="1119">
        <f t="shared" si="49"/>
        <v>840</v>
      </c>
      <c r="AP44" s="1119">
        <f t="shared" si="49"/>
        <v>-24</v>
      </c>
      <c r="AQ44" s="1119">
        <f t="shared" si="49"/>
        <v>786</v>
      </c>
      <c r="AR44" s="1119">
        <f t="shared" si="49"/>
        <v>919</v>
      </c>
      <c r="AS44" s="1119">
        <f t="shared" si="49"/>
        <v>1145</v>
      </c>
      <c r="AT44" s="1119">
        <f t="shared" si="49"/>
        <v>833</v>
      </c>
      <c r="AU44" s="1123">
        <f t="shared" si="49"/>
        <v>943.5</v>
      </c>
      <c r="AV44" s="1119">
        <f t="shared" ref="AV44:AV46" si="50">AV9-AU9</f>
        <v>1191.2000000000007</v>
      </c>
      <c r="AW44" s="1119">
        <f t="shared" ref="AW44:AW46" si="51">AW9-AV9</f>
        <v>1442</v>
      </c>
      <c r="AX44" s="1119">
        <f t="shared" ref="AX44:AX46" si="52">AX9-AW9</f>
        <v>939.20000000000073</v>
      </c>
      <c r="AY44" s="1119">
        <f t="shared" ref="AY44:AY46" si="53">AY9-AX9</f>
        <v>1140</v>
      </c>
      <c r="AZ44" s="1119">
        <f t="shared" si="49"/>
        <v>1327.1999999999971</v>
      </c>
      <c r="BA44" s="1119">
        <f t="shared" si="49"/>
        <v>1659.5999999999985</v>
      </c>
      <c r="BB44" s="1119">
        <f t="shared" si="49"/>
        <v>-2808.9017500000009</v>
      </c>
      <c r="BC44" s="1119">
        <f t="shared" si="49"/>
        <v>1083.7001999999993</v>
      </c>
      <c r="BD44" s="1119">
        <f t="shared" si="49"/>
        <v>1160.1479999999974</v>
      </c>
      <c r="BE44" s="1119">
        <f t="shared" si="49"/>
        <v>1524.5999999999985</v>
      </c>
      <c r="BF44" s="1119">
        <f t="shared" si="49"/>
        <v>329.92162500000268</v>
      </c>
      <c r="BG44" s="1119">
        <f t="shared" si="49"/>
        <v>1192.0702200000014</v>
      </c>
      <c r="BH44" s="1119">
        <f t="shared" si="49"/>
        <v>1276.1627999999982</v>
      </c>
      <c r="BI44" s="1119">
        <f t="shared" si="49"/>
        <v>1677.0599999999977</v>
      </c>
      <c r="BN44" s="843" t="s">
        <v>695</v>
      </c>
      <c r="BP44" s="1120">
        <f t="shared" ref="BP44:CC44" si="54">BP9-BO9</f>
        <v>1536.4321100145276</v>
      </c>
      <c r="BQ44" s="1120">
        <f t="shared" si="54"/>
        <v>3236</v>
      </c>
      <c r="BR44" s="1120">
        <f t="shared" si="54"/>
        <v>4339</v>
      </c>
      <c r="BS44" s="1120">
        <f t="shared" si="54"/>
        <v>5239</v>
      </c>
      <c r="BT44" s="1120">
        <f t="shared" si="54"/>
        <v>8198</v>
      </c>
      <c r="BU44" s="1120">
        <f t="shared" si="54"/>
        <v>9370</v>
      </c>
      <c r="BV44" s="1120">
        <f t="shared" si="54"/>
        <v>10344</v>
      </c>
      <c r="BW44" s="1120">
        <f t="shared" si="54"/>
        <v>16832</v>
      </c>
      <c r="BX44" s="1120">
        <f t="shared" si="54"/>
        <v>17894</v>
      </c>
      <c r="BY44" s="1120">
        <f t="shared" si="54"/>
        <v>10661</v>
      </c>
      <c r="BZ44" s="1120">
        <f t="shared" si="54"/>
        <v>16045.899999999994</v>
      </c>
      <c r="CA44" s="1120">
        <f t="shared" si="54"/>
        <v>19142.699999999997</v>
      </c>
      <c r="CB44" s="1120">
        <f t="shared" si="54"/>
        <v>4633.5895999999775</v>
      </c>
      <c r="CC44" s="1120">
        <f t="shared" si="54"/>
        <v>17103.078959999999</v>
      </c>
      <c r="CD44" s="1120"/>
    </row>
    <row r="45" spans="1:82">
      <c r="A45" s="843" t="str">
        <f>+A10</f>
        <v>Azure</v>
      </c>
      <c r="B45" s="843"/>
      <c r="C45" s="843"/>
      <c r="D45" s="843"/>
      <c r="E45" s="843"/>
      <c r="F45" s="843"/>
      <c r="G45" s="843"/>
      <c r="H45" s="843"/>
      <c r="I45" s="843"/>
      <c r="J45" s="843"/>
      <c r="K45" s="843"/>
      <c r="L45" s="843"/>
      <c r="M45" s="1119">
        <f t="shared" ref="M45:BG45" si="55">M10-L10</f>
        <v>38.036069348148146</v>
      </c>
      <c r="N45" s="1119">
        <f t="shared" si="55"/>
        <v>108.23623679171226</v>
      </c>
      <c r="O45" s="1119">
        <f t="shared" si="55"/>
        <v>137.42507029503622</v>
      </c>
      <c r="P45" s="1119">
        <f t="shared" si="55"/>
        <v>113.06167616702692</v>
      </c>
      <c r="Q45" s="1119">
        <f t="shared" si="55"/>
        <v>31.201274775613342</v>
      </c>
      <c r="R45" s="1119">
        <f t="shared" si="55"/>
        <v>146.8711150071814</v>
      </c>
      <c r="S45" s="1119">
        <f t="shared" si="55"/>
        <v>306.26188964219727</v>
      </c>
      <c r="T45" s="1119">
        <f t="shared" si="55"/>
        <v>247.11044934575261</v>
      </c>
      <c r="U45" s="1119">
        <f t="shared" si="55"/>
        <v>135.25184540501255</v>
      </c>
      <c r="V45" s="1119">
        <f t="shared" si="55"/>
        <v>230.25675487839908</v>
      </c>
      <c r="W45" s="1119">
        <f t="shared" si="55"/>
        <v>565.05810814958636</v>
      </c>
      <c r="X45" s="1119">
        <f t="shared" si="55"/>
        <v>241.14122320511979</v>
      </c>
      <c r="Y45" s="1119">
        <f t="shared" si="55"/>
        <v>265.47450400601247</v>
      </c>
      <c r="Z45" s="1119">
        <f t="shared" si="55"/>
        <v>323.37342687707041</v>
      </c>
      <c r="AA45" s="1119">
        <f t="shared" si="55"/>
        <v>720.04529574936305</v>
      </c>
      <c r="AB45" s="1119">
        <f t="shared" si="55"/>
        <v>295.01299147740383</v>
      </c>
      <c r="AC45" s="1119">
        <f t="shared" si="55"/>
        <v>509.48402717109548</v>
      </c>
      <c r="AD45" s="1119">
        <f t="shared" si="55"/>
        <v>418.56326383545002</v>
      </c>
      <c r="AE45" s="1119">
        <f t="shared" si="55"/>
        <v>660.91126319417344</v>
      </c>
      <c r="AF45" s="1119">
        <f t="shared" si="55"/>
        <v>480.29232192385734</v>
      </c>
      <c r="AG45" s="1119">
        <f t="shared" si="55"/>
        <v>851.92871316518631</v>
      </c>
      <c r="AH45" s="1119">
        <f t="shared" si="55"/>
        <v>618.35220424259114</v>
      </c>
      <c r="AI45" s="1119">
        <f t="shared" si="55"/>
        <v>1069.7578119047585</v>
      </c>
      <c r="AJ45" s="1119">
        <f t="shared" si="55"/>
        <v>651.17900450736488</v>
      </c>
      <c r="AK45" s="1119">
        <f t="shared" si="55"/>
        <v>981.84978075025901</v>
      </c>
      <c r="AL45" s="1119">
        <f t="shared" si="55"/>
        <v>868.24168423718947</v>
      </c>
      <c r="AM45" s="1119">
        <f t="shared" si="55"/>
        <v>1022.0118890750346</v>
      </c>
      <c r="AN45" s="1119">
        <f t="shared" si="55"/>
        <v>448.9580997290177</v>
      </c>
      <c r="AO45" s="1119">
        <f t="shared" si="55"/>
        <v>975</v>
      </c>
      <c r="AP45" s="1119">
        <f t="shared" si="55"/>
        <v>639.86811421885432</v>
      </c>
      <c r="AQ45" s="1119">
        <f t="shared" si="55"/>
        <v>1173.444680122584</v>
      </c>
      <c r="AR45" s="1119">
        <f t="shared" si="55"/>
        <v>952.68720565856165</v>
      </c>
      <c r="AS45" s="1119">
        <f t="shared" si="55"/>
        <v>1396.5</v>
      </c>
      <c r="AT45" s="1119">
        <f t="shared" si="55"/>
        <v>976.97722962670014</v>
      </c>
      <c r="AU45" s="1123">
        <f t="shared" si="55"/>
        <v>1223.4462750737548</v>
      </c>
      <c r="AV45" s="1119">
        <f>AV10-AU10</f>
        <v>1317.0203232852255</v>
      </c>
      <c r="AW45" s="1119">
        <f t="shared" si="51"/>
        <v>2116.4401689603437</v>
      </c>
      <c r="AX45" s="1119">
        <f t="shared" si="52"/>
        <v>1362.2040996904798</v>
      </c>
      <c r="AY45" s="1119">
        <f t="shared" si="53"/>
        <v>1679.5226228192296</v>
      </c>
      <c r="AZ45" s="1119">
        <f t="shared" si="55"/>
        <v>-1834.9128125480784</v>
      </c>
      <c r="BA45" s="1119">
        <f t="shared" si="55"/>
        <v>984.52503897476709</v>
      </c>
      <c r="BB45" s="1119">
        <f t="shared" si="55"/>
        <v>1185.3021128108376</v>
      </c>
      <c r="BC45" s="1119">
        <f t="shared" si="55"/>
        <v>928.30859684584721</v>
      </c>
      <c r="BD45" s="1119">
        <f t="shared" si="55"/>
        <v>554.41107347291108</v>
      </c>
      <c r="BE45" s="1119">
        <f t="shared" si="55"/>
        <v>867.74331562543375</v>
      </c>
      <c r="BF45" s="1119">
        <f t="shared" si="55"/>
        <v>1129.87279494822</v>
      </c>
      <c r="BG45" s="1119">
        <f t="shared" si="55"/>
        <v>815.05287412382313</v>
      </c>
      <c r="BH45" s="1119"/>
      <c r="BI45" s="1119"/>
      <c r="BN45" s="843" t="str">
        <f>BN44</f>
        <v>Y/Y Dollar Growth</v>
      </c>
      <c r="BP45" s="1120"/>
      <c r="BQ45" s="1120">
        <f t="shared" ref="BQ45:CB45" si="56">BQ10-BP10</f>
        <v>867.34007963492104</v>
      </c>
      <c r="BR45" s="1120">
        <f t="shared" si="56"/>
        <v>2045.957003492842</v>
      </c>
      <c r="BS45" s="1120">
        <f t="shared" si="56"/>
        <v>2592.8951200077659</v>
      </c>
      <c r="BT45" s="1120">
        <f t="shared" si="56"/>
        <v>4570.1966189273471</v>
      </c>
      <c r="BU45" s="1120">
        <f t="shared" si="56"/>
        <v>6396.9036714601389</v>
      </c>
      <c r="BV45" s="1120">
        <f t="shared" si="56"/>
        <v>8308.0235621546781</v>
      </c>
      <c r="BW45" s="1120">
        <f t="shared" si="56"/>
        <v>12144.17208898707</v>
      </c>
      <c r="BX45" s="1120">
        <f t="shared" si="56"/>
        <v>13729.58376680217</v>
      </c>
      <c r="BY45" s="1120">
        <f t="shared" si="56"/>
        <v>14226.608997093361</v>
      </c>
      <c r="BZ45" s="1120">
        <f t="shared" si="56"/>
        <v>19597.047650698565</v>
      </c>
      <c r="CA45" s="1120">
        <f t="shared" si="56"/>
        <v>18008.891109623451</v>
      </c>
      <c r="CB45" s="1120">
        <f t="shared" si="56"/>
        <v>10465.971818999533</v>
      </c>
      <c r="CC45" s="1120"/>
      <c r="CD45" s="1120"/>
    </row>
    <row r="46" spans="1:82">
      <c r="A46" s="843" t="str">
        <f>+A11</f>
        <v>Google Cloud (cons. forecast)</v>
      </c>
      <c r="B46" s="843"/>
      <c r="C46" s="843"/>
      <c r="D46" s="843"/>
      <c r="E46" s="843"/>
      <c r="F46" s="843"/>
      <c r="G46" s="843"/>
      <c r="H46" s="843"/>
      <c r="I46" s="843"/>
      <c r="J46" s="843"/>
      <c r="K46" s="843"/>
      <c r="L46" s="843"/>
      <c r="M46" s="843"/>
      <c r="N46" s="843"/>
      <c r="O46" s="843"/>
      <c r="P46" s="843"/>
      <c r="Q46" s="843"/>
      <c r="R46" s="843"/>
      <c r="S46" s="843"/>
      <c r="T46" s="41"/>
      <c r="U46" s="41"/>
      <c r="V46" s="41"/>
      <c r="W46" s="41"/>
      <c r="X46" s="41"/>
      <c r="Y46" s="41"/>
      <c r="Z46" s="1119">
        <f t="shared" ref="Z46:BI46" si="57">Z11-Y11</f>
        <v>116</v>
      </c>
      <c r="AA46" s="1119">
        <f t="shared" si="57"/>
        <v>275</v>
      </c>
      <c r="AB46" s="1119">
        <f t="shared" si="57"/>
        <v>279</v>
      </c>
      <c r="AC46" s="1119">
        <f t="shared" si="57"/>
        <v>235</v>
      </c>
      <c r="AD46" s="1119">
        <f t="shared" si="57"/>
        <v>163</v>
      </c>
      <c r="AE46" s="1119">
        <f t="shared" si="57"/>
        <v>230</v>
      </c>
      <c r="AF46" s="1119">
        <f t="shared" si="57"/>
        <v>437</v>
      </c>
      <c r="AG46" s="1119">
        <f t="shared" si="57"/>
        <v>387</v>
      </c>
      <c r="AH46" s="1119">
        <f t="shared" si="57"/>
        <v>216</v>
      </c>
      <c r="AI46" s="1119">
        <f t="shared" si="57"/>
        <v>581</v>
      </c>
      <c r="AJ46" s="1119">
        <f t="shared" si="57"/>
        <v>362</v>
      </c>
      <c r="AK46" s="1119">
        <f t="shared" si="57"/>
        <v>551</v>
      </c>
      <c r="AL46" s="1119">
        <f t="shared" si="57"/>
        <v>280</v>
      </c>
      <c r="AM46" s="1119">
        <f t="shared" si="57"/>
        <v>455</v>
      </c>
      <c r="AN46" s="1119">
        <f t="shared" si="57"/>
        <v>592</v>
      </c>
      <c r="AO46" s="1119">
        <f t="shared" si="57"/>
        <v>447</v>
      </c>
      <c r="AP46" s="1126">
        <f t="shared" si="57"/>
        <v>139</v>
      </c>
      <c r="AQ46" s="1119">
        <f t="shared" si="57"/>
        <v>577</v>
      </c>
      <c r="AR46" s="1119">
        <f t="shared" si="57"/>
        <v>380</v>
      </c>
      <c r="AS46" s="1119">
        <f t="shared" si="57"/>
        <v>781</v>
      </c>
      <c r="AT46" s="1126">
        <f t="shared" si="57"/>
        <v>382</v>
      </c>
      <c r="AU46" s="1123">
        <f t="shared" si="57"/>
        <v>464</v>
      </c>
      <c r="AV46" s="1119">
        <f t="shared" si="50"/>
        <v>516</v>
      </c>
      <c r="AW46" s="1119">
        <f t="shared" si="51"/>
        <v>887</v>
      </c>
      <c r="AX46" s="1119">
        <f t="shared" si="52"/>
        <v>70</v>
      </c>
      <c r="AY46" s="1119">
        <f t="shared" si="53"/>
        <v>806</v>
      </c>
      <c r="AZ46" s="1119">
        <f t="shared" si="57"/>
        <v>405.60000000000036</v>
      </c>
      <c r="BA46" s="1119">
        <f t="shared" si="57"/>
        <v>1019.1000000000004</v>
      </c>
      <c r="BB46" s="1126">
        <f t="shared" si="57"/>
        <v>-858.62390230571509</v>
      </c>
      <c r="BC46" s="1119">
        <f t="shared" si="57"/>
        <v>519.70597959428596</v>
      </c>
      <c r="BD46" s="1119">
        <f t="shared" si="57"/>
        <v>1362.0616003964842</v>
      </c>
      <c r="BE46" s="1119">
        <f t="shared" si="57"/>
        <v>774.6199869349457</v>
      </c>
      <c r="BF46" s="1126">
        <f t="shared" si="57"/>
        <v>-157.45592674997351</v>
      </c>
      <c r="BG46" s="1119">
        <f t="shared" si="57"/>
        <v>629.14757528588598</v>
      </c>
      <c r="BH46" s="1119">
        <f t="shared" si="57"/>
        <v>1665.2449888725878</v>
      </c>
      <c r="BI46" s="1119">
        <f t="shared" si="57"/>
        <v>942.69180431489804</v>
      </c>
      <c r="BN46" s="843" t="str">
        <f>BN44</f>
        <v>Y/Y Dollar Growth</v>
      </c>
      <c r="BP46" s="1120"/>
      <c r="BQ46" s="1120"/>
      <c r="BR46" s="1120"/>
      <c r="BS46" s="1120"/>
      <c r="BT46" s="1120"/>
      <c r="BU46" s="1120"/>
      <c r="BV46" s="1120">
        <f t="shared" ref="BV46:CC46" si="58">BV11-BU11</f>
        <v>4141</v>
      </c>
      <c r="BW46" s="1120">
        <f t="shared" si="58"/>
        <v>6147</v>
      </c>
      <c r="BX46" s="1120">
        <f t="shared" si="58"/>
        <v>7074</v>
      </c>
      <c r="BY46" s="1120">
        <f t="shared" si="58"/>
        <v>6808</v>
      </c>
      <c r="BZ46" s="1120">
        <f t="shared" si="58"/>
        <v>8519</v>
      </c>
      <c r="CA46" s="1120">
        <f t="shared" si="58"/>
        <v>8685.3000000000029</v>
      </c>
      <c r="CB46" s="1120">
        <f t="shared" si="58"/>
        <v>6297.8655172879153</v>
      </c>
      <c r="CC46" s="1120">
        <f t="shared" si="58"/>
        <v>11098.489942109933</v>
      </c>
      <c r="CD46" s="1120"/>
    </row>
    <row r="47" spans="1:82" ht="10.5">
      <c r="A47" s="45"/>
      <c r="B47" s="45"/>
      <c r="C47" s="45"/>
      <c r="D47" s="45"/>
      <c r="E47" s="45"/>
      <c r="F47" s="45"/>
      <c r="G47" s="45"/>
      <c r="H47" s="45"/>
      <c r="I47" s="45"/>
      <c r="J47" s="45"/>
      <c r="K47" s="45"/>
      <c r="L47" s="45"/>
      <c r="M47" s="45"/>
      <c r="N47" s="45"/>
      <c r="O47" s="45"/>
      <c r="P47" s="45"/>
      <c r="Q47" s="45"/>
      <c r="R47" s="45"/>
      <c r="S47" s="45"/>
      <c r="AU47" s="1067"/>
      <c r="BN47" s="45"/>
    </row>
    <row r="48" spans="1:82" ht="10.5">
      <c r="A48" s="45" t="s">
        <v>696</v>
      </c>
      <c r="B48" s="45"/>
      <c r="C48" s="45"/>
      <c r="D48" s="45"/>
      <c r="E48" s="45"/>
      <c r="F48" s="45"/>
      <c r="G48" s="45"/>
      <c r="H48" s="45"/>
      <c r="I48" s="45"/>
      <c r="J48" s="45"/>
      <c r="K48" s="45"/>
      <c r="L48" s="45"/>
      <c r="M48" s="45"/>
      <c r="N48" s="45"/>
      <c r="O48" s="45"/>
      <c r="P48" s="45"/>
      <c r="Q48" s="45"/>
      <c r="R48" s="45"/>
      <c r="S48" s="45"/>
      <c r="AU48" s="1067"/>
      <c r="BN48" s="45"/>
    </row>
    <row r="49" spans="1:82" ht="10.5">
      <c r="A49" s="843" t="str">
        <f>+A34</f>
        <v>AWS (cons. forecast)</v>
      </c>
      <c r="B49" s="45"/>
      <c r="C49" s="45"/>
      <c r="D49" s="45"/>
      <c r="E49" s="45"/>
      <c r="F49" s="45"/>
      <c r="G49" s="45"/>
      <c r="H49" s="45"/>
      <c r="I49" s="45"/>
      <c r="J49" s="45"/>
      <c r="K49" s="45"/>
      <c r="L49" s="45"/>
      <c r="M49" s="45"/>
      <c r="N49" s="45"/>
      <c r="O49" s="45"/>
      <c r="P49" s="45"/>
      <c r="Q49" s="45"/>
      <c r="R49" s="45"/>
      <c r="S49" s="45"/>
      <c r="Y49" s="1147"/>
      <c r="Z49" s="1151">
        <f>+Z44/SUM(Z$44:Z$46)</f>
        <v>0.3771052181220847</v>
      </c>
      <c r="AA49" s="1151">
        <f t="shared" ref="AA49:AU51" si="59">+AA44/SUM(AA$44:AA$46)</f>
        <v>0.40772710219962516</v>
      </c>
      <c r="AB49" s="1151">
        <f t="shared" si="59"/>
        <v>0.51682936500251087</v>
      </c>
      <c r="AC49" s="1151">
        <f t="shared" si="59"/>
        <v>0.56296389323507257</v>
      </c>
      <c r="AD49" s="1151">
        <f t="shared" si="59"/>
        <v>0.3130303561713601</v>
      </c>
      <c r="AE49" s="1151">
        <f t="shared" si="59"/>
        <v>0.39799683578914663</v>
      </c>
      <c r="AF49" s="1151">
        <f t="shared" si="59"/>
        <v>0.46366342749406586</v>
      </c>
      <c r="AG49" s="1151">
        <f t="shared" si="59"/>
        <v>0.47942612469367918</v>
      </c>
      <c r="AH49" s="1151">
        <f t="shared" si="59"/>
        <v>0.47701065506177182</v>
      </c>
      <c r="AI49" s="1151">
        <f t="shared" si="59"/>
        <v>0.44170002519031754</v>
      </c>
      <c r="AJ49" s="1151">
        <f t="shared" si="59"/>
        <v>0.56218641577251405</v>
      </c>
      <c r="AK49" s="1151">
        <f t="shared" si="59"/>
        <v>0.52141065436069467</v>
      </c>
      <c r="AL49" s="1151">
        <f t="shared" si="59"/>
        <v>0.36534643533746025</v>
      </c>
      <c r="AM49" s="1151">
        <f t="shared" si="59"/>
        <v>0.46774574376063255</v>
      </c>
      <c r="AN49" s="1151">
        <f t="shared" si="59"/>
        <v>0.43424901910411645</v>
      </c>
      <c r="AO49" s="1151">
        <f t="shared" si="59"/>
        <v>0.3713527851458886</v>
      </c>
      <c r="AP49" s="1151">
        <f t="shared" si="59"/>
        <v>-3.1793633282332319E-2</v>
      </c>
      <c r="AQ49" s="1151">
        <f t="shared" si="59"/>
        <v>0.30988257152212495</v>
      </c>
      <c r="AR49" s="1151">
        <f t="shared" si="59"/>
        <v>0.40813839404093238</v>
      </c>
      <c r="AS49" s="1151">
        <f t="shared" si="59"/>
        <v>0.34462001504890893</v>
      </c>
      <c r="AT49" s="1151">
        <f t="shared" si="59"/>
        <v>0.38002219582448044</v>
      </c>
      <c r="AU49" s="1152">
        <f t="shared" si="59"/>
        <v>0.35861621688704015</v>
      </c>
      <c r="AV49" s="1151">
        <f t="shared" ref="AV49:AY49" si="60">+AV44/SUM(AV$44:AV$46)</f>
        <v>0.39388664603179241</v>
      </c>
      <c r="AW49" s="1151">
        <f t="shared" si="60"/>
        <v>0.3243773271471655</v>
      </c>
      <c r="AX49" s="1151">
        <f t="shared" si="60"/>
        <v>0.39605227979600216</v>
      </c>
      <c r="AY49" s="1151">
        <f t="shared" si="60"/>
        <v>0.31443742560721594</v>
      </c>
      <c r="BN49" s="45"/>
    </row>
    <row r="50" spans="1:82" ht="10.5">
      <c r="A50" s="843" t="str">
        <f>+A45</f>
        <v>Azure</v>
      </c>
      <c r="B50" s="45"/>
      <c r="C50" s="45"/>
      <c r="D50" s="45"/>
      <c r="E50" s="45"/>
      <c r="F50" s="45"/>
      <c r="G50" s="45"/>
      <c r="H50" s="45"/>
      <c r="I50" s="45"/>
      <c r="J50" s="45"/>
      <c r="K50" s="45"/>
      <c r="L50" s="45"/>
      <c r="M50" s="45"/>
      <c r="N50" s="45"/>
      <c r="O50" s="45"/>
      <c r="P50" s="45"/>
      <c r="Q50" s="45"/>
      <c r="R50" s="45"/>
      <c r="S50" s="45"/>
      <c r="Y50" s="1147"/>
      <c r="Z50" s="1151">
        <f t="shared" ref="Z50:AO51" si="61">+Z45/SUM(Z$44:Z$46)</f>
        <v>0.45844288224572799</v>
      </c>
      <c r="AA50" s="1151">
        <f t="shared" si="61"/>
        <v>0.42858683487351806</v>
      </c>
      <c r="AB50" s="1151">
        <f t="shared" si="61"/>
        <v>0.24832471832696706</v>
      </c>
      <c r="AC50" s="1151">
        <f t="shared" si="61"/>
        <v>0.29908353647270425</v>
      </c>
      <c r="AD50" s="1151">
        <f t="shared" si="61"/>
        <v>0.49442644361757693</v>
      </c>
      <c r="AE50" s="1151">
        <f t="shared" si="61"/>
        <v>0.4465884405580457</v>
      </c>
      <c r="AF50" s="1151">
        <f t="shared" si="61"/>
        <v>0.28082469632067969</v>
      </c>
      <c r="AG50" s="1151">
        <f t="shared" si="61"/>
        <v>0.3579639627239774</v>
      </c>
      <c r="AH50" s="1151">
        <f t="shared" si="61"/>
        <v>0.38759604468416414</v>
      </c>
      <c r="AI50" s="1151">
        <f t="shared" si="61"/>
        <v>0.36180095900908943</v>
      </c>
      <c r="AJ50" s="1151">
        <f t="shared" si="61"/>
        <v>0.28138661842452667</v>
      </c>
      <c r="AK50" s="1151">
        <f t="shared" si="61"/>
        <v>0.30655505189514798</v>
      </c>
      <c r="AL50" s="1151">
        <f t="shared" si="61"/>
        <v>0.47989259356649006</v>
      </c>
      <c r="AM50" s="1151">
        <f t="shared" si="61"/>
        <v>0.36829099475162647</v>
      </c>
      <c r="AN50" s="1151">
        <f t="shared" si="61"/>
        <v>0.2440045236873267</v>
      </c>
      <c r="AO50" s="1151">
        <f t="shared" si="61"/>
        <v>0.43103448275862066</v>
      </c>
      <c r="AP50" s="1151">
        <f t="shared" si="59"/>
        <v>0.84765550718882432</v>
      </c>
      <c r="AQ50" s="1151">
        <f t="shared" si="59"/>
        <v>0.46263365778033549</v>
      </c>
      <c r="AR50" s="1151">
        <f t="shared" si="59"/>
        <v>0.42309926674736542</v>
      </c>
      <c r="AS50" s="1151">
        <f t="shared" si="59"/>
        <v>0.42031602708803611</v>
      </c>
      <c r="AT50" s="1151">
        <f t="shared" si="59"/>
        <v>0.44570592085624999</v>
      </c>
      <c r="AU50" s="1152">
        <f t="shared" si="59"/>
        <v>0.4650213828632655</v>
      </c>
      <c r="AV50" s="1151">
        <f t="shared" ref="AV50:AY50" si="62">+AV45/SUM(AV$44:AV$46)</f>
        <v>0.43549086458573211</v>
      </c>
      <c r="AW50" s="1151">
        <f t="shared" si="62"/>
        <v>0.47609237522486242</v>
      </c>
      <c r="AX50" s="1151">
        <f t="shared" si="62"/>
        <v>0.57442934330267748</v>
      </c>
      <c r="AY50" s="1151">
        <f t="shared" si="62"/>
        <v>0.46324979804241906</v>
      </c>
      <c r="BN50" s="45"/>
    </row>
    <row r="51" spans="1:82" ht="10.5">
      <c r="A51" s="843" t="str">
        <f>+A36</f>
        <v>Google Cloud (cons. forecast)</v>
      </c>
      <c r="B51" s="45"/>
      <c r="C51" s="45"/>
      <c r="D51" s="45"/>
      <c r="E51" s="45"/>
      <c r="F51" s="45"/>
      <c r="G51" s="45"/>
      <c r="H51" s="45"/>
      <c r="I51" s="45"/>
      <c r="J51" s="45"/>
      <c r="K51" s="45"/>
      <c r="L51" s="45"/>
      <c r="M51" s="45"/>
      <c r="N51" s="45"/>
      <c r="O51" s="45"/>
      <c r="P51" s="45"/>
      <c r="Q51" s="45"/>
      <c r="R51" s="45"/>
      <c r="S51" s="45"/>
      <c r="Y51" s="1147"/>
      <c r="Z51" s="1151">
        <f t="shared" si="61"/>
        <v>0.16445189963218731</v>
      </c>
      <c r="AA51" s="1151">
        <f t="shared" si="59"/>
        <v>0.16368606292685681</v>
      </c>
      <c r="AB51" s="1151">
        <f t="shared" si="59"/>
        <v>0.23484591667052204</v>
      </c>
      <c r="AC51" s="1151">
        <f t="shared" si="59"/>
        <v>0.13795257029222319</v>
      </c>
      <c r="AD51" s="1151">
        <f t="shared" si="59"/>
        <v>0.192543200211063</v>
      </c>
      <c r="AE51" s="1151">
        <f t="shared" si="59"/>
        <v>0.15541472365280767</v>
      </c>
      <c r="AF51" s="1151">
        <f t="shared" si="59"/>
        <v>0.25551187618525445</v>
      </c>
      <c r="AG51" s="1151">
        <f t="shared" si="59"/>
        <v>0.16260991258234342</v>
      </c>
      <c r="AH51" s="1151">
        <f t="shared" si="59"/>
        <v>0.13539330025406401</v>
      </c>
      <c r="AI51" s="1151">
        <f t="shared" si="59"/>
        <v>0.19649901580059304</v>
      </c>
      <c r="AJ51" s="1151">
        <f t="shared" si="59"/>
        <v>0.15642696580295931</v>
      </c>
      <c r="AK51" s="1151">
        <f t="shared" si="59"/>
        <v>0.17203429374415735</v>
      </c>
      <c r="AL51" s="1151">
        <f t="shared" si="59"/>
        <v>0.15476097109604972</v>
      </c>
      <c r="AM51" s="1151">
        <f t="shared" si="59"/>
        <v>0.16396326148774099</v>
      </c>
      <c r="AN51" s="1151">
        <f t="shared" si="59"/>
        <v>0.32174645720855688</v>
      </c>
      <c r="AO51" s="1151">
        <f t="shared" si="59"/>
        <v>0.19761273209549071</v>
      </c>
      <c r="AP51" s="1151">
        <f t="shared" si="59"/>
        <v>0.18413812609350802</v>
      </c>
      <c r="AQ51" s="1151">
        <f t="shared" si="59"/>
        <v>0.22748377069753956</v>
      </c>
      <c r="AR51" s="1151">
        <f t="shared" si="59"/>
        <v>0.16876233921170219</v>
      </c>
      <c r="AS51" s="1151">
        <f t="shared" si="59"/>
        <v>0.23506395786305492</v>
      </c>
      <c r="AT51" s="1151">
        <f t="shared" si="59"/>
        <v>0.17427188331926954</v>
      </c>
      <c r="AU51" s="1152">
        <f t="shared" si="59"/>
        <v>0.17636240024969435</v>
      </c>
      <c r="AV51" s="1151">
        <f t="shared" ref="AV51:AY51" si="63">+AV46/SUM(AV$44:AV$46)</f>
        <v>0.17062248938247546</v>
      </c>
      <c r="AW51" s="1151">
        <f t="shared" si="63"/>
        <v>0.19953029762797211</v>
      </c>
      <c r="AX51" s="1151">
        <f t="shared" si="63"/>
        <v>2.951837690132041E-2</v>
      </c>
      <c r="AY51" s="1151">
        <f t="shared" si="63"/>
        <v>0.22231277635036498</v>
      </c>
      <c r="BN51" s="45"/>
    </row>
    <row r="52" spans="1:82" ht="10.5">
      <c r="A52" s="45"/>
      <c r="B52" s="45"/>
      <c r="C52" s="45"/>
      <c r="D52" s="45"/>
      <c r="E52" s="45"/>
      <c r="F52" s="45"/>
      <c r="G52" s="45"/>
      <c r="H52" s="45"/>
      <c r="I52" s="45"/>
      <c r="J52" s="45"/>
      <c r="K52" s="45"/>
      <c r="L52" s="45"/>
      <c r="M52" s="45"/>
      <c r="N52" s="45"/>
      <c r="O52" s="45"/>
      <c r="P52" s="45"/>
      <c r="Q52" s="45"/>
      <c r="R52" s="45"/>
      <c r="S52" s="45"/>
      <c r="AU52" s="1067"/>
      <c r="BN52" s="45"/>
    </row>
    <row r="53" spans="1:82" ht="10.5">
      <c r="A53" s="858" t="s">
        <v>697</v>
      </c>
      <c r="B53" s="13"/>
      <c r="C53" s="13"/>
      <c r="D53" s="13"/>
      <c r="E53" s="13"/>
      <c r="F53" s="833"/>
      <c r="G53" s="833"/>
      <c r="H53" s="833"/>
      <c r="I53" s="833"/>
      <c r="J53" s="833"/>
      <c r="K53" s="833"/>
      <c r="L53" s="833"/>
      <c r="M53" s="833"/>
      <c r="N53" s="833"/>
      <c r="O53" s="833"/>
      <c r="P53" s="833"/>
      <c r="Q53" s="833"/>
      <c r="R53" s="833"/>
      <c r="S53" s="833"/>
      <c r="T53" s="833"/>
      <c r="U53" s="833"/>
      <c r="V53" s="833"/>
      <c r="W53" s="833"/>
      <c r="X53" s="833"/>
      <c r="Y53" s="833"/>
      <c r="Z53" s="833"/>
      <c r="AA53" s="833"/>
      <c r="AB53" s="833"/>
      <c r="AC53" s="833"/>
      <c r="AD53" s="833"/>
      <c r="AE53" s="833"/>
      <c r="AF53" s="833"/>
      <c r="AG53" s="833"/>
      <c r="AH53" s="833"/>
      <c r="AI53" s="833"/>
      <c r="AJ53" s="833"/>
      <c r="AK53" s="833"/>
      <c r="AL53" s="833"/>
      <c r="AM53" s="833"/>
      <c r="AN53" s="833"/>
      <c r="AO53" s="1122"/>
      <c r="AP53" s="1122"/>
      <c r="AQ53" s="1122"/>
      <c r="AR53" s="1122"/>
      <c r="AS53" s="1122"/>
      <c r="AT53" s="1122"/>
      <c r="AU53" s="1123"/>
      <c r="AV53" s="1119"/>
      <c r="AW53" s="1119"/>
      <c r="AX53" s="1119"/>
      <c r="AY53" s="1119"/>
      <c r="AZ53" s="1122"/>
      <c r="BA53" s="1122"/>
      <c r="BB53" s="1122"/>
      <c r="BC53" s="1122"/>
      <c r="BD53" s="1122"/>
      <c r="BE53" s="1122"/>
      <c r="BF53" s="1122"/>
      <c r="BG53" s="1122"/>
      <c r="BH53" s="1122"/>
      <c r="BI53" s="1122"/>
      <c r="BN53" s="13"/>
      <c r="BO53" s="1122"/>
      <c r="BP53" s="1122"/>
      <c r="BQ53" s="1122"/>
      <c r="BR53" s="1122"/>
      <c r="BS53" s="1122"/>
      <c r="BT53" s="1122"/>
      <c r="BU53" s="1122"/>
      <c r="BV53" s="1122"/>
      <c r="BW53" s="1122"/>
      <c r="BX53" s="1122"/>
      <c r="BY53" s="1122"/>
      <c r="BZ53" s="1122"/>
      <c r="CA53" s="1122"/>
      <c r="CB53" s="1122"/>
      <c r="CC53" s="1122"/>
      <c r="CD53" s="1122"/>
    </row>
    <row r="54" spans="1:82">
      <c r="A54" s="100" t="str">
        <f>+A49</f>
        <v>AWS (cons. forecast)</v>
      </c>
      <c r="B54" s="843"/>
      <c r="C54" s="1119"/>
      <c r="D54" s="1119"/>
      <c r="E54" s="1119"/>
      <c r="F54" s="1119">
        <f t="shared" ref="F54:AT54" si="64">SUM(C44:F44)</f>
        <v>428.69822485207101</v>
      </c>
      <c r="G54" s="1119">
        <f t="shared" si="64"/>
        <v>302.20279720279723</v>
      </c>
      <c r="H54" s="1119">
        <f t="shared" si="64"/>
        <v>351.51748251748245</v>
      </c>
      <c r="I54" s="1119">
        <f t="shared" si="64"/>
        <v>454.01360544217687</v>
      </c>
      <c r="J54" s="1119">
        <f t="shared" si="64"/>
        <v>516</v>
      </c>
      <c r="K54" s="1119">
        <f t="shared" si="64"/>
        <v>819</v>
      </c>
      <c r="L54" s="1119">
        <f t="shared" si="64"/>
        <v>916</v>
      </c>
      <c r="M54" s="1119">
        <f t="shared" si="64"/>
        <v>985</v>
      </c>
      <c r="N54" s="1119">
        <f t="shared" si="64"/>
        <v>1000</v>
      </c>
      <c r="O54" s="1119">
        <f t="shared" si="64"/>
        <v>1062</v>
      </c>
      <c r="P54" s="1119">
        <f t="shared" si="64"/>
        <v>1146</v>
      </c>
      <c r="Q54" s="1119">
        <f t="shared" si="64"/>
        <v>1131</v>
      </c>
      <c r="R54" s="1119">
        <f t="shared" si="64"/>
        <v>1095</v>
      </c>
      <c r="S54" s="1119">
        <f t="shared" si="64"/>
        <v>1214</v>
      </c>
      <c r="T54" s="1119">
        <f t="shared" si="64"/>
        <v>1353</v>
      </c>
      <c r="U54" s="1119">
        <f t="shared" si="64"/>
        <v>1577</v>
      </c>
      <c r="V54" s="1119">
        <f t="shared" si="64"/>
        <v>1781</v>
      </c>
      <c r="W54" s="1119">
        <f t="shared" si="64"/>
        <v>2005</v>
      </c>
      <c r="X54" s="1119">
        <f t="shared" si="64"/>
        <v>2095</v>
      </c>
      <c r="Y54" s="1119">
        <f t="shared" si="64"/>
        <v>2317</v>
      </c>
      <c r="Z54" s="1119">
        <f t="shared" si="64"/>
        <v>2254</v>
      </c>
      <c r="AA54" s="1119">
        <f t="shared" si="64"/>
        <v>2276</v>
      </c>
      <c r="AB54" s="1119">
        <f t="shared" si="64"/>
        <v>2316</v>
      </c>
      <c r="AC54" s="1119">
        <f t="shared" si="64"/>
        <v>2524</v>
      </c>
      <c r="AD54" s="1119">
        <f t="shared" si="64"/>
        <v>2523</v>
      </c>
      <c r="AE54" s="1119">
        <f t="shared" si="64"/>
        <v>2427</v>
      </c>
      <c r="AF54" s="1119">
        <f t="shared" si="64"/>
        <v>2606</v>
      </c>
      <c r="AG54" s="1119">
        <f t="shared" si="64"/>
        <v>2788</v>
      </c>
      <c r="AH54" s="1119">
        <f t="shared" si="64"/>
        <v>3284</v>
      </c>
      <c r="AI54" s="1119">
        <f t="shared" si="64"/>
        <v>4001</v>
      </c>
      <c r="AJ54" s="1119">
        <f t="shared" si="64"/>
        <v>4509</v>
      </c>
      <c r="AK54" s="1119">
        <f t="shared" si="64"/>
        <v>5038</v>
      </c>
      <c r="AL54" s="1119">
        <f t="shared" si="64"/>
        <v>4938</v>
      </c>
      <c r="AM54" s="1119">
        <f t="shared" si="64"/>
        <v>4930</v>
      </c>
      <c r="AN54" s="1119">
        <f t="shared" si="64"/>
        <v>4428</v>
      </c>
      <c r="AO54" s="1119">
        <f t="shared" si="64"/>
        <v>3598</v>
      </c>
      <c r="AP54" s="1119">
        <f t="shared" si="64"/>
        <v>2913</v>
      </c>
      <c r="AQ54" s="1119">
        <f t="shared" si="64"/>
        <v>2401</v>
      </c>
      <c r="AR54" s="1119">
        <f t="shared" si="64"/>
        <v>2521</v>
      </c>
      <c r="AS54" s="1119">
        <f t="shared" si="64"/>
        <v>2826</v>
      </c>
      <c r="AT54" s="1119">
        <f t="shared" si="64"/>
        <v>3683</v>
      </c>
      <c r="AU54" s="1123">
        <f>SUM(AR44:AU44)</f>
        <v>3840.5</v>
      </c>
      <c r="AV54" s="1119">
        <f t="shared" ref="AV54:AY56" si="65">SUM(AS44:AV44)</f>
        <v>4112.7000000000007</v>
      </c>
      <c r="AW54" s="1119">
        <f t="shared" si="65"/>
        <v>4409.7000000000007</v>
      </c>
      <c r="AX54" s="1119">
        <f t="shared" si="65"/>
        <v>4515.9000000000015</v>
      </c>
      <c r="AY54" s="1119">
        <f t="shared" si="65"/>
        <v>4712.4000000000015</v>
      </c>
      <c r="AZ54" s="1119"/>
      <c r="BA54" s="1119"/>
      <c r="BB54" s="1119"/>
      <c r="BC54" s="1119"/>
      <c r="BD54" s="1119"/>
      <c r="BE54" s="1119"/>
      <c r="BF54" s="1119"/>
      <c r="BG54" s="1119"/>
      <c r="BH54" s="1119"/>
      <c r="BI54" s="1119"/>
      <c r="BN54" s="843" t="s">
        <v>695</v>
      </c>
      <c r="BP54" s="1120" t="e">
        <f t="shared" ref="BP54:CC54" si="66">BP19-BO19</f>
        <v>#DIV/0!</v>
      </c>
      <c r="BQ54" s="1120" t="e">
        <f t="shared" si="66"/>
        <v>#DIV/0!</v>
      </c>
      <c r="BR54" s="1120">
        <f t="shared" si="66"/>
        <v>-0.61914684061168035</v>
      </c>
      <c r="BS54" s="1120">
        <f t="shared" si="66"/>
        <v>-1.1555813167670514E-2</v>
      </c>
      <c r="BT54" s="1120">
        <f t="shared" si="66"/>
        <v>0.31655572452308134</v>
      </c>
      <c r="BU54" s="1120">
        <f t="shared" si="66"/>
        <v>-0.31747331387391542</v>
      </c>
      <c r="BV54" s="1120">
        <f t="shared" si="66"/>
        <v>3.0880314152248012E-2</v>
      </c>
      <c r="BW54" s="1120">
        <f t="shared" si="66"/>
        <v>0.44760416359520638</v>
      </c>
      <c r="BX54" s="1120">
        <f t="shared" si="66"/>
        <v>-0.4808109932586514</v>
      </c>
      <c r="BY54" s="1120">
        <f t="shared" si="66"/>
        <v>-0.31273494860974471</v>
      </c>
      <c r="BZ54" s="1120">
        <f t="shared" si="66"/>
        <v>0.86561850285002495</v>
      </c>
      <c r="CA54" s="1120">
        <f t="shared" si="66"/>
        <v>-0.31453957872713834</v>
      </c>
      <c r="CB54" s="1120">
        <f t="shared" si="66"/>
        <v>-0.80849767420409058</v>
      </c>
      <c r="CC54" s="1120">
        <f t="shared" si="66"/>
        <v>3.3548644863348329</v>
      </c>
      <c r="CD54" s="1120"/>
    </row>
    <row r="55" spans="1:82">
      <c r="A55" s="843" t="str">
        <f>+A20</f>
        <v>Azure</v>
      </c>
      <c r="B55" s="843"/>
      <c r="C55" s="843"/>
      <c r="D55" s="843"/>
      <c r="E55" s="843"/>
      <c r="F55" s="1119"/>
      <c r="G55" s="1119"/>
      <c r="H55" s="1119"/>
      <c r="I55" s="1119"/>
      <c r="J55" s="1119"/>
      <c r="K55" s="1119"/>
      <c r="L55" s="1119"/>
      <c r="M55" s="1119"/>
      <c r="N55" s="1119"/>
      <c r="O55" s="1119"/>
      <c r="P55" s="1119">
        <f t="shared" ref="P55:Q55" si="67">SUM(M45:P45)</f>
        <v>396.75905260192354</v>
      </c>
      <c r="Q55" s="1119">
        <f t="shared" si="67"/>
        <v>389.92425802938874</v>
      </c>
      <c r="R55" s="1119">
        <f t="shared" ref="R55" si="68">SUM(O45:R45)</f>
        <v>428.55913624485788</v>
      </c>
      <c r="S55" s="1119">
        <f t="shared" ref="S55" si="69">SUM(P45:S45)</f>
        <v>597.39595559201894</v>
      </c>
      <c r="T55" s="1119">
        <f t="shared" ref="T55" si="70">SUM(Q45:T45)</f>
        <v>731.44472877074463</v>
      </c>
      <c r="U55" s="1119">
        <f t="shared" ref="U55" si="71">SUM(R45:U45)</f>
        <v>835.49529940014384</v>
      </c>
      <c r="V55" s="1119">
        <f t="shared" ref="V55" si="72">SUM(S45:V45)</f>
        <v>918.88093927136151</v>
      </c>
      <c r="W55" s="1119">
        <f t="shared" ref="W55" si="73">SUM(T45:W45)</f>
        <v>1177.6771577787506</v>
      </c>
      <c r="X55" s="1119">
        <f t="shared" ref="X55" si="74">SUM(U45:X45)</f>
        <v>1171.7079316381178</v>
      </c>
      <c r="Y55" s="1119">
        <f t="shared" ref="Y55" si="75">SUM(V45:Y45)</f>
        <v>1301.9305902391177</v>
      </c>
      <c r="Z55" s="1119">
        <f t="shared" ref="Z55" si="76">SUM(W45:Z45)</f>
        <v>1395.047262237789</v>
      </c>
      <c r="AA55" s="1119">
        <f t="shared" ref="AA55" si="77">SUM(X45:AA45)</f>
        <v>1550.0344498375657</v>
      </c>
      <c r="AB55" s="1119">
        <f t="shared" ref="AB55" si="78">SUM(Y45:AB45)</f>
        <v>1603.9062181098498</v>
      </c>
      <c r="AC55" s="1119">
        <f t="shared" ref="AC55" si="79">SUM(Z45:AC45)</f>
        <v>1847.9157412749328</v>
      </c>
      <c r="AD55" s="1119">
        <f t="shared" ref="AD55" si="80">SUM(AA45:AD45)</f>
        <v>1943.1055782333124</v>
      </c>
      <c r="AE55" s="1119">
        <f t="shared" ref="AE55" si="81">SUM(AB45:AE45)</f>
        <v>1883.9715456781228</v>
      </c>
      <c r="AF55" s="1119">
        <f t="shared" ref="AF55" si="82">SUM(AC45:AF45)</f>
        <v>2069.2508761245763</v>
      </c>
      <c r="AG55" s="1119">
        <f t="shared" ref="AG55" si="83">SUM(AD45:AG45)</f>
        <v>2411.6955621186671</v>
      </c>
      <c r="AH55" s="1119">
        <f t="shared" ref="AH55" si="84">SUM(AE45:AH45)</f>
        <v>2611.4845025258082</v>
      </c>
      <c r="AI55" s="1119">
        <f t="shared" ref="AI55" si="85">SUM(AF45:AI45)</f>
        <v>3020.3310512363933</v>
      </c>
      <c r="AJ55" s="1119">
        <f t="shared" ref="AJ55" si="86">SUM(AG45:AJ45)</f>
        <v>3191.2177338199008</v>
      </c>
      <c r="AK55" s="1119">
        <f t="shared" ref="AK55" si="87">SUM(AH45:AK45)</f>
        <v>3321.1388014049735</v>
      </c>
      <c r="AL55" s="1119">
        <f t="shared" ref="AL55" si="88">SUM(AI45:AL45)</f>
        <v>3571.0282813995718</v>
      </c>
      <c r="AM55" s="1119">
        <f t="shared" ref="AM55" si="89">SUM(AJ45:AM45)</f>
        <v>3523.2823585698479</v>
      </c>
      <c r="AN55" s="1119">
        <f t="shared" ref="AN55" si="90">SUM(AK45:AN45)</f>
        <v>3321.0614537915008</v>
      </c>
      <c r="AO55" s="1119">
        <f t="shared" ref="AO55" si="91">SUM(AL45:AO45)</f>
        <v>3314.2116730412417</v>
      </c>
      <c r="AP55" s="1119">
        <f t="shared" ref="AP55" si="92">SUM(AM45:AP45)</f>
        <v>3085.8381030229066</v>
      </c>
      <c r="AQ55" s="1119">
        <f t="shared" ref="AQ55" si="93">SUM(AN45:AQ45)</f>
        <v>3237.2708940704561</v>
      </c>
      <c r="AR55" s="1119">
        <f t="shared" ref="AR55" si="94">SUM(AO45:AR45)</f>
        <v>3741</v>
      </c>
      <c r="AS55" s="1119">
        <f t="shared" ref="AS55" si="95">SUM(AP45:AS45)</f>
        <v>4162.5</v>
      </c>
      <c r="AT55" s="1119">
        <f t="shared" ref="AT55:AU55" si="96">SUM(AQ45:AT45)</f>
        <v>4499.6091154078458</v>
      </c>
      <c r="AU55" s="1123">
        <f t="shared" si="96"/>
        <v>4549.6107103590166</v>
      </c>
      <c r="AV55" s="1119">
        <f>SUM(AS45:AV45)</f>
        <v>4913.9438279856804</v>
      </c>
      <c r="AW55" s="1119">
        <f t="shared" si="65"/>
        <v>5633.8839969460241</v>
      </c>
      <c r="AX55" s="1119">
        <f t="shared" si="65"/>
        <v>6019.1108670098038</v>
      </c>
      <c r="AY55" s="1119">
        <f t="shared" si="65"/>
        <v>6475.1872147552785</v>
      </c>
      <c r="AZ55" s="1119"/>
      <c r="BA55" s="1119"/>
      <c r="BB55" s="1119"/>
      <c r="BC55" s="1119"/>
      <c r="BD55" s="1119"/>
      <c r="BE55" s="1119"/>
      <c r="BF55" s="1119"/>
      <c r="BG55" s="1119"/>
      <c r="BH55" s="1119"/>
      <c r="BI55" s="1119"/>
      <c r="BN55" s="843" t="str">
        <f>BN54</f>
        <v>Y/Y Dollar Growth</v>
      </c>
      <c r="BP55" s="1120"/>
      <c r="BQ55" s="1120">
        <f t="shared" ref="BQ55:CB55" si="97">BQ20-BP20</f>
        <v>0</v>
      </c>
      <c r="BR55" s="1120">
        <f t="shared" si="97"/>
        <v>0</v>
      </c>
      <c r="BS55" s="1120">
        <f t="shared" si="97"/>
        <v>0</v>
      </c>
      <c r="BT55" s="1120">
        <f t="shared" si="97"/>
        <v>0</v>
      </c>
      <c r="BU55" s="1120">
        <f t="shared" si="97"/>
        <v>0</v>
      </c>
      <c r="BV55" s="1120">
        <f t="shared" si="97"/>
        <v>0</v>
      </c>
      <c r="BW55" s="1120">
        <f t="shared" si="97"/>
        <v>0</v>
      </c>
      <c r="BX55" s="1120">
        <f t="shared" si="97"/>
        <v>0</v>
      </c>
      <c r="BY55" s="1120">
        <f t="shared" si="97"/>
        <v>0</v>
      </c>
      <c r="BZ55" s="1120">
        <f t="shared" si="97"/>
        <v>0</v>
      </c>
      <c r="CA55" s="1120">
        <f t="shared" si="97"/>
        <v>0</v>
      </c>
      <c r="CB55" s="1120">
        <f t="shared" si="97"/>
        <v>0</v>
      </c>
      <c r="CC55" s="1120"/>
      <c r="CD55" s="1120"/>
    </row>
    <row r="56" spans="1:82">
      <c r="A56" s="843" t="str">
        <f>+A21</f>
        <v>Google Cloud (cons. forecast)</v>
      </c>
      <c r="B56" s="843"/>
      <c r="C56" s="843"/>
      <c r="D56" s="843"/>
      <c r="E56" s="843"/>
      <c r="F56" s="843"/>
      <c r="G56" s="843"/>
      <c r="H56" s="843"/>
      <c r="I56" s="843"/>
      <c r="J56" s="843"/>
      <c r="K56" s="843"/>
      <c r="L56" s="843"/>
      <c r="M56" s="843"/>
      <c r="N56" s="843"/>
      <c r="O56" s="843"/>
      <c r="P56" s="843"/>
      <c r="Q56" s="843"/>
      <c r="R56" s="843"/>
      <c r="S56" s="843"/>
      <c r="T56" s="41"/>
      <c r="U56" s="41"/>
      <c r="V56" s="41"/>
      <c r="W56" s="41"/>
      <c r="X56" s="41"/>
      <c r="Y56" s="41"/>
      <c r="Z56" s="1119"/>
      <c r="AA56" s="1119"/>
      <c r="AB56" s="1119"/>
      <c r="AC56" s="1119">
        <f t="shared" ref="AC56" si="98">SUM(Z46:AC46)</f>
        <v>905</v>
      </c>
      <c r="AD56" s="1119">
        <f t="shared" ref="AD56" si="99">SUM(AA46:AD46)</f>
        <v>952</v>
      </c>
      <c r="AE56" s="1119">
        <f t="shared" ref="AE56" si="100">SUM(AB46:AE46)</f>
        <v>907</v>
      </c>
      <c r="AF56" s="1119">
        <f t="shared" ref="AF56" si="101">SUM(AC46:AF46)</f>
        <v>1065</v>
      </c>
      <c r="AG56" s="1119">
        <f t="shared" ref="AG56" si="102">SUM(AD46:AG46)</f>
        <v>1217</v>
      </c>
      <c r="AH56" s="1119">
        <f t="shared" ref="AH56" si="103">SUM(AE46:AH46)</f>
        <v>1270</v>
      </c>
      <c r="AI56" s="1119">
        <f t="shared" ref="AI56" si="104">SUM(AF46:AI46)</f>
        <v>1621</v>
      </c>
      <c r="AJ56" s="1119">
        <f t="shared" ref="AJ56" si="105">SUM(AG46:AJ46)</f>
        <v>1546</v>
      </c>
      <c r="AK56" s="1119">
        <f t="shared" ref="AK56" si="106">SUM(AH46:AK46)</f>
        <v>1710</v>
      </c>
      <c r="AL56" s="1119">
        <f t="shared" ref="AL56" si="107">SUM(AI46:AL46)</f>
        <v>1774</v>
      </c>
      <c r="AM56" s="1119">
        <f t="shared" ref="AM56" si="108">SUM(AJ46:AM46)</f>
        <v>1648</v>
      </c>
      <c r="AN56" s="1119">
        <f t="shared" ref="AN56" si="109">SUM(AK46:AN46)</f>
        <v>1878</v>
      </c>
      <c r="AO56" s="1119">
        <f t="shared" ref="AO56" si="110">SUM(AL46:AO46)</f>
        <v>1774</v>
      </c>
      <c r="AP56" s="1119">
        <f t="shared" ref="AP56" si="111">SUM(AM46:AP46)</f>
        <v>1633</v>
      </c>
      <c r="AQ56" s="1119">
        <f t="shared" ref="AQ56" si="112">SUM(AN46:AQ46)</f>
        <v>1755</v>
      </c>
      <c r="AR56" s="1119">
        <f t="shared" ref="AR56" si="113">SUM(AO46:AR46)</f>
        <v>1543</v>
      </c>
      <c r="AS56" s="1119">
        <f t="shared" ref="AS56" si="114">SUM(AP46:AS46)</f>
        <v>1877</v>
      </c>
      <c r="AT56" s="1119">
        <f t="shared" ref="AT56" si="115">SUM(AQ46:AT46)</f>
        <v>2120</v>
      </c>
      <c r="AU56" s="1123">
        <f t="shared" ref="AU56" si="116">SUM(AR46:AU46)</f>
        <v>2007</v>
      </c>
      <c r="AV56" s="1119">
        <f t="shared" si="65"/>
        <v>2143</v>
      </c>
      <c r="AW56" s="1119">
        <f t="shared" si="65"/>
        <v>2249</v>
      </c>
      <c r="AX56" s="1119">
        <f t="shared" si="65"/>
        <v>1937</v>
      </c>
      <c r="AY56" s="1119">
        <f t="shared" si="65"/>
        <v>2279</v>
      </c>
      <c r="AZ56" s="1119"/>
      <c r="BA56" s="1119"/>
      <c r="BB56" s="1126"/>
      <c r="BC56" s="1119"/>
      <c r="BD56" s="1119"/>
      <c r="BE56" s="1119"/>
      <c r="BF56" s="1126"/>
      <c r="BG56" s="1119"/>
      <c r="BH56" s="1119"/>
      <c r="BI56" s="1119"/>
      <c r="BN56" s="843" t="str">
        <f>BN54</f>
        <v>Y/Y Dollar Growth</v>
      </c>
      <c r="BP56" s="1120"/>
      <c r="BQ56" s="1120"/>
      <c r="BR56" s="1120"/>
      <c r="BS56" s="1120"/>
      <c r="BT56" s="1120"/>
      <c r="BU56" s="1120"/>
      <c r="BV56" s="1120" t="e">
        <f t="shared" ref="BV56:CC56" si="117">BV21-BU21</f>
        <v>#DIV/0!</v>
      </c>
      <c r="BW56" s="1120" t="e">
        <f t="shared" si="117"/>
        <v>#DIV/0!</v>
      </c>
      <c r="BX56" s="1120">
        <f t="shared" si="117"/>
        <v>-0.23123132527548595</v>
      </c>
      <c r="BY56" s="1120">
        <f t="shared" si="117"/>
        <v>-7.91416761883319E-2</v>
      </c>
      <c r="BZ56" s="1120">
        <f t="shared" si="117"/>
        <v>0.29051583674987014</v>
      </c>
      <c r="CA56" s="1120">
        <f t="shared" si="117"/>
        <v>-0.18308208607716636</v>
      </c>
      <c r="CB56" s="1120">
        <f t="shared" si="117"/>
        <v>-0.21088240245602285</v>
      </c>
      <c r="CC56" s="1120">
        <f t="shared" si="117"/>
        <v>0.96624912141849173</v>
      </c>
      <c r="CD56" s="1120"/>
    </row>
    <row r="57" spans="1:82" ht="10.5">
      <c r="A57" s="45"/>
      <c r="B57" s="45"/>
      <c r="C57" s="45"/>
      <c r="D57" s="45"/>
      <c r="E57" s="45"/>
      <c r="F57" s="45"/>
      <c r="G57" s="45"/>
      <c r="H57" s="45"/>
      <c r="I57" s="45"/>
      <c r="J57" s="45"/>
      <c r="K57" s="45"/>
      <c r="L57" s="45"/>
      <c r="M57" s="45"/>
      <c r="N57" s="45"/>
      <c r="O57" s="45"/>
      <c r="P57" s="45"/>
      <c r="Q57" s="45"/>
      <c r="R57" s="45"/>
      <c r="S57" s="45"/>
      <c r="AU57" s="1067"/>
      <c r="BN57" s="45"/>
    </row>
    <row r="58" spans="1:82" ht="10.5">
      <c r="A58" s="1" t="s">
        <v>341</v>
      </c>
      <c r="B58" s="1"/>
      <c r="C58" s="1"/>
      <c r="D58" s="1"/>
      <c r="E58" s="1"/>
      <c r="F58" s="1"/>
      <c r="G58" s="1"/>
      <c r="H58" s="1"/>
      <c r="I58" s="1"/>
      <c r="J58" s="1"/>
      <c r="K58" s="1"/>
      <c r="L58" s="1"/>
      <c r="M58" s="1"/>
      <c r="N58" s="1"/>
      <c r="O58" s="1"/>
      <c r="P58" s="1"/>
      <c r="Q58" s="1"/>
      <c r="R58" s="1"/>
      <c r="S58" s="1"/>
      <c r="T58" s="1127"/>
      <c r="U58" s="1127"/>
      <c r="V58" s="1127"/>
      <c r="W58" s="1127"/>
      <c r="X58" s="1128"/>
      <c r="Y58" s="1129">
        <f t="shared" ref="Y58:BG58" si="118">Y10+Y9+Y11</f>
        <v>12119.038222160185</v>
      </c>
      <c r="Z58" s="1129">
        <f t="shared" si="118"/>
        <v>12824.411649037254</v>
      </c>
      <c r="AA58" s="1129">
        <f t="shared" si="118"/>
        <v>14504.456944786618</v>
      </c>
      <c r="AB58" s="1129">
        <f t="shared" si="118"/>
        <v>15692.469936264022</v>
      </c>
      <c r="AC58" s="1129">
        <f t="shared" si="118"/>
        <v>17395.953963435117</v>
      </c>
      <c r="AD58" s="1129">
        <f t="shared" si="118"/>
        <v>18242.517227270568</v>
      </c>
      <c r="AE58" s="1129">
        <f t="shared" si="118"/>
        <v>19722.428490464743</v>
      </c>
      <c r="AF58" s="1129">
        <f t="shared" si="118"/>
        <v>21432.720812388598</v>
      </c>
      <c r="AG58" s="1129">
        <f t="shared" si="118"/>
        <v>23812.649525553785</v>
      </c>
      <c r="AH58" s="1129">
        <f t="shared" si="118"/>
        <v>25408.001729796375</v>
      </c>
      <c r="AI58" s="1129">
        <f t="shared" si="118"/>
        <v>28364.759541701133</v>
      </c>
      <c r="AJ58" s="1129">
        <f t="shared" si="118"/>
        <v>30678.938546208497</v>
      </c>
      <c r="AK58" s="1129">
        <f t="shared" si="118"/>
        <v>33881.788326958762</v>
      </c>
      <c r="AL58" s="1129">
        <f t="shared" si="118"/>
        <v>35691.030011195951</v>
      </c>
      <c r="AM58" s="1129">
        <f t="shared" si="118"/>
        <v>38466.041900270982</v>
      </c>
      <c r="AN58" s="1129">
        <f t="shared" si="118"/>
        <v>40306</v>
      </c>
      <c r="AO58" s="1129">
        <f t="shared" si="118"/>
        <v>42568</v>
      </c>
      <c r="AP58" s="1129">
        <f t="shared" si="118"/>
        <v>43322.868114218858</v>
      </c>
      <c r="AQ58" s="1129">
        <f t="shared" si="118"/>
        <v>45859.312794341437</v>
      </c>
      <c r="AR58" s="1129">
        <f t="shared" si="118"/>
        <v>48111</v>
      </c>
      <c r="AS58" s="1129">
        <f t="shared" si="118"/>
        <v>51433.5</v>
      </c>
      <c r="AT58" s="1129">
        <f t="shared" si="118"/>
        <v>53625.477229626704</v>
      </c>
      <c r="AU58" s="1130">
        <f t="shared" si="118"/>
        <v>56256.423504700455</v>
      </c>
      <c r="AV58" s="1129">
        <f t="shared" ref="AV58:AY58" si="119">AV10+AV9+AV11</f>
        <v>59280.643827985681</v>
      </c>
      <c r="AW58" s="1129">
        <f t="shared" si="119"/>
        <v>63726.083996946021</v>
      </c>
      <c r="AX58" s="1129">
        <f t="shared" si="119"/>
        <v>66097.488096636502</v>
      </c>
      <c r="AY58" s="1129">
        <f t="shared" si="119"/>
        <v>69723.010719455735</v>
      </c>
      <c r="AZ58" s="1129">
        <f t="shared" si="118"/>
        <v>69620.897906907659</v>
      </c>
      <c r="BA58" s="1129">
        <f t="shared" si="118"/>
        <v>73284.122945882424</v>
      </c>
      <c r="BB58" s="1129">
        <f t="shared" si="118"/>
        <v>70801.899406387543</v>
      </c>
      <c r="BC58" s="1129">
        <f t="shared" si="118"/>
        <v>73333.614182827674</v>
      </c>
      <c r="BD58" s="1129">
        <f t="shared" si="118"/>
        <v>76410.234856697061</v>
      </c>
      <c r="BE58" s="1129">
        <f t="shared" si="118"/>
        <v>79577.198159257445</v>
      </c>
      <c r="BF58" s="1129">
        <f t="shared" si="118"/>
        <v>80879.536652455688</v>
      </c>
      <c r="BG58" s="1129">
        <f t="shared" si="118"/>
        <v>83515.807321865417</v>
      </c>
      <c r="BH58" s="1129"/>
      <c r="BI58" s="1129"/>
      <c r="BN58" s="1" t="s">
        <v>341</v>
      </c>
      <c r="BO58" s="1129">
        <f t="shared" ref="BO58:CB58" si="120">BO10+BO9+BO11</f>
        <v>3107.5678899854724</v>
      </c>
      <c r="BP58" s="1129">
        <f t="shared" si="120"/>
        <v>4644</v>
      </c>
      <c r="BQ58" s="1129">
        <f t="shared" si="120"/>
        <v>8747.3400796349215</v>
      </c>
      <c r="BR58" s="1129">
        <f t="shared" si="120"/>
        <v>15132.297083127763</v>
      </c>
      <c r="BS58" s="1129">
        <f t="shared" si="120"/>
        <v>22964.192203135528</v>
      </c>
      <c r="BT58" s="1129">
        <f t="shared" si="120"/>
        <v>37441.388822062872</v>
      </c>
      <c r="BU58" s="1129">
        <f t="shared" si="120"/>
        <v>60417.292493523011</v>
      </c>
      <c r="BV58" s="1129">
        <f t="shared" si="120"/>
        <v>83210.316055677686</v>
      </c>
      <c r="BW58" s="1129">
        <f t="shared" si="120"/>
        <v>118333.48814466476</v>
      </c>
      <c r="BX58" s="1129">
        <f t="shared" si="120"/>
        <v>157031.07191146695</v>
      </c>
      <c r="BY58" s="1129">
        <f t="shared" si="120"/>
        <v>188726.68090856029</v>
      </c>
      <c r="BZ58" s="1129">
        <f t="shared" si="120"/>
        <v>232888.62855925885</v>
      </c>
      <c r="CA58" s="1129">
        <f t="shared" si="120"/>
        <v>278725.51966888231</v>
      </c>
      <c r="CB58" s="1129">
        <f t="shared" si="120"/>
        <v>300122.94660516974</v>
      </c>
      <c r="CC58" s="1129"/>
      <c r="CD58" s="1129"/>
    </row>
    <row r="59" spans="1:82" s="1" customFormat="1" ht="10.5">
      <c r="A59" s="1139" t="s">
        <v>113</v>
      </c>
      <c r="B59" s="1139"/>
      <c r="C59" s="1139"/>
      <c r="D59" s="1139"/>
      <c r="E59" s="1139"/>
      <c r="F59" s="1139"/>
      <c r="G59" s="1141"/>
      <c r="H59" s="1141"/>
      <c r="I59" s="1141"/>
      <c r="J59" s="1141"/>
      <c r="K59" s="1141"/>
      <c r="L59" s="1141"/>
      <c r="M59" s="1141"/>
      <c r="N59" s="1141"/>
      <c r="O59" s="1141"/>
      <c r="P59" s="1141"/>
      <c r="Q59" s="1141"/>
      <c r="R59" s="1060"/>
      <c r="S59" s="1060"/>
      <c r="T59" s="1060"/>
      <c r="U59" s="1060"/>
      <c r="V59" s="1060"/>
      <c r="W59" s="1060"/>
      <c r="X59" s="1060"/>
      <c r="Y59" s="1060"/>
      <c r="Z59" s="1060"/>
      <c r="AA59" s="1060"/>
      <c r="AB59" s="1060"/>
      <c r="AC59" s="1060">
        <f t="shared" ref="AC59:BG59" si="121">AC58/Y58-1</f>
        <v>0.43542364043591042</v>
      </c>
      <c r="AD59" s="1060">
        <f t="shared" si="121"/>
        <v>0.42248375414867922</v>
      </c>
      <c r="AE59" s="1060">
        <f t="shared" si="121"/>
        <v>0.35974952840641428</v>
      </c>
      <c r="AF59" s="1060">
        <f t="shared" si="121"/>
        <v>0.36579651893162612</v>
      </c>
      <c r="AG59" s="1060">
        <f t="shared" si="121"/>
        <v>0.3688613786634547</v>
      </c>
      <c r="AH59" s="1060">
        <f t="shared" si="121"/>
        <v>0.39279033771798733</v>
      </c>
      <c r="AI59" s="1060">
        <f t="shared" si="121"/>
        <v>0.43819811821930155</v>
      </c>
      <c r="AJ59" s="1060">
        <f t="shared" si="121"/>
        <v>0.43140662423388521</v>
      </c>
      <c r="AK59" s="1060">
        <f t="shared" si="121"/>
        <v>0.42284831810083134</v>
      </c>
      <c r="AL59" s="1060">
        <f t="shared" si="121"/>
        <v>0.4047161359147935</v>
      </c>
      <c r="AM59" s="1060">
        <f t="shared" si="121"/>
        <v>0.35612085283921435</v>
      </c>
      <c r="AN59" s="1060">
        <f t="shared" si="121"/>
        <v>0.31380034349269481</v>
      </c>
      <c r="AO59" s="1060">
        <f t="shared" si="121"/>
        <v>0.25636815829257364</v>
      </c>
      <c r="AP59" s="1060">
        <f t="shared" si="121"/>
        <v>0.2138307048193584</v>
      </c>
      <c r="AQ59" s="1060">
        <f t="shared" si="121"/>
        <v>0.19220253836458201</v>
      </c>
      <c r="AR59" s="1060">
        <f t="shared" si="121"/>
        <v>0.19364362625911768</v>
      </c>
      <c r="AS59" s="1060">
        <f t="shared" si="121"/>
        <v>0.20826677316293929</v>
      </c>
      <c r="AT59" s="1060">
        <f t="shared" si="121"/>
        <v>0.23780995035336683</v>
      </c>
      <c r="AU59" s="1072">
        <f t="shared" si="121"/>
        <v>0.22671754278101419</v>
      </c>
      <c r="AV59" s="1060">
        <f t="shared" ref="AV59" si="122">AV58/AR58-1</f>
        <v>0.23216403375497663</v>
      </c>
      <c r="AW59" s="1060">
        <f t="shared" ref="AW59" si="123">AW58/AS58-1</f>
        <v>0.23899956248254584</v>
      </c>
      <c r="AX59" s="1060">
        <f t="shared" ref="AX59" si="124">AX58/AT58-1</f>
        <v>0.23257622144049339</v>
      </c>
      <c r="AY59" s="1060">
        <f t="shared" ref="AY59" si="125">AY58/AU58-1</f>
        <v>0.23937865893003485</v>
      </c>
      <c r="AZ59" s="1141">
        <f t="shared" si="121"/>
        <v>0.17442884238784995</v>
      </c>
      <c r="BA59" s="1141">
        <f t="shared" si="121"/>
        <v>0.14998629053362911</v>
      </c>
      <c r="BB59" s="1141">
        <f t="shared" si="121"/>
        <v>7.1173828918779103E-2</v>
      </c>
      <c r="BC59" s="1141">
        <f t="shared" si="121"/>
        <v>5.1784962039288729E-2</v>
      </c>
      <c r="BD59" s="1141">
        <f t="shared" si="121"/>
        <v>9.7518663991775112E-2</v>
      </c>
      <c r="BE59" s="1141">
        <f t="shared" si="121"/>
        <v>8.587228666190394E-2</v>
      </c>
      <c r="BF59" s="1141">
        <f t="shared" si="121"/>
        <v>0.14233569057554085</v>
      </c>
      <c r="BG59" s="1141">
        <f t="shared" si="121"/>
        <v>0.13884755650597791</v>
      </c>
      <c r="BH59" s="1141"/>
      <c r="BI59" s="1141"/>
      <c r="BN59" s="1139" t="s">
        <v>687</v>
      </c>
      <c r="BP59" s="1140">
        <f t="shared" ref="BP59:CB59" si="126">BP58/BO58-1</f>
        <v>0.49441626519757542</v>
      </c>
      <c r="BQ59" s="1140">
        <f t="shared" si="126"/>
        <v>0.88357882851742486</v>
      </c>
      <c r="BR59" s="1140">
        <f t="shared" si="126"/>
        <v>0.7299312642888951</v>
      </c>
      <c r="BS59" s="1140">
        <f t="shared" si="126"/>
        <v>0.51756154911472008</v>
      </c>
      <c r="BT59" s="1140">
        <f t="shared" si="126"/>
        <v>0.63042481489728308</v>
      </c>
      <c r="BU59" s="1140">
        <f t="shared" si="126"/>
        <v>0.61364987769687795</v>
      </c>
      <c r="BV59" s="1140">
        <f t="shared" si="126"/>
        <v>0.37725993041806993</v>
      </c>
      <c r="BW59" s="1140">
        <f t="shared" si="126"/>
        <v>0.42210117391556912</v>
      </c>
      <c r="BX59" s="1140">
        <f t="shared" si="126"/>
        <v>0.32702140681844605</v>
      </c>
      <c r="BY59" s="1140">
        <f t="shared" si="126"/>
        <v>0.20184291306986113</v>
      </c>
      <c r="BZ59" s="1140">
        <f t="shared" si="126"/>
        <v>0.23399949301336687</v>
      </c>
      <c r="CA59" s="1140">
        <f t="shared" si="126"/>
        <v>0.1968189318353093</v>
      </c>
      <c r="CB59" s="1140">
        <f t="shared" si="126"/>
        <v>7.6768811703022077E-2</v>
      </c>
      <c r="CC59" s="1140"/>
      <c r="CD59" s="1140"/>
    </row>
    <row r="60" spans="1:82" s="7" customFormat="1">
      <c r="A60" s="1139" t="s">
        <v>689</v>
      </c>
      <c r="B60" s="1139"/>
      <c r="C60" s="1139"/>
      <c r="D60" s="1139"/>
      <c r="E60" s="1139"/>
      <c r="F60" s="1139"/>
      <c r="G60" s="1141"/>
      <c r="H60" s="1141"/>
      <c r="I60" s="1141"/>
      <c r="J60" s="1141"/>
      <c r="K60" s="1141"/>
      <c r="L60" s="1141"/>
      <c r="M60" s="1141"/>
      <c r="N60" s="1141"/>
      <c r="O60" s="1141"/>
      <c r="P60" s="1141"/>
      <c r="Q60" s="1141"/>
      <c r="R60" s="1060"/>
      <c r="S60" s="1060"/>
      <c r="T60" s="1060"/>
      <c r="U60" s="1060"/>
      <c r="V60" s="1060"/>
      <c r="W60" s="1060"/>
      <c r="X60" s="1060"/>
      <c r="Y60" s="1060"/>
      <c r="Z60" s="1060"/>
      <c r="AA60" s="1060"/>
      <c r="AB60" s="1060"/>
      <c r="AC60" s="1060" t="s">
        <v>271</v>
      </c>
      <c r="AD60" s="1060" t="s">
        <v>271</v>
      </c>
      <c r="AE60" s="1060" t="s">
        <v>271</v>
      </c>
      <c r="AF60" s="1060" t="s">
        <v>271</v>
      </c>
      <c r="AG60" s="1060" t="s">
        <v>271</v>
      </c>
      <c r="AH60" s="1060" t="s">
        <v>271</v>
      </c>
      <c r="AI60" s="1060" t="s">
        <v>271</v>
      </c>
      <c r="AJ60" s="1060" t="s">
        <v>271</v>
      </c>
      <c r="AK60" s="1060" t="s">
        <v>271</v>
      </c>
      <c r="AL60" s="1060" t="s">
        <v>271</v>
      </c>
      <c r="AM60" s="1060" t="s">
        <v>271</v>
      </c>
      <c r="AN60" s="1060" t="s">
        <v>271</v>
      </c>
      <c r="AO60" s="1060" t="s">
        <v>271</v>
      </c>
      <c r="AP60" s="1060" t="s">
        <v>271</v>
      </c>
      <c r="AQ60" s="1060" t="s">
        <v>271</v>
      </c>
      <c r="AR60" s="1060" t="s">
        <v>271</v>
      </c>
      <c r="AS60" s="1060" t="s">
        <v>271</v>
      </c>
      <c r="AT60" s="1060" t="s">
        <v>271</v>
      </c>
      <c r="AU60" s="1072" t="s">
        <v>271</v>
      </c>
      <c r="AV60" s="1060" t="s">
        <v>271</v>
      </c>
      <c r="AW60" s="1060" t="s">
        <v>271</v>
      </c>
      <c r="AX60" s="1060" t="s">
        <v>271</v>
      </c>
      <c r="AY60" s="1060" t="s">
        <v>271</v>
      </c>
      <c r="AZ60" s="1141">
        <f t="shared" ref="AZ60" si="127">AZ59/AV59-1</f>
        <v>-0.24868275431525177</v>
      </c>
      <c r="BA60" s="1141">
        <f t="shared" ref="BA60" si="128">BA59/AW59-1</f>
        <v>-0.3724411502025966</v>
      </c>
      <c r="BB60" s="1141">
        <f t="shared" ref="BB60" si="129">BB59/AX59-1</f>
        <v>-0.69397632966107192</v>
      </c>
      <c r="BC60" s="1141">
        <f t="shared" ref="BC60" si="130">BC59/AY59-1</f>
        <v>-0.78366926161774364</v>
      </c>
      <c r="BD60" s="1141">
        <f t="shared" ref="BD60" si="131">BD59/AZ59-1</f>
        <v>-0.44092580873214637</v>
      </c>
      <c r="BE60" s="1141">
        <f t="shared" ref="BE60" si="132">BE59/BA59-1</f>
        <v>-0.42746576132803205</v>
      </c>
      <c r="BF60" s="1141">
        <f t="shared" ref="BF60" si="133">BF59/BB59-1</f>
        <v>0.99983185867334723</v>
      </c>
      <c r="BG60" s="1141">
        <f t="shared" ref="BG60" si="134">BG59/BC59-1</f>
        <v>1.6812331425604921</v>
      </c>
      <c r="BH60" s="1141"/>
      <c r="BI60" s="1141"/>
      <c r="BN60" s="1139" t="s">
        <v>687</v>
      </c>
      <c r="BP60" s="1140" t="e">
        <f t="shared" ref="BP60" si="135">BP59/BO59-1</f>
        <v>#DIV/0!</v>
      </c>
      <c r="BQ60" s="1140">
        <f t="shared" ref="BQ60" si="136">BQ59/BP59-1</f>
        <v>0.78711521184347522</v>
      </c>
      <c r="BR60" s="1140">
        <f t="shared" ref="BR60" si="137">BR59/BQ59-1</f>
        <v>-0.173892310758892</v>
      </c>
      <c r="BS60" s="1140">
        <f t="shared" ref="BS60" si="138">BS59/BR59-1</f>
        <v>-0.29094481297642083</v>
      </c>
      <c r="BT60" s="1140">
        <f t="shared" ref="BT60" si="139">BT59/BS59-1</f>
        <v>0.21806733126835565</v>
      </c>
      <c r="BU60" s="1140">
        <f t="shared" ref="BU60" si="140">BU59/BT59-1</f>
        <v>-2.6608941786560703E-2</v>
      </c>
      <c r="BV60" s="1140">
        <f t="shared" ref="BV60" si="141">BV59/BU59-1</f>
        <v>-0.38521957857470079</v>
      </c>
      <c r="BW60" s="1140">
        <f t="shared" ref="BW60" si="142">BW59/BV59-1</f>
        <v>0.11886033973395271</v>
      </c>
      <c r="BX60" s="1140">
        <f t="shared" ref="BX60" si="143">BX59/BW59-1</f>
        <v>-0.22525350075463524</v>
      </c>
      <c r="BY60" s="1140">
        <f t="shared" ref="BY60" si="144">BY59/BX59-1</f>
        <v>-0.3827837907201006</v>
      </c>
      <c r="BZ60" s="1140">
        <f t="shared" ref="BZ60" si="145">BZ59/BY59-1</f>
        <v>0.1593148823232442</v>
      </c>
      <c r="CA60" s="1140">
        <f t="shared" ref="CA60" si="146">CA59/BZ59-1</f>
        <v>-0.15889163134184092</v>
      </c>
      <c r="CB60" s="1140">
        <f t="shared" ref="CB60" si="147">CB59/CA59-1</f>
        <v>-0.60995209664454775</v>
      </c>
      <c r="CC60" s="1140"/>
      <c r="CD60" s="1140"/>
    </row>
    <row r="61" spans="1:82" s="3" customFormat="1">
      <c r="A61" s="1139" t="s">
        <v>698</v>
      </c>
      <c r="B61" s="7"/>
      <c r="C61" s="7"/>
      <c r="D61" s="7"/>
      <c r="E61" s="7"/>
      <c r="F61" s="7"/>
      <c r="G61" s="7"/>
      <c r="H61" s="7"/>
      <c r="I61" s="7"/>
      <c r="J61" s="7"/>
      <c r="K61" s="7"/>
      <c r="L61" s="7"/>
      <c r="M61" s="7"/>
      <c r="N61" s="7"/>
      <c r="O61" s="7"/>
      <c r="P61" s="7"/>
      <c r="Q61" s="7"/>
      <c r="R61" s="7"/>
      <c r="S61" s="7"/>
      <c r="T61" s="1142"/>
      <c r="U61" s="1142"/>
      <c r="V61" s="1142"/>
      <c r="W61" s="1142"/>
      <c r="X61" s="1143"/>
      <c r="Y61" s="1143"/>
      <c r="Z61" s="1144">
        <f t="shared" ref="Z61:BG61" si="148">Z44+Z45+Z46</f>
        <v>705.37342687707041</v>
      </c>
      <c r="AA61" s="1144">
        <f t="shared" si="148"/>
        <v>1680.045295749363</v>
      </c>
      <c r="AB61" s="1144">
        <f t="shared" si="148"/>
        <v>1188.0129914774038</v>
      </c>
      <c r="AC61" s="1144">
        <f t="shared" si="148"/>
        <v>1703.4840271710955</v>
      </c>
      <c r="AD61" s="1144">
        <f t="shared" si="148"/>
        <v>846.56326383545002</v>
      </c>
      <c r="AE61" s="1144">
        <f t="shared" si="148"/>
        <v>1479.9112631941734</v>
      </c>
      <c r="AF61" s="1144">
        <f t="shared" si="148"/>
        <v>1710.2923219238573</v>
      </c>
      <c r="AG61" s="1144">
        <f t="shared" si="148"/>
        <v>2379.9287131651863</v>
      </c>
      <c r="AH61" s="1144">
        <f t="shared" si="148"/>
        <v>1595.3522042425911</v>
      </c>
      <c r="AI61" s="1144">
        <f t="shared" si="148"/>
        <v>2956.7578119047585</v>
      </c>
      <c r="AJ61" s="1144">
        <f t="shared" si="148"/>
        <v>2314.1790045073649</v>
      </c>
      <c r="AK61" s="1144">
        <f t="shared" si="148"/>
        <v>3202.849780750259</v>
      </c>
      <c r="AL61" s="1144">
        <f t="shared" si="148"/>
        <v>1809.2416842371895</v>
      </c>
      <c r="AM61" s="1144">
        <f t="shared" si="148"/>
        <v>2775.0118890750346</v>
      </c>
      <c r="AN61" s="1144">
        <f t="shared" si="148"/>
        <v>1839.9580997290177</v>
      </c>
      <c r="AO61" s="1144">
        <f t="shared" si="148"/>
        <v>2262</v>
      </c>
      <c r="AP61" s="1144">
        <f t="shared" si="148"/>
        <v>754.86811421885432</v>
      </c>
      <c r="AQ61" s="1144">
        <f t="shared" si="148"/>
        <v>2536.444680122584</v>
      </c>
      <c r="AR61" s="1144">
        <f t="shared" si="148"/>
        <v>2251.6872056585617</v>
      </c>
      <c r="AS61" s="1144">
        <f t="shared" si="148"/>
        <v>3322.5</v>
      </c>
      <c r="AT61" s="1144">
        <f t="shared" si="148"/>
        <v>2191.9772296267001</v>
      </c>
      <c r="AU61" s="1145">
        <f t="shared" si="148"/>
        <v>2630.9462750737548</v>
      </c>
      <c r="AV61" s="1144">
        <f t="shared" ref="AV61:AY61" si="149">AV44+AV45+AV46</f>
        <v>3024.2203232852262</v>
      </c>
      <c r="AW61" s="1144">
        <f t="shared" si="149"/>
        <v>4445.4401689603437</v>
      </c>
      <c r="AX61" s="1144">
        <f t="shared" si="149"/>
        <v>2371.4040996904805</v>
      </c>
      <c r="AY61" s="1144">
        <f t="shared" si="149"/>
        <v>3625.5226228192296</v>
      </c>
      <c r="AZ61" s="1144">
        <f t="shared" si="148"/>
        <v>-102.11281254808091</v>
      </c>
      <c r="BA61" s="1144">
        <f t="shared" si="148"/>
        <v>3663.225038974766</v>
      </c>
      <c r="BB61" s="1144">
        <f t="shared" si="148"/>
        <v>-2482.2235394948784</v>
      </c>
      <c r="BC61" s="1144">
        <f t="shared" si="148"/>
        <v>2531.7147764401325</v>
      </c>
      <c r="BD61" s="1144">
        <f t="shared" si="148"/>
        <v>3076.6206738693927</v>
      </c>
      <c r="BE61" s="1144">
        <f t="shared" si="148"/>
        <v>3166.963302560378</v>
      </c>
      <c r="BF61" s="1144">
        <f t="shared" si="148"/>
        <v>1302.3384931982491</v>
      </c>
      <c r="BG61" s="1144">
        <f t="shared" si="148"/>
        <v>2636.2706694097105</v>
      </c>
      <c r="BH61" s="1144"/>
      <c r="BI61" s="1144"/>
      <c r="BN61" s="7" t="s">
        <v>699</v>
      </c>
      <c r="BO61" s="1144"/>
      <c r="BP61" s="1144">
        <f t="shared" ref="BP61:CB61" si="150">BP44+BP45+BP46</f>
        <v>1536.4321100145276</v>
      </c>
      <c r="BQ61" s="1144">
        <f t="shared" si="150"/>
        <v>4103.3400796349215</v>
      </c>
      <c r="BR61" s="1144">
        <f t="shared" si="150"/>
        <v>6384.957003492842</v>
      </c>
      <c r="BS61" s="1144">
        <f t="shared" si="150"/>
        <v>7831.8951200077663</v>
      </c>
      <c r="BT61" s="1144">
        <f t="shared" si="150"/>
        <v>12768.196618927348</v>
      </c>
      <c r="BU61" s="1144">
        <f t="shared" si="150"/>
        <v>15766.903671460139</v>
      </c>
      <c r="BV61" s="1144">
        <f t="shared" si="150"/>
        <v>22793.023562154678</v>
      </c>
      <c r="BW61" s="1144">
        <f t="shared" si="150"/>
        <v>35123.17208898707</v>
      </c>
      <c r="BX61" s="1144">
        <f t="shared" si="150"/>
        <v>38697.58376680217</v>
      </c>
      <c r="BY61" s="1144">
        <f t="shared" si="150"/>
        <v>31695.608997093361</v>
      </c>
      <c r="BZ61" s="1144">
        <f t="shared" si="150"/>
        <v>44161.947650698559</v>
      </c>
      <c r="CA61" s="1144">
        <f t="shared" si="150"/>
        <v>45836.891109623451</v>
      </c>
      <c r="CB61" s="1144">
        <f t="shared" si="150"/>
        <v>21397.426936287426</v>
      </c>
      <c r="CC61" s="1144"/>
      <c r="CD61" s="1144"/>
    </row>
    <row r="62" spans="1:82">
      <c r="AU62" s="1067"/>
    </row>
    <row r="63" spans="1:82">
      <c r="AU63" s="1067"/>
    </row>
    <row r="64" spans="1:82">
      <c r="AU64" s="1067"/>
    </row>
    <row r="65" spans="47:47">
      <c r="AU65" s="1067"/>
    </row>
    <row r="66" spans="47:47">
      <c r="AU66" s="1067"/>
    </row>
    <row r="67" spans="47:47">
      <c r="AU67" s="1067"/>
    </row>
    <row r="68" spans="47:47">
      <c r="AU68" s="1067"/>
    </row>
    <row r="69" spans="47:47">
      <c r="AU69" s="1067"/>
    </row>
    <row r="70" spans="47:47">
      <c r="AU70" s="1067"/>
    </row>
    <row r="71" spans="47:47">
      <c r="AU71" s="1067"/>
    </row>
    <row r="72" spans="47:47">
      <c r="AU72" s="1067"/>
    </row>
    <row r="73" spans="47:47">
      <c r="AU73" s="1067"/>
    </row>
    <row r="74" spans="47:47">
      <c r="AU74" s="1067"/>
    </row>
    <row r="75" spans="47:47">
      <c r="AU75" s="1067"/>
    </row>
    <row r="76" spans="47:47">
      <c r="AU76" s="1067"/>
    </row>
    <row r="77" spans="47:47">
      <c r="AU77" s="1067"/>
    </row>
    <row r="78" spans="47:47">
      <c r="AU78" s="1067"/>
    </row>
    <row r="79" spans="47:47">
      <c r="AU79" s="1067"/>
    </row>
    <row r="80" spans="47:47">
      <c r="AU80" s="1067"/>
    </row>
    <row r="81" spans="1:82">
      <c r="AU81" s="1067"/>
    </row>
    <row r="82" spans="1:82">
      <c r="AU82" s="1067"/>
    </row>
    <row r="83" spans="1:82">
      <c r="AU83" s="1067"/>
    </row>
    <row r="84" spans="1:82">
      <c r="AU84" s="1067"/>
    </row>
    <row r="85" spans="1:82">
      <c r="AU85" s="1067"/>
    </row>
    <row r="86" spans="1:82" ht="10.5">
      <c r="A86" s="1055" t="s">
        <v>700</v>
      </c>
      <c r="AN86" s="9"/>
      <c r="AO86" s="1157"/>
      <c r="AU86" s="1067"/>
    </row>
    <row r="87" spans="1:82">
      <c r="AU87" s="1067"/>
    </row>
    <row r="88" spans="1:82" ht="13.5">
      <c r="A88" s="1"/>
      <c r="B88" s="1131" t="s">
        <v>701</v>
      </c>
      <c r="C88" s="1005"/>
      <c r="D88" s="1005"/>
      <c r="E88" s="1131"/>
      <c r="F88" s="1131" t="s">
        <v>702</v>
      </c>
      <c r="G88" s="1005"/>
      <c r="H88" s="1005"/>
      <c r="I88" s="1131"/>
      <c r="J88" s="1131" t="s">
        <v>703</v>
      </c>
      <c r="K88" s="1005"/>
      <c r="L88" s="1005"/>
      <c r="M88" s="1131"/>
      <c r="N88" s="1131" t="s">
        <v>704</v>
      </c>
      <c r="O88" s="1005"/>
      <c r="P88" s="1005"/>
      <c r="Q88" s="1131"/>
      <c r="R88" s="1131" t="s">
        <v>705</v>
      </c>
      <c r="S88" s="1005"/>
      <c r="T88" s="1131"/>
      <c r="U88" s="1131"/>
      <c r="V88" s="1131" t="s">
        <v>706</v>
      </c>
      <c r="W88" s="1005"/>
      <c r="X88" s="1131"/>
      <c r="Y88" s="1131"/>
      <c r="Z88" s="1131" t="s">
        <v>640</v>
      </c>
      <c r="AA88" s="1005"/>
      <c r="AB88" s="1005"/>
      <c r="AC88" s="1131"/>
      <c r="AD88" s="1131" t="s">
        <v>641</v>
      </c>
      <c r="AE88" s="1005"/>
      <c r="AF88" s="1005"/>
      <c r="AG88" s="1131"/>
      <c r="AH88" s="1131" t="s">
        <v>266</v>
      </c>
      <c r="AI88" s="1131"/>
      <c r="AJ88" s="1131"/>
      <c r="AK88" s="1131"/>
      <c r="AL88" s="1131" t="s">
        <v>707</v>
      </c>
      <c r="AM88" s="1131"/>
      <c r="AN88" s="1131"/>
      <c r="AO88" s="1131"/>
      <c r="AP88" s="1131" t="s">
        <v>708</v>
      </c>
      <c r="AQ88" s="1131"/>
      <c r="AR88" s="1131"/>
      <c r="AS88" s="1131"/>
      <c r="AT88" s="1131" t="s">
        <v>269</v>
      </c>
      <c r="AU88" s="1132"/>
      <c r="AV88" s="1131"/>
      <c r="AW88" s="1131"/>
      <c r="AX88" s="1131" t="s">
        <v>709</v>
      </c>
      <c r="AY88" s="1131"/>
      <c r="AZ88" s="1131"/>
      <c r="BA88" s="1131"/>
      <c r="BB88" s="1131" t="s">
        <v>710</v>
      </c>
      <c r="BC88" s="1131"/>
      <c r="BD88" s="1131"/>
      <c r="BE88" s="1131"/>
      <c r="BF88" s="1131" t="s">
        <v>711</v>
      </c>
      <c r="BG88" s="1131"/>
      <c r="BH88" s="1131"/>
      <c r="BI88" s="1131"/>
    </row>
    <row r="89" spans="1:82" ht="10.5">
      <c r="B89" s="1133" t="s">
        <v>712</v>
      </c>
      <c r="C89" s="1133" t="s">
        <v>713</v>
      </c>
      <c r="D89" s="1133" t="s">
        <v>714</v>
      </c>
      <c r="E89" s="1133" t="s">
        <v>715</v>
      </c>
      <c r="F89" s="1133" t="s">
        <v>712</v>
      </c>
      <c r="G89" s="1133" t="s">
        <v>713</v>
      </c>
      <c r="H89" s="1133" t="s">
        <v>714</v>
      </c>
      <c r="I89" s="1133" t="s">
        <v>715</v>
      </c>
      <c r="J89" s="1133" t="s">
        <v>712</v>
      </c>
      <c r="K89" s="1133" t="s">
        <v>713</v>
      </c>
      <c r="L89" s="1133" t="s">
        <v>714</v>
      </c>
      <c r="M89" s="1133" t="s">
        <v>715</v>
      </c>
      <c r="N89" s="1133" t="s">
        <v>712</v>
      </c>
      <c r="O89" s="1133" t="s">
        <v>713</v>
      </c>
      <c r="P89" s="1133" t="s">
        <v>714</v>
      </c>
      <c r="Q89" s="1133" t="s">
        <v>715</v>
      </c>
      <c r="R89" s="1133" t="s">
        <v>712</v>
      </c>
      <c r="S89" s="1133" t="s">
        <v>713</v>
      </c>
      <c r="T89" s="1133" t="s">
        <v>714</v>
      </c>
      <c r="U89" s="1133" t="s">
        <v>715</v>
      </c>
      <c r="V89" s="1133" t="s">
        <v>712</v>
      </c>
      <c r="W89" s="1133" t="s">
        <v>713</v>
      </c>
      <c r="X89" s="1133" t="s">
        <v>714</v>
      </c>
      <c r="Y89" s="1133" t="s">
        <v>715</v>
      </c>
      <c r="Z89" s="1133" t="s">
        <v>712</v>
      </c>
      <c r="AA89" s="1133" t="s">
        <v>713</v>
      </c>
      <c r="AB89" s="1133" t="s">
        <v>714</v>
      </c>
      <c r="AC89" s="1133" t="s">
        <v>715</v>
      </c>
      <c r="AD89" s="1133" t="s">
        <v>712</v>
      </c>
      <c r="AE89" s="1133" t="s">
        <v>713</v>
      </c>
      <c r="AF89" s="1133" t="s">
        <v>714</v>
      </c>
      <c r="AG89" s="1133" t="s">
        <v>715</v>
      </c>
      <c r="AH89" s="1133" t="s">
        <v>712</v>
      </c>
      <c r="AI89" s="1133" t="s">
        <v>713</v>
      </c>
      <c r="AJ89" s="1133" t="s">
        <v>714</v>
      </c>
      <c r="AK89" s="1133" t="s">
        <v>715</v>
      </c>
      <c r="AL89" s="1133" t="s">
        <v>712</v>
      </c>
      <c r="AM89" s="1133" t="s">
        <v>713</v>
      </c>
      <c r="AN89" s="1133" t="s">
        <v>714</v>
      </c>
      <c r="AO89" s="1133" t="s">
        <v>715</v>
      </c>
      <c r="AP89" s="1133" t="s">
        <v>712</v>
      </c>
      <c r="AQ89" s="1133" t="s">
        <v>713</v>
      </c>
      <c r="AR89" s="1133" t="s">
        <v>714</v>
      </c>
      <c r="AS89" s="1133" t="s">
        <v>715</v>
      </c>
      <c r="AT89" s="1133" t="s">
        <v>712</v>
      </c>
      <c r="AU89" s="1134" t="s">
        <v>713</v>
      </c>
      <c r="AV89" s="1133" t="s">
        <v>714</v>
      </c>
      <c r="AW89" s="1133" t="s">
        <v>715</v>
      </c>
      <c r="AX89" s="1133" t="s">
        <v>712</v>
      </c>
      <c r="AY89" s="1133" t="s">
        <v>713</v>
      </c>
      <c r="AZ89" s="1133" t="s">
        <v>714</v>
      </c>
      <c r="BA89" s="1133" t="s">
        <v>715</v>
      </c>
      <c r="BB89" s="1133" t="s">
        <v>712</v>
      </c>
      <c r="BC89" s="1133" t="s">
        <v>713</v>
      </c>
      <c r="BD89" s="1133" t="s">
        <v>714</v>
      </c>
      <c r="BE89" s="1133" t="s">
        <v>715</v>
      </c>
      <c r="BF89" s="1133" t="s">
        <v>712</v>
      </c>
      <c r="BG89" s="1133" t="s">
        <v>713</v>
      </c>
      <c r="BH89" s="1133" t="s">
        <v>714</v>
      </c>
      <c r="BI89" s="1133" t="s">
        <v>715</v>
      </c>
    </row>
    <row r="90" spans="1:82" ht="10.5">
      <c r="B90" s="1133">
        <f t="shared" ref="B90:AG90" si="151">B7</f>
        <v>41334</v>
      </c>
      <c r="C90" s="1133">
        <f t="shared" si="151"/>
        <v>41426</v>
      </c>
      <c r="D90" s="1133">
        <f t="shared" si="151"/>
        <v>41518</v>
      </c>
      <c r="E90" s="1133">
        <f t="shared" si="151"/>
        <v>41609</v>
      </c>
      <c r="F90" s="1133">
        <f t="shared" si="151"/>
        <v>41699</v>
      </c>
      <c r="G90" s="1133">
        <f t="shared" si="151"/>
        <v>41791</v>
      </c>
      <c r="H90" s="1133">
        <f t="shared" si="151"/>
        <v>41883</v>
      </c>
      <c r="I90" s="1133">
        <f t="shared" si="151"/>
        <v>41974</v>
      </c>
      <c r="J90" s="1133">
        <f t="shared" si="151"/>
        <v>42064</v>
      </c>
      <c r="K90" s="1133">
        <f t="shared" si="151"/>
        <v>42156</v>
      </c>
      <c r="L90" s="1133">
        <f t="shared" si="151"/>
        <v>42248</v>
      </c>
      <c r="M90" s="1133">
        <f t="shared" si="151"/>
        <v>42339</v>
      </c>
      <c r="N90" s="1133">
        <f t="shared" si="151"/>
        <v>42430</v>
      </c>
      <c r="O90" s="1133">
        <f t="shared" si="151"/>
        <v>42522</v>
      </c>
      <c r="P90" s="1133">
        <f t="shared" si="151"/>
        <v>42614</v>
      </c>
      <c r="Q90" s="1133">
        <f t="shared" si="151"/>
        <v>42705</v>
      </c>
      <c r="R90" s="1133">
        <f t="shared" si="151"/>
        <v>42795</v>
      </c>
      <c r="S90" s="1133">
        <f t="shared" si="151"/>
        <v>42887</v>
      </c>
      <c r="T90" s="1133">
        <f t="shared" si="151"/>
        <v>42979</v>
      </c>
      <c r="U90" s="1133">
        <f t="shared" si="151"/>
        <v>43070</v>
      </c>
      <c r="V90" s="1133">
        <f t="shared" si="151"/>
        <v>43160</v>
      </c>
      <c r="W90" s="1133">
        <f t="shared" si="151"/>
        <v>43252</v>
      </c>
      <c r="X90" s="1133">
        <f t="shared" si="151"/>
        <v>43344</v>
      </c>
      <c r="Y90" s="1133">
        <f t="shared" si="151"/>
        <v>43435</v>
      </c>
      <c r="Z90" s="1133">
        <f t="shared" si="151"/>
        <v>43525</v>
      </c>
      <c r="AA90" s="1133">
        <f t="shared" si="151"/>
        <v>43617</v>
      </c>
      <c r="AB90" s="1133">
        <f t="shared" si="151"/>
        <v>43709</v>
      </c>
      <c r="AC90" s="1133">
        <f t="shared" si="151"/>
        <v>43800</v>
      </c>
      <c r="AD90" s="1133">
        <f t="shared" si="151"/>
        <v>43891</v>
      </c>
      <c r="AE90" s="1133">
        <f t="shared" si="151"/>
        <v>43983</v>
      </c>
      <c r="AF90" s="1133">
        <f t="shared" si="151"/>
        <v>44075</v>
      </c>
      <c r="AG90" s="1133">
        <f t="shared" si="151"/>
        <v>44166</v>
      </c>
      <c r="AH90" s="1133">
        <f t="shared" ref="AH90:BI90" si="152">AH7</f>
        <v>44276</v>
      </c>
      <c r="AI90" s="1133">
        <f t="shared" si="152"/>
        <v>44368</v>
      </c>
      <c r="AJ90" s="1133">
        <f t="shared" si="152"/>
        <v>44460</v>
      </c>
      <c r="AK90" s="1133">
        <f t="shared" si="152"/>
        <v>44551</v>
      </c>
      <c r="AL90" s="1133">
        <f t="shared" si="152"/>
        <v>44642</v>
      </c>
      <c r="AM90" s="1133">
        <f t="shared" si="152"/>
        <v>44734</v>
      </c>
      <c r="AN90" s="1133">
        <f t="shared" si="152"/>
        <v>44826</v>
      </c>
      <c r="AO90" s="1133">
        <f t="shared" si="152"/>
        <v>44917</v>
      </c>
      <c r="AP90" s="1133">
        <f t="shared" si="152"/>
        <v>45008</v>
      </c>
      <c r="AQ90" s="1133">
        <f t="shared" si="152"/>
        <v>45100</v>
      </c>
      <c r="AR90" s="1133">
        <f t="shared" si="152"/>
        <v>45192</v>
      </c>
      <c r="AS90" s="1133">
        <f t="shared" si="152"/>
        <v>45649</v>
      </c>
      <c r="AT90" s="1133">
        <f t="shared" si="152"/>
        <v>45375</v>
      </c>
      <c r="AU90" s="1134" t="str">
        <f t="shared" si="152"/>
        <v>Jun-24E</v>
      </c>
      <c r="AV90" s="1133" t="str">
        <f t="shared" si="152"/>
        <v>Sep-24E</v>
      </c>
      <c r="AW90" s="1133" t="str">
        <f t="shared" si="152"/>
        <v>Dec-24E</v>
      </c>
      <c r="AX90" s="1133" t="str">
        <f t="shared" si="152"/>
        <v>Mar-25E</v>
      </c>
      <c r="AY90" s="1133" t="str">
        <f t="shared" si="152"/>
        <v>Jun-25E</v>
      </c>
      <c r="AZ90" s="1133" t="str">
        <f t="shared" si="152"/>
        <v>Sep-25E</v>
      </c>
      <c r="BA90" s="1133" t="str">
        <f t="shared" si="152"/>
        <v>Dec-25E</v>
      </c>
      <c r="BB90" s="1133" t="str">
        <f t="shared" si="152"/>
        <v>Mar-26E</v>
      </c>
      <c r="BC90" s="1133" t="str">
        <f t="shared" si="152"/>
        <v>Jun-26E</v>
      </c>
      <c r="BD90" s="1133" t="str">
        <f t="shared" si="152"/>
        <v>Sep-26E</v>
      </c>
      <c r="BE90" s="1133" t="str">
        <f t="shared" si="152"/>
        <v>Dec-26E</v>
      </c>
      <c r="BF90" s="1133" t="str">
        <f t="shared" si="152"/>
        <v>Mar-27E</v>
      </c>
      <c r="BG90" s="1133" t="str">
        <f t="shared" si="152"/>
        <v>Jun-27E</v>
      </c>
      <c r="BH90" s="1133" t="str">
        <f t="shared" si="152"/>
        <v>Sep-27E</v>
      </c>
      <c r="BI90" s="1133" t="str">
        <f t="shared" si="152"/>
        <v>Dec-27E</v>
      </c>
      <c r="BJ90" s="1135"/>
      <c r="BO90" s="1" t="s">
        <v>668</v>
      </c>
      <c r="BP90" s="1" t="s">
        <v>669</v>
      </c>
      <c r="BQ90" s="1" t="s">
        <v>670</v>
      </c>
      <c r="BR90" s="1" t="s">
        <v>671</v>
      </c>
      <c r="BS90" s="1" t="s">
        <v>672</v>
      </c>
      <c r="BT90" s="1" t="s">
        <v>673</v>
      </c>
      <c r="BU90" s="1" t="s">
        <v>674</v>
      </c>
      <c r="BV90" s="1" t="s">
        <v>675</v>
      </c>
      <c r="BW90" s="1" t="s">
        <v>716</v>
      </c>
      <c r="BX90" s="1" t="s">
        <v>677</v>
      </c>
      <c r="BY90" s="1" t="s">
        <v>678</v>
      </c>
      <c r="BZ90" s="1" t="s">
        <v>679</v>
      </c>
      <c r="CA90" s="1" t="s">
        <v>680</v>
      </c>
      <c r="CB90" s="1" t="s">
        <v>681</v>
      </c>
      <c r="CC90" s="1" t="s">
        <v>682</v>
      </c>
      <c r="CD90" s="1"/>
    </row>
    <row r="91" spans="1:82" ht="10.5">
      <c r="A91" s="45" t="s">
        <v>683</v>
      </c>
      <c r="B91" s="45"/>
      <c r="C91" s="45"/>
      <c r="D91" s="45"/>
      <c r="E91" s="45"/>
      <c r="F91" s="45"/>
      <c r="G91" s="45"/>
      <c r="H91" s="45"/>
      <c r="I91" s="45"/>
      <c r="J91" s="45"/>
      <c r="K91" s="45"/>
      <c r="L91" s="45"/>
      <c r="M91" s="45"/>
      <c r="N91" s="45"/>
      <c r="O91" s="45"/>
      <c r="P91" s="45"/>
      <c r="Q91" s="45"/>
      <c r="R91" s="45"/>
      <c r="S91" s="45"/>
      <c r="AU91" s="1067"/>
      <c r="BN91" s="45" t="s">
        <v>683</v>
      </c>
    </row>
    <row r="92" spans="1:82">
      <c r="A92" t="s">
        <v>86</v>
      </c>
      <c r="B92" s="1118">
        <v>621.30177514792899</v>
      </c>
      <c r="C92" s="1118">
        <v>702.79720279720277</v>
      </c>
      <c r="D92" s="1118">
        <v>817.48251748251755</v>
      </c>
      <c r="E92" s="1118">
        <v>965.98639455782313</v>
      </c>
      <c r="F92" s="1118">
        <v>1050</v>
      </c>
      <c r="G92" s="1118">
        <v>1005</v>
      </c>
      <c r="H92" s="1118">
        <v>1169</v>
      </c>
      <c r="I92" s="1118">
        <v>1420</v>
      </c>
      <c r="J92" s="1118">
        <v>1566</v>
      </c>
      <c r="K92" s="1118">
        <v>1824</v>
      </c>
      <c r="L92" s="1118">
        <v>2085</v>
      </c>
      <c r="M92" s="1118">
        <v>2405</v>
      </c>
      <c r="N92" s="1118">
        <v>2566</v>
      </c>
      <c r="O92" s="1118">
        <v>2886</v>
      </c>
      <c r="P92" s="1118">
        <v>3231</v>
      </c>
      <c r="Q92" s="1118">
        <v>3536</v>
      </c>
      <c r="R92" s="1118">
        <v>3661</v>
      </c>
      <c r="S92" s="1118">
        <v>4100</v>
      </c>
      <c r="T92" s="1118">
        <v>4584</v>
      </c>
      <c r="U92" s="1118">
        <v>5113</v>
      </c>
      <c r="V92" s="1118">
        <v>5442</v>
      </c>
      <c r="W92" s="1118">
        <v>6105</v>
      </c>
      <c r="X92" s="1118">
        <v>6679</v>
      </c>
      <c r="Y92" s="1118">
        <v>7430</v>
      </c>
      <c r="Z92" s="1118">
        <v>7696</v>
      </c>
      <c r="AA92" s="1118">
        <v>8381</v>
      </c>
      <c r="AB92" s="1118">
        <v>8995</v>
      </c>
      <c r="AC92" s="1118">
        <v>9954</v>
      </c>
      <c r="AD92" s="1118">
        <v>10219</v>
      </c>
      <c r="AE92" s="1118">
        <v>10808</v>
      </c>
      <c r="AF92" s="1118">
        <v>11601</v>
      </c>
      <c r="AG92" s="1118">
        <v>12742</v>
      </c>
      <c r="AH92" s="1118">
        <v>13503</v>
      </c>
      <c r="AI92" s="1118">
        <v>14809</v>
      </c>
      <c r="AJ92" s="1118">
        <v>16110</v>
      </c>
      <c r="AK92" s="1118">
        <f t="shared" ref="AK92:BI92" si="153">AK9</f>
        <v>17780</v>
      </c>
      <c r="AL92" s="1118">
        <f t="shared" si="153"/>
        <v>18441</v>
      </c>
      <c r="AM92" s="1118">
        <f t="shared" si="153"/>
        <v>19739</v>
      </c>
      <c r="AN92" s="1118">
        <f t="shared" si="153"/>
        <v>20538</v>
      </c>
      <c r="AO92" s="1118">
        <f t="shared" si="153"/>
        <v>21378</v>
      </c>
      <c r="AP92" s="1119">
        <f t="shared" si="153"/>
        <v>21354</v>
      </c>
      <c r="AQ92" s="1119">
        <f t="shared" si="153"/>
        <v>22140</v>
      </c>
      <c r="AR92" s="1119">
        <f t="shared" si="153"/>
        <v>23059</v>
      </c>
      <c r="AS92" s="1119">
        <f t="shared" si="153"/>
        <v>24204</v>
      </c>
      <c r="AT92" s="1119">
        <f t="shared" si="153"/>
        <v>25037</v>
      </c>
      <c r="AU92" s="1123">
        <f t="shared" si="153"/>
        <v>25980.5</v>
      </c>
      <c r="AV92" s="1119">
        <f t="shared" si="153"/>
        <v>27171.7</v>
      </c>
      <c r="AW92" s="1119">
        <f t="shared" si="153"/>
        <v>28613.7</v>
      </c>
      <c r="AX92" s="1119">
        <f t="shared" si="153"/>
        <v>29552.9</v>
      </c>
      <c r="AY92" s="1119">
        <f t="shared" si="153"/>
        <v>30692.9</v>
      </c>
      <c r="AZ92" s="1119">
        <f t="shared" si="153"/>
        <v>32020.1</v>
      </c>
      <c r="BA92" s="1119">
        <f t="shared" si="153"/>
        <v>33679.699999999997</v>
      </c>
      <c r="BB92" s="1119">
        <f t="shared" si="153"/>
        <v>30870.798249999996</v>
      </c>
      <c r="BC92" s="1119">
        <f t="shared" si="153"/>
        <v>31954.498449999996</v>
      </c>
      <c r="BD92" s="1119">
        <f t="shared" si="153"/>
        <v>33114.646449999993</v>
      </c>
      <c r="BE92" s="1119">
        <f t="shared" si="153"/>
        <v>34639.246449999991</v>
      </c>
      <c r="BF92" s="1119">
        <f t="shared" si="153"/>
        <v>34969.168074999994</v>
      </c>
      <c r="BG92" s="1119">
        <f t="shared" si="153"/>
        <v>36161.238294999996</v>
      </c>
      <c r="BH92" s="1119">
        <f t="shared" si="153"/>
        <v>37437.401094999994</v>
      </c>
      <c r="BI92" s="1119">
        <f t="shared" si="153"/>
        <v>39114.461094999991</v>
      </c>
      <c r="BN92" t="s">
        <v>86</v>
      </c>
      <c r="BO92" s="1120">
        <f>SUM(B92:E92)</f>
        <v>3107.5678899854724</v>
      </c>
      <c r="BP92" s="1120">
        <f>SUM(F92:I92)</f>
        <v>4644</v>
      </c>
      <c r="BQ92" s="1120">
        <f>SUM(J92:M92)</f>
        <v>7880</v>
      </c>
      <c r="BR92" s="1120">
        <f>SUM(N92:Q92)</f>
        <v>12219</v>
      </c>
      <c r="BS92" s="1120">
        <f>SUM(R92:U92)</f>
        <v>17458</v>
      </c>
      <c r="BT92" s="1120">
        <f>SUM(V92:Y92)</f>
        <v>25656</v>
      </c>
      <c r="BU92" s="1120">
        <f>SUM(Z92:AC92)</f>
        <v>35026</v>
      </c>
      <c r="BV92" s="1120">
        <f>SUM(AD92:AG92)</f>
        <v>45370</v>
      </c>
      <c r="BW92" s="1120">
        <f>SUM(AH92:AK92)</f>
        <v>62202</v>
      </c>
      <c r="BX92" s="1120">
        <f>SUM(AL92:AO92)</f>
        <v>80096</v>
      </c>
      <c r="BY92" s="1120">
        <f>SUM(AP92:AS92)</f>
        <v>90757</v>
      </c>
      <c r="BZ92" s="1120">
        <f>SUM(AT92:AW92)</f>
        <v>106802.9</v>
      </c>
      <c r="CA92" s="1120">
        <f>SUM(AX92:BA92)</f>
        <v>125945.59999999999</v>
      </c>
      <c r="CB92" s="1120">
        <f>SUM(BB92:BE92)</f>
        <v>130579.18959999997</v>
      </c>
      <c r="CC92" s="1120">
        <f>SUM(BF92:BI92)</f>
        <v>147682.26855999997</v>
      </c>
      <c r="CD92" s="1120"/>
    </row>
    <row r="93" spans="1:82">
      <c r="A93" s="13" t="s">
        <v>687</v>
      </c>
      <c r="B93" s="13"/>
      <c r="C93" s="13"/>
      <c r="D93" s="13"/>
      <c r="E93" s="13"/>
      <c r="F93" s="833">
        <f t="shared" ref="F93:BI93" si="154">F92/B92-1</f>
        <v>0.69</v>
      </c>
      <c r="G93" s="833">
        <f t="shared" si="154"/>
        <v>0.43000000000000016</v>
      </c>
      <c r="H93" s="833">
        <f t="shared" si="154"/>
        <v>0.42999999999999994</v>
      </c>
      <c r="I93" s="833">
        <f t="shared" si="154"/>
        <v>0.47</v>
      </c>
      <c r="J93" s="833">
        <f t="shared" si="154"/>
        <v>0.49142857142857133</v>
      </c>
      <c r="K93" s="833">
        <f t="shared" si="154"/>
        <v>0.81492537313432845</v>
      </c>
      <c r="L93" s="833">
        <f t="shared" si="154"/>
        <v>0.78357570573139435</v>
      </c>
      <c r="M93" s="833">
        <f t="shared" si="154"/>
        <v>0.69366197183098599</v>
      </c>
      <c r="N93" s="833">
        <f t="shared" si="154"/>
        <v>0.63856960408684538</v>
      </c>
      <c r="O93" s="833">
        <f t="shared" si="154"/>
        <v>0.58223684210526305</v>
      </c>
      <c r="P93" s="833">
        <f t="shared" si="154"/>
        <v>0.54964028776978413</v>
      </c>
      <c r="Q93" s="833">
        <f t="shared" si="154"/>
        <v>0.47027027027027035</v>
      </c>
      <c r="R93" s="833">
        <f t="shared" si="154"/>
        <v>0.42673421667965705</v>
      </c>
      <c r="S93" s="833">
        <f t="shared" si="154"/>
        <v>0.42065142065142069</v>
      </c>
      <c r="T93" s="833">
        <f t="shared" si="154"/>
        <v>0.41875580315691741</v>
      </c>
      <c r="U93" s="833">
        <f t="shared" si="154"/>
        <v>0.44598416289592757</v>
      </c>
      <c r="V93" s="833">
        <f t="shared" si="154"/>
        <v>0.48647910406992634</v>
      </c>
      <c r="W93" s="833">
        <f t="shared" si="154"/>
        <v>0.48902439024390243</v>
      </c>
      <c r="X93" s="833">
        <f t="shared" si="154"/>
        <v>0.45702443280977323</v>
      </c>
      <c r="Y93" s="833">
        <f t="shared" si="154"/>
        <v>0.45315861529434764</v>
      </c>
      <c r="Z93" s="833">
        <f t="shared" si="154"/>
        <v>0.41418596104373395</v>
      </c>
      <c r="AA93" s="833">
        <f t="shared" si="154"/>
        <v>0.37280917280917292</v>
      </c>
      <c r="AB93" s="833">
        <f t="shared" si="154"/>
        <v>0.34675849678095516</v>
      </c>
      <c r="AC93" s="833">
        <f t="shared" si="154"/>
        <v>0.33970390309555865</v>
      </c>
      <c r="AD93" s="833">
        <f t="shared" si="154"/>
        <v>0.32783264033264037</v>
      </c>
      <c r="AE93" s="833">
        <f t="shared" si="154"/>
        <v>0.28958358191146649</v>
      </c>
      <c r="AF93" s="833">
        <f t="shared" si="154"/>
        <v>0.28971650917176217</v>
      </c>
      <c r="AG93" s="833">
        <f t="shared" si="154"/>
        <v>0.28008840667068524</v>
      </c>
      <c r="AH93" s="833">
        <f t="shared" si="154"/>
        <v>0.32136216850963883</v>
      </c>
      <c r="AI93" s="833">
        <f t="shared" si="154"/>
        <v>0.37018874907475952</v>
      </c>
      <c r="AJ93" s="833">
        <f t="shared" si="154"/>
        <v>0.3886733902249806</v>
      </c>
      <c r="AK93" s="833">
        <f t="shared" si="154"/>
        <v>0.39538533982106427</v>
      </c>
      <c r="AL93" s="833">
        <f t="shared" si="154"/>
        <v>0.36569651188624741</v>
      </c>
      <c r="AM93" s="833">
        <f t="shared" si="154"/>
        <v>0.33290566547369838</v>
      </c>
      <c r="AN93" s="833">
        <f t="shared" si="154"/>
        <v>0.27486033519553077</v>
      </c>
      <c r="AO93" s="833">
        <f t="shared" si="154"/>
        <v>0.20236220472440936</v>
      </c>
      <c r="AP93" s="1122">
        <f t="shared" si="154"/>
        <v>0.157963234097934</v>
      </c>
      <c r="AQ93" s="1122">
        <f t="shared" si="154"/>
        <v>0.12163736764780375</v>
      </c>
      <c r="AR93" s="1122">
        <f t="shared" si="154"/>
        <v>0.1227480767358069</v>
      </c>
      <c r="AS93" s="1122">
        <f t="shared" si="154"/>
        <v>0.13219197305641317</v>
      </c>
      <c r="AT93" s="1122">
        <f t="shared" si="154"/>
        <v>0.17247354125690739</v>
      </c>
      <c r="AU93" s="1121">
        <f t="shared" si="154"/>
        <v>0.17346431797651318</v>
      </c>
      <c r="AV93" s="1122">
        <f t="shared" si="154"/>
        <v>0.17835552278936651</v>
      </c>
      <c r="AW93" s="1122">
        <f t="shared" si="154"/>
        <v>0.1821888943976202</v>
      </c>
      <c r="AX93" s="1122">
        <f t="shared" si="154"/>
        <v>0.18036905380037549</v>
      </c>
      <c r="AY93" s="1122">
        <f t="shared" si="154"/>
        <v>0.18138219048902071</v>
      </c>
      <c r="AZ93" s="1122">
        <f t="shared" si="154"/>
        <v>0.17843565179948251</v>
      </c>
      <c r="BA93" s="1122">
        <f t="shared" si="154"/>
        <v>0.17704805739907803</v>
      </c>
      <c r="BB93" s="1122">
        <f t="shared" si="154"/>
        <v>4.459454909670435E-2</v>
      </c>
      <c r="BC93" s="1122">
        <f t="shared" si="154"/>
        <v>4.1103918170000142E-2</v>
      </c>
      <c r="BD93" s="1122">
        <f t="shared" si="154"/>
        <v>3.4183105299483652E-2</v>
      </c>
      <c r="BE93" s="1122">
        <f t="shared" si="154"/>
        <v>2.8490350270340636E-2</v>
      </c>
      <c r="BF93" s="1122">
        <f t="shared" si="154"/>
        <v>0.13275879009704572</v>
      </c>
      <c r="BG93" s="1122">
        <f t="shared" si="154"/>
        <v>0.13164781326743058</v>
      </c>
      <c r="BH93" s="1122">
        <f t="shared" si="154"/>
        <v>0.13053905472090599</v>
      </c>
      <c r="BI93" s="1122">
        <f t="shared" si="154"/>
        <v>0.12919491916372228</v>
      </c>
      <c r="BN93" s="13" t="s">
        <v>687</v>
      </c>
      <c r="BO93" s="1122"/>
      <c r="BP93" s="1122">
        <f t="shared" ref="BP93:CC93" si="155">BP92/BO92-1</f>
        <v>0.49441626519757542</v>
      </c>
      <c r="BQ93" s="1122">
        <f t="shared" si="155"/>
        <v>0.69681309216192933</v>
      </c>
      <c r="BR93" s="1122">
        <f t="shared" si="155"/>
        <v>0.55063451776649752</v>
      </c>
      <c r="BS93" s="1122">
        <f t="shared" si="155"/>
        <v>0.42875849087486695</v>
      </c>
      <c r="BT93" s="1122">
        <f t="shared" si="155"/>
        <v>0.46958414480467403</v>
      </c>
      <c r="BU93" s="1122">
        <f t="shared" si="155"/>
        <v>0.36521671343935136</v>
      </c>
      <c r="BV93" s="1122">
        <f t="shared" si="155"/>
        <v>0.29532347399074976</v>
      </c>
      <c r="BW93" s="1122">
        <f t="shared" si="155"/>
        <v>0.37099404893101173</v>
      </c>
      <c r="BX93" s="1122">
        <f t="shared" si="155"/>
        <v>0.28767563743931057</v>
      </c>
      <c r="BY93" s="1122">
        <f t="shared" si="155"/>
        <v>0.13310277666799841</v>
      </c>
      <c r="BZ93" s="1122">
        <f t="shared" si="155"/>
        <v>0.17680068755027145</v>
      </c>
      <c r="CA93" s="1122">
        <f t="shared" si="155"/>
        <v>0.17923389720691096</v>
      </c>
      <c r="CB93" s="1122">
        <f t="shared" si="155"/>
        <v>3.6790404746176009E-2</v>
      </c>
      <c r="CC93" s="1122">
        <f t="shared" si="155"/>
        <v>0.13097859630153508</v>
      </c>
      <c r="CD93" s="1122"/>
    </row>
    <row r="94" spans="1:82" ht="21" customHeight="1">
      <c r="A94" t="s">
        <v>95</v>
      </c>
      <c r="B94" s="1118">
        <v>127</v>
      </c>
      <c r="C94" s="1118">
        <v>74</v>
      </c>
      <c r="D94" s="1118">
        <v>126</v>
      </c>
      <c r="E94" s="1118">
        <v>205</v>
      </c>
      <c r="F94" s="1118">
        <v>197</v>
      </c>
      <c r="G94" s="1118">
        <v>31</v>
      </c>
      <c r="H94" s="1118">
        <v>45</v>
      </c>
      <c r="I94" s="1118">
        <v>176</v>
      </c>
      <c r="J94" s="1118">
        <v>194</v>
      </c>
      <c r="K94" s="1118">
        <v>305</v>
      </c>
      <c r="L94" s="1118">
        <v>428</v>
      </c>
      <c r="M94" s="1118">
        <v>580</v>
      </c>
      <c r="N94" s="1118">
        <v>603</v>
      </c>
      <c r="O94" s="1118">
        <v>718</v>
      </c>
      <c r="P94" s="1118">
        <v>861</v>
      </c>
      <c r="Q94" s="1118">
        <v>926</v>
      </c>
      <c r="R94" s="1118">
        <v>890</v>
      </c>
      <c r="S94" s="1118">
        <v>916</v>
      </c>
      <c r="T94" s="1118">
        <v>1171</v>
      </c>
      <c r="U94" s="1118">
        <v>1354</v>
      </c>
      <c r="V94" s="1118">
        <v>1400</v>
      </c>
      <c r="W94" s="1118">
        <v>1642</v>
      </c>
      <c r="X94" s="1118">
        <v>2077</v>
      </c>
      <c r="Y94" s="1118">
        <v>2177</v>
      </c>
      <c r="Z94" s="1118">
        <v>2223</v>
      </c>
      <c r="AA94" s="1118">
        <v>2121</v>
      </c>
      <c r="AB94" s="1118">
        <v>2261</v>
      </c>
      <c r="AC94" s="1118">
        <v>2596</v>
      </c>
      <c r="AD94" s="1118">
        <v>3075</v>
      </c>
      <c r="AE94" s="1118">
        <v>3357</v>
      </c>
      <c r="AF94" s="1118">
        <v>3535</v>
      </c>
      <c r="AG94" s="1118">
        <v>3564</v>
      </c>
      <c r="AH94" s="1118">
        <v>4163</v>
      </c>
      <c r="AI94" s="1118">
        <v>4193</v>
      </c>
      <c r="AJ94" s="1118">
        <v>4883</v>
      </c>
      <c r="AK94" s="1118">
        <v>5293</v>
      </c>
      <c r="AL94" s="1118">
        <v>6518</v>
      </c>
      <c r="AM94" s="1118">
        <v>5715</v>
      </c>
      <c r="AN94" s="1118">
        <v>5403</v>
      </c>
      <c r="AO94" s="1118">
        <v>5205</v>
      </c>
      <c r="AP94" s="1119">
        <v>4718.3767169960956</v>
      </c>
      <c r="AQ94" s="1119">
        <v>4105.3829553168844</v>
      </c>
      <c r="AR94" s="1119">
        <v>4448.736839103125</v>
      </c>
      <c r="AS94" s="1119">
        <v>5018.7985210496772</v>
      </c>
      <c r="AT94" s="1119">
        <v>5843.2984353105849</v>
      </c>
      <c r="AU94" s="1123">
        <v>5165.6164797912743</v>
      </c>
      <c r="AV94" s="1119">
        <v>5585.3692989848068</v>
      </c>
      <c r="AW94" s="1119">
        <v>6274.0100014454101</v>
      </c>
      <c r="AX94" s="1119">
        <v>6947.8066950012862</v>
      </c>
      <c r="AY94" s="1119">
        <v>6175.3739426852917</v>
      </c>
      <c r="AZ94" s="1119">
        <v>6656.2902992411609</v>
      </c>
      <c r="BA94" s="1119">
        <v>7443.2302248807182</v>
      </c>
      <c r="BB94" s="1119">
        <v>8055.78259691106</v>
      </c>
      <c r="BC94" s="1119">
        <v>7174.6906491187101</v>
      </c>
      <c r="BD94" s="1119">
        <v>7718.1408367731501</v>
      </c>
      <c r="BE94" s="1119">
        <v>8606.9729079095541</v>
      </c>
      <c r="BF94" s="1119">
        <v>9212.6814679493091</v>
      </c>
      <c r="BG94" s="1119">
        <v>8209.6260796829702</v>
      </c>
      <c r="BH94" s="1119">
        <v>8819.2531485458385</v>
      </c>
      <c r="BI94" s="1119">
        <v>9816.7362297287764</v>
      </c>
      <c r="BN94" t="str">
        <f>A94</f>
        <v>EBIT</v>
      </c>
      <c r="BO94" s="1120">
        <f>SUM(B94:E94)</f>
        <v>532</v>
      </c>
      <c r="BP94" s="1120">
        <f>SUM(F94:I94)</f>
        <v>449</v>
      </c>
      <c r="BQ94" s="1120">
        <f>SUM(J94:M94)</f>
        <v>1507</v>
      </c>
      <c r="BR94" s="1120">
        <f>SUM(N94:Q94)</f>
        <v>3108</v>
      </c>
      <c r="BS94" s="1120">
        <f>SUM(R94:U94)</f>
        <v>4331</v>
      </c>
      <c r="BT94" s="1120">
        <f>SUM(V94:Y94)</f>
        <v>7296</v>
      </c>
      <c r="BU94" s="1120">
        <f>SUM(Z94:AC94)</f>
        <v>9201</v>
      </c>
      <c r="BV94" s="1120">
        <f>SUM(AD94:AG94)</f>
        <v>13531</v>
      </c>
      <c r="BW94" s="1120">
        <f>SUM(AH94:AK94)</f>
        <v>18532</v>
      </c>
      <c r="BX94" s="1120">
        <f>SUM(AL94:AO94)</f>
        <v>22841</v>
      </c>
      <c r="BY94" s="1120">
        <f>SUM(AP94:AS94)</f>
        <v>18291.29503246578</v>
      </c>
      <c r="BZ94" s="1120">
        <f>SUM(AT94:AW94)</f>
        <v>22868.294215532078</v>
      </c>
      <c r="CA94" s="1120">
        <f>SUM(AX94:BA94)</f>
        <v>27222.701161808458</v>
      </c>
      <c r="CB94" s="1120">
        <f>SUM(BB94:BE94)</f>
        <v>31555.586990712472</v>
      </c>
      <c r="CC94" s="1120">
        <f>SUM(BF94:BI94)</f>
        <v>36058.296925906892</v>
      </c>
      <c r="CD94" s="1122"/>
    </row>
    <row r="95" spans="1:82">
      <c r="A95" s="13" t="s">
        <v>717</v>
      </c>
      <c r="B95" s="833">
        <f t="shared" ref="B95:BI95" si="156">B94/B92</f>
        <v>0.20440952380952382</v>
      </c>
      <c r="C95" s="833">
        <f t="shared" si="156"/>
        <v>0.10529353233830846</v>
      </c>
      <c r="D95" s="833">
        <f t="shared" si="156"/>
        <v>0.15413173652694609</v>
      </c>
      <c r="E95" s="833">
        <f t="shared" si="156"/>
        <v>0.21221830985915494</v>
      </c>
      <c r="F95" s="833">
        <f t="shared" si="156"/>
        <v>0.18761904761904763</v>
      </c>
      <c r="G95" s="833">
        <f t="shared" si="156"/>
        <v>3.0845771144278607E-2</v>
      </c>
      <c r="H95" s="833">
        <f t="shared" si="156"/>
        <v>3.8494439692044483E-2</v>
      </c>
      <c r="I95" s="833">
        <f t="shared" si="156"/>
        <v>0.12394366197183099</v>
      </c>
      <c r="J95" s="833">
        <f t="shared" si="156"/>
        <v>0.12388250319284802</v>
      </c>
      <c r="K95" s="833">
        <f t="shared" si="156"/>
        <v>0.16721491228070176</v>
      </c>
      <c r="L95" s="833">
        <f t="shared" si="156"/>
        <v>0.2052757793764988</v>
      </c>
      <c r="M95" s="833">
        <f t="shared" si="156"/>
        <v>0.24116424116424118</v>
      </c>
      <c r="N95" s="833">
        <f t="shared" si="156"/>
        <v>0.23499610288386594</v>
      </c>
      <c r="O95" s="833">
        <f t="shared" si="156"/>
        <v>0.24878724878724878</v>
      </c>
      <c r="P95" s="833">
        <f t="shared" si="156"/>
        <v>0.26648096564531104</v>
      </c>
      <c r="Q95" s="833">
        <f t="shared" si="156"/>
        <v>0.26187782805429866</v>
      </c>
      <c r="R95" s="833">
        <f t="shared" si="156"/>
        <v>0.24310297732859876</v>
      </c>
      <c r="S95" s="833">
        <f t="shared" si="156"/>
        <v>0.22341463414634147</v>
      </c>
      <c r="T95" s="833">
        <f t="shared" si="156"/>
        <v>0.25545375218150085</v>
      </c>
      <c r="U95" s="833">
        <f t="shared" si="156"/>
        <v>0.26481517699980445</v>
      </c>
      <c r="V95" s="833">
        <f t="shared" si="156"/>
        <v>0.25725836089672915</v>
      </c>
      <c r="W95" s="833">
        <f t="shared" si="156"/>
        <v>0.26895986895986895</v>
      </c>
      <c r="X95" s="833">
        <f t="shared" si="156"/>
        <v>0.31097469681089984</v>
      </c>
      <c r="Y95" s="833">
        <f t="shared" si="156"/>
        <v>0.29300134589502019</v>
      </c>
      <c r="Z95" s="833">
        <f t="shared" si="156"/>
        <v>0.28885135135135137</v>
      </c>
      <c r="AA95" s="833">
        <f t="shared" si="156"/>
        <v>0.25307242572485383</v>
      </c>
      <c r="AB95" s="833">
        <f t="shared" si="156"/>
        <v>0.25136186770428015</v>
      </c>
      <c r="AC95" s="833">
        <f t="shared" si="156"/>
        <v>0.26079967852119751</v>
      </c>
      <c r="AD95" s="833">
        <f t="shared" si="156"/>
        <v>0.30091006947842253</v>
      </c>
      <c r="AE95" s="833">
        <f t="shared" si="156"/>
        <v>0.31060325684678014</v>
      </c>
      <c r="AF95" s="833">
        <f t="shared" si="156"/>
        <v>0.30471511076631325</v>
      </c>
      <c r="AG95" s="833">
        <f t="shared" si="156"/>
        <v>0.27970491288651705</v>
      </c>
      <c r="AH95" s="833">
        <f t="shared" si="156"/>
        <v>0.30830185884618233</v>
      </c>
      <c r="AI95" s="833">
        <f t="shared" si="156"/>
        <v>0.28313863191302585</v>
      </c>
      <c r="AJ95" s="833">
        <f t="shared" si="156"/>
        <v>0.3031036623215394</v>
      </c>
      <c r="AK95" s="833">
        <f t="shared" si="156"/>
        <v>0.29769403824521934</v>
      </c>
      <c r="AL95" s="833">
        <f t="shared" si="156"/>
        <v>0.35345154818068436</v>
      </c>
      <c r="AM95" s="833">
        <f t="shared" si="156"/>
        <v>0.28952834490095747</v>
      </c>
      <c r="AN95" s="833">
        <f t="shared" si="156"/>
        <v>0.26307332749050538</v>
      </c>
      <c r="AO95" s="833">
        <f t="shared" si="156"/>
        <v>0.24347460005613247</v>
      </c>
      <c r="AP95" s="1122">
        <f t="shared" si="156"/>
        <v>0.22095985375087082</v>
      </c>
      <c r="AQ95" s="1122">
        <f t="shared" si="156"/>
        <v>0.18542831776499025</v>
      </c>
      <c r="AR95" s="1122">
        <f t="shared" si="156"/>
        <v>0.19292843744755303</v>
      </c>
      <c r="AS95" s="1122">
        <f t="shared" si="156"/>
        <v>0.20735409523424547</v>
      </c>
      <c r="AT95" s="1122">
        <f t="shared" si="156"/>
        <v>0.23338652535489815</v>
      </c>
      <c r="AU95" s="1121">
        <f t="shared" si="156"/>
        <v>0.19882667692274106</v>
      </c>
      <c r="AV95" s="1122">
        <f t="shared" si="156"/>
        <v>0.20555833087310718</v>
      </c>
      <c r="AW95" s="1122">
        <f t="shared" si="156"/>
        <v>0.21926594608335903</v>
      </c>
      <c r="AX95" s="1122">
        <f t="shared" si="156"/>
        <v>0.23509728977532784</v>
      </c>
      <c r="AY95" s="1122">
        <f t="shared" si="156"/>
        <v>0.20119877700332298</v>
      </c>
      <c r="AZ95" s="1122">
        <f t="shared" si="156"/>
        <v>0.2078784981696235</v>
      </c>
      <c r="BA95" s="1122">
        <f t="shared" si="156"/>
        <v>0.22100049064809718</v>
      </c>
      <c r="BB95" s="1122">
        <f t="shared" si="156"/>
        <v>0.26095154818068433</v>
      </c>
      <c r="BC95" s="1122">
        <f t="shared" si="156"/>
        <v>0.22452834490095747</v>
      </c>
      <c r="BD95" s="1122">
        <f t="shared" si="156"/>
        <v>0.23307332749050538</v>
      </c>
      <c r="BE95" s="1122">
        <f t="shared" si="156"/>
        <v>0.24847460005613248</v>
      </c>
      <c r="BF95" s="1122">
        <f t="shared" si="156"/>
        <v>0.26345154818068434</v>
      </c>
      <c r="BG95" s="1122">
        <f t="shared" si="156"/>
        <v>0.22702834490095747</v>
      </c>
      <c r="BH95" s="1122">
        <f t="shared" si="156"/>
        <v>0.23557332749050539</v>
      </c>
      <c r="BI95" s="1122">
        <f t="shared" si="156"/>
        <v>0.25097460005613248</v>
      </c>
      <c r="BN95" s="13"/>
      <c r="BO95" s="1122"/>
      <c r="BP95" s="1122"/>
      <c r="BQ95" s="1122"/>
      <c r="BR95" s="1122"/>
      <c r="BS95" s="1122"/>
      <c r="BT95" s="1122"/>
      <c r="BU95" s="1122"/>
      <c r="BV95" s="1122"/>
      <c r="BW95" s="1122"/>
      <c r="BX95" s="1122"/>
      <c r="BY95" s="1122"/>
      <c r="BZ95" s="1122"/>
      <c r="CA95" s="1122"/>
      <c r="CB95" s="1122"/>
      <c r="CC95" s="1122"/>
      <c r="CD95" s="1122"/>
    </row>
    <row r="96" spans="1:82">
      <c r="A96" s="13"/>
      <c r="B96" s="13"/>
      <c r="C96" s="13"/>
      <c r="D96" s="13"/>
      <c r="E96" s="13"/>
      <c r="F96" s="13"/>
      <c r="G96" s="13"/>
      <c r="H96" s="13"/>
      <c r="I96" s="13"/>
      <c r="J96" s="13"/>
      <c r="K96" s="13"/>
      <c r="L96" s="13"/>
      <c r="M96" s="13"/>
      <c r="N96" s="13"/>
      <c r="O96" s="13"/>
      <c r="P96" s="13"/>
      <c r="Q96" s="13"/>
      <c r="R96" s="13"/>
      <c r="S96" s="13"/>
      <c r="T96" s="833"/>
      <c r="U96" s="833"/>
      <c r="V96" s="833"/>
      <c r="W96" s="833"/>
      <c r="X96" s="833"/>
      <c r="Y96" s="1119"/>
      <c r="Z96" s="833"/>
      <c r="AA96" s="833"/>
      <c r="AB96" s="833"/>
      <c r="AC96" s="833"/>
      <c r="AD96" s="833"/>
      <c r="AE96" s="833"/>
      <c r="AF96" s="833"/>
      <c r="AG96" s="833"/>
      <c r="AH96" s="833"/>
      <c r="AI96" s="833"/>
      <c r="AJ96" s="833"/>
      <c r="AK96" s="833"/>
      <c r="AL96" s="833"/>
      <c r="AM96" s="833"/>
      <c r="AN96" s="833"/>
      <c r="AO96" s="833"/>
      <c r="AU96" s="1067"/>
      <c r="BN96" s="13"/>
    </row>
    <row r="97" spans="1:82" ht="10.5">
      <c r="A97" s="45" t="s">
        <v>413</v>
      </c>
      <c r="B97" s="45"/>
      <c r="C97" s="45"/>
      <c r="D97" s="45"/>
      <c r="E97" s="45"/>
      <c r="F97" s="45"/>
      <c r="G97" s="45"/>
      <c r="H97" s="45"/>
      <c r="I97" s="45"/>
      <c r="J97" s="45"/>
      <c r="K97" s="45"/>
      <c r="L97" s="45"/>
      <c r="M97" s="45"/>
      <c r="N97" s="45"/>
      <c r="O97" s="45"/>
      <c r="P97" s="45"/>
      <c r="Q97" s="45"/>
      <c r="R97" s="45"/>
      <c r="S97" s="45"/>
      <c r="AU97" s="1067"/>
      <c r="BN97" s="45" t="s">
        <v>413</v>
      </c>
    </row>
    <row r="98" spans="1:82">
      <c r="A98" s="100" t="s">
        <v>86</v>
      </c>
      <c r="B98" s="1125"/>
      <c r="C98" s="1125"/>
      <c r="D98" s="1125"/>
      <c r="E98" s="1125"/>
      <c r="F98" s="1125"/>
      <c r="G98" s="1125"/>
      <c r="H98" s="1125"/>
      <c r="I98" s="1125"/>
      <c r="J98" s="1118"/>
      <c r="K98" s="1118"/>
      <c r="L98" s="1118">
        <f t="shared" ref="L98:BG98" si="157">L10</f>
        <v>414.65200514338648</v>
      </c>
      <c r="M98" s="1118">
        <f t="shared" si="157"/>
        <v>452.68807449153462</v>
      </c>
      <c r="N98" s="1118">
        <f t="shared" si="157"/>
        <v>560.92431128324688</v>
      </c>
      <c r="O98" s="1118">
        <f t="shared" si="157"/>
        <v>698.3493815782831</v>
      </c>
      <c r="P98" s="1118">
        <f t="shared" si="157"/>
        <v>811.41105774531002</v>
      </c>
      <c r="Q98" s="1118">
        <f t="shared" si="157"/>
        <v>842.61233252092336</v>
      </c>
      <c r="R98" s="1118">
        <f t="shared" si="157"/>
        <v>989.48344752810476</v>
      </c>
      <c r="S98" s="1118">
        <f t="shared" si="157"/>
        <v>1295.745337170302</v>
      </c>
      <c r="T98" s="1118">
        <f t="shared" si="157"/>
        <v>1542.8557865160546</v>
      </c>
      <c r="U98" s="1118">
        <f t="shared" si="157"/>
        <v>1678.1076319210672</v>
      </c>
      <c r="V98" s="1118">
        <f t="shared" si="157"/>
        <v>1908.3643867994663</v>
      </c>
      <c r="W98" s="1118">
        <f t="shared" si="157"/>
        <v>2473.4224949490526</v>
      </c>
      <c r="X98" s="1118">
        <f t="shared" si="157"/>
        <v>2714.5637181541724</v>
      </c>
      <c r="Y98" s="1118">
        <f t="shared" si="157"/>
        <v>2980.0382221601849</v>
      </c>
      <c r="Z98" s="1118">
        <f t="shared" si="157"/>
        <v>3303.4116490372553</v>
      </c>
      <c r="AA98" s="1118">
        <f t="shared" si="157"/>
        <v>4023.4569447866184</v>
      </c>
      <c r="AB98" s="1118">
        <f t="shared" si="157"/>
        <v>4318.4699362640222</v>
      </c>
      <c r="AC98" s="1118">
        <f t="shared" si="157"/>
        <v>4827.9539634351177</v>
      </c>
      <c r="AD98" s="1118">
        <f t="shared" si="157"/>
        <v>5246.5172272705677</v>
      </c>
      <c r="AE98" s="1118">
        <f t="shared" si="157"/>
        <v>5907.4284904647411</v>
      </c>
      <c r="AF98" s="1118">
        <f t="shared" si="157"/>
        <v>6387.7208123885985</v>
      </c>
      <c r="AG98" s="1118">
        <f t="shared" si="157"/>
        <v>7239.6495255537848</v>
      </c>
      <c r="AH98" s="1118">
        <f t="shared" si="157"/>
        <v>7858.0017297963759</v>
      </c>
      <c r="AI98" s="1118">
        <f t="shared" si="157"/>
        <v>8927.7595417011344</v>
      </c>
      <c r="AJ98" s="1118">
        <f t="shared" si="157"/>
        <v>9578.9385462084992</v>
      </c>
      <c r="AK98" s="1118">
        <f t="shared" si="157"/>
        <v>10560.788326958758</v>
      </c>
      <c r="AL98" s="1118">
        <f t="shared" si="157"/>
        <v>11429.030011195948</v>
      </c>
      <c r="AM98" s="1118">
        <f t="shared" si="157"/>
        <v>12451.041900270982</v>
      </c>
      <c r="AN98" s="1118">
        <f t="shared" si="157"/>
        <v>12900</v>
      </c>
      <c r="AO98" s="1118">
        <f t="shared" si="157"/>
        <v>13875</v>
      </c>
      <c r="AP98" s="1119">
        <f t="shared" si="157"/>
        <v>14514.868114218854</v>
      </c>
      <c r="AQ98" s="1119">
        <f t="shared" si="157"/>
        <v>15688.312794341438</v>
      </c>
      <c r="AR98" s="1119">
        <f t="shared" si="157"/>
        <v>16641</v>
      </c>
      <c r="AS98" s="1119">
        <f t="shared" si="157"/>
        <v>18037.5</v>
      </c>
      <c r="AT98" s="1119">
        <f t="shared" si="157"/>
        <v>19014.4772296267</v>
      </c>
      <c r="AU98" s="1123">
        <f t="shared" si="157"/>
        <v>20237.923504700455</v>
      </c>
      <c r="AV98" s="1119">
        <f t="shared" si="157"/>
        <v>21554.94382798568</v>
      </c>
      <c r="AW98" s="1119">
        <f t="shared" si="157"/>
        <v>23671.383996946024</v>
      </c>
      <c r="AX98" s="1119">
        <f t="shared" si="157"/>
        <v>25033.588096636504</v>
      </c>
      <c r="AY98" s="1119">
        <f t="shared" si="157"/>
        <v>26713.110719455733</v>
      </c>
      <c r="AZ98" s="1119">
        <f t="shared" si="157"/>
        <v>24878.197906907655</v>
      </c>
      <c r="BA98" s="1119">
        <f t="shared" si="157"/>
        <v>25862.722945882422</v>
      </c>
      <c r="BB98" s="1119">
        <f t="shared" si="157"/>
        <v>27048.02505869326</v>
      </c>
      <c r="BC98" s="1119">
        <f t="shared" si="157"/>
        <v>27976.333655539107</v>
      </c>
      <c r="BD98" s="1119">
        <f t="shared" si="157"/>
        <v>28530.744729012018</v>
      </c>
      <c r="BE98" s="1119">
        <f t="shared" si="157"/>
        <v>29398.488044637452</v>
      </c>
      <c r="BF98" s="1119">
        <f t="shared" si="157"/>
        <v>30528.360839585672</v>
      </c>
      <c r="BG98" s="1119">
        <f t="shared" si="157"/>
        <v>31343.413713709495</v>
      </c>
      <c r="BH98" s="1119"/>
      <c r="BI98" s="1119"/>
      <c r="BN98" t="s">
        <v>86</v>
      </c>
      <c r="BO98" s="1119"/>
      <c r="BP98" s="1120">
        <f>SUM(F98:I98)</f>
        <v>0</v>
      </c>
      <c r="BQ98" s="1120">
        <f>SUM(J98:M98)</f>
        <v>867.34007963492104</v>
      </c>
      <c r="BR98" s="1120">
        <f>SUM(N98:Q98)</f>
        <v>2913.297083127763</v>
      </c>
      <c r="BS98" s="1120">
        <f>SUM(R98:U98)</f>
        <v>5506.1922031355289</v>
      </c>
      <c r="BT98" s="1120">
        <f>SUM(V98:Y98)</f>
        <v>10076.388822062876</v>
      </c>
      <c r="BU98" s="1120">
        <f>SUM(Z98:AC98)</f>
        <v>16473.292493523015</v>
      </c>
      <c r="BV98" s="1120">
        <f>SUM(AD98:AG98)</f>
        <v>24781.316055677693</v>
      </c>
      <c r="BW98" s="1120">
        <f>SUM(AH98:AK98)</f>
        <v>36925.488144664763</v>
      </c>
      <c r="BX98" s="1120">
        <f>SUM(AL98:AO98)</f>
        <v>50655.071911466934</v>
      </c>
      <c r="BY98" s="1120">
        <f>SUM(AP98:AS98)</f>
        <v>64881.680908560294</v>
      </c>
      <c r="BZ98" s="1120">
        <f>SUM(AT98:AW98)</f>
        <v>84478.72855925886</v>
      </c>
      <c r="CA98" s="1120">
        <f>SUM(AX98:BA98)</f>
        <v>102487.61966888231</v>
      </c>
      <c r="CB98" s="1120">
        <f>SUM(BB98:BE98)</f>
        <v>112953.59148788184</v>
      </c>
      <c r="CC98" s="1120"/>
      <c r="CD98" s="1120"/>
    </row>
    <row r="99" spans="1:82">
      <c r="A99" s="13" t="s">
        <v>690</v>
      </c>
      <c r="B99" s="13"/>
      <c r="C99" s="13"/>
      <c r="D99" s="13"/>
      <c r="E99" s="13"/>
      <c r="F99" s="13"/>
      <c r="G99" s="13"/>
      <c r="H99" s="13"/>
      <c r="I99" s="13"/>
      <c r="J99" s="13"/>
      <c r="K99" s="13"/>
      <c r="L99" s="13"/>
      <c r="M99" s="833"/>
      <c r="N99" s="833"/>
      <c r="O99" s="833"/>
      <c r="P99" s="833">
        <f t="shared" ref="P99:BG99" si="158">P25</f>
        <v>1.21</v>
      </c>
      <c r="Q99" s="833">
        <f t="shared" si="158"/>
        <v>0.95</v>
      </c>
      <c r="R99" s="833">
        <f t="shared" si="158"/>
        <v>0.94</v>
      </c>
      <c r="S99" s="833">
        <f t="shared" si="158"/>
        <v>0.98</v>
      </c>
      <c r="T99" s="833">
        <f t="shared" si="158"/>
        <v>0.89</v>
      </c>
      <c r="U99" s="833">
        <f t="shared" si="158"/>
        <v>0.98</v>
      </c>
      <c r="V99" s="833">
        <f t="shared" si="158"/>
        <v>0.89</v>
      </c>
      <c r="W99" s="833">
        <f t="shared" si="158"/>
        <v>0.85</v>
      </c>
      <c r="X99" s="833">
        <f t="shared" si="158"/>
        <v>0.76</v>
      </c>
      <c r="Y99" s="833">
        <f t="shared" si="158"/>
        <v>0.76</v>
      </c>
      <c r="Z99" s="833">
        <f t="shared" si="158"/>
        <v>0.75</v>
      </c>
      <c r="AA99" s="833">
        <f t="shared" si="158"/>
        <v>0.68</v>
      </c>
      <c r="AB99" s="833">
        <f t="shared" si="158"/>
        <v>0.63</v>
      </c>
      <c r="AC99" s="833">
        <f t="shared" si="158"/>
        <v>0.64</v>
      </c>
      <c r="AD99" s="833">
        <f t="shared" si="158"/>
        <v>0.61</v>
      </c>
      <c r="AE99" s="833">
        <f t="shared" si="158"/>
        <v>0.5</v>
      </c>
      <c r="AF99" s="833">
        <f t="shared" si="158"/>
        <v>0.47</v>
      </c>
      <c r="AG99" s="833">
        <f t="shared" si="158"/>
        <v>0.48</v>
      </c>
      <c r="AH99" s="833">
        <f t="shared" si="158"/>
        <v>0.46</v>
      </c>
      <c r="AI99" s="833">
        <f t="shared" si="158"/>
        <v>0.45</v>
      </c>
      <c r="AJ99" s="833">
        <f t="shared" si="158"/>
        <v>0.48</v>
      </c>
      <c r="AK99" s="833">
        <f t="shared" si="158"/>
        <v>0.46</v>
      </c>
      <c r="AL99" s="833">
        <f t="shared" si="158"/>
        <v>0.49</v>
      </c>
      <c r="AM99" s="833">
        <f t="shared" si="158"/>
        <v>0.46</v>
      </c>
      <c r="AN99" s="833">
        <f t="shared" si="158"/>
        <v>0.42</v>
      </c>
      <c r="AO99" s="833">
        <f t="shared" si="158"/>
        <v>0.38</v>
      </c>
      <c r="AP99" s="833">
        <f t="shared" si="158"/>
        <v>0.31</v>
      </c>
      <c r="AQ99" s="833">
        <f t="shared" si="158"/>
        <v>0.27</v>
      </c>
      <c r="AR99" s="833">
        <f t="shared" si="158"/>
        <v>0.28000000000000003</v>
      </c>
      <c r="AS99" s="833">
        <f t="shared" si="158"/>
        <v>0.28000000000000003</v>
      </c>
      <c r="AT99" s="833">
        <f t="shared" si="158"/>
        <v>0.31</v>
      </c>
      <c r="AU99" s="1124">
        <f t="shared" si="158"/>
        <v>0.3</v>
      </c>
      <c r="AV99" s="833">
        <f t="shared" si="158"/>
        <v>0.28999999999999998</v>
      </c>
      <c r="AW99" s="833">
        <f t="shared" si="158"/>
        <v>0.28999999999999998</v>
      </c>
      <c r="AX99" s="833">
        <f t="shared" si="158"/>
        <v>0.3</v>
      </c>
      <c r="AY99" s="833">
        <f t="shared" si="158"/>
        <v>0.3</v>
      </c>
      <c r="AZ99" s="833">
        <f t="shared" si="158"/>
        <v>0.18131087085459141</v>
      </c>
      <c r="BA99" s="833">
        <f t="shared" si="158"/>
        <v>0.17094279522206435</v>
      </c>
      <c r="BB99" s="833">
        <f t="shared" si="158"/>
        <v>0.16170625770644365</v>
      </c>
      <c r="BC99" s="833">
        <f t="shared" si="158"/>
        <v>0.1523651815975664</v>
      </c>
      <c r="BD99" s="833">
        <f t="shared" si="158"/>
        <v>0.14461245294534542</v>
      </c>
      <c r="BE99" s="833">
        <f t="shared" si="158"/>
        <v>0.1344054202809768</v>
      </c>
      <c r="BF99" s="833">
        <f t="shared" si="158"/>
        <v>0.12520771924949847</v>
      </c>
      <c r="BG99" s="833">
        <f t="shared" si="158"/>
        <v>0.11690742981241242</v>
      </c>
      <c r="BH99" s="833"/>
      <c r="BI99" s="833"/>
      <c r="BN99" s="13" t="s">
        <v>690</v>
      </c>
      <c r="BS99" s="1122">
        <f>((N98*(1+R99))+(O98*(1+S99))+(P98*(1+T99))+(Q98*(1+U99)))/SUM(N98:Q98)-1</f>
        <v>0.94723163998574589</v>
      </c>
      <c r="BT99" s="1122">
        <f>((R98*(1+V99))+(S98*(1+W99))+(T98*(1+X99))+(U98*(1+Y99)))/SUM(R98:U98)-1</f>
        <v>0.80454074966440903</v>
      </c>
      <c r="BU99" s="1122">
        <f>((V98*(1+Z99))+(W98*(1+AA99))+(X98*(1+AB99))+(Y98*(1+AC99)))/SUM(V98:Y98)-1</f>
        <v>0.66795756993294453</v>
      </c>
      <c r="BV99" s="1122">
        <f>((Z98*(1+AD99))+(AA98*(1+AE99))+(AB98*(1+AF99))+(AC98*(1+AG99)))/SUM(Z98:AC98)-1</f>
        <v>0.50833240252921175</v>
      </c>
      <c r="BW99" s="1122">
        <f>((AD98*(1+AH99))+(AE98*(1+AI99))+(AF98*(1+AJ99))+(AG98*(1+AK99)))/SUM(AD98:AG98)-1</f>
        <v>0.46277144810182036</v>
      </c>
      <c r="BX99" s="1122">
        <f>((AH98*(1+AL99))+(AI98*(1+AM99))+(AJ98*(1+AN99))+(AK98*(1+AO99)))/SUM(AH98:AK98)-1</f>
        <v>0.43312748981885796</v>
      </c>
      <c r="BY99" s="1122">
        <f>((AL98*(1+AP99))+(AM98*(1+AQ99))+(AN98*(1+AR99))+(AO98*(1+AS99)))/SUM(AL98:AO98)-1</f>
        <v>0.28431073282680952</v>
      </c>
      <c r="BZ99" s="1122">
        <f>((AP98*(1+AT99))+(AQ98*(1+AU99))+(AR98*(1+AV99))+(AS98*(1+AW99)))/SUM(AP98:AS98)-1</f>
        <v>0.29689224576129614</v>
      </c>
      <c r="CA99" s="1122">
        <f>((AT98*(1+AX99))+(AU98*(1+AY99))+(AV98*(1+AZ99))+(AW98*(1+BA99)))/SUM(AT98:AW98)-1</f>
        <v>0.23355368553333178</v>
      </c>
      <c r="CB99" s="1122">
        <f>((AX98*(1+BB99))+(AY98*(1+BC99))+(AZ98*(1+BD99))+(BA98*(1+BE99)))/SUM(AX98:BA98)-1</f>
        <v>0.14823276444793443</v>
      </c>
    </row>
    <row r="100" spans="1:82" ht="21" customHeight="1">
      <c r="A100" s="100" t="s">
        <v>718</v>
      </c>
      <c r="B100" s="100"/>
      <c r="C100" s="100"/>
      <c r="D100" s="100"/>
      <c r="E100" s="100"/>
      <c r="F100" s="100"/>
      <c r="G100" s="100"/>
      <c r="H100" s="100"/>
      <c r="I100" s="100"/>
      <c r="J100" s="1136"/>
      <c r="K100" s="1136"/>
      <c r="L100" s="1136">
        <v>-20.732600257169324</v>
      </c>
      <c r="M100" s="1136">
        <v>0</v>
      </c>
      <c r="N100" s="1136">
        <v>0</v>
      </c>
      <c r="O100" s="1136">
        <v>0</v>
      </c>
      <c r="P100" s="1136">
        <v>64.84209660913703</v>
      </c>
      <c r="Q100" s="1136">
        <v>89.906899038682525</v>
      </c>
      <c r="R100" s="1136">
        <v>172.9892354346143</v>
      </c>
      <c r="S100" s="1136">
        <v>299.54185062945061</v>
      </c>
      <c r="T100" s="1136">
        <v>440.09166160799998</v>
      </c>
      <c r="U100" s="1136">
        <v>459.326458484</v>
      </c>
      <c r="V100" s="1136">
        <v>673.91157619500007</v>
      </c>
      <c r="W100" s="1136">
        <v>990.09011577192575</v>
      </c>
      <c r="X100" s="1136">
        <v>1176.9569089038159</v>
      </c>
      <c r="Y100" s="1136">
        <v>1224.539571001488</v>
      </c>
      <c r="Z100" s="1136">
        <v>1456.9525741506013</v>
      </c>
      <c r="AA100" s="1136">
        <v>1902.5662390367345</v>
      </c>
      <c r="AB100" s="1136">
        <v>2171.2302194994277</v>
      </c>
      <c r="AC100" s="1136">
        <v>2438.3064121910288</v>
      </c>
      <c r="AD100" s="1136">
        <v>2750.2014328914161</v>
      </c>
      <c r="AE100" s="1136">
        <v>3420.0147216240553</v>
      </c>
      <c r="AF100" s="1136">
        <v>4230.4131132001994</v>
      </c>
      <c r="AG100" s="1136">
        <v>4623.5249476970384</v>
      </c>
      <c r="AH100" s="1136">
        <v>5012.1202671312394</v>
      </c>
      <c r="AI100" s="1136">
        <v>5686.967005294081</v>
      </c>
      <c r="AJ100" s="1136">
        <v>6268.4167318306199</v>
      </c>
      <c r="AK100" s="1136">
        <v>6707.5883161938455</v>
      </c>
      <c r="AL100" s="1136">
        <v>7404.434213266728</v>
      </c>
      <c r="AM100" s="1136">
        <v>7977.7824713365808</v>
      </c>
      <c r="AN100" s="1136">
        <v>8847.7217444677135</v>
      </c>
      <c r="AO100" s="1136">
        <v>9227.9142240653164</v>
      </c>
      <c r="AP100" s="1136">
        <v>9642.2062982276821</v>
      </c>
      <c r="AQ100" s="1136">
        <v>10230.773650371733</v>
      </c>
      <c r="AR100" s="1136">
        <v>10978.115679171582</v>
      </c>
      <c r="AS100" s="1136">
        <v>11234.685163471777</v>
      </c>
      <c r="AT100" s="1136">
        <v>11634.949574374015</v>
      </c>
      <c r="AU100" s="1137">
        <v>12264.143981783029</v>
      </c>
      <c r="AV100" s="1136">
        <v>13131.767913789812</v>
      </c>
      <c r="AW100" s="1136">
        <v>13432.551657740782</v>
      </c>
      <c r="AX100" s="1136">
        <v>13926.298385071594</v>
      </c>
      <c r="AY100" s="1136">
        <v>14546.24583724379</v>
      </c>
      <c r="AZ100" s="1136">
        <v>15520.002032837197</v>
      </c>
      <c r="BA100" s="1136">
        <v>15738.698044738499</v>
      </c>
      <c r="BB100" s="1136">
        <v>16188.98907576909</v>
      </c>
      <c r="BC100" s="1136">
        <v>16775.414120784673</v>
      </c>
      <c r="BD100" s="1136">
        <v>17770.196168434628</v>
      </c>
      <c r="BE100" s="1136">
        <v>17862.716824070652</v>
      </c>
      <c r="BF100" s="1136">
        <v>18226.974485616258</v>
      </c>
      <c r="BG100" s="1136">
        <v>18749.813483047612</v>
      </c>
      <c r="BH100" s="1136"/>
      <c r="BI100" s="1136"/>
      <c r="BJ100" s="100"/>
      <c r="BN100" t="str">
        <f>A100</f>
        <v>Gross Profit (UBSe)</v>
      </c>
      <c r="BO100" s="1120">
        <f>SUM(B100:E100)</f>
        <v>0</v>
      </c>
      <c r="BP100" s="1120">
        <f>SUM(F100:I100)</f>
        <v>0</v>
      </c>
      <c r="BQ100" s="1120">
        <f>SUM(J100:M100)</f>
        <v>-20.732600257169324</v>
      </c>
      <c r="BR100" s="1120">
        <f>SUM(N100:Q100)</f>
        <v>154.74899564781956</v>
      </c>
      <c r="BS100" s="1120">
        <f>SUM(R100:U100)</f>
        <v>1371.949206156065</v>
      </c>
      <c r="BT100" s="1120">
        <f>SUM(V100:Y100)</f>
        <v>4065.4981718722302</v>
      </c>
      <c r="BU100" s="1120">
        <f>SUM(Z100:AC100)</f>
        <v>7969.0554448777912</v>
      </c>
      <c r="BV100" s="1120">
        <f>SUM(AD100:AG100)</f>
        <v>15024.154215412709</v>
      </c>
      <c r="BW100" s="1120">
        <f>SUM(AH100:AK100)</f>
        <v>23675.092320449789</v>
      </c>
      <c r="BX100" s="1120">
        <f>SUM(AL100:AO100)</f>
        <v>33457.852653136339</v>
      </c>
      <c r="BY100" s="1120">
        <f>SUM(AP100:AS100)</f>
        <v>42085.780791242774</v>
      </c>
      <c r="BZ100" s="1120">
        <f>SUM(AT100:AW100)</f>
        <v>50463.413127687643</v>
      </c>
      <c r="CA100" s="1120">
        <f>SUM(AX100:BA100)</f>
        <v>59731.244299891085</v>
      </c>
      <c r="CB100" s="1120">
        <f>SUM(BB100:BE100)</f>
        <v>68597.316189059042</v>
      </c>
      <c r="CC100" s="1120">
        <f>SUM(BF100:BI100)</f>
        <v>36976.78796866387</v>
      </c>
    </row>
    <row r="101" spans="1:82">
      <c r="A101" s="13" t="s">
        <v>719</v>
      </c>
      <c r="B101" s="13"/>
      <c r="C101" s="13"/>
      <c r="D101" s="13"/>
      <c r="E101" s="13"/>
      <c r="F101" s="13"/>
      <c r="G101" s="13"/>
      <c r="H101" s="13"/>
      <c r="I101" s="13"/>
      <c r="J101" s="13"/>
      <c r="K101" s="13"/>
      <c r="L101" s="833">
        <f t="shared" ref="L101:BG101" si="159">L100/L98</f>
        <v>-0.05</v>
      </c>
      <c r="M101" s="833">
        <f t="shared" si="159"/>
        <v>0</v>
      </c>
      <c r="N101" s="833">
        <f t="shared" si="159"/>
        <v>0</v>
      </c>
      <c r="O101" s="833">
        <f t="shared" si="159"/>
        <v>0</v>
      </c>
      <c r="P101" s="833">
        <f t="shared" si="159"/>
        <v>7.9912759371699379E-2</v>
      </c>
      <c r="Q101" s="833">
        <f t="shared" si="159"/>
        <v>0.10670019363436031</v>
      </c>
      <c r="R101" s="833">
        <f t="shared" si="159"/>
        <v>0.17482782139182859</v>
      </c>
      <c r="S101" s="833">
        <f t="shared" si="159"/>
        <v>0.2311733965283653</v>
      </c>
      <c r="T101" s="833">
        <f t="shared" si="159"/>
        <v>0.28524484624825336</v>
      </c>
      <c r="U101" s="833">
        <f t="shared" si="159"/>
        <v>0.27371692360291061</v>
      </c>
      <c r="V101" s="833">
        <f t="shared" si="159"/>
        <v>0.35313569088617441</v>
      </c>
      <c r="W101" s="833">
        <f t="shared" si="159"/>
        <v>0.40029154654887195</v>
      </c>
      <c r="X101" s="833">
        <f t="shared" si="159"/>
        <v>0.43357129583390797</v>
      </c>
      <c r="Y101" s="833">
        <f t="shared" si="159"/>
        <v>0.41091404865063696</v>
      </c>
      <c r="Z101" s="833">
        <f t="shared" si="159"/>
        <v>0.44104481334477791</v>
      </c>
      <c r="AA101" s="833">
        <f t="shared" si="159"/>
        <v>0.47286854691013375</v>
      </c>
      <c r="AB101" s="833">
        <f t="shared" si="159"/>
        <v>0.50277766235367005</v>
      </c>
      <c r="AC101" s="833">
        <f t="shared" si="159"/>
        <v>0.50503928385766117</v>
      </c>
      <c r="AD101" s="833">
        <f t="shared" si="159"/>
        <v>0.52419563564878879</v>
      </c>
      <c r="AE101" s="833">
        <f t="shared" si="159"/>
        <v>0.57893459517019064</v>
      </c>
      <c r="AF101" s="833">
        <f t="shared" si="159"/>
        <v>0.66227270061577659</v>
      </c>
      <c r="AG101" s="833">
        <f t="shared" si="159"/>
        <v>0.63863933348947166</v>
      </c>
      <c r="AH101" s="833">
        <f t="shared" si="159"/>
        <v>0.63783649323033664</v>
      </c>
      <c r="AI101" s="833">
        <f t="shared" si="159"/>
        <v>0.63699822768865266</v>
      </c>
      <c r="AJ101" s="833">
        <f t="shared" si="159"/>
        <v>0.6543957560216066</v>
      </c>
      <c r="AK101" s="833">
        <f t="shared" si="159"/>
        <v>0.63514087287132115</v>
      </c>
      <c r="AL101" s="833">
        <f t="shared" si="159"/>
        <v>0.64786199756351137</v>
      </c>
      <c r="AM101" s="833">
        <f t="shared" si="159"/>
        <v>0.64073211986885636</v>
      </c>
      <c r="AN101" s="833">
        <f t="shared" si="159"/>
        <v>0.68586990267191572</v>
      </c>
      <c r="AO101" s="833">
        <f t="shared" si="159"/>
        <v>0.66507489903173456</v>
      </c>
      <c r="AP101" s="833">
        <f t="shared" si="159"/>
        <v>0.66429858145125809</v>
      </c>
      <c r="AQ101" s="833">
        <f t="shared" si="159"/>
        <v>0.65212708240122763</v>
      </c>
      <c r="AR101" s="833">
        <f t="shared" si="159"/>
        <v>0.65970288319040815</v>
      </c>
      <c r="AS101" s="833">
        <f t="shared" si="159"/>
        <v>0.62285156831444366</v>
      </c>
      <c r="AT101" s="833">
        <f t="shared" si="159"/>
        <v>0.61189952444474527</v>
      </c>
      <c r="AU101" s="1124">
        <f t="shared" si="159"/>
        <v>0.60599813903509225</v>
      </c>
      <c r="AV101" s="833">
        <f t="shared" si="159"/>
        <v>0.60922301716881733</v>
      </c>
      <c r="AW101" s="833">
        <f t="shared" si="159"/>
        <v>0.56745949706505494</v>
      </c>
      <c r="AX101" s="833">
        <f t="shared" si="159"/>
        <v>0.55630452699438326</v>
      </c>
      <c r="AY101" s="833">
        <f t="shared" si="159"/>
        <v>0.54453582699559755</v>
      </c>
      <c r="AZ101" s="833">
        <f t="shared" si="159"/>
        <v>0.62383947948769747</v>
      </c>
      <c r="BA101" s="833">
        <f t="shared" si="159"/>
        <v>0.60854760257346541</v>
      </c>
      <c r="BB101" s="833">
        <f t="shared" si="159"/>
        <v>0.59852758346088319</v>
      </c>
      <c r="BC101" s="833">
        <f t="shared" si="159"/>
        <v>0.59962875505179947</v>
      </c>
      <c r="BD101" s="833">
        <f t="shared" si="159"/>
        <v>0.62284375459588592</v>
      </c>
      <c r="BE101" s="833">
        <f t="shared" si="159"/>
        <v>0.60760664959873578</v>
      </c>
      <c r="BF101" s="833">
        <f t="shared" si="159"/>
        <v>0.59705054527466184</v>
      </c>
      <c r="BG101" s="833">
        <f t="shared" si="159"/>
        <v>0.59820585129329773</v>
      </c>
      <c r="BH101" s="833"/>
      <c r="BI101" s="833"/>
      <c r="BN101" s="13"/>
      <c r="BS101" s="1122"/>
      <c r="BT101" s="1122"/>
      <c r="BU101" s="1122"/>
      <c r="BV101" s="1122"/>
      <c r="BW101" s="1122"/>
      <c r="BX101" s="1122"/>
      <c r="BY101" s="1122"/>
      <c r="BZ101" s="1122"/>
      <c r="CA101" s="1122"/>
      <c r="CB101" s="1122"/>
    </row>
    <row r="102" spans="1:82">
      <c r="A102" s="13"/>
      <c r="B102" s="13"/>
      <c r="C102" s="13"/>
      <c r="D102" s="13"/>
      <c r="E102" s="13"/>
      <c r="F102" s="13"/>
      <c r="G102" s="13"/>
      <c r="H102" s="13"/>
      <c r="I102" s="13"/>
      <c r="J102" s="13"/>
      <c r="K102" s="13"/>
      <c r="L102" s="13"/>
      <c r="M102" s="13"/>
      <c r="N102" s="13"/>
      <c r="O102" s="13"/>
      <c r="P102" s="13"/>
      <c r="Q102" s="13"/>
      <c r="R102" s="13"/>
      <c r="S102" s="13"/>
      <c r="AU102" s="1067"/>
      <c r="BN102" s="13"/>
    </row>
    <row r="103" spans="1:82" ht="10.5">
      <c r="A103" s="45" t="s">
        <v>720</v>
      </c>
      <c r="B103" s="45"/>
      <c r="C103" s="45"/>
      <c r="D103" s="45"/>
      <c r="E103" s="45"/>
      <c r="F103" s="45"/>
      <c r="G103" s="45"/>
      <c r="H103" s="45"/>
      <c r="I103" s="45"/>
      <c r="J103" s="45"/>
      <c r="K103" s="45"/>
      <c r="L103" s="45"/>
      <c r="M103" s="45"/>
      <c r="N103" s="45"/>
      <c r="O103" s="45"/>
      <c r="P103" s="45"/>
      <c r="Q103" s="45"/>
      <c r="R103" s="45"/>
      <c r="S103" s="45"/>
      <c r="AG103" s="1119"/>
      <c r="AR103" s="1067"/>
      <c r="AU103" s="1067"/>
      <c r="BN103" s="45" t="s">
        <v>720</v>
      </c>
    </row>
    <row r="104" spans="1:82">
      <c r="A104" t="s">
        <v>86</v>
      </c>
      <c r="T104" s="41"/>
      <c r="U104" s="41"/>
      <c r="V104" s="41"/>
      <c r="W104" s="41"/>
      <c r="X104" s="41"/>
      <c r="Y104" s="1118">
        <f>Y11</f>
        <v>1709</v>
      </c>
      <c r="Z104" s="1118">
        <v>1825</v>
      </c>
      <c r="AA104" s="1118">
        <v>2100</v>
      </c>
      <c r="AB104" s="1118">
        <v>2379</v>
      </c>
      <c r="AC104" s="1118">
        <v>2614</v>
      </c>
      <c r="AD104" s="1118">
        <v>2777</v>
      </c>
      <c r="AE104" s="1118">
        <v>3007</v>
      </c>
      <c r="AF104" s="1118">
        <v>3444</v>
      </c>
      <c r="AG104" s="1118">
        <v>3831</v>
      </c>
      <c r="AH104" s="1118">
        <v>4047</v>
      </c>
      <c r="AI104" s="1118">
        <v>4628</v>
      </c>
      <c r="AJ104" s="1118">
        <v>4990</v>
      </c>
      <c r="AK104" s="1118">
        <v>5541</v>
      </c>
      <c r="AL104" s="1118">
        <f t="shared" ref="AL104:BI104" si="160">AL11</f>
        <v>5821</v>
      </c>
      <c r="AM104" s="1118">
        <f t="shared" si="160"/>
        <v>6276</v>
      </c>
      <c r="AN104" s="1118">
        <f t="shared" si="160"/>
        <v>6868</v>
      </c>
      <c r="AO104" s="1118">
        <f t="shared" si="160"/>
        <v>7315</v>
      </c>
      <c r="AP104" s="1119">
        <f t="shared" si="160"/>
        <v>7454</v>
      </c>
      <c r="AQ104" s="1119">
        <f t="shared" si="160"/>
        <v>8031</v>
      </c>
      <c r="AR104" s="1123">
        <f t="shared" si="160"/>
        <v>8411</v>
      </c>
      <c r="AS104" s="1119">
        <f t="shared" si="160"/>
        <v>9192</v>
      </c>
      <c r="AT104" s="1119">
        <f t="shared" si="160"/>
        <v>9574</v>
      </c>
      <c r="AU104" s="1123">
        <f t="shared" si="160"/>
        <v>10038</v>
      </c>
      <c r="AV104" s="1119">
        <f t="shared" si="160"/>
        <v>10554</v>
      </c>
      <c r="AW104" s="1119">
        <f t="shared" si="160"/>
        <v>11441</v>
      </c>
      <c r="AX104" s="1119">
        <f t="shared" si="160"/>
        <v>11511</v>
      </c>
      <c r="AY104" s="1119">
        <f t="shared" si="160"/>
        <v>12317</v>
      </c>
      <c r="AZ104" s="1119">
        <f t="shared" si="160"/>
        <v>12722.6</v>
      </c>
      <c r="BA104" s="1119">
        <f t="shared" si="160"/>
        <v>13741.7</v>
      </c>
      <c r="BB104" s="1119">
        <f t="shared" si="160"/>
        <v>12883.076097694286</v>
      </c>
      <c r="BC104" s="1119">
        <f t="shared" si="160"/>
        <v>13402.782077288572</v>
      </c>
      <c r="BD104" s="1119">
        <f t="shared" si="160"/>
        <v>14764.843677685056</v>
      </c>
      <c r="BE104" s="1119">
        <f t="shared" si="160"/>
        <v>15539.463664620002</v>
      </c>
      <c r="BF104" s="1119">
        <f t="shared" si="160"/>
        <v>15382.007737870028</v>
      </c>
      <c r="BG104" s="1119">
        <f t="shared" si="160"/>
        <v>16011.155313155914</v>
      </c>
      <c r="BH104" s="1119">
        <f t="shared" si="160"/>
        <v>17676.400302028502</v>
      </c>
      <c r="BI104" s="1119">
        <f t="shared" si="160"/>
        <v>18619.0921063434</v>
      </c>
      <c r="BN104" t="s">
        <v>86</v>
      </c>
      <c r="BO104" s="1119"/>
      <c r="BP104" s="1120"/>
      <c r="BQ104" s="1120"/>
      <c r="BR104" s="1120"/>
      <c r="BS104" s="1120"/>
      <c r="BT104" s="1120">
        <f>SUM(V104:Y104)</f>
        <v>1709</v>
      </c>
      <c r="BU104" s="1120">
        <f>SUM(Z104:AC104)</f>
        <v>8918</v>
      </c>
      <c r="BV104" s="1120">
        <f>SUM(AD104:AG104)</f>
        <v>13059</v>
      </c>
      <c r="BW104" s="1120">
        <f>SUM(AH104:AK104)</f>
        <v>19206</v>
      </c>
      <c r="BX104" s="1120">
        <f>SUM(AL104:AO104)</f>
        <v>26280</v>
      </c>
      <c r="BY104" s="1120">
        <f>SUM(AP104:AS104)</f>
        <v>33088</v>
      </c>
      <c r="BZ104" s="1120">
        <f>SUM(AT104:AW104)</f>
        <v>41607</v>
      </c>
      <c r="CA104" s="1120">
        <f>SUM(AX104:BA104)</f>
        <v>50292.3</v>
      </c>
      <c r="CB104" s="1120">
        <f>SUM(BB104:BE104)</f>
        <v>56590.165517287918</v>
      </c>
      <c r="CC104" s="1120"/>
      <c r="CD104" s="1120"/>
    </row>
    <row r="105" spans="1:82">
      <c r="A105" s="13" t="s">
        <v>687</v>
      </c>
      <c r="B105" s="13"/>
      <c r="C105" s="13"/>
      <c r="D105" s="13"/>
      <c r="E105" s="13"/>
      <c r="F105" s="13"/>
      <c r="G105" s="13"/>
      <c r="H105" s="13"/>
      <c r="I105" s="13"/>
      <c r="J105" s="13"/>
      <c r="K105" s="13"/>
      <c r="L105" s="13"/>
      <c r="M105" s="13"/>
      <c r="N105" s="13"/>
      <c r="O105" s="13"/>
      <c r="P105" s="13"/>
      <c r="Q105" s="13"/>
      <c r="R105" s="13"/>
      <c r="S105" s="13"/>
      <c r="T105" s="833"/>
      <c r="U105" s="833"/>
      <c r="V105" s="833"/>
      <c r="AC105" s="833">
        <f t="shared" ref="AC105:BI105" si="161">AC104/Y104-1</f>
        <v>0.529549444119368</v>
      </c>
      <c r="AD105" s="833">
        <f t="shared" si="161"/>
        <v>0.52164383561643834</v>
      </c>
      <c r="AE105" s="833">
        <f t="shared" si="161"/>
        <v>0.43190476190476201</v>
      </c>
      <c r="AF105" s="833">
        <f t="shared" si="161"/>
        <v>0.44766708701134927</v>
      </c>
      <c r="AG105" s="833">
        <f t="shared" si="161"/>
        <v>0.46557000765110934</v>
      </c>
      <c r="AH105" s="833">
        <f t="shared" si="161"/>
        <v>0.4573280518545193</v>
      </c>
      <c r="AI105" s="833">
        <f t="shared" si="161"/>
        <v>0.53907549052211512</v>
      </c>
      <c r="AJ105" s="833">
        <f t="shared" si="161"/>
        <v>0.44889663182346107</v>
      </c>
      <c r="AK105" s="833">
        <f t="shared" si="161"/>
        <v>0.44635865309318712</v>
      </c>
      <c r="AL105" s="833">
        <f t="shared" si="161"/>
        <v>0.4383493946132937</v>
      </c>
      <c r="AM105" s="833">
        <f t="shared" si="161"/>
        <v>0.35609334485738975</v>
      </c>
      <c r="AN105" s="833">
        <f t="shared" si="161"/>
        <v>0.37635270541082155</v>
      </c>
      <c r="AO105" s="833">
        <f t="shared" si="161"/>
        <v>0.3201588160981772</v>
      </c>
      <c r="AP105" s="833">
        <f t="shared" si="161"/>
        <v>0.28053599037965982</v>
      </c>
      <c r="AQ105" s="833">
        <f t="shared" si="161"/>
        <v>0.2796367112810707</v>
      </c>
      <c r="AR105" s="1124">
        <f t="shared" si="161"/>
        <v>0.22466511357018049</v>
      </c>
      <c r="AS105" s="833">
        <f t="shared" si="161"/>
        <v>0.25659603554340404</v>
      </c>
      <c r="AT105" s="833">
        <f t="shared" si="161"/>
        <v>0.28441105446740012</v>
      </c>
      <c r="AU105" s="1124">
        <f t="shared" si="161"/>
        <v>0.24990661187896901</v>
      </c>
      <c r="AV105" s="833">
        <f t="shared" si="161"/>
        <v>0.25478540007133521</v>
      </c>
      <c r="AW105" s="833">
        <f t="shared" si="161"/>
        <v>0.24466927763272417</v>
      </c>
      <c r="AX105" s="833">
        <f t="shared" si="161"/>
        <v>0.20231878002924586</v>
      </c>
      <c r="AY105" s="833">
        <f t="shared" si="161"/>
        <v>0.22703725841801159</v>
      </c>
      <c r="AZ105" s="833">
        <f t="shared" si="161"/>
        <v>0.20547659655107076</v>
      </c>
      <c r="BA105" s="833">
        <f t="shared" si="161"/>
        <v>0.20109256183900026</v>
      </c>
      <c r="BB105" s="833">
        <f t="shared" si="161"/>
        <v>0.11919695054246238</v>
      </c>
      <c r="BC105" s="833">
        <f t="shared" si="161"/>
        <v>8.8153127976664081E-2</v>
      </c>
      <c r="BD105" s="833">
        <f t="shared" si="161"/>
        <v>0.16052093736225737</v>
      </c>
      <c r="BE105" s="833">
        <f t="shared" si="161"/>
        <v>0.13082541931638736</v>
      </c>
      <c r="BF105" s="833">
        <f t="shared" si="161"/>
        <v>0.19397010630271616</v>
      </c>
      <c r="BG105" s="833">
        <f t="shared" si="161"/>
        <v>0.19461431371679994</v>
      </c>
      <c r="BH105" s="833">
        <f t="shared" si="161"/>
        <v>0.19719522183251059</v>
      </c>
      <c r="BI105" s="833">
        <f t="shared" si="161"/>
        <v>0.19818112826731893</v>
      </c>
      <c r="BN105" s="13" t="s">
        <v>687</v>
      </c>
      <c r="BU105" s="1122"/>
      <c r="BV105" s="1122">
        <f t="shared" ref="BV105:CB105" si="162">BV104/BU104-1</f>
        <v>0.46434178066831122</v>
      </c>
      <c r="BW105" s="1122">
        <f t="shared" si="162"/>
        <v>0.47070985527222597</v>
      </c>
      <c r="BX105" s="1122">
        <f t="shared" si="162"/>
        <v>0.36832239925023424</v>
      </c>
      <c r="BY105" s="1122">
        <f t="shared" si="162"/>
        <v>0.25905631659056327</v>
      </c>
      <c r="BZ105" s="1122">
        <f t="shared" si="162"/>
        <v>0.25746494197292069</v>
      </c>
      <c r="CA105" s="1122">
        <f t="shared" si="162"/>
        <v>0.20874612445021268</v>
      </c>
      <c r="CB105" s="1122">
        <f t="shared" si="162"/>
        <v>0.12522524357183729</v>
      </c>
      <c r="CC105" s="1122"/>
      <c r="CD105" s="1122"/>
    </row>
    <row r="106" spans="1:82" ht="21" customHeight="1">
      <c r="A106" t="s">
        <v>721</v>
      </c>
      <c r="B106" s="1126"/>
      <c r="C106" s="1126"/>
      <c r="D106" s="1126"/>
      <c r="E106" s="1126"/>
      <c r="F106" s="1126"/>
      <c r="G106" s="1126"/>
      <c r="H106" s="1126"/>
      <c r="I106" s="1126"/>
      <c r="J106" s="1126"/>
      <c r="K106" s="1126"/>
      <c r="L106" s="1126"/>
      <c r="M106" s="1126"/>
      <c r="N106" s="1126"/>
      <c r="O106" s="1126"/>
      <c r="P106" s="1126"/>
      <c r="Q106" s="1126"/>
      <c r="R106" s="1126"/>
      <c r="S106" s="1126"/>
      <c r="T106" s="1126"/>
      <c r="U106" s="1126"/>
      <c r="V106" s="1126"/>
      <c r="W106" s="1126"/>
      <c r="X106" s="1126"/>
      <c r="Y106" s="1126"/>
      <c r="Z106" s="1126">
        <v>-1435.4499999999998</v>
      </c>
      <c r="AA106" s="1126">
        <v>-945</v>
      </c>
      <c r="AB106" s="1126">
        <v>-1070.55</v>
      </c>
      <c r="AC106" s="1126">
        <v>-1194</v>
      </c>
      <c r="AD106" s="1126">
        <v>-1730</v>
      </c>
      <c r="AE106" s="1126">
        <v>-1426</v>
      </c>
      <c r="AF106" s="1126">
        <v>-1208</v>
      </c>
      <c r="AG106" s="1126">
        <v>-1243</v>
      </c>
      <c r="AH106" s="1126">
        <v>-974</v>
      </c>
      <c r="AI106" s="1126">
        <v>-591</v>
      </c>
      <c r="AJ106" s="1126">
        <v>-644</v>
      </c>
      <c r="AK106" s="1126">
        <v>-890</v>
      </c>
      <c r="AL106" s="1126">
        <v>-931</v>
      </c>
      <c r="AM106" s="1126">
        <v>-858</v>
      </c>
      <c r="AN106" s="1126">
        <v>-699</v>
      </c>
      <c r="AO106" s="1126">
        <v>-480</v>
      </c>
      <c r="AP106" s="1126">
        <v>-607.77266990551448</v>
      </c>
      <c r="AQ106" s="1126">
        <v>-526.68804190111996</v>
      </c>
      <c r="AR106" s="1138">
        <v>-274.30823147452429</v>
      </c>
      <c r="AS106" s="1126">
        <v>39.692314832535935</v>
      </c>
      <c r="AT106" s="1126">
        <v>-182.07207342587185</v>
      </c>
      <c r="AU106" s="1138">
        <v>-63.681716006009324</v>
      </c>
      <c r="AV106" s="1126">
        <v>293.59519754002321</v>
      </c>
      <c r="AW106" s="1126">
        <v>703.55125859330144</v>
      </c>
      <c r="AX106" s="1126">
        <v>325.47166081252658</v>
      </c>
      <c r="AY106" s="1126">
        <v>487.29800942776291</v>
      </c>
      <c r="AZ106" s="1126">
        <v>967.78003206260757</v>
      </c>
      <c r="BA106" s="1126">
        <v>1488.0337492771293</v>
      </c>
      <c r="BB106" s="1126">
        <v>773.78132026728679</v>
      </c>
      <c r="BC106" s="1126">
        <v>982.27272853244926</v>
      </c>
      <c r="BD106" s="1126">
        <v>1597.9052138540694</v>
      </c>
      <c r="BE106" s="1126">
        <v>2243.6096444823538</v>
      </c>
      <c r="BF106" s="1126">
        <v>1385.3319973506893</v>
      </c>
      <c r="BG106" s="1126">
        <v>1653.7717208731979</v>
      </c>
      <c r="BH106" s="1126">
        <v>2443.2964960282029</v>
      </c>
      <c r="BI106" s="1126">
        <v>3246.8234984076066</v>
      </c>
      <c r="BN106" t="str">
        <f>A106</f>
        <v>EBIT (UBSe)</v>
      </c>
      <c r="BO106" s="1120">
        <f>SUM(B106:E106)</f>
        <v>0</v>
      </c>
      <c r="BP106" s="1120">
        <f>SUM(F106:I106)</f>
        <v>0</v>
      </c>
      <c r="BQ106" s="1120">
        <f>SUM(J106:M106)</f>
        <v>0</v>
      </c>
      <c r="BR106" s="1120">
        <f>SUM(N106:Q106)</f>
        <v>0</v>
      </c>
      <c r="BS106" s="1120">
        <f>SUM(R106:U106)</f>
        <v>0</v>
      </c>
      <c r="BT106" s="1120">
        <f>SUM(V106:Y106)</f>
        <v>0</v>
      </c>
      <c r="BU106" s="1120">
        <f>SUM(Z106:AC106)</f>
        <v>-4645</v>
      </c>
      <c r="BV106" s="1120">
        <f>SUM(AD106:AG106)</f>
        <v>-5607</v>
      </c>
      <c r="BW106" s="1120">
        <f>SUM(AH106:AK106)</f>
        <v>-3099</v>
      </c>
      <c r="BX106" s="1120">
        <f>SUM(AL106:AO106)</f>
        <v>-2968</v>
      </c>
      <c r="BY106" s="1120">
        <f>SUM(AP106:AS106)</f>
        <v>-1369.0766284486228</v>
      </c>
      <c r="BZ106" s="1120">
        <f>SUM(AT106:AW106)</f>
        <v>751.39266670144343</v>
      </c>
      <c r="CA106" s="1120">
        <f>SUM(AX106:BA106)</f>
        <v>3268.5834515800261</v>
      </c>
      <c r="CB106" s="1120">
        <f>SUM(BB106:BE106)</f>
        <v>5597.5689071361594</v>
      </c>
      <c r="CC106" s="1120">
        <f>SUM(BF106:BI106)</f>
        <v>8729.2237126596956</v>
      </c>
      <c r="CD106" s="1122"/>
    </row>
    <row r="107" spans="1:82">
      <c r="A107" s="13" t="s">
        <v>722</v>
      </c>
      <c r="B107" s="13"/>
      <c r="C107" s="13"/>
      <c r="D107" s="13"/>
      <c r="E107" s="13"/>
      <c r="F107" s="13"/>
      <c r="G107" s="13"/>
      <c r="H107" s="13"/>
      <c r="I107" s="13"/>
      <c r="J107" s="13"/>
      <c r="K107" s="13"/>
      <c r="L107" s="13"/>
      <c r="M107" s="13"/>
      <c r="N107" s="13"/>
      <c r="O107" s="13"/>
      <c r="P107" s="13"/>
      <c r="Q107" s="13"/>
      <c r="R107" s="13"/>
      <c r="S107" s="13"/>
      <c r="T107" s="833"/>
      <c r="U107" s="833"/>
      <c r="V107" s="833"/>
      <c r="W107" s="833"/>
      <c r="X107" s="833"/>
      <c r="Y107" s="833"/>
      <c r="Z107" s="833">
        <f t="shared" ref="Z107:BI107" si="163">Z106/Z104</f>
        <v>-0.78654794520547933</v>
      </c>
      <c r="AA107" s="833">
        <f t="shared" si="163"/>
        <v>-0.45</v>
      </c>
      <c r="AB107" s="833">
        <f t="shared" si="163"/>
        <v>-0.44999999999999996</v>
      </c>
      <c r="AC107" s="833">
        <f t="shared" si="163"/>
        <v>-0.45677123182861518</v>
      </c>
      <c r="AD107" s="833">
        <f t="shared" si="163"/>
        <v>-0.62297443284119558</v>
      </c>
      <c r="AE107" s="833">
        <f t="shared" si="163"/>
        <v>-0.47422680412371132</v>
      </c>
      <c r="AF107" s="833">
        <f t="shared" si="163"/>
        <v>-0.35075493612078978</v>
      </c>
      <c r="AG107" s="833">
        <f t="shared" si="163"/>
        <v>-0.32445836596188987</v>
      </c>
      <c r="AH107" s="833">
        <f t="shared" si="163"/>
        <v>-0.24067210279219176</v>
      </c>
      <c r="AI107" s="833">
        <f t="shared" si="163"/>
        <v>-0.12770095073465859</v>
      </c>
      <c r="AJ107" s="833">
        <f t="shared" si="163"/>
        <v>-0.12905811623246494</v>
      </c>
      <c r="AK107" s="833">
        <f t="shared" si="163"/>
        <v>-0.16062082656560187</v>
      </c>
      <c r="AL107" s="833">
        <f t="shared" si="163"/>
        <v>-0.1599381549561931</v>
      </c>
      <c r="AM107" s="833">
        <f t="shared" si="163"/>
        <v>-0.1367112810707457</v>
      </c>
      <c r="AN107" s="833">
        <f t="shared" si="163"/>
        <v>-0.10177635410599883</v>
      </c>
      <c r="AO107" s="833">
        <f t="shared" si="163"/>
        <v>-6.5618591934381409E-2</v>
      </c>
      <c r="AP107" s="833">
        <f t="shared" si="163"/>
        <v>-8.1536446190704923E-2</v>
      </c>
      <c r="AQ107" s="833">
        <f t="shared" si="163"/>
        <v>-6.5581875470192993E-2</v>
      </c>
      <c r="AR107" s="1124">
        <f t="shared" si="163"/>
        <v>-3.2613034297292155E-2</v>
      </c>
      <c r="AS107" s="833">
        <f t="shared" si="163"/>
        <v>4.3181369487093058E-3</v>
      </c>
      <c r="AT107" s="833">
        <f t="shared" si="163"/>
        <v>-1.9017346294743248E-2</v>
      </c>
      <c r="AU107" s="1124">
        <f t="shared" si="163"/>
        <v>-6.3440641568050732E-3</v>
      </c>
      <c r="AV107" s="833">
        <f t="shared" si="163"/>
        <v>2.7818381423159295E-2</v>
      </c>
      <c r="AW107" s="833">
        <f t="shared" si="163"/>
        <v>6.1493860553561874E-2</v>
      </c>
      <c r="AX107" s="833">
        <f t="shared" si="163"/>
        <v>2.827483805164856E-2</v>
      </c>
      <c r="AY107" s="833">
        <f t="shared" si="163"/>
        <v>3.9563043714196874E-2</v>
      </c>
      <c r="AZ107" s="833">
        <f t="shared" si="163"/>
        <v>7.6067787406867107E-2</v>
      </c>
      <c r="BA107" s="833">
        <f t="shared" si="163"/>
        <v>0.10828600167935039</v>
      </c>
      <c r="BB107" s="833">
        <f t="shared" si="163"/>
        <v>6.0061845043806912E-2</v>
      </c>
      <c r="BC107" s="833">
        <f t="shared" si="163"/>
        <v>7.3288718929254301E-2</v>
      </c>
      <c r="BD107" s="833">
        <f t="shared" si="163"/>
        <v>0.10822364589400117</v>
      </c>
      <c r="BE107" s="833">
        <f t="shared" si="163"/>
        <v>0.14438140806561861</v>
      </c>
      <c r="BF107" s="833">
        <f t="shared" si="163"/>
        <v>9.0061845043806904E-2</v>
      </c>
      <c r="BG107" s="833">
        <f t="shared" si="163"/>
        <v>0.1032887189292543</v>
      </c>
      <c r="BH107" s="833">
        <f t="shared" si="163"/>
        <v>0.13822364589400116</v>
      </c>
      <c r="BI107" s="833">
        <f t="shared" si="163"/>
        <v>0.17438140806561861</v>
      </c>
      <c r="BN107" s="13"/>
      <c r="BU107" s="1122"/>
      <c r="BV107" s="1122"/>
      <c r="BW107" s="1122"/>
      <c r="BX107" s="1122"/>
      <c r="BY107" s="1122"/>
      <c r="BZ107" s="1122"/>
      <c r="CA107" s="1122"/>
      <c r="CB107" s="1122"/>
      <c r="CC107" s="1122"/>
      <c r="CD107" s="1122"/>
    </row>
    <row r="108" spans="1:82" ht="10.5">
      <c r="A108" s="45"/>
      <c r="B108" s="45"/>
      <c r="C108" s="45"/>
      <c r="D108" s="45"/>
      <c r="E108" s="45"/>
      <c r="F108" s="45"/>
      <c r="G108" s="45"/>
      <c r="H108" s="45"/>
      <c r="I108" s="45"/>
      <c r="J108" s="45"/>
      <c r="K108" s="45"/>
      <c r="L108" s="45"/>
      <c r="M108" s="45"/>
      <c r="N108" s="45"/>
      <c r="O108" s="45"/>
      <c r="P108" s="45"/>
      <c r="Q108" s="45"/>
      <c r="R108" s="45"/>
      <c r="S108" s="45"/>
      <c r="AR108" s="1067"/>
      <c r="AU108" s="1067"/>
      <c r="BN108" s="45"/>
    </row>
    <row r="109" spans="1:82" ht="10.5">
      <c r="A109" s="1" t="s">
        <v>723</v>
      </c>
      <c r="B109" s="1"/>
      <c r="C109" s="1"/>
      <c r="D109" s="1"/>
      <c r="E109" s="1"/>
      <c r="F109" s="1"/>
      <c r="G109" s="1"/>
      <c r="H109" s="1"/>
      <c r="I109" s="1"/>
      <c r="J109" s="1"/>
      <c r="K109" s="1"/>
      <c r="L109" s="1"/>
      <c r="M109" s="1"/>
      <c r="N109" s="1"/>
      <c r="O109" s="1"/>
      <c r="P109" s="1"/>
      <c r="Q109" s="1"/>
      <c r="R109" s="1"/>
      <c r="S109" s="1"/>
      <c r="T109" s="1127"/>
      <c r="U109" s="1127"/>
      <c r="V109" s="1127"/>
      <c r="W109" s="1127"/>
      <c r="X109" s="1128"/>
      <c r="Y109" s="1129">
        <f t="shared" ref="Y109:BG109" si="164">Y98+Y92+Y104</f>
        <v>12119.038222160185</v>
      </c>
      <c r="Z109" s="1129">
        <f t="shared" si="164"/>
        <v>12824.411649037254</v>
      </c>
      <c r="AA109" s="1129">
        <f t="shared" si="164"/>
        <v>14504.456944786618</v>
      </c>
      <c r="AB109" s="1129">
        <f t="shared" si="164"/>
        <v>15692.469936264022</v>
      </c>
      <c r="AC109" s="1129">
        <f t="shared" si="164"/>
        <v>17395.953963435117</v>
      </c>
      <c r="AD109" s="1129">
        <f t="shared" si="164"/>
        <v>18242.517227270568</v>
      </c>
      <c r="AE109" s="1129">
        <f t="shared" si="164"/>
        <v>19722.428490464743</v>
      </c>
      <c r="AF109" s="1129">
        <f t="shared" si="164"/>
        <v>21432.720812388598</v>
      </c>
      <c r="AG109" s="1129">
        <f t="shared" si="164"/>
        <v>23812.649525553785</v>
      </c>
      <c r="AH109" s="1129">
        <f t="shared" si="164"/>
        <v>25408.001729796375</v>
      </c>
      <c r="AI109" s="1129">
        <f t="shared" si="164"/>
        <v>28364.759541701133</v>
      </c>
      <c r="AJ109" s="1129">
        <f t="shared" si="164"/>
        <v>30678.938546208497</v>
      </c>
      <c r="AK109" s="1129">
        <f t="shared" si="164"/>
        <v>33881.788326958762</v>
      </c>
      <c r="AL109" s="1129">
        <f t="shared" si="164"/>
        <v>35691.030011195951</v>
      </c>
      <c r="AM109" s="1129">
        <f t="shared" si="164"/>
        <v>38466.041900270982</v>
      </c>
      <c r="AN109" s="1129">
        <f t="shared" si="164"/>
        <v>40306</v>
      </c>
      <c r="AO109" s="1129">
        <f t="shared" si="164"/>
        <v>42568</v>
      </c>
      <c r="AP109" s="1129">
        <f t="shared" si="164"/>
        <v>43322.868114218858</v>
      </c>
      <c r="AQ109" s="1129">
        <f t="shared" si="164"/>
        <v>45859.312794341437</v>
      </c>
      <c r="AR109" s="1130">
        <f t="shared" si="164"/>
        <v>48111</v>
      </c>
      <c r="AS109" s="1129">
        <f t="shared" si="164"/>
        <v>51433.5</v>
      </c>
      <c r="AT109" s="1129">
        <f t="shared" si="164"/>
        <v>53625.477229626704</v>
      </c>
      <c r="AU109" s="1130">
        <f t="shared" si="164"/>
        <v>56256.423504700455</v>
      </c>
      <c r="AV109" s="1129">
        <f t="shared" si="164"/>
        <v>59280.643827985681</v>
      </c>
      <c r="AW109" s="1129">
        <f t="shared" si="164"/>
        <v>63726.083996946021</v>
      </c>
      <c r="AX109" s="1129">
        <f t="shared" si="164"/>
        <v>66097.488096636502</v>
      </c>
      <c r="AY109" s="1129">
        <f t="shared" si="164"/>
        <v>69723.010719455735</v>
      </c>
      <c r="AZ109" s="1129">
        <f t="shared" si="164"/>
        <v>69620.897906907659</v>
      </c>
      <c r="BA109" s="1129">
        <f t="shared" si="164"/>
        <v>73284.122945882424</v>
      </c>
      <c r="BB109" s="1129">
        <f t="shared" si="164"/>
        <v>70801.899406387543</v>
      </c>
      <c r="BC109" s="1129">
        <f t="shared" si="164"/>
        <v>73333.614182827674</v>
      </c>
      <c r="BD109" s="1129">
        <f t="shared" si="164"/>
        <v>76410.234856697061</v>
      </c>
      <c r="BE109" s="1129">
        <f t="shared" si="164"/>
        <v>79577.198159257445</v>
      </c>
      <c r="BF109" s="1129">
        <f t="shared" si="164"/>
        <v>80879.536652455688</v>
      </c>
      <c r="BG109" s="1129">
        <f t="shared" si="164"/>
        <v>83515.807321865417</v>
      </c>
      <c r="BH109" s="1129"/>
      <c r="BI109" s="1129"/>
      <c r="BN109" s="1" t="s">
        <v>341</v>
      </c>
      <c r="BO109" s="1129">
        <f t="shared" ref="BO109:CB109" si="165">BO98+BO92+BO104</f>
        <v>3107.5678899854724</v>
      </c>
      <c r="BP109" s="1129">
        <f t="shared" si="165"/>
        <v>4644</v>
      </c>
      <c r="BQ109" s="1129">
        <f t="shared" si="165"/>
        <v>8747.3400796349215</v>
      </c>
      <c r="BR109" s="1129">
        <f t="shared" si="165"/>
        <v>15132.297083127763</v>
      </c>
      <c r="BS109" s="1129">
        <f t="shared" si="165"/>
        <v>22964.192203135528</v>
      </c>
      <c r="BT109" s="1129">
        <f t="shared" si="165"/>
        <v>37441.388822062872</v>
      </c>
      <c r="BU109" s="1129">
        <f t="shared" si="165"/>
        <v>60417.292493523011</v>
      </c>
      <c r="BV109" s="1129">
        <f t="shared" si="165"/>
        <v>83210.316055677686</v>
      </c>
      <c r="BW109" s="1129">
        <f t="shared" si="165"/>
        <v>118333.48814466476</v>
      </c>
      <c r="BX109" s="1129">
        <f t="shared" si="165"/>
        <v>157031.07191146695</v>
      </c>
      <c r="BY109" s="1129">
        <f t="shared" si="165"/>
        <v>188726.68090856029</v>
      </c>
      <c r="BZ109" s="1129">
        <f t="shared" si="165"/>
        <v>232888.62855925885</v>
      </c>
      <c r="CA109" s="1129">
        <f t="shared" si="165"/>
        <v>278725.51966888231</v>
      </c>
      <c r="CB109" s="1129">
        <f t="shared" si="165"/>
        <v>300122.94660516974</v>
      </c>
      <c r="CC109" s="1129"/>
      <c r="CD109" s="1129"/>
    </row>
    <row r="110" spans="1:82">
      <c r="A110" s="13" t="s">
        <v>687</v>
      </c>
      <c r="B110" s="13"/>
      <c r="C110" s="13"/>
      <c r="D110" s="13"/>
      <c r="E110" s="13"/>
      <c r="F110" s="13"/>
      <c r="G110" s="13"/>
      <c r="H110" s="13"/>
      <c r="I110" s="13"/>
      <c r="J110" s="13"/>
      <c r="K110" s="13"/>
      <c r="L110" s="13"/>
      <c r="M110" s="13"/>
      <c r="N110" s="13"/>
      <c r="O110" s="13"/>
      <c r="P110" s="13"/>
      <c r="Q110" s="13"/>
      <c r="R110" s="13"/>
      <c r="S110" s="13"/>
      <c r="AC110" s="1122">
        <f t="shared" ref="AC110:BG110" si="166">AC109/Y109-1</f>
        <v>0.43542364043591042</v>
      </c>
      <c r="AD110" s="1122">
        <f t="shared" si="166"/>
        <v>0.42248375414867922</v>
      </c>
      <c r="AE110" s="1122">
        <f t="shared" si="166"/>
        <v>0.35974952840641428</v>
      </c>
      <c r="AF110" s="1122">
        <f t="shared" si="166"/>
        <v>0.36579651893162612</v>
      </c>
      <c r="AG110" s="1122">
        <f t="shared" si="166"/>
        <v>0.3688613786634547</v>
      </c>
      <c r="AH110" s="1122">
        <f t="shared" si="166"/>
        <v>0.39279033771798733</v>
      </c>
      <c r="AI110" s="1122">
        <f t="shared" si="166"/>
        <v>0.43819811821930155</v>
      </c>
      <c r="AJ110" s="1122">
        <f t="shared" si="166"/>
        <v>0.43140662423388521</v>
      </c>
      <c r="AK110" s="1122">
        <f t="shared" si="166"/>
        <v>0.42284831810083134</v>
      </c>
      <c r="AL110" s="1122">
        <f t="shared" si="166"/>
        <v>0.4047161359147935</v>
      </c>
      <c r="AM110" s="1122">
        <f t="shared" si="166"/>
        <v>0.35612085283921435</v>
      </c>
      <c r="AN110" s="1122">
        <f t="shared" si="166"/>
        <v>0.31380034349269481</v>
      </c>
      <c r="AO110" s="1122">
        <f t="shared" si="166"/>
        <v>0.25636815829257364</v>
      </c>
      <c r="AP110" s="1122">
        <f t="shared" si="166"/>
        <v>0.2138307048193584</v>
      </c>
      <c r="AQ110" s="1122">
        <f t="shared" si="166"/>
        <v>0.19220253836458201</v>
      </c>
      <c r="AR110" s="1121">
        <f t="shared" si="166"/>
        <v>0.19364362625911768</v>
      </c>
      <c r="AS110" s="1122">
        <f t="shared" si="166"/>
        <v>0.20826677316293929</v>
      </c>
      <c r="AT110" s="1122">
        <f t="shared" si="166"/>
        <v>0.23780995035336683</v>
      </c>
      <c r="AU110" s="1121">
        <f t="shared" si="166"/>
        <v>0.22671754278101419</v>
      </c>
      <c r="AV110" s="1122">
        <f t="shared" si="166"/>
        <v>0.23216403375497663</v>
      </c>
      <c r="AW110" s="1122">
        <f t="shared" si="166"/>
        <v>0.23899956248254584</v>
      </c>
      <c r="AX110" s="1122">
        <f t="shared" si="166"/>
        <v>0.23257622144049339</v>
      </c>
      <c r="AY110" s="1122">
        <f t="shared" si="166"/>
        <v>0.23937865893003485</v>
      </c>
      <c r="AZ110" s="1122">
        <f t="shared" si="166"/>
        <v>0.17442884238784995</v>
      </c>
      <c r="BA110" s="1122">
        <f t="shared" si="166"/>
        <v>0.14998629053362911</v>
      </c>
      <c r="BB110" s="1122">
        <f t="shared" si="166"/>
        <v>7.1173828918779103E-2</v>
      </c>
      <c r="BC110" s="1122">
        <f t="shared" si="166"/>
        <v>5.1784962039288729E-2</v>
      </c>
      <c r="BD110" s="1122">
        <f t="shared" si="166"/>
        <v>9.7518663991775112E-2</v>
      </c>
      <c r="BE110" s="1122">
        <f t="shared" si="166"/>
        <v>8.587228666190394E-2</v>
      </c>
      <c r="BF110" s="1122">
        <f t="shared" si="166"/>
        <v>0.14233569057554085</v>
      </c>
      <c r="BG110" s="1122">
        <f t="shared" si="166"/>
        <v>0.13884755650597791</v>
      </c>
      <c r="BH110" s="1122"/>
      <c r="BI110" s="1122"/>
      <c r="BN110" s="13" t="s">
        <v>687</v>
      </c>
      <c r="BO110" s="1122"/>
      <c r="BP110" s="1122">
        <f t="shared" ref="BP110:CB110" si="167">BP109/BO109-1</f>
        <v>0.49441626519757542</v>
      </c>
      <c r="BQ110" s="1122">
        <f t="shared" si="167"/>
        <v>0.88357882851742486</v>
      </c>
      <c r="BR110" s="1122">
        <f t="shared" si="167"/>
        <v>0.7299312642888951</v>
      </c>
      <c r="BS110" s="1122">
        <f t="shared" si="167"/>
        <v>0.51756154911472008</v>
      </c>
      <c r="BT110" s="1122">
        <f t="shared" si="167"/>
        <v>0.63042481489728308</v>
      </c>
      <c r="BU110" s="1122">
        <f t="shared" si="167"/>
        <v>0.61364987769687795</v>
      </c>
      <c r="BV110" s="1122">
        <f t="shared" si="167"/>
        <v>0.37725993041806993</v>
      </c>
      <c r="BW110" s="1122">
        <f t="shared" si="167"/>
        <v>0.42210117391556912</v>
      </c>
      <c r="BX110" s="1122">
        <f t="shared" si="167"/>
        <v>0.32702140681844605</v>
      </c>
      <c r="BY110" s="1122">
        <f t="shared" si="167"/>
        <v>0.20184291306986113</v>
      </c>
      <c r="BZ110" s="1122">
        <f t="shared" si="167"/>
        <v>0.23399949301336687</v>
      </c>
      <c r="CA110" s="1122">
        <f t="shared" si="167"/>
        <v>0.1968189318353093</v>
      </c>
      <c r="CB110" s="1122">
        <f t="shared" si="167"/>
        <v>7.6768811703022077E-2</v>
      </c>
      <c r="CC110" s="1122"/>
      <c r="CD110" s="1122"/>
    </row>
    <row r="111" spans="1:82">
      <c r="AR111" s="1067"/>
      <c r="AU111" s="1067"/>
    </row>
    <row r="112" spans="1:82">
      <c r="AR112" s="1067"/>
      <c r="AU112" s="1067"/>
    </row>
    <row r="113" spans="43:47">
      <c r="AR113" s="1067"/>
      <c r="AU113" s="1067"/>
    </row>
    <row r="114" spans="43:47">
      <c r="AR114" s="1067"/>
      <c r="AU114" s="1067"/>
    </row>
    <row r="115" spans="43:47">
      <c r="AR115" s="1067"/>
      <c r="AU115" s="1067"/>
    </row>
    <row r="116" spans="43:47">
      <c r="AR116" s="1067"/>
      <c r="AU116" s="1067"/>
    </row>
    <row r="117" spans="43:47">
      <c r="AR117" s="1067"/>
      <c r="AU117" s="1067"/>
    </row>
    <row r="118" spans="43:47">
      <c r="AR118" s="1067"/>
      <c r="AU118" s="1067"/>
    </row>
    <row r="119" spans="43:47">
      <c r="AR119" s="1067"/>
      <c r="AU119" s="1067"/>
    </row>
    <row r="120" spans="43:47">
      <c r="AR120" s="1067"/>
      <c r="AU120" s="1067"/>
    </row>
    <row r="121" spans="43:47">
      <c r="AR121" s="1067"/>
      <c r="AU121" s="1067"/>
    </row>
    <row r="122" spans="43:47">
      <c r="AR122" s="1067"/>
      <c r="AU122" s="1067"/>
    </row>
    <row r="123" spans="43:47">
      <c r="AQ123" s="1067"/>
      <c r="AU123" s="1067"/>
    </row>
    <row r="124" spans="43:47">
      <c r="AQ124" s="1067"/>
      <c r="AU124" s="1067"/>
    </row>
    <row r="125" spans="43:47">
      <c r="AQ125" s="1067"/>
      <c r="AU125" s="1067"/>
    </row>
    <row r="126" spans="43:47">
      <c r="AQ126" s="1067"/>
      <c r="AU126" s="1067"/>
    </row>
    <row r="127" spans="43:47">
      <c r="AQ127" s="1067"/>
      <c r="AU127" s="1067"/>
    </row>
    <row r="128" spans="43:47">
      <c r="AQ128" s="1067"/>
      <c r="AU128" s="1067"/>
    </row>
    <row r="129" spans="43:47">
      <c r="AQ129" s="1067"/>
      <c r="AU129" s="1067"/>
    </row>
    <row r="130" spans="43:47">
      <c r="AQ130" s="1067"/>
      <c r="AU130" s="1067"/>
    </row>
    <row r="131" spans="43:47">
      <c r="AQ131" s="1067"/>
      <c r="AU131" s="1067"/>
    </row>
    <row r="132" spans="43:47">
      <c r="AQ132" s="1067"/>
      <c r="AU132" s="1067"/>
    </row>
    <row r="133" spans="43:47">
      <c r="AQ133" s="1067"/>
      <c r="AU133" s="1067"/>
    </row>
    <row r="134" spans="43:47">
      <c r="AQ134" s="1067"/>
      <c r="AU134" s="1067"/>
    </row>
    <row r="135" spans="43:47">
      <c r="AQ135" s="1067"/>
      <c r="AU135" s="1067"/>
    </row>
    <row r="136" spans="43:47">
      <c r="AQ136" s="1067"/>
      <c r="AU136" s="1067"/>
    </row>
    <row r="137" spans="43:47">
      <c r="AQ137" s="1067"/>
      <c r="AU137" s="1067"/>
    </row>
    <row r="138" spans="43:47">
      <c r="AQ138" s="1067"/>
      <c r="AU138" s="1067"/>
    </row>
    <row r="139" spans="43:47">
      <c r="AQ139" s="1067"/>
      <c r="AU139" s="1067"/>
    </row>
    <row r="140" spans="43:47">
      <c r="AQ140" s="1067"/>
      <c r="AU140" s="1067"/>
    </row>
    <row r="141" spans="43:47">
      <c r="AQ141" s="1067"/>
      <c r="AU141" s="1067"/>
    </row>
    <row r="142" spans="43:47">
      <c r="AQ142" s="1067"/>
      <c r="AU142" s="1067"/>
    </row>
    <row r="143" spans="43:47">
      <c r="AQ143" s="1067"/>
      <c r="AU143" s="1067"/>
    </row>
    <row r="144" spans="43:47">
      <c r="AQ144" s="1067"/>
      <c r="AU144" s="1067"/>
    </row>
    <row r="145" spans="43:47">
      <c r="AQ145" s="1067"/>
      <c r="AU145" s="1067"/>
    </row>
    <row r="146" spans="43:47">
      <c r="AQ146" s="1067"/>
    </row>
    <row r="147" spans="43:47">
      <c r="AQ147" s="1067"/>
    </row>
    <row r="148" spans="43:47">
      <c r="AQ148" s="1067"/>
    </row>
  </sheetData>
  <pageMargins left="0.3" right="0.3" top="0.3" bottom="0.3" header="0.3" footer="0.3"/>
  <pageSetup scale="53" fitToHeight="0" orientation="landscape" r:id="rId1"/>
  <headerFooter>
    <oddFooter>Page &amp;P</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BC50-95B6-4385-8836-0641930633E6}">
  <sheetPr>
    <pageSetUpPr fitToPage="1"/>
  </sheetPr>
  <dimension ref="A1:AS223"/>
  <sheetViews>
    <sheetView view="pageBreakPreview" zoomScale="85" zoomScaleNormal="70" zoomScaleSheetLayoutView="85" workbookViewId="0">
      <pane xSplit="1" ySplit="7" topLeftCell="L8" activePane="bottomRight" state="frozen"/>
      <selection pane="bottomRight" activeCell="J83" sqref="J83"/>
      <selection pane="bottomLeft" activeCell="J83" sqref="J83"/>
      <selection pane="topRight" activeCell="J83" sqref="J83"/>
    </sheetView>
  </sheetViews>
  <sheetFormatPr defaultRowHeight="9.9499999999999993" outlineLevelRow="1" outlineLevelCol="1"/>
  <cols>
    <col min="1" max="1" width="29.1640625" customWidth="1"/>
    <col min="3" max="10" width="8.83203125" hidden="1" customWidth="1" outlineLevel="1"/>
    <col min="11" max="11" width="8.83203125" collapsed="1"/>
    <col min="29" max="29" width="9.33203125" bestFit="1" customWidth="1"/>
    <col min="40" max="40" width="9.6640625" customWidth="1"/>
  </cols>
  <sheetData>
    <row r="1" spans="1:44" s="1" customFormat="1" ht="10.5">
      <c r="A1" t="s">
        <v>60</v>
      </c>
      <c r="B1" s="228"/>
      <c r="C1" s="228"/>
      <c r="D1" s="228"/>
      <c r="E1" s="228"/>
      <c r="F1" s="228"/>
      <c r="G1" s="228"/>
      <c r="H1" s="228"/>
      <c r="I1" s="228"/>
      <c r="J1" s="228"/>
      <c r="K1" s="228"/>
      <c r="L1" s="228"/>
      <c r="M1" s="228"/>
      <c r="N1" s="228"/>
      <c r="O1" s="228"/>
      <c r="P1" s="228"/>
      <c r="Q1" s="228"/>
      <c r="R1" s="792"/>
      <c r="S1" s="792"/>
      <c r="T1" s="792"/>
      <c r="U1" s="792"/>
      <c r="W1" s="792"/>
      <c r="X1" s="792"/>
      <c r="Y1" s="792"/>
      <c r="AN1" s="240"/>
      <c r="AR1" s="240">
        <f ca="1">TODAY()</f>
        <v>45797</v>
      </c>
    </row>
    <row r="2" spans="1:44" s="2" customFormat="1" ht="10.5">
      <c r="A2" s="2" t="s">
        <v>724</v>
      </c>
      <c r="B2" s="1052"/>
      <c r="C2" s="1052"/>
      <c r="D2" s="1052"/>
      <c r="E2" s="1052"/>
      <c r="F2" s="1052"/>
      <c r="G2" s="1052"/>
      <c r="H2" s="1052"/>
      <c r="I2" s="1052"/>
      <c r="J2" s="1052"/>
      <c r="K2" s="1052"/>
      <c r="L2" s="1052"/>
      <c r="M2" s="1052"/>
      <c r="N2" s="1052"/>
      <c r="O2" s="1052"/>
      <c r="P2" s="1052"/>
      <c r="Q2" s="1052"/>
      <c r="R2" s="1052"/>
      <c r="S2" s="1052"/>
      <c r="T2" s="1052"/>
      <c r="U2" s="1052"/>
      <c r="V2" s="1052"/>
      <c r="W2" s="1052"/>
      <c r="X2" s="1052"/>
      <c r="Y2" s="1052"/>
    </row>
    <row r="3" spans="1:44">
      <c r="A3" s="3" t="s">
        <v>63</v>
      </c>
    </row>
    <row r="4" spans="1:44" ht="13.5">
      <c r="C4" s="821" t="s">
        <v>649</v>
      </c>
      <c r="D4" s="31"/>
      <c r="E4" s="31"/>
      <c r="F4" s="31"/>
      <c r="G4" s="31"/>
      <c r="H4" s="31"/>
      <c r="I4" s="31"/>
      <c r="J4" s="31"/>
      <c r="K4" s="821" t="s">
        <v>649</v>
      </c>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row>
    <row r="5" spans="1:44" ht="13.5">
      <c r="B5" s="932" t="s">
        <v>725</v>
      </c>
      <c r="C5" s="6" t="s">
        <v>726</v>
      </c>
      <c r="D5" s="6" t="s">
        <v>727</v>
      </c>
      <c r="E5" s="6" t="s">
        <v>728</v>
      </c>
      <c r="F5" s="6" t="s">
        <v>729</v>
      </c>
      <c r="G5" s="6" t="s">
        <v>204</v>
      </c>
      <c r="H5" s="6" t="s">
        <v>205</v>
      </c>
      <c r="I5" s="6" t="s">
        <v>206</v>
      </c>
      <c r="J5" s="6" t="s">
        <v>207</v>
      </c>
      <c r="K5" s="6" t="s">
        <v>208</v>
      </c>
      <c r="L5" s="6" t="s">
        <v>209</v>
      </c>
      <c r="M5" s="6" t="s">
        <v>210</v>
      </c>
      <c r="N5" s="6" t="s">
        <v>211</v>
      </c>
      <c r="O5" s="6" t="s">
        <v>212</v>
      </c>
      <c r="P5" s="6" t="s">
        <v>213</v>
      </c>
      <c r="Q5" s="6" t="s">
        <v>214</v>
      </c>
      <c r="R5" s="6" t="s">
        <v>215</v>
      </c>
      <c r="S5" s="6" t="s">
        <v>216</v>
      </c>
      <c r="T5" s="6" t="s">
        <v>217</v>
      </c>
      <c r="U5" s="6" t="s">
        <v>218</v>
      </c>
      <c r="V5" s="6" t="s">
        <v>219</v>
      </c>
      <c r="W5" s="6" t="s">
        <v>220</v>
      </c>
      <c r="X5" s="6" t="s">
        <v>221</v>
      </c>
      <c r="Y5" s="6" t="s">
        <v>222</v>
      </c>
      <c r="Z5" s="6" t="s">
        <v>223</v>
      </c>
      <c r="AA5" s="6" t="s">
        <v>224</v>
      </c>
      <c r="AB5" s="6" t="s">
        <v>225</v>
      </c>
      <c r="AC5" s="6" t="s">
        <v>226</v>
      </c>
      <c r="AD5" s="6" t="s">
        <v>227</v>
      </c>
      <c r="AE5" s="6" t="s">
        <v>228</v>
      </c>
      <c r="AF5" s="6" t="s">
        <v>229</v>
      </c>
      <c r="AG5" s="6" t="s">
        <v>230</v>
      </c>
      <c r="AH5" s="6" t="s">
        <v>231</v>
      </c>
      <c r="AI5" s="6" t="s">
        <v>232</v>
      </c>
      <c r="AJ5" s="6" t="s">
        <v>233</v>
      </c>
      <c r="AK5" s="6" t="s">
        <v>234</v>
      </c>
      <c r="AL5" s="6" t="s">
        <v>235</v>
      </c>
      <c r="AM5" s="6" t="s">
        <v>236</v>
      </c>
      <c r="AN5" s="1066" t="s">
        <v>237</v>
      </c>
      <c r="AO5" s="6" t="s">
        <v>730</v>
      </c>
      <c r="AP5" s="6" t="s">
        <v>731</v>
      </c>
      <c r="AQ5" s="6" t="s">
        <v>732</v>
      </c>
      <c r="AR5" s="6" t="s">
        <v>733</v>
      </c>
    </row>
    <row r="6" spans="1:44" s="3" customFormat="1">
      <c r="B6" s="932" t="s">
        <v>734</v>
      </c>
      <c r="C6" s="28"/>
      <c r="D6" s="28"/>
      <c r="E6" s="28"/>
      <c r="F6" s="28"/>
      <c r="G6" s="28"/>
      <c r="H6" s="28"/>
      <c r="I6" s="28"/>
      <c r="J6" s="28"/>
      <c r="K6" s="28" t="s">
        <v>735</v>
      </c>
      <c r="L6" s="28" t="s">
        <v>736</v>
      </c>
      <c r="M6" s="28" t="s">
        <v>737</v>
      </c>
      <c r="N6" s="28" t="s">
        <v>738</v>
      </c>
      <c r="O6" s="28" t="s">
        <v>739</v>
      </c>
      <c r="P6" s="28" t="s">
        <v>740</v>
      </c>
      <c r="Q6" s="28" t="s">
        <v>741</v>
      </c>
      <c r="R6" s="28" t="s">
        <v>742</v>
      </c>
      <c r="S6" s="28" t="s">
        <v>743</v>
      </c>
      <c r="T6" s="28" t="s">
        <v>744</v>
      </c>
      <c r="U6" s="28" t="s">
        <v>745</v>
      </c>
      <c r="V6" s="28" t="s">
        <v>746</v>
      </c>
      <c r="W6" s="28" t="s">
        <v>747</v>
      </c>
      <c r="X6" s="28" t="s">
        <v>748</v>
      </c>
      <c r="Y6" s="28" t="s">
        <v>749</v>
      </c>
      <c r="Z6" s="28" t="s">
        <v>750</v>
      </c>
      <c r="AA6" s="28" t="s">
        <v>751</v>
      </c>
      <c r="AB6" s="28" t="s">
        <v>752</v>
      </c>
      <c r="AC6" s="28" t="s">
        <v>753</v>
      </c>
      <c r="AD6" s="28" t="s">
        <v>754</v>
      </c>
      <c r="AE6" s="28" t="s">
        <v>755</v>
      </c>
      <c r="AF6" s="28" t="s">
        <v>756</v>
      </c>
      <c r="AG6" s="28" t="s">
        <v>757</v>
      </c>
      <c r="AH6" s="28" t="s">
        <v>758</v>
      </c>
      <c r="AI6" s="28" t="s">
        <v>759</v>
      </c>
      <c r="AJ6" s="28" t="s">
        <v>760</v>
      </c>
      <c r="AK6" s="28" t="s">
        <v>761</v>
      </c>
      <c r="AL6" s="28" t="s">
        <v>762</v>
      </c>
      <c r="AM6" s="28" t="s">
        <v>763</v>
      </c>
      <c r="AN6" s="1097" t="s">
        <v>764</v>
      </c>
      <c r="AO6" s="28" t="s">
        <v>765</v>
      </c>
      <c r="AP6" s="28" t="s">
        <v>766</v>
      </c>
      <c r="AQ6" s="28" t="s">
        <v>767</v>
      </c>
      <c r="AR6" s="28" t="s">
        <v>768</v>
      </c>
    </row>
    <row r="7" spans="1:44" s="3" customFormat="1">
      <c r="B7" s="932"/>
      <c r="C7" s="28"/>
      <c r="D7" s="28"/>
      <c r="E7" s="28"/>
      <c r="F7" s="28"/>
      <c r="G7" s="28"/>
      <c r="H7" s="28"/>
      <c r="I7" s="28"/>
      <c r="J7" s="28"/>
      <c r="K7" s="1116">
        <v>42795</v>
      </c>
      <c r="L7" s="1116">
        <v>42887</v>
      </c>
      <c r="M7" s="1116">
        <v>42979</v>
      </c>
      <c r="N7" s="1116">
        <v>43070</v>
      </c>
      <c r="O7" s="1116">
        <v>43160</v>
      </c>
      <c r="P7" s="1116">
        <v>43252</v>
      </c>
      <c r="Q7" s="1116">
        <v>43344</v>
      </c>
      <c r="R7" s="1116">
        <v>43435</v>
      </c>
      <c r="S7" s="1116">
        <v>43525</v>
      </c>
      <c r="T7" s="1116">
        <v>43617</v>
      </c>
      <c r="U7" s="1116">
        <v>43709</v>
      </c>
      <c r="V7" s="1116">
        <v>43800</v>
      </c>
      <c r="W7" s="1116">
        <v>43891</v>
      </c>
      <c r="X7" s="1116">
        <v>43983</v>
      </c>
      <c r="Y7" s="1116">
        <v>44075</v>
      </c>
      <c r="Z7" s="1116">
        <v>44166</v>
      </c>
      <c r="AA7" s="1116">
        <v>44276</v>
      </c>
      <c r="AB7" s="1116">
        <v>44368</v>
      </c>
      <c r="AC7" s="1116">
        <v>44460</v>
      </c>
      <c r="AD7" s="1116">
        <v>44551</v>
      </c>
      <c r="AE7" s="1116">
        <v>44642</v>
      </c>
      <c r="AF7" s="1116">
        <v>44734</v>
      </c>
      <c r="AG7" s="1116">
        <v>44826</v>
      </c>
      <c r="AH7" s="1116">
        <v>44917</v>
      </c>
      <c r="AI7" s="1116">
        <v>45008</v>
      </c>
      <c r="AJ7" s="1116">
        <v>45100</v>
      </c>
      <c r="AK7" s="1116">
        <v>45192</v>
      </c>
      <c r="AL7" s="1116">
        <v>45649</v>
      </c>
      <c r="AM7" s="1116">
        <v>45375</v>
      </c>
      <c r="AN7" s="1117">
        <v>45467</v>
      </c>
      <c r="AO7" s="1116" t="s">
        <v>654</v>
      </c>
      <c r="AP7" s="1116" t="s">
        <v>655</v>
      </c>
      <c r="AQ7" s="1116" t="s">
        <v>656</v>
      </c>
      <c r="AR7" s="1116" t="s">
        <v>657</v>
      </c>
    </row>
    <row r="8" spans="1:44" s="3" customFormat="1" ht="10.5">
      <c r="A8" s="45" t="s">
        <v>769</v>
      </c>
      <c r="C8" s="28"/>
      <c r="D8" s="28"/>
      <c r="E8" s="28"/>
      <c r="F8" s="28"/>
      <c r="G8" s="28"/>
      <c r="H8" s="28"/>
      <c r="I8" s="28"/>
      <c r="J8" s="28"/>
      <c r="AN8" s="1075"/>
    </row>
    <row r="9" spans="1:44" ht="13.5" hidden="1" outlineLevel="1">
      <c r="A9" t="s">
        <v>751</v>
      </c>
      <c r="C9" s="6"/>
      <c r="D9" s="6"/>
      <c r="E9" s="6"/>
      <c r="F9" s="6"/>
      <c r="G9" s="6"/>
      <c r="H9" s="6"/>
      <c r="I9" s="6"/>
      <c r="J9" s="6"/>
      <c r="K9" s="6"/>
      <c r="L9" s="6"/>
      <c r="M9" s="6"/>
      <c r="N9" s="6"/>
      <c r="O9" s="6"/>
      <c r="P9" s="6"/>
      <c r="Q9" s="6"/>
      <c r="R9" s="6"/>
      <c r="S9" s="6"/>
      <c r="T9" s="6"/>
      <c r="U9" s="6"/>
      <c r="V9" s="6"/>
      <c r="W9" s="6"/>
      <c r="X9" s="6"/>
      <c r="Y9" s="6"/>
      <c r="Z9" s="6"/>
      <c r="AA9" s="843" t="s">
        <v>770</v>
      </c>
      <c r="AB9" s="6"/>
      <c r="AC9" s="6"/>
      <c r="AD9" s="6"/>
      <c r="AE9" s="6"/>
      <c r="AF9" s="6"/>
      <c r="AG9" s="6"/>
      <c r="AH9" s="6"/>
      <c r="AI9" s="6"/>
      <c r="AJ9" s="6"/>
      <c r="AK9" s="6"/>
      <c r="AL9" s="6"/>
      <c r="AM9" s="6"/>
      <c r="AN9" s="1066"/>
      <c r="AO9" s="6"/>
      <c r="AP9" s="6"/>
      <c r="AQ9" s="6"/>
      <c r="AR9" s="6"/>
    </row>
    <row r="10" spans="1:44" ht="13.5" hidden="1" outlineLevel="1" collapsed="1">
      <c r="A10" t="s">
        <v>752</v>
      </c>
      <c r="C10" s="6"/>
      <c r="D10" s="6"/>
      <c r="E10" s="6"/>
      <c r="F10" s="6"/>
      <c r="G10" s="6"/>
      <c r="H10" s="6"/>
      <c r="I10" s="6"/>
      <c r="J10" s="6"/>
      <c r="K10" s="6"/>
      <c r="L10" s="6"/>
      <c r="M10" s="6"/>
      <c r="N10" s="6"/>
      <c r="O10" s="6"/>
      <c r="P10" s="6"/>
      <c r="Q10" s="6"/>
      <c r="R10" s="6"/>
      <c r="S10" s="6"/>
      <c r="T10" s="6"/>
      <c r="U10" s="6"/>
      <c r="V10" s="6"/>
      <c r="W10" s="6"/>
      <c r="X10" s="6"/>
      <c r="Y10" s="6"/>
      <c r="Z10" s="6"/>
      <c r="AB10" s="843" t="s">
        <v>771</v>
      </c>
      <c r="AC10" s="6"/>
      <c r="AD10" s="6"/>
      <c r="AE10" s="6"/>
      <c r="AF10" s="6"/>
      <c r="AG10" s="6"/>
      <c r="AH10" s="6"/>
      <c r="AI10" s="6"/>
      <c r="AJ10" s="6"/>
      <c r="AK10" s="6"/>
      <c r="AL10" s="6"/>
      <c r="AM10" s="6"/>
      <c r="AN10" s="1066"/>
      <c r="AO10" s="6"/>
      <c r="AP10" s="6"/>
      <c r="AQ10" s="6"/>
      <c r="AR10" s="6"/>
    </row>
    <row r="11" spans="1:44" ht="13.5" hidden="1" outlineLevel="1">
      <c r="A11" t="s">
        <v>753</v>
      </c>
      <c r="C11" s="6"/>
      <c r="D11" s="6"/>
      <c r="E11" s="6"/>
      <c r="F11" s="6"/>
      <c r="G11" s="6"/>
      <c r="H11" s="6"/>
      <c r="I11" s="6"/>
      <c r="J11" s="6"/>
      <c r="K11" s="6"/>
      <c r="L11" s="6"/>
      <c r="M11" s="6"/>
      <c r="N11" s="6"/>
      <c r="O11" s="6"/>
      <c r="P11" s="6"/>
      <c r="Q11" s="6"/>
      <c r="R11" s="6"/>
      <c r="S11" s="6"/>
      <c r="T11" s="6"/>
      <c r="U11" s="6"/>
      <c r="V11" s="6"/>
      <c r="W11" s="6"/>
      <c r="X11" s="6"/>
      <c r="Y11" s="6"/>
      <c r="Z11" s="6"/>
      <c r="AA11" s="6"/>
      <c r="AB11" s="6"/>
      <c r="AC11" s="843" t="s">
        <v>772</v>
      </c>
      <c r="AD11" s="6"/>
      <c r="AE11" s="6"/>
      <c r="AF11" s="6"/>
      <c r="AG11" s="6"/>
      <c r="AH11" s="6"/>
      <c r="AI11" s="6"/>
      <c r="AJ11" s="6"/>
      <c r="AK11" s="6"/>
      <c r="AL11" s="6"/>
      <c r="AM11" s="6"/>
      <c r="AN11" s="1066"/>
      <c r="AO11" s="6"/>
      <c r="AP11" s="6"/>
      <c r="AQ11" s="6"/>
      <c r="AR11" s="6"/>
    </row>
    <row r="12" spans="1:44" ht="13.5" hidden="1" outlineLevel="1">
      <c r="C12" s="6"/>
      <c r="D12" s="6"/>
      <c r="E12" s="6"/>
      <c r="F12" s="6"/>
      <c r="G12" s="6"/>
      <c r="H12" s="6"/>
      <c r="I12" s="6"/>
      <c r="J12" s="6"/>
      <c r="K12" s="6"/>
      <c r="L12" s="6"/>
      <c r="M12" s="6"/>
      <c r="N12" s="6"/>
      <c r="O12" s="6"/>
      <c r="P12" s="6"/>
      <c r="Q12" s="6"/>
      <c r="R12" s="6"/>
      <c r="S12" s="6"/>
      <c r="T12" s="6"/>
      <c r="U12" s="6"/>
      <c r="V12" s="6"/>
      <c r="W12" s="6"/>
      <c r="X12" s="6"/>
      <c r="Y12" s="6"/>
      <c r="Z12" s="6"/>
      <c r="AA12" s="6"/>
      <c r="AB12" s="6"/>
      <c r="AC12" s="843" t="s">
        <v>773</v>
      </c>
      <c r="AD12" s="6"/>
      <c r="AE12" s="6"/>
      <c r="AF12" s="6"/>
      <c r="AG12" s="6"/>
      <c r="AH12" s="6"/>
      <c r="AI12" s="6"/>
      <c r="AJ12" s="6"/>
      <c r="AK12" s="6"/>
      <c r="AL12" s="6"/>
      <c r="AM12" s="6"/>
      <c r="AN12" s="1066"/>
      <c r="AO12" s="6"/>
      <c r="AP12" s="6"/>
      <c r="AQ12" s="6"/>
      <c r="AR12" s="6"/>
    </row>
    <row r="13" spans="1:44" ht="13.5" collapsed="1">
      <c r="A13" t="s">
        <v>754</v>
      </c>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843" t="s">
        <v>774</v>
      </c>
      <c r="AE13" s="6"/>
      <c r="AF13" s="6"/>
      <c r="AG13" s="6"/>
      <c r="AH13" s="6"/>
      <c r="AI13" s="6"/>
      <c r="AJ13" s="6"/>
      <c r="AK13" s="6"/>
      <c r="AL13" s="6"/>
      <c r="AM13" s="6"/>
      <c r="AN13" s="1066"/>
      <c r="AO13" s="6"/>
      <c r="AP13" s="6"/>
      <c r="AQ13" s="6"/>
      <c r="AR13" s="6"/>
    </row>
    <row r="14" spans="1:44" ht="13.5">
      <c r="A14" t="s">
        <v>755</v>
      </c>
      <c r="C14" s="6"/>
      <c r="D14" s="6"/>
      <c r="E14" s="6"/>
      <c r="F14" s="6"/>
      <c r="G14" s="6"/>
      <c r="H14" s="6"/>
      <c r="I14" s="6"/>
      <c r="J14" s="6"/>
      <c r="K14" s="6"/>
      <c r="L14" s="6"/>
      <c r="M14" s="6"/>
      <c r="N14" s="6"/>
      <c r="O14" s="6"/>
      <c r="P14" s="6"/>
      <c r="Q14" s="6"/>
      <c r="R14" s="6"/>
      <c r="S14" s="6"/>
      <c r="T14" s="6"/>
      <c r="U14" s="6"/>
      <c r="V14" s="6"/>
      <c r="W14" s="6"/>
      <c r="X14" s="6"/>
      <c r="Y14" s="6"/>
      <c r="Z14" s="6"/>
      <c r="AA14" s="6"/>
      <c r="AB14" s="6"/>
      <c r="AE14" s="843" t="s">
        <v>775</v>
      </c>
      <c r="AF14" s="843"/>
      <c r="AG14" s="843"/>
      <c r="AH14" s="6"/>
      <c r="AI14" s="6"/>
      <c r="AJ14" s="6"/>
      <c r="AK14" s="6"/>
      <c r="AL14" s="6"/>
      <c r="AM14" s="6"/>
      <c r="AN14" s="1066"/>
      <c r="AO14" s="6"/>
      <c r="AP14" s="6"/>
      <c r="AQ14" s="6"/>
      <c r="AR14" s="6"/>
    </row>
    <row r="15" spans="1:44" ht="13.5">
      <c r="A15" t="s">
        <v>756</v>
      </c>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843"/>
      <c r="AF15" s="843" t="s">
        <v>776</v>
      </c>
      <c r="AG15" s="843"/>
      <c r="AH15" s="6"/>
      <c r="AI15" s="6"/>
      <c r="AJ15" s="6"/>
      <c r="AK15" s="6"/>
      <c r="AL15" s="6"/>
      <c r="AM15" s="6"/>
      <c r="AN15" s="1066"/>
      <c r="AO15" s="6"/>
      <c r="AP15" s="6"/>
      <c r="AQ15" s="6"/>
      <c r="AR15" s="6"/>
    </row>
    <row r="16" spans="1:44" ht="13.5">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843"/>
      <c r="AF16" s="843" t="s">
        <v>777</v>
      </c>
      <c r="AG16" s="843"/>
      <c r="AH16" s="6"/>
      <c r="AI16" s="6"/>
      <c r="AJ16" s="6"/>
      <c r="AK16" s="6"/>
      <c r="AL16" s="6"/>
      <c r="AM16" s="6"/>
      <c r="AN16" s="1066"/>
      <c r="AO16" s="6"/>
      <c r="AP16" s="6"/>
      <c r="AQ16" s="6"/>
      <c r="AR16" s="6"/>
    </row>
    <row r="17" spans="1:44" ht="13.5">
      <c r="A17" t="s">
        <v>757</v>
      </c>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843"/>
      <c r="AF17" s="843"/>
      <c r="AG17" s="843" t="s">
        <v>778</v>
      </c>
      <c r="AH17" s="6"/>
      <c r="AI17" s="6"/>
      <c r="AJ17" s="6"/>
      <c r="AK17" s="6"/>
      <c r="AL17" s="6"/>
      <c r="AM17" s="6"/>
      <c r="AN17" s="1066"/>
      <c r="AO17" s="6"/>
      <c r="AP17" s="6"/>
      <c r="AQ17" s="6"/>
      <c r="AR17" s="6"/>
    </row>
    <row r="18" spans="1:44" ht="13.5">
      <c r="A18" t="s">
        <v>758</v>
      </c>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843" t="s">
        <v>779</v>
      </c>
      <c r="AI18" s="6"/>
      <c r="AJ18" s="6"/>
      <c r="AK18" s="6"/>
      <c r="AL18" s="6"/>
      <c r="AM18" s="6"/>
      <c r="AN18" s="1066"/>
      <c r="AO18" s="6"/>
      <c r="AP18" s="6"/>
      <c r="AQ18" s="6"/>
      <c r="AR18" s="6"/>
    </row>
    <row r="19" spans="1:44" ht="13.5">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843" t="s">
        <v>780</v>
      </c>
      <c r="AI19" s="6"/>
      <c r="AJ19" s="6"/>
      <c r="AK19" s="6"/>
      <c r="AL19" s="6"/>
      <c r="AM19" s="6"/>
      <c r="AN19" s="1066"/>
      <c r="AO19" s="6"/>
      <c r="AP19" s="6"/>
      <c r="AQ19" s="6"/>
      <c r="AR19" s="6"/>
    </row>
    <row r="20" spans="1:44">
      <c r="A20" t="s">
        <v>781</v>
      </c>
      <c r="C20" s="27"/>
      <c r="D20" s="27"/>
      <c r="E20" s="27"/>
      <c r="F20" s="27"/>
      <c r="G20" s="27"/>
      <c r="H20" s="27"/>
      <c r="I20" s="27"/>
      <c r="J20" s="27"/>
      <c r="K20" s="843" t="s">
        <v>782</v>
      </c>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1204"/>
      <c r="AO20" s="27"/>
      <c r="AP20" s="27"/>
      <c r="AQ20" s="27"/>
      <c r="AR20" s="27"/>
    </row>
    <row r="21" spans="1:44">
      <c r="C21" s="27"/>
      <c r="D21" s="27"/>
      <c r="E21" s="27"/>
      <c r="F21" s="27"/>
      <c r="G21" s="27"/>
      <c r="H21" s="27"/>
      <c r="I21" s="27"/>
      <c r="J21" s="27"/>
      <c r="K21" s="843" t="s">
        <v>783</v>
      </c>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1204"/>
      <c r="AO21" s="27"/>
      <c r="AP21" s="27"/>
      <c r="AQ21" s="27"/>
      <c r="AR21" s="27"/>
    </row>
    <row r="22" spans="1:44">
      <c r="A22" t="s">
        <v>759</v>
      </c>
      <c r="C22" s="27"/>
      <c r="D22" s="27"/>
      <c r="E22" s="27"/>
      <c r="F22" s="27"/>
      <c r="G22" s="27"/>
      <c r="H22" s="27"/>
      <c r="I22" s="27"/>
      <c r="J22" s="27"/>
      <c r="K22" s="843"/>
      <c r="L22" s="27"/>
      <c r="M22" s="27"/>
      <c r="N22" s="27"/>
      <c r="O22" s="27"/>
      <c r="P22" s="27"/>
      <c r="Q22" s="27"/>
      <c r="R22" s="27"/>
      <c r="S22" s="27"/>
      <c r="T22" s="27"/>
      <c r="U22" s="27"/>
      <c r="V22" s="27"/>
      <c r="W22" s="27"/>
      <c r="X22" s="27"/>
      <c r="Y22" s="27"/>
      <c r="Z22" s="27"/>
      <c r="AA22" s="27"/>
      <c r="AB22" s="27"/>
      <c r="AC22" s="27"/>
      <c r="AD22" s="27"/>
      <c r="AE22" s="27"/>
      <c r="AF22" s="27"/>
      <c r="AG22" s="27"/>
      <c r="AH22" s="27"/>
      <c r="AI22" s="843" t="s">
        <v>784</v>
      </c>
      <c r="AJ22" s="27"/>
      <c r="AK22" s="27"/>
      <c r="AL22" s="27"/>
      <c r="AM22" s="27"/>
      <c r="AN22" s="1204"/>
      <c r="AO22" s="27"/>
      <c r="AP22" s="27"/>
      <c r="AQ22" s="27"/>
      <c r="AR22" s="27"/>
    </row>
    <row r="23" spans="1:44">
      <c r="C23" s="27"/>
      <c r="D23" s="27"/>
      <c r="E23" s="27"/>
      <c r="F23" s="27"/>
      <c r="G23" s="27"/>
      <c r="H23" s="27"/>
      <c r="I23" s="27"/>
      <c r="J23" s="27"/>
      <c r="K23" s="843"/>
      <c r="L23" s="27"/>
      <c r="M23" s="27"/>
      <c r="N23" s="27"/>
      <c r="O23" s="27"/>
      <c r="P23" s="27"/>
      <c r="Q23" s="27"/>
      <c r="R23" s="27"/>
      <c r="S23" s="27"/>
      <c r="T23" s="27"/>
      <c r="U23" s="27"/>
      <c r="V23" s="27"/>
      <c r="W23" s="27"/>
      <c r="X23" s="27"/>
      <c r="Y23" s="27"/>
      <c r="Z23" s="27"/>
      <c r="AA23" s="27"/>
      <c r="AB23" s="27"/>
      <c r="AC23" s="27"/>
      <c r="AD23" s="27"/>
      <c r="AE23" s="27"/>
      <c r="AF23" s="27"/>
      <c r="AG23" s="27"/>
      <c r="AH23" s="27"/>
      <c r="AI23" s="843" t="s">
        <v>785</v>
      </c>
      <c r="AJ23" s="27"/>
      <c r="AK23" s="27"/>
      <c r="AL23" s="27"/>
      <c r="AM23" s="27"/>
      <c r="AN23" s="1204"/>
      <c r="AO23" s="27"/>
      <c r="AP23" s="27"/>
      <c r="AQ23" s="27"/>
      <c r="AR23" s="27"/>
    </row>
    <row r="24" spans="1:44" ht="13.5">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t="s">
        <v>786</v>
      </c>
      <c r="AN24" s="1067"/>
    </row>
    <row r="25" spans="1:44" ht="13.5">
      <c r="A25" t="s">
        <v>760</v>
      </c>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J25" t="s">
        <v>787</v>
      </c>
      <c r="AN25" s="1067"/>
    </row>
    <row r="26" spans="1:44" ht="13.5">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J26" t="s">
        <v>788</v>
      </c>
      <c r="AN26" s="1067"/>
    </row>
    <row r="27" spans="1:44" ht="13.5">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J27" t="s">
        <v>789</v>
      </c>
      <c r="AN27" s="1067"/>
    </row>
    <row r="28" spans="1:44" ht="13.5">
      <c r="A28" t="s">
        <v>761</v>
      </c>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K28" t="s">
        <v>790</v>
      </c>
      <c r="AN28" s="1067"/>
    </row>
    <row r="29" spans="1:44" ht="13.5">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K29" t="s">
        <v>791</v>
      </c>
      <c r="AN29" s="1067"/>
    </row>
    <row r="30" spans="1:44" ht="13.5">
      <c r="A30" t="s">
        <v>762</v>
      </c>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L30" t="s">
        <v>792</v>
      </c>
      <c r="AN30" s="1067"/>
    </row>
    <row r="31" spans="1:44" ht="13.5">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L31" t="s">
        <v>793</v>
      </c>
      <c r="AN31" s="1067"/>
    </row>
    <row r="32" spans="1:44" ht="13.5">
      <c r="A32" t="s">
        <v>763</v>
      </c>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N32" s="1067"/>
    </row>
    <row r="33" spans="1:45" ht="13.5">
      <c r="A33" t="s">
        <v>764</v>
      </c>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N33" s="1067"/>
    </row>
    <row r="34" spans="1:45" ht="13.5">
      <c r="A34" s="45" t="s">
        <v>794</v>
      </c>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N34" s="1067"/>
    </row>
    <row r="35" spans="1:45">
      <c r="A35" t="s">
        <v>795</v>
      </c>
      <c r="C35" s="8">
        <v>71686.600000000006</v>
      </c>
      <c r="D35" s="8">
        <v>67850.8</v>
      </c>
      <c r="E35" s="8">
        <v>73098</v>
      </c>
      <c r="F35" s="8">
        <v>75384</v>
      </c>
      <c r="G35" s="8">
        <v>64776</v>
      </c>
      <c r="H35" s="8">
        <v>64295</v>
      </c>
      <c r="I35" s="8">
        <v>68945</v>
      </c>
      <c r="J35" s="8">
        <v>72611</v>
      </c>
      <c r="K35" s="8">
        <v>62569</v>
      </c>
      <c r="L35" s="8">
        <v>61254</v>
      </c>
      <c r="M35" s="8">
        <v>67156</v>
      </c>
      <c r="N35" s="8">
        <v>71696</v>
      </c>
      <c r="O35" s="8">
        <v>61686</v>
      </c>
      <c r="P35" s="8">
        <v>62095</v>
      </c>
      <c r="Q35" s="8">
        <v>67205.600000000006</v>
      </c>
      <c r="R35" s="8">
        <v>68625.8</v>
      </c>
      <c r="S35" s="8">
        <v>58860</v>
      </c>
      <c r="T35" s="8">
        <v>63047</v>
      </c>
      <c r="U35" s="8">
        <v>68868.800000000003</v>
      </c>
      <c r="V35" s="8">
        <v>71748.800000000003</v>
      </c>
      <c r="W35" s="8">
        <v>51636.800000000003</v>
      </c>
      <c r="X35" s="8">
        <v>64807.8</v>
      </c>
      <c r="Y35" s="8">
        <v>71377</v>
      </c>
      <c r="Z35" s="8">
        <v>79391.600000000006</v>
      </c>
      <c r="AA35" s="8">
        <v>83520</v>
      </c>
      <c r="AB35" s="8">
        <v>82424</v>
      </c>
      <c r="AC35" s="8">
        <v>84447</v>
      </c>
      <c r="AD35" s="8">
        <v>91295.8</v>
      </c>
      <c r="AE35" s="8">
        <v>77860.800000000003</v>
      </c>
      <c r="AF35" s="8">
        <v>72010.600000000006</v>
      </c>
      <c r="AG35" s="8">
        <v>67995</v>
      </c>
      <c r="AH35" s="8">
        <v>65291.6</v>
      </c>
      <c r="AI35" s="8">
        <v>55154</v>
      </c>
      <c r="AJ35" s="8">
        <v>59652</v>
      </c>
      <c r="AK35" s="8">
        <f t="shared" ref="AK35:AL35" si="0">+AG35*(1+AK39)</f>
        <v>61875.450000000004</v>
      </c>
      <c r="AL35" s="8">
        <f t="shared" si="0"/>
        <v>65487.474799999989</v>
      </c>
      <c r="AM35" s="61">
        <f>+AVERAGE(S35,O35,K35)</f>
        <v>61038.333333333336</v>
      </c>
      <c r="AN35" s="1231">
        <f>+AVERAGE(T35,P35,L35)</f>
        <v>62132</v>
      </c>
      <c r="AO35" s="61">
        <f t="shared" ref="AO35:AQ35" si="1">+AVERAGE(U35,Q35,M35)</f>
        <v>67743.466666666674</v>
      </c>
      <c r="AP35" s="61">
        <f t="shared" si="1"/>
        <v>70690.2</v>
      </c>
      <c r="AQ35" s="61">
        <f t="shared" si="1"/>
        <v>57394.266666666663</v>
      </c>
      <c r="AR35" s="61">
        <f t="shared" ref="AR35" si="2">+AVERAGE(X35,T35,P35)</f>
        <v>63316.6</v>
      </c>
    </row>
    <row r="36" spans="1:45">
      <c r="A36" t="s">
        <v>796</v>
      </c>
      <c r="C36" s="8"/>
      <c r="I36" s="8">
        <f>+'Historical Financials'!H565</f>
        <v>2955.4280972923148</v>
      </c>
      <c r="J36" s="8">
        <f>+'Historical Financials'!I565</f>
        <v>3002.8494671961698</v>
      </c>
      <c r="K36" s="8">
        <f>+'Historical Financials'!J565</f>
        <v>2704.583035157154</v>
      </c>
      <c r="L36" s="8">
        <f>+'Historical Financials'!K565</f>
        <v>2933.9740834197792</v>
      </c>
      <c r="M36" s="8">
        <f>+'Historical Financials'!L565</f>
        <v>3040.9078141014156</v>
      </c>
      <c r="N36" s="8">
        <f>+'Historical Financials'!M565</f>
        <v>3110.1077652850854</v>
      </c>
      <c r="O36" s="8">
        <f>+'Historical Financials'!N565</f>
        <v>2816.1564813988643</v>
      </c>
      <c r="P36" s="8">
        <f>+'Historical Financials'!O565</f>
        <v>3148.2438291158132</v>
      </c>
      <c r="Q36" s="8">
        <f>+'Historical Financials'!P565</f>
        <v>3124.9619680638589</v>
      </c>
      <c r="R36" s="8">
        <f>+'Historical Financials'!Q565</f>
        <v>2937.405824168467</v>
      </c>
      <c r="S36" s="8">
        <f>+'Historical Financials'!R565</f>
        <v>3061.5523811302801</v>
      </c>
      <c r="T36" s="8">
        <f>+'Historical Financials'!S565</f>
        <v>3432.103087089512</v>
      </c>
      <c r="U36" s="8">
        <f>+'Historical Financials'!T565</f>
        <v>3406.8555019030559</v>
      </c>
      <c r="V36" s="8">
        <f>+'Historical Financials'!U565</f>
        <v>3479.3762392136173</v>
      </c>
      <c r="W36" s="8">
        <f>+'Historical Financials'!V565</f>
        <v>3051.2126537303793</v>
      </c>
      <c r="X36" s="8">
        <f>+'Historical Financials'!W565</f>
        <v>3579.1874370088094</v>
      </c>
      <c r="Y36" s="8">
        <f>+'Historical Financials'!X565</f>
        <v>3235.3037798967353</v>
      </c>
      <c r="Z36" s="8">
        <f>+'Historical Financials'!Y565</f>
        <v>3524.5584549231007</v>
      </c>
      <c r="AA36" s="8">
        <f>+'Historical Financials'!Z565</f>
        <v>3360.8575466128373</v>
      </c>
      <c r="AB36" s="8">
        <f>+'Historical Financials'!AA565</f>
        <v>3582.536468540683</v>
      </c>
      <c r="AC36" s="61">
        <f>+'Historical Financials'!AB565+210</f>
        <v>3762.7514418169508</v>
      </c>
      <c r="AD36" s="61">
        <f>+'Historical Financials'!AC565-210</f>
        <v>4172.7906903824678</v>
      </c>
      <c r="AE36" s="8">
        <f>+'Historical Financials'!AD565</f>
        <v>3721.5642183242271</v>
      </c>
      <c r="AF36" s="8">
        <f>+'Historical Financials'!AE565</f>
        <v>3502.3913551873493</v>
      </c>
      <c r="AG36" s="8">
        <f>+'Historical Financials'!AF565</f>
        <v>3027.8865095877313</v>
      </c>
      <c r="AH36" s="8">
        <f>+'Historical Financials'!AG565</f>
        <v>2678.3732910283975</v>
      </c>
      <c r="AI36" s="8">
        <f>+'Historical Financials'!AH565</f>
        <v>2679.5262371934436</v>
      </c>
      <c r="AJ36" s="8">
        <f>+'Historical Financials'!AI565</f>
        <v>3082.1043925648673</v>
      </c>
      <c r="AK36" s="8">
        <f>+'Historical Financials'!AJ565</f>
        <v>3149.0019699712407</v>
      </c>
      <c r="AL36" s="8">
        <f>+'Historical Financials'!AK565</f>
        <v>2972.9943530415217</v>
      </c>
      <c r="AM36" s="8">
        <f>+'Historical Financials'!AL565</f>
        <v>2974.2741232847229</v>
      </c>
      <c r="AN36" s="1068">
        <f>+'Historical Financials'!AM565</f>
        <v>3205.3885682674622</v>
      </c>
      <c r="AO36" s="8">
        <f t="shared" ref="AO36" si="3">+AK36*(1+AO40)</f>
        <v>3149.0019699712407</v>
      </c>
      <c r="AP36" s="8">
        <f t="shared" ref="AP36" si="4">+AL36*(1+AP40)</f>
        <v>2972.9943530415217</v>
      </c>
      <c r="AQ36" s="8">
        <f t="shared" ref="AQ36" si="5">+AM36*(1+AQ40)</f>
        <v>3122.987829448959</v>
      </c>
      <c r="AR36" s="8">
        <f t="shared" ref="AR36" si="6">+AN36*(1+AR40)</f>
        <v>3365.6579966808354</v>
      </c>
    </row>
    <row r="37" spans="1:45">
      <c r="AN37" s="1067"/>
    </row>
    <row r="38" spans="1:45" s="3" customFormat="1">
      <c r="A38" s="24" t="s">
        <v>113</v>
      </c>
      <c r="O38" s="836"/>
      <c r="P38" s="836"/>
      <c r="Q38" s="836"/>
      <c r="R38" s="836"/>
      <c r="S38" s="836"/>
      <c r="T38" s="836"/>
      <c r="U38" s="836"/>
      <c r="V38" s="836"/>
      <c r="W38" s="836"/>
      <c r="X38" s="836"/>
      <c r="Y38" s="836"/>
      <c r="Z38" s="836"/>
      <c r="AA38" s="836"/>
      <c r="AB38" s="836"/>
      <c r="AC38" s="836"/>
      <c r="AD38" s="836"/>
      <c r="AE38" s="836"/>
      <c r="AF38" s="836"/>
      <c r="AG38" s="836"/>
      <c r="AH38" s="836"/>
      <c r="AI38" s="836"/>
      <c r="AJ38" s="836"/>
      <c r="AK38" s="836"/>
      <c r="AL38" s="836"/>
      <c r="AM38" s="836"/>
      <c r="AN38" s="1069"/>
      <c r="AO38" s="836"/>
      <c r="AP38" s="836"/>
      <c r="AQ38" s="836"/>
      <c r="AR38" s="836"/>
    </row>
    <row r="39" spans="1:45" s="3" customFormat="1">
      <c r="A39" s="13" t="str">
        <f>+A35</f>
        <v>PC OEM Shipments (# in '000s)</v>
      </c>
      <c r="M39" s="836">
        <f t="shared" ref="M39:V40" si="7">+M35/I35-1</f>
        <v>-2.5948219595329558E-2</v>
      </c>
      <c r="N39" s="836">
        <f t="shared" si="7"/>
        <v>-1.2601396482626592E-2</v>
      </c>
      <c r="O39" s="836">
        <f t="shared" si="7"/>
        <v>-1.411241988844314E-2</v>
      </c>
      <c r="P39" s="836">
        <f t="shared" si="7"/>
        <v>1.3729715610409032E-2</v>
      </c>
      <c r="Q39" s="836">
        <f t="shared" si="7"/>
        <v>7.3857883137784519E-4</v>
      </c>
      <c r="R39" s="836">
        <f t="shared" si="7"/>
        <v>-4.2822472662352062E-2</v>
      </c>
      <c r="S39" s="836">
        <f t="shared" si="7"/>
        <v>-4.5812664137729775E-2</v>
      </c>
      <c r="T39" s="836">
        <f t="shared" si="7"/>
        <v>1.5331347129398543E-2</v>
      </c>
      <c r="U39" s="836">
        <f t="shared" si="7"/>
        <v>2.4747937671860676E-2</v>
      </c>
      <c r="V39" s="836">
        <f t="shared" si="7"/>
        <v>4.550766621299851E-2</v>
      </c>
      <c r="W39" s="836">
        <f t="shared" ref="W39:AF40" si="8">+W35/S35-1</f>
        <v>-0.12271831464492011</v>
      </c>
      <c r="X39" s="836">
        <f t="shared" si="8"/>
        <v>2.7928370897901678E-2</v>
      </c>
      <c r="Y39" s="836">
        <f t="shared" si="8"/>
        <v>3.6419975373463753E-2</v>
      </c>
      <c r="Z39" s="836">
        <f t="shared" si="8"/>
        <v>0.10652164217380644</v>
      </c>
      <c r="AA39" s="836">
        <f t="shared" si="8"/>
        <v>0.61745112013137904</v>
      </c>
      <c r="AB39" s="836">
        <f t="shared" si="8"/>
        <v>0.27182221893043734</v>
      </c>
      <c r="AC39" s="836">
        <f t="shared" si="8"/>
        <v>0.18311220701346365</v>
      </c>
      <c r="AD39" s="836">
        <f t="shared" si="8"/>
        <v>0.14994281510890306</v>
      </c>
      <c r="AE39" s="836">
        <f t="shared" si="8"/>
        <v>-6.7758620689655102E-2</v>
      </c>
      <c r="AF39" s="836">
        <f t="shared" si="8"/>
        <v>-0.12633941570416374</v>
      </c>
      <c r="AG39" s="836">
        <f t="shared" ref="AG39:AN40" si="9">+AG35/AC35-1</f>
        <v>-0.19482041990834487</v>
      </c>
      <c r="AH39" s="836">
        <f t="shared" si="9"/>
        <v>-0.284834570703143</v>
      </c>
      <c r="AI39" s="836">
        <f t="shared" ref="AI39:AJ40" si="10">+AI35/AE35-1</f>
        <v>-0.2916332737398023</v>
      </c>
      <c r="AJ39" s="836">
        <f t="shared" si="10"/>
        <v>-0.17162195565652838</v>
      </c>
      <c r="AK39" s="1063">
        <v>-0.09</v>
      </c>
      <c r="AL39" s="1063">
        <v>3.0000000000000001E-3</v>
      </c>
      <c r="AM39" s="836">
        <f t="shared" si="9"/>
        <v>0.10668914917020222</v>
      </c>
      <c r="AN39" s="1069">
        <f t="shared" si="9"/>
        <v>4.157446523167696E-2</v>
      </c>
      <c r="AO39" s="836">
        <f t="shared" ref="AO39" si="11">+AO35/AK35-1</f>
        <v>9.4835943280682011E-2</v>
      </c>
      <c r="AP39" s="836">
        <f t="shared" ref="AP39" si="12">+AP35/AL35-1</f>
        <v>7.944611112108424E-2</v>
      </c>
      <c r="AQ39" s="836">
        <f t="shared" ref="AQ39" si="13">+AQ35/AM35-1</f>
        <v>-5.9701280616006436E-2</v>
      </c>
      <c r="AR39" s="836">
        <f t="shared" ref="AR39" si="14">+AR35/AN35-1</f>
        <v>1.906585978239872E-2</v>
      </c>
      <c r="AS39" s="7" t="s">
        <v>797</v>
      </c>
    </row>
    <row r="40" spans="1:45" s="839" customFormat="1" ht="11.45">
      <c r="A40" s="13" t="str">
        <f>+A36</f>
        <v>Windows OEM Revenue (Deferral Adj.)</v>
      </c>
      <c r="M40" s="1082">
        <f t="shared" si="7"/>
        <v>2.8922955996599997E-2</v>
      </c>
      <c r="N40" s="1082">
        <f t="shared" si="7"/>
        <v>3.5718839475847863E-2</v>
      </c>
      <c r="O40" s="1082">
        <f t="shared" si="7"/>
        <v>4.1253474118322808E-2</v>
      </c>
      <c r="P40" s="1082">
        <f t="shared" si="7"/>
        <v>7.3030551601289462E-2</v>
      </c>
      <c r="Q40" s="1082">
        <f t="shared" si="7"/>
        <v>2.7641138469461035E-2</v>
      </c>
      <c r="R40" s="1082">
        <f t="shared" si="7"/>
        <v>-5.5529246621069395E-2</v>
      </c>
      <c r="S40" s="1082">
        <f t="shared" si="7"/>
        <v>8.7138588126154382E-2</v>
      </c>
      <c r="T40" s="1082">
        <f t="shared" si="7"/>
        <v>9.0164318071075389E-2</v>
      </c>
      <c r="U40" s="1082">
        <f t="shared" si="7"/>
        <v>9.0207028667888212E-2</v>
      </c>
      <c r="V40" s="1082">
        <f t="shared" si="7"/>
        <v>0.18450648207541209</v>
      </c>
      <c r="W40" s="1082">
        <f t="shared" si="8"/>
        <v>-3.3772825392860417E-3</v>
      </c>
      <c r="X40" s="1082">
        <f t="shared" si="8"/>
        <v>4.2855458063769225E-2</v>
      </c>
      <c r="Y40" s="1082">
        <f t="shared" si="8"/>
        <v>-5.0354857113984575E-2</v>
      </c>
      <c r="Z40" s="1082">
        <f t="shared" si="8"/>
        <v>1.2985722900635599E-2</v>
      </c>
      <c r="AA40" s="1082">
        <f t="shared" si="8"/>
        <v>0.10148256710455406</v>
      </c>
      <c r="AB40" s="1082">
        <f t="shared" si="8"/>
        <v>9.3569604576848597E-4</v>
      </c>
      <c r="AC40" s="1082">
        <f t="shared" si="8"/>
        <v>0.16302879043310448</v>
      </c>
      <c r="AD40" s="1082">
        <f t="shared" si="8"/>
        <v>0.18391870747778816</v>
      </c>
      <c r="AE40" s="1082">
        <f t="shared" si="8"/>
        <v>0.10732578418115923</v>
      </c>
      <c r="AF40" s="1082">
        <f t="shared" si="8"/>
        <v>-2.2371053039407118E-2</v>
      </c>
      <c r="AG40" s="1082">
        <f t="shared" si="9"/>
        <v>-0.19529988722145541</v>
      </c>
      <c r="AH40" s="1082">
        <f t="shared" si="9"/>
        <v>-0.35813380306815623</v>
      </c>
      <c r="AI40" s="1083">
        <f t="shared" si="10"/>
        <v>-0.27999999999999992</v>
      </c>
      <c r="AJ40" s="1083">
        <f t="shared" si="10"/>
        <v>-0.12</v>
      </c>
      <c r="AK40" s="1082">
        <f t="shared" ref="AK40" si="15">+AK36/AG36-1</f>
        <v>4.0000000000000036E-2</v>
      </c>
      <c r="AL40" s="1082">
        <f t="shared" ref="AL40" si="16">+AL36/AH36-1</f>
        <v>0.1100000000000001</v>
      </c>
      <c r="AM40" s="1083">
        <f t="shared" si="9"/>
        <v>0.1100000000000001</v>
      </c>
      <c r="AN40" s="1083">
        <f t="shared" si="9"/>
        <v>4.0000000000000036E-2</v>
      </c>
      <c r="AO40" s="1082">
        <f t="shared" ref="AO40:AQ40" si="17">+AO39+AO41</f>
        <v>0</v>
      </c>
      <c r="AP40" s="1082">
        <f t="shared" si="17"/>
        <v>0</v>
      </c>
      <c r="AQ40" s="1082">
        <f t="shared" si="17"/>
        <v>0.05</v>
      </c>
      <c r="AR40" s="1082">
        <f t="shared" ref="AR40" si="18">+AR39+AR41</f>
        <v>0.05</v>
      </c>
      <c r="AS40" s="839" t="s">
        <v>798</v>
      </c>
    </row>
    <row r="41" spans="1:45" s="3" customFormat="1">
      <c r="A41" s="15" t="s">
        <v>799</v>
      </c>
      <c r="M41" s="836">
        <f t="shared" ref="M41:AH41" si="19">+M40-M39</f>
        <v>5.4871175591929555E-2</v>
      </c>
      <c r="N41" s="836">
        <f t="shared" si="19"/>
        <v>4.8320235958474456E-2</v>
      </c>
      <c r="O41" s="836">
        <f t="shared" si="19"/>
        <v>5.5365894006765948E-2</v>
      </c>
      <c r="P41" s="836">
        <f t="shared" si="19"/>
        <v>5.9300835990880429E-2</v>
      </c>
      <c r="Q41" s="836">
        <f t="shared" si="19"/>
        <v>2.690255963808319E-2</v>
      </c>
      <c r="R41" s="836">
        <f t="shared" si="19"/>
        <v>-1.2706773958717332E-2</v>
      </c>
      <c r="S41" s="836">
        <f t="shared" si="19"/>
        <v>0.13295125226388416</v>
      </c>
      <c r="T41" s="836">
        <f t="shared" si="19"/>
        <v>7.4832970941676846E-2</v>
      </c>
      <c r="U41" s="836">
        <f t="shared" si="19"/>
        <v>6.5459090996027536E-2</v>
      </c>
      <c r="V41" s="836">
        <f t="shared" si="19"/>
        <v>0.13899881586241358</v>
      </c>
      <c r="W41" s="836">
        <f t="shared" si="19"/>
        <v>0.11934103210563407</v>
      </c>
      <c r="X41" s="836">
        <f t="shared" si="19"/>
        <v>1.4927087165867547E-2</v>
      </c>
      <c r="Y41" s="836">
        <f t="shared" si="19"/>
        <v>-8.6774832487448328E-2</v>
      </c>
      <c r="Z41" s="836">
        <f t="shared" si="19"/>
        <v>-9.3535919273170842E-2</v>
      </c>
      <c r="AA41" s="836">
        <f t="shared" si="19"/>
        <v>-0.51596855302682498</v>
      </c>
      <c r="AB41" s="836">
        <f t="shared" si="19"/>
        <v>-0.27088652288466886</v>
      </c>
      <c r="AC41" s="836">
        <f t="shared" si="19"/>
        <v>-2.008341658035917E-2</v>
      </c>
      <c r="AD41" s="836">
        <f t="shared" si="19"/>
        <v>3.3975892368885097E-2</v>
      </c>
      <c r="AE41" s="836">
        <f t="shared" si="19"/>
        <v>0.17508440487081434</v>
      </c>
      <c r="AF41" s="836">
        <f t="shared" si="19"/>
        <v>0.10396836266475662</v>
      </c>
      <c r="AG41" s="836">
        <f t="shared" si="19"/>
        <v>-4.7946731311054869E-4</v>
      </c>
      <c r="AH41" s="836">
        <f t="shared" si="19"/>
        <v>-7.3299232365013234E-2</v>
      </c>
      <c r="AI41" s="836">
        <f t="shared" ref="AI41:AJ41" si="20">+AI40-AI39</f>
        <v>1.1633273739802386E-2</v>
      </c>
      <c r="AJ41" s="836">
        <f t="shared" si="20"/>
        <v>5.1621955656528384E-2</v>
      </c>
      <c r="AK41" s="836">
        <f t="shared" ref="AK41" si="21">+AK40-AK39</f>
        <v>0.13000000000000003</v>
      </c>
      <c r="AL41" s="836">
        <f t="shared" ref="AL41:AN41" si="22">+AL40-AL39</f>
        <v>0.1070000000000001</v>
      </c>
      <c r="AM41" s="836">
        <f t="shared" si="22"/>
        <v>3.3108508297978734E-3</v>
      </c>
      <c r="AN41" s="1069">
        <f t="shared" si="22"/>
        <v>-1.5744652316769248E-3</v>
      </c>
      <c r="AO41" s="1063">
        <f>-AO39</f>
        <v>-9.4835943280682011E-2</v>
      </c>
      <c r="AP41" s="1063">
        <f>-AP39</f>
        <v>-7.944611112108424E-2</v>
      </c>
      <c r="AQ41" s="1063">
        <f>5%-AQ39</f>
        <v>0.10970128061600644</v>
      </c>
      <c r="AR41" s="1063">
        <f>5%-AR39</f>
        <v>3.0934140217601283E-2</v>
      </c>
      <c r="AS41" s="3" t="s">
        <v>800</v>
      </c>
    </row>
    <row r="42" spans="1:45" s="3" customFormat="1">
      <c r="A42" s="15"/>
      <c r="M42" s="836"/>
      <c r="N42" s="836"/>
      <c r="O42" s="836"/>
      <c r="P42" s="836"/>
      <c r="Q42" s="836"/>
      <c r="R42" s="836"/>
      <c r="S42" s="836"/>
      <c r="T42" s="836"/>
      <c r="U42" s="836"/>
      <c r="V42" s="836"/>
      <c r="W42" s="836"/>
      <c r="X42" s="836"/>
      <c r="Y42" s="836"/>
      <c r="Z42" s="836"/>
      <c r="AA42" s="836"/>
      <c r="AB42" s="836"/>
      <c r="AC42" s="836"/>
      <c r="AD42" s="836"/>
      <c r="AE42" s="836"/>
      <c r="AF42" s="836"/>
      <c r="AG42" s="836"/>
      <c r="AH42" s="836"/>
      <c r="AI42" s="836"/>
      <c r="AJ42" s="836"/>
      <c r="AK42" s="836"/>
      <c r="AL42" s="836"/>
      <c r="AM42" s="836"/>
      <c r="AN42" s="1069"/>
      <c r="AO42" s="836"/>
      <c r="AP42" s="836"/>
      <c r="AQ42" s="836"/>
      <c r="AR42" s="836"/>
    </row>
    <row r="43" spans="1:45" ht="13.5">
      <c r="A43" s="45" t="s">
        <v>801</v>
      </c>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N43" s="1067"/>
    </row>
    <row r="44" spans="1:45">
      <c r="A44" t="s">
        <v>802</v>
      </c>
      <c r="C44" s="8">
        <f t="shared" ref="C44:AN44" si="23">+C35/$L$35*100</f>
        <v>117.03170405198028</v>
      </c>
      <c r="D44" s="8">
        <f t="shared" si="23"/>
        <v>110.76958239461914</v>
      </c>
      <c r="E44" s="8">
        <f t="shared" si="23"/>
        <v>119.33588010578902</v>
      </c>
      <c r="F44" s="8">
        <f t="shared" si="23"/>
        <v>123.06788128122245</v>
      </c>
      <c r="G44" s="8">
        <f t="shared" si="23"/>
        <v>105.74982858262318</v>
      </c>
      <c r="H44" s="8">
        <f t="shared" si="23"/>
        <v>104.96457374212295</v>
      </c>
      <c r="I44" s="8">
        <f t="shared" si="23"/>
        <v>112.55591471577367</v>
      </c>
      <c r="J44" s="8">
        <f t="shared" si="23"/>
        <v>118.54082998661313</v>
      </c>
      <c r="K44" s="8">
        <f t="shared" si="23"/>
        <v>102.14679857641951</v>
      </c>
      <c r="L44" s="8">
        <f t="shared" si="23"/>
        <v>100</v>
      </c>
      <c r="M44" s="8">
        <f t="shared" si="23"/>
        <v>109.63528912397558</v>
      </c>
      <c r="N44" s="8">
        <f t="shared" si="23"/>
        <v>117.04704998857218</v>
      </c>
      <c r="O44" s="8">
        <f t="shared" si="23"/>
        <v>100.70526006464884</v>
      </c>
      <c r="P44" s="8">
        <f t="shared" si="23"/>
        <v>101.3729715610409</v>
      </c>
      <c r="Q44" s="8">
        <f t="shared" si="23"/>
        <v>109.71626342769454</v>
      </c>
      <c r="R44" s="8">
        <f t="shared" si="23"/>
        <v>112.03480589022759</v>
      </c>
      <c r="S44" s="8">
        <f t="shared" si="23"/>
        <v>96.091683808404355</v>
      </c>
      <c r="T44" s="8">
        <f t="shared" si="23"/>
        <v>102.92715577758187</v>
      </c>
      <c r="U44" s="8">
        <f t="shared" si="23"/>
        <v>112.43151467659256</v>
      </c>
      <c r="V44" s="8">
        <f t="shared" si="23"/>
        <v>117.13324844091815</v>
      </c>
      <c r="W44" s="8">
        <f t="shared" si="23"/>
        <v>84.299474320044411</v>
      </c>
      <c r="X44" s="8">
        <f t="shared" si="23"/>
        <v>105.80174355960428</v>
      </c>
      <c r="Y44" s="8">
        <f t="shared" si="23"/>
        <v>116.52626767231529</v>
      </c>
      <c r="Z44" s="8">
        <f t="shared" si="23"/>
        <v>129.61047441799721</v>
      </c>
      <c r="AA44" s="8">
        <f t="shared" si="23"/>
        <v>136.35027916544226</v>
      </c>
      <c r="AB44" s="8">
        <f t="shared" si="23"/>
        <v>134.56100826068501</v>
      </c>
      <c r="AC44" s="8">
        <f t="shared" si="23"/>
        <v>137.86364972083456</v>
      </c>
      <c r="AD44" s="8">
        <f t="shared" si="23"/>
        <v>149.04463381983217</v>
      </c>
      <c r="AE44" s="8">
        <f t="shared" si="23"/>
        <v>127.11137231854246</v>
      </c>
      <c r="AF44" s="8">
        <f t="shared" si="23"/>
        <v>117.5606491004669</v>
      </c>
      <c r="AG44" s="8">
        <f t="shared" si="23"/>
        <v>111.0049955921246</v>
      </c>
      <c r="AH44" s="8">
        <f t="shared" si="23"/>
        <v>106.59156953015314</v>
      </c>
      <c r="AI44" s="8">
        <f t="shared" si="23"/>
        <v>90.041466679727037</v>
      </c>
      <c r="AJ44" s="8">
        <f t="shared" si="23"/>
        <v>97.384660593593892</v>
      </c>
      <c r="AK44" s="8">
        <f t="shared" si="23"/>
        <v>101.01454598883339</v>
      </c>
      <c r="AL44" s="8">
        <f t="shared" si="23"/>
        <v>106.91134423874358</v>
      </c>
      <c r="AM44" s="8">
        <f t="shared" si="23"/>
        <v>99.647914149824231</v>
      </c>
      <c r="AN44" s="1068">
        <f t="shared" si="23"/>
        <v>101.43337577954092</v>
      </c>
      <c r="AO44" s="8">
        <f t="shared" ref="AO44:AQ44" si="24">+AO35/$L$35*100</f>
        <v>110.59435574275423</v>
      </c>
      <c r="AP44" s="8">
        <f t="shared" si="24"/>
        <v>115.40503477323929</v>
      </c>
      <c r="AQ44" s="8">
        <f t="shared" si="24"/>
        <v>93.698806064365854</v>
      </c>
      <c r="AR44" s="8">
        <f t="shared" ref="AR44" si="25">+AR35/$L$35*100</f>
        <v>103.36729029940901</v>
      </c>
    </row>
    <row r="45" spans="1:45">
      <c r="A45" t="s">
        <v>803</v>
      </c>
      <c r="C45" s="8"/>
      <c r="I45" s="8">
        <f t="shared" ref="I45:AN45" si="26">+I36/$L$36*100</f>
        <v>100.73122710912052</v>
      </c>
      <c r="J45" s="8">
        <f t="shared" si="26"/>
        <v>102.3475116622745</v>
      </c>
      <c r="K45" s="8">
        <f t="shared" si="26"/>
        <v>92.181558468462967</v>
      </c>
      <c r="L45" s="8">
        <f t="shared" si="26"/>
        <v>100</v>
      </c>
      <c r="M45" s="8">
        <f t="shared" si="26"/>
        <v>103.64467195828114</v>
      </c>
      <c r="N45" s="8">
        <f t="shared" si="26"/>
        <v>106.00324600209177</v>
      </c>
      <c r="O45" s="8">
        <f t="shared" si="26"/>
        <v>95.984368004928356</v>
      </c>
      <c r="P45" s="8">
        <f t="shared" si="26"/>
        <v>107.30305516012895</v>
      </c>
      <c r="Q45" s="8">
        <f t="shared" si="26"/>
        <v>106.50952868750183</v>
      </c>
      <c r="R45" s="8">
        <f t="shared" si="26"/>
        <v>100.11696561220774</v>
      </c>
      <c r="S45" s="8">
        <f t="shared" si="26"/>
        <v>104.34831031505902</v>
      </c>
      <c r="T45" s="8">
        <f t="shared" si="26"/>
        <v>116.97796195558496</v>
      </c>
      <c r="U45" s="8">
        <f t="shared" si="26"/>
        <v>116.11743679521859</v>
      </c>
      <c r="V45" s="8">
        <f t="shared" si="26"/>
        <v>118.58919473338116</v>
      </c>
      <c r="W45" s="8">
        <f t="shared" si="26"/>
        <v>103.99589658862797</v>
      </c>
      <c r="X45" s="8">
        <f t="shared" si="26"/>
        <v>121.99110609855772</v>
      </c>
      <c r="Y45" s="8">
        <f t="shared" si="26"/>
        <v>110.27035985695322</v>
      </c>
      <c r="Z45" s="8">
        <f t="shared" si="26"/>
        <v>120.12916115519836</v>
      </c>
      <c r="AA45" s="8">
        <f t="shared" si="26"/>
        <v>114.5496671427817</v>
      </c>
      <c r="AB45" s="8">
        <f t="shared" si="26"/>
        <v>122.10525269415309</v>
      </c>
      <c r="AC45" s="8">
        <f t="shared" si="26"/>
        <v>128.24760324505547</v>
      </c>
      <c r="AD45" s="8">
        <f t="shared" si="26"/>
        <v>142.22316120525338</v>
      </c>
      <c r="AE45" s="8">
        <f t="shared" si="26"/>
        <v>126.84379999657152</v>
      </c>
      <c r="AF45" s="8">
        <f t="shared" si="26"/>
        <v>119.37362960974198</v>
      </c>
      <c r="AG45" s="8">
        <f t="shared" si="26"/>
        <v>103.20086079487416</v>
      </c>
      <c r="AH45" s="8">
        <f t="shared" si="26"/>
        <v>91.288239598440541</v>
      </c>
      <c r="AI45" s="8">
        <f t="shared" si="26"/>
        <v>91.327535997531498</v>
      </c>
      <c r="AJ45" s="8">
        <f t="shared" si="26"/>
        <v>105.04879405657294</v>
      </c>
      <c r="AK45" s="8">
        <f t="shared" si="26"/>
        <v>107.32889522666913</v>
      </c>
      <c r="AL45" s="8">
        <f t="shared" si="26"/>
        <v>101.32994595426901</v>
      </c>
      <c r="AM45" s="8">
        <f>+AM36/$L$36*100</f>
        <v>101.37356495725997</v>
      </c>
      <c r="AN45" s="1068">
        <f t="shared" si="26"/>
        <v>109.25074581883587</v>
      </c>
      <c r="AO45" s="8">
        <f t="shared" ref="AO45:AQ45" si="27">+AO36/$L$36*100</f>
        <v>107.32889522666913</v>
      </c>
      <c r="AP45" s="8">
        <f t="shared" si="27"/>
        <v>101.32994595426901</v>
      </c>
      <c r="AQ45" s="8">
        <f t="shared" si="27"/>
        <v>106.44224320512296</v>
      </c>
      <c r="AR45" s="8">
        <f t="shared" ref="AR45" si="28">+AR36/$L$36*100</f>
        <v>114.71328310977766</v>
      </c>
    </row>
    <row r="46" spans="1:45">
      <c r="AN46" s="1067"/>
    </row>
    <row r="47" spans="1:45" hidden="1" outlineLevel="1">
      <c r="A47" s="24" t="s">
        <v>123</v>
      </c>
      <c r="AN47" s="1067"/>
    </row>
    <row r="48" spans="1:45" s="3" customFormat="1" hidden="1" outlineLevel="1">
      <c r="A48" s="13" t="s">
        <v>436</v>
      </c>
      <c r="M48" s="836"/>
      <c r="N48" s="836"/>
      <c r="O48" s="836"/>
      <c r="P48" s="836"/>
      <c r="Q48" s="836"/>
      <c r="R48" s="836"/>
      <c r="S48" s="836"/>
      <c r="T48" s="836"/>
      <c r="U48" s="836"/>
      <c r="V48" s="836"/>
      <c r="W48" s="836"/>
      <c r="X48" s="836"/>
      <c r="Y48" s="836">
        <f>+'Historical Financials'!X549</f>
        <v>-0.05</v>
      </c>
      <c r="Z48" s="836">
        <f>+'Historical Financials'!Y549</f>
        <v>0.01</v>
      </c>
      <c r="AA48" s="836">
        <f>+'Historical Financials'!Z549</f>
        <v>0.1</v>
      </c>
      <c r="AB48" s="836">
        <f>+'Historical Financials'!AA549</f>
        <v>-0.03</v>
      </c>
      <c r="AC48" s="836">
        <f>+'Historical Financials'!AB549</f>
        <v>0.1</v>
      </c>
      <c r="AD48" s="836">
        <f>+'Historical Financials'!AC549</f>
        <v>0.25</v>
      </c>
      <c r="AE48" s="836">
        <f>+'Historical Financials'!AD549</f>
        <v>0.11</v>
      </c>
      <c r="AF48" s="836">
        <f>+'Historical Financials'!AE549</f>
        <v>-0.02</v>
      </c>
      <c r="AG48" s="836">
        <f>+'Historical Financials'!AF549</f>
        <v>-0.15</v>
      </c>
      <c r="AH48" s="836">
        <f>+'Historical Financials'!AG549</f>
        <v>-0.39</v>
      </c>
      <c r="AI48" s="836"/>
      <c r="AJ48" s="836"/>
      <c r="AK48" s="836"/>
      <c r="AL48" s="836"/>
      <c r="AM48" s="836"/>
      <c r="AN48" s="1069"/>
      <c r="AO48" s="836"/>
      <c r="AP48" s="836"/>
      <c r="AQ48" s="836"/>
      <c r="AR48" s="836"/>
    </row>
    <row r="49" spans="1:45" hidden="1" outlineLevel="1">
      <c r="AN49" s="1067"/>
    </row>
    <row r="50" spans="1:45" s="3" customFormat="1" hidden="1" outlineLevel="1">
      <c r="A50" s="24" t="s">
        <v>804</v>
      </c>
      <c r="AN50" s="1075"/>
    </row>
    <row r="51" spans="1:45" s="3" customFormat="1" hidden="1" outlineLevel="1">
      <c r="A51" s="13" t="str">
        <f>+A39</f>
        <v>PC OEM Shipments (# in '000s)</v>
      </c>
      <c r="J51" s="836">
        <f t="shared" ref="J51:AN51" si="29">+J35/I35-1</f>
        <v>5.3172818913626907E-2</v>
      </c>
      <c r="K51" s="836">
        <f t="shared" si="29"/>
        <v>-0.13829860489457524</v>
      </c>
      <c r="L51" s="836">
        <f t="shared" si="29"/>
        <v>-2.1016797455609026E-2</v>
      </c>
      <c r="M51" s="836">
        <f t="shared" si="29"/>
        <v>9.6352891239755767E-2</v>
      </c>
      <c r="N51" s="836">
        <f t="shared" si="29"/>
        <v>6.7603788194651182E-2</v>
      </c>
      <c r="O51" s="836">
        <f t="shared" si="29"/>
        <v>-0.13961727293014947</v>
      </c>
      <c r="P51" s="836">
        <f t="shared" si="29"/>
        <v>6.6303537269396529E-3</v>
      </c>
      <c r="Q51" s="836">
        <f t="shared" si="29"/>
        <v>8.2302922940655554E-2</v>
      </c>
      <c r="R51" s="836">
        <f t="shared" si="29"/>
        <v>2.1132167557465387E-2</v>
      </c>
      <c r="S51" s="836">
        <f t="shared" si="29"/>
        <v>-0.14230508059651037</v>
      </c>
      <c r="T51" s="836">
        <f t="shared" si="29"/>
        <v>7.1134896364254185E-2</v>
      </c>
      <c r="U51" s="836">
        <f t="shared" si="29"/>
        <v>9.2340634764540797E-2</v>
      </c>
      <c r="V51" s="836">
        <f t="shared" si="29"/>
        <v>4.1818646469809151E-2</v>
      </c>
      <c r="W51" s="836">
        <f t="shared" si="29"/>
        <v>-0.28031130834243911</v>
      </c>
      <c r="X51" s="836">
        <f t="shared" si="29"/>
        <v>0.25507002757723174</v>
      </c>
      <c r="Y51" s="836">
        <f t="shared" si="29"/>
        <v>0.10136434194649402</v>
      </c>
      <c r="Z51" s="836">
        <f t="shared" si="29"/>
        <v>0.11228547010941914</v>
      </c>
      <c r="AA51" s="836">
        <f t="shared" si="29"/>
        <v>5.2000463525108342E-2</v>
      </c>
      <c r="AB51" s="836">
        <f t="shared" si="29"/>
        <v>-1.3122605363984685E-2</v>
      </c>
      <c r="AC51" s="836">
        <f t="shared" si="29"/>
        <v>2.4543822187712339E-2</v>
      </c>
      <c r="AD51" s="836">
        <f t="shared" si="29"/>
        <v>8.1101756131064517E-2</v>
      </c>
      <c r="AE51" s="836">
        <f t="shared" si="29"/>
        <v>-0.14715901498206929</v>
      </c>
      <c r="AF51" s="836">
        <f t="shared" si="29"/>
        <v>-7.5136654131475633E-2</v>
      </c>
      <c r="AG51" s="836">
        <f t="shared" si="29"/>
        <v>-5.5764012520378992E-2</v>
      </c>
      <c r="AH51" s="836">
        <f t="shared" si="29"/>
        <v>-3.9758805794543717E-2</v>
      </c>
      <c r="AI51" s="836">
        <f t="shared" si="29"/>
        <v>-0.15526652739402924</v>
      </c>
      <c r="AJ51" s="836">
        <f t="shared" si="29"/>
        <v>8.1553468470101809E-2</v>
      </c>
      <c r="AK51" s="836">
        <f t="shared" si="29"/>
        <v>3.7273687386843779E-2</v>
      </c>
      <c r="AL51" s="836">
        <f t="shared" si="29"/>
        <v>5.8375733833046617E-2</v>
      </c>
      <c r="AM51" s="836">
        <f t="shared" si="29"/>
        <v>-6.7938815479668735E-2</v>
      </c>
      <c r="AN51" s="1069">
        <f t="shared" si="29"/>
        <v>1.7917701990552315E-2</v>
      </c>
      <c r="AO51" s="836">
        <f t="shared" ref="AO51:AO52" si="30">+AO35/AN35-1</f>
        <v>9.0315242816369601E-2</v>
      </c>
      <c r="AP51" s="836">
        <f t="shared" ref="AP51:AP52" si="31">+AP35/AO35-1</f>
        <v>4.3498413623158649E-2</v>
      </c>
      <c r="AQ51" s="836">
        <f t="shared" ref="AQ51:AQ52" si="32">+AQ35/AP35-1</f>
        <v>-0.18808736335918319</v>
      </c>
      <c r="AR51" s="836">
        <f t="shared" ref="AR51:AR52" si="33">+AR35/AQ35-1</f>
        <v>0.10318684560827229</v>
      </c>
    </row>
    <row r="52" spans="1:45" s="3" customFormat="1" ht="11.45" hidden="1" outlineLevel="1">
      <c r="A52" s="13" t="str">
        <f>+A40</f>
        <v>Windows OEM Revenue (Deferral Adj.)</v>
      </c>
      <c r="J52" s="1083">
        <f t="shared" ref="J52:AN52" si="34">+J36/I36-1</f>
        <v>1.6045516366072654E-2</v>
      </c>
      <c r="K52" s="1083">
        <f t="shared" si="34"/>
        <v>-9.9327800243518061E-2</v>
      </c>
      <c r="L52" s="1083">
        <f t="shared" si="34"/>
        <v>8.4815679637396002E-2</v>
      </c>
      <c r="M52" s="1083">
        <f t="shared" si="34"/>
        <v>3.6446719582811316E-2</v>
      </c>
      <c r="N52" s="1083">
        <f t="shared" si="34"/>
        <v>2.2756346266984195E-2</v>
      </c>
      <c r="O52" s="1083">
        <f t="shared" si="34"/>
        <v>-9.451482265897504E-2</v>
      </c>
      <c r="P52" s="1083">
        <f t="shared" si="34"/>
        <v>0.11792219285768946</v>
      </c>
      <c r="Q52" s="1083">
        <f t="shared" si="34"/>
        <v>-7.3951899267259424E-3</v>
      </c>
      <c r="R52" s="1083">
        <f t="shared" si="34"/>
        <v>-6.0018696487239676E-2</v>
      </c>
      <c r="S52" s="1083">
        <f t="shared" si="34"/>
        <v>4.2264012667353246E-2</v>
      </c>
      <c r="T52" s="1083">
        <f t="shared" si="34"/>
        <v>0.12103359989628193</v>
      </c>
      <c r="U52" s="1083">
        <f t="shared" si="34"/>
        <v>-7.356301528770981E-3</v>
      </c>
      <c r="V52" s="1083">
        <f t="shared" si="34"/>
        <v>2.1286707719200715E-2</v>
      </c>
      <c r="W52" s="1083">
        <f t="shared" si="34"/>
        <v>-0.12305757010630403</v>
      </c>
      <c r="X52" s="1083">
        <f t="shared" si="34"/>
        <v>0.17303768802640929</v>
      </c>
      <c r="Y52" s="1083">
        <f t="shared" si="34"/>
        <v>-9.6078694721689062E-2</v>
      </c>
      <c r="Z52" s="1083">
        <f t="shared" si="34"/>
        <v>8.9405723451291497E-2</v>
      </c>
      <c r="AA52" s="1083">
        <f t="shared" si="34"/>
        <v>-4.6445791835742156E-2</v>
      </c>
      <c r="AB52" s="1083">
        <f t="shared" si="34"/>
        <v>6.5959035410846134E-2</v>
      </c>
      <c r="AC52" s="1083">
        <f t="shared" si="34"/>
        <v>5.0303737270726678E-2</v>
      </c>
      <c r="AD52" s="1083">
        <f t="shared" si="34"/>
        <v>0.10897324867345426</v>
      </c>
      <c r="AE52" s="1083">
        <f t="shared" si="34"/>
        <v>-0.10813541956423467</v>
      </c>
      <c r="AF52" s="1083">
        <f t="shared" si="34"/>
        <v>-5.8892672618066078E-2</v>
      </c>
      <c r="AG52" s="1083">
        <f t="shared" si="34"/>
        <v>-0.13548024691667726</v>
      </c>
      <c r="AH52" s="1083">
        <f t="shared" si="34"/>
        <v>-0.11543141311690797</v>
      </c>
      <c r="AI52" s="1083">
        <f t="shared" si="34"/>
        <v>4.3046507703325965E-4</v>
      </c>
      <c r="AJ52" s="1083">
        <f t="shared" si="34"/>
        <v>0.15024228902236358</v>
      </c>
      <c r="AK52" s="1083">
        <f t="shared" si="34"/>
        <v>2.1705162734835914E-2</v>
      </c>
      <c r="AL52" s="1083">
        <f t="shared" si="34"/>
        <v>-5.5893142845930499E-2</v>
      </c>
      <c r="AM52" s="1083">
        <f t="shared" si="34"/>
        <v>4.3046507703325965E-4</v>
      </c>
      <c r="AN52" s="1205">
        <f t="shared" si="34"/>
        <v>7.7704487011944101E-2</v>
      </c>
      <c r="AO52" s="1083">
        <f t="shared" si="30"/>
        <v>-1.7591189678042407E-2</v>
      </c>
      <c r="AP52" s="1083">
        <f t="shared" si="31"/>
        <v>-5.5893142845930499E-2</v>
      </c>
      <c r="AQ52" s="1083">
        <f t="shared" si="32"/>
        <v>5.0451988330884934E-2</v>
      </c>
      <c r="AR52" s="1083">
        <f t="shared" si="33"/>
        <v>7.7704487011944101E-2</v>
      </c>
    </row>
    <row r="53" spans="1:45" s="3" customFormat="1" hidden="1" outlineLevel="1">
      <c r="A53" s="15" t="s">
        <v>799</v>
      </c>
      <c r="M53" s="836">
        <f t="shared" ref="M53:AN53" si="35">+M52-M51</f>
        <v>-5.9906171656944451E-2</v>
      </c>
      <c r="N53" s="836">
        <f t="shared" si="35"/>
        <v>-4.4847441927666987E-2</v>
      </c>
      <c r="O53" s="836">
        <f t="shared" si="35"/>
        <v>4.5102450271174432E-2</v>
      </c>
      <c r="P53" s="836">
        <f t="shared" si="35"/>
        <v>0.1112918391307498</v>
      </c>
      <c r="Q53" s="836">
        <f t="shared" si="35"/>
        <v>-8.9698112867381496E-2</v>
      </c>
      <c r="R53" s="836">
        <f t="shared" si="35"/>
        <v>-8.1150864044705062E-2</v>
      </c>
      <c r="S53" s="836">
        <f t="shared" si="35"/>
        <v>0.18456909326386362</v>
      </c>
      <c r="T53" s="836">
        <f t="shared" si="35"/>
        <v>4.9898703532027744E-2</v>
      </c>
      <c r="U53" s="836">
        <f t="shared" si="35"/>
        <v>-9.9696936293311778E-2</v>
      </c>
      <c r="V53" s="836">
        <f t="shared" si="35"/>
        <v>-2.0531938750608436E-2</v>
      </c>
      <c r="W53" s="836">
        <f t="shared" si="35"/>
        <v>0.15725373823613509</v>
      </c>
      <c r="X53" s="836">
        <f t="shared" si="35"/>
        <v>-8.2032339550822453E-2</v>
      </c>
      <c r="Y53" s="836">
        <f t="shared" si="35"/>
        <v>-0.19744303666818308</v>
      </c>
      <c r="Z53" s="836">
        <f t="shared" si="35"/>
        <v>-2.2879746658127642E-2</v>
      </c>
      <c r="AA53" s="836">
        <f t="shared" si="35"/>
        <v>-9.8446255360850499E-2</v>
      </c>
      <c r="AB53" s="836">
        <f t="shared" si="35"/>
        <v>7.9081640774830819E-2</v>
      </c>
      <c r="AC53" s="836">
        <f t="shared" si="35"/>
        <v>2.575991508301434E-2</v>
      </c>
      <c r="AD53" s="836">
        <f t="shared" si="35"/>
        <v>2.7871492542389742E-2</v>
      </c>
      <c r="AE53" s="836">
        <f t="shared" si="35"/>
        <v>3.9023595417834622E-2</v>
      </c>
      <c r="AF53" s="836">
        <f t="shared" si="35"/>
        <v>1.6243981513409556E-2</v>
      </c>
      <c r="AG53" s="836">
        <f t="shared" si="35"/>
        <v>-7.9716234396298269E-2</v>
      </c>
      <c r="AH53" s="836">
        <f t="shared" si="35"/>
        <v>-7.5672607322364249E-2</v>
      </c>
      <c r="AI53" s="836">
        <f t="shared" si="35"/>
        <v>0.1556969924710625</v>
      </c>
      <c r="AJ53" s="836">
        <f t="shared" si="35"/>
        <v>6.8688820552261776E-2</v>
      </c>
      <c r="AK53" s="836">
        <f t="shared" si="35"/>
        <v>-1.5568524652007865E-2</v>
      </c>
      <c r="AL53" s="836">
        <f t="shared" si="35"/>
        <v>-0.11426887667897712</v>
      </c>
      <c r="AM53" s="836">
        <f t="shared" si="35"/>
        <v>6.8369280556701995E-2</v>
      </c>
      <c r="AN53" s="1069">
        <f t="shared" si="35"/>
        <v>5.9786785021391786E-2</v>
      </c>
      <c r="AO53" s="836">
        <f t="shared" ref="AO53:AQ53" si="36">+AO52-AO51</f>
        <v>-0.10790643249441201</v>
      </c>
      <c r="AP53" s="836">
        <f t="shared" si="36"/>
        <v>-9.9391556469089148E-2</v>
      </c>
      <c r="AQ53" s="836">
        <f t="shared" si="36"/>
        <v>0.23853935169006812</v>
      </c>
      <c r="AR53" s="836">
        <f t="shared" ref="AR53" si="37">+AR52-AR51</f>
        <v>-2.5482358596328192E-2</v>
      </c>
    </row>
    <row r="54" spans="1:45" s="3" customFormat="1" hidden="1" outlineLevel="1">
      <c r="A54" s="15"/>
      <c r="M54" s="836"/>
      <c r="N54" s="836"/>
      <c r="O54" s="836"/>
      <c r="P54" s="836"/>
      <c r="Q54" s="836"/>
      <c r="R54" s="836"/>
      <c r="S54" s="836"/>
      <c r="T54" s="836"/>
      <c r="U54" s="836"/>
      <c r="V54" s="836"/>
      <c r="W54" s="836"/>
      <c r="X54" s="836"/>
      <c r="Y54" s="836"/>
      <c r="Z54" s="836"/>
      <c r="AA54" s="836"/>
      <c r="AB54" s="836"/>
      <c r="AC54" s="836"/>
      <c r="AD54" s="836"/>
      <c r="AE54" s="836"/>
      <c r="AF54" s="836"/>
      <c r="AG54" s="836"/>
      <c r="AH54" s="836"/>
      <c r="AN54" s="1075"/>
    </row>
    <row r="55" spans="1:45" ht="13.5" collapsed="1">
      <c r="A55" s="45" t="s">
        <v>805</v>
      </c>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N55" s="1067"/>
    </row>
    <row r="56" spans="1:45">
      <c r="A56" t="s">
        <v>795</v>
      </c>
      <c r="C56" s="8"/>
      <c r="D56" s="8"/>
      <c r="E56" s="8"/>
      <c r="F56" s="8"/>
      <c r="G56" s="8"/>
      <c r="H56" s="8"/>
      <c r="I56" s="8"/>
      <c r="J56" s="8"/>
      <c r="K56" s="8"/>
      <c r="L56" s="8">
        <f t="shared" ref="L56:U57" si="38">SUM(I35:L35)</f>
        <v>265379</v>
      </c>
      <c r="M56" s="8">
        <f t="shared" si="38"/>
        <v>263590</v>
      </c>
      <c r="N56" s="8">
        <f t="shared" si="38"/>
        <v>262675</v>
      </c>
      <c r="O56" s="8">
        <f t="shared" si="38"/>
        <v>261792</v>
      </c>
      <c r="P56" s="8">
        <f t="shared" si="38"/>
        <v>262633</v>
      </c>
      <c r="Q56" s="8">
        <f t="shared" si="38"/>
        <v>262682.59999999998</v>
      </c>
      <c r="R56" s="8">
        <f t="shared" si="38"/>
        <v>259612.40000000002</v>
      </c>
      <c r="S56" s="8">
        <f t="shared" si="38"/>
        <v>256786.40000000002</v>
      </c>
      <c r="T56" s="8">
        <f t="shared" si="38"/>
        <v>257738.40000000002</v>
      </c>
      <c r="U56" s="8">
        <f t="shared" si="38"/>
        <v>259401.59999999998</v>
      </c>
      <c r="V56" s="8">
        <f t="shared" ref="V56:AE57" si="39">SUM(S35:V35)</f>
        <v>262524.59999999998</v>
      </c>
      <c r="W56" s="8">
        <f t="shared" si="39"/>
        <v>255301.39999999997</v>
      </c>
      <c r="X56" s="8">
        <f t="shared" si="39"/>
        <v>257062.2</v>
      </c>
      <c r="Y56" s="8">
        <f t="shared" si="39"/>
        <v>259570.40000000002</v>
      </c>
      <c r="Z56" s="8">
        <f t="shared" si="39"/>
        <v>267213.2</v>
      </c>
      <c r="AA56" s="8">
        <f t="shared" si="39"/>
        <v>299096.40000000002</v>
      </c>
      <c r="AB56" s="8">
        <f t="shared" si="39"/>
        <v>316712.59999999998</v>
      </c>
      <c r="AC56" s="8">
        <f t="shared" si="39"/>
        <v>329782.59999999998</v>
      </c>
      <c r="AD56" s="8">
        <f t="shared" si="39"/>
        <v>341686.8</v>
      </c>
      <c r="AE56" s="8">
        <f t="shared" si="39"/>
        <v>336027.6</v>
      </c>
      <c r="AF56" s="8">
        <f t="shared" ref="AF56:AN57" si="40">SUM(AC35:AF35)</f>
        <v>325614.19999999995</v>
      </c>
      <c r="AG56" s="8">
        <f t="shared" si="40"/>
        <v>309162.2</v>
      </c>
      <c r="AH56" s="8">
        <f t="shared" si="40"/>
        <v>283158</v>
      </c>
      <c r="AI56" s="8">
        <f t="shared" si="40"/>
        <v>260451.20000000001</v>
      </c>
      <c r="AJ56" s="8">
        <f t="shared" si="40"/>
        <v>248092.6</v>
      </c>
      <c r="AK56" s="8">
        <f t="shared" si="40"/>
        <v>241973.05000000002</v>
      </c>
      <c r="AL56" s="8">
        <f t="shared" si="40"/>
        <v>242168.92480000001</v>
      </c>
      <c r="AM56" s="8">
        <f t="shared" si="40"/>
        <v>248053.25813333335</v>
      </c>
      <c r="AN56" s="1068">
        <f t="shared" si="40"/>
        <v>250533.25813333332</v>
      </c>
      <c r="AO56" s="8">
        <f t="shared" ref="AO56:AO57" si="41">SUM(AL35:AO35)</f>
        <v>256401.27480000001</v>
      </c>
      <c r="AP56" s="8">
        <f t="shared" ref="AP56:AP57" si="42">SUM(AM35:AP35)</f>
        <v>261604</v>
      </c>
      <c r="AQ56" s="8">
        <f t="shared" ref="AQ56:AQ57" si="43">SUM(AN35:AQ35)</f>
        <v>257959.93333333335</v>
      </c>
      <c r="AR56" s="8">
        <f t="shared" ref="AR56:AR57" si="44">SUM(AO35:AR35)</f>
        <v>259144.53333333335</v>
      </c>
      <c r="AS56" t="s">
        <v>806</v>
      </c>
    </row>
    <row r="57" spans="1:45">
      <c r="A57" t="str">
        <f>+A36</f>
        <v>Windows OEM Revenue (Deferral Adj.)</v>
      </c>
      <c r="C57" s="8"/>
      <c r="K57" s="8"/>
      <c r="L57" s="8">
        <f t="shared" si="38"/>
        <v>11596.834683065419</v>
      </c>
      <c r="M57" s="8">
        <f t="shared" si="38"/>
        <v>11682.31439987452</v>
      </c>
      <c r="N57" s="8">
        <f t="shared" si="38"/>
        <v>11789.572697963435</v>
      </c>
      <c r="O57" s="8">
        <f t="shared" si="38"/>
        <v>11901.146144205144</v>
      </c>
      <c r="P57" s="8">
        <f t="shared" si="38"/>
        <v>12115.415889901178</v>
      </c>
      <c r="Q57" s="8">
        <f t="shared" si="38"/>
        <v>12199.470043863623</v>
      </c>
      <c r="R57" s="8">
        <f t="shared" si="38"/>
        <v>12026.768102747004</v>
      </c>
      <c r="S57" s="8">
        <f t="shared" si="38"/>
        <v>12272.164002478421</v>
      </c>
      <c r="T57" s="8">
        <f t="shared" si="38"/>
        <v>12556.023260452119</v>
      </c>
      <c r="U57" s="8">
        <f t="shared" si="38"/>
        <v>12837.916794291314</v>
      </c>
      <c r="V57" s="8">
        <f t="shared" si="39"/>
        <v>13379.887209336466</v>
      </c>
      <c r="W57" s="8">
        <f t="shared" si="39"/>
        <v>13369.547481936565</v>
      </c>
      <c r="X57" s="8">
        <f t="shared" si="39"/>
        <v>13516.631831855862</v>
      </c>
      <c r="Y57" s="8">
        <f t="shared" si="39"/>
        <v>13345.080109849543</v>
      </c>
      <c r="Z57" s="8">
        <f t="shared" si="39"/>
        <v>13390.262325559024</v>
      </c>
      <c r="AA57" s="8">
        <f t="shared" si="39"/>
        <v>13699.907218441482</v>
      </c>
      <c r="AB57" s="8">
        <f t="shared" si="39"/>
        <v>13703.256249973358</v>
      </c>
      <c r="AC57" s="8">
        <f t="shared" si="39"/>
        <v>14230.70391189357</v>
      </c>
      <c r="AD57" s="8">
        <f t="shared" si="39"/>
        <v>14878.936147352939</v>
      </c>
      <c r="AE57" s="8">
        <f t="shared" si="39"/>
        <v>15239.642819064329</v>
      </c>
      <c r="AF57" s="8">
        <f t="shared" si="40"/>
        <v>15159.497705710994</v>
      </c>
      <c r="AG57" s="8">
        <f t="shared" si="40"/>
        <v>14424.632773481777</v>
      </c>
      <c r="AH57" s="8">
        <f t="shared" si="40"/>
        <v>12930.215374127705</v>
      </c>
      <c r="AI57" s="8">
        <f t="shared" si="40"/>
        <v>11888.177392996922</v>
      </c>
      <c r="AJ57" s="8">
        <f t="shared" si="40"/>
        <v>11467.890430374438</v>
      </c>
      <c r="AK57" s="8">
        <f t="shared" si="40"/>
        <v>11589.00589075795</v>
      </c>
      <c r="AL57" s="8">
        <f t="shared" si="40"/>
        <v>11883.626952771074</v>
      </c>
      <c r="AM57" s="8">
        <f t="shared" si="40"/>
        <v>12178.374838862353</v>
      </c>
      <c r="AN57" s="1068">
        <f t="shared" si="40"/>
        <v>12301.659014564948</v>
      </c>
      <c r="AO57" s="8">
        <f t="shared" si="41"/>
        <v>12301.659014564948</v>
      </c>
      <c r="AP57" s="8">
        <f t="shared" si="42"/>
        <v>12301.659014564948</v>
      </c>
      <c r="AQ57" s="8">
        <f t="shared" si="43"/>
        <v>12450.372720729183</v>
      </c>
      <c r="AR57" s="8">
        <f t="shared" si="44"/>
        <v>12610.642149142557</v>
      </c>
      <c r="AS57" t="s">
        <v>807</v>
      </c>
    </row>
    <row r="58" spans="1:45">
      <c r="AN58" s="1067"/>
      <c r="AS58" t="s">
        <v>808</v>
      </c>
    </row>
    <row r="59" spans="1:45" s="3" customFormat="1">
      <c r="A59" s="24" t="s">
        <v>113</v>
      </c>
      <c r="O59" s="836"/>
      <c r="P59" s="836"/>
      <c r="Q59" s="836"/>
      <c r="R59" s="836"/>
      <c r="S59" s="836"/>
      <c r="T59" s="836"/>
      <c r="U59" s="836"/>
      <c r="V59" s="836"/>
      <c r="W59" s="836"/>
      <c r="X59" s="836"/>
      <c r="Y59" s="836"/>
      <c r="Z59" s="836"/>
      <c r="AA59" s="836"/>
      <c r="AB59" s="836"/>
      <c r="AC59" s="836"/>
      <c r="AD59" s="836"/>
      <c r="AE59" s="836"/>
      <c r="AF59" s="836"/>
      <c r="AG59" s="836"/>
      <c r="AH59" s="836"/>
      <c r="AI59" s="836"/>
      <c r="AJ59" s="836"/>
      <c r="AK59" s="836"/>
      <c r="AL59" s="836"/>
      <c r="AM59" s="836"/>
      <c r="AN59" s="1069"/>
      <c r="AO59" s="836"/>
      <c r="AP59" s="836"/>
      <c r="AQ59" s="836"/>
      <c r="AR59" s="836"/>
      <c r="AS59" s="3" t="s">
        <v>809</v>
      </c>
    </row>
    <row r="60" spans="1:45" s="3" customFormat="1">
      <c r="A60" s="13" t="str">
        <f>+A56</f>
        <v>PC OEM Shipments (# in '000s)</v>
      </c>
      <c r="O60" s="836"/>
      <c r="P60" s="836">
        <f t="shared" ref="P60:Y61" si="45">+P56/L56-1</f>
        <v>-1.0347465323179317E-2</v>
      </c>
      <c r="Q60" s="836">
        <f t="shared" si="45"/>
        <v>-3.442467468416921E-3</v>
      </c>
      <c r="R60" s="836">
        <f t="shared" si="45"/>
        <v>-1.1659274769201367E-2</v>
      </c>
      <c r="S60" s="836">
        <f t="shared" si="45"/>
        <v>-1.9120523163427383E-2</v>
      </c>
      <c r="T60" s="836">
        <f t="shared" si="45"/>
        <v>-1.8636652667410325E-2</v>
      </c>
      <c r="U60" s="836">
        <f t="shared" si="45"/>
        <v>-1.2490359087354852E-2</v>
      </c>
      <c r="V60" s="836">
        <f t="shared" si="45"/>
        <v>1.1217491922573597E-2</v>
      </c>
      <c r="W60" s="836">
        <f t="shared" si="45"/>
        <v>-5.7830165460478478E-3</v>
      </c>
      <c r="X60" s="836">
        <f t="shared" si="45"/>
        <v>-2.6235904312279512E-3</v>
      </c>
      <c r="Y60" s="836">
        <f t="shared" si="45"/>
        <v>6.5072844577684918E-4</v>
      </c>
      <c r="Z60" s="836">
        <f t="shared" ref="Z60:AI61" si="46">+Z56/V56-1</f>
        <v>1.785965962808822E-2</v>
      </c>
      <c r="AA60" s="836">
        <f t="shared" si="46"/>
        <v>0.17154234171845539</v>
      </c>
      <c r="AB60" s="836">
        <f t="shared" si="46"/>
        <v>0.23204656304972082</v>
      </c>
      <c r="AC60" s="836">
        <f t="shared" si="46"/>
        <v>0.27049386216610194</v>
      </c>
      <c r="AD60" s="836">
        <f t="shared" si="46"/>
        <v>0.27870479452362384</v>
      </c>
      <c r="AE60" s="836">
        <f t="shared" si="46"/>
        <v>0.12347590943923081</v>
      </c>
      <c r="AF60" s="836">
        <f t="shared" si="46"/>
        <v>2.8106238905556635E-2</v>
      </c>
      <c r="AG60" s="836">
        <f t="shared" si="46"/>
        <v>-6.2527252802300537E-2</v>
      </c>
      <c r="AH60" s="836">
        <f t="shared" si="46"/>
        <v>-0.17129371108278102</v>
      </c>
      <c r="AI60" s="836">
        <f t="shared" si="46"/>
        <v>-0.22491128704903995</v>
      </c>
      <c r="AJ60" s="836">
        <f t="shared" ref="AJ60:AN61" si="47">+AJ56/AF56-1</f>
        <v>-0.23807806907683993</v>
      </c>
      <c r="AK60" s="836">
        <f t="shared" si="47"/>
        <v>-0.21732653603836427</v>
      </c>
      <c r="AL60" s="836">
        <f t="shared" si="47"/>
        <v>-0.14475690321304713</v>
      </c>
      <c r="AM60" s="836">
        <f t="shared" si="47"/>
        <v>-4.7601784390575497E-2</v>
      </c>
      <c r="AN60" s="1069">
        <f t="shared" si="47"/>
        <v>9.8376901742869283E-3</v>
      </c>
      <c r="AO60" s="836">
        <f t="shared" ref="AO60:AO61" si="48">+AO56/AK56-1</f>
        <v>5.962740396089572E-2</v>
      </c>
      <c r="AP60" s="836">
        <f t="shared" ref="AP60:AP61" si="49">+AP56/AL56-1</f>
        <v>8.0254207743833517E-2</v>
      </c>
      <c r="AQ60" s="836">
        <f t="shared" ref="AQ60:AQ61" si="50">+AQ56/AM56-1</f>
        <v>3.9937694326413364E-2</v>
      </c>
      <c r="AR60" s="836">
        <f t="shared" ref="AR60:AR61" si="51">+AR56/AN56-1</f>
        <v>3.437178466508084E-2</v>
      </c>
    </row>
    <row r="61" spans="1:45" s="3" customFormat="1" ht="11.45">
      <c r="A61" s="13" t="str">
        <f>+A57</f>
        <v>Windows OEM Revenue (Deferral Adj.)</v>
      </c>
      <c r="O61" s="836"/>
      <c r="P61" s="1083">
        <f t="shared" si="45"/>
        <v>4.47174786058675E-2</v>
      </c>
      <c r="Q61" s="1083">
        <f t="shared" si="45"/>
        <v>4.4268252530051511E-2</v>
      </c>
      <c r="R61" s="1083">
        <f t="shared" si="45"/>
        <v>2.0119084114434749E-2</v>
      </c>
      <c r="S61" s="1083">
        <f t="shared" si="45"/>
        <v>3.1174968677611936E-2</v>
      </c>
      <c r="T61" s="1083">
        <f t="shared" si="45"/>
        <v>3.6367498611270088E-2</v>
      </c>
      <c r="U61" s="1083">
        <f t="shared" si="45"/>
        <v>5.2333974191676624E-2</v>
      </c>
      <c r="V61" s="1083">
        <f t="shared" si="45"/>
        <v>0.1125089546110396</v>
      </c>
      <c r="W61" s="1083">
        <f t="shared" si="45"/>
        <v>8.9420535712896321E-2</v>
      </c>
      <c r="X61" s="1083">
        <f t="shared" si="45"/>
        <v>7.6505797375303164E-2</v>
      </c>
      <c r="Y61" s="1083">
        <f t="shared" si="45"/>
        <v>3.9505110033409174E-2</v>
      </c>
      <c r="Z61" s="1083">
        <f t="shared" si="46"/>
        <v>7.7542628426030547E-4</v>
      </c>
      <c r="AA61" s="1083">
        <f t="shared" si="46"/>
        <v>2.4709866728942265E-2</v>
      </c>
      <c r="AB61" s="1083">
        <f t="shared" si="46"/>
        <v>1.3807020893893185E-2</v>
      </c>
      <c r="AC61" s="1083">
        <f t="shared" si="46"/>
        <v>6.6363318522934867E-2</v>
      </c>
      <c r="AD61" s="1083">
        <f t="shared" si="46"/>
        <v>0.11117585194371937</v>
      </c>
      <c r="AE61" s="1083">
        <f t="shared" si="46"/>
        <v>0.1123902210483736</v>
      </c>
      <c r="AF61" s="1083">
        <f t="shared" si="46"/>
        <v>0.10626973831423947</v>
      </c>
      <c r="AG61" s="1083">
        <f t="shared" si="46"/>
        <v>1.3627496066876077E-2</v>
      </c>
      <c r="AH61" s="1083">
        <f t="shared" si="46"/>
        <v>-0.13097178144500099</v>
      </c>
      <c r="AI61" s="1083">
        <f t="shared" si="46"/>
        <v>-0.2199175837556262</v>
      </c>
      <c r="AJ61" s="1083">
        <f t="shared" si="47"/>
        <v>-0.24351778317469097</v>
      </c>
      <c r="AK61" s="1083">
        <f t="shared" si="47"/>
        <v>-0.19658225808956742</v>
      </c>
      <c r="AL61" s="1083">
        <f t="shared" si="47"/>
        <v>-8.0941298429627717E-2</v>
      </c>
      <c r="AM61" s="1083">
        <f t="shared" si="47"/>
        <v>2.4410591823468275E-2</v>
      </c>
      <c r="AN61" s="1205">
        <f t="shared" si="47"/>
        <v>7.2704617231269308E-2</v>
      </c>
      <c r="AO61" s="1083">
        <f t="shared" si="48"/>
        <v>6.1493896070527354E-2</v>
      </c>
      <c r="AP61" s="1083">
        <f t="shared" si="49"/>
        <v>3.517714444043496E-2</v>
      </c>
      <c r="AQ61" s="1083">
        <f t="shared" si="50"/>
        <v>2.2334497456824698E-2</v>
      </c>
      <c r="AR61" s="1083">
        <f t="shared" si="51"/>
        <v>2.5117192259334953E-2</v>
      </c>
    </row>
    <row r="62" spans="1:45" s="3" customFormat="1">
      <c r="A62" s="15" t="s">
        <v>799</v>
      </c>
      <c r="M62" s="836"/>
      <c r="N62" s="836"/>
      <c r="O62" s="836"/>
      <c r="P62" s="836">
        <f t="shared" ref="P62:AN62" si="52">+P61-P60</f>
        <v>5.5064943929046817E-2</v>
      </c>
      <c r="Q62" s="836">
        <f t="shared" si="52"/>
        <v>4.7710719998468432E-2</v>
      </c>
      <c r="R62" s="836">
        <f t="shared" si="52"/>
        <v>3.1778358883636115E-2</v>
      </c>
      <c r="S62" s="836">
        <f t="shared" si="52"/>
        <v>5.0295491841039319E-2</v>
      </c>
      <c r="T62" s="836">
        <f t="shared" si="52"/>
        <v>5.5004151278680413E-2</v>
      </c>
      <c r="U62" s="836">
        <f t="shared" si="52"/>
        <v>6.4824333279031476E-2</v>
      </c>
      <c r="V62" s="836">
        <f t="shared" si="52"/>
        <v>0.10129146268846601</v>
      </c>
      <c r="W62" s="836">
        <f t="shared" si="52"/>
        <v>9.5203552258944169E-2</v>
      </c>
      <c r="X62" s="836">
        <f t="shared" si="52"/>
        <v>7.9129387806531115E-2</v>
      </c>
      <c r="Y62" s="836">
        <f t="shared" si="52"/>
        <v>3.8854381587632325E-2</v>
      </c>
      <c r="Z62" s="836">
        <f t="shared" si="52"/>
        <v>-1.7084233343827915E-2</v>
      </c>
      <c r="AA62" s="836">
        <f t="shared" si="52"/>
        <v>-0.14683247498951313</v>
      </c>
      <c r="AB62" s="836">
        <f t="shared" si="52"/>
        <v>-0.21823954215582764</v>
      </c>
      <c r="AC62" s="836">
        <f t="shared" si="52"/>
        <v>-0.20413054364316707</v>
      </c>
      <c r="AD62" s="836">
        <f t="shared" si="52"/>
        <v>-0.16752894257990447</v>
      </c>
      <c r="AE62" s="836">
        <f t="shared" si="52"/>
        <v>-1.1085688390857218E-2</v>
      </c>
      <c r="AF62" s="836">
        <f t="shared" si="52"/>
        <v>7.8163499408682835E-2</v>
      </c>
      <c r="AG62" s="836">
        <f t="shared" si="52"/>
        <v>7.6154748869176614E-2</v>
      </c>
      <c r="AH62" s="836">
        <f t="shared" si="52"/>
        <v>4.032192963778003E-2</v>
      </c>
      <c r="AI62" s="836">
        <f t="shared" si="52"/>
        <v>4.9937032934137537E-3</v>
      </c>
      <c r="AJ62" s="836">
        <f t="shared" si="52"/>
        <v>-5.439714097851045E-3</v>
      </c>
      <c r="AK62" s="836">
        <f t="shared" si="52"/>
        <v>2.0744277948796852E-2</v>
      </c>
      <c r="AL62" s="836">
        <f t="shared" si="52"/>
        <v>6.3815604783419411E-2</v>
      </c>
      <c r="AM62" s="836">
        <f t="shared" si="52"/>
        <v>7.2012376214043772E-2</v>
      </c>
      <c r="AN62" s="1069">
        <f t="shared" si="52"/>
        <v>6.286692705698238E-2</v>
      </c>
      <c r="AO62" s="836">
        <f t="shared" ref="AO62:AQ62" si="53">+AO61-AO60</f>
        <v>1.8664921096316345E-3</v>
      </c>
      <c r="AP62" s="836">
        <f t="shared" si="53"/>
        <v>-4.5077063303398557E-2</v>
      </c>
      <c r="AQ62" s="836">
        <f t="shared" si="53"/>
        <v>-1.7603196869588666E-2</v>
      </c>
      <c r="AR62" s="836">
        <f t="shared" ref="AR62" si="54">+AR61-AR60</f>
        <v>-9.2545924057458873E-3</v>
      </c>
    </row>
    <row r="63" spans="1:45" s="3" customFormat="1">
      <c r="A63" s="15"/>
      <c r="M63" s="836"/>
      <c r="N63" s="836"/>
      <c r="O63" s="836"/>
      <c r="P63" s="836"/>
      <c r="Q63" s="836"/>
      <c r="R63" s="836"/>
      <c r="S63" s="836"/>
      <c r="T63" s="836"/>
      <c r="U63" s="836"/>
      <c r="V63" s="836"/>
      <c r="W63" s="836"/>
      <c r="X63" s="836"/>
      <c r="Y63" s="836"/>
      <c r="Z63" s="836"/>
      <c r="AA63" s="836"/>
      <c r="AB63" s="836"/>
      <c r="AC63" s="836"/>
      <c r="AD63" s="836"/>
      <c r="AE63" s="836"/>
      <c r="AF63" s="836"/>
      <c r="AG63" s="836"/>
      <c r="AH63" s="836"/>
      <c r="AI63" s="836"/>
      <c r="AJ63" s="836"/>
      <c r="AK63" s="836"/>
      <c r="AL63" s="836"/>
      <c r="AM63" s="836"/>
      <c r="AN63" s="1069"/>
      <c r="AO63" s="836"/>
      <c r="AP63" s="836"/>
      <c r="AQ63" s="836"/>
      <c r="AR63" s="836"/>
    </row>
    <row r="64" spans="1:45" ht="13.5">
      <c r="A64" s="45" t="s">
        <v>810</v>
      </c>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N64" s="1067"/>
    </row>
    <row r="65" spans="1:45">
      <c r="A65" t="s">
        <v>802</v>
      </c>
      <c r="C65" s="8"/>
      <c r="D65" s="8"/>
      <c r="E65" s="8"/>
      <c r="F65" s="8"/>
      <c r="G65" s="8"/>
      <c r="H65" s="8"/>
      <c r="I65" s="8"/>
      <c r="J65" s="8"/>
      <c r="K65" s="8"/>
      <c r="L65" s="8">
        <f t="shared" ref="L65:AN65" si="55">+L56/$L$56*100</f>
        <v>100</v>
      </c>
      <c r="M65" s="8">
        <f t="shared" si="55"/>
        <v>99.325869793766657</v>
      </c>
      <c r="N65" s="8">
        <f t="shared" si="55"/>
        <v>98.981079889516494</v>
      </c>
      <c r="O65" s="8">
        <f t="shared" si="55"/>
        <v>98.648348211425912</v>
      </c>
      <c r="P65" s="8">
        <f t="shared" si="55"/>
        <v>98.965253467682075</v>
      </c>
      <c r="Q65" s="8">
        <f t="shared" si="55"/>
        <v>98.983943718229398</v>
      </c>
      <c r="R65" s="8">
        <f t="shared" si="55"/>
        <v>97.82703228213235</v>
      </c>
      <c r="S65" s="8">
        <f t="shared" si="55"/>
        <v>96.7621401844155</v>
      </c>
      <c r="T65" s="8">
        <f t="shared" si="55"/>
        <v>97.120872412662649</v>
      </c>
      <c r="U65" s="8">
        <f t="shared" si="55"/>
        <v>97.74759871730619</v>
      </c>
      <c r="V65" s="8">
        <f t="shared" si="55"/>
        <v>98.924406226566518</v>
      </c>
      <c r="W65" s="8">
        <f t="shared" si="55"/>
        <v>96.202563126698024</v>
      </c>
      <c r="X65" s="8">
        <f t="shared" si="55"/>
        <v>96.866067021128273</v>
      </c>
      <c r="Y65" s="8">
        <f t="shared" si="55"/>
        <v>97.811205860297918</v>
      </c>
      <c r="Z65" s="8">
        <f t="shared" si="55"/>
        <v>100.69116245068375</v>
      </c>
      <c r="AA65" s="8">
        <f t="shared" si="55"/>
        <v>112.70537608476934</v>
      </c>
      <c r="AB65" s="8">
        <f t="shared" si="55"/>
        <v>119.34350494952501</v>
      </c>
      <c r="AC65" s="8">
        <f t="shared" si="55"/>
        <v>124.26853669657356</v>
      </c>
      <c r="AD65" s="8">
        <f t="shared" si="55"/>
        <v>128.75427219184635</v>
      </c>
      <c r="AE65" s="8">
        <f t="shared" si="55"/>
        <v>126.62177489552677</v>
      </c>
      <c r="AF65" s="8">
        <f t="shared" si="55"/>
        <v>122.69780201146283</v>
      </c>
      <c r="AG65" s="8">
        <f t="shared" si="55"/>
        <v>116.49836648717495</v>
      </c>
      <c r="AH65" s="8">
        <f t="shared" si="55"/>
        <v>106.6994750903425</v>
      </c>
      <c r="AI65" s="8">
        <f t="shared" si="55"/>
        <v>98.143108535340033</v>
      </c>
      <c r="AJ65" s="8">
        <f t="shared" si="55"/>
        <v>93.48614622860137</v>
      </c>
      <c r="AK65" s="8">
        <f t="shared" si="55"/>
        <v>91.180180044389346</v>
      </c>
      <c r="AL65" s="8">
        <f t="shared" si="55"/>
        <v>91.253989501806856</v>
      </c>
      <c r="AM65" s="8">
        <f t="shared" si="55"/>
        <v>93.471321443419924</v>
      </c>
      <c r="AN65" s="1068">
        <f t="shared" si="55"/>
        <v>94.405833970786432</v>
      </c>
      <c r="AO65" s="8">
        <f t="shared" ref="AO65:AQ65" si="56">+AO56/$L$56*100</f>
        <v>96.61701747312334</v>
      </c>
      <c r="AP65" s="8">
        <f t="shared" si="56"/>
        <v>98.577506132738463</v>
      </c>
      <c r="AQ65" s="8">
        <f t="shared" si="56"/>
        <v>97.204350507513155</v>
      </c>
      <c r="AR65" s="8">
        <f t="shared" ref="AR65" si="57">+AR56/$L$56*100</f>
        <v>97.650730967157671</v>
      </c>
      <c r="AS65" t="s">
        <v>806</v>
      </c>
    </row>
    <row r="66" spans="1:45">
      <c r="A66" t="s">
        <v>803</v>
      </c>
      <c r="C66" s="8"/>
      <c r="I66" s="8"/>
      <c r="J66" s="8"/>
      <c r="K66" s="8"/>
      <c r="L66" s="8">
        <f t="shared" ref="L66:AN66" si="58">+L57/$L$57*100</f>
        <v>100</v>
      </c>
      <c r="M66" s="8">
        <f t="shared" si="58"/>
        <v>100.7370952431867</v>
      </c>
      <c r="N66" s="8">
        <f t="shared" si="58"/>
        <v>101.66198812146099</v>
      </c>
      <c r="O66" s="8">
        <f t="shared" si="58"/>
        <v>102.62409070626921</v>
      </c>
      <c r="P66" s="8">
        <f t="shared" si="58"/>
        <v>104.47174786058675</v>
      </c>
      <c r="Q66" s="8">
        <f t="shared" si="58"/>
        <v>105.19655041455596</v>
      </c>
      <c r="R66" s="8">
        <f t="shared" si="58"/>
        <v>103.70733421171734</v>
      </c>
      <c r="S66" s="8">
        <f t="shared" si="58"/>
        <v>105.82339351960557</v>
      </c>
      <c r="T66" s="8">
        <f t="shared" si="58"/>
        <v>108.27112400582359</v>
      </c>
      <c r="U66" s="8">
        <f t="shared" si="58"/>
        <v>110.70190396900472</v>
      </c>
      <c r="V66" s="8">
        <f t="shared" si="58"/>
        <v>115.37533796937535</v>
      </c>
      <c r="W66" s="8">
        <f t="shared" si="58"/>
        <v>115.28617805908534</v>
      </c>
      <c r="X66" s="8">
        <f t="shared" si="58"/>
        <v>116.55449268060944</v>
      </c>
      <c r="Y66" s="8">
        <f t="shared" si="58"/>
        <v>115.07519486620814</v>
      </c>
      <c r="Z66" s="8">
        <f t="shared" si="58"/>
        <v>115.46480303899223</v>
      </c>
      <c r="AA66" s="8">
        <f t="shared" si="58"/>
        <v>118.13488415461444</v>
      </c>
      <c r="AB66" s="8">
        <f t="shared" si="58"/>
        <v>118.16376299632773</v>
      </c>
      <c r="AC66" s="8">
        <f t="shared" si="58"/>
        <v>122.71196667720309</v>
      </c>
      <c r="AD66" s="8">
        <f t="shared" si="58"/>
        <v>128.30170088636595</v>
      </c>
      <c r="AE66" s="8">
        <f t="shared" si="58"/>
        <v>131.41208989827558</v>
      </c>
      <c r="AF66" s="8">
        <f t="shared" si="58"/>
        <v>130.72099516817332</v>
      </c>
      <c r="AG66" s="8">
        <f t="shared" si="58"/>
        <v>124.38422352045532</v>
      </c>
      <c r="AH66" s="8">
        <f t="shared" si="58"/>
        <v>111.49779855885495</v>
      </c>
      <c r="AI66" s="8">
        <f t="shared" si="58"/>
        <v>102.51226061156966</v>
      </c>
      <c r="AJ66" s="8">
        <f t="shared" si="58"/>
        <v>98.888108210430261</v>
      </c>
      <c r="AK66" s="8">
        <f t="shared" si="58"/>
        <v>99.932491990086731</v>
      </c>
      <c r="AL66" s="8">
        <f t="shared" si="58"/>
        <v>102.47302197145616</v>
      </c>
      <c r="AM66" s="8">
        <f t="shared" si="58"/>
        <v>105.0146455622597</v>
      </c>
      <c r="AN66" s="1068">
        <f t="shared" si="58"/>
        <v>106.07773026659393</v>
      </c>
      <c r="AO66" s="8">
        <f t="shared" ref="AO66:AQ66" si="59">+AO57/$L$57*100</f>
        <v>106.07773026659393</v>
      </c>
      <c r="AP66" s="8">
        <f t="shared" si="59"/>
        <v>106.07773026659393</v>
      </c>
      <c r="AQ66" s="8">
        <f t="shared" si="59"/>
        <v>107.36009489649933</v>
      </c>
      <c r="AR66" s="8">
        <f t="shared" ref="AR66" si="60">+AR57/$L$57*100</f>
        <v>108.74210501213383</v>
      </c>
      <c r="AS66" t="s">
        <v>807</v>
      </c>
    </row>
    <row r="67" spans="1:45">
      <c r="AN67" s="1067"/>
      <c r="AS67" t="s">
        <v>808</v>
      </c>
    </row>
    <row r="68" spans="1:45" hidden="1" outlineLevel="1">
      <c r="A68" s="24" t="s">
        <v>123</v>
      </c>
      <c r="AN68" s="1067"/>
    </row>
    <row r="69" spans="1:45" s="3" customFormat="1" hidden="1" outlineLevel="1">
      <c r="A69" s="13" t="s">
        <v>811</v>
      </c>
      <c r="M69" s="836"/>
      <c r="N69" s="836"/>
      <c r="O69" s="836"/>
      <c r="P69" s="836"/>
      <c r="Q69" s="836"/>
      <c r="R69" s="836"/>
      <c r="S69" s="836"/>
      <c r="T69" s="836"/>
      <c r="U69" s="836"/>
      <c r="V69" s="836"/>
      <c r="W69" s="836"/>
      <c r="X69" s="836"/>
      <c r="Y69" s="836"/>
      <c r="Z69" s="836"/>
      <c r="AA69" s="836"/>
      <c r="AB69" s="836">
        <f t="shared" ref="AB69:AH69" si="61">AVERAGE(Y48:AB48)</f>
        <v>7.5000000000000015E-3</v>
      </c>
      <c r="AC69" s="836">
        <f t="shared" si="61"/>
        <v>4.4999999999999998E-2</v>
      </c>
      <c r="AD69" s="836">
        <f t="shared" si="61"/>
        <v>0.10500000000000001</v>
      </c>
      <c r="AE69" s="836">
        <f t="shared" si="61"/>
        <v>0.1075</v>
      </c>
      <c r="AF69" s="836">
        <f t="shared" si="61"/>
        <v>0.10999999999999999</v>
      </c>
      <c r="AG69" s="836">
        <f t="shared" si="61"/>
        <v>4.7499999999999994E-2</v>
      </c>
      <c r="AH69" s="836">
        <f t="shared" si="61"/>
        <v>-0.1125</v>
      </c>
      <c r="AI69" s="836"/>
      <c r="AJ69" s="836"/>
      <c r="AK69" s="836"/>
      <c r="AL69" s="836"/>
      <c r="AM69" s="836"/>
      <c r="AN69" s="1069"/>
      <c r="AO69" s="836"/>
      <c r="AP69" s="836"/>
      <c r="AQ69" s="836"/>
      <c r="AR69" s="836"/>
    </row>
    <row r="70" spans="1:45" hidden="1" outlineLevel="1">
      <c r="AB70" s="836"/>
      <c r="AC70" s="836"/>
      <c r="AD70" s="836"/>
      <c r="AE70" s="836"/>
      <c r="AF70" s="836"/>
      <c r="AG70" s="836"/>
      <c r="AH70" s="836"/>
      <c r="AI70" s="836"/>
      <c r="AN70" s="1067"/>
    </row>
    <row r="71" spans="1:45" s="3" customFormat="1" hidden="1" outlineLevel="1">
      <c r="A71" s="24" t="s">
        <v>804</v>
      </c>
      <c r="AN71" s="1075"/>
    </row>
    <row r="72" spans="1:45" s="3" customFormat="1" hidden="1" outlineLevel="1">
      <c r="A72" s="13" t="str">
        <f>+A60</f>
        <v>PC OEM Shipments (# in '000s)</v>
      </c>
      <c r="J72" s="836"/>
      <c r="K72" s="836"/>
      <c r="L72" s="836"/>
      <c r="M72" s="836">
        <f t="shared" ref="M72:AN72" si="62">+M56/L56-1</f>
        <v>-6.7413020623334763E-3</v>
      </c>
      <c r="N72" s="836">
        <f t="shared" si="62"/>
        <v>-3.4713001251944764E-3</v>
      </c>
      <c r="O72" s="836">
        <f t="shared" si="62"/>
        <v>-3.361568478157384E-3</v>
      </c>
      <c r="P72" s="836">
        <f t="shared" si="62"/>
        <v>3.212474025180212E-3</v>
      </c>
      <c r="Q72" s="836">
        <f t="shared" si="62"/>
        <v>1.888566935608349E-4</v>
      </c>
      <c r="R72" s="836">
        <f t="shared" si="62"/>
        <v>-1.1687869695213737E-2</v>
      </c>
      <c r="S72" s="836">
        <f t="shared" si="62"/>
        <v>-1.0885458475789256E-2</v>
      </c>
      <c r="T72" s="836">
        <f t="shared" si="62"/>
        <v>3.7073614490485962E-3</v>
      </c>
      <c r="U72" s="836">
        <f t="shared" si="62"/>
        <v>6.4530547252561465E-3</v>
      </c>
      <c r="V72" s="836">
        <f t="shared" si="62"/>
        <v>1.203924725213712E-2</v>
      </c>
      <c r="W72" s="836">
        <f t="shared" si="62"/>
        <v>-2.7514373891056376E-2</v>
      </c>
      <c r="X72" s="836">
        <f t="shared" si="62"/>
        <v>6.8969461193713055E-3</v>
      </c>
      <c r="Y72" s="836">
        <f t="shared" si="62"/>
        <v>9.7571716106064077E-3</v>
      </c>
      <c r="Z72" s="836">
        <f t="shared" si="62"/>
        <v>2.9444035221273257E-2</v>
      </c>
      <c r="AA72" s="836">
        <f t="shared" si="62"/>
        <v>0.1193174588680499</v>
      </c>
      <c r="AB72" s="836">
        <f t="shared" si="62"/>
        <v>5.8898067646417473E-2</v>
      </c>
      <c r="AC72" s="836">
        <f t="shared" si="62"/>
        <v>4.126769822229992E-2</v>
      </c>
      <c r="AD72" s="836">
        <f t="shared" si="62"/>
        <v>3.6097113674281145E-2</v>
      </c>
      <c r="AE72" s="836">
        <f t="shared" si="62"/>
        <v>-1.6562536217378021E-2</v>
      </c>
      <c r="AF72" s="836">
        <f t="shared" si="62"/>
        <v>-3.098971632092129E-2</v>
      </c>
      <c r="AG72" s="836">
        <f t="shared" si="62"/>
        <v>-5.0526051996503618E-2</v>
      </c>
      <c r="AH72" s="836">
        <f t="shared" si="62"/>
        <v>-8.4111835146728819E-2</v>
      </c>
      <c r="AI72" s="836">
        <f t="shared" si="62"/>
        <v>-8.0191271304360101E-2</v>
      </c>
      <c r="AJ72" s="836">
        <f t="shared" si="62"/>
        <v>-4.7450731653376876E-2</v>
      </c>
      <c r="AK72" s="836">
        <f t="shared" si="62"/>
        <v>-2.4666394725195273E-2</v>
      </c>
      <c r="AL72" s="836">
        <f t="shared" si="62"/>
        <v>8.0949014776643402E-4</v>
      </c>
      <c r="AM72" s="836">
        <f t="shared" si="62"/>
        <v>2.4298465784547085E-2</v>
      </c>
      <c r="AN72" s="1069">
        <f t="shared" si="62"/>
        <v>9.9978529557025464E-3</v>
      </c>
      <c r="AO72" s="836">
        <f t="shared" ref="AO72:AO73" si="63">+AO56/AN56-1</f>
        <v>2.342210655139354E-2</v>
      </c>
      <c r="AP72" s="836">
        <f t="shared" ref="AP72:AP73" si="64">+AP56/AO56-1</f>
        <v>2.0291339050705792E-2</v>
      </c>
      <c r="AQ72" s="836">
        <f t="shared" ref="AQ72:AQ73" si="65">+AQ56/AP56-1</f>
        <v>-1.3929705458122443E-2</v>
      </c>
      <c r="AR72" s="836">
        <f t="shared" ref="AR72:AR73" si="66">+AR56/AQ56-1</f>
        <v>4.5921860216535659E-3</v>
      </c>
    </row>
    <row r="73" spans="1:45" s="3" customFormat="1" ht="11.45" hidden="1" outlineLevel="1">
      <c r="A73" s="13" t="str">
        <f>+A61</f>
        <v>Windows OEM Revenue (Deferral Adj.)</v>
      </c>
      <c r="J73" s="836"/>
      <c r="K73" s="836"/>
      <c r="L73" s="836"/>
      <c r="M73" s="1083">
        <f t="shared" ref="M73:AN73" si="67">+M57/L57-1</f>
        <v>7.3709524318670283E-3</v>
      </c>
      <c r="N73" s="1083">
        <f t="shared" si="67"/>
        <v>9.1812541948079751E-3</v>
      </c>
      <c r="O73" s="1083">
        <f t="shared" si="67"/>
        <v>9.4637396197558843E-3</v>
      </c>
      <c r="P73" s="1083">
        <f t="shared" si="67"/>
        <v>1.8004126921873365E-2</v>
      </c>
      <c r="Q73" s="1083">
        <f t="shared" si="67"/>
        <v>6.9377852750813762E-3</v>
      </c>
      <c r="R73" s="1083">
        <f t="shared" si="67"/>
        <v>-1.4156511757942192E-2</v>
      </c>
      <c r="S73" s="1083">
        <f t="shared" si="67"/>
        <v>2.0404143293938359E-2</v>
      </c>
      <c r="T73" s="1083">
        <f t="shared" si="67"/>
        <v>2.3130334463943969E-2</v>
      </c>
      <c r="U73" s="1083">
        <f t="shared" si="67"/>
        <v>2.2450861072158101E-2</v>
      </c>
      <c r="V73" s="1083">
        <f t="shared" si="67"/>
        <v>4.2216383213057762E-2</v>
      </c>
      <c r="W73" s="1083">
        <f t="shared" si="67"/>
        <v>-7.7278135743075183E-4</v>
      </c>
      <c r="X73" s="1083">
        <f t="shared" si="67"/>
        <v>1.1001445644889696E-2</v>
      </c>
      <c r="Y73" s="1083">
        <f t="shared" si="67"/>
        <v>-1.2691898702308912E-2</v>
      </c>
      <c r="Z73" s="1083">
        <f t="shared" si="67"/>
        <v>3.3856833632743832E-3</v>
      </c>
      <c r="AA73" s="1083">
        <f t="shared" si="67"/>
        <v>2.3124632315187243E-2</v>
      </c>
      <c r="AB73" s="1083">
        <f t="shared" si="67"/>
        <v>2.4445651189286544E-4</v>
      </c>
      <c r="AC73" s="1083">
        <f t="shared" si="67"/>
        <v>3.8490680776785302E-2</v>
      </c>
      <c r="AD73" s="1083">
        <f t="shared" si="67"/>
        <v>4.5551663464630021E-2</v>
      </c>
      <c r="AE73" s="1083">
        <f t="shared" si="67"/>
        <v>2.424277301408817E-2</v>
      </c>
      <c r="AF73" s="1083">
        <f t="shared" si="67"/>
        <v>-5.2589889608880558E-3</v>
      </c>
      <c r="AG73" s="1083">
        <f t="shared" si="67"/>
        <v>-4.8475546254568402E-2</v>
      </c>
      <c r="AH73" s="1083">
        <f t="shared" si="67"/>
        <v>-0.10360176392853526</v>
      </c>
      <c r="AI73" s="1083">
        <f t="shared" si="67"/>
        <v>-8.0589375426477039E-2</v>
      </c>
      <c r="AJ73" s="1083">
        <f t="shared" si="67"/>
        <v>-3.5353355584184509E-2</v>
      </c>
      <c r="AK73" s="1083">
        <f t="shared" si="67"/>
        <v>1.0561267664601859E-2</v>
      </c>
      <c r="AL73" s="1083">
        <f t="shared" si="67"/>
        <v>2.5422462011869262E-2</v>
      </c>
      <c r="AM73" s="1083">
        <f t="shared" si="67"/>
        <v>2.4802855833719217E-2</v>
      </c>
      <c r="AN73" s="1205">
        <f t="shared" si="67"/>
        <v>1.0123204231584637E-2</v>
      </c>
      <c r="AO73" s="1083">
        <f t="shared" si="63"/>
        <v>0</v>
      </c>
      <c r="AP73" s="1083">
        <f t="shared" si="64"/>
        <v>0</v>
      </c>
      <c r="AQ73" s="1083">
        <f t="shared" si="65"/>
        <v>1.2088914673066498E-2</v>
      </c>
      <c r="AR73" s="1083">
        <f t="shared" si="66"/>
        <v>1.287266108479912E-2</v>
      </c>
    </row>
    <row r="74" spans="1:45" s="3" customFormat="1" hidden="1" outlineLevel="1">
      <c r="A74" s="15" t="s">
        <v>799</v>
      </c>
      <c r="M74" s="836">
        <f t="shared" ref="M74:AN74" si="68">+M73-M72</f>
        <v>1.4112254494200505E-2</v>
      </c>
      <c r="N74" s="836">
        <f t="shared" si="68"/>
        <v>1.2652554320002452E-2</v>
      </c>
      <c r="O74" s="836">
        <f t="shared" si="68"/>
        <v>1.2825308097913268E-2</v>
      </c>
      <c r="P74" s="836">
        <f t="shared" si="68"/>
        <v>1.4791652896693153E-2</v>
      </c>
      <c r="Q74" s="836">
        <f t="shared" si="68"/>
        <v>6.7489285815205413E-3</v>
      </c>
      <c r="R74" s="836">
        <f t="shared" si="68"/>
        <v>-2.4686420627284544E-3</v>
      </c>
      <c r="S74" s="836">
        <f t="shared" si="68"/>
        <v>3.1289601769727615E-2</v>
      </c>
      <c r="T74" s="836">
        <f t="shared" si="68"/>
        <v>1.9422973014895373E-2</v>
      </c>
      <c r="U74" s="836">
        <f t="shared" si="68"/>
        <v>1.5997806346901955E-2</v>
      </c>
      <c r="V74" s="836">
        <f t="shared" si="68"/>
        <v>3.0177135960920642E-2</v>
      </c>
      <c r="W74" s="836">
        <f t="shared" si="68"/>
        <v>2.6741592533625624E-2</v>
      </c>
      <c r="X74" s="836">
        <f t="shared" si="68"/>
        <v>4.1044995255183903E-3</v>
      </c>
      <c r="Y74" s="836">
        <f t="shared" si="68"/>
        <v>-2.244907031291532E-2</v>
      </c>
      <c r="Z74" s="836">
        <f t="shared" si="68"/>
        <v>-2.6058351857998874E-2</v>
      </c>
      <c r="AA74" s="836">
        <f t="shared" si="68"/>
        <v>-9.6192826552862654E-2</v>
      </c>
      <c r="AB74" s="836">
        <f t="shared" si="68"/>
        <v>-5.8653611134524608E-2</v>
      </c>
      <c r="AC74" s="836">
        <f t="shared" si="68"/>
        <v>-2.7770174455146179E-3</v>
      </c>
      <c r="AD74" s="836">
        <f t="shared" si="68"/>
        <v>9.4545497903488762E-3</v>
      </c>
      <c r="AE74" s="836">
        <f t="shared" si="68"/>
        <v>4.0805309231466191E-2</v>
      </c>
      <c r="AF74" s="836">
        <f t="shared" si="68"/>
        <v>2.5730727360033234E-2</v>
      </c>
      <c r="AG74" s="836">
        <f t="shared" si="68"/>
        <v>2.0505057419352157E-3</v>
      </c>
      <c r="AH74" s="836">
        <f t="shared" si="68"/>
        <v>-1.9489928781806443E-2</v>
      </c>
      <c r="AI74" s="836">
        <f t="shared" si="68"/>
        <v>-3.9810412211693791E-4</v>
      </c>
      <c r="AJ74" s="836">
        <f t="shared" si="68"/>
        <v>1.2097376069192367E-2</v>
      </c>
      <c r="AK74" s="836">
        <f t="shared" si="68"/>
        <v>3.5227662389797132E-2</v>
      </c>
      <c r="AL74" s="836">
        <f t="shared" si="68"/>
        <v>2.4612971864102828E-2</v>
      </c>
      <c r="AM74" s="836">
        <f t="shared" si="68"/>
        <v>5.0439004917213204E-4</v>
      </c>
      <c r="AN74" s="1069">
        <f t="shared" si="68"/>
        <v>1.2535127588209072E-4</v>
      </c>
      <c r="AO74" s="836">
        <f t="shared" ref="AO74:AQ74" si="69">+AO73-AO72</f>
        <v>-2.342210655139354E-2</v>
      </c>
      <c r="AP74" s="836">
        <f t="shared" si="69"/>
        <v>-2.0291339050705792E-2</v>
      </c>
      <c r="AQ74" s="836">
        <f t="shared" si="69"/>
        <v>2.6018620131188941E-2</v>
      </c>
      <c r="AR74" s="836">
        <f t="shared" ref="AR74" si="70">+AR73-AR72</f>
        <v>8.2804750631455537E-3</v>
      </c>
    </row>
    <row r="75" spans="1:45" collapsed="1">
      <c r="AN75" s="1067"/>
    </row>
    <row r="76" spans="1:45">
      <c r="AN76" s="1067"/>
    </row>
    <row r="77" spans="1:45">
      <c r="AN77" s="1067"/>
    </row>
    <row r="78" spans="1:45">
      <c r="AN78" s="1067"/>
    </row>
    <row r="79" spans="1:45">
      <c r="AN79" s="1067"/>
    </row>
    <row r="80" spans="1:45">
      <c r="AN80" s="1067"/>
    </row>
    <row r="81" spans="40:40">
      <c r="AN81" s="1067"/>
    </row>
    <row r="82" spans="40:40">
      <c r="AN82" s="1067"/>
    </row>
    <row r="83" spans="40:40">
      <c r="AN83" s="1067"/>
    </row>
    <row r="84" spans="40:40">
      <c r="AN84" s="1067"/>
    </row>
    <row r="85" spans="40:40">
      <c r="AN85" s="1067"/>
    </row>
    <row r="86" spans="40:40">
      <c r="AN86" s="1067"/>
    </row>
    <row r="87" spans="40:40">
      <c r="AN87" s="1067"/>
    </row>
    <row r="88" spans="40:40">
      <c r="AN88" s="1067"/>
    </row>
    <row r="89" spans="40:40">
      <c r="AN89" s="1067"/>
    </row>
    <row r="90" spans="40:40">
      <c r="AN90" s="1067"/>
    </row>
    <row r="91" spans="40:40">
      <c r="AN91" s="1067"/>
    </row>
    <row r="92" spans="40:40">
      <c r="AN92" s="1067"/>
    </row>
    <row r="93" spans="40:40">
      <c r="AN93" s="1067"/>
    </row>
    <row r="94" spans="40:40">
      <c r="AN94" s="1067"/>
    </row>
    <row r="95" spans="40:40">
      <c r="AN95" s="1067"/>
    </row>
    <row r="96" spans="40:40">
      <c r="AN96" s="1067"/>
    </row>
    <row r="97" spans="40:40">
      <c r="AN97" s="1067"/>
    </row>
    <row r="98" spans="40:40">
      <c r="AN98" s="1067"/>
    </row>
    <row r="99" spans="40:40">
      <c r="AN99" s="1067"/>
    </row>
    <row r="100" spans="40:40">
      <c r="AN100" s="1067"/>
    </row>
    <row r="101" spans="40:40">
      <c r="AN101" s="1067"/>
    </row>
    <row r="102" spans="40:40">
      <c r="AN102" s="1067"/>
    </row>
    <row r="103" spans="40:40">
      <c r="AN103" s="1067"/>
    </row>
    <row r="104" spans="40:40">
      <c r="AN104" s="1067"/>
    </row>
    <row r="105" spans="40:40">
      <c r="AN105" s="1067"/>
    </row>
    <row r="106" spans="40:40">
      <c r="AN106" s="1067"/>
    </row>
    <row r="107" spans="40:40">
      <c r="AN107" s="1067"/>
    </row>
    <row r="108" spans="40:40">
      <c r="AN108" s="1067"/>
    </row>
    <row r="109" spans="40:40">
      <c r="AN109" s="1067"/>
    </row>
    <row r="110" spans="40:40">
      <c r="AN110" s="1067"/>
    </row>
    <row r="111" spans="40:40">
      <c r="AN111" s="1067"/>
    </row>
    <row r="112" spans="40:40">
      <c r="AN112" s="1067"/>
    </row>
    <row r="113" spans="40:40">
      <c r="AN113" s="1067"/>
    </row>
    <row r="114" spans="40:40">
      <c r="AN114" s="1067"/>
    </row>
    <row r="115" spans="40:40">
      <c r="AN115" s="1067"/>
    </row>
    <row r="116" spans="40:40">
      <c r="AN116" s="1067"/>
    </row>
    <row r="117" spans="40:40">
      <c r="AN117" s="1067"/>
    </row>
    <row r="118" spans="40:40">
      <c r="AN118" s="1067"/>
    </row>
    <row r="119" spans="40:40">
      <c r="AN119" s="1067"/>
    </row>
    <row r="120" spans="40:40">
      <c r="AN120" s="1067"/>
    </row>
    <row r="121" spans="40:40">
      <c r="AN121" s="1067"/>
    </row>
    <row r="122" spans="40:40">
      <c r="AN122" s="1067"/>
    </row>
    <row r="123" spans="40:40">
      <c r="AN123" s="1067"/>
    </row>
    <row r="124" spans="40:40">
      <c r="AN124" s="1067"/>
    </row>
    <row r="125" spans="40:40">
      <c r="AN125" s="1067"/>
    </row>
    <row r="126" spans="40:40">
      <c r="AN126" s="1067"/>
    </row>
    <row r="127" spans="40:40">
      <c r="AN127" s="1067"/>
    </row>
    <row r="128" spans="40:40">
      <c r="AN128" s="1067"/>
    </row>
    <row r="129" spans="1:44">
      <c r="AN129" s="1067"/>
    </row>
    <row r="130" spans="1:44">
      <c r="AN130" s="1067"/>
    </row>
    <row r="131" spans="1:44">
      <c r="AN131" s="1067"/>
    </row>
    <row r="132" spans="1:44">
      <c r="AN132" s="1067"/>
    </row>
    <row r="133" spans="1:44" ht="10.5">
      <c r="A133" s="1055" t="s">
        <v>812</v>
      </c>
      <c r="AN133" s="1067"/>
    </row>
    <row r="134" spans="1:44">
      <c r="AN134" s="1067"/>
    </row>
    <row r="135" spans="1:44" ht="13.5">
      <c r="C135" s="821" t="s">
        <v>649</v>
      </c>
      <c r="D135" s="31"/>
      <c r="E135" s="31"/>
      <c r="F135" s="31"/>
      <c r="G135" s="31"/>
      <c r="H135" s="31"/>
      <c r="I135" s="31"/>
      <c r="J135" s="31"/>
      <c r="K135" s="821" t="s">
        <v>649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N135" s="1067"/>
    </row>
    <row r="136" spans="1:44" ht="13.5">
      <c r="C136" s="6" t="s">
        <v>726</v>
      </c>
      <c r="D136" s="6" t="s">
        <v>727</v>
      </c>
      <c r="E136" s="6" t="s">
        <v>728</v>
      </c>
      <c r="F136" s="6" t="s">
        <v>729</v>
      </c>
      <c r="G136" s="6" t="s">
        <v>204</v>
      </c>
      <c r="H136" s="6" t="s">
        <v>205</v>
      </c>
      <c r="I136" s="6" t="s">
        <v>206</v>
      </c>
      <c r="J136" s="6" t="s">
        <v>207</v>
      </c>
      <c r="K136" s="6" t="s">
        <v>208</v>
      </c>
      <c r="L136" s="6" t="s">
        <v>209</v>
      </c>
      <c r="M136" s="6" t="s">
        <v>210</v>
      </c>
      <c r="N136" s="6" t="s">
        <v>211</v>
      </c>
      <c r="O136" s="6" t="s">
        <v>212</v>
      </c>
      <c r="P136" s="6" t="s">
        <v>213</v>
      </c>
      <c r="Q136" s="6" t="s">
        <v>214</v>
      </c>
      <c r="R136" s="6" t="s">
        <v>215</v>
      </c>
      <c r="S136" s="6" t="s">
        <v>216</v>
      </c>
      <c r="T136" s="6" t="s">
        <v>217</v>
      </c>
      <c r="U136" s="6" t="s">
        <v>218</v>
      </c>
      <c r="V136" s="6" t="s">
        <v>219</v>
      </c>
      <c r="W136" s="6" t="s">
        <v>220</v>
      </c>
      <c r="X136" s="6" t="s">
        <v>221</v>
      </c>
      <c r="Y136" s="6" t="s">
        <v>222</v>
      </c>
      <c r="Z136" s="6" t="s">
        <v>223</v>
      </c>
      <c r="AA136" s="6" t="s">
        <v>224</v>
      </c>
      <c r="AB136" s="6" t="s">
        <v>225</v>
      </c>
      <c r="AC136" s="6" t="s">
        <v>226</v>
      </c>
      <c r="AD136" s="6" t="s">
        <v>227</v>
      </c>
      <c r="AE136" s="6" t="s">
        <v>228</v>
      </c>
      <c r="AF136" s="6" t="s">
        <v>229</v>
      </c>
      <c r="AG136" s="6" t="s">
        <v>230</v>
      </c>
      <c r="AH136" s="6" t="s">
        <v>231</v>
      </c>
      <c r="AI136" s="6" t="str">
        <f>+AI5</f>
        <v>1Q23</v>
      </c>
      <c r="AJ136" s="6" t="str">
        <f t="shared" ref="AJ136:AN136" si="71">+AJ5</f>
        <v>2Q23</v>
      </c>
      <c r="AK136" s="6" t="str">
        <f t="shared" si="71"/>
        <v>3Q23</v>
      </c>
      <c r="AL136" s="6" t="str">
        <f t="shared" si="71"/>
        <v>4Q23</v>
      </c>
      <c r="AM136" s="6" t="str">
        <f t="shared" si="71"/>
        <v>1Q24</v>
      </c>
      <c r="AN136" s="1066" t="str">
        <f t="shared" si="71"/>
        <v>2Q24</v>
      </c>
      <c r="AO136" s="6" t="str">
        <f t="shared" ref="AO136:AR136" si="72">+AO5</f>
        <v>3Q24E</v>
      </c>
      <c r="AP136" s="6" t="str">
        <f t="shared" si="72"/>
        <v>4Q24E</v>
      </c>
      <c r="AQ136" s="6" t="str">
        <f t="shared" si="72"/>
        <v>1Q25E</v>
      </c>
      <c r="AR136" s="6" t="str">
        <f t="shared" si="72"/>
        <v>2Q25E</v>
      </c>
    </row>
    <row r="137" spans="1:44">
      <c r="A137" t="s">
        <v>813</v>
      </c>
      <c r="K137" s="8"/>
      <c r="L137" s="8">
        <f t="shared" ref="L137:AN137" si="73">+L56</f>
        <v>265379</v>
      </c>
      <c r="M137" s="8">
        <f t="shared" si="73"/>
        <v>263590</v>
      </c>
      <c r="N137" s="8">
        <f t="shared" si="73"/>
        <v>262675</v>
      </c>
      <c r="O137" s="8">
        <f t="shared" si="73"/>
        <v>261792</v>
      </c>
      <c r="P137" s="8">
        <f t="shared" si="73"/>
        <v>262633</v>
      </c>
      <c r="Q137" s="8">
        <f t="shared" si="73"/>
        <v>262682.59999999998</v>
      </c>
      <c r="R137" s="8">
        <f t="shared" si="73"/>
        <v>259612.40000000002</v>
      </c>
      <c r="S137" s="8">
        <f t="shared" si="73"/>
        <v>256786.40000000002</v>
      </c>
      <c r="T137" s="8">
        <f t="shared" si="73"/>
        <v>257738.40000000002</v>
      </c>
      <c r="U137" s="8">
        <f t="shared" si="73"/>
        <v>259401.59999999998</v>
      </c>
      <c r="V137" s="8">
        <f t="shared" si="73"/>
        <v>262524.59999999998</v>
      </c>
      <c r="W137" s="8">
        <f t="shared" si="73"/>
        <v>255301.39999999997</v>
      </c>
      <c r="X137" s="8">
        <f t="shared" si="73"/>
        <v>257062.2</v>
      </c>
      <c r="Y137" s="8">
        <f t="shared" si="73"/>
        <v>259570.40000000002</v>
      </c>
      <c r="Z137" s="8">
        <f t="shared" si="73"/>
        <v>267213.2</v>
      </c>
      <c r="AA137" s="8">
        <f t="shared" si="73"/>
        <v>299096.40000000002</v>
      </c>
      <c r="AB137" s="8">
        <f t="shared" si="73"/>
        <v>316712.59999999998</v>
      </c>
      <c r="AC137" s="8">
        <f t="shared" si="73"/>
        <v>329782.59999999998</v>
      </c>
      <c r="AD137" s="8">
        <f t="shared" si="73"/>
        <v>341686.8</v>
      </c>
      <c r="AE137" s="8">
        <f t="shared" si="73"/>
        <v>336027.6</v>
      </c>
      <c r="AF137" s="8">
        <f t="shared" si="73"/>
        <v>325614.19999999995</v>
      </c>
      <c r="AG137" s="8">
        <f t="shared" si="73"/>
        <v>309162.2</v>
      </c>
      <c r="AH137" s="8">
        <f t="shared" si="73"/>
        <v>283158</v>
      </c>
      <c r="AI137" s="8">
        <f t="shared" si="73"/>
        <v>260451.20000000001</v>
      </c>
      <c r="AJ137" s="8">
        <f t="shared" si="73"/>
        <v>248092.6</v>
      </c>
      <c r="AK137" s="8">
        <f t="shared" si="73"/>
        <v>241973.05000000002</v>
      </c>
      <c r="AL137" s="8">
        <f t="shared" si="73"/>
        <v>242168.92480000001</v>
      </c>
      <c r="AM137" s="8">
        <f t="shared" si="73"/>
        <v>248053.25813333335</v>
      </c>
      <c r="AN137" s="1068">
        <f t="shared" si="73"/>
        <v>250533.25813333332</v>
      </c>
      <c r="AO137" s="8">
        <f t="shared" ref="AO137:AR137" si="74">+AO56</f>
        <v>256401.27480000001</v>
      </c>
      <c r="AP137" s="8">
        <f t="shared" si="74"/>
        <v>261604</v>
      </c>
      <c r="AQ137" s="8">
        <f t="shared" si="74"/>
        <v>257959.93333333335</v>
      </c>
      <c r="AR137" s="8">
        <f t="shared" si="74"/>
        <v>259144.53333333335</v>
      </c>
    </row>
    <row r="138" spans="1:44">
      <c r="A138" t="s">
        <v>814</v>
      </c>
      <c r="L138" s="8">
        <f t="shared" ref="L138:AN138" si="75">+L57</f>
        <v>11596.834683065419</v>
      </c>
      <c r="M138" s="8">
        <f t="shared" si="75"/>
        <v>11682.31439987452</v>
      </c>
      <c r="N138" s="8">
        <f t="shared" si="75"/>
        <v>11789.572697963435</v>
      </c>
      <c r="O138" s="8">
        <f t="shared" si="75"/>
        <v>11901.146144205144</v>
      </c>
      <c r="P138" s="8">
        <f t="shared" si="75"/>
        <v>12115.415889901178</v>
      </c>
      <c r="Q138" s="8">
        <f t="shared" si="75"/>
        <v>12199.470043863623</v>
      </c>
      <c r="R138" s="8">
        <f t="shared" si="75"/>
        <v>12026.768102747004</v>
      </c>
      <c r="S138" s="8">
        <f t="shared" si="75"/>
        <v>12272.164002478421</v>
      </c>
      <c r="T138" s="8">
        <f t="shared" si="75"/>
        <v>12556.023260452119</v>
      </c>
      <c r="U138" s="8">
        <f t="shared" si="75"/>
        <v>12837.916794291314</v>
      </c>
      <c r="V138" s="8">
        <f t="shared" si="75"/>
        <v>13379.887209336466</v>
      </c>
      <c r="W138" s="8">
        <f t="shared" si="75"/>
        <v>13369.547481936565</v>
      </c>
      <c r="X138" s="8">
        <f t="shared" si="75"/>
        <v>13516.631831855862</v>
      </c>
      <c r="Y138" s="8">
        <f t="shared" si="75"/>
        <v>13345.080109849543</v>
      </c>
      <c r="Z138" s="8">
        <f t="shared" si="75"/>
        <v>13390.262325559024</v>
      </c>
      <c r="AA138" s="8">
        <f t="shared" si="75"/>
        <v>13699.907218441482</v>
      </c>
      <c r="AB138" s="8">
        <f t="shared" si="75"/>
        <v>13703.256249973358</v>
      </c>
      <c r="AC138" s="8">
        <f t="shared" si="75"/>
        <v>14230.70391189357</v>
      </c>
      <c r="AD138" s="8">
        <f t="shared" si="75"/>
        <v>14878.936147352939</v>
      </c>
      <c r="AE138" s="8">
        <f t="shared" si="75"/>
        <v>15239.642819064329</v>
      </c>
      <c r="AF138" s="8">
        <f t="shared" si="75"/>
        <v>15159.497705710994</v>
      </c>
      <c r="AG138" s="8">
        <f t="shared" si="75"/>
        <v>14424.632773481777</v>
      </c>
      <c r="AH138" s="8">
        <f t="shared" si="75"/>
        <v>12930.215374127705</v>
      </c>
      <c r="AI138" s="8">
        <f t="shared" si="75"/>
        <v>11888.177392996922</v>
      </c>
      <c r="AJ138" s="8">
        <f t="shared" si="75"/>
        <v>11467.890430374438</v>
      </c>
      <c r="AK138" s="8">
        <f t="shared" si="75"/>
        <v>11589.00589075795</v>
      </c>
      <c r="AL138" s="8">
        <f t="shared" si="75"/>
        <v>11883.626952771074</v>
      </c>
      <c r="AM138" s="8">
        <f t="shared" si="75"/>
        <v>12178.374838862353</v>
      </c>
      <c r="AN138" s="1068">
        <f t="shared" si="75"/>
        <v>12301.659014564948</v>
      </c>
      <c r="AO138" s="8">
        <f t="shared" ref="AO138:AR138" si="76">+AO57</f>
        <v>12301.659014564948</v>
      </c>
      <c r="AP138" s="8">
        <f t="shared" si="76"/>
        <v>12301.659014564948</v>
      </c>
      <c r="AQ138" s="8">
        <f t="shared" si="76"/>
        <v>12450.372720729183</v>
      </c>
      <c r="AR138" s="8">
        <f t="shared" si="76"/>
        <v>12610.642149142557</v>
      </c>
    </row>
    <row r="139" spans="1:44">
      <c r="AN139" s="1067"/>
    </row>
    <row r="140" spans="1:44" ht="13.5">
      <c r="C140" s="821" t="s">
        <v>649</v>
      </c>
      <c r="D140" s="31"/>
      <c r="E140" s="31"/>
      <c r="F140" s="31"/>
      <c r="G140" s="31"/>
      <c r="H140" s="31"/>
      <c r="I140" s="31"/>
      <c r="J140" s="31"/>
      <c r="K140" s="821" t="s">
        <v>649</v>
      </c>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N140" s="1067"/>
    </row>
    <row r="141" spans="1:44" ht="13.5">
      <c r="C141" s="6" t="s">
        <v>726</v>
      </c>
      <c r="D141" s="6" t="s">
        <v>727</v>
      </c>
      <c r="E141" s="6" t="s">
        <v>728</v>
      </c>
      <c r="F141" s="6" t="s">
        <v>729</v>
      </c>
      <c r="G141" s="6" t="s">
        <v>204</v>
      </c>
      <c r="H141" s="6" t="s">
        <v>205</v>
      </c>
      <c r="I141" s="6" t="s">
        <v>206</v>
      </c>
      <c r="J141" s="6" t="s">
        <v>207</v>
      </c>
      <c r="K141" s="6" t="s">
        <v>208</v>
      </c>
      <c r="L141" s="6" t="s">
        <v>209</v>
      </c>
      <c r="M141" s="6" t="s">
        <v>210</v>
      </c>
      <c r="N141" s="6" t="s">
        <v>211</v>
      </c>
      <c r="O141" s="6" t="s">
        <v>212</v>
      </c>
      <c r="P141" s="6" t="s">
        <v>213</v>
      </c>
      <c r="Q141" s="6" t="s">
        <v>214</v>
      </c>
      <c r="R141" s="6" t="s">
        <v>215</v>
      </c>
      <c r="S141" s="6" t="s">
        <v>216</v>
      </c>
      <c r="T141" s="6" t="s">
        <v>217</v>
      </c>
      <c r="U141" s="6" t="s">
        <v>218</v>
      </c>
      <c r="V141" s="6" t="s">
        <v>219</v>
      </c>
      <c r="W141" s="6" t="s">
        <v>220</v>
      </c>
      <c r="X141" s="6" t="s">
        <v>221</v>
      </c>
      <c r="Y141" s="6" t="s">
        <v>222</v>
      </c>
      <c r="Z141" s="6" t="s">
        <v>223</v>
      </c>
      <c r="AA141" s="6" t="s">
        <v>224</v>
      </c>
      <c r="AB141" s="6" t="s">
        <v>225</v>
      </c>
      <c r="AC141" s="6" t="s">
        <v>226</v>
      </c>
      <c r="AD141" s="6" t="s">
        <v>227</v>
      </c>
      <c r="AE141" s="6" t="s">
        <v>228</v>
      </c>
      <c r="AF141" s="6" t="s">
        <v>229</v>
      </c>
      <c r="AG141" s="6" t="s">
        <v>230</v>
      </c>
      <c r="AH141" s="6" t="s">
        <v>231</v>
      </c>
      <c r="AI141" s="6" t="str">
        <f>+AI136</f>
        <v>1Q23</v>
      </c>
      <c r="AJ141" s="6" t="str">
        <f t="shared" ref="AJ141:AN141" si="77">+AJ136</f>
        <v>2Q23</v>
      </c>
      <c r="AK141" s="6" t="str">
        <f t="shared" si="77"/>
        <v>3Q23</v>
      </c>
      <c r="AL141" s="6" t="str">
        <f t="shared" si="77"/>
        <v>4Q23</v>
      </c>
      <c r="AM141" s="6" t="str">
        <f t="shared" si="77"/>
        <v>1Q24</v>
      </c>
      <c r="AN141" s="1066" t="str">
        <f t="shared" si="77"/>
        <v>2Q24</v>
      </c>
      <c r="AO141" s="6" t="str">
        <f t="shared" ref="AO141:AR141" si="78">+AO136</f>
        <v>3Q24E</v>
      </c>
      <c r="AP141" s="6" t="str">
        <f t="shared" si="78"/>
        <v>4Q24E</v>
      </c>
      <c r="AQ141" s="6" t="str">
        <f t="shared" si="78"/>
        <v>1Q25E</v>
      </c>
      <c r="AR141" s="6" t="str">
        <f t="shared" si="78"/>
        <v>2Q25E</v>
      </c>
    </row>
    <row r="142" spans="1:44">
      <c r="A142" t="s">
        <v>813</v>
      </c>
      <c r="K142" s="8"/>
      <c r="L142" s="8"/>
      <c r="M142" s="8"/>
      <c r="N142" s="8"/>
      <c r="O142" s="8"/>
      <c r="P142" s="1084">
        <f t="shared" ref="P142:AN142" si="79">+P60</f>
        <v>-1.0347465323179317E-2</v>
      </c>
      <c r="Q142" s="1084">
        <f t="shared" si="79"/>
        <v>-3.442467468416921E-3</v>
      </c>
      <c r="R142" s="1084">
        <f t="shared" si="79"/>
        <v>-1.1659274769201367E-2</v>
      </c>
      <c r="S142" s="1084">
        <f t="shared" si="79"/>
        <v>-1.9120523163427383E-2</v>
      </c>
      <c r="T142" s="1084">
        <f t="shared" si="79"/>
        <v>-1.8636652667410325E-2</v>
      </c>
      <c r="U142" s="1084">
        <f t="shared" si="79"/>
        <v>-1.2490359087354852E-2</v>
      </c>
      <c r="V142" s="1084">
        <f t="shared" si="79"/>
        <v>1.1217491922573597E-2</v>
      </c>
      <c r="W142" s="1084">
        <f t="shared" si="79"/>
        <v>-5.7830165460478478E-3</v>
      </c>
      <c r="X142" s="1084">
        <f t="shared" si="79"/>
        <v>-2.6235904312279512E-3</v>
      </c>
      <c r="Y142" s="1084">
        <f t="shared" si="79"/>
        <v>6.5072844577684918E-4</v>
      </c>
      <c r="Z142" s="1084">
        <f t="shared" si="79"/>
        <v>1.785965962808822E-2</v>
      </c>
      <c r="AA142" s="1084">
        <f t="shared" si="79"/>
        <v>0.17154234171845539</v>
      </c>
      <c r="AB142" s="1084">
        <f t="shared" si="79"/>
        <v>0.23204656304972082</v>
      </c>
      <c r="AC142" s="1084">
        <f t="shared" si="79"/>
        <v>0.27049386216610194</v>
      </c>
      <c r="AD142" s="1084">
        <f t="shared" si="79"/>
        <v>0.27870479452362384</v>
      </c>
      <c r="AE142" s="1084">
        <f t="shared" si="79"/>
        <v>0.12347590943923081</v>
      </c>
      <c r="AF142" s="1084">
        <f t="shared" si="79"/>
        <v>2.8106238905556635E-2</v>
      </c>
      <c r="AG142" s="1084">
        <f t="shared" si="79"/>
        <v>-6.2527252802300537E-2</v>
      </c>
      <c r="AH142" s="1084">
        <f t="shared" si="79"/>
        <v>-0.17129371108278102</v>
      </c>
      <c r="AI142" s="1084">
        <f t="shared" si="79"/>
        <v>-0.22491128704903995</v>
      </c>
      <c r="AJ142" s="1084">
        <f t="shared" si="79"/>
        <v>-0.23807806907683993</v>
      </c>
      <c r="AK142" s="1084">
        <f t="shared" si="79"/>
        <v>-0.21732653603836427</v>
      </c>
      <c r="AL142" s="1084">
        <f t="shared" si="79"/>
        <v>-0.14475690321304713</v>
      </c>
      <c r="AM142" s="1084">
        <f t="shared" si="79"/>
        <v>-4.7601784390575497E-2</v>
      </c>
      <c r="AN142" s="1206">
        <f t="shared" si="79"/>
        <v>9.8376901742869283E-3</v>
      </c>
      <c r="AO142" s="1084">
        <f t="shared" ref="AO142:AR142" si="80">+AO60</f>
        <v>5.962740396089572E-2</v>
      </c>
      <c r="AP142" s="1084">
        <f t="shared" si="80"/>
        <v>8.0254207743833517E-2</v>
      </c>
      <c r="AQ142" s="1084">
        <f t="shared" si="80"/>
        <v>3.9937694326413364E-2</v>
      </c>
      <c r="AR142" s="1084">
        <f t="shared" si="80"/>
        <v>3.437178466508084E-2</v>
      </c>
    </row>
    <row r="143" spans="1:44" s="953" customFormat="1" ht="11.45">
      <c r="A143" t="str">
        <f>+A138</f>
        <v>LTM Windows OEM Revenue (Deferral Adj.)</v>
      </c>
      <c r="L143" s="10"/>
      <c r="M143" s="10"/>
      <c r="N143" s="10"/>
      <c r="O143" s="10"/>
      <c r="P143" s="1085">
        <f t="shared" ref="P143:AN143" si="81">+P61</f>
        <v>4.47174786058675E-2</v>
      </c>
      <c r="Q143" s="1085">
        <f t="shared" si="81"/>
        <v>4.4268252530051511E-2</v>
      </c>
      <c r="R143" s="1085">
        <f t="shared" si="81"/>
        <v>2.0119084114434749E-2</v>
      </c>
      <c r="S143" s="1085">
        <f t="shared" si="81"/>
        <v>3.1174968677611936E-2</v>
      </c>
      <c r="T143" s="1085">
        <f t="shared" si="81"/>
        <v>3.6367498611270088E-2</v>
      </c>
      <c r="U143" s="1085">
        <f t="shared" si="81"/>
        <v>5.2333974191676624E-2</v>
      </c>
      <c r="V143" s="1085">
        <f t="shared" si="81"/>
        <v>0.1125089546110396</v>
      </c>
      <c r="W143" s="1085">
        <f t="shared" si="81"/>
        <v>8.9420535712896321E-2</v>
      </c>
      <c r="X143" s="1085">
        <f t="shared" si="81"/>
        <v>7.6505797375303164E-2</v>
      </c>
      <c r="Y143" s="1085">
        <f t="shared" si="81"/>
        <v>3.9505110033409174E-2</v>
      </c>
      <c r="Z143" s="1085">
        <f t="shared" si="81"/>
        <v>7.7542628426030547E-4</v>
      </c>
      <c r="AA143" s="1085">
        <f t="shared" si="81"/>
        <v>2.4709866728942265E-2</v>
      </c>
      <c r="AB143" s="1085">
        <f t="shared" si="81"/>
        <v>1.3807020893893185E-2</v>
      </c>
      <c r="AC143" s="1085">
        <f t="shared" si="81"/>
        <v>6.6363318522934867E-2</v>
      </c>
      <c r="AD143" s="1085">
        <f t="shared" si="81"/>
        <v>0.11117585194371937</v>
      </c>
      <c r="AE143" s="1085">
        <f t="shared" si="81"/>
        <v>0.1123902210483736</v>
      </c>
      <c r="AF143" s="1085">
        <f t="shared" si="81"/>
        <v>0.10626973831423947</v>
      </c>
      <c r="AG143" s="1085">
        <f t="shared" si="81"/>
        <v>1.3627496066876077E-2</v>
      </c>
      <c r="AH143" s="1085">
        <f t="shared" si="81"/>
        <v>-0.13097178144500099</v>
      </c>
      <c r="AI143" s="1085">
        <f t="shared" si="81"/>
        <v>-0.2199175837556262</v>
      </c>
      <c r="AJ143" s="1085">
        <f t="shared" si="81"/>
        <v>-0.24351778317469097</v>
      </c>
      <c r="AK143" s="1085">
        <f t="shared" si="81"/>
        <v>-0.19658225808956742</v>
      </c>
      <c r="AL143" s="1085">
        <f t="shared" si="81"/>
        <v>-8.0941298429627717E-2</v>
      </c>
      <c r="AM143" s="1085">
        <f t="shared" si="81"/>
        <v>2.4410591823468275E-2</v>
      </c>
      <c r="AN143" s="1207">
        <f t="shared" si="81"/>
        <v>7.2704617231269308E-2</v>
      </c>
      <c r="AO143" s="1085">
        <f t="shared" ref="AO143:AR143" si="82">+AO61</f>
        <v>6.1493896070527354E-2</v>
      </c>
      <c r="AP143" s="1085">
        <f t="shared" si="82"/>
        <v>3.517714444043496E-2</v>
      </c>
      <c r="AQ143" s="1085">
        <f t="shared" si="82"/>
        <v>2.2334497456824698E-2</v>
      </c>
      <c r="AR143" s="1085">
        <f t="shared" si="82"/>
        <v>2.5117192259334953E-2</v>
      </c>
    </row>
    <row r="144" spans="1:44">
      <c r="A144" t="s">
        <v>815</v>
      </c>
      <c r="P144" s="1084">
        <f t="shared" ref="P144:AN144" si="83">+P143-P142</f>
        <v>5.5064943929046817E-2</v>
      </c>
      <c r="Q144" s="1084">
        <f t="shared" si="83"/>
        <v>4.7710719998468432E-2</v>
      </c>
      <c r="R144" s="1084">
        <f t="shared" si="83"/>
        <v>3.1778358883636115E-2</v>
      </c>
      <c r="S144" s="1084">
        <f t="shared" si="83"/>
        <v>5.0295491841039319E-2</v>
      </c>
      <c r="T144" s="1084">
        <f t="shared" si="83"/>
        <v>5.5004151278680413E-2</v>
      </c>
      <c r="U144" s="1084">
        <f t="shared" si="83"/>
        <v>6.4824333279031476E-2</v>
      </c>
      <c r="V144" s="1084">
        <f t="shared" si="83"/>
        <v>0.10129146268846601</v>
      </c>
      <c r="W144" s="1084">
        <f t="shared" si="83"/>
        <v>9.5203552258944169E-2</v>
      </c>
      <c r="X144" s="1084">
        <f t="shared" si="83"/>
        <v>7.9129387806531115E-2</v>
      </c>
      <c r="Y144" s="1084">
        <f t="shared" si="83"/>
        <v>3.8854381587632325E-2</v>
      </c>
      <c r="Z144" s="1084">
        <f t="shared" si="83"/>
        <v>-1.7084233343827915E-2</v>
      </c>
      <c r="AA144" s="1084">
        <f t="shared" si="83"/>
        <v>-0.14683247498951313</v>
      </c>
      <c r="AB144" s="1084">
        <f t="shared" si="83"/>
        <v>-0.21823954215582764</v>
      </c>
      <c r="AC144" s="1084">
        <f t="shared" si="83"/>
        <v>-0.20413054364316707</v>
      </c>
      <c r="AD144" s="1084">
        <f t="shared" si="83"/>
        <v>-0.16752894257990447</v>
      </c>
      <c r="AE144" s="1084">
        <f t="shared" si="83"/>
        <v>-1.1085688390857218E-2</v>
      </c>
      <c r="AF144" s="1084">
        <f t="shared" si="83"/>
        <v>7.8163499408682835E-2</v>
      </c>
      <c r="AG144" s="1084">
        <f t="shared" si="83"/>
        <v>7.6154748869176614E-2</v>
      </c>
      <c r="AH144" s="1084">
        <f t="shared" si="83"/>
        <v>4.032192963778003E-2</v>
      </c>
      <c r="AI144" s="1084">
        <f t="shared" si="83"/>
        <v>4.9937032934137537E-3</v>
      </c>
      <c r="AJ144" s="1084">
        <f t="shared" si="83"/>
        <v>-5.439714097851045E-3</v>
      </c>
      <c r="AK144" s="1084">
        <f t="shared" si="83"/>
        <v>2.0744277948796852E-2</v>
      </c>
      <c r="AL144" s="1084">
        <f t="shared" si="83"/>
        <v>6.3815604783419411E-2</v>
      </c>
      <c r="AM144" s="1084">
        <f t="shared" si="83"/>
        <v>7.2012376214043772E-2</v>
      </c>
      <c r="AN144" s="1206">
        <f t="shared" si="83"/>
        <v>6.286692705698238E-2</v>
      </c>
      <c r="AO144" s="1084">
        <f t="shared" ref="AO144:AR144" si="84">+AO143-AO142</f>
        <v>1.8664921096316345E-3</v>
      </c>
      <c r="AP144" s="1084">
        <f t="shared" si="84"/>
        <v>-4.5077063303398557E-2</v>
      </c>
      <c r="AQ144" s="1084">
        <f t="shared" si="84"/>
        <v>-1.7603196869588666E-2</v>
      </c>
      <c r="AR144" s="1084">
        <f t="shared" si="84"/>
        <v>-9.2545924057458873E-3</v>
      </c>
    </row>
    <row r="145" spans="1:40">
      <c r="P145" s="1084"/>
      <c r="Q145" s="1084"/>
      <c r="R145" s="1084"/>
      <c r="S145" s="1084"/>
      <c r="T145" s="1084"/>
      <c r="U145" s="1084"/>
      <c r="V145" s="1084"/>
      <c r="W145" s="1084"/>
      <c r="X145" s="1084"/>
      <c r="Y145" s="1084"/>
      <c r="Z145" s="1084"/>
      <c r="AA145" s="1084"/>
      <c r="AB145" s="1084"/>
      <c r="AC145" s="1084"/>
      <c r="AD145" s="1084"/>
      <c r="AE145" s="1084"/>
      <c r="AF145" s="1084"/>
      <c r="AG145" s="1084"/>
      <c r="AH145" s="1084"/>
      <c r="AI145" s="1084"/>
      <c r="AJ145" s="1084"/>
      <c r="AK145" s="1084"/>
      <c r="AL145" s="1084"/>
      <c r="AM145" s="1084"/>
      <c r="AN145" s="1206"/>
    </row>
    <row r="146" spans="1:40">
      <c r="AN146" s="1067"/>
    </row>
    <row r="147" spans="1:40">
      <c r="AN147" s="1067"/>
    </row>
    <row r="148" spans="1:40">
      <c r="AN148" s="1067"/>
    </row>
    <row r="149" spans="1:40">
      <c r="AN149" s="1067"/>
    </row>
    <row r="150" spans="1:40">
      <c r="AN150" s="1067"/>
    </row>
    <row r="151" spans="1:40">
      <c r="AN151" s="1067"/>
    </row>
    <row r="152" spans="1:40" ht="12.95">
      <c r="A152" s="1086" t="s">
        <v>816</v>
      </c>
      <c r="AN152" s="1067"/>
    </row>
    <row r="153" spans="1:40">
      <c r="A153" t="s">
        <v>817</v>
      </c>
      <c r="AN153" s="1067"/>
    </row>
    <row r="154" spans="1:40" ht="12.95">
      <c r="A154" t="s">
        <v>818</v>
      </c>
      <c r="B154" s="1087"/>
      <c r="C154" s="1088"/>
      <c r="AN154" s="1067"/>
    </row>
    <row r="155" spans="1:40" ht="12.95">
      <c r="A155" s="1089" t="s">
        <v>819</v>
      </c>
      <c r="B155" s="1090" t="s">
        <v>820</v>
      </c>
      <c r="C155" s="1091"/>
      <c r="AN155" s="1067"/>
    </row>
    <row r="156" spans="1:40" ht="12.95">
      <c r="A156" s="1089" t="s">
        <v>821</v>
      </c>
      <c r="B156" s="1090" t="s">
        <v>822</v>
      </c>
      <c r="C156" s="1092"/>
      <c r="AN156" s="1067"/>
    </row>
    <row r="157" spans="1:40" ht="12.95">
      <c r="A157" s="1089" t="s">
        <v>823</v>
      </c>
      <c r="B157" s="1090" t="s">
        <v>824</v>
      </c>
      <c r="C157" s="1092"/>
      <c r="AN157" s="1067"/>
    </row>
    <row r="158" spans="1:40" ht="12.95">
      <c r="A158" s="1089" t="s">
        <v>825</v>
      </c>
      <c r="B158" s="1090" t="s">
        <v>826</v>
      </c>
      <c r="C158" s="1092"/>
      <c r="AN158" s="1067"/>
    </row>
    <row r="159" spans="1:40" ht="12.95">
      <c r="A159" s="1089" t="s">
        <v>827</v>
      </c>
      <c r="B159" s="1090" t="s">
        <v>828</v>
      </c>
      <c r="C159" s="816"/>
      <c r="AN159" s="1067"/>
    </row>
    <row r="160" spans="1:40" ht="12.95">
      <c r="A160" s="1089" t="s">
        <v>829</v>
      </c>
      <c r="B160" s="1090" t="s">
        <v>830</v>
      </c>
      <c r="C160" s="816"/>
      <c r="AN160" s="1067"/>
    </row>
    <row r="161" spans="1:40" ht="12.95">
      <c r="A161" s="1089" t="s">
        <v>831</v>
      </c>
      <c r="B161" s="1090" t="s">
        <v>832</v>
      </c>
      <c r="C161" s="816"/>
      <c r="AN161" s="1067"/>
    </row>
    <row r="162" spans="1:40" ht="12.95">
      <c r="A162" s="1089" t="s">
        <v>833</v>
      </c>
      <c r="B162" s="1090" t="s">
        <v>834</v>
      </c>
      <c r="C162" s="816"/>
      <c r="AN162" s="1067"/>
    </row>
    <row r="163" spans="1:40" ht="12.6">
      <c r="A163" s="1093"/>
      <c r="B163" s="1094"/>
      <c r="C163" s="1095"/>
      <c r="AN163" s="1067"/>
    </row>
    <row r="164" spans="1:40">
      <c r="AN164" s="1067"/>
    </row>
    <row r="165" spans="1:40">
      <c r="AN165" s="1067"/>
    </row>
    <row r="166" spans="1:40">
      <c r="AN166" s="1067"/>
    </row>
    <row r="167" spans="1:40">
      <c r="AN167" s="1067"/>
    </row>
    <row r="168" spans="1:40">
      <c r="AN168" s="1067"/>
    </row>
    <row r="169" spans="1:40">
      <c r="AN169" s="1067"/>
    </row>
    <row r="170" spans="1:40">
      <c r="AN170" s="1067"/>
    </row>
    <row r="171" spans="1:40">
      <c r="AN171" s="1067"/>
    </row>
    <row r="172" spans="1:40">
      <c r="AN172" s="1067"/>
    </row>
    <row r="173" spans="1:40">
      <c r="AN173" s="1067"/>
    </row>
    <row r="174" spans="1:40">
      <c r="AN174" s="1067"/>
    </row>
    <row r="175" spans="1:40">
      <c r="AN175" s="1067"/>
    </row>
    <row r="176" spans="1:40">
      <c r="AN176" s="1067"/>
    </row>
    <row r="177" spans="40:40">
      <c r="AN177" s="1067"/>
    </row>
    <row r="178" spans="40:40">
      <c r="AN178" s="1067"/>
    </row>
    <row r="179" spans="40:40">
      <c r="AN179" s="1067"/>
    </row>
    <row r="180" spans="40:40">
      <c r="AN180" s="1067"/>
    </row>
    <row r="181" spans="40:40">
      <c r="AN181" s="1067"/>
    </row>
    <row r="182" spans="40:40">
      <c r="AN182" s="1067"/>
    </row>
    <row r="183" spans="40:40">
      <c r="AN183" s="1067"/>
    </row>
    <row r="184" spans="40:40">
      <c r="AN184" s="1067"/>
    </row>
    <row r="185" spans="40:40">
      <c r="AN185" s="1067"/>
    </row>
    <row r="186" spans="40:40">
      <c r="AN186" s="1067"/>
    </row>
    <row r="187" spans="40:40">
      <c r="AN187" s="1067"/>
    </row>
    <row r="188" spans="40:40">
      <c r="AN188" s="1067"/>
    </row>
    <row r="189" spans="40:40">
      <c r="AN189" s="1067"/>
    </row>
    <row r="190" spans="40:40">
      <c r="AN190" s="1067"/>
    </row>
    <row r="191" spans="40:40">
      <c r="AN191" s="1067"/>
    </row>
    <row r="192" spans="40:40">
      <c r="AN192" s="1067"/>
    </row>
    <row r="193" spans="40:40">
      <c r="AN193" s="1067"/>
    </row>
    <row r="194" spans="40:40">
      <c r="AN194" s="1067"/>
    </row>
    <row r="195" spans="40:40">
      <c r="AN195" s="1067"/>
    </row>
    <row r="196" spans="40:40">
      <c r="AN196" s="1067"/>
    </row>
    <row r="197" spans="40:40">
      <c r="AN197" s="1067"/>
    </row>
    <row r="198" spans="40:40">
      <c r="AN198" s="1067"/>
    </row>
    <row r="199" spans="40:40">
      <c r="AN199" s="1067"/>
    </row>
    <row r="200" spans="40:40">
      <c r="AN200" s="1067"/>
    </row>
    <row r="201" spans="40:40">
      <c r="AN201" s="1067"/>
    </row>
    <row r="202" spans="40:40">
      <c r="AN202" s="1067"/>
    </row>
    <row r="203" spans="40:40">
      <c r="AN203" s="1067"/>
    </row>
    <row r="204" spans="40:40">
      <c r="AN204" s="1067"/>
    </row>
    <row r="205" spans="40:40">
      <c r="AN205" s="1067"/>
    </row>
    <row r="206" spans="40:40">
      <c r="AN206" s="1067"/>
    </row>
    <row r="207" spans="40:40">
      <c r="AN207" s="1067"/>
    </row>
    <row r="208" spans="40:40">
      <c r="AN208" s="1067"/>
    </row>
    <row r="209" spans="40:40">
      <c r="AN209" s="1067"/>
    </row>
    <row r="210" spans="40:40">
      <c r="AN210" s="1067"/>
    </row>
    <row r="211" spans="40:40">
      <c r="AN211" s="1067"/>
    </row>
    <row r="212" spans="40:40">
      <c r="AN212" s="1067"/>
    </row>
    <row r="213" spans="40:40">
      <c r="AN213" s="1067"/>
    </row>
    <row r="214" spans="40:40">
      <c r="AN214" s="1067"/>
    </row>
    <row r="215" spans="40:40">
      <c r="AN215" s="1067"/>
    </row>
    <row r="216" spans="40:40">
      <c r="AN216" s="1067"/>
    </row>
    <row r="217" spans="40:40">
      <c r="AN217" s="1067"/>
    </row>
    <row r="218" spans="40:40">
      <c r="AN218" s="1067"/>
    </row>
    <row r="219" spans="40:40">
      <c r="AN219" s="1067"/>
    </row>
    <row r="220" spans="40:40">
      <c r="AN220" s="1067"/>
    </row>
    <row r="221" spans="40:40">
      <c r="AN221" s="1067"/>
    </row>
    <row r="222" spans="40:40">
      <c r="AN222" s="1067"/>
    </row>
    <row r="223" spans="40:40">
      <c r="AN223" s="1067"/>
    </row>
  </sheetData>
  <hyperlinks>
    <hyperlink ref="A156" r:id="rId1" xr:uid="{4DCB16AC-CBB9-4483-9453-8F8D2FEE809E}"/>
    <hyperlink ref="A157" r:id="rId2" xr:uid="{BF06ACBF-4C41-4D0B-AC77-74150B19B2E8}"/>
    <hyperlink ref="A158" r:id="rId3" xr:uid="{137731ED-4A45-41FD-B645-B6773B167475}"/>
    <hyperlink ref="A155" r:id="rId4" xr:uid="{4EC1BC09-38B9-40E8-88EB-7D87EE7E121F}"/>
    <hyperlink ref="A159" r:id="rId5" xr:uid="{2DC92522-67EF-46D9-9B8C-3B10A428AE14}"/>
    <hyperlink ref="A160" r:id="rId6" xr:uid="{FEF60A6D-062E-4EFF-A6ED-B61EE8D571F3}"/>
    <hyperlink ref="A161" r:id="rId7" xr:uid="{F9EF1F5A-4616-4631-B437-9AF20E28DC19}"/>
    <hyperlink ref="A162" r:id="rId8" xr:uid="{2C475B5A-1458-4431-B199-A048FA4A552A}"/>
    <hyperlink ref="B155" r:id="rId9" xr:uid="{1D86FDC9-9717-4FAE-94D3-0B3EBA6F6FBB}"/>
    <hyperlink ref="B156" r:id="rId10" xr:uid="{D916C31F-56D7-48C3-AF25-2814DE9CB555}"/>
    <hyperlink ref="B157" r:id="rId11" xr:uid="{156CAFEC-6A6A-4B2F-BC8E-33D86D39EBBB}"/>
    <hyperlink ref="B158" r:id="rId12" xr:uid="{F0E88272-3CB9-4DC4-8289-E36D9E47854C}"/>
    <hyperlink ref="B159" r:id="rId13" xr:uid="{0B2A9CE0-22BE-40B8-90EE-F50903B51CAF}"/>
    <hyperlink ref="B160" r:id="rId14" location=":~:text=Worldwide%20PC%20shipments%20totaled%2068.9%20million%20units%20in,decline%20in%20the%20history%20of%20the" xr:uid="{29D90418-65EE-4871-9568-048CC7D39E6C}"/>
    <hyperlink ref="B161" r:id="rId15" location=":~:text=Source%3A%20Gartner%20%28July%202016%29%20Asia%2FPacific%20PC%20shipments%20totaled,as%20a%20higher%20priority%20to%20purchase%20than%20PCs" xr:uid="{98749226-9930-4647-96C5-9C96BB896C80}"/>
    <hyperlink ref="B162" r:id="rId16" xr:uid="{AB793EDF-2654-4147-9EDD-2C9FC7D7129A}"/>
  </hyperlinks>
  <pageMargins left="0.3" right="0.3" top="0.3" bottom="0.3" header="0.3" footer="0.3"/>
  <pageSetup scale="49" fitToHeight="0" orientation="landscape" r:id="rId17"/>
  <headerFooter>
    <oddFooter>Page &amp;P</oddFooter>
  </headerFooter>
  <drawing r:id="rId18"/>
  <legacyDrawing r:id="rId1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1B95C-DDF6-4787-B19C-0EA67785CAEC}">
  <sheetPr>
    <pageSetUpPr fitToPage="1"/>
  </sheetPr>
  <dimension ref="A1:R57"/>
  <sheetViews>
    <sheetView view="pageBreakPreview" zoomScaleNormal="100" zoomScaleSheetLayoutView="100" workbookViewId="0">
      <selection activeCell="J83" sqref="J83"/>
    </sheetView>
  </sheetViews>
  <sheetFormatPr defaultColWidth="9.33203125" defaultRowHeight="12.6" outlineLevelRow="1"/>
  <cols>
    <col min="1" max="1" width="48.83203125" style="790" customWidth="1"/>
    <col min="2" max="3" width="14" style="985" customWidth="1"/>
    <col min="4" max="4" width="14.33203125" style="985" customWidth="1"/>
    <col min="5" max="18" width="14.33203125" style="790" customWidth="1"/>
    <col min="19" max="16384" width="9.33203125" style="790"/>
  </cols>
  <sheetData>
    <row r="1" spans="1:18" s="793" customFormat="1" ht="12.95">
      <c r="A1" s="790" t="s">
        <v>60</v>
      </c>
      <c r="B1" s="960"/>
      <c r="C1" s="960"/>
      <c r="D1" s="960"/>
      <c r="E1" s="791"/>
      <c r="F1" s="791"/>
      <c r="G1" s="791"/>
      <c r="H1" s="961">
        <f ca="1">TODAY()</f>
        <v>45797</v>
      </c>
      <c r="I1" s="791"/>
      <c r="J1" s="791"/>
      <c r="K1" s="791"/>
      <c r="L1" s="791"/>
      <c r="M1" s="791"/>
      <c r="N1" s="791"/>
      <c r="O1" s="791"/>
      <c r="P1" s="791"/>
      <c r="Q1" s="791"/>
    </row>
    <row r="2" spans="1:18" s="794" customFormat="1" ht="12.95">
      <c r="A2" s="794" t="s">
        <v>835</v>
      </c>
      <c r="B2" s="962"/>
      <c r="C2" s="962"/>
      <c r="D2" s="962"/>
      <c r="E2" s="795"/>
      <c r="F2" s="795"/>
      <c r="G2" s="795"/>
      <c r="H2" s="795"/>
      <c r="I2" s="795"/>
      <c r="J2" s="795"/>
      <c r="K2" s="795"/>
      <c r="L2" s="795"/>
      <c r="M2" s="795"/>
      <c r="N2" s="795"/>
      <c r="O2" s="795"/>
      <c r="P2" s="795"/>
      <c r="Q2" s="795"/>
      <c r="R2" s="795"/>
    </row>
    <row r="3" spans="1:18" s="793" customFormat="1" ht="12.95">
      <c r="B3" s="963"/>
      <c r="C3" s="963"/>
      <c r="D3" s="963"/>
      <c r="E3" s="964"/>
      <c r="F3" s="964"/>
      <c r="G3" s="964"/>
      <c r="H3" s="964"/>
      <c r="I3" s="964"/>
      <c r="J3" s="964"/>
      <c r="K3" s="964"/>
      <c r="L3" s="964"/>
      <c r="M3" s="964"/>
      <c r="N3" s="964"/>
      <c r="O3" s="964"/>
      <c r="P3" s="964"/>
      <c r="Q3" s="964"/>
      <c r="R3" s="964"/>
    </row>
    <row r="4" spans="1:18" s="793" customFormat="1" ht="15.95">
      <c r="B4" s="797" t="s">
        <v>90</v>
      </c>
      <c r="C4" s="798"/>
      <c r="D4" s="798"/>
      <c r="E4" s="964"/>
      <c r="F4" s="797" t="s">
        <v>836</v>
      </c>
      <c r="G4" s="798"/>
      <c r="H4" s="798"/>
      <c r="I4" s="964"/>
      <c r="J4" s="964"/>
      <c r="K4" s="964"/>
      <c r="L4" s="964"/>
      <c r="M4" s="964"/>
      <c r="N4" s="964"/>
      <c r="O4" s="964"/>
      <c r="P4" s="964"/>
      <c r="Q4" s="964"/>
      <c r="R4" s="964"/>
    </row>
    <row r="5" spans="1:18" s="778" customFormat="1" ht="12.95">
      <c r="A5" s="965" t="s">
        <v>341</v>
      </c>
      <c r="B5" s="966" t="s">
        <v>837</v>
      </c>
      <c r="C5" s="967" t="s">
        <v>838</v>
      </c>
      <c r="D5" s="968" t="s">
        <v>839</v>
      </c>
      <c r="E5" s="969" t="s">
        <v>840</v>
      </c>
      <c r="F5" s="966" t="s">
        <v>841</v>
      </c>
      <c r="G5" s="967" t="s">
        <v>842</v>
      </c>
      <c r="H5" s="968" t="s">
        <v>843</v>
      </c>
    </row>
    <row r="6" spans="1:18" s="778" customFormat="1" ht="12.95">
      <c r="A6" s="790" t="s">
        <v>844</v>
      </c>
      <c r="B6" s="970">
        <f>+'Historical Financials'!BU146*1000</f>
        <v>63800.000000000007</v>
      </c>
      <c r="C6" s="971">
        <f t="shared" ref="C6" si="0">B6+((D6-B6)/2)</f>
        <v>64300</v>
      </c>
      <c r="D6" s="972">
        <f>+'Historical Financials'!BV146*1000</f>
        <v>64800</v>
      </c>
      <c r="E6" s="1208">
        <f>+'Historical Financials'!AN12</f>
        <v>65306.668670161642</v>
      </c>
      <c r="F6" s="973">
        <f t="shared" ref="F6" si="1">+$E6/B6-1</f>
        <v>2.3615496397517699E-2</v>
      </c>
      <c r="G6" s="974">
        <f t="shared" ref="G6" si="2">+$E6/C6-1</f>
        <v>1.5655811355546501E-2</v>
      </c>
      <c r="H6" s="975">
        <f t="shared" ref="H6" si="3">+$E6/D6-1</f>
        <v>7.8189609592846931E-3</v>
      </c>
    </row>
    <row r="7" spans="1:18" s="778" customFormat="1" ht="12.95">
      <c r="A7" s="790" t="s">
        <v>845</v>
      </c>
      <c r="B7" s="970">
        <v>63500</v>
      </c>
      <c r="C7" s="971">
        <f t="shared" ref="C7:C10" si="4">B7+((D7-B7)/2)</f>
        <v>64000</v>
      </c>
      <c r="D7" s="972">
        <v>64500</v>
      </c>
      <c r="E7" s="971">
        <f>+'Historical Financials'!AM12</f>
        <v>64727</v>
      </c>
      <c r="F7" s="973">
        <f t="shared" ref="F7" si="5">+$E7/B7-1</f>
        <v>1.9322834645669307E-2</v>
      </c>
      <c r="G7" s="974">
        <f t="shared" ref="G7" si="6">+$E7/C7-1</f>
        <v>1.135937500000006E-2</v>
      </c>
      <c r="H7" s="975">
        <f t="shared" ref="H7" si="7">+$E7/D7-1</f>
        <v>3.5193798449613123E-3</v>
      </c>
    </row>
    <row r="8" spans="1:18" s="778" customFormat="1" ht="12.95">
      <c r="A8" s="790" t="s">
        <v>846</v>
      </c>
      <c r="B8" s="970">
        <v>60000</v>
      </c>
      <c r="C8" s="971">
        <f t="shared" si="4"/>
        <v>60500</v>
      </c>
      <c r="D8" s="972">
        <v>61000.000000000007</v>
      </c>
      <c r="E8" s="971">
        <f>+'Historical Financials'!AL12</f>
        <v>61858</v>
      </c>
      <c r="F8" s="973">
        <f t="shared" ref="F8" si="8">+$E8/B8-1</f>
        <v>3.0966666666666587E-2</v>
      </c>
      <c r="G8" s="974">
        <f t="shared" ref="G8" si="9">+$E8/C8-1</f>
        <v>2.2446280991735623E-2</v>
      </c>
      <c r="H8" s="975">
        <f t="shared" ref="H8" si="10">+$E8/D8-1</f>
        <v>1.4065573770491779E-2</v>
      </c>
    </row>
    <row r="9" spans="1:18" s="778" customFormat="1" ht="12.95">
      <c r="A9" s="790" t="s">
        <v>847</v>
      </c>
      <c r="B9" s="970">
        <v>60400.000000000007</v>
      </c>
      <c r="C9" s="971">
        <f t="shared" si="4"/>
        <v>60900</v>
      </c>
      <c r="D9" s="972">
        <v>61400</v>
      </c>
      <c r="E9" s="971">
        <f>+'Historical Financials'!AK12</f>
        <v>62020</v>
      </c>
      <c r="F9" s="973">
        <f t="shared" ref="F9" si="11">+$E9/B9-1</f>
        <v>2.6821192052979947E-2</v>
      </c>
      <c r="G9" s="974">
        <f t="shared" ref="G9" si="12">+$E9/C9-1</f>
        <v>1.839080459770126E-2</v>
      </c>
      <c r="H9" s="975">
        <f t="shared" ref="H9" si="13">+$E9/D9-1</f>
        <v>1.0097719869706756E-2</v>
      </c>
    </row>
    <row r="10" spans="1:18" s="778" customFormat="1" ht="12.95">
      <c r="A10" s="790" t="s">
        <v>848</v>
      </c>
      <c r="B10" s="970">
        <v>53800</v>
      </c>
      <c r="C10" s="971">
        <f t="shared" si="4"/>
        <v>54300</v>
      </c>
      <c r="D10" s="972">
        <v>54800.000000000007</v>
      </c>
      <c r="E10" s="971">
        <f>+'Historical Financials'!AJ12</f>
        <v>56517</v>
      </c>
      <c r="F10" s="973">
        <f>+$E10/B10-1</f>
        <v>5.0501858736059502E-2</v>
      </c>
      <c r="G10" s="974">
        <f>+$E10/C10-1</f>
        <v>4.082872928176795E-2</v>
      </c>
      <c r="H10" s="975">
        <f>+$E10/D10-1</f>
        <v>3.133211678832093E-2</v>
      </c>
    </row>
    <row r="11" spans="1:18" s="778" customFormat="1" ht="12.95">
      <c r="A11" s="790" t="s">
        <v>849</v>
      </c>
      <c r="B11" s="970">
        <v>54850</v>
      </c>
      <c r="C11" s="971">
        <f t="shared" ref="C11" si="14">B11+((D11-B11)/2)</f>
        <v>55350</v>
      </c>
      <c r="D11" s="972">
        <v>55849.999999999993</v>
      </c>
      <c r="E11" s="971">
        <f>+'Historical Financials'!AI12</f>
        <v>56189</v>
      </c>
      <c r="F11" s="973">
        <f t="shared" ref="F11:H11" si="15">+$E11/B11-1</f>
        <v>2.4412032816772955E-2</v>
      </c>
      <c r="G11" s="974">
        <f t="shared" si="15"/>
        <v>1.5158084914182579E-2</v>
      </c>
      <c r="H11" s="975">
        <f t="shared" si="15"/>
        <v>6.0698299015220503E-3</v>
      </c>
    </row>
    <row r="12" spans="1:18" s="778" customFormat="1" ht="12.95">
      <c r="A12" s="790" t="s">
        <v>850</v>
      </c>
      <c r="B12" s="970">
        <v>50499.999999999993</v>
      </c>
      <c r="C12" s="971">
        <f t="shared" ref="C12:C13" si="16">B12+((D12-B12)/2)</f>
        <v>51000</v>
      </c>
      <c r="D12" s="972">
        <v>51500</v>
      </c>
      <c r="E12" s="971">
        <f>+'Historical Financials'!AH12</f>
        <v>52857</v>
      </c>
      <c r="F12" s="973">
        <f>+$E12/B12-1</f>
        <v>4.6673267326732715E-2</v>
      </c>
      <c r="G12" s="974">
        <f>+$E12/C12-1</f>
        <v>3.6411764705882366E-2</v>
      </c>
      <c r="H12" s="975">
        <f>+$E12/D12-1</f>
        <v>2.6349514563106746E-2</v>
      </c>
    </row>
    <row r="13" spans="1:18" s="778" customFormat="1" ht="12.95">
      <c r="A13" s="790" t="s">
        <v>851</v>
      </c>
      <c r="B13" s="970">
        <v>52350</v>
      </c>
      <c r="C13" s="971">
        <f t="shared" si="16"/>
        <v>52850</v>
      </c>
      <c r="D13" s="972">
        <v>53350</v>
      </c>
      <c r="E13" s="971">
        <f>+'Historical Financials'!AG12</f>
        <v>52747</v>
      </c>
      <c r="F13" s="973">
        <f t="shared" ref="F13" si="17">+$E13/B13-1</f>
        <v>7.5835721107926357E-3</v>
      </c>
      <c r="G13" s="974">
        <f t="shared" ref="G13" si="18">+$E13/C13-1</f>
        <v>-1.9489120151371386E-3</v>
      </c>
      <c r="H13" s="975">
        <f t="shared" ref="H13" si="19">+$E13/D13-1</f>
        <v>-1.1302717900656067E-2</v>
      </c>
      <c r="I13" s="790"/>
      <c r="J13" s="790"/>
      <c r="K13" s="790"/>
    </row>
    <row r="14" spans="1:18">
      <c r="A14" s="790" t="s">
        <v>852</v>
      </c>
      <c r="B14" s="970">
        <v>49250</v>
      </c>
      <c r="C14" s="971">
        <f t="shared" ref="C14" si="20">B14+((D14-B14)/2)</f>
        <v>49750</v>
      </c>
      <c r="D14" s="972">
        <v>50250</v>
      </c>
      <c r="E14" s="971">
        <f>+'Historical Financials'!AF12</f>
        <v>50122</v>
      </c>
      <c r="F14" s="973">
        <f t="shared" ref="F14" si="21">+$E14/B14-1</f>
        <v>1.7705583756345122E-2</v>
      </c>
      <c r="G14" s="974">
        <f t="shared" ref="G14" si="22">+$E14/C14-1</f>
        <v>7.477386934673369E-3</v>
      </c>
      <c r="H14" s="975">
        <f t="shared" ref="H14" si="23">+$E14/D14-1</f>
        <v>-2.5472636815920824E-3</v>
      </c>
    </row>
    <row r="15" spans="1:18">
      <c r="A15" s="790" t="s">
        <v>853</v>
      </c>
      <c r="B15" s="970">
        <v>51940.000000000007</v>
      </c>
      <c r="C15" s="971">
        <f t="shared" ref="C15" si="24">B15+((D15-B15)/2)</f>
        <v>52340.000000000007</v>
      </c>
      <c r="D15" s="972">
        <v>52740.000000000007</v>
      </c>
      <c r="E15" s="971">
        <f>+'Historical Financials'!AE12</f>
        <v>51865</v>
      </c>
      <c r="F15" s="973">
        <f t="shared" ref="F15" si="25">+$E15/B15-1</f>
        <v>-1.4439738159416349E-3</v>
      </c>
      <c r="G15" s="974">
        <f t="shared" ref="G15" si="26">+$E15/C15-1</f>
        <v>-9.075277034772733E-3</v>
      </c>
      <c r="H15" s="975">
        <f t="shared" ref="H15" si="27">+$E15/D15-1</f>
        <v>-1.6590822904816172E-2</v>
      </c>
    </row>
    <row r="16" spans="1:18">
      <c r="A16" s="790" t="s">
        <v>854</v>
      </c>
      <c r="B16" s="970">
        <v>48500</v>
      </c>
      <c r="C16" s="971">
        <f t="shared" ref="C16:C26" si="28">B16+((D16-B16)/2)</f>
        <v>48900</v>
      </c>
      <c r="D16" s="972">
        <v>49300</v>
      </c>
      <c r="E16" s="971">
        <f>+'Historical Financials'!AD12</f>
        <v>49360</v>
      </c>
      <c r="F16" s="973">
        <f t="shared" ref="F16" si="29">+$E16/B16-1</f>
        <v>1.7731958762886579E-2</v>
      </c>
      <c r="G16" s="974">
        <f t="shared" ref="G16" si="30">+$E16/C16-1</f>
        <v>9.4069529652351935E-3</v>
      </c>
      <c r="H16" s="975">
        <f t="shared" ref="H16" si="31">+$E16/D16-1</f>
        <v>1.2170385395537942E-3</v>
      </c>
    </row>
    <row r="17" spans="1:8">
      <c r="A17" s="790" t="s">
        <v>855</v>
      </c>
      <c r="B17" s="970">
        <f>15700+18100+16350</f>
        <v>50150</v>
      </c>
      <c r="C17" s="971">
        <f t="shared" si="28"/>
        <v>50600</v>
      </c>
      <c r="D17" s="972">
        <f>15950+18350+16750</f>
        <v>51050</v>
      </c>
      <c r="E17" s="971">
        <f>+'Historical Financials'!AC12</f>
        <v>51728</v>
      </c>
      <c r="F17" s="973">
        <f t="shared" ref="F17" si="32">+$E17/B17-1</f>
        <v>3.1465603190428793E-2</v>
      </c>
      <c r="G17" s="974">
        <f t="shared" ref="G17" si="33">+$E17/C17-1</f>
        <v>2.2292490118577035E-2</v>
      </c>
      <c r="H17" s="975">
        <f t="shared" ref="H17" si="34">+$E17/D17-1</f>
        <v>1.3281096963761119E-2</v>
      </c>
    </row>
    <row r="18" spans="1:8">
      <c r="A18" s="790" t="s">
        <v>856</v>
      </c>
      <c r="B18" s="970">
        <v>43300</v>
      </c>
      <c r="C18" s="971">
        <f t="shared" si="28"/>
        <v>43750</v>
      </c>
      <c r="D18" s="972">
        <v>44200</v>
      </c>
      <c r="E18" s="971">
        <v>45317</v>
      </c>
      <c r="F18" s="973">
        <f t="shared" ref="F18:F26" si="35">+$E18/B18-1</f>
        <v>4.6581986143187093E-2</v>
      </c>
      <c r="G18" s="974">
        <f t="shared" ref="G18:G26" si="36">+$E18/C18-1</f>
        <v>3.581714285714277E-2</v>
      </c>
      <c r="H18" s="975">
        <f t="shared" ref="H18:H26" si="37">+$E18/D18-1</f>
        <v>2.5271493212669638E-2</v>
      </c>
    </row>
    <row r="19" spans="1:8">
      <c r="A19" s="790" t="s">
        <v>857</v>
      </c>
      <c r="B19" s="970">
        <v>43600</v>
      </c>
      <c r="C19" s="971">
        <f t="shared" si="28"/>
        <v>44050</v>
      </c>
      <c r="D19" s="972">
        <v>44500</v>
      </c>
      <c r="E19" s="971">
        <v>46152</v>
      </c>
      <c r="F19" s="973">
        <f t="shared" si="35"/>
        <v>5.8532110091743084E-2</v>
      </c>
      <c r="G19" s="974">
        <f t="shared" si="36"/>
        <v>4.7718501702610716E-2</v>
      </c>
      <c r="H19" s="975">
        <f t="shared" si="37"/>
        <v>3.7123595505617946E-2</v>
      </c>
    </row>
    <row r="20" spans="1:8">
      <c r="A20" s="790" t="s">
        <v>858</v>
      </c>
      <c r="B20" s="970">
        <v>40350</v>
      </c>
      <c r="C20" s="971">
        <f t="shared" si="28"/>
        <v>40800</v>
      </c>
      <c r="D20" s="972">
        <v>41250</v>
      </c>
      <c r="E20" s="971">
        <v>41706</v>
      </c>
      <c r="F20" s="973">
        <f t="shared" si="35"/>
        <v>3.3605947955390292E-2</v>
      </c>
      <c r="G20" s="974">
        <f t="shared" si="36"/>
        <v>2.2205882352941186E-2</v>
      </c>
      <c r="H20" s="975">
        <f t="shared" si="37"/>
        <v>1.1054545454545428E-2</v>
      </c>
    </row>
    <row r="21" spans="1:8">
      <c r="A21" s="790" t="s">
        <v>859</v>
      </c>
      <c r="B21" s="970">
        <v>39500</v>
      </c>
      <c r="C21" s="971">
        <f t="shared" si="28"/>
        <v>39950</v>
      </c>
      <c r="D21" s="972">
        <v>40400</v>
      </c>
      <c r="E21" s="971">
        <v>43076</v>
      </c>
      <c r="F21" s="973">
        <f t="shared" si="35"/>
        <v>9.0531645569620345E-2</v>
      </c>
      <c r="G21" s="974">
        <f t="shared" si="36"/>
        <v>7.8247809762202802E-2</v>
      </c>
      <c r="H21" s="975">
        <f t="shared" si="37"/>
        <v>6.6237623762376296E-2</v>
      </c>
    </row>
    <row r="22" spans="1:8">
      <c r="A22" s="790" t="s">
        <v>860</v>
      </c>
      <c r="B22" s="970">
        <v>35150</v>
      </c>
      <c r="C22" s="971">
        <f t="shared" si="28"/>
        <v>35625</v>
      </c>
      <c r="D22" s="972">
        <v>36100</v>
      </c>
      <c r="E22" s="971">
        <v>37154</v>
      </c>
      <c r="F22" s="973">
        <f t="shared" si="35"/>
        <v>5.7012802275960173E-2</v>
      </c>
      <c r="G22" s="974">
        <f t="shared" si="36"/>
        <v>4.2919298245614135E-2</v>
      </c>
      <c r="H22" s="975">
        <f t="shared" si="37"/>
        <v>2.919667590027708E-2</v>
      </c>
    </row>
    <row r="23" spans="1:8">
      <c r="A23" s="790" t="s">
        <v>861</v>
      </c>
      <c r="B23" s="970">
        <v>35850</v>
      </c>
      <c r="C23" s="971">
        <f t="shared" si="28"/>
        <v>36325</v>
      </c>
      <c r="D23" s="972">
        <v>36800</v>
      </c>
      <c r="E23" s="971">
        <v>38033</v>
      </c>
      <c r="F23" s="973">
        <f t="shared" si="35"/>
        <v>6.0892608089260891E-2</v>
      </c>
      <c r="G23" s="974">
        <f t="shared" si="36"/>
        <v>4.7019958706125298E-2</v>
      </c>
      <c r="H23" s="975">
        <f t="shared" si="37"/>
        <v>3.3505434782608701E-2</v>
      </c>
    </row>
    <row r="24" spans="1:8">
      <c r="A24" s="790" t="s">
        <v>862</v>
      </c>
      <c r="B24" s="970">
        <v>34100</v>
      </c>
      <c r="C24" s="971">
        <f t="shared" si="28"/>
        <v>34500</v>
      </c>
      <c r="D24" s="972">
        <v>34900</v>
      </c>
      <c r="E24" s="971">
        <v>35021</v>
      </c>
      <c r="F24" s="973">
        <f t="shared" si="35"/>
        <v>2.7008797653959027E-2</v>
      </c>
      <c r="G24" s="974">
        <f t="shared" si="36"/>
        <v>1.5101449275362278E-2</v>
      </c>
      <c r="H24" s="975">
        <f t="shared" si="37"/>
        <v>3.4670487106016612E-3</v>
      </c>
    </row>
    <row r="25" spans="1:8">
      <c r="A25" s="790" t="s">
        <v>863</v>
      </c>
      <c r="B25" s="970">
        <v>35150</v>
      </c>
      <c r="C25" s="971">
        <f t="shared" si="28"/>
        <v>35550</v>
      </c>
      <c r="D25" s="972">
        <v>35950</v>
      </c>
      <c r="E25" s="971">
        <v>36906</v>
      </c>
      <c r="F25" s="973">
        <f t="shared" si="35"/>
        <v>4.9957325746799341E-2</v>
      </c>
      <c r="G25" s="974">
        <f t="shared" si="36"/>
        <v>3.8143459915611855E-2</v>
      </c>
      <c r="H25" s="975">
        <f t="shared" si="37"/>
        <v>2.6592489568845634E-2</v>
      </c>
    </row>
    <row r="26" spans="1:8">
      <c r="A26" s="790" t="s">
        <v>864</v>
      </c>
      <c r="B26" s="976">
        <f>9950+9150+12800</f>
        <v>31900</v>
      </c>
      <c r="C26" s="977">
        <f t="shared" si="28"/>
        <v>32300</v>
      </c>
      <c r="D26" s="978">
        <f>10150+9350+13200</f>
        <v>32700</v>
      </c>
      <c r="E26" s="971">
        <v>33055</v>
      </c>
      <c r="F26" s="979">
        <f t="shared" si="35"/>
        <v>3.6206896551724155E-2</v>
      </c>
      <c r="G26" s="980">
        <f t="shared" si="36"/>
        <v>2.3374613003096067E-2</v>
      </c>
      <c r="H26" s="981">
        <f t="shared" si="37"/>
        <v>1.0856269113149741E-2</v>
      </c>
    </row>
    <row r="27" spans="1:8" hidden="1" outlineLevel="1">
      <c r="A27" s="790" t="s">
        <v>865</v>
      </c>
      <c r="B27" s="970"/>
      <c r="C27" s="971"/>
      <c r="D27" s="972"/>
      <c r="E27" s="971"/>
      <c r="F27" s="973"/>
      <c r="G27" s="974"/>
      <c r="H27" s="975"/>
    </row>
    <row r="28" spans="1:8" hidden="1" outlineLevel="1">
      <c r="A28" s="790" t="s">
        <v>866</v>
      </c>
      <c r="B28" s="976"/>
      <c r="C28" s="977"/>
      <c r="D28" s="978"/>
      <c r="E28" s="971"/>
      <c r="F28" s="979"/>
      <c r="G28" s="980"/>
      <c r="H28" s="981"/>
    </row>
    <row r="29" spans="1:8" s="796" customFormat="1" ht="12.95" collapsed="1">
      <c r="A29" s="806" t="s">
        <v>867</v>
      </c>
      <c r="B29" s="982"/>
      <c r="C29" s="983"/>
      <c r="D29" s="983" t="s">
        <v>868</v>
      </c>
      <c r="F29" s="984">
        <f>AVERAGE(F7:F28)</f>
        <v>3.6603535816351847E-2</v>
      </c>
      <c r="G29" s="984">
        <f t="shared" ref="G29:H29" si="38">AVERAGE(G7:G28)</f>
        <v>2.6164789814027634E-2</v>
      </c>
      <c r="H29" s="984">
        <f t="shared" si="38"/>
        <v>1.5939832088252615E-2</v>
      </c>
    </row>
    <row r="30" spans="1:8" s="796" customFormat="1" ht="12.95">
      <c r="A30" s="806" t="s">
        <v>869</v>
      </c>
      <c r="B30" s="982"/>
      <c r="C30" s="983"/>
      <c r="D30" s="983"/>
      <c r="F30" s="984">
        <f>MEDIAN(F7:F26)</f>
        <v>3.2535775572909542E-2</v>
      </c>
      <c r="G30" s="984">
        <f t="shared" ref="G30:H30" si="39">MEDIAN(G7:G26)</f>
        <v>2.2369385555156329E-2</v>
      </c>
      <c r="H30" s="984">
        <f t="shared" si="39"/>
        <v>1.2167821209153273E-2</v>
      </c>
    </row>
    <row r="32" spans="1:8" ht="12.95">
      <c r="A32" s="965" t="s">
        <v>351</v>
      </c>
      <c r="B32" s="966" t="s">
        <v>837</v>
      </c>
      <c r="C32" s="967" t="s">
        <v>838</v>
      </c>
      <c r="D32" s="968" t="s">
        <v>839</v>
      </c>
      <c r="E32" s="969" t="s">
        <v>840</v>
      </c>
      <c r="F32" s="966" t="s">
        <v>841</v>
      </c>
      <c r="G32" s="967" t="s">
        <v>842</v>
      </c>
      <c r="H32" s="968" t="s">
        <v>843</v>
      </c>
    </row>
    <row r="33" spans="1:10">
      <c r="A33" s="790" t="s">
        <v>870</v>
      </c>
      <c r="B33" s="970">
        <f>+'Historical Financials'!BU154*1000+900</f>
        <v>29550.000000000011</v>
      </c>
      <c r="C33" s="971">
        <f t="shared" ref="C33" si="40">B33+((D33-B33)/2)</f>
        <v>29900.000000000004</v>
      </c>
      <c r="D33" s="972">
        <f>+'Historical Financials'!BV154*1000+900</f>
        <v>30249.999999999996</v>
      </c>
      <c r="E33" s="1208">
        <f>+'Historical Financials'!AN48</f>
        <v>31792.071747707938</v>
      </c>
      <c r="F33" s="973">
        <f t="shared" ref="F33" si="41">+$E33/B33-1</f>
        <v>7.5873832409743658E-2</v>
      </c>
      <c r="G33" s="974">
        <f t="shared" ref="G33" si="42">+$E33/C33-1</f>
        <v>6.327999156213826E-2</v>
      </c>
      <c r="H33" s="975">
        <f t="shared" ref="H33" si="43">+$E33/D33-1</f>
        <v>5.0977578436626203E-2</v>
      </c>
    </row>
    <row r="34" spans="1:10">
      <c r="A34" s="790" t="s">
        <v>871</v>
      </c>
      <c r="B34" s="970">
        <v>27750</v>
      </c>
      <c r="C34" s="971">
        <f t="shared" ref="C34:C35" si="44">B34+((D34-B34)/2)</f>
        <v>28100</v>
      </c>
      <c r="D34" s="972">
        <v>28450.000000000004</v>
      </c>
      <c r="E34" s="971">
        <f>+'Historical Financials'!AM48</f>
        <v>28865</v>
      </c>
      <c r="F34" s="973">
        <f t="shared" ref="F34" si="45">+$E34/B34-1</f>
        <v>4.0180180180180214E-2</v>
      </c>
      <c r="G34" s="974">
        <f t="shared" ref="G34" si="46">+$E34/C34-1</f>
        <v>2.7224199288256257E-2</v>
      </c>
      <c r="H34" s="975">
        <f t="shared" ref="H34" si="47">+$E34/D34-1</f>
        <v>1.4586994727592062E-2</v>
      </c>
    </row>
    <row r="35" spans="1:10">
      <c r="A35" s="790" t="s">
        <v>872</v>
      </c>
      <c r="B35" s="970">
        <v>26599.999999999996</v>
      </c>
      <c r="C35" s="971">
        <f t="shared" si="44"/>
        <v>26950</v>
      </c>
      <c r="D35" s="972">
        <v>27300.000000000004</v>
      </c>
      <c r="E35" s="971">
        <f>+'Historical Financials'!AL48</f>
        <v>28521</v>
      </c>
      <c r="F35" s="973">
        <f t="shared" ref="F35" si="48">+$E35/B35-1</f>
        <v>7.221804511278207E-2</v>
      </c>
      <c r="G35" s="974">
        <f t="shared" ref="G35" si="49">+$E35/C35-1</f>
        <v>5.8293135435992571E-2</v>
      </c>
      <c r="H35" s="975">
        <f t="shared" ref="H35" si="50">+$E35/D35-1</f>
        <v>4.4725274725274655E-2</v>
      </c>
    </row>
    <row r="36" spans="1:10">
      <c r="A36" s="790" t="s">
        <v>873</v>
      </c>
      <c r="B36" s="970">
        <v>26400.000000000007</v>
      </c>
      <c r="C36" s="971">
        <f t="shared" ref="C36:C37" si="51">B36+((D36-B36)/2)</f>
        <v>26750</v>
      </c>
      <c r="D36" s="972">
        <v>27099.999999999996</v>
      </c>
      <c r="E36" s="971">
        <f>+'Historical Financials'!AK48</f>
        <v>28162</v>
      </c>
      <c r="F36" s="973">
        <f t="shared" ref="F36:H37" si="52">+$E36/B36-1</f>
        <v>6.6742424242423937E-2</v>
      </c>
      <c r="G36" s="974">
        <f t="shared" si="52"/>
        <v>5.2785046728971885E-2</v>
      </c>
      <c r="H36" s="975">
        <f t="shared" si="52"/>
        <v>3.9188191881919021E-2</v>
      </c>
      <c r="J36" s="1210">
        <f>+E36-26784</f>
        <v>1378</v>
      </c>
    </row>
    <row r="37" spans="1:10">
      <c r="A37" s="790" t="s">
        <v>848</v>
      </c>
      <c r="B37" s="970">
        <v>23699.999999999996</v>
      </c>
      <c r="C37" s="971">
        <f t="shared" si="51"/>
        <v>24050</v>
      </c>
      <c r="D37" s="972">
        <v>24400</v>
      </c>
      <c r="E37" s="971">
        <f>+'Historical Financials'!AJ48</f>
        <v>26895</v>
      </c>
      <c r="F37" s="973">
        <f t="shared" si="52"/>
        <v>0.13481012658227876</v>
      </c>
      <c r="G37" s="974">
        <f t="shared" si="52"/>
        <v>0.11829521829521839</v>
      </c>
      <c r="H37" s="975">
        <f t="shared" si="52"/>
        <v>0.10225409836065569</v>
      </c>
    </row>
    <row r="38" spans="1:10">
      <c r="A38" s="790" t="s">
        <v>849</v>
      </c>
      <c r="B38" s="970">
        <v>22949.999999999996</v>
      </c>
      <c r="C38" s="971">
        <f t="shared" ref="C38" si="53">B38+((D38-B38)/2)</f>
        <v>23299.999999999996</v>
      </c>
      <c r="D38" s="972">
        <v>23649.999999999996</v>
      </c>
      <c r="E38" s="971">
        <f>+'Historical Financials'!AI48</f>
        <v>24254</v>
      </c>
      <c r="F38" s="973">
        <f t="shared" ref="F38:H38" si="54">+$E38/B38-1</f>
        <v>5.6819172113290017E-2</v>
      </c>
      <c r="G38" s="974">
        <f t="shared" si="54"/>
        <v>4.0944206008583839E-2</v>
      </c>
      <c r="H38" s="975">
        <f t="shared" si="54"/>
        <v>2.553911205074022E-2</v>
      </c>
    </row>
    <row r="39" spans="1:10">
      <c r="A39" s="790" t="s">
        <v>850</v>
      </c>
      <c r="B39" s="970">
        <v>20149.999999999996</v>
      </c>
      <c r="C39" s="971">
        <f t="shared" ref="C39" si="55">B39+((D39-B39)/2)</f>
        <v>20499.999999999996</v>
      </c>
      <c r="D39" s="972">
        <v>20849.999999999996</v>
      </c>
      <c r="E39" s="971">
        <f>+'Historical Financials'!AH48</f>
        <v>22352</v>
      </c>
      <c r="F39" s="973">
        <f>+$E39/B39-1</f>
        <v>0.10928039702233261</v>
      </c>
      <c r="G39" s="974">
        <f>+$E39/C39-1</f>
        <v>9.0341463414634449E-2</v>
      </c>
      <c r="H39" s="975">
        <f>+$E39/D39-1</f>
        <v>7.2038369304556538E-2</v>
      </c>
    </row>
    <row r="40" spans="1:10">
      <c r="A40" s="790" t="s">
        <v>851</v>
      </c>
      <c r="B40" s="970">
        <v>20650</v>
      </c>
      <c r="C40" s="971">
        <f t="shared" ref="C40:C41" si="56">B40+((D40-B40)/2)</f>
        <v>21000</v>
      </c>
      <c r="D40" s="972">
        <v>21350</v>
      </c>
      <c r="E40" s="971">
        <f>+'Historical Financials'!AG48</f>
        <v>21570</v>
      </c>
      <c r="F40" s="973">
        <f t="shared" ref="F40" si="57">+$E40/B40-1</f>
        <v>4.4552058111380077E-2</v>
      </c>
      <c r="G40" s="974">
        <f t="shared" ref="G40" si="58">+$E40/C40-1</f>
        <v>2.7142857142857135E-2</v>
      </c>
      <c r="H40" s="975">
        <f t="shared" ref="H40" si="59">+$E40/D40-1</f>
        <v>1.0304449648711911E-2</v>
      </c>
    </row>
    <row r="41" spans="1:10">
      <c r="A41" s="790" t="s">
        <v>852</v>
      </c>
      <c r="B41" s="970">
        <v>21050</v>
      </c>
      <c r="C41" s="971">
        <f t="shared" si="56"/>
        <v>21400</v>
      </c>
      <c r="D41" s="972">
        <v>21750</v>
      </c>
      <c r="E41" s="971">
        <f>+'Historical Financials'!AF48</f>
        <v>21518</v>
      </c>
      <c r="F41" s="973">
        <f t="shared" ref="F41" si="60">+$E41/B41-1</f>
        <v>2.2232779097387079E-2</v>
      </c>
      <c r="G41" s="974">
        <f t="shared" ref="G41" si="61">+$E41/C41-1</f>
        <v>5.5140186915887401E-3</v>
      </c>
      <c r="H41" s="975">
        <f t="shared" ref="H41" si="62">+$E41/D41-1</f>
        <v>-1.0666666666666713E-2</v>
      </c>
    </row>
    <row r="42" spans="1:10">
      <c r="A42" s="790" t="s">
        <v>853</v>
      </c>
      <c r="B42" s="970">
        <v>20600.000000000004</v>
      </c>
      <c r="C42" s="971">
        <f t="shared" ref="C42" si="63">B42+((D42-B42)/2)</f>
        <v>20950.000000000004</v>
      </c>
      <c r="D42" s="972">
        <v>21300.000000000004</v>
      </c>
      <c r="E42" s="971">
        <f>+'Historical Financials'!AE48</f>
        <v>20534</v>
      </c>
      <c r="F42" s="973">
        <f t="shared" ref="F42" si="64">+$E42/B42-1</f>
        <v>-3.2038834951457762E-3</v>
      </c>
      <c r="G42" s="974">
        <f t="shared" ref="G42" si="65">+$E42/C42-1</f>
        <v>-1.9856801909308053E-2</v>
      </c>
      <c r="H42" s="975">
        <f t="shared" ref="H42" si="66">+$E42/D42-1</f>
        <v>-3.5962441314554172E-2</v>
      </c>
    </row>
    <row r="43" spans="1:10">
      <c r="A43" s="790" t="s">
        <v>854</v>
      </c>
      <c r="B43" s="970">
        <v>19600</v>
      </c>
      <c r="C43" s="971">
        <f t="shared" ref="C43:C53" si="67">B43+((D43-B43)/2)</f>
        <v>19849.999999999996</v>
      </c>
      <c r="D43" s="972">
        <v>20099.999999999993</v>
      </c>
      <c r="E43" s="971">
        <f>+'Historical Financials'!AD48</f>
        <v>20364</v>
      </c>
      <c r="F43" s="973">
        <f t="shared" ref="F43" si="68">+$E43/B43-1</f>
        <v>3.8979591836734606E-2</v>
      </c>
      <c r="G43" s="974">
        <f t="shared" ref="G43" si="69">+$E43/C43-1</f>
        <v>2.5894206549118559E-2</v>
      </c>
      <c r="H43" s="975">
        <f t="shared" ref="H43" si="70">+$E43/D43-1</f>
        <v>1.3134328358209268E-2</v>
      </c>
    </row>
    <row r="44" spans="1:10">
      <c r="A44" s="790" t="s">
        <v>855</v>
      </c>
      <c r="B44" s="970">
        <v>20450</v>
      </c>
      <c r="C44" s="971">
        <f t="shared" si="67"/>
        <v>20749.999999999996</v>
      </c>
      <c r="D44" s="972">
        <v>21049.999999999993</v>
      </c>
      <c r="E44" s="971">
        <f>+'Historical Financials'!AC48</f>
        <v>22247</v>
      </c>
      <c r="F44" s="973">
        <f t="shared" ref="F44:F53" si="71">+$E44/B44-1</f>
        <v>8.7872860635696881E-2</v>
      </c>
      <c r="G44" s="974">
        <f t="shared" ref="G44:G53" si="72">+$E44/C44-1</f>
        <v>7.2144578313253271E-2</v>
      </c>
      <c r="H44" s="975">
        <f t="shared" ref="H44:H53" si="73">+$E44/D44-1</f>
        <v>5.6864608076009793E-2</v>
      </c>
    </row>
    <row r="45" spans="1:10">
      <c r="A45" s="790" t="s">
        <v>856</v>
      </c>
      <c r="B45" s="970">
        <f>+B18-13550-11600</f>
        <v>18150</v>
      </c>
      <c r="C45" s="971">
        <f t="shared" si="67"/>
        <v>18450</v>
      </c>
      <c r="D45" s="972">
        <f>+D18-13750-11700</f>
        <v>18750</v>
      </c>
      <c r="E45" s="971">
        <f>+'Historical Financials'!AB48</f>
        <v>20238</v>
      </c>
      <c r="F45" s="973">
        <f t="shared" si="71"/>
        <v>0.11504132231404962</v>
      </c>
      <c r="G45" s="974">
        <f t="shared" si="72"/>
        <v>9.6910569105691069E-2</v>
      </c>
      <c r="H45" s="975">
        <f t="shared" si="73"/>
        <v>7.9360000000000097E-2</v>
      </c>
    </row>
    <row r="46" spans="1:10">
      <c r="A46" s="790" t="s">
        <v>857</v>
      </c>
      <c r="B46" s="970">
        <f>+B19-13700-13100</f>
        <v>16800</v>
      </c>
      <c r="C46" s="971">
        <f t="shared" si="67"/>
        <v>17100</v>
      </c>
      <c r="D46" s="972">
        <f>+D19-13900-13200</f>
        <v>17400</v>
      </c>
      <c r="E46" s="971">
        <f>+'Historical Financials'!AA48</f>
        <v>19095</v>
      </c>
      <c r="F46" s="973">
        <f t="shared" si="71"/>
        <v>0.13660714285714293</v>
      </c>
      <c r="G46" s="974">
        <f t="shared" si="72"/>
        <v>0.1166666666666667</v>
      </c>
      <c r="H46" s="975">
        <f t="shared" si="73"/>
        <v>9.7413793103448221E-2</v>
      </c>
    </row>
    <row r="47" spans="1:10">
      <c r="A47" s="790" t="s">
        <v>858</v>
      </c>
      <c r="B47" s="970">
        <f>+B20-13100-11900</f>
        <v>15350</v>
      </c>
      <c r="C47" s="971">
        <f t="shared" si="67"/>
        <v>15650</v>
      </c>
      <c r="D47" s="972">
        <f>+D20-13300-12000</f>
        <v>15950</v>
      </c>
      <c r="E47" s="971">
        <f>+'Historical Financials'!Z48</f>
        <v>17048</v>
      </c>
      <c r="F47" s="973">
        <f t="shared" si="71"/>
        <v>0.11061889250814327</v>
      </c>
      <c r="G47" s="974">
        <f t="shared" si="72"/>
        <v>8.9329073482428134E-2</v>
      </c>
      <c r="H47" s="975">
        <f t="shared" si="73"/>
        <v>6.8840125391849583E-2</v>
      </c>
    </row>
    <row r="48" spans="1:10">
      <c r="A48" s="790" t="s">
        <v>859</v>
      </c>
      <c r="B48" s="970">
        <f>+B21-13750-11400</f>
        <v>14350</v>
      </c>
      <c r="C48" s="971">
        <f t="shared" si="67"/>
        <v>14650</v>
      </c>
      <c r="D48" s="972">
        <f>+D21-13950-11500</f>
        <v>14950</v>
      </c>
      <c r="E48" s="971">
        <f>+'Historical Financials'!Y48</f>
        <v>17897</v>
      </c>
      <c r="F48" s="973">
        <f t="shared" si="71"/>
        <v>0.24717770034843212</v>
      </c>
      <c r="G48" s="974">
        <f t="shared" si="72"/>
        <v>0.22163822525597277</v>
      </c>
      <c r="H48" s="975">
        <f t="shared" si="73"/>
        <v>0.19712374581939796</v>
      </c>
    </row>
    <row r="49" spans="1:8">
      <c r="A49" s="790" t="s">
        <v>860</v>
      </c>
      <c r="B49" s="970">
        <f>+B22-10750-10700</f>
        <v>13700</v>
      </c>
      <c r="C49" s="971">
        <f t="shared" si="67"/>
        <v>14025</v>
      </c>
      <c r="D49" s="972">
        <f>+D22-10950-10800</f>
        <v>14350</v>
      </c>
      <c r="E49" s="971">
        <f>+'Historical Financials'!X48</f>
        <v>15876</v>
      </c>
      <c r="F49" s="973">
        <f t="shared" si="71"/>
        <v>0.1588321167883211</v>
      </c>
      <c r="G49" s="974">
        <f t="shared" si="72"/>
        <v>0.13197860962566854</v>
      </c>
      <c r="H49" s="975">
        <f t="shared" si="73"/>
        <v>0.10634146341463424</v>
      </c>
    </row>
    <row r="50" spans="1:8">
      <c r="A50" s="790" t="s">
        <v>861</v>
      </c>
      <c r="B50" s="970">
        <f>+B23-11550-11800</f>
        <v>12500</v>
      </c>
      <c r="C50" s="971">
        <f t="shared" si="67"/>
        <v>12825</v>
      </c>
      <c r="D50" s="972">
        <f>+D23-11750-11900</f>
        <v>13150</v>
      </c>
      <c r="E50" s="971">
        <f>+'Historical Financials'!W48</f>
        <v>13407</v>
      </c>
      <c r="F50" s="973">
        <f t="shared" si="71"/>
        <v>7.2559999999999958E-2</v>
      </c>
      <c r="G50" s="974">
        <f t="shared" si="72"/>
        <v>4.5380116959064409E-2</v>
      </c>
      <c r="H50" s="975">
        <f t="shared" si="73"/>
        <v>1.954372623574141E-2</v>
      </c>
    </row>
    <row r="51" spans="1:8">
      <c r="A51" s="790" t="s">
        <v>862</v>
      </c>
      <c r="B51" s="970">
        <f>+B24-11050-11200</f>
        <v>11850</v>
      </c>
      <c r="C51" s="971">
        <f t="shared" si="67"/>
        <v>12100</v>
      </c>
      <c r="D51" s="972">
        <f>+D24-11250-11300</f>
        <v>12350</v>
      </c>
      <c r="E51" s="971">
        <f>+'Historical Financials'!V48</f>
        <v>12975</v>
      </c>
      <c r="F51" s="973">
        <f t="shared" si="71"/>
        <v>9.4936708860759556E-2</v>
      </c>
      <c r="G51" s="974">
        <f t="shared" si="72"/>
        <v>7.2314049586776896E-2</v>
      </c>
      <c r="H51" s="975">
        <f t="shared" si="73"/>
        <v>5.0607287449392802E-2</v>
      </c>
    </row>
    <row r="52" spans="1:8">
      <c r="A52" s="790" t="s">
        <v>863</v>
      </c>
      <c r="B52" s="970">
        <f>+B25-12450-10800</f>
        <v>11900</v>
      </c>
      <c r="C52" s="971">
        <f t="shared" si="67"/>
        <v>12150</v>
      </c>
      <c r="D52" s="972">
        <f>+D25-12650-10900</f>
        <v>12400</v>
      </c>
      <c r="E52" s="971">
        <f>+'Historical Financials'!U48</f>
        <v>13891</v>
      </c>
      <c r="F52" s="973">
        <f t="shared" si="71"/>
        <v>0.16731092436974793</v>
      </c>
      <c r="G52" s="974">
        <f t="shared" si="72"/>
        <v>0.14329218106995878</v>
      </c>
      <c r="H52" s="975">
        <f t="shared" si="73"/>
        <v>0.12024193548387108</v>
      </c>
    </row>
    <row r="53" spans="1:8">
      <c r="A53" s="790" t="s">
        <v>864</v>
      </c>
      <c r="B53" s="976">
        <f>+B26-12200-9800</f>
        <v>9900</v>
      </c>
      <c r="C53" s="977">
        <f t="shared" si="67"/>
        <v>10150</v>
      </c>
      <c r="D53" s="978">
        <f>+D26-12400-9900</f>
        <v>10400</v>
      </c>
      <c r="E53" s="971">
        <f>+'Historical Financials'!T48</f>
        <v>12686</v>
      </c>
      <c r="F53" s="979">
        <f t="shared" si="71"/>
        <v>0.28141414141414134</v>
      </c>
      <c r="G53" s="980">
        <f t="shared" si="72"/>
        <v>0.24985221674876845</v>
      </c>
      <c r="H53" s="981">
        <f t="shared" si="73"/>
        <v>0.21980769230769237</v>
      </c>
    </row>
    <row r="54" spans="1:8" hidden="1" outlineLevel="1">
      <c r="A54" s="790" t="s">
        <v>865</v>
      </c>
      <c r="B54" s="970"/>
      <c r="C54" s="971"/>
      <c r="D54" s="972"/>
      <c r="E54" s="971"/>
      <c r="F54" s="973"/>
      <c r="G54" s="974"/>
      <c r="H54" s="975"/>
    </row>
    <row r="55" spans="1:8" hidden="1" outlineLevel="1">
      <c r="A55" s="790" t="s">
        <v>866</v>
      </c>
      <c r="B55" s="976"/>
      <c r="C55" s="977"/>
      <c r="D55" s="978"/>
      <c r="E55" s="971"/>
      <c r="F55" s="979"/>
      <c r="G55" s="980"/>
      <c r="H55" s="981"/>
    </row>
    <row r="56" spans="1:8" s="796" customFormat="1" ht="12.95" collapsed="1">
      <c r="A56" s="806" t="s">
        <v>867</v>
      </c>
      <c r="B56" s="982"/>
      <c r="C56" s="983"/>
      <c r="D56" s="983" t="s">
        <v>868</v>
      </c>
      <c r="F56" s="984">
        <f>AVERAGE(F34:F55)</f>
        <v>0.10274913504500391</v>
      </c>
      <c r="G56" s="984">
        <f t="shared" ref="G56" si="74">AVERAGE(G34:G55)</f>
        <v>8.3304191823008134E-2</v>
      </c>
      <c r="H56" s="984">
        <f t="shared" ref="H56" si="75">AVERAGE(H34:H55)</f>
        <v>6.4564304417923796E-2</v>
      </c>
    </row>
    <row r="57" spans="1:8" s="796" customFormat="1" ht="12.95">
      <c r="A57" s="806" t="s">
        <v>869</v>
      </c>
      <c r="B57" s="982"/>
      <c r="C57" s="983"/>
      <c r="D57" s="983"/>
      <c r="F57" s="984">
        <f>MEDIAN(F34:F53)</f>
        <v>9.1404784748228218E-2</v>
      </c>
      <c r="G57" s="984">
        <f t="shared" ref="G57:H57" si="76">MEDIAN(G34:G53)</f>
        <v>7.2229313950015084E-2</v>
      </c>
      <c r="H57" s="984">
        <f t="shared" si="76"/>
        <v>5.3735947762701297E-2</v>
      </c>
    </row>
  </sheetData>
  <printOptions horizontalCentered="1"/>
  <pageMargins left="0.3" right="0.3" top="0.3" bottom="0.3" header="0.3" footer="0.3"/>
  <pageSetup scale="84" orientation="portrait" r:id="rId1"/>
  <headerFooter>
    <oddFooter>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72782-16FE-4920-8359-227B66BC471A}">
  <sheetPr>
    <pageSetUpPr fitToPage="1"/>
  </sheetPr>
  <dimension ref="A1:AF39"/>
  <sheetViews>
    <sheetView view="pageBreakPreview" zoomScale="85" zoomScaleNormal="100" zoomScaleSheetLayoutView="85" workbookViewId="0">
      <selection activeCell="J83" sqref="J83"/>
    </sheetView>
  </sheetViews>
  <sheetFormatPr defaultColWidth="9.33203125" defaultRowHeight="12.6"/>
  <cols>
    <col min="1" max="1" width="26.1640625" style="790" customWidth="1"/>
    <col min="2" max="17" width="10.33203125" style="790" customWidth="1"/>
    <col min="18" max="29" width="10.5" style="790" customWidth="1"/>
    <col min="30" max="30" width="25.5" style="790" bestFit="1" customWidth="1"/>
    <col min="31" max="16384" width="9.33203125" style="790"/>
  </cols>
  <sheetData>
    <row r="1" spans="1:32" s="793" customFormat="1" ht="12.95">
      <c r="A1" s="790" t="s">
        <v>60</v>
      </c>
      <c r="B1" s="791"/>
      <c r="C1" s="791"/>
      <c r="D1" s="791"/>
      <c r="E1" s="791"/>
      <c r="F1" s="791"/>
      <c r="G1" s="791"/>
      <c r="H1" s="791"/>
      <c r="I1" s="791"/>
      <c r="J1" s="791"/>
      <c r="K1" s="791"/>
      <c r="L1" s="791"/>
      <c r="M1" s="791"/>
      <c r="N1" s="791"/>
      <c r="O1" s="791"/>
      <c r="P1" s="791"/>
      <c r="Q1" s="791"/>
      <c r="R1" s="792"/>
      <c r="S1" s="792"/>
      <c r="T1" s="792"/>
      <c r="U1" s="792"/>
      <c r="V1" s="792"/>
      <c r="W1" s="792"/>
      <c r="X1" s="792"/>
      <c r="Y1" s="792"/>
      <c r="Z1" s="792"/>
      <c r="AA1" s="792"/>
      <c r="AB1" s="792"/>
      <c r="AC1" s="792">
        <f ca="1">TODAY()</f>
        <v>45797</v>
      </c>
    </row>
    <row r="2" spans="1:32" s="794" customFormat="1" ht="12.95">
      <c r="A2" s="794" t="s">
        <v>200</v>
      </c>
      <c r="B2" s="795"/>
      <c r="C2" s="795"/>
      <c r="D2" s="795"/>
      <c r="E2" s="795"/>
      <c r="F2" s="795"/>
      <c r="G2" s="795"/>
      <c r="H2" s="795"/>
      <c r="I2" s="795"/>
      <c r="J2" s="795"/>
      <c r="K2" s="795"/>
      <c r="L2" s="795"/>
      <c r="M2" s="795"/>
      <c r="N2" s="795"/>
      <c r="O2" s="795"/>
      <c r="P2" s="795"/>
      <c r="Q2" s="795"/>
      <c r="R2" s="795"/>
      <c r="S2" s="795"/>
      <c r="T2" s="795"/>
      <c r="U2" s="795"/>
      <c r="V2" s="795"/>
      <c r="W2" s="795"/>
      <c r="X2" s="795"/>
      <c r="Y2" s="795"/>
      <c r="Z2" s="795"/>
      <c r="AA2" s="795"/>
      <c r="AB2" s="795"/>
      <c r="AC2" s="795"/>
    </row>
    <row r="3" spans="1:32" ht="12.95">
      <c r="A3" s="796" t="s">
        <v>63</v>
      </c>
    </row>
    <row r="4" spans="1:32" ht="15.95">
      <c r="B4" s="797" t="s">
        <v>203</v>
      </c>
      <c r="C4" s="798"/>
      <c r="D4" s="798"/>
      <c r="E4" s="798"/>
      <c r="F4" s="798"/>
      <c r="G4" s="798"/>
      <c r="H4" s="798"/>
      <c r="I4" s="798"/>
      <c r="J4" s="798"/>
      <c r="K4" s="798"/>
      <c r="L4" s="798"/>
      <c r="M4" s="798"/>
      <c r="N4" s="798"/>
      <c r="O4" s="798"/>
      <c r="P4" s="798"/>
      <c r="Q4" s="798"/>
      <c r="R4" s="798"/>
      <c r="S4" s="798"/>
      <c r="T4" s="798"/>
      <c r="U4" s="798"/>
      <c r="V4" s="798"/>
      <c r="W4" s="798"/>
      <c r="X4" s="798"/>
      <c r="Y4" s="798"/>
      <c r="Z4" s="798"/>
      <c r="AA4" s="798"/>
      <c r="AB4" s="798"/>
      <c r="AC4" s="798"/>
    </row>
    <row r="5" spans="1:32" ht="15.95">
      <c r="A5" s="799"/>
      <c r="B5" s="800" t="s">
        <v>212</v>
      </c>
      <c r="C5" s="800" t="s">
        <v>213</v>
      </c>
      <c r="D5" s="800" t="s">
        <v>214</v>
      </c>
      <c r="E5" s="800" t="s">
        <v>215</v>
      </c>
      <c r="F5" s="801" t="s">
        <v>216</v>
      </c>
      <c r="G5" s="800" t="s">
        <v>217</v>
      </c>
      <c r="H5" s="800" t="s">
        <v>218</v>
      </c>
      <c r="I5" s="800" t="s">
        <v>219</v>
      </c>
      <c r="J5" s="801" t="s">
        <v>220</v>
      </c>
      <c r="K5" s="800" t="s">
        <v>221</v>
      </c>
      <c r="L5" s="800" t="s">
        <v>222</v>
      </c>
      <c r="M5" s="800" t="s">
        <v>223</v>
      </c>
      <c r="N5" s="801" t="s">
        <v>224</v>
      </c>
      <c r="O5" s="800" t="s">
        <v>225</v>
      </c>
      <c r="P5" s="800" t="s">
        <v>226</v>
      </c>
      <c r="Q5" s="802" t="s">
        <v>227</v>
      </c>
      <c r="R5" s="800" t="s">
        <v>228</v>
      </c>
      <c r="S5" s="800" t="s">
        <v>229</v>
      </c>
      <c r="T5" s="800" t="s">
        <v>230</v>
      </c>
      <c r="U5" s="802" t="s">
        <v>231</v>
      </c>
      <c r="V5" s="800" t="s">
        <v>232</v>
      </c>
      <c r="W5" s="800" t="s">
        <v>233</v>
      </c>
      <c r="X5" s="800" t="s">
        <v>234</v>
      </c>
      <c r="Y5" s="802" t="s">
        <v>235</v>
      </c>
      <c r="Z5" s="800" t="s">
        <v>236</v>
      </c>
      <c r="AA5" s="800" t="s">
        <v>237</v>
      </c>
      <c r="AB5" s="800" t="s">
        <v>238</v>
      </c>
      <c r="AC5" s="800" t="s">
        <v>239</v>
      </c>
    </row>
    <row r="6" spans="1:32" ht="15.95">
      <c r="A6" s="799"/>
      <c r="B6" s="800"/>
      <c r="C6" s="800"/>
      <c r="D6" s="800"/>
      <c r="E6" s="800"/>
      <c r="F6" s="801"/>
      <c r="G6" s="800"/>
      <c r="H6" s="800"/>
      <c r="I6" s="800"/>
      <c r="J6" s="801"/>
      <c r="K6" s="800"/>
      <c r="L6" s="800"/>
      <c r="M6" s="800"/>
      <c r="N6" s="801"/>
      <c r="O6" s="800"/>
      <c r="P6" s="800"/>
      <c r="Q6" s="802"/>
      <c r="R6" s="800"/>
      <c r="S6" s="800"/>
      <c r="T6" s="800"/>
      <c r="U6" s="802"/>
      <c r="V6" s="800"/>
      <c r="W6" s="800"/>
      <c r="X6" s="800"/>
      <c r="Y6" s="802"/>
      <c r="Z6" s="800"/>
      <c r="AA6" s="800"/>
      <c r="AB6" s="800"/>
      <c r="AC6" s="800"/>
    </row>
    <row r="7" spans="1:32">
      <c r="A7" s="790" t="s">
        <v>86</v>
      </c>
      <c r="B7" s="803">
        <f>+'Historical Financials'!L12</f>
        <v>24538</v>
      </c>
      <c r="C7" s="803">
        <f>+'Historical Financials'!M12</f>
        <v>28918</v>
      </c>
      <c r="D7" s="803">
        <f>+'Historical Financials'!N12</f>
        <v>26819</v>
      </c>
      <c r="E7" s="803">
        <f>+'Historical Financials'!O12</f>
        <v>30085</v>
      </c>
      <c r="F7" s="804">
        <f>+'Historical Financials'!P12</f>
        <v>29084</v>
      </c>
      <c r="G7" s="803">
        <f>+'Historical Financials'!Q12</f>
        <v>32471</v>
      </c>
      <c r="H7" s="803">
        <f>+'Historical Financials'!R12</f>
        <v>30571</v>
      </c>
      <c r="I7" s="803">
        <f>+'Historical Financials'!S12</f>
        <v>33717</v>
      </c>
      <c r="J7" s="804">
        <f>+'Historical Financials'!T12</f>
        <v>33055</v>
      </c>
      <c r="K7" s="803">
        <f>+'Historical Financials'!U12</f>
        <v>36906</v>
      </c>
      <c r="L7" s="803">
        <f>+'Historical Financials'!V12</f>
        <v>35021</v>
      </c>
      <c r="M7" s="803">
        <f>+'Historical Financials'!W12</f>
        <v>38033</v>
      </c>
      <c r="N7" s="804">
        <f>+'Historical Financials'!X12</f>
        <v>37154</v>
      </c>
      <c r="O7" s="803">
        <f>+'Historical Financials'!Y12</f>
        <v>43076</v>
      </c>
      <c r="P7" s="803">
        <f>+'Historical Financials'!Z12</f>
        <v>41706</v>
      </c>
      <c r="Q7" s="805">
        <f>+'Historical Financials'!AA12</f>
        <v>46152</v>
      </c>
      <c r="R7" s="803">
        <f>+'Historical Financials'!AB12</f>
        <v>45317</v>
      </c>
      <c r="S7" s="803">
        <f>+'Historical Financials'!AC12</f>
        <v>51728</v>
      </c>
      <c r="T7" s="803">
        <f>+'Historical Financials'!AD12</f>
        <v>49360</v>
      </c>
      <c r="U7" s="805">
        <f>+'Historical Financials'!AE12</f>
        <v>51865</v>
      </c>
      <c r="V7" s="803">
        <f>+'Historical Financials'!AF12</f>
        <v>50122</v>
      </c>
      <c r="W7" s="803">
        <f>+'Historical Financials'!AG12</f>
        <v>52747</v>
      </c>
      <c r="X7" s="803">
        <f>+'Historical Financials'!AH12</f>
        <v>52857</v>
      </c>
      <c r="Y7" s="805">
        <f>+'Historical Financials'!AI12</f>
        <v>56189</v>
      </c>
      <c r="Z7" s="803">
        <f>+'Historical Financials'!AJ12</f>
        <v>56517</v>
      </c>
      <c r="AA7" s="803">
        <f>+'Historical Financials'!AK12</f>
        <v>62020</v>
      </c>
      <c r="AB7" s="803">
        <f>+'Historical Financials'!AL12</f>
        <v>61858</v>
      </c>
      <c r="AC7" s="803">
        <f>+'Historical Financials'!AM12</f>
        <v>64727</v>
      </c>
      <c r="AD7" s="803">
        <f>+'Historical Financials'!AG12</f>
        <v>52747</v>
      </c>
      <c r="AE7" s="803">
        <f>+'Historical Financials'!AH12</f>
        <v>52857</v>
      </c>
      <c r="AF7" s="803">
        <f>+'Historical Financials'!AI12</f>
        <v>56189</v>
      </c>
    </row>
    <row r="8" spans="1:32" s="796" customFormat="1" ht="12.95">
      <c r="A8" s="806" t="s">
        <v>113</v>
      </c>
      <c r="B8" s="791"/>
      <c r="C8" s="791"/>
      <c r="D8" s="791"/>
      <c r="E8" s="791"/>
      <c r="F8" s="807">
        <f t="shared" ref="F8" si="0">IFERROR(F7/B7-1,"n/a ")</f>
        <v>0.18526367267095933</v>
      </c>
      <c r="G8" s="791">
        <f t="shared" ref="G8" si="1">IFERROR(G7/C7-1,"n/a ")</f>
        <v>0.12286465177398154</v>
      </c>
      <c r="H8" s="791">
        <f t="shared" ref="H8" si="2">IFERROR(H7/D7-1,"n/a ")</f>
        <v>0.13990081658525666</v>
      </c>
      <c r="I8" s="791">
        <f t="shared" ref="I8" si="3">IFERROR(I7/E7-1,"n/a ")</f>
        <v>0.12072461359481479</v>
      </c>
      <c r="J8" s="807">
        <f t="shared" ref="J8" si="4">IFERROR(J7/F7-1,"n/a ")</f>
        <v>0.13653555219364599</v>
      </c>
      <c r="K8" s="791">
        <f t="shared" ref="K8" si="5">IFERROR(K7/G7-1,"n/a ")</f>
        <v>0.13658341289150311</v>
      </c>
      <c r="L8" s="791">
        <f t="shared" ref="L8" si="6">IFERROR(L7/H7-1,"n/a ")</f>
        <v>0.14556278826338698</v>
      </c>
      <c r="M8" s="791">
        <f t="shared" ref="M8" si="7">IFERROR(M7/I7-1,"n/a ")</f>
        <v>0.12800664353293589</v>
      </c>
      <c r="N8" s="807">
        <f t="shared" ref="N8" si="8">IFERROR(N7/J7-1,"n/a ")</f>
        <v>0.12400544546967174</v>
      </c>
      <c r="O8" s="791">
        <f t="shared" ref="O8" si="9">IFERROR(O7/K7-1,"n/a ")</f>
        <v>0.16718148810491518</v>
      </c>
      <c r="P8" s="791">
        <f t="shared" ref="P8" si="10">IFERROR(P7/L7-1,"n/a ")</f>
        <v>0.19088546871876866</v>
      </c>
      <c r="Q8" s="808">
        <f t="shared" ref="Q8" si="11">IFERROR(Q7/M7-1,"n/a ")</f>
        <v>0.21347251071437956</v>
      </c>
      <c r="R8" s="791">
        <f t="shared" ref="R8" si="12">IFERROR(R7/N7-1,"n/a ")</f>
        <v>0.21970716477364483</v>
      </c>
      <c r="S8" s="791">
        <f t="shared" ref="S8" si="13">IFERROR(S7/O7-1,"n/a ")</f>
        <v>0.2008543040208004</v>
      </c>
      <c r="T8" s="791">
        <f t="shared" ref="T8" si="14">IFERROR(T7/P7-1,"n/a ")</f>
        <v>0.18352275451973332</v>
      </c>
      <c r="U8" s="808">
        <f t="shared" ref="U8" si="15">IFERROR(U7/Q7-1,"n/a ")</f>
        <v>0.12378661813139202</v>
      </c>
      <c r="V8" s="791">
        <f t="shared" ref="V8" si="16">IFERROR(V7/R7-1,"n/a ")</f>
        <v>0.1060308493501334</v>
      </c>
      <c r="W8" s="791">
        <f t="shared" ref="W8" si="17">IFERROR(W7/S7-1,"n/a ")</f>
        <v>1.9699195793380753E-2</v>
      </c>
      <c r="X8" s="791">
        <f t="shared" ref="X8" si="18">IFERROR(X7/T7-1,"n/a ")</f>
        <v>7.0846839546191198E-2</v>
      </c>
      <c r="Y8" s="808">
        <f t="shared" ref="Y8" si="19">IFERROR(Y7/U7-1,"n/a ")</f>
        <v>8.3370288248336921E-2</v>
      </c>
      <c r="Z8" s="791">
        <f t="shared" ref="Z8" si="20">IFERROR(Z7/V7-1,"n/a ")</f>
        <v>0.12758868361198683</v>
      </c>
      <c r="AA8" s="791">
        <f t="shared" ref="AA8" si="21">IFERROR(AA7/W7-1,"n/a ")</f>
        <v>0.17580146738203117</v>
      </c>
      <c r="AB8" s="791">
        <f t="shared" ref="AB8" si="22">IFERROR(AB7/X7-1,"n/a ")</f>
        <v>0.17028964943148495</v>
      </c>
      <c r="AC8" s="791">
        <f t="shared" ref="AC8" si="23">IFERROR(AC7/Y7-1,"n/a ")</f>
        <v>0.15195144957198026</v>
      </c>
      <c r="AD8" s="796">
        <f t="shared" ref="AD8" si="24">IFERROR(AD7/S7-1,"n/a ")</f>
        <v>1.9699195793380753E-2</v>
      </c>
      <c r="AE8" s="796">
        <f t="shared" ref="AE8" si="25">IFERROR(AE7/T7-1,"n/a ")</f>
        <v>7.0846839546191198E-2</v>
      </c>
      <c r="AF8" s="796">
        <f t="shared" ref="AF8" si="26">IFERROR(AF7/U7-1,"n/a ")</f>
        <v>8.3370288248336921E-2</v>
      </c>
    </row>
    <row r="9" spans="1:32" s="796" customFormat="1" ht="12.95">
      <c r="A9" s="806" t="s">
        <v>270</v>
      </c>
      <c r="B9" s="791"/>
      <c r="C9" s="791"/>
      <c r="D9" s="791"/>
      <c r="E9" s="791"/>
      <c r="F9" s="807">
        <f>+'Historical Financials'!P14</f>
        <v>0.18546010269785637</v>
      </c>
      <c r="G9" s="791">
        <f>+'Historical Financials'!Q14</f>
        <v>0.12631371464139982</v>
      </c>
      <c r="H9" s="791">
        <f>+'Historical Financials'!R14</f>
        <v>0.16</v>
      </c>
      <c r="I9" s="791">
        <f>+'Historical Financials'!S14</f>
        <v>0.14324347681568889</v>
      </c>
      <c r="J9" s="807">
        <f>+'Historical Financials'!T14</f>
        <v>0.15429033145372026</v>
      </c>
      <c r="K9" s="791">
        <f>+'Historical Financials'!U14</f>
        <v>0.15197037356410337</v>
      </c>
      <c r="L9" s="791">
        <f>+'Historical Financials'!V14</f>
        <v>0.15910928657878379</v>
      </c>
      <c r="M9" s="791">
        <f>+'Historical Financials'!W14</f>
        <v>0.14502413322656227</v>
      </c>
      <c r="N9" s="807">
        <f>+'Historical Financials'!X14</f>
        <v>0.12050704885796401</v>
      </c>
      <c r="O9" s="791">
        <f>+'Historical Financials'!Y14</f>
        <v>0.15363536010404813</v>
      </c>
      <c r="P9" s="791">
        <f>+'Historical Financials'!Z14</f>
        <v>0.16171448844978725</v>
      </c>
      <c r="Q9" s="808">
        <f>+'Historical Financials'!AA14</f>
        <v>0.17445905660873451</v>
      </c>
      <c r="R9" s="791">
        <f>+'Historical Financials'!AB14</f>
        <v>0.20385421219787908</v>
      </c>
      <c r="S9" s="791">
        <f>+'Historical Financials'!AC14</f>
        <v>0.20078497539232981</v>
      </c>
      <c r="T9" s="791">
        <f>+'Historical Financials'!AD14</f>
        <v>0.20149706517047911</v>
      </c>
      <c r="U9" s="808">
        <f>+'Historical Financials'!AE14</f>
        <v>0.16459280637892182</v>
      </c>
      <c r="V9" s="791">
        <f>+'Historical Financials'!AF14</f>
        <v>0.15702183948628548</v>
      </c>
      <c r="W9" s="791">
        <f>+'Historical Financials'!AG14</f>
        <v>7.2159387565728428E-2</v>
      </c>
      <c r="X9" s="791">
        <f>+'Historical Financials'!AH14</f>
        <v>0.10162370340356562</v>
      </c>
      <c r="Y9" s="808">
        <f>+'Historical Financials'!AI14</f>
        <v>9.8637809698255086E-2</v>
      </c>
      <c r="Z9" s="791">
        <f>+'Historical Financials'!AJ14</f>
        <v>0.12288664059694347</v>
      </c>
      <c r="AA9" s="791">
        <f>+'Historical Financials'!AK14</f>
        <v>0.16473771020152805</v>
      </c>
      <c r="AB9" s="791">
        <f>+'Historical Financials'!AL14</f>
        <v>0.16792691034300095</v>
      </c>
      <c r="AC9" s="791">
        <f>+'Historical Financials'!AM14</f>
        <v>0.15532025438320218</v>
      </c>
      <c r="AD9" s="796">
        <f>+'Historical Financials'!AG14</f>
        <v>7.2159387565728428E-2</v>
      </c>
      <c r="AE9" s="796">
        <f>+'Historical Financials'!AH14</f>
        <v>0.10162370340356562</v>
      </c>
      <c r="AF9" s="796">
        <f>+'Historical Financials'!AI14</f>
        <v>9.8637809698255086E-2</v>
      </c>
    </row>
    <row r="10" spans="1:32" ht="15.95">
      <c r="A10" s="799"/>
      <c r="B10" s="800"/>
      <c r="C10" s="800"/>
      <c r="D10" s="800"/>
      <c r="E10" s="800"/>
      <c r="F10" s="801"/>
      <c r="G10" s="800"/>
      <c r="H10" s="800"/>
      <c r="I10" s="800"/>
      <c r="J10" s="801"/>
      <c r="K10" s="800"/>
      <c r="L10" s="800"/>
      <c r="M10" s="800"/>
      <c r="N10" s="801"/>
      <c r="O10" s="800"/>
      <c r="P10" s="800"/>
      <c r="Q10" s="802"/>
      <c r="R10" s="800"/>
      <c r="S10" s="800"/>
      <c r="T10" s="800"/>
      <c r="U10" s="802"/>
      <c r="V10" s="800"/>
      <c r="W10" s="800"/>
      <c r="X10" s="800"/>
      <c r="Y10" s="802"/>
      <c r="Z10" s="800"/>
      <c r="AA10" s="800"/>
      <c r="AB10" s="800"/>
      <c r="AC10" s="800"/>
    </row>
    <row r="11" spans="1:32">
      <c r="A11" s="790" t="s">
        <v>874</v>
      </c>
      <c r="B11" s="803">
        <f>+'Historical Financials'!L48</f>
        <v>7708</v>
      </c>
      <c r="C11" s="803">
        <f>+'Historical Financials'!M48</f>
        <v>8679</v>
      </c>
      <c r="D11" s="803">
        <f>+'Historical Financials'!N48</f>
        <v>8292</v>
      </c>
      <c r="E11" s="803">
        <f>+'Historical Financials'!O48</f>
        <v>10379</v>
      </c>
      <c r="F11" s="804">
        <f>+'Historical Financials'!P48</f>
        <v>9955</v>
      </c>
      <c r="G11" s="803">
        <f>+'Historical Financials'!Q48</f>
        <v>10258</v>
      </c>
      <c r="H11" s="803">
        <f>+'Historical Financials'!R48</f>
        <v>10341</v>
      </c>
      <c r="I11" s="803">
        <f>+'Historical Financials'!S48</f>
        <v>12405</v>
      </c>
      <c r="J11" s="804">
        <f>+'Historical Financials'!T48</f>
        <v>12686</v>
      </c>
      <c r="K11" s="803">
        <f>+'Historical Financials'!U48</f>
        <v>13891</v>
      </c>
      <c r="L11" s="803">
        <f>+'Historical Financials'!V48</f>
        <v>12975</v>
      </c>
      <c r="M11" s="803">
        <f>+'Historical Financials'!W48</f>
        <v>13407</v>
      </c>
      <c r="N11" s="804">
        <f>+'Historical Financials'!X48</f>
        <v>15876</v>
      </c>
      <c r="O11" s="803">
        <f>+'Historical Financials'!Y48</f>
        <v>17897</v>
      </c>
      <c r="P11" s="803">
        <f>+'Historical Financials'!Z48</f>
        <v>17048</v>
      </c>
      <c r="Q11" s="805">
        <f>+'Historical Financials'!AA48</f>
        <v>19095</v>
      </c>
      <c r="R11" s="803">
        <f>+'Historical Financials'!AB48</f>
        <v>20238</v>
      </c>
      <c r="S11" s="803">
        <f>+'Historical Financials'!AC48</f>
        <v>22247</v>
      </c>
      <c r="T11" s="803">
        <f>+'Historical Financials'!AD48</f>
        <v>20364</v>
      </c>
      <c r="U11" s="805">
        <f>+'Historical Financials'!AE48</f>
        <v>20534</v>
      </c>
      <c r="V11" s="803">
        <f>+'Historical Financials'!AF48</f>
        <v>21518</v>
      </c>
      <c r="W11" s="803">
        <f>+'Historical Financials'!AG48</f>
        <v>21570</v>
      </c>
      <c r="X11" s="803">
        <f>+'Historical Financials'!AH48</f>
        <v>22352</v>
      </c>
      <c r="Y11" s="805">
        <f>+'Historical Financials'!AI48</f>
        <v>24254</v>
      </c>
      <c r="Z11" s="803">
        <f>+'Historical Financials'!AJ48</f>
        <v>26895</v>
      </c>
      <c r="AA11" s="803">
        <f>+'Historical Financials'!AK48</f>
        <v>28162</v>
      </c>
      <c r="AB11" s="803">
        <f>+'Historical Financials'!AL48</f>
        <v>28521</v>
      </c>
      <c r="AC11" s="803">
        <f>+'Historical Financials'!AM48</f>
        <v>28865</v>
      </c>
      <c r="AD11" s="803">
        <f>+'Historical Financials'!AG48</f>
        <v>21570</v>
      </c>
      <c r="AE11" s="803">
        <f>+'Historical Financials'!AH48</f>
        <v>22352</v>
      </c>
      <c r="AF11" s="803">
        <f>+'Historical Financials'!AI48</f>
        <v>24254</v>
      </c>
    </row>
    <row r="12" spans="1:32" s="796" customFormat="1" ht="12.95">
      <c r="A12" s="806" t="s">
        <v>113</v>
      </c>
      <c r="B12" s="791"/>
      <c r="C12" s="791"/>
      <c r="D12" s="791"/>
      <c r="E12" s="791"/>
      <c r="F12" s="807">
        <f t="shared" ref="F12:R12" si="27">IFERROR(F11/B11-1,"n/a ")</f>
        <v>0.29151530877010901</v>
      </c>
      <c r="G12" s="791">
        <f t="shared" si="27"/>
        <v>0.18193340246572176</v>
      </c>
      <c r="H12" s="791">
        <f t="shared" si="27"/>
        <v>0.2471056439942112</v>
      </c>
      <c r="I12" s="791">
        <f t="shared" si="27"/>
        <v>0.19520184988919942</v>
      </c>
      <c r="J12" s="807">
        <f t="shared" si="27"/>
        <v>0.27433450527373182</v>
      </c>
      <c r="K12" s="791">
        <f t="shared" si="27"/>
        <v>0.3541626047962565</v>
      </c>
      <c r="L12" s="791">
        <f t="shared" si="27"/>
        <v>0.25471424427038003</v>
      </c>
      <c r="M12" s="791">
        <f t="shared" si="27"/>
        <v>8.0773881499395461E-2</v>
      </c>
      <c r="N12" s="807">
        <f t="shared" si="27"/>
        <v>0.25145830048872764</v>
      </c>
      <c r="O12" s="791">
        <f t="shared" si="27"/>
        <v>0.28838816499892017</v>
      </c>
      <c r="P12" s="791">
        <f t="shared" si="27"/>
        <v>0.31391136801541419</v>
      </c>
      <c r="Q12" s="808">
        <f t="shared" si="27"/>
        <v>0.42425598567912282</v>
      </c>
      <c r="R12" s="791">
        <f t="shared" si="27"/>
        <v>0.27475434618291761</v>
      </c>
      <c r="S12" s="791">
        <f t="shared" ref="S12" si="28">IFERROR(S11/O11-1,"n/a ")</f>
        <v>0.24305749566966539</v>
      </c>
      <c r="T12" s="791">
        <f t="shared" ref="T12" si="29">IFERROR(T11/P11-1,"n/a ")</f>
        <v>0.19450961989676219</v>
      </c>
      <c r="U12" s="808">
        <f t="shared" ref="U12" si="30">IFERROR(U11/Q11-1,"n/a ")</f>
        <v>7.5360041895784269E-2</v>
      </c>
      <c r="V12" s="791">
        <f t="shared" ref="V12" si="31">IFERROR(V11/R11-1,"n/a ")</f>
        <v>6.3247356458147941E-2</v>
      </c>
      <c r="W12" s="791">
        <f t="shared" ref="W12" si="32">IFERROR(W11/S11-1,"n/a ")</f>
        <v>-3.0431069357666152E-2</v>
      </c>
      <c r="X12" s="791">
        <f t="shared" ref="X12" si="33">IFERROR(X11/T11-1,"n/a ")</f>
        <v>9.7623256727558338E-2</v>
      </c>
      <c r="Y12" s="808">
        <f t="shared" ref="Y12" si="34">IFERROR(Y11/U11-1,"n/a ")</f>
        <v>0.18116294925489429</v>
      </c>
      <c r="Z12" s="791">
        <f t="shared" ref="Z12" si="35">IFERROR(Z11/V11-1,"n/a ")</f>
        <v>0.2498838181987173</v>
      </c>
      <c r="AA12" s="791">
        <f t="shared" ref="AA12" si="36">IFERROR(AA11/W11-1,"n/a ")</f>
        <v>0.30560964302271665</v>
      </c>
      <c r="AB12" s="791">
        <f t="shared" ref="AB12" si="37">IFERROR(AB11/X11-1,"n/a ")</f>
        <v>0.2759931997136722</v>
      </c>
      <c r="AC12" s="791">
        <f t="shared" ref="AC12" si="38">IFERROR(AC11/Y11-1,"n/a ")</f>
        <v>0.19011297105632052</v>
      </c>
      <c r="AE12" s="796" t="s">
        <v>875</v>
      </c>
    </row>
    <row r="13" spans="1:32" s="796" customFormat="1" ht="12.95">
      <c r="A13" s="806" t="s">
        <v>115</v>
      </c>
      <c r="B13" s="791">
        <f>+B11/B7</f>
        <v>0.3141250305648382</v>
      </c>
      <c r="C13" s="791">
        <f t="shared" ref="C13:R13" si="39">+C11/C7</f>
        <v>0.30012448993706342</v>
      </c>
      <c r="D13" s="791">
        <f t="shared" si="39"/>
        <v>0.30918378761325926</v>
      </c>
      <c r="E13" s="791">
        <f t="shared" si="39"/>
        <v>0.3449891972743892</v>
      </c>
      <c r="F13" s="807">
        <f t="shared" si="39"/>
        <v>0.34228441754916794</v>
      </c>
      <c r="G13" s="791">
        <f t="shared" si="39"/>
        <v>0.3159126605278556</v>
      </c>
      <c r="H13" s="791">
        <f t="shared" si="39"/>
        <v>0.3382617513329626</v>
      </c>
      <c r="I13" s="791">
        <f t="shared" si="39"/>
        <v>0.3679152949550672</v>
      </c>
      <c r="J13" s="807">
        <f t="shared" si="39"/>
        <v>0.38378460142187265</v>
      </c>
      <c r="K13" s="791">
        <f t="shared" si="39"/>
        <v>0.37638866309001245</v>
      </c>
      <c r="L13" s="791">
        <f t="shared" si="39"/>
        <v>0.37049199051997372</v>
      </c>
      <c r="M13" s="791">
        <f t="shared" si="39"/>
        <v>0.35250966266137301</v>
      </c>
      <c r="N13" s="807">
        <f t="shared" si="39"/>
        <v>0.42730257845723207</v>
      </c>
      <c r="O13" s="791">
        <f t="shared" si="39"/>
        <v>0.41547497446373849</v>
      </c>
      <c r="P13" s="791">
        <f t="shared" si="39"/>
        <v>0.40876612477820939</v>
      </c>
      <c r="Q13" s="808">
        <f t="shared" si="39"/>
        <v>0.41374154966198645</v>
      </c>
      <c r="R13" s="791">
        <f t="shared" si="39"/>
        <v>0.44658737339188381</v>
      </c>
      <c r="S13" s="791">
        <f t="shared" ref="S13:T13" si="40">+S11/S7</f>
        <v>0.43007655428394681</v>
      </c>
      <c r="T13" s="791">
        <f t="shared" si="40"/>
        <v>0.41256077795786061</v>
      </c>
      <c r="U13" s="808">
        <f t="shared" ref="U13:V13" si="41">+U11/U7</f>
        <v>0.3959124650535043</v>
      </c>
      <c r="V13" s="791">
        <f t="shared" si="41"/>
        <v>0.42931247755476637</v>
      </c>
      <c r="W13" s="791">
        <f t="shared" ref="W13:X13" si="42">+W11/W7</f>
        <v>0.4089332094716287</v>
      </c>
      <c r="X13" s="791">
        <f t="shared" si="42"/>
        <v>0.42287681858599618</v>
      </c>
      <c r="Y13" s="808">
        <f t="shared" ref="Y13:Z13" si="43">+Y11/Y7</f>
        <v>0.4316503230169606</v>
      </c>
      <c r="Z13" s="791">
        <f t="shared" si="43"/>
        <v>0.47587451563246458</v>
      </c>
      <c r="AA13" s="791">
        <f t="shared" ref="AA13:AB13" si="44">+AA11/AA7</f>
        <v>0.45407932924862948</v>
      </c>
      <c r="AB13" s="791">
        <f t="shared" si="44"/>
        <v>0.46107213294965887</v>
      </c>
      <c r="AC13" s="791">
        <f t="shared" ref="AC13" si="45">+AC11/AC7</f>
        <v>0.44594991271030637</v>
      </c>
      <c r="AE13" s="796" t="s">
        <v>876</v>
      </c>
    </row>
    <row r="14" spans="1:32" s="796" customFormat="1" ht="12.95">
      <c r="A14" s="806"/>
      <c r="B14" s="791"/>
      <c r="C14" s="791"/>
      <c r="D14" s="791"/>
      <c r="E14" s="791"/>
      <c r="F14" s="807"/>
      <c r="G14" s="791"/>
      <c r="H14" s="791"/>
      <c r="I14" s="791"/>
      <c r="J14" s="807"/>
      <c r="K14" s="791"/>
      <c r="L14" s="791"/>
      <c r="M14" s="791"/>
      <c r="N14" s="807"/>
      <c r="O14" s="791"/>
      <c r="P14" s="791"/>
      <c r="Q14" s="808"/>
      <c r="R14" s="791"/>
      <c r="S14" s="791"/>
      <c r="T14" s="791"/>
      <c r="U14" s="808"/>
      <c r="V14" s="791"/>
      <c r="W14" s="791"/>
      <c r="X14" s="791"/>
      <c r="Y14" s="808"/>
      <c r="Z14" s="791"/>
      <c r="AA14" s="791"/>
      <c r="AB14" s="791"/>
      <c r="AC14" s="791"/>
    </row>
    <row r="15" spans="1:32" s="809" customFormat="1" ht="12.95">
      <c r="A15" s="806" t="s">
        <v>877</v>
      </c>
      <c r="F15" s="810"/>
      <c r="J15" s="810"/>
      <c r="N15" s="811">
        <v>-0.02</v>
      </c>
      <c r="O15" s="812">
        <v>-0.02</v>
      </c>
      <c r="P15" s="812">
        <v>-0.02</v>
      </c>
      <c r="Q15" s="813">
        <v>-0.01</v>
      </c>
      <c r="R15" s="812">
        <v>0.02</v>
      </c>
      <c r="S15" s="812">
        <f>3%-S13+O13</f>
        <v>1.539842017979165E-2</v>
      </c>
      <c r="T15" s="812">
        <f>2%-T13+P13</f>
        <v>1.6205346820348798E-2</v>
      </c>
      <c r="U15" s="995" t="s">
        <v>878</v>
      </c>
      <c r="V15" s="812">
        <v>-0.02</v>
      </c>
      <c r="W15" s="812">
        <f>+W16-W13</f>
        <v>-1.885665518768187E-2</v>
      </c>
      <c r="X15" s="812">
        <f t="shared" ref="X15:Y15" si="46">+X16-X13</f>
        <v>-1.5316040628135574E-2</v>
      </c>
      <c r="Y15" s="813">
        <f t="shared" si="46"/>
        <v>-1.5737857963456281E-2</v>
      </c>
      <c r="Z15" s="812">
        <f t="shared" ref="Z15:AA15" si="47">+Z16-Z13</f>
        <v>1.3437961922301789E-2</v>
      </c>
      <c r="AA15" s="812">
        <f t="shared" si="47"/>
        <v>1.0000000000000009E-2</v>
      </c>
      <c r="AB15" s="812">
        <f t="shared" ref="AB15" si="48">+AB16-AB13</f>
        <v>1.0000000000000009E-2</v>
      </c>
      <c r="AC15" s="812">
        <f t="shared" ref="AC15" si="49">+AC16-AC13</f>
        <v>5.0000000000000044E-3</v>
      </c>
    </row>
    <row r="16" spans="1:32" s="796" customFormat="1" ht="12.95">
      <c r="A16" s="814" t="s">
        <v>879</v>
      </c>
      <c r="B16" s="791"/>
      <c r="C16" s="791"/>
      <c r="D16" s="791"/>
      <c r="E16" s="791"/>
      <c r="F16" s="807"/>
      <c r="G16" s="791"/>
      <c r="H16" s="791"/>
      <c r="I16" s="791"/>
      <c r="J16" s="807"/>
      <c r="K16" s="791"/>
      <c r="L16" s="791"/>
      <c r="M16" s="791"/>
      <c r="N16" s="807">
        <f>+N13+N15</f>
        <v>0.40730257845723206</v>
      </c>
      <c r="O16" s="791">
        <f t="shared" ref="O16:R16" si="50">+O13+O15</f>
        <v>0.39547497446373847</v>
      </c>
      <c r="P16" s="791">
        <f t="shared" si="50"/>
        <v>0.38876612477820938</v>
      </c>
      <c r="Q16" s="808">
        <f t="shared" si="50"/>
        <v>0.40374154966198644</v>
      </c>
      <c r="R16" s="791">
        <f t="shared" si="50"/>
        <v>0.46658737339188383</v>
      </c>
      <c r="S16" s="791">
        <f t="shared" ref="S16:T16" si="51">+S13+S15</f>
        <v>0.44547497446373846</v>
      </c>
      <c r="T16" s="791">
        <f t="shared" si="51"/>
        <v>0.42876612477820941</v>
      </c>
      <c r="U16" s="995" t="s">
        <v>880</v>
      </c>
      <c r="V16" s="791">
        <f t="shared" ref="V16" si="52">+V13+V15</f>
        <v>0.40931247755476635</v>
      </c>
      <c r="W16" s="791">
        <f>+S13-4%</f>
        <v>0.39007655428394683</v>
      </c>
      <c r="X16" s="791">
        <f>+T13-0.5%</f>
        <v>0.40756077795786061</v>
      </c>
      <c r="Y16" s="808">
        <f>+U13+2%</f>
        <v>0.41591246505350432</v>
      </c>
      <c r="Z16" s="791">
        <f>+V13+6%</f>
        <v>0.48931247755476637</v>
      </c>
      <c r="AA16" s="791">
        <f>+AA13+1%</f>
        <v>0.46407932924862949</v>
      </c>
      <c r="AB16" s="791">
        <f t="shared" ref="AB16" si="53">+AB13+1%</f>
        <v>0.47107213294965888</v>
      </c>
      <c r="AC16" s="791">
        <f>+AC13+0.5%</f>
        <v>0.45094991271030638</v>
      </c>
    </row>
    <row r="17" spans="1:30">
      <c r="F17" s="815"/>
      <c r="J17" s="815"/>
      <c r="N17" s="815"/>
      <c r="Q17" s="816"/>
      <c r="U17" s="996"/>
      <c r="Y17" s="816"/>
    </row>
    <row r="18" spans="1:30">
      <c r="A18" s="790" t="s">
        <v>881</v>
      </c>
      <c r="B18" s="803">
        <f>+B11</f>
        <v>7708</v>
      </c>
      <c r="C18" s="803">
        <f t="shared" ref="C18:M18" si="54">+C11</f>
        <v>8679</v>
      </c>
      <c r="D18" s="803">
        <f t="shared" si="54"/>
        <v>8292</v>
      </c>
      <c r="E18" s="803">
        <f t="shared" si="54"/>
        <v>10379</v>
      </c>
      <c r="F18" s="804">
        <f t="shared" si="54"/>
        <v>9955</v>
      </c>
      <c r="G18" s="803">
        <f t="shared" si="54"/>
        <v>10258</v>
      </c>
      <c r="H18" s="803">
        <f t="shared" si="54"/>
        <v>10341</v>
      </c>
      <c r="I18" s="803">
        <f t="shared" si="54"/>
        <v>12405</v>
      </c>
      <c r="J18" s="804">
        <f t="shared" si="54"/>
        <v>12686</v>
      </c>
      <c r="K18" s="803">
        <f t="shared" si="54"/>
        <v>13891</v>
      </c>
      <c r="L18" s="803">
        <f t="shared" si="54"/>
        <v>12975</v>
      </c>
      <c r="M18" s="803">
        <f t="shared" si="54"/>
        <v>13407</v>
      </c>
      <c r="N18" s="804">
        <f>+N16*N7</f>
        <v>15132.92</v>
      </c>
      <c r="O18" s="803">
        <f t="shared" ref="O18:R18" si="55">+O16*O7</f>
        <v>17035.48</v>
      </c>
      <c r="P18" s="803">
        <f t="shared" si="55"/>
        <v>16213.880000000001</v>
      </c>
      <c r="Q18" s="805">
        <f t="shared" si="55"/>
        <v>18633.48</v>
      </c>
      <c r="R18" s="803">
        <f t="shared" si="55"/>
        <v>21144.34</v>
      </c>
      <c r="S18" s="803">
        <f t="shared" ref="S18:T18" si="56">+S16*S7</f>
        <v>23043.529479060264</v>
      </c>
      <c r="T18" s="803">
        <f t="shared" si="56"/>
        <v>21163.895919052418</v>
      </c>
      <c r="U18" s="996"/>
      <c r="V18" s="803">
        <f t="shared" ref="V18:W18" si="57">+V16*V7</f>
        <v>20515.559999999998</v>
      </c>
      <c r="W18" s="803">
        <f t="shared" si="57"/>
        <v>20575.368008815345</v>
      </c>
      <c r="X18" s="803">
        <f t="shared" ref="X18:Y18" si="58">+X16*X7</f>
        <v>21542.440040518639</v>
      </c>
      <c r="Y18" s="805">
        <f t="shared" si="58"/>
        <v>23369.705498891355</v>
      </c>
      <c r="Z18" s="803">
        <f t="shared" ref="Z18:AA18" si="59">+Z16*Z7</f>
        <v>27654.473293962732</v>
      </c>
      <c r="AA18" s="803">
        <f t="shared" si="59"/>
        <v>28782.2</v>
      </c>
      <c r="AB18" s="803">
        <f t="shared" ref="AB18:AC18" si="60">+AB16*AB7</f>
        <v>29139.579999999998</v>
      </c>
      <c r="AC18" s="803">
        <f t="shared" si="60"/>
        <v>29188.635000000002</v>
      </c>
    </row>
    <row r="19" spans="1:30" s="796" customFormat="1" ht="12.95">
      <c r="A19" s="806" t="s">
        <v>882</v>
      </c>
      <c r="B19" s="791"/>
      <c r="C19" s="791"/>
      <c r="D19" s="791"/>
      <c r="E19" s="791"/>
      <c r="F19" s="807">
        <f t="shared" ref="F19" si="61">IFERROR(F18/B18-1,"n/a ")</f>
        <v>0.29151530877010901</v>
      </c>
      <c r="G19" s="791">
        <f t="shared" ref="G19" si="62">IFERROR(G18/C18-1,"n/a ")</f>
        <v>0.18193340246572176</v>
      </c>
      <c r="H19" s="791">
        <f t="shared" ref="H19" si="63">IFERROR(H18/D18-1,"n/a ")</f>
        <v>0.2471056439942112</v>
      </c>
      <c r="I19" s="791">
        <f t="shared" ref="I19" si="64">IFERROR(I18/E18-1,"n/a ")</f>
        <v>0.19520184988919942</v>
      </c>
      <c r="J19" s="807">
        <f t="shared" ref="J19" si="65">IFERROR(J18/F18-1,"n/a ")</f>
        <v>0.27433450527373182</v>
      </c>
      <c r="K19" s="791">
        <f t="shared" ref="K19" si="66">IFERROR(K18/G18-1,"n/a ")</f>
        <v>0.3541626047962565</v>
      </c>
      <c r="L19" s="791">
        <f t="shared" ref="L19" si="67">IFERROR(L18/H18-1,"n/a ")</f>
        <v>0.25471424427038003</v>
      </c>
      <c r="M19" s="791">
        <f t="shared" ref="M19" si="68">IFERROR(M18/I18-1,"n/a ")</f>
        <v>8.0773881499395461E-2</v>
      </c>
      <c r="N19" s="807">
        <f t="shared" ref="N19:Q19" si="69">IFERROR(N18/J11-1,"n/a ")</f>
        <v>0.19288349361500878</v>
      </c>
      <c r="O19" s="791">
        <f t="shared" si="69"/>
        <v>0.22636815204088978</v>
      </c>
      <c r="P19" s="791">
        <f t="shared" si="69"/>
        <v>0.24962466281310225</v>
      </c>
      <c r="Q19" s="808">
        <f t="shared" si="69"/>
        <v>0.38983217722085484</v>
      </c>
      <c r="R19" s="791">
        <f>IFERROR(R18/N11-1,"n/a ")</f>
        <v>0.33184303350970024</v>
      </c>
      <c r="S19" s="791">
        <f t="shared" ref="S19" si="70">IFERROR(S18/O11-1,"n/a ")</f>
        <v>0.28756380840701024</v>
      </c>
      <c r="T19" s="791">
        <f t="shared" ref="T19" si="71">IFERROR(T18/P11-1,"n/a ")</f>
        <v>0.24142984039490956</v>
      </c>
      <c r="U19" s="996"/>
      <c r="V19" s="791">
        <f>IFERROR(V18/R11-1,"n/a ")</f>
        <v>1.3714793951971505E-2</v>
      </c>
      <c r="W19" s="791">
        <f t="shared" ref="W19" si="72">IFERROR(W18/S11-1,"n/a ")</f>
        <v>-7.5139658883654148E-2</v>
      </c>
      <c r="X19" s="791">
        <f t="shared" ref="X19" si="73">IFERROR(X18/T11-1,"n/a ")</f>
        <v>5.7868790047075125E-2</v>
      </c>
      <c r="Y19" s="808">
        <f t="shared" ref="Y19" si="74">IFERROR(Y18/U11-1,"n/a ")</f>
        <v>0.13809805682727938</v>
      </c>
      <c r="Z19" s="791">
        <f t="shared" ref="Z19" si="75">IFERROR(Z18/V11-1,"n/a ")</f>
        <v>0.28517860832617958</v>
      </c>
      <c r="AA19" s="791">
        <f t="shared" ref="AA19" si="76">IFERROR(AA18/W11-1,"n/a ")</f>
        <v>0.33436254056560033</v>
      </c>
      <c r="AB19" s="791">
        <f t="shared" ref="AB19" si="77">IFERROR(AB18/X11-1,"n/a ")</f>
        <v>0.30366768074445227</v>
      </c>
      <c r="AC19" s="791">
        <f t="shared" ref="AC19" si="78">IFERROR(AC18/Y11-1,"n/a ")</f>
        <v>0.20345654325059792</v>
      </c>
      <c r="AD19" s="988"/>
    </row>
    <row r="20" spans="1:30">
      <c r="R20" s="817"/>
      <c r="S20" s="817"/>
      <c r="T20" s="817"/>
      <c r="U20" s="817"/>
      <c r="V20" s="817"/>
      <c r="W20" s="817"/>
      <c r="X20" s="817"/>
      <c r="Y20" s="817"/>
      <c r="Z20" s="817"/>
      <c r="AA20" s="817"/>
      <c r="AB20" s="817"/>
      <c r="AC20" s="817"/>
    </row>
    <row r="21" spans="1:30">
      <c r="A21" s="809" t="s">
        <v>883</v>
      </c>
    </row>
    <row r="22" spans="1:30" ht="12.95">
      <c r="A22" s="790" t="s">
        <v>224</v>
      </c>
      <c r="B22" s="818" t="s">
        <v>884</v>
      </c>
    </row>
    <row r="23" spans="1:30" ht="12.95">
      <c r="A23" s="790" t="s">
        <v>225</v>
      </c>
      <c r="B23" s="796" t="s">
        <v>885</v>
      </c>
    </row>
    <row r="24" spans="1:30" ht="12.95">
      <c r="A24" s="790" t="s">
        <v>226</v>
      </c>
      <c r="B24" s="796" t="s">
        <v>886</v>
      </c>
    </row>
    <row r="25" spans="1:30" ht="12.95">
      <c r="A25" s="790" t="s">
        <v>227</v>
      </c>
      <c r="B25" s="796" t="s">
        <v>887</v>
      </c>
    </row>
    <row r="26" spans="1:30" ht="12.95">
      <c r="B26" s="796" t="s">
        <v>888</v>
      </c>
    </row>
    <row r="27" spans="1:30" ht="12.95">
      <c r="A27" s="790" t="s">
        <v>228</v>
      </c>
      <c r="B27" s="796" t="s">
        <v>889</v>
      </c>
    </row>
    <row r="28" spans="1:30" ht="12.95">
      <c r="A28" s="790" t="s">
        <v>229</v>
      </c>
      <c r="B28" s="818" t="s">
        <v>890</v>
      </c>
    </row>
    <row r="29" spans="1:30" ht="12.95">
      <c r="A29" s="790" t="s">
        <v>230</v>
      </c>
      <c r="B29" s="818" t="s">
        <v>891</v>
      </c>
    </row>
    <row r="30" spans="1:30" ht="12.95">
      <c r="A30" s="790" t="s">
        <v>231</v>
      </c>
      <c r="B30" s="818" t="s">
        <v>892</v>
      </c>
    </row>
    <row r="31" spans="1:30" ht="12.95">
      <c r="A31" s="790" t="s">
        <v>232</v>
      </c>
      <c r="B31" s="796" t="s">
        <v>893</v>
      </c>
    </row>
    <row r="32" spans="1:30" ht="12.95">
      <c r="A32" s="790" t="s">
        <v>233</v>
      </c>
      <c r="B32" s="796" t="s">
        <v>894</v>
      </c>
    </row>
    <row r="33" spans="1:2" ht="12.95">
      <c r="A33" s="790" t="s">
        <v>234</v>
      </c>
      <c r="B33" s="796" t="s">
        <v>895</v>
      </c>
    </row>
    <row r="34" spans="1:2" ht="12.95">
      <c r="A34" s="790" t="s">
        <v>235</v>
      </c>
      <c r="B34" s="796" t="s">
        <v>896</v>
      </c>
    </row>
    <row r="35" spans="1:2" ht="12.95">
      <c r="A35" s="790" t="s">
        <v>236</v>
      </c>
      <c r="B35" s="796" t="s">
        <v>897</v>
      </c>
    </row>
    <row r="36" spans="1:2" ht="12.95">
      <c r="A36" s="790" t="s">
        <v>237</v>
      </c>
      <c r="B36" s="796" t="s">
        <v>898</v>
      </c>
    </row>
    <row r="37" spans="1:2" ht="12.95">
      <c r="A37" s="790" t="s">
        <v>238</v>
      </c>
      <c r="B37" s="796" t="s">
        <v>899</v>
      </c>
    </row>
    <row r="38" spans="1:2" ht="12.95">
      <c r="A38" s="790" t="s">
        <v>239</v>
      </c>
      <c r="B38" s="796" t="s">
        <v>900</v>
      </c>
    </row>
    <row r="39" spans="1:2" ht="12.95">
      <c r="B39" s="796"/>
    </row>
  </sheetData>
  <printOptions horizontalCentered="1"/>
  <pageMargins left="0.4" right="0.4" top="0.3" bottom="0.3" header="0.3" footer="0.3"/>
  <pageSetup scale="52" fitToHeight="0" orientation="landscape" r:id="rId1"/>
  <headerFooter>
    <oddFooter>Page &amp;P</oddFooter>
  </headerFooter>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7A8EA-5A82-4032-ADE1-3E8C29660CDA}">
  <sheetPr>
    <pageSetUpPr fitToPage="1"/>
  </sheetPr>
  <dimension ref="A1:AR215"/>
  <sheetViews>
    <sheetView view="pageBreakPreview" zoomScale="85" zoomScaleNormal="85" zoomScaleSheetLayoutView="85" workbookViewId="0">
      <pane xSplit="1" ySplit="5" topLeftCell="B164" activePane="bottomRight" state="frozen"/>
      <selection pane="bottomRight" activeCell="J83" sqref="J83"/>
      <selection pane="bottomLeft" activeCell="J83" sqref="J83"/>
      <selection pane="topRight" activeCell="J83" sqref="J83"/>
    </sheetView>
  </sheetViews>
  <sheetFormatPr defaultRowHeight="9.9499999999999993" outlineLevelRow="1" outlineLevelCol="1"/>
  <cols>
    <col min="1" max="1" width="20.83203125" customWidth="1"/>
    <col min="2" max="2" width="2.83203125" customWidth="1"/>
    <col min="3" max="12" width="9.33203125" hidden="1" customWidth="1" outlineLevel="1"/>
    <col min="13" max="13" width="9.33203125" hidden="1" customWidth="1" outlineLevel="1" collapsed="1"/>
    <col min="14" max="14" width="9.33203125" collapsed="1"/>
    <col min="21" max="21" width="9.83203125" bestFit="1" customWidth="1"/>
    <col min="22" max="22" width="10.1640625" bestFit="1" customWidth="1"/>
    <col min="23" max="24" width="9.5" bestFit="1" customWidth="1"/>
    <col min="25" max="26" width="9.83203125" bestFit="1" customWidth="1"/>
    <col min="27" max="27" width="9.5" bestFit="1" customWidth="1"/>
    <col min="28" max="28" width="9.83203125" bestFit="1" customWidth="1"/>
    <col min="29" max="29" width="9.5" bestFit="1" customWidth="1"/>
    <col min="30" max="30" width="10.33203125" bestFit="1" customWidth="1"/>
    <col min="31" max="31" width="9.83203125" bestFit="1" customWidth="1"/>
    <col min="32" max="32" width="9.6640625" bestFit="1" customWidth="1"/>
    <col min="33" max="33" width="9.6640625" customWidth="1"/>
  </cols>
  <sheetData>
    <row r="1" spans="1:35" s="1" customFormat="1" ht="10.5">
      <c r="A1" s="1" t="s">
        <v>301</v>
      </c>
      <c r="AF1" s="1222"/>
      <c r="AG1" s="1222">
        <f ca="1">+TODAY()</f>
        <v>45797</v>
      </c>
    </row>
    <row r="2" spans="1:35" s="2" customFormat="1" ht="10.5">
      <c r="A2" s="2" t="s">
        <v>901</v>
      </c>
    </row>
    <row r="3" spans="1:35">
      <c r="A3" s="3" t="s">
        <v>63</v>
      </c>
    </row>
    <row r="4" spans="1:35" ht="10.5">
      <c r="A4" s="3"/>
      <c r="D4" s="89" t="str">
        <f>+'EBIT growth'!B4</f>
        <v>FYE June 30th</v>
      </c>
      <c r="E4" s="89"/>
      <c r="F4" s="89"/>
      <c r="G4" s="89"/>
      <c r="H4" s="89"/>
      <c r="I4" s="89"/>
      <c r="J4" s="89"/>
      <c r="K4" s="89"/>
      <c r="L4" s="89"/>
      <c r="M4" s="89" t="str">
        <f>+D4</f>
        <v>FYE June 30th</v>
      </c>
      <c r="N4" s="89" t="str">
        <f>+M4</f>
        <v>FYE June 30th</v>
      </c>
      <c r="O4" s="89"/>
      <c r="P4" s="89"/>
      <c r="Q4" s="89"/>
      <c r="R4" s="89"/>
      <c r="S4" s="89"/>
      <c r="T4" s="89"/>
      <c r="U4" s="89"/>
      <c r="V4" s="89"/>
      <c r="W4" s="89"/>
      <c r="X4" s="89"/>
      <c r="Y4" s="89"/>
      <c r="Z4" s="89"/>
      <c r="AA4" s="89"/>
      <c r="AB4" s="89"/>
      <c r="AC4" s="89"/>
      <c r="AD4" s="89"/>
      <c r="AE4" s="89"/>
      <c r="AF4" s="89"/>
      <c r="AG4" s="89"/>
    </row>
    <row r="5" spans="1:35" ht="13.5">
      <c r="C5" s="6" t="s">
        <v>245</v>
      </c>
      <c r="D5" s="6" t="s">
        <v>246</v>
      </c>
      <c r="E5" s="6" t="s">
        <v>247</v>
      </c>
      <c r="F5" s="6" t="s">
        <v>248</v>
      </c>
      <c r="G5" s="6" t="s">
        <v>249</v>
      </c>
      <c r="H5" s="6" t="s">
        <v>250</v>
      </c>
      <c r="I5" s="6" t="s">
        <v>251</v>
      </c>
      <c r="J5" s="6" t="s">
        <v>252</v>
      </c>
      <c r="K5" s="6" t="s">
        <v>253</v>
      </c>
      <c r="L5" s="6" t="s">
        <v>254</v>
      </c>
      <c r="M5" s="6" t="s">
        <v>255</v>
      </c>
      <c r="N5" s="6" t="s">
        <v>256</v>
      </c>
      <c r="O5" s="6" t="s">
        <v>257</v>
      </c>
      <c r="P5" s="6" t="s">
        <v>258</v>
      </c>
      <c r="Q5" s="6" t="s">
        <v>259</v>
      </c>
      <c r="R5" s="6" t="s">
        <v>260</v>
      </c>
      <c r="S5" s="6" t="s">
        <v>109</v>
      </c>
      <c r="T5" s="6" t="s">
        <v>190</v>
      </c>
      <c r="U5" s="6" t="s">
        <v>261</v>
      </c>
      <c r="V5" s="6" t="s">
        <v>72</v>
      </c>
      <c r="W5" s="6" t="s">
        <v>73</v>
      </c>
      <c r="X5" s="6" t="s">
        <v>74</v>
      </c>
      <c r="Y5" s="6" t="s">
        <v>75</v>
      </c>
      <c r="Z5" s="6" t="s">
        <v>76</v>
      </c>
      <c r="AA5" s="6" t="s">
        <v>77</v>
      </c>
      <c r="AB5" s="6" t="s">
        <v>78</v>
      </c>
      <c r="AC5" s="6" t="s">
        <v>79</v>
      </c>
      <c r="AD5" s="6" t="s">
        <v>80</v>
      </c>
      <c r="AE5" s="6" t="s">
        <v>81</v>
      </c>
      <c r="AF5" s="6" t="s">
        <v>82</v>
      </c>
      <c r="AG5" s="6" t="s">
        <v>83</v>
      </c>
    </row>
    <row r="7" spans="1:35" ht="10.5">
      <c r="A7" s="5" t="s">
        <v>902</v>
      </c>
      <c r="B7" s="4"/>
      <c r="AI7" t="s">
        <v>125</v>
      </c>
    </row>
    <row r="8" spans="1:35">
      <c r="AI8" t="s">
        <v>903</v>
      </c>
    </row>
    <row r="9" spans="1:35" ht="10.5">
      <c r="A9" s="45" t="s">
        <v>904</v>
      </c>
    </row>
    <row r="10" spans="1:35">
      <c r="A10" t="s">
        <v>905</v>
      </c>
      <c r="N10" s="1223">
        <v>7.5</v>
      </c>
    </row>
    <row r="11" spans="1:35">
      <c r="A11" s="1224" t="s">
        <v>906</v>
      </c>
      <c r="N11" s="1223">
        <v>9</v>
      </c>
    </row>
    <row r="12" spans="1:35">
      <c r="A12" s="1224" t="s">
        <v>907</v>
      </c>
      <c r="N12" s="1223">
        <v>11</v>
      </c>
    </row>
    <row r="14" spans="1:35">
      <c r="A14" t="str">
        <f>+A176</f>
        <v>Purchase of PP&amp;E + Finance Leases</v>
      </c>
      <c r="D14" s="8">
        <f>+D176</f>
        <v>2264</v>
      </c>
      <c r="E14" s="8">
        <f t="shared" ref="E14:T14" si="0">+E176</f>
        <v>3182</v>
      </c>
      <c r="F14" s="8">
        <f t="shared" si="0"/>
        <v>3119</v>
      </c>
      <c r="G14" s="8">
        <f t="shared" si="0"/>
        <v>1977</v>
      </c>
      <c r="H14" s="8">
        <f t="shared" si="0"/>
        <v>2355</v>
      </c>
      <c r="I14" s="8">
        <f t="shared" si="0"/>
        <v>2305</v>
      </c>
      <c r="J14" s="8">
        <f t="shared" si="0"/>
        <v>4257</v>
      </c>
      <c r="K14" s="8">
        <f t="shared" si="0"/>
        <v>5485</v>
      </c>
      <c r="L14" s="8">
        <f t="shared" si="0"/>
        <v>5944</v>
      </c>
      <c r="M14" s="8">
        <f t="shared" si="0"/>
        <v>8900</v>
      </c>
      <c r="N14" s="8">
        <f t="shared" si="0"/>
        <v>10200</v>
      </c>
      <c r="O14" s="8">
        <f t="shared" si="0"/>
        <v>13600</v>
      </c>
      <c r="P14" s="8">
        <f t="shared" si="0"/>
        <v>16900</v>
      </c>
      <c r="Q14" s="8">
        <f t="shared" si="0"/>
        <v>19000</v>
      </c>
      <c r="R14" s="8">
        <f t="shared" si="0"/>
        <v>24200</v>
      </c>
      <c r="S14" s="8">
        <f t="shared" si="0"/>
        <v>29200</v>
      </c>
      <c r="T14" s="8">
        <f t="shared" si="0"/>
        <v>31900</v>
      </c>
      <c r="U14" s="8">
        <f t="shared" ref="U14" si="1">+U176</f>
        <v>55700</v>
      </c>
      <c r="V14" s="1098">
        <f>+Base!K49</f>
        <v>80000</v>
      </c>
      <c r="W14" s="1098">
        <f>+Base!L49</f>
        <v>69909.265092672198</v>
      </c>
      <c r="X14" s="1098">
        <f>+Base!M49</f>
        <v>71815.88141338143</v>
      </c>
      <c r="Y14" s="1098">
        <f>+Base!N49</f>
        <v>73036.751397408909</v>
      </c>
      <c r="Z14" s="1098">
        <f>+Base!O49</f>
        <v>73361.359181397391</v>
      </c>
      <c r="AA14" s="1098">
        <f>+Base!P49</f>
        <v>72536.04389060667</v>
      </c>
      <c r="AB14" s="1098">
        <f>+Base!Q49</f>
        <v>76111.034625215121</v>
      </c>
      <c r="AC14" s="1098">
        <f>+Base!R49</f>
        <v>79389.663809070538</v>
      </c>
      <c r="AD14" s="1098">
        <f>+Base!S49</f>
        <v>89710.320104249695</v>
      </c>
      <c r="AE14" s="1098">
        <f>+Base!T49</f>
        <v>101372.66171780214</v>
      </c>
      <c r="AF14" s="1098">
        <f>+Base!U49</f>
        <v>114551.10774111642</v>
      </c>
      <c r="AG14" s="1098">
        <f>+Base!V49</f>
        <v>129442.75174746153</v>
      </c>
    </row>
    <row r="15" spans="1:35" s="852" customFormat="1" ht="11.45">
      <c r="A15" t="s">
        <v>908</v>
      </c>
      <c r="D15" s="853">
        <f t="shared" ref="D15:T15" si="2">+D16-D14</f>
        <v>-121</v>
      </c>
      <c r="E15" s="853">
        <f t="shared" si="2"/>
        <v>-4</v>
      </c>
      <c r="F15" s="853">
        <f t="shared" si="2"/>
        <v>-581</v>
      </c>
      <c r="G15" s="853">
        <f t="shared" si="2"/>
        <v>-800</v>
      </c>
      <c r="H15" s="853">
        <f t="shared" si="2"/>
        <v>-623</v>
      </c>
      <c r="I15" s="853">
        <f t="shared" si="2"/>
        <v>-1065</v>
      </c>
      <c r="J15" s="853">
        <f t="shared" si="2"/>
        <v>-984</v>
      </c>
      <c r="K15" s="853">
        <f t="shared" si="2"/>
        <v>-185</v>
      </c>
      <c r="L15" s="853">
        <f t="shared" si="2"/>
        <v>-1411</v>
      </c>
      <c r="M15" s="853">
        <f t="shared" si="2"/>
        <v>-3081</v>
      </c>
      <c r="N15" s="853">
        <f t="shared" si="2"/>
        <v>-443</v>
      </c>
      <c r="O15" s="853">
        <f t="shared" si="2"/>
        <v>-2830</v>
      </c>
      <c r="P15" s="853">
        <f t="shared" si="2"/>
        <v>-3776</v>
      </c>
      <c r="Q15" s="853">
        <f t="shared" si="2"/>
        <v>-3459</v>
      </c>
      <c r="R15" s="853">
        <f t="shared" si="2"/>
        <v>-482</v>
      </c>
      <c r="S15" s="853">
        <f t="shared" si="2"/>
        <v>-6208</v>
      </c>
      <c r="T15" s="853">
        <f t="shared" si="2"/>
        <v>-2066</v>
      </c>
      <c r="U15" s="853">
        <f t="shared" ref="U15" si="3">+U16-U14</f>
        <v>-7580</v>
      </c>
      <c r="V15" s="58">
        <f>+U15/U14*V14*0.9</f>
        <v>-9798.2046678635561</v>
      </c>
      <c r="W15" s="58">
        <f t="shared" ref="W15:AG15" si="4">+V15/V14*W14*0.9</f>
        <v>-7706.0844850267285</v>
      </c>
      <c r="X15" s="58">
        <f t="shared" si="4"/>
        <v>-7124.6253829747111</v>
      </c>
      <c r="Y15" s="58">
        <f t="shared" si="4"/>
        <v>-6521.1696130367518</v>
      </c>
      <c r="Z15" s="58">
        <f t="shared" si="4"/>
        <v>-5895.1373301852236</v>
      </c>
      <c r="AA15" s="58">
        <f t="shared" si="4"/>
        <v>-5245.9353316985762</v>
      </c>
      <c r="AB15" s="58">
        <f t="shared" si="4"/>
        <v>-4954.036501456204</v>
      </c>
      <c r="AC15" s="58">
        <f t="shared" si="4"/>
        <v>-4650.6970356747315</v>
      </c>
      <c r="AD15" s="58">
        <f t="shared" si="4"/>
        <v>-4729.7588852812014</v>
      </c>
      <c r="AE15" s="58">
        <f t="shared" si="4"/>
        <v>-4810.1647863309809</v>
      </c>
      <c r="AF15" s="58">
        <f t="shared" si="4"/>
        <v>-4891.9375876986078</v>
      </c>
      <c r="AG15" s="58">
        <f t="shared" si="4"/>
        <v>-4975.1005266894836</v>
      </c>
    </row>
    <row r="16" spans="1:35">
      <c r="A16" s="12" t="s">
        <v>909</v>
      </c>
      <c r="D16" s="8">
        <f t="shared" ref="D16:S16" si="5">+(D170)-(C170)</f>
        <v>2143</v>
      </c>
      <c r="E16" s="8">
        <f t="shared" si="5"/>
        <v>3178</v>
      </c>
      <c r="F16" s="8">
        <f t="shared" si="5"/>
        <v>2538</v>
      </c>
      <c r="G16" s="8">
        <f t="shared" si="5"/>
        <v>1177</v>
      </c>
      <c r="H16" s="8">
        <f t="shared" si="5"/>
        <v>1732</v>
      </c>
      <c r="I16" s="8">
        <f t="shared" si="5"/>
        <v>1240</v>
      </c>
      <c r="J16" s="8">
        <f t="shared" si="5"/>
        <v>3273</v>
      </c>
      <c r="K16" s="8">
        <f t="shared" si="5"/>
        <v>5300</v>
      </c>
      <c r="L16" s="8">
        <f t="shared" si="5"/>
        <v>4533</v>
      </c>
      <c r="M16" s="8">
        <f t="shared" si="5"/>
        <v>5819</v>
      </c>
      <c r="N16" s="8">
        <f t="shared" si="5"/>
        <v>9757</v>
      </c>
      <c r="O16" s="8">
        <f t="shared" si="5"/>
        <v>10770</v>
      </c>
      <c r="P16" s="8">
        <f t="shared" si="5"/>
        <v>13124</v>
      </c>
      <c r="Q16" s="8">
        <f t="shared" si="5"/>
        <v>15541</v>
      </c>
      <c r="R16" s="8">
        <f t="shared" si="5"/>
        <v>23718</v>
      </c>
      <c r="S16" s="8">
        <f t="shared" si="5"/>
        <v>22992</v>
      </c>
      <c r="T16" s="8">
        <f>+(T170)-(S170)</f>
        <v>29834</v>
      </c>
      <c r="U16" s="8">
        <f>+(U170)-(T170)</f>
        <v>48120</v>
      </c>
      <c r="V16" s="8">
        <f t="shared" ref="V16:AF16" si="6">+SUM(V14:V15)</f>
        <v>70201.795332136448</v>
      </c>
      <c r="W16" s="8">
        <f t="shared" si="6"/>
        <v>62203.180607645467</v>
      </c>
      <c r="X16" s="8">
        <f t="shared" si="6"/>
        <v>64691.256030406716</v>
      </c>
      <c r="Y16" s="8">
        <f t="shared" si="6"/>
        <v>66515.58178437216</v>
      </c>
      <c r="Z16" s="8">
        <f t="shared" si="6"/>
        <v>67466.221851212162</v>
      </c>
      <c r="AA16" s="8">
        <f t="shared" si="6"/>
        <v>67290.10855890809</v>
      </c>
      <c r="AB16" s="8">
        <f t="shared" si="6"/>
        <v>71156.998123758924</v>
      </c>
      <c r="AC16" s="8">
        <f t="shared" si="6"/>
        <v>74738.966773395805</v>
      </c>
      <c r="AD16" s="8">
        <f t="shared" si="6"/>
        <v>84980.561218968491</v>
      </c>
      <c r="AE16" s="8">
        <f t="shared" si="6"/>
        <v>96562.496931471163</v>
      </c>
      <c r="AF16" s="8">
        <f t="shared" si="6"/>
        <v>109659.17015341781</v>
      </c>
      <c r="AG16" s="8">
        <f t="shared" ref="AG16" si="7">+SUM(AG14:AG15)</f>
        <v>124467.65122077205</v>
      </c>
      <c r="AH16" s="8"/>
    </row>
    <row r="18" spans="1:36" ht="10.5">
      <c r="A18" s="45" t="s">
        <v>910</v>
      </c>
    </row>
    <row r="19" spans="1:36">
      <c r="A19" t="s">
        <v>246</v>
      </c>
      <c r="D19" s="8">
        <f>+D64/$N$10</f>
        <v>1248.8</v>
      </c>
      <c r="E19" s="8">
        <f t="shared" ref="E19:Q19" si="8">+IF(D130&gt;0,MIN(E64/$N$10,D130),0)</f>
        <v>1248.8</v>
      </c>
      <c r="F19" s="8">
        <f t="shared" si="8"/>
        <v>1248.8</v>
      </c>
      <c r="G19" s="8">
        <f t="shared" si="8"/>
        <v>1248.8</v>
      </c>
      <c r="H19" s="8">
        <f t="shared" si="8"/>
        <v>1248.8</v>
      </c>
      <c r="I19" s="8">
        <f t="shared" si="8"/>
        <v>1248.8</v>
      </c>
      <c r="J19" s="8">
        <f t="shared" si="8"/>
        <v>1248.8</v>
      </c>
      <c r="K19" s="8">
        <f t="shared" si="8"/>
        <v>624.39999999999964</v>
      </c>
      <c r="L19" s="8">
        <f t="shared" si="8"/>
        <v>0</v>
      </c>
      <c r="M19" s="8">
        <f>+IF(L130&gt;0,MIN(M64/$N$10,L130),0)</f>
        <v>0</v>
      </c>
      <c r="N19" s="8">
        <f t="shared" si="8"/>
        <v>0</v>
      </c>
      <c r="O19" s="8">
        <f t="shared" si="8"/>
        <v>0</v>
      </c>
      <c r="P19" s="8">
        <f t="shared" si="8"/>
        <v>0</v>
      </c>
      <c r="Q19" s="8">
        <f t="shared" si="8"/>
        <v>0</v>
      </c>
      <c r="R19" s="8">
        <f>+IF(Q130&gt;0,MIN(R64/$N$11,Q130),0)</f>
        <v>0</v>
      </c>
      <c r="S19" s="8">
        <f>+IF(R130&gt;0,MIN(S64/$N$11,R130),0)</f>
        <v>0</v>
      </c>
      <c r="T19" s="8">
        <f t="shared" ref="T19:AF19" si="9">+IF(S130&gt;0,MIN(T64/$N$12,S130),0)</f>
        <v>0</v>
      </c>
      <c r="U19" s="8">
        <f t="shared" si="9"/>
        <v>0</v>
      </c>
      <c r="V19" s="8">
        <f t="shared" si="9"/>
        <v>0</v>
      </c>
      <c r="W19" s="8">
        <f t="shared" si="9"/>
        <v>0</v>
      </c>
      <c r="X19" s="8">
        <f t="shared" si="9"/>
        <v>0</v>
      </c>
      <c r="Y19" s="8">
        <f t="shared" si="9"/>
        <v>0</v>
      </c>
      <c r="Z19" s="8">
        <f t="shared" si="9"/>
        <v>0</v>
      </c>
      <c r="AA19" s="8">
        <f t="shared" si="9"/>
        <v>0</v>
      </c>
      <c r="AB19" s="8">
        <f t="shared" si="9"/>
        <v>0</v>
      </c>
      <c r="AC19" s="8">
        <f t="shared" si="9"/>
        <v>0</v>
      </c>
      <c r="AD19" s="8">
        <f t="shared" si="9"/>
        <v>0</v>
      </c>
      <c r="AE19" s="8">
        <f t="shared" si="9"/>
        <v>0</v>
      </c>
      <c r="AF19" s="8">
        <f t="shared" si="9"/>
        <v>0</v>
      </c>
      <c r="AG19" s="8">
        <f t="shared" ref="AG19:AG46" si="10">+IF(AF130&gt;0,MIN(AG64/$N$12,AF130),0)</f>
        <v>0</v>
      </c>
    </row>
    <row r="20" spans="1:36">
      <c r="A20" t="s">
        <v>247</v>
      </c>
      <c r="E20" s="8">
        <f>+E65/$N$10</f>
        <v>423.73333333333335</v>
      </c>
      <c r="F20" s="8">
        <f t="shared" ref="F20:Q20" si="11">+IF(E131&gt;0,MIN(F65/$N$10,E131),0)</f>
        <v>423.73333333333335</v>
      </c>
      <c r="G20" s="8">
        <f t="shared" si="11"/>
        <v>423.73333333333335</v>
      </c>
      <c r="H20" s="8">
        <f t="shared" si="11"/>
        <v>423.73333333333335</v>
      </c>
      <c r="I20" s="8">
        <f t="shared" si="11"/>
        <v>423.73333333333335</v>
      </c>
      <c r="J20" s="8">
        <f t="shared" si="11"/>
        <v>423.73333333333335</v>
      </c>
      <c r="K20" s="8">
        <f t="shared" si="11"/>
        <v>423.73333333333335</v>
      </c>
      <c r="L20" s="8">
        <f t="shared" si="11"/>
        <v>211.86666666666588</v>
      </c>
      <c r="M20" s="8">
        <f t="shared" si="11"/>
        <v>0</v>
      </c>
      <c r="N20" s="8">
        <f t="shared" si="11"/>
        <v>0</v>
      </c>
      <c r="O20" s="8">
        <f t="shared" si="11"/>
        <v>0</v>
      </c>
      <c r="P20" s="8">
        <f t="shared" si="11"/>
        <v>0</v>
      </c>
      <c r="Q20" s="8">
        <f t="shared" si="11"/>
        <v>0</v>
      </c>
      <c r="R20" s="8">
        <f t="shared" ref="R20:S32" si="12">+IF(Q131&gt;0,MIN(R65/$N$11,Q131),0)</f>
        <v>0</v>
      </c>
      <c r="S20" s="8">
        <f t="shared" si="12"/>
        <v>0</v>
      </c>
      <c r="T20" s="8">
        <f t="shared" ref="T20:AF20" si="13">+IF(S131&gt;0,MIN(T65/$N$12,S131),0)</f>
        <v>0</v>
      </c>
      <c r="U20" s="8">
        <f t="shared" si="13"/>
        <v>0</v>
      </c>
      <c r="V20" s="8">
        <f t="shared" si="13"/>
        <v>0</v>
      </c>
      <c r="W20" s="8">
        <f t="shared" si="13"/>
        <v>0</v>
      </c>
      <c r="X20" s="8">
        <f t="shared" si="13"/>
        <v>0</v>
      </c>
      <c r="Y20" s="8">
        <f t="shared" si="13"/>
        <v>0</v>
      </c>
      <c r="Z20" s="8">
        <f t="shared" si="13"/>
        <v>0</v>
      </c>
      <c r="AA20" s="8">
        <f t="shared" si="13"/>
        <v>0</v>
      </c>
      <c r="AB20" s="8">
        <f t="shared" si="13"/>
        <v>0</v>
      </c>
      <c r="AC20" s="8">
        <f t="shared" si="13"/>
        <v>0</v>
      </c>
      <c r="AD20" s="8">
        <f t="shared" si="13"/>
        <v>0</v>
      </c>
      <c r="AE20" s="8">
        <f t="shared" si="13"/>
        <v>0</v>
      </c>
      <c r="AF20" s="8">
        <f t="shared" si="13"/>
        <v>0</v>
      </c>
      <c r="AG20" s="8">
        <f t="shared" si="10"/>
        <v>0</v>
      </c>
    </row>
    <row r="21" spans="1:36">
      <c r="A21" t="s">
        <v>248</v>
      </c>
      <c r="F21" s="8">
        <f>+F66/$N$10</f>
        <v>338.4</v>
      </c>
      <c r="G21" s="8">
        <f t="shared" ref="G21:Q21" si="14">+IF(F132&gt;0,MIN(G66/$N$10,F132),0)</f>
        <v>338.4</v>
      </c>
      <c r="H21" s="8">
        <f t="shared" si="14"/>
        <v>338.4</v>
      </c>
      <c r="I21" s="8">
        <f t="shared" si="14"/>
        <v>338.4</v>
      </c>
      <c r="J21" s="8">
        <f t="shared" si="14"/>
        <v>338.4</v>
      </c>
      <c r="K21" s="8">
        <f t="shared" si="14"/>
        <v>338.4</v>
      </c>
      <c r="L21" s="8">
        <f t="shared" si="14"/>
        <v>338.4</v>
      </c>
      <c r="M21" s="8">
        <f t="shared" si="14"/>
        <v>169.19999999999982</v>
      </c>
      <c r="N21" s="8">
        <f t="shared" si="14"/>
        <v>0</v>
      </c>
      <c r="O21" s="8">
        <f t="shared" si="14"/>
        <v>0</v>
      </c>
      <c r="P21" s="8">
        <f t="shared" si="14"/>
        <v>0</v>
      </c>
      <c r="Q21" s="8">
        <f t="shared" si="14"/>
        <v>0</v>
      </c>
      <c r="R21" s="8">
        <f t="shared" si="12"/>
        <v>0</v>
      </c>
      <c r="S21" s="8">
        <f t="shared" si="12"/>
        <v>0</v>
      </c>
      <c r="T21" s="8">
        <f t="shared" ref="T21:AF21" si="15">+IF(S132&gt;0,MIN(T66/$N$12,S132),0)</f>
        <v>0</v>
      </c>
      <c r="U21" s="8">
        <f t="shared" si="15"/>
        <v>0</v>
      </c>
      <c r="V21" s="8">
        <f t="shared" si="15"/>
        <v>0</v>
      </c>
      <c r="W21" s="8">
        <f t="shared" si="15"/>
        <v>0</v>
      </c>
      <c r="X21" s="8">
        <f t="shared" si="15"/>
        <v>0</v>
      </c>
      <c r="Y21" s="8">
        <f t="shared" si="15"/>
        <v>0</v>
      </c>
      <c r="Z21" s="8">
        <f t="shared" si="15"/>
        <v>0</v>
      </c>
      <c r="AA21" s="8">
        <f t="shared" si="15"/>
        <v>0</v>
      </c>
      <c r="AB21" s="8">
        <f t="shared" si="15"/>
        <v>0</v>
      </c>
      <c r="AC21" s="8">
        <f t="shared" si="15"/>
        <v>0</v>
      </c>
      <c r="AD21" s="8">
        <f t="shared" si="15"/>
        <v>0</v>
      </c>
      <c r="AE21" s="8">
        <f t="shared" si="15"/>
        <v>0</v>
      </c>
      <c r="AF21" s="8">
        <f t="shared" si="15"/>
        <v>0</v>
      </c>
      <c r="AG21" s="8">
        <f t="shared" si="10"/>
        <v>0</v>
      </c>
    </row>
    <row r="22" spans="1:36">
      <c r="A22" t="s">
        <v>249</v>
      </c>
      <c r="G22" s="8">
        <f>+G67/$N$10</f>
        <v>156.93333333333334</v>
      </c>
      <c r="H22" s="8">
        <f t="shared" ref="H22:Q22" si="16">+IF(G133&gt;0,MIN(H67/$N$10,G133),0)</f>
        <v>156.93333333333334</v>
      </c>
      <c r="I22" s="8">
        <f t="shared" si="16"/>
        <v>156.93333333333334</v>
      </c>
      <c r="J22" s="8">
        <f t="shared" si="16"/>
        <v>156.93333333333334</v>
      </c>
      <c r="K22" s="8">
        <f t="shared" si="16"/>
        <v>156.93333333333334</v>
      </c>
      <c r="L22" s="8">
        <f t="shared" si="16"/>
        <v>156.93333333333334</v>
      </c>
      <c r="M22" s="8">
        <f t="shared" si="16"/>
        <v>156.93333333333334</v>
      </c>
      <c r="N22" s="8">
        <f t="shared" si="16"/>
        <v>78.46666666666647</v>
      </c>
      <c r="O22" s="8">
        <f t="shared" si="16"/>
        <v>0</v>
      </c>
      <c r="P22" s="8">
        <f t="shared" si="16"/>
        <v>0</v>
      </c>
      <c r="Q22" s="8">
        <f t="shared" si="16"/>
        <v>0</v>
      </c>
      <c r="R22" s="8">
        <f t="shared" si="12"/>
        <v>0</v>
      </c>
      <c r="S22" s="8">
        <f t="shared" si="12"/>
        <v>0</v>
      </c>
      <c r="T22" s="8">
        <f t="shared" ref="T22:AF22" si="17">+IF(S133&gt;0,MIN(T67/$N$12,S133),0)</f>
        <v>0</v>
      </c>
      <c r="U22" s="8">
        <f t="shared" si="17"/>
        <v>0</v>
      </c>
      <c r="V22" s="8">
        <f t="shared" si="17"/>
        <v>0</v>
      </c>
      <c r="W22" s="8">
        <f t="shared" si="17"/>
        <v>0</v>
      </c>
      <c r="X22" s="8">
        <f t="shared" si="17"/>
        <v>0</v>
      </c>
      <c r="Y22" s="8">
        <f t="shared" si="17"/>
        <v>0</v>
      </c>
      <c r="Z22" s="8">
        <f t="shared" si="17"/>
        <v>0</v>
      </c>
      <c r="AA22" s="8">
        <f t="shared" si="17"/>
        <v>0</v>
      </c>
      <c r="AB22" s="8">
        <f t="shared" si="17"/>
        <v>0</v>
      </c>
      <c r="AC22" s="8">
        <f t="shared" si="17"/>
        <v>0</v>
      </c>
      <c r="AD22" s="8">
        <f t="shared" si="17"/>
        <v>0</v>
      </c>
      <c r="AE22" s="8">
        <f t="shared" si="17"/>
        <v>0</v>
      </c>
      <c r="AF22" s="8">
        <f t="shared" si="17"/>
        <v>0</v>
      </c>
      <c r="AG22" s="8">
        <f t="shared" si="10"/>
        <v>0</v>
      </c>
    </row>
    <row r="23" spans="1:36">
      <c r="A23" t="s">
        <v>250</v>
      </c>
      <c r="H23" s="8">
        <f>+H68/$N$10</f>
        <v>230.93333333333334</v>
      </c>
      <c r="I23" s="8">
        <f t="shared" ref="I23:Q23" si="18">+IF(H134&gt;0,MIN(I68/$N$10,H134),0)</f>
        <v>230.93333333333334</v>
      </c>
      <c r="J23" s="8">
        <f t="shared" si="18"/>
        <v>230.93333333333334</v>
      </c>
      <c r="K23" s="8">
        <f t="shared" si="18"/>
        <v>230.93333333333334</v>
      </c>
      <c r="L23" s="8">
        <f t="shared" si="18"/>
        <v>230.93333333333334</v>
      </c>
      <c r="M23" s="8">
        <f t="shared" si="18"/>
        <v>230.93333333333334</v>
      </c>
      <c r="N23" s="8">
        <f t="shared" si="18"/>
        <v>230.93333333333334</v>
      </c>
      <c r="O23" s="8">
        <f t="shared" si="18"/>
        <v>115.46666666666647</v>
      </c>
      <c r="P23" s="8">
        <f t="shared" si="18"/>
        <v>0</v>
      </c>
      <c r="Q23" s="8">
        <f t="shared" si="18"/>
        <v>0</v>
      </c>
      <c r="R23" s="8">
        <f t="shared" si="12"/>
        <v>0</v>
      </c>
      <c r="S23" s="8">
        <f t="shared" si="12"/>
        <v>0</v>
      </c>
      <c r="T23" s="8">
        <f t="shared" ref="T23:AF23" si="19">+IF(S134&gt;0,MIN(T68/$N$12,S134),0)</f>
        <v>0</v>
      </c>
      <c r="U23" s="8">
        <f t="shared" si="19"/>
        <v>0</v>
      </c>
      <c r="V23" s="8">
        <f t="shared" si="19"/>
        <v>0</v>
      </c>
      <c r="W23" s="8">
        <f t="shared" si="19"/>
        <v>0</v>
      </c>
      <c r="X23" s="8">
        <f t="shared" si="19"/>
        <v>0</v>
      </c>
      <c r="Y23" s="8">
        <f t="shared" si="19"/>
        <v>0</v>
      </c>
      <c r="Z23" s="8">
        <f t="shared" si="19"/>
        <v>0</v>
      </c>
      <c r="AA23" s="8">
        <f t="shared" si="19"/>
        <v>0</v>
      </c>
      <c r="AB23" s="8">
        <f t="shared" si="19"/>
        <v>0</v>
      </c>
      <c r="AC23" s="8">
        <f t="shared" si="19"/>
        <v>0</v>
      </c>
      <c r="AD23" s="8">
        <f t="shared" si="19"/>
        <v>0</v>
      </c>
      <c r="AE23" s="8">
        <f t="shared" si="19"/>
        <v>0</v>
      </c>
      <c r="AF23" s="8">
        <f t="shared" si="19"/>
        <v>0</v>
      </c>
      <c r="AG23" s="8">
        <f t="shared" si="10"/>
        <v>0</v>
      </c>
    </row>
    <row r="24" spans="1:36">
      <c r="A24" t="s">
        <v>251</v>
      </c>
      <c r="I24" s="8">
        <f>+I69/$N$10</f>
        <v>165.33333333333334</v>
      </c>
      <c r="J24" s="8">
        <f t="shared" ref="J24:Q24" si="20">+IF(I135&gt;0,MIN(J69/$N$10,I135),0)</f>
        <v>165.33333333333334</v>
      </c>
      <c r="K24" s="8">
        <f t="shared" si="20"/>
        <v>165.33333333333334</v>
      </c>
      <c r="L24" s="8">
        <f t="shared" si="20"/>
        <v>165.33333333333334</v>
      </c>
      <c r="M24" s="8">
        <f t="shared" si="20"/>
        <v>165.33333333333334</v>
      </c>
      <c r="N24" s="8">
        <f t="shared" si="20"/>
        <v>165.33333333333334</v>
      </c>
      <c r="O24" s="8">
        <f t="shared" si="20"/>
        <v>165.33333333333334</v>
      </c>
      <c r="P24" s="8">
        <f t="shared" si="20"/>
        <v>82.666666666666515</v>
      </c>
      <c r="Q24" s="8">
        <f t="shared" si="20"/>
        <v>0</v>
      </c>
      <c r="R24" s="8">
        <f t="shared" si="12"/>
        <v>0</v>
      </c>
      <c r="S24" s="8">
        <f t="shared" si="12"/>
        <v>0</v>
      </c>
      <c r="T24" s="8">
        <f t="shared" ref="T24:AF24" si="21">+IF(S135&gt;0,MIN(T69/$N$12,S135),0)</f>
        <v>0</v>
      </c>
      <c r="U24" s="8">
        <f t="shared" si="21"/>
        <v>0</v>
      </c>
      <c r="V24" s="8">
        <f t="shared" si="21"/>
        <v>0</v>
      </c>
      <c r="W24" s="8">
        <f t="shared" si="21"/>
        <v>0</v>
      </c>
      <c r="X24" s="8">
        <f t="shared" si="21"/>
        <v>0</v>
      </c>
      <c r="Y24" s="8">
        <f t="shared" si="21"/>
        <v>0</v>
      </c>
      <c r="Z24" s="8">
        <f t="shared" si="21"/>
        <v>0</v>
      </c>
      <c r="AA24" s="8">
        <f t="shared" si="21"/>
        <v>0</v>
      </c>
      <c r="AB24" s="8">
        <f t="shared" si="21"/>
        <v>0</v>
      </c>
      <c r="AC24" s="8">
        <f t="shared" si="21"/>
        <v>0</v>
      </c>
      <c r="AD24" s="8">
        <f t="shared" si="21"/>
        <v>0</v>
      </c>
      <c r="AE24" s="8">
        <f t="shared" si="21"/>
        <v>0</v>
      </c>
      <c r="AF24" s="8">
        <f t="shared" si="21"/>
        <v>0</v>
      </c>
      <c r="AG24" s="8">
        <f t="shared" si="10"/>
        <v>0</v>
      </c>
    </row>
    <row r="25" spans="1:36">
      <c r="A25" t="s">
        <v>252</v>
      </c>
      <c r="J25" s="8">
        <f>+J70/$N$10</f>
        <v>436.4</v>
      </c>
      <c r="K25" s="8">
        <f t="shared" ref="K25:Q25" si="22">+IF(J136&gt;0,MIN(K70/$N$10,J136),0)</f>
        <v>436.4</v>
      </c>
      <c r="L25" s="8">
        <f t="shared" si="22"/>
        <v>436.4</v>
      </c>
      <c r="M25" s="8">
        <f t="shared" si="22"/>
        <v>436.4</v>
      </c>
      <c r="N25" s="8">
        <f t="shared" si="22"/>
        <v>436.4</v>
      </c>
      <c r="O25" s="8">
        <f t="shared" si="22"/>
        <v>436.4</v>
      </c>
      <c r="P25" s="8">
        <f t="shared" si="22"/>
        <v>436.4</v>
      </c>
      <c r="Q25" s="8">
        <f t="shared" si="22"/>
        <v>218.19999999999982</v>
      </c>
      <c r="R25" s="8">
        <f t="shared" si="12"/>
        <v>0</v>
      </c>
      <c r="S25" s="8">
        <f t="shared" si="12"/>
        <v>0</v>
      </c>
      <c r="T25" s="8">
        <f t="shared" ref="T25:AF25" si="23">+IF(S136&gt;0,MIN(T70/$N$12,S136),0)</f>
        <v>0</v>
      </c>
      <c r="U25" s="8">
        <f t="shared" si="23"/>
        <v>0</v>
      </c>
      <c r="V25" s="8">
        <f t="shared" si="23"/>
        <v>0</v>
      </c>
      <c r="W25" s="8">
        <f t="shared" si="23"/>
        <v>0</v>
      </c>
      <c r="X25" s="8">
        <f t="shared" si="23"/>
        <v>0</v>
      </c>
      <c r="Y25" s="8">
        <f t="shared" si="23"/>
        <v>0</v>
      </c>
      <c r="Z25" s="8">
        <f t="shared" si="23"/>
        <v>0</v>
      </c>
      <c r="AA25" s="8">
        <f t="shared" si="23"/>
        <v>0</v>
      </c>
      <c r="AB25" s="8">
        <f t="shared" si="23"/>
        <v>0</v>
      </c>
      <c r="AC25" s="8">
        <f t="shared" si="23"/>
        <v>0</v>
      </c>
      <c r="AD25" s="8">
        <f t="shared" si="23"/>
        <v>0</v>
      </c>
      <c r="AE25" s="8">
        <f t="shared" si="23"/>
        <v>0</v>
      </c>
      <c r="AF25" s="8">
        <f t="shared" si="23"/>
        <v>0</v>
      </c>
      <c r="AG25" s="8">
        <f t="shared" si="10"/>
        <v>0</v>
      </c>
    </row>
    <row r="26" spans="1:36">
      <c r="A26" t="s">
        <v>253</v>
      </c>
      <c r="K26" s="8">
        <f>+K71/$N$10</f>
        <v>706.66666666666663</v>
      </c>
      <c r="L26" s="8">
        <f t="shared" ref="L26:Q26" si="24">+IF(K137&gt;0,MIN(L71/$N$10,K137),0)</f>
        <v>706.66666666666663</v>
      </c>
      <c r="M26" s="8">
        <f t="shared" si="24"/>
        <v>706.66666666666663</v>
      </c>
      <c r="N26" s="8">
        <f t="shared" si="24"/>
        <v>706.66666666666663</v>
      </c>
      <c r="O26" s="8">
        <f t="shared" si="24"/>
        <v>706.66666666666663</v>
      </c>
      <c r="P26" s="8">
        <f t="shared" si="24"/>
        <v>706.66666666666663</v>
      </c>
      <c r="Q26" s="8">
        <f t="shared" si="24"/>
        <v>706.66666666666663</v>
      </c>
      <c r="R26" s="8">
        <f t="shared" si="12"/>
        <v>353.33333333333303</v>
      </c>
      <c r="S26" s="8">
        <f t="shared" si="12"/>
        <v>0</v>
      </c>
      <c r="T26" s="8">
        <f t="shared" ref="T26:AF26" si="25">+IF(S137&gt;0,MIN(T71/$N$12,S137),0)</f>
        <v>0</v>
      </c>
      <c r="U26" s="8">
        <f t="shared" si="25"/>
        <v>0</v>
      </c>
      <c r="V26" s="8">
        <f t="shared" si="25"/>
        <v>0</v>
      </c>
      <c r="W26" s="8">
        <f t="shared" si="25"/>
        <v>0</v>
      </c>
      <c r="X26" s="8">
        <f t="shared" si="25"/>
        <v>0</v>
      </c>
      <c r="Y26" s="8">
        <f t="shared" si="25"/>
        <v>0</v>
      </c>
      <c r="Z26" s="8">
        <f t="shared" si="25"/>
        <v>0</v>
      </c>
      <c r="AA26" s="8">
        <f t="shared" si="25"/>
        <v>0</v>
      </c>
      <c r="AB26" s="8">
        <f t="shared" si="25"/>
        <v>0</v>
      </c>
      <c r="AC26" s="8">
        <f t="shared" si="25"/>
        <v>0</v>
      </c>
      <c r="AD26" s="8">
        <f t="shared" si="25"/>
        <v>0</v>
      </c>
      <c r="AE26" s="8">
        <f t="shared" si="25"/>
        <v>0</v>
      </c>
      <c r="AF26" s="8">
        <f t="shared" si="25"/>
        <v>0</v>
      </c>
      <c r="AG26" s="8">
        <f t="shared" si="10"/>
        <v>0</v>
      </c>
    </row>
    <row r="27" spans="1:36">
      <c r="A27" t="s">
        <v>254</v>
      </c>
      <c r="L27" s="8">
        <f>+L72/$N$10</f>
        <v>604.4</v>
      </c>
      <c r="M27" s="8">
        <f>+IF(L138&gt;0,MIN(M72/$N$10,L138),0)</f>
        <v>604.4</v>
      </c>
      <c r="N27" s="8">
        <f>+IF(M138&gt;0,MIN(N72/$N$10,M138),0)</f>
        <v>604.4</v>
      </c>
      <c r="O27" s="8">
        <f>+IF(N138&gt;0,MIN(O72/$N$10,N138),0)</f>
        <v>604.4</v>
      </c>
      <c r="P27" s="8">
        <f>+IF(O138&gt;0,MIN(P72/$N$10,O138),0)</f>
        <v>604.4</v>
      </c>
      <c r="Q27" s="8">
        <f>+IF(P138&gt;0,MIN(Q72/$N$10,P138),0)</f>
        <v>604.4</v>
      </c>
      <c r="R27" s="8">
        <f t="shared" si="12"/>
        <v>503.66666666666669</v>
      </c>
      <c r="S27" s="8">
        <f t="shared" si="12"/>
        <v>402.93333333333339</v>
      </c>
      <c r="T27" s="8">
        <f t="shared" ref="T27:AF27" si="26">+IF(S138&gt;0,MIN(T72/$N$12,S138),0)</f>
        <v>0</v>
      </c>
      <c r="U27" s="8">
        <f t="shared" si="26"/>
        <v>0</v>
      </c>
      <c r="V27" s="8">
        <f t="shared" si="26"/>
        <v>0</v>
      </c>
      <c r="W27" s="8">
        <f t="shared" si="26"/>
        <v>0</v>
      </c>
      <c r="X27" s="8">
        <f t="shared" si="26"/>
        <v>0</v>
      </c>
      <c r="Y27" s="8">
        <f t="shared" si="26"/>
        <v>0</v>
      </c>
      <c r="Z27" s="8">
        <f t="shared" si="26"/>
        <v>0</v>
      </c>
      <c r="AA27" s="8">
        <f t="shared" si="26"/>
        <v>0</v>
      </c>
      <c r="AB27" s="8">
        <f t="shared" si="26"/>
        <v>0</v>
      </c>
      <c r="AC27" s="8">
        <f t="shared" si="26"/>
        <v>0</v>
      </c>
      <c r="AD27" s="8">
        <f t="shared" si="26"/>
        <v>0</v>
      </c>
      <c r="AE27" s="8">
        <f t="shared" si="26"/>
        <v>0</v>
      </c>
      <c r="AF27" s="8">
        <f t="shared" si="26"/>
        <v>0</v>
      </c>
      <c r="AG27" s="8">
        <f t="shared" si="10"/>
        <v>0</v>
      </c>
    </row>
    <row r="28" spans="1:36">
      <c r="A28" t="s">
        <v>255</v>
      </c>
      <c r="M28" s="8">
        <f>+M73/$N$10</f>
        <v>775.86666666666667</v>
      </c>
      <c r="N28" s="8">
        <f>+IF(M139&gt;0,MIN(N73/$N$10,M139),0)</f>
        <v>775.86666666666667</v>
      </c>
      <c r="O28" s="8">
        <f>+IF(N139&gt;0,MIN(O73/$N$10,N139),0)</f>
        <v>775.86666666666667</v>
      </c>
      <c r="P28" s="8">
        <f>+IF(O139&gt;0,MIN(P73/$N$10,O139),0)</f>
        <v>775.86666666666667</v>
      </c>
      <c r="Q28" s="8">
        <f>+IF(P139&gt;0,MIN(Q73/$N$10,P139),0)</f>
        <v>775.86666666666667</v>
      </c>
      <c r="R28" s="8">
        <f t="shared" si="12"/>
        <v>646.55555555555554</v>
      </c>
      <c r="S28" s="8">
        <f t="shared" si="12"/>
        <v>646.55555555555554</v>
      </c>
      <c r="T28" s="8">
        <f t="shared" ref="T28:AF28" si="27">+IF(S139&gt;0,MIN(T73/$N$12,S139),0)</f>
        <v>529</v>
      </c>
      <c r="U28" s="8">
        <f t="shared" si="27"/>
        <v>117.55555555555566</v>
      </c>
      <c r="V28" s="8">
        <f t="shared" si="27"/>
        <v>0</v>
      </c>
      <c r="W28" s="8">
        <f t="shared" si="27"/>
        <v>0</v>
      </c>
      <c r="X28" s="8">
        <f t="shared" si="27"/>
        <v>0</v>
      </c>
      <c r="Y28" s="8">
        <f t="shared" si="27"/>
        <v>0</v>
      </c>
      <c r="Z28" s="8">
        <f t="shared" si="27"/>
        <v>0</v>
      </c>
      <c r="AA28" s="8">
        <f t="shared" si="27"/>
        <v>0</v>
      </c>
      <c r="AB28" s="8">
        <f t="shared" si="27"/>
        <v>0</v>
      </c>
      <c r="AC28" s="8">
        <f t="shared" si="27"/>
        <v>0</v>
      </c>
      <c r="AD28" s="8">
        <f t="shared" si="27"/>
        <v>0</v>
      </c>
      <c r="AE28" s="8">
        <f t="shared" si="27"/>
        <v>0</v>
      </c>
      <c r="AF28" s="8">
        <f t="shared" si="27"/>
        <v>0</v>
      </c>
      <c r="AG28" s="8">
        <f t="shared" si="10"/>
        <v>0</v>
      </c>
    </row>
    <row r="29" spans="1:36">
      <c r="A29" t="s">
        <v>256</v>
      </c>
      <c r="N29" s="8">
        <f>+N74/$N$10</f>
        <v>1300.9333333333334</v>
      </c>
      <c r="O29" s="8">
        <f>+IF(N140&gt;0,MIN(O74/$N$10,N140),0)</f>
        <v>1300.9333333333334</v>
      </c>
      <c r="P29" s="8">
        <f>+IF(O140&gt;0,MIN(P74/$N$10,O140),0)</f>
        <v>1300.9333333333334</v>
      </c>
      <c r="Q29" s="8">
        <f>+IF(P140&gt;0,MIN(Q74/$N$10,P140),0)</f>
        <v>1300.9333333333334</v>
      </c>
      <c r="R29" s="8">
        <f t="shared" si="12"/>
        <v>1084.1111111111111</v>
      </c>
      <c r="S29" s="8">
        <f t="shared" si="12"/>
        <v>1084.1111111111111</v>
      </c>
      <c r="T29" s="8">
        <f t="shared" ref="T29:AF29" si="28">+IF(S140&gt;0,MIN(T74/$N$12,S140),0)</f>
        <v>887</v>
      </c>
      <c r="U29" s="8">
        <f t="shared" si="28"/>
        <v>887</v>
      </c>
      <c r="V29" s="8">
        <f t="shared" si="28"/>
        <v>611.0444444444438</v>
      </c>
      <c r="W29" s="8">
        <f t="shared" si="28"/>
        <v>0</v>
      </c>
      <c r="X29" s="8">
        <f t="shared" si="28"/>
        <v>0</v>
      </c>
      <c r="Y29" s="8">
        <f t="shared" si="28"/>
        <v>0</v>
      </c>
      <c r="Z29" s="8">
        <f t="shared" si="28"/>
        <v>0</v>
      </c>
      <c r="AA29" s="8">
        <f t="shared" si="28"/>
        <v>0</v>
      </c>
      <c r="AB29" s="8">
        <f t="shared" si="28"/>
        <v>0</v>
      </c>
      <c r="AC29" s="8">
        <f t="shared" si="28"/>
        <v>0</v>
      </c>
      <c r="AD29" s="8">
        <f t="shared" si="28"/>
        <v>0</v>
      </c>
      <c r="AE29" s="8">
        <f t="shared" si="28"/>
        <v>0</v>
      </c>
      <c r="AF29" s="8">
        <f t="shared" si="28"/>
        <v>0</v>
      </c>
      <c r="AG29" s="8">
        <f t="shared" si="10"/>
        <v>0</v>
      </c>
    </row>
    <row r="30" spans="1:36">
      <c r="A30" t="s">
        <v>257</v>
      </c>
      <c r="O30" s="8">
        <f>+O75/$N$10</f>
        <v>1436</v>
      </c>
      <c r="P30" s="8">
        <f>+IF(O141&gt;0,MIN(P75/$N$10,O141),0)</f>
        <v>1436</v>
      </c>
      <c r="Q30" s="8">
        <f>+IF(P141&gt;0,MIN(Q75/$N$10,P141),0)</f>
        <v>1436</v>
      </c>
      <c r="R30" s="8">
        <f t="shared" si="12"/>
        <v>1196.6666666666667</v>
      </c>
      <c r="S30" s="8">
        <f t="shared" si="12"/>
        <v>1196.6666666666667</v>
      </c>
      <c r="T30" s="8">
        <f t="shared" ref="T30:AF30" si="29">+IF(S141&gt;0,MIN(T75/$N$12,S141),0)</f>
        <v>979.09090909090912</v>
      </c>
      <c r="U30" s="8">
        <f t="shared" si="29"/>
        <v>979.09090909090912</v>
      </c>
      <c r="V30" s="8">
        <f t="shared" si="29"/>
        <v>979.09090909090912</v>
      </c>
      <c r="W30" s="8">
        <f t="shared" si="29"/>
        <v>979.09090909090912</v>
      </c>
      <c r="X30" s="8">
        <f t="shared" si="29"/>
        <v>152.30303030302821</v>
      </c>
      <c r="Y30" s="8">
        <f t="shared" si="29"/>
        <v>0</v>
      </c>
      <c r="Z30" s="8">
        <f t="shared" si="29"/>
        <v>0</v>
      </c>
      <c r="AA30" s="8">
        <f t="shared" si="29"/>
        <v>0</v>
      </c>
      <c r="AB30" s="8">
        <f t="shared" si="29"/>
        <v>0</v>
      </c>
      <c r="AC30" s="8">
        <f t="shared" si="29"/>
        <v>0</v>
      </c>
      <c r="AD30" s="8">
        <f t="shared" si="29"/>
        <v>0</v>
      </c>
      <c r="AE30" s="8">
        <f t="shared" si="29"/>
        <v>0</v>
      </c>
      <c r="AF30" s="8">
        <f t="shared" si="29"/>
        <v>0</v>
      </c>
      <c r="AG30" s="8">
        <f t="shared" si="10"/>
        <v>0</v>
      </c>
      <c r="AH30" s="8"/>
    </row>
    <row r="31" spans="1:36">
      <c r="A31" t="s">
        <v>258</v>
      </c>
      <c r="P31" s="8">
        <f>+P76/$N$10</f>
        <v>1749.8666666666666</v>
      </c>
      <c r="Q31" s="8">
        <f>+IF(P142&gt;0,MIN(Q76/$N$10,P142),0)</f>
        <v>1749.8666666666666</v>
      </c>
      <c r="R31" s="8">
        <f t="shared" si="12"/>
        <v>1458.2222222222222</v>
      </c>
      <c r="S31" s="8">
        <f t="shared" si="12"/>
        <v>1458.2222222222222</v>
      </c>
      <c r="T31" s="8">
        <f t="shared" ref="T31:AF31" si="30">+IF(S142&gt;0,MIN(T76/$N$12,S142),0)</f>
        <v>1193.090909090909</v>
      </c>
      <c r="U31" s="8">
        <f t="shared" si="30"/>
        <v>1193.090909090909</v>
      </c>
      <c r="V31" s="8">
        <f t="shared" si="30"/>
        <v>1193.090909090909</v>
      </c>
      <c r="W31" s="8">
        <f t="shared" si="30"/>
        <v>1193.090909090909</v>
      </c>
      <c r="X31" s="8">
        <f t="shared" si="30"/>
        <v>1193.090909090909</v>
      </c>
      <c r="Y31" s="8">
        <f t="shared" si="30"/>
        <v>742.36767676768068</v>
      </c>
      <c r="Z31" s="8">
        <f t="shared" si="30"/>
        <v>0</v>
      </c>
      <c r="AA31" s="8">
        <f t="shared" si="30"/>
        <v>0</v>
      </c>
      <c r="AB31" s="8">
        <f t="shared" si="30"/>
        <v>0</v>
      </c>
      <c r="AC31" s="8">
        <f t="shared" si="30"/>
        <v>0</v>
      </c>
      <c r="AD31" s="8">
        <f t="shared" si="30"/>
        <v>0</v>
      </c>
      <c r="AE31" s="8">
        <f t="shared" si="30"/>
        <v>0</v>
      </c>
      <c r="AF31" s="8">
        <f t="shared" si="30"/>
        <v>0</v>
      </c>
      <c r="AG31" s="8">
        <f t="shared" si="10"/>
        <v>0</v>
      </c>
      <c r="AH31" s="8"/>
      <c r="AI31" s="8"/>
    </row>
    <row r="32" spans="1:36">
      <c r="A32" t="s">
        <v>259</v>
      </c>
      <c r="Q32" s="8">
        <f>+Q77/$N$10</f>
        <v>2072.1333333333332</v>
      </c>
      <c r="R32" s="8">
        <f t="shared" si="12"/>
        <v>1726.7777777777778</v>
      </c>
      <c r="S32" s="8">
        <f t="shared" si="12"/>
        <v>1726.7777777777778</v>
      </c>
      <c r="T32" s="8">
        <f t="shared" ref="T32:AF32" si="31">+IF(S143&gt;0,MIN(T77/$N$12,S143),0)</f>
        <v>1412.8181818181818</v>
      </c>
      <c r="U32" s="8">
        <f t="shared" si="31"/>
        <v>1412.8181818181818</v>
      </c>
      <c r="V32" s="8">
        <f t="shared" si="31"/>
        <v>1412.8181818181818</v>
      </c>
      <c r="W32" s="8">
        <f t="shared" si="31"/>
        <v>1412.8181818181818</v>
      </c>
      <c r="X32" s="8">
        <f t="shared" si="31"/>
        <v>1412.8181818181818</v>
      </c>
      <c r="Y32" s="8">
        <f t="shared" si="31"/>
        <v>1412.8181818181818</v>
      </c>
      <c r="Z32" s="8">
        <f t="shared" si="31"/>
        <v>1412.8181818181818</v>
      </c>
      <c r="AA32" s="8">
        <f t="shared" si="31"/>
        <v>125.58383838383816</v>
      </c>
      <c r="AB32" s="8">
        <f t="shared" si="31"/>
        <v>0</v>
      </c>
      <c r="AC32" s="8">
        <f t="shared" si="31"/>
        <v>0</v>
      </c>
      <c r="AD32" s="8">
        <f t="shared" si="31"/>
        <v>0</v>
      </c>
      <c r="AE32" s="8">
        <f t="shared" si="31"/>
        <v>0</v>
      </c>
      <c r="AF32" s="8">
        <f t="shared" si="31"/>
        <v>0</v>
      </c>
      <c r="AG32" s="8">
        <f t="shared" si="10"/>
        <v>0</v>
      </c>
      <c r="AH32" s="8"/>
      <c r="AI32" s="8"/>
      <c r="AJ32" s="8"/>
    </row>
    <row r="33" spans="1:44">
      <c r="A33" t="s">
        <v>260</v>
      </c>
      <c r="R33" s="8">
        <f>+R78/$N$11</f>
        <v>2635.3333333333335</v>
      </c>
      <c r="S33" s="8">
        <f>+IF(R144&gt;0,MIN(S78/$N$11,R144),0)</f>
        <v>2635.3333333333335</v>
      </c>
      <c r="T33" s="8">
        <f t="shared" ref="T33:AF33" si="32">+IF(S144&gt;0,MIN(T78/$N$12,S144),0)</f>
        <v>2156.181818181818</v>
      </c>
      <c r="U33" s="8">
        <f t="shared" si="32"/>
        <v>2156.181818181818</v>
      </c>
      <c r="V33" s="8">
        <f t="shared" si="32"/>
        <v>2156.181818181818</v>
      </c>
      <c r="W33" s="8">
        <f t="shared" si="32"/>
        <v>2156.181818181818</v>
      </c>
      <c r="X33" s="8">
        <f t="shared" si="32"/>
        <v>2156.181818181818</v>
      </c>
      <c r="Y33" s="8">
        <f t="shared" si="32"/>
        <v>2156.181818181818</v>
      </c>
      <c r="Z33" s="8">
        <f t="shared" si="32"/>
        <v>2156.181818181818</v>
      </c>
      <c r="AA33" s="8">
        <f t="shared" si="32"/>
        <v>2156.181818181818</v>
      </c>
      <c r="AB33" s="8">
        <f t="shared" si="32"/>
        <v>1197.8787878787916</v>
      </c>
      <c r="AC33" s="8">
        <f t="shared" si="32"/>
        <v>0</v>
      </c>
      <c r="AD33" s="8">
        <f t="shared" si="32"/>
        <v>0</v>
      </c>
      <c r="AE33" s="8">
        <f t="shared" si="32"/>
        <v>0</v>
      </c>
      <c r="AF33" s="8">
        <f t="shared" si="32"/>
        <v>0</v>
      </c>
      <c r="AG33" s="8">
        <f t="shared" si="10"/>
        <v>0</v>
      </c>
      <c r="AH33" s="8"/>
      <c r="AI33" s="8"/>
      <c r="AJ33" s="8"/>
      <c r="AK33" s="8"/>
    </row>
    <row r="34" spans="1:44">
      <c r="A34" t="s">
        <v>109</v>
      </c>
      <c r="S34" s="8">
        <f>+S79/$N$11</f>
        <v>2554.6666666666665</v>
      </c>
      <c r="T34" s="8">
        <f t="shared" ref="T34:AF34" si="33">+IF(S145&gt;0,MIN(T79/$N$12,S145),0)</f>
        <v>2090.181818181818</v>
      </c>
      <c r="U34" s="8">
        <f t="shared" si="33"/>
        <v>2090.181818181818</v>
      </c>
      <c r="V34" s="8">
        <f t="shared" si="33"/>
        <v>2090.181818181818</v>
      </c>
      <c r="W34" s="8">
        <f t="shared" si="33"/>
        <v>2090.181818181818</v>
      </c>
      <c r="X34" s="8">
        <f t="shared" si="33"/>
        <v>2090.181818181818</v>
      </c>
      <c r="Y34" s="8">
        <f t="shared" si="33"/>
        <v>2090.181818181818</v>
      </c>
      <c r="Z34" s="8">
        <f t="shared" si="33"/>
        <v>2090.181818181818</v>
      </c>
      <c r="AA34" s="8">
        <f t="shared" si="33"/>
        <v>2090.181818181818</v>
      </c>
      <c r="AB34" s="8">
        <f t="shared" si="33"/>
        <v>2090.181818181818</v>
      </c>
      <c r="AC34" s="8">
        <f t="shared" si="33"/>
        <v>1625.6969696969754</v>
      </c>
      <c r="AD34" s="8">
        <f t="shared" si="33"/>
        <v>0</v>
      </c>
      <c r="AE34" s="8">
        <f t="shared" si="33"/>
        <v>0</v>
      </c>
      <c r="AF34" s="8">
        <f t="shared" si="33"/>
        <v>0</v>
      </c>
      <c r="AG34" s="8">
        <f t="shared" si="10"/>
        <v>0</v>
      </c>
      <c r="AH34" s="8"/>
      <c r="AI34" s="8"/>
      <c r="AJ34" s="8"/>
      <c r="AK34" s="8"/>
      <c r="AL34" s="8"/>
    </row>
    <row r="35" spans="1:44">
      <c r="A35" t="s">
        <v>190</v>
      </c>
      <c r="T35" s="8">
        <f>+T80/$N$12</f>
        <v>2712.181818181818</v>
      </c>
      <c r="U35" s="8">
        <f t="shared" ref="U35:AF35" si="34">+IF(T146&gt;0,MIN(U80/$N$12,T146),0)</f>
        <v>2712.181818181818</v>
      </c>
      <c r="V35" s="8">
        <f t="shared" si="34"/>
        <v>2712.181818181818</v>
      </c>
      <c r="W35" s="8">
        <f t="shared" si="34"/>
        <v>2712.181818181818</v>
      </c>
      <c r="X35" s="8">
        <f t="shared" si="34"/>
        <v>2712.181818181818</v>
      </c>
      <c r="Y35" s="8">
        <f t="shared" si="34"/>
        <v>2712.181818181818</v>
      </c>
      <c r="Z35" s="8">
        <f t="shared" si="34"/>
        <v>2712.181818181818</v>
      </c>
      <c r="AA35" s="8">
        <f t="shared" si="34"/>
        <v>2712.181818181818</v>
      </c>
      <c r="AB35" s="8">
        <f t="shared" si="34"/>
        <v>2712.181818181818</v>
      </c>
      <c r="AC35" s="8">
        <f t="shared" si="34"/>
        <v>2712.181818181818</v>
      </c>
      <c r="AD35" s="8">
        <f t="shared" si="34"/>
        <v>2712.181818181818</v>
      </c>
      <c r="AE35" s="8">
        <f t="shared" si="34"/>
        <v>0</v>
      </c>
      <c r="AF35" s="8">
        <f t="shared" si="34"/>
        <v>0</v>
      </c>
      <c r="AG35" s="8">
        <f t="shared" si="10"/>
        <v>0</v>
      </c>
      <c r="AH35" s="8"/>
      <c r="AI35" s="8"/>
      <c r="AJ35" s="8"/>
      <c r="AK35" s="8"/>
      <c r="AL35" s="8"/>
      <c r="AM35" s="8"/>
    </row>
    <row r="36" spans="1:44">
      <c r="A36" t="s">
        <v>191</v>
      </c>
      <c r="U36" s="8">
        <f>+U81/$N$12</f>
        <v>4374.545454545455</v>
      </c>
      <c r="V36" s="8">
        <f>+IF(U147&gt;0,MIN(V81/$N$12,U147),0)</f>
        <v>4374.545454545455</v>
      </c>
      <c r="W36" s="8">
        <f>+IF(V147&gt;0,MIN(W81/$N$12,V147),0)</f>
        <v>4374.545454545455</v>
      </c>
      <c r="X36" s="8">
        <f t="shared" ref="X36:AF36" si="35">+IF(W147&gt;0,MIN(X81/$N$12,W147),0)</f>
        <v>4374.545454545455</v>
      </c>
      <c r="Y36" s="8">
        <f t="shared" si="35"/>
        <v>4374.545454545455</v>
      </c>
      <c r="Z36" s="8">
        <f t="shared" si="35"/>
        <v>4374.545454545455</v>
      </c>
      <c r="AA36" s="8">
        <f t="shared" si="35"/>
        <v>4374.545454545455</v>
      </c>
      <c r="AB36" s="8">
        <f t="shared" si="35"/>
        <v>4374.545454545455</v>
      </c>
      <c r="AC36" s="8">
        <f t="shared" si="35"/>
        <v>4374.545454545455</v>
      </c>
      <c r="AD36" s="8">
        <f t="shared" si="35"/>
        <v>4374.545454545455</v>
      </c>
      <c r="AE36" s="8">
        <f t="shared" si="35"/>
        <v>4374.5454545454486</v>
      </c>
      <c r="AF36" s="8">
        <f t="shared" si="35"/>
        <v>0</v>
      </c>
      <c r="AG36" s="8">
        <f t="shared" si="10"/>
        <v>0</v>
      </c>
      <c r="AH36" s="8"/>
      <c r="AI36" s="8"/>
      <c r="AJ36" s="8"/>
      <c r="AK36" s="8"/>
      <c r="AL36" s="8"/>
      <c r="AM36" s="8"/>
      <c r="AN36" s="8"/>
    </row>
    <row r="37" spans="1:44">
      <c r="A37" t="s">
        <v>72</v>
      </c>
      <c r="V37" s="8">
        <f>+V82/$N$12</f>
        <v>6381.9813938305861</v>
      </c>
      <c r="W37" s="8">
        <f t="shared" ref="W37:AF37" si="36">+IF(V148&gt;0,MIN(W82/$N$12,V148),0)</f>
        <v>6381.9813938305861</v>
      </c>
      <c r="X37" s="8">
        <f t="shared" si="36"/>
        <v>6381.9813938305861</v>
      </c>
      <c r="Y37" s="8">
        <f t="shared" si="36"/>
        <v>6381.9813938305861</v>
      </c>
      <c r="Z37" s="8">
        <f t="shared" si="36"/>
        <v>6381.9813938305861</v>
      </c>
      <c r="AA37" s="8">
        <f t="shared" si="36"/>
        <v>6381.9813938305861</v>
      </c>
      <c r="AB37" s="8">
        <f t="shared" si="36"/>
        <v>6381.9813938305861</v>
      </c>
      <c r="AC37" s="8">
        <f t="shared" si="36"/>
        <v>6381.9813938305861</v>
      </c>
      <c r="AD37" s="8">
        <f t="shared" si="36"/>
        <v>6381.9813938305861</v>
      </c>
      <c r="AE37" s="8">
        <f t="shared" si="36"/>
        <v>6381.9813938305861</v>
      </c>
      <c r="AF37" s="8">
        <f t="shared" si="36"/>
        <v>6381.9813938305742</v>
      </c>
      <c r="AG37" s="8">
        <f t="shared" si="10"/>
        <v>0</v>
      </c>
      <c r="AH37" s="8"/>
      <c r="AI37" s="8"/>
      <c r="AJ37" s="8"/>
      <c r="AK37" s="8"/>
      <c r="AL37" s="8"/>
      <c r="AM37" s="8"/>
      <c r="AN37" s="8"/>
      <c r="AO37" s="8"/>
    </row>
    <row r="38" spans="1:44">
      <c r="A38" t="s">
        <v>73</v>
      </c>
      <c r="W38" s="8">
        <f>+W83/$N$12</f>
        <v>5654.8346006950424</v>
      </c>
      <c r="X38" s="8">
        <f t="shared" ref="X38:AF38" si="37">+IF(W149&gt;0,MIN(X83/$N$12,W149),0)</f>
        <v>5654.8346006950424</v>
      </c>
      <c r="Y38" s="8">
        <f t="shared" si="37"/>
        <v>5654.8346006950424</v>
      </c>
      <c r="Z38" s="8">
        <f t="shared" si="37"/>
        <v>5654.8346006950424</v>
      </c>
      <c r="AA38" s="8">
        <f t="shared" si="37"/>
        <v>5654.8346006950424</v>
      </c>
      <c r="AB38" s="8">
        <f t="shared" si="37"/>
        <v>5654.8346006950424</v>
      </c>
      <c r="AC38" s="8">
        <f t="shared" si="37"/>
        <v>5654.8346006950424</v>
      </c>
      <c r="AD38" s="8">
        <f t="shared" si="37"/>
        <v>5654.8346006950424</v>
      </c>
      <c r="AE38" s="8">
        <f t="shared" si="37"/>
        <v>5654.8346006950424</v>
      </c>
      <c r="AF38" s="8">
        <f t="shared" si="37"/>
        <v>5654.8346006950424</v>
      </c>
      <c r="AG38" s="8">
        <f t="shared" si="10"/>
        <v>5654.8346006950305</v>
      </c>
      <c r="AH38" s="8"/>
      <c r="AI38" s="8"/>
      <c r="AJ38" s="8"/>
      <c r="AK38" s="8"/>
      <c r="AL38" s="8"/>
      <c r="AM38" s="8"/>
      <c r="AN38" s="8"/>
      <c r="AO38" s="8"/>
      <c r="AP38" s="8"/>
    </row>
    <row r="39" spans="1:44">
      <c r="A39" t="s">
        <v>74</v>
      </c>
      <c r="X39" s="8">
        <f>+X84/$N$12</f>
        <v>5881.0232754915196</v>
      </c>
      <c r="Y39" s="8">
        <f t="shared" ref="Y39:AF39" si="38">+IF(X150&gt;0,MIN(Y84/$N$12,X150),0)</f>
        <v>5881.0232754915196</v>
      </c>
      <c r="Z39" s="8">
        <f t="shared" si="38"/>
        <v>5881.0232754915196</v>
      </c>
      <c r="AA39" s="8">
        <f t="shared" si="38"/>
        <v>5881.0232754915196</v>
      </c>
      <c r="AB39" s="8">
        <f t="shared" si="38"/>
        <v>5881.0232754915196</v>
      </c>
      <c r="AC39" s="8">
        <f t="shared" si="38"/>
        <v>5881.0232754915196</v>
      </c>
      <c r="AD39" s="8">
        <f t="shared" si="38"/>
        <v>5881.0232754915196</v>
      </c>
      <c r="AE39" s="8">
        <f t="shared" si="38"/>
        <v>5881.0232754915196</v>
      </c>
      <c r="AF39" s="8">
        <f t="shared" si="38"/>
        <v>5881.0232754915196</v>
      </c>
      <c r="AG39" s="8">
        <f t="shared" si="10"/>
        <v>5881.0232754915196</v>
      </c>
      <c r="AH39" s="8"/>
      <c r="AI39" s="8"/>
      <c r="AJ39" s="8"/>
      <c r="AK39" s="8"/>
      <c r="AL39" s="8"/>
      <c r="AM39" s="8"/>
      <c r="AN39" s="8"/>
      <c r="AO39" s="8"/>
      <c r="AP39" s="8"/>
      <c r="AQ39" s="8"/>
    </row>
    <row r="40" spans="1:44">
      <c r="A40" t="s">
        <v>75</v>
      </c>
      <c r="Y40" s="8">
        <f>+Y85/$N$12</f>
        <v>6046.8710713065602</v>
      </c>
      <c r="Z40" s="8">
        <f t="shared" ref="Z40:AF40" si="39">+IF(Y151&gt;0,MIN(Z85/$N$12,Y151),0)</f>
        <v>6046.8710713065602</v>
      </c>
      <c r="AA40" s="8">
        <f t="shared" si="39"/>
        <v>6046.8710713065602</v>
      </c>
      <c r="AB40" s="8">
        <f t="shared" si="39"/>
        <v>6046.8710713065602</v>
      </c>
      <c r="AC40" s="8">
        <f t="shared" si="39"/>
        <v>6046.8710713065602</v>
      </c>
      <c r="AD40" s="8">
        <f t="shared" si="39"/>
        <v>6046.8710713065602</v>
      </c>
      <c r="AE40" s="8">
        <f t="shared" si="39"/>
        <v>6046.8710713065602</v>
      </c>
      <c r="AF40" s="8">
        <f t="shared" si="39"/>
        <v>6046.8710713065602</v>
      </c>
      <c r="AG40" s="8">
        <f t="shared" si="10"/>
        <v>6046.8710713065602</v>
      </c>
      <c r="AH40" s="8"/>
      <c r="AI40" s="8"/>
      <c r="AJ40" s="8"/>
      <c r="AK40" s="8"/>
      <c r="AL40" s="8"/>
      <c r="AM40" s="8"/>
      <c r="AN40" s="8"/>
      <c r="AO40" s="8"/>
      <c r="AP40" s="8"/>
      <c r="AQ40" s="8"/>
      <c r="AR40" s="8"/>
    </row>
    <row r="41" spans="1:44">
      <c r="A41" t="s">
        <v>76</v>
      </c>
      <c r="Y41" s="8"/>
      <c r="Z41" s="8">
        <f>+Z86/$N$12</f>
        <v>6133.2928955647421</v>
      </c>
      <c r="AA41" s="8">
        <f t="shared" ref="AA41:AF41" si="40">+IF(Z152&gt;0,MIN(AA86/$N$12,Z152),0)</f>
        <v>6133.2928955647421</v>
      </c>
      <c r="AB41" s="8">
        <f t="shared" si="40"/>
        <v>6133.2928955647421</v>
      </c>
      <c r="AC41" s="8">
        <f t="shared" si="40"/>
        <v>6133.2928955647421</v>
      </c>
      <c r="AD41" s="8">
        <f t="shared" si="40"/>
        <v>6133.2928955647421</v>
      </c>
      <c r="AE41" s="8">
        <f t="shared" si="40"/>
        <v>6133.2928955647421</v>
      </c>
      <c r="AF41" s="8">
        <f t="shared" si="40"/>
        <v>6133.2928955647421</v>
      </c>
      <c r="AG41" s="8">
        <f t="shared" si="10"/>
        <v>6133.2928955647421</v>
      </c>
      <c r="AH41" s="8"/>
      <c r="AI41" s="8"/>
      <c r="AJ41" s="8"/>
      <c r="AK41" s="8"/>
      <c r="AL41" s="8"/>
      <c r="AM41" s="8"/>
      <c r="AN41" s="8"/>
      <c r="AO41" s="8"/>
      <c r="AP41" s="8"/>
      <c r="AQ41" s="8"/>
      <c r="AR41" s="8"/>
    </row>
    <row r="42" spans="1:44">
      <c r="A42" t="s">
        <v>77</v>
      </c>
      <c r="Y42" s="8"/>
      <c r="Z42" s="8"/>
      <c r="AA42" s="8">
        <f>+AA87/$N$12</f>
        <v>6117.2825962643719</v>
      </c>
      <c r="AB42" s="8">
        <f>+IF(AA153&gt;0,MIN(AB87/$N$12,AA153),0)</f>
        <v>6117.2825962643719</v>
      </c>
      <c r="AC42" s="8">
        <f>+IF(AB153&gt;0,MIN(AC87/$N$12,AB153),0)</f>
        <v>6117.2825962643719</v>
      </c>
      <c r="AD42" s="8">
        <f>+IF(AC153&gt;0,MIN(AD87/$N$12,AC153),0)</f>
        <v>6117.2825962643719</v>
      </c>
      <c r="AE42" s="8">
        <f>+IF(AD153&gt;0,MIN(AE87/$N$12,AD153),0)</f>
        <v>6117.2825962643719</v>
      </c>
      <c r="AF42" s="8">
        <f>+IF(AE153&gt;0,MIN(AF87/$N$12,AE153),0)</f>
        <v>6117.2825962643719</v>
      </c>
      <c r="AG42" s="8">
        <f t="shared" si="10"/>
        <v>6117.2825962643719</v>
      </c>
      <c r="AH42" s="8"/>
      <c r="AI42" s="8"/>
      <c r="AJ42" s="8"/>
      <c r="AK42" s="8"/>
      <c r="AL42" s="8"/>
      <c r="AM42" s="8"/>
      <c r="AN42" s="8"/>
      <c r="AO42" s="8"/>
      <c r="AP42" s="8"/>
      <c r="AQ42" s="8"/>
      <c r="AR42" s="8"/>
    </row>
    <row r="43" spans="1:44">
      <c r="A43" t="s">
        <v>78</v>
      </c>
      <c r="Y43" s="8"/>
      <c r="Z43" s="8"/>
      <c r="AA43" s="8"/>
      <c r="AB43" s="8">
        <f>+AB88/$N$12</f>
        <v>6468.8180112508117</v>
      </c>
      <c r="AC43" s="8">
        <f>+IF(AB154&gt;0,MIN(AC88/$N$12,AB154),0)</f>
        <v>6468.8180112508117</v>
      </c>
      <c r="AD43" s="8">
        <f>+IF(AC154&gt;0,MIN(AD88/$N$12,AC154),0)</f>
        <v>6468.8180112508117</v>
      </c>
      <c r="AE43" s="8">
        <f>+IF(AD154&gt;0,MIN(AE88/$N$12,AD154),0)</f>
        <v>6468.8180112508117</v>
      </c>
      <c r="AF43" s="8">
        <f>+IF(AE154&gt;0,MIN(AF88/$N$12,AE154),0)</f>
        <v>6468.8180112508117</v>
      </c>
      <c r="AG43" s="8">
        <f t="shared" si="10"/>
        <v>6468.8180112508117</v>
      </c>
      <c r="AH43" s="8"/>
      <c r="AI43" s="8"/>
      <c r="AJ43" s="8"/>
      <c r="AK43" s="8"/>
      <c r="AL43" s="8"/>
      <c r="AM43" s="8"/>
      <c r="AN43" s="8"/>
      <c r="AO43" s="8"/>
      <c r="AP43" s="8"/>
      <c r="AQ43" s="8"/>
      <c r="AR43" s="8"/>
    </row>
    <row r="44" spans="1:44">
      <c r="A44" t="s">
        <v>79</v>
      </c>
      <c r="Y44" s="8"/>
      <c r="Z44" s="8"/>
      <c r="AA44" s="8"/>
      <c r="AB44" s="8"/>
      <c r="AC44" s="8">
        <f>+AC89/$N$12</f>
        <v>6794.4515248541638</v>
      </c>
      <c r="AD44" s="8">
        <f>+IF(AC155&gt;0,MIN(AD89/$N$12,AC155),0)</f>
        <v>6794.4515248541638</v>
      </c>
      <c r="AE44" s="8">
        <f>+IF(AD155&gt;0,MIN(AE89/$N$12,AD155),0)</f>
        <v>6794.4515248541638</v>
      </c>
      <c r="AF44" s="8">
        <f>+IF(AE155&gt;0,MIN(AF89/$N$12,AE155),0)</f>
        <v>6794.4515248541638</v>
      </c>
      <c r="AG44" s="8">
        <f t="shared" si="10"/>
        <v>6794.4515248541638</v>
      </c>
      <c r="AH44" s="8"/>
      <c r="AI44" s="8"/>
      <c r="AJ44" s="8"/>
      <c r="AK44" s="8"/>
      <c r="AL44" s="8"/>
      <c r="AM44" s="8"/>
      <c r="AN44" s="8"/>
      <c r="AO44" s="8"/>
      <c r="AP44" s="8"/>
      <c r="AQ44" s="8"/>
      <c r="AR44" s="8"/>
    </row>
    <row r="45" spans="1:44">
      <c r="A45" t="s">
        <v>80</v>
      </c>
      <c r="Y45" s="8"/>
      <c r="Z45" s="8"/>
      <c r="AA45" s="8"/>
      <c r="AB45" s="8"/>
      <c r="AC45" s="8"/>
      <c r="AD45" s="8">
        <f>+AD90/$N$12</f>
        <v>7725.5055653607715</v>
      </c>
      <c r="AE45" s="8">
        <f>+IF(AD156&gt;0,MIN(AE90/$N$12,AD156),0)</f>
        <v>7725.5055653607715</v>
      </c>
      <c r="AF45" s="8">
        <f>+IF(AE156&gt;0,MIN(AF90/$N$12,AE156),0)</f>
        <v>7725.5055653607715</v>
      </c>
      <c r="AG45" s="8">
        <f t="shared" si="10"/>
        <v>7725.5055653607715</v>
      </c>
      <c r="AH45" s="8"/>
      <c r="AI45" s="8"/>
      <c r="AJ45" s="8"/>
      <c r="AK45" s="8"/>
      <c r="AL45" s="8"/>
      <c r="AM45" s="8"/>
      <c r="AN45" s="8"/>
      <c r="AO45" s="8"/>
      <c r="AP45" s="8"/>
      <c r="AQ45" s="8"/>
      <c r="AR45" s="8"/>
    </row>
    <row r="46" spans="1:44">
      <c r="A46" t="s">
        <v>81</v>
      </c>
      <c r="Y46" s="8"/>
      <c r="Z46" s="8"/>
      <c r="AA46" s="8"/>
      <c r="AB46" s="8"/>
      <c r="AC46" s="8"/>
      <c r="AD46" s="8"/>
      <c r="AE46" s="8">
        <f>+AE91/$N$12</f>
        <v>8778.4088119519238</v>
      </c>
      <c r="AF46" s="8">
        <f>+IF(AE157&gt;0,MIN(AF91/$N$12,AE157),0)</f>
        <v>8778.4088119519238</v>
      </c>
      <c r="AG46" s="8">
        <f t="shared" si="10"/>
        <v>8778.4088119519238</v>
      </c>
      <c r="AH46" s="8"/>
      <c r="AI46" s="8"/>
      <c r="AJ46" s="8"/>
      <c r="AK46" s="8"/>
      <c r="AL46" s="8"/>
      <c r="AM46" s="8"/>
      <c r="AN46" s="8"/>
      <c r="AO46" s="8"/>
      <c r="AP46" s="8"/>
      <c r="AQ46" s="8"/>
      <c r="AR46" s="8"/>
    </row>
    <row r="47" spans="1:44">
      <c r="A47" t="s">
        <v>82</v>
      </c>
      <c r="Y47" s="8"/>
      <c r="Z47" s="8"/>
      <c r="AA47" s="8"/>
      <c r="AB47" s="8"/>
      <c r="AC47" s="8"/>
      <c r="AD47" s="8"/>
      <c r="AE47" s="8"/>
      <c r="AF47" s="8">
        <f>+AF92/$N$12</f>
        <v>9969.0154684925292</v>
      </c>
      <c r="AG47" s="8">
        <f>+IF(AF158&gt;0,MIN(AG92/$N$12,AF158),0)</f>
        <v>9969.0154684925292</v>
      </c>
      <c r="AH47" s="8"/>
      <c r="AI47" s="8"/>
      <c r="AJ47" s="8"/>
      <c r="AK47" s="8"/>
      <c r="AL47" s="8"/>
      <c r="AM47" s="8"/>
      <c r="AN47" s="8"/>
      <c r="AO47" s="8"/>
      <c r="AP47" s="8"/>
      <c r="AQ47" s="8"/>
      <c r="AR47" s="8"/>
    </row>
    <row r="48" spans="1:44">
      <c r="A48" t="s">
        <v>83</v>
      </c>
      <c r="Y48" s="8"/>
      <c r="Z48" s="8"/>
      <c r="AA48" s="8"/>
      <c r="AB48" s="8"/>
      <c r="AC48" s="8"/>
      <c r="AD48" s="8"/>
      <c r="AE48" s="8"/>
      <c r="AF48" s="8"/>
      <c r="AG48" s="8">
        <f>+AG93/$N$12</f>
        <v>11315.241020070187</v>
      </c>
      <c r="AH48" s="8"/>
      <c r="AI48" s="8"/>
      <c r="AJ48" s="8"/>
      <c r="AK48" s="8"/>
      <c r="AL48" s="8"/>
      <c r="AM48" s="8"/>
      <c r="AN48" s="8"/>
      <c r="AO48" s="8"/>
      <c r="AP48" s="8"/>
      <c r="AQ48" s="8"/>
      <c r="AR48" s="8"/>
    </row>
    <row r="49" spans="1:44">
      <c r="A49" t="s">
        <v>911</v>
      </c>
      <c r="Y49" s="8"/>
      <c r="Z49" s="8"/>
      <c r="AA49" s="8"/>
      <c r="AB49" s="8"/>
      <c r="AC49" s="8"/>
      <c r="AD49" s="8"/>
      <c r="AE49" s="8"/>
      <c r="AF49" s="8"/>
      <c r="AG49" s="8"/>
      <c r="AH49" s="8"/>
      <c r="AI49" s="8"/>
      <c r="AJ49" s="8"/>
      <c r="AK49" s="8"/>
      <c r="AL49" s="8"/>
      <c r="AM49" s="8"/>
      <c r="AN49" s="8"/>
      <c r="AO49" s="8"/>
      <c r="AP49" s="8"/>
      <c r="AQ49" s="8"/>
      <c r="AR49" s="8"/>
    </row>
    <row r="50" spans="1:44" ht="11.45">
      <c r="A50" s="12" t="s">
        <v>912</v>
      </c>
      <c r="D50" s="8">
        <f t="shared" ref="D50" si="41">+SUM(D19:D49)</f>
        <v>1248.8</v>
      </c>
      <c r="E50" s="8">
        <f t="shared" ref="E50" si="42">+SUM(E19:E49)</f>
        <v>1672.5333333333333</v>
      </c>
      <c r="F50" s="8">
        <f>+SUM(F19:F49)</f>
        <v>2010.9333333333334</v>
      </c>
      <c r="G50" s="8">
        <f t="shared" ref="G50:X50" si="43">+SUM(G19:G49)</f>
        <v>2167.8666666666668</v>
      </c>
      <c r="H50" s="8">
        <f t="shared" si="43"/>
        <v>2398.8000000000002</v>
      </c>
      <c r="I50" s="8">
        <f t="shared" si="43"/>
        <v>2564.1333333333337</v>
      </c>
      <c r="J50" s="8">
        <f t="shared" si="43"/>
        <v>3000.5333333333338</v>
      </c>
      <c r="K50" s="8">
        <f t="shared" si="43"/>
        <v>3082.7999999999993</v>
      </c>
      <c r="L50" s="8">
        <f t="shared" si="43"/>
        <v>2850.9333333333325</v>
      </c>
      <c r="M50" s="8">
        <f t="shared" si="43"/>
        <v>3245.7333333333331</v>
      </c>
      <c r="N50" s="8">
        <f t="shared" si="43"/>
        <v>4299</v>
      </c>
      <c r="O50" s="8">
        <f t="shared" si="43"/>
        <v>5541.0666666666666</v>
      </c>
      <c r="P50" s="8">
        <f t="shared" si="43"/>
        <v>7092.8</v>
      </c>
      <c r="Q50" s="8">
        <f t="shared" si="43"/>
        <v>8864.0666666666657</v>
      </c>
      <c r="R50" s="8">
        <f t="shared" si="43"/>
        <v>9604.6666666666661</v>
      </c>
      <c r="S50" s="8">
        <f t="shared" si="43"/>
        <v>11705.266666666666</v>
      </c>
      <c r="T50" s="8">
        <f>+SUM(T19:T49)</f>
        <v>11959.545454545454</v>
      </c>
      <c r="U50" s="8">
        <f t="shared" ref="U50" si="44">+SUM(U19:U49)</f>
        <v>15922.646464646463</v>
      </c>
      <c r="V50" s="8">
        <f t="shared" si="43"/>
        <v>21911.116747365937</v>
      </c>
      <c r="W50" s="8">
        <f t="shared" si="43"/>
        <v>26954.906903616535</v>
      </c>
      <c r="X50" s="8">
        <f t="shared" si="43"/>
        <v>32009.142300320174</v>
      </c>
      <c r="Y50" s="8">
        <f>+SUM(Y19:Y49)</f>
        <v>37452.987109000482</v>
      </c>
      <c r="Z50" s="8">
        <f t="shared" ref="Z50:AE50" si="45">+SUM(Z19:Z49)</f>
        <v>42843.912327797545</v>
      </c>
      <c r="AA50" s="8">
        <f t="shared" si="45"/>
        <v>47673.960580627565</v>
      </c>
      <c r="AB50" s="8">
        <f t="shared" si="45"/>
        <v>53058.891723191518</v>
      </c>
      <c r="AC50" s="8">
        <f t="shared" si="45"/>
        <v>58190.979611682043</v>
      </c>
      <c r="AD50" s="8">
        <f t="shared" si="45"/>
        <v>64290.788207345839</v>
      </c>
      <c r="AE50" s="8">
        <f t="shared" si="45"/>
        <v>70357.015201115937</v>
      </c>
      <c r="AF50" s="8">
        <f>+SUM(AF19:AF49)</f>
        <v>75951.485215063003</v>
      </c>
      <c r="AG50" s="8">
        <f t="shared" ref="AG50" si="46">+SUM(AG19:AG49)</f>
        <v>80884.7448413026</v>
      </c>
      <c r="AH50" s="8"/>
      <c r="AI50" s="10" t="s">
        <v>913</v>
      </c>
      <c r="AJ50" s="8"/>
      <c r="AK50" s="8"/>
      <c r="AL50" s="8"/>
      <c r="AM50" s="8"/>
      <c r="AN50" s="8"/>
      <c r="AO50" s="8"/>
      <c r="AP50" s="8"/>
      <c r="AQ50" s="8"/>
      <c r="AR50" s="8"/>
    </row>
    <row r="51" spans="1:44" s="953" customFormat="1" ht="11.45">
      <c r="A51" s="12" t="s">
        <v>914</v>
      </c>
      <c r="D51" s="10">
        <f t="shared" ref="D51:M51" si="47">+D192</f>
        <v>236</v>
      </c>
      <c r="E51" s="10">
        <f t="shared" si="47"/>
        <v>472</v>
      </c>
      <c r="F51" s="10">
        <f t="shared" si="47"/>
        <v>591</v>
      </c>
      <c r="G51" s="10">
        <f t="shared" si="47"/>
        <v>707</v>
      </c>
      <c r="H51" s="10">
        <f t="shared" si="47"/>
        <v>537</v>
      </c>
      <c r="I51" s="10">
        <f t="shared" si="47"/>
        <v>558</v>
      </c>
      <c r="J51" s="10">
        <f t="shared" si="47"/>
        <v>739</v>
      </c>
      <c r="K51" s="10">
        <f t="shared" si="47"/>
        <v>845</v>
      </c>
      <c r="L51" s="10">
        <f t="shared" si="47"/>
        <v>1300</v>
      </c>
      <c r="M51" s="10">
        <f t="shared" si="47"/>
        <v>978</v>
      </c>
      <c r="N51" s="10">
        <f t="shared" ref="N51:T51" si="48">+N192</f>
        <v>1700</v>
      </c>
      <c r="O51" s="10">
        <f t="shared" si="48"/>
        <v>2200</v>
      </c>
      <c r="P51" s="10">
        <f t="shared" si="48"/>
        <v>1900</v>
      </c>
      <c r="Q51" s="10">
        <f t="shared" si="48"/>
        <v>1600</v>
      </c>
      <c r="R51" s="10">
        <f t="shared" si="48"/>
        <v>1600</v>
      </c>
      <c r="S51" s="10">
        <f t="shared" si="48"/>
        <v>2000</v>
      </c>
      <c r="T51" s="10">
        <f t="shared" si="48"/>
        <v>2500</v>
      </c>
      <c r="U51" s="10">
        <f>+U192</f>
        <v>4800</v>
      </c>
      <c r="V51" s="30">
        <v>5892</v>
      </c>
      <c r="W51" s="30">
        <v>4471</v>
      </c>
      <c r="X51" s="30">
        <v>2793</v>
      </c>
      <c r="Y51" s="30">
        <v>1909</v>
      </c>
      <c r="Z51" s="30">
        <v>1728</v>
      </c>
      <c r="AA51" s="58">
        <f>+Z51-Y51+Z51</f>
        <v>1547</v>
      </c>
      <c r="AB51" s="58">
        <f t="shared" ref="AB51:AG51" si="49">+AA51-Z51+AA51</f>
        <v>1366</v>
      </c>
      <c r="AC51" s="58">
        <f t="shared" si="49"/>
        <v>1185</v>
      </c>
      <c r="AD51" s="58">
        <f t="shared" si="49"/>
        <v>1004</v>
      </c>
      <c r="AE51" s="58">
        <f t="shared" si="49"/>
        <v>823</v>
      </c>
      <c r="AF51" s="58">
        <f t="shared" si="49"/>
        <v>642</v>
      </c>
      <c r="AG51" s="58">
        <f t="shared" si="49"/>
        <v>461</v>
      </c>
      <c r="AH51" s="10"/>
      <c r="AI51" s="10" t="s">
        <v>915</v>
      </c>
      <c r="AJ51" s="10"/>
      <c r="AK51" s="10"/>
      <c r="AL51" s="10"/>
      <c r="AM51" s="10"/>
      <c r="AN51" s="10"/>
      <c r="AO51" s="10"/>
      <c r="AP51" s="10"/>
      <c r="AQ51" s="10"/>
      <c r="AR51" s="10"/>
    </row>
    <row r="52" spans="1:44" s="1" customFormat="1" ht="10.5">
      <c r="A52" s="848" t="s">
        <v>916</v>
      </c>
      <c r="B52" s="838"/>
      <c r="C52" s="838">
        <f t="shared" ref="C52:M52" si="50">+C51+C50</f>
        <v>0</v>
      </c>
      <c r="D52" s="838">
        <f t="shared" si="50"/>
        <v>1484.8</v>
      </c>
      <c r="E52" s="838">
        <f t="shared" si="50"/>
        <v>2144.5333333333333</v>
      </c>
      <c r="F52" s="838">
        <f t="shared" si="50"/>
        <v>2601.9333333333334</v>
      </c>
      <c r="G52" s="838">
        <f t="shared" si="50"/>
        <v>2874.8666666666668</v>
      </c>
      <c r="H52" s="838">
        <f t="shared" si="50"/>
        <v>2935.8</v>
      </c>
      <c r="I52" s="838">
        <f t="shared" si="50"/>
        <v>3122.1333333333337</v>
      </c>
      <c r="J52" s="838">
        <f t="shared" si="50"/>
        <v>3739.5333333333338</v>
      </c>
      <c r="K52" s="838">
        <f t="shared" si="50"/>
        <v>3927.7999999999993</v>
      </c>
      <c r="L52" s="838">
        <f t="shared" si="50"/>
        <v>4150.9333333333325</v>
      </c>
      <c r="M52" s="838">
        <f t="shared" si="50"/>
        <v>4223.7333333333336</v>
      </c>
      <c r="N52" s="838">
        <f>+N51+N50</f>
        <v>5999</v>
      </c>
      <c r="O52" s="838">
        <f t="shared" ref="O52:AF52" si="51">+O51+O50</f>
        <v>7741.0666666666666</v>
      </c>
      <c r="P52" s="838">
        <f t="shared" si="51"/>
        <v>8992.7999999999993</v>
      </c>
      <c r="Q52" s="838">
        <f t="shared" si="51"/>
        <v>10464.066666666666</v>
      </c>
      <c r="R52" s="838">
        <f t="shared" si="51"/>
        <v>11204.666666666666</v>
      </c>
      <c r="S52" s="838">
        <f t="shared" si="51"/>
        <v>13705.266666666666</v>
      </c>
      <c r="T52" s="838">
        <f t="shared" si="51"/>
        <v>14459.545454545454</v>
      </c>
      <c r="U52" s="838">
        <f t="shared" ref="U52" si="52">+U51+U50</f>
        <v>20722.646464646463</v>
      </c>
      <c r="V52" s="838">
        <f t="shared" si="51"/>
        <v>27803.116747365937</v>
      </c>
      <c r="W52" s="838">
        <f t="shared" si="51"/>
        <v>31425.906903616535</v>
      </c>
      <c r="X52" s="838">
        <f t="shared" si="51"/>
        <v>34802.142300320178</v>
      </c>
      <c r="Y52" s="838">
        <f t="shared" si="51"/>
        <v>39361.987109000482</v>
      </c>
      <c r="Z52" s="838">
        <f t="shared" si="51"/>
        <v>44571.912327797545</v>
      </c>
      <c r="AA52" s="838">
        <f t="shared" si="51"/>
        <v>49220.960580627565</v>
      </c>
      <c r="AB52" s="838">
        <f t="shared" si="51"/>
        <v>54424.891723191518</v>
      </c>
      <c r="AC52" s="838">
        <f t="shared" si="51"/>
        <v>59375.979611682043</v>
      </c>
      <c r="AD52" s="838">
        <f t="shared" si="51"/>
        <v>65294.788207345839</v>
      </c>
      <c r="AE52" s="838">
        <f t="shared" si="51"/>
        <v>71180.015201115937</v>
      </c>
      <c r="AF52" s="838">
        <f t="shared" si="51"/>
        <v>76593.485215063003</v>
      </c>
      <c r="AG52" s="838">
        <f t="shared" ref="AG52" si="53">+AG51+AG50</f>
        <v>81345.7448413026</v>
      </c>
      <c r="AH52" s="838"/>
      <c r="AI52" s="838"/>
      <c r="AJ52" s="838"/>
      <c r="AK52" s="838"/>
      <c r="AL52" s="838"/>
      <c r="AM52" s="838"/>
      <c r="AN52" s="838"/>
      <c r="AO52" s="838"/>
      <c r="AP52" s="838"/>
      <c r="AQ52" s="838"/>
      <c r="AR52" s="838"/>
    </row>
    <row r="53" spans="1:44" ht="11.45">
      <c r="A53" s="12" t="s">
        <v>917</v>
      </c>
      <c r="D53" s="34">
        <f t="shared" ref="D53:M53" si="54">+D193</f>
        <v>500</v>
      </c>
      <c r="E53" s="34">
        <f t="shared" si="54"/>
        <v>500</v>
      </c>
      <c r="F53" s="34">
        <f t="shared" si="54"/>
        <v>500</v>
      </c>
      <c r="G53" s="34">
        <f t="shared" si="54"/>
        <v>500</v>
      </c>
      <c r="H53" s="34">
        <f t="shared" si="54"/>
        <v>500</v>
      </c>
      <c r="I53" s="34">
        <f t="shared" si="54"/>
        <v>500</v>
      </c>
      <c r="J53" s="34">
        <f t="shared" si="54"/>
        <v>500</v>
      </c>
      <c r="K53" s="34">
        <f t="shared" si="54"/>
        <v>500</v>
      </c>
      <c r="L53" s="34">
        <f t="shared" si="54"/>
        <v>500</v>
      </c>
      <c r="M53" s="34">
        <f t="shared" si="54"/>
        <v>744</v>
      </c>
      <c r="N53" s="34">
        <f t="shared" ref="N53:T53" si="55">+N193</f>
        <v>978</v>
      </c>
      <c r="O53" s="34">
        <f t="shared" si="55"/>
        <v>361</v>
      </c>
      <c r="P53" s="34">
        <f t="shared" si="55"/>
        <v>82</v>
      </c>
      <c r="Q53" s="34">
        <f t="shared" si="55"/>
        <v>496</v>
      </c>
      <c r="R53" s="34">
        <f t="shared" si="55"/>
        <v>786</v>
      </c>
      <c r="S53" s="34">
        <f t="shared" si="55"/>
        <v>-140</v>
      </c>
      <c r="T53" s="34">
        <f t="shared" si="55"/>
        <v>361</v>
      </c>
      <c r="U53" s="34">
        <f>+U193</f>
        <v>2287</v>
      </c>
      <c r="V53" s="1229">
        <f>+U53</f>
        <v>2287</v>
      </c>
      <c r="W53" s="1229">
        <f t="shared" ref="W53:AG53" si="56">+V53</f>
        <v>2287</v>
      </c>
      <c r="X53" s="1229">
        <f t="shared" si="56"/>
        <v>2287</v>
      </c>
      <c r="Y53" s="1229">
        <f t="shared" si="56"/>
        <v>2287</v>
      </c>
      <c r="Z53" s="1229">
        <f t="shared" si="56"/>
        <v>2287</v>
      </c>
      <c r="AA53" s="1229">
        <f t="shared" si="56"/>
        <v>2287</v>
      </c>
      <c r="AB53" s="1229">
        <f t="shared" si="56"/>
        <v>2287</v>
      </c>
      <c r="AC53" s="1229">
        <f t="shared" si="56"/>
        <v>2287</v>
      </c>
      <c r="AD53" s="1229">
        <f t="shared" si="56"/>
        <v>2287</v>
      </c>
      <c r="AE53" s="1229">
        <f t="shared" si="56"/>
        <v>2287</v>
      </c>
      <c r="AF53" s="1229">
        <f t="shared" si="56"/>
        <v>2287</v>
      </c>
      <c r="AG53" s="1229">
        <f t="shared" si="56"/>
        <v>2287</v>
      </c>
      <c r="AH53" s="8"/>
      <c r="AI53" s="8"/>
      <c r="AJ53" s="8"/>
      <c r="AK53" s="8"/>
      <c r="AL53" s="8"/>
      <c r="AM53" s="8"/>
      <c r="AN53" s="8"/>
      <c r="AO53" s="8"/>
      <c r="AP53" s="8"/>
      <c r="AQ53" s="8"/>
      <c r="AR53" s="8"/>
    </row>
    <row r="54" spans="1:44" s="1" customFormat="1" ht="10.5">
      <c r="A54" s="848" t="s">
        <v>918</v>
      </c>
      <c r="D54" s="838">
        <f t="shared" ref="D54:S54" si="57">+D53+D51+D50</f>
        <v>1984.8</v>
      </c>
      <c r="E54" s="838">
        <f t="shared" si="57"/>
        <v>2644.5333333333333</v>
      </c>
      <c r="F54" s="838">
        <f t="shared" si="57"/>
        <v>3101.9333333333334</v>
      </c>
      <c r="G54" s="838">
        <f t="shared" si="57"/>
        <v>3374.8666666666668</v>
      </c>
      <c r="H54" s="838">
        <f t="shared" si="57"/>
        <v>3435.8</v>
      </c>
      <c r="I54" s="838">
        <f t="shared" si="57"/>
        <v>3622.1333333333337</v>
      </c>
      <c r="J54" s="838">
        <f t="shared" si="57"/>
        <v>4239.5333333333338</v>
      </c>
      <c r="K54" s="838">
        <f t="shared" si="57"/>
        <v>4427.7999999999993</v>
      </c>
      <c r="L54" s="838">
        <f t="shared" si="57"/>
        <v>4650.9333333333325</v>
      </c>
      <c r="M54" s="838">
        <f t="shared" si="57"/>
        <v>4967.7333333333336</v>
      </c>
      <c r="N54" s="838">
        <f t="shared" si="57"/>
        <v>6977</v>
      </c>
      <c r="O54" s="838">
        <f t="shared" si="57"/>
        <v>8102.0666666666666</v>
      </c>
      <c r="P54" s="838">
        <f t="shared" si="57"/>
        <v>9074.7999999999993</v>
      </c>
      <c r="Q54" s="838">
        <f t="shared" si="57"/>
        <v>10960.066666666666</v>
      </c>
      <c r="R54" s="838">
        <f t="shared" si="57"/>
        <v>11990.666666666666</v>
      </c>
      <c r="S54" s="838">
        <f t="shared" si="57"/>
        <v>13565.266666666666</v>
      </c>
      <c r="T54" s="838">
        <f>+T53+T51+T50</f>
        <v>14820.545454545454</v>
      </c>
      <c r="U54" s="838">
        <f t="shared" ref="U54" si="58">+U53+U51+U50</f>
        <v>23009.646464646463</v>
      </c>
      <c r="V54" s="849">
        <f t="shared" ref="V54:AF54" si="59">+V53+V50+V51</f>
        <v>30090.116747365937</v>
      </c>
      <c r="W54" s="849">
        <f t="shared" si="59"/>
        <v>33712.906903616531</v>
      </c>
      <c r="X54" s="849">
        <f t="shared" si="59"/>
        <v>37089.142300320178</v>
      </c>
      <c r="Y54" s="849">
        <f t="shared" si="59"/>
        <v>41648.987109000482</v>
      </c>
      <c r="Z54" s="849">
        <f t="shared" si="59"/>
        <v>46858.912327797545</v>
      </c>
      <c r="AA54" s="849">
        <f t="shared" si="59"/>
        <v>51507.960580627565</v>
      </c>
      <c r="AB54" s="849">
        <f t="shared" si="59"/>
        <v>56711.891723191518</v>
      </c>
      <c r="AC54" s="849">
        <f t="shared" si="59"/>
        <v>61662.979611682043</v>
      </c>
      <c r="AD54" s="849">
        <f t="shared" si="59"/>
        <v>67581.788207345846</v>
      </c>
      <c r="AE54" s="849">
        <f t="shared" si="59"/>
        <v>73467.015201115937</v>
      </c>
      <c r="AF54" s="849">
        <f t="shared" si="59"/>
        <v>78880.485215063003</v>
      </c>
      <c r="AG54" s="849">
        <f t="shared" ref="AG54" si="60">+AG53+AG50+AG51</f>
        <v>83632.7448413026</v>
      </c>
      <c r="AH54" s="838"/>
      <c r="AI54" s="838"/>
      <c r="AJ54" s="838"/>
      <c r="AK54" s="838"/>
      <c r="AL54" s="838"/>
      <c r="AM54" s="838"/>
      <c r="AN54" s="838"/>
      <c r="AO54" s="838"/>
      <c r="AP54" s="838"/>
      <c r="AQ54" s="838"/>
      <c r="AR54" s="838"/>
    </row>
    <row r="55" spans="1:44" s="1" customFormat="1" ht="10.5">
      <c r="A55" s="848"/>
      <c r="D55" s="838"/>
      <c r="E55" s="838"/>
      <c r="F55" s="838"/>
      <c r="G55" s="838"/>
      <c r="H55" s="838"/>
      <c r="I55" s="838"/>
      <c r="J55" s="838"/>
      <c r="K55" s="838"/>
      <c r="L55" s="838"/>
      <c r="M55" s="838"/>
      <c r="N55" s="838"/>
      <c r="O55" s="838"/>
      <c r="P55" s="838"/>
      <c r="Q55" s="838"/>
      <c r="R55" s="838"/>
      <c r="S55" s="838"/>
      <c r="T55" s="838"/>
      <c r="U55" s="838"/>
      <c r="V55" s="849"/>
      <c r="W55" s="849"/>
      <c r="X55" s="849"/>
      <c r="Y55" s="849"/>
      <c r="Z55" s="849"/>
      <c r="AA55" s="849"/>
      <c r="AB55" s="849"/>
      <c r="AC55" s="849"/>
      <c r="AD55" s="849"/>
      <c r="AE55" s="849"/>
      <c r="AF55" s="849"/>
      <c r="AG55" s="849"/>
      <c r="AH55" s="838"/>
      <c r="AI55" s="838"/>
      <c r="AJ55" s="838"/>
      <c r="AK55" s="838"/>
      <c r="AL55" s="838"/>
      <c r="AM55" s="838"/>
      <c r="AN55" s="838"/>
      <c r="AO55" s="838"/>
      <c r="AP55" s="838"/>
      <c r="AQ55" s="838"/>
      <c r="AR55" s="838"/>
    </row>
    <row r="56" spans="1:44" s="1" customFormat="1" ht="10.5">
      <c r="A56" s="24" t="s">
        <v>126</v>
      </c>
      <c r="D56" s="838"/>
      <c r="E56" s="838"/>
      <c r="F56" s="838"/>
      <c r="G56" s="838"/>
      <c r="H56" s="838"/>
      <c r="I56" s="838"/>
      <c r="J56" s="838"/>
      <c r="K56" s="838"/>
      <c r="L56" s="838"/>
      <c r="M56" s="838"/>
      <c r="N56" s="838"/>
      <c r="O56" s="838"/>
      <c r="P56" s="838"/>
      <c r="Q56" s="838"/>
      <c r="R56" s="838"/>
      <c r="S56" s="838"/>
      <c r="T56" s="838"/>
      <c r="U56" s="838"/>
      <c r="V56" s="838"/>
      <c r="W56" s="838"/>
      <c r="X56" s="838"/>
      <c r="Y56" s="838"/>
      <c r="Z56" s="838"/>
      <c r="AA56" s="838"/>
      <c r="AB56" s="838"/>
      <c r="AC56" s="838"/>
      <c r="AD56" s="838"/>
      <c r="AE56" s="838"/>
      <c r="AF56" s="838"/>
      <c r="AG56" s="838"/>
      <c r="AH56" s="838"/>
      <c r="AI56" s="838"/>
      <c r="AJ56" s="838"/>
      <c r="AK56" s="838"/>
      <c r="AL56" s="838"/>
      <c r="AM56" s="838"/>
      <c r="AN56" s="838"/>
      <c r="AO56" s="838"/>
      <c r="AP56" s="838"/>
      <c r="AQ56" s="838"/>
      <c r="AR56" s="838"/>
    </row>
    <row r="57" spans="1:44" s="1" customFormat="1" ht="10.5">
      <c r="A57" s="13" t="s">
        <v>919</v>
      </c>
      <c r="D57" s="92">
        <f t="shared" ref="D57:S57" si="61">+D213</f>
        <v>940</v>
      </c>
      <c r="E57" s="92">
        <f t="shared" si="61"/>
        <v>1556</v>
      </c>
      <c r="F57" s="92">
        <f t="shared" si="61"/>
        <v>2062</v>
      </c>
      <c r="G57" s="92">
        <f t="shared" si="61"/>
        <v>2173</v>
      </c>
      <c r="H57" s="92">
        <f t="shared" si="61"/>
        <v>2266</v>
      </c>
      <c r="I57" s="92">
        <f t="shared" si="61"/>
        <v>2467</v>
      </c>
      <c r="J57" s="92">
        <f t="shared" si="61"/>
        <v>3255</v>
      </c>
      <c r="K57" s="92">
        <f t="shared" si="61"/>
        <v>4712</v>
      </c>
      <c r="L57" s="92">
        <f t="shared" si="61"/>
        <v>5457</v>
      </c>
      <c r="M57" s="92">
        <f t="shared" si="61"/>
        <v>4900</v>
      </c>
      <c r="N57" s="92">
        <f t="shared" si="61"/>
        <v>6100</v>
      </c>
      <c r="O57" s="92">
        <f t="shared" si="61"/>
        <v>7700</v>
      </c>
      <c r="P57" s="92">
        <f t="shared" si="61"/>
        <v>9700</v>
      </c>
      <c r="Q57" s="92">
        <f t="shared" si="61"/>
        <v>10700</v>
      </c>
      <c r="R57" s="92">
        <f t="shared" si="61"/>
        <v>9300</v>
      </c>
      <c r="S57" s="92">
        <f t="shared" si="61"/>
        <v>12600</v>
      </c>
      <c r="T57" s="92">
        <f>+T213</f>
        <v>11000</v>
      </c>
      <c r="U57" s="92">
        <f t="shared" ref="U57" si="62">+U213</f>
        <v>15200</v>
      </c>
      <c r="V57" s="1228"/>
      <c r="W57" s="1228"/>
      <c r="X57" s="1228"/>
      <c r="Y57" s="1228"/>
      <c r="Z57" s="1228"/>
      <c r="AA57" s="1228"/>
      <c r="AB57" s="1228"/>
      <c r="AC57" s="1228"/>
      <c r="AD57" s="1228"/>
      <c r="AE57" s="1228"/>
      <c r="AF57" s="1228"/>
      <c r="AG57" s="1228"/>
      <c r="AH57" s="838"/>
      <c r="AI57" s="838"/>
      <c r="AJ57" s="838"/>
      <c r="AK57" s="838"/>
      <c r="AL57" s="838"/>
      <c r="AM57" s="838"/>
      <c r="AN57" s="838"/>
      <c r="AO57" s="838"/>
      <c r="AP57" s="838"/>
      <c r="AQ57" s="838"/>
      <c r="AR57" s="838"/>
    </row>
    <row r="58" spans="1:44" s="1" customFormat="1" ht="10.5">
      <c r="A58" s="15" t="s">
        <v>920</v>
      </c>
      <c r="D58" s="1225">
        <f t="shared" ref="D58:T58" si="63">+D57/D50-1</f>
        <v>-0.24727738629083917</v>
      </c>
      <c r="E58" s="1225">
        <f t="shared" si="63"/>
        <v>-6.9674744897959218E-2</v>
      </c>
      <c r="F58" s="1225">
        <f t="shared" si="63"/>
        <v>2.5394510011934823E-2</v>
      </c>
      <c r="G58" s="1225">
        <f t="shared" si="63"/>
        <v>2.3679193062302595E-3</v>
      </c>
      <c r="H58" s="1225">
        <f t="shared" si="63"/>
        <v>-5.5361013840253492E-2</v>
      </c>
      <c r="I58" s="1225">
        <f t="shared" si="63"/>
        <v>-3.7881545421455054E-2</v>
      </c>
      <c r="J58" s="1225">
        <f t="shared" si="63"/>
        <v>8.4807145396373906E-2</v>
      </c>
      <c r="K58" s="1225">
        <f t="shared" si="63"/>
        <v>0.52848060205008474</v>
      </c>
      <c r="L58" s="1225">
        <f t="shared" si="63"/>
        <v>0.91410999906463442</v>
      </c>
      <c r="M58" s="1225">
        <f t="shared" si="63"/>
        <v>0.509674239000945</v>
      </c>
      <c r="N58" s="1225">
        <f t="shared" si="63"/>
        <v>0.41893463596185154</v>
      </c>
      <c r="O58" s="1225">
        <f t="shared" si="63"/>
        <v>0.38962413975648502</v>
      </c>
      <c r="P58" s="1225">
        <f t="shared" si="63"/>
        <v>0.36758402887435149</v>
      </c>
      <c r="Q58" s="1225">
        <f t="shared" si="63"/>
        <v>0.20712088507156245</v>
      </c>
      <c r="R58" s="1225">
        <f t="shared" si="63"/>
        <v>-3.1720691330603068E-2</v>
      </c>
      <c r="S58" s="1225">
        <f t="shared" si="63"/>
        <v>7.6438526247444294E-2</v>
      </c>
      <c r="T58" s="1225">
        <f t="shared" si="63"/>
        <v>-8.0232602333624725E-2</v>
      </c>
      <c r="U58" s="1225">
        <f t="shared" ref="U58" si="64">+U57/U50-1</f>
        <v>-4.5384821314156332E-2</v>
      </c>
      <c r="V58" s="1225"/>
      <c r="W58" s="1225"/>
      <c r="X58" s="1225"/>
      <c r="Y58" s="1225"/>
      <c r="Z58" s="1225"/>
      <c r="AA58" s="1225"/>
      <c r="AB58" s="1225"/>
      <c r="AC58" s="1225"/>
      <c r="AD58" s="1225"/>
      <c r="AE58" s="1225"/>
      <c r="AF58" s="1225"/>
      <c r="AG58" s="1225"/>
      <c r="AH58" s="838"/>
      <c r="AI58" s="838"/>
      <c r="AJ58" s="838"/>
      <c r="AK58" s="838"/>
      <c r="AL58" s="838"/>
      <c r="AM58" s="838"/>
      <c r="AN58" s="838"/>
      <c r="AO58" s="838"/>
      <c r="AP58" s="838"/>
      <c r="AQ58" s="838"/>
      <c r="AR58" s="838"/>
    </row>
    <row r="59" spans="1:44">
      <c r="A59" s="15" t="s">
        <v>921</v>
      </c>
      <c r="D59" s="92">
        <f t="shared" ref="D59:T59" si="65">+D57-D50</f>
        <v>-308.79999999999995</v>
      </c>
      <c r="E59" s="92">
        <f t="shared" si="65"/>
        <v>-116.5333333333333</v>
      </c>
      <c r="F59" s="92">
        <f t="shared" si="65"/>
        <v>51.066666666666606</v>
      </c>
      <c r="G59" s="92">
        <f t="shared" si="65"/>
        <v>5.1333333333332121</v>
      </c>
      <c r="H59" s="92">
        <f t="shared" si="65"/>
        <v>-132.80000000000018</v>
      </c>
      <c r="I59" s="92">
        <f t="shared" si="65"/>
        <v>-97.133333333333667</v>
      </c>
      <c r="J59" s="92">
        <f t="shared" si="65"/>
        <v>254.46666666666624</v>
      </c>
      <c r="K59" s="92">
        <f t="shared" si="65"/>
        <v>1629.2000000000007</v>
      </c>
      <c r="L59" s="92">
        <f t="shared" si="65"/>
        <v>2606.0666666666675</v>
      </c>
      <c r="M59" s="92">
        <f t="shared" si="65"/>
        <v>1654.2666666666669</v>
      </c>
      <c r="N59" s="92">
        <f t="shared" si="65"/>
        <v>1801</v>
      </c>
      <c r="O59" s="92">
        <f t="shared" si="65"/>
        <v>2158.9333333333334</v>
      </c>
      <c r="P59" s="92">
        <f t="shared" si="65"/>
        <v>2607.1999999999998</v>
      </c>
      <c r="Q59" s="92">
        <f t="shared" si="65"/>
        <v>1835.9333333333343</v>
      </c>
      <c r="R59" s="92">
        <f t="shared" si="65"/>
        <v>-304.66666666666606</v>
      </c>
      <c r="S59" s="92">
        <f t="shared" si="65"/>
        <v>894.73333333333358</v>
      </c>
      <c r="T59" s="92">
        <f t="shared" si="65"/>
        <v>-959.54545454545405</v>
      </c>
      <c r="U59" s="92">
        <f t="shared" ref="U59" si="66">+U57-U50</f>
        <v>-722.64646464646285</v>
      </c>
      <c r="V59" s="92"/>
      <c r="W59" s="92"/>
      <c r="X59" s="92"/>
      <c r="Y59" s="92"/>
      <c r="Z59" s="92"/>
      <c r="AA59" s="92"/>
      <c r="AB59" s="92"/>
      <c r="AC59" s="92"/>
      <c r="AD59" s="92"/>
      <c r="AE59" s="92"/>
      <c r="AF59" s="92"/>
      <c r="AG59" s="92"/>
    </row>
    <row r="60" spans="1:44">
      <c r="D60" s="92"/>
      <c r="E60" s="92"/>
      <c r="F60" s="92"/>
      <c r="G60" s="92"/>
      <c r="H60" s="92"/>
      <c r="I60" s="92"/>
      <c r="J60" s="92"/>
      <c r="K60" s="92"/>
      <c r="L60" s="92"/>
      <c r="M60" s="92"/>
      <c r="N60" s="92"/>
      <c r="O60" s="92"/>
      <c r="P60" s="92"/>
      <c r="Q60" s="92"/>
      <c r="R60" s="92"/>
      <c r="S60" s="92"/>
      <c r="T60" s="92"/>
      <c r="U60" s="92"/>
      <c r="V60" s="92"/>
      <c r="W60" s="92"/>
      <c r="X60" s="92"/>
      <c r="Y60" s="92"/>
    </row>
    <row r="61" spans="1:44" s="1" customFormat="1" ht="10.5">
      <c r="A61" s="1" t="s">
        <v>912</v>
      </c>
      <c r="D61" s="838">
        <f t="shared" ref="D61:AF61" si="67">+D50</f>
        <v>1248.8</v>
      </c>
      <c r="E61" s="838">
        <f t="shared" si="67"/>
        <v>1672.5333333333333</v>
      </c>
      <c r="F61" s="838">
        <f t="shared" si="67"/>
        <v>2010.9333333333334</v>
      </c>
      <c r="G61" s="838">
        <f t="shared" si="67"/>
        <v>2167.8666666666668</v>
      </c>
      <c r="H61" s="838">
        <f t="shared" si="67"/>
        <v>2398.8000000000002</v>
      </c>
      <c r="I61" s="838">
        <f t="shared" si="67"/>
        <v>2564.1333333333337</v>
      </c>
      <c r="J61" s="838">
        <f t="shared" si="67"/>
        <v>3000.5333333333338</v>
      </c>
      <c r="K61" s="838">
        <f t="shared" si="67"/>
        <v>3082.7999999999993</v>
      </c>
      <c r="L61" s="838">
        <f t="shared" si="67"/>
        <v>2850.9333333333325</v>
      </c>
      <c r="M61" s="838">
        <f t="shared" si="67"/>
        <v>3245.7333333333331</v>
      </c>
      <c r="N61" s="838">
        <f t="shared" si="67"/>
        <v>4299</v>
      </c>
      <c r="O61" s="838">
        <f t="shared" si="67"/>
        <v>5541.0666666666666</v>
      </c>
      <c r="P61" s="838">
        <f t="shared" si="67"/>
        <v>7092.8</v>
      </c>
      <c r="Q61" s="838">
        <f t="shared" si="67"/>
        <v>8864.0666666666657</v>
      </c>
      <c r="R61" s="838">
        <f t="shared" si="67"/>
        <v>9604.6666666666661</v>
      </c>
      <c r="S61" s="838">
        <f t="shared" si="67"/>
        <v>11705.266666666666</v>
      </c>
      <c r="T61" s="838">
        <f t="shared" si="67"/>
        <v>11959.545454545454</v>
      </c>
      <c r="U61" s="838">
        <f t="shared" ref="U61" si="68">+U50</f>
        <v>15922.646464646463</v>
      </c>
      <c r="V61" s="838">
        <f t="shared" si="67"/>
        <v>21911.116747365937</v>
      </c>
      <c r="W61" s="838">
        <f t="shared" si="67"/>
        <v>26954.906903616535</v>
      </c>
      <c r="X61" s="838">
        <f t="shared" si="67"/>
        <v>32009.142300320174</v>
      </c>
      <c r="Y61" s="838">
        <f t="shared" si="67"/>
        <v>37452.987109000482</v>
      </c>
      <c r="Z61" s="838">
        <f t="shared" si="67"/>
        <v>42843.912327797545</v>
      </c>
      <c r="AA61" s="838">
        <f t="shared" si="67"/>
        <v>47673.960580627565</v>
      </c>
      <c r="AB61" s="838">
        <f t="shared" si="67"/>
        <v>53058.891723191518</v>
      </c>
      <c r="AC61" s="838">
        <f t="shared" si="67"/>
        <v>58190.979611682043</v>
      </c>
      <c r="AD61" s="838">
        <f t="shared" si="67"/>
        <v>64290.788207345839</v>
      </c>
      <c r="AE61" s="838">
        <f t="shared" si="67"/>
        <v>70357.015201115937</v>
      </c>
      <c r="AF61" s="838">
        <f t="shared" si="67"/>
        <v>75951.485215063003</v>
      </c>
      <c r="AG61" s="838">
        <f t="shared" ref="AG61" si="69">+AG50</f>
        <v>80884.7448413026</v>
      </c>
    </row>
    <row r="62" spans="1:44" hidden="1" outlineLevel="1">
      <c r="A62" s="15"/>
    </row>
    <row r="63" spans="1:44" ht="10.5" hidden="1" outlineLevel="1">
      <c r="A63" s="45" t="s">
        <v>922</v>
      </c>
    </row>
    <row r="64" spans="1:44" hidden="1" outlineLevel="1">
      <c r="A64" t="s">
        <v>923</v>
      </c>
      <c r="D64" s="8">
        <f>+D170-SUM(D65:D94)</f>
        <v>9366</v>
      </c>
      <c r="E64" s="8">
        <f t="shared" ref="E64:Q64" si="70">+E170-SUM(E65:E94)</f>
        <v>9366</v>
      </c>
      <c r="F64" s="8">
        <f t="shared" si="70"/>
        <v>9366</v>
      </c>
      <c r="G64" s="8">
        <f t="shared" si="70"/>
        <v>9366</v>
      </c>
      <c r="H64" s="8">
        <f t="shared" si="70"/>
        <v>9366</v>
      </c>
      <c r="I64" s="8">
        <f t="shared" si="70"/>
        <v>9366</v>
      </c>
      <c r="J64" s="8">
        <f t="shared" si="70"/>
        <v>9366</v>
      </c>
      <c r="K64" s="8">
        <f t="shared" si="70"/>
        <v>9366</v>
      </c>
      <c r="L64" s="8">
        <f t="shared" si="70"/>
        <v>9366</v>
      </c>
      <c r="M64" s="8">
        <f>+M170-SUM(M65:M94)</f>
        <v>9366</v>
      </c>
      <c r="N64" s="8">
        <f t="shared" si="70"/>
        <v>9366</v>
      </c>
      <c r="O64" s="8">
        <f t="shared" si="70"/>
        <v>9366</v>
      </c>
      <c r="P64" s="8">
        <f t="shared" si="70"/>
        <v>9366</v>
      </c>
      <c r="Q64" s="8">
        <f t="shared" si="70"/>
        <v>9366</v>
      </c>
      <c r="R64" s="8">
        <f>+R170-SUM(R65:R94)</f>
        <v>9366</v>
      </c>
      <c r="S64" s="8">
        <f>+S170-SUM(S65:S94)</f>
        <v>9366</v>
      </c>
      <c r="T64" s="8">
        <f>+T170-SUM(T65:T94)</f>
        <v>9366</v>
      </c>
      <c r="U64" s="8">
        <f t="shared" ref="U64" si="71">+U170-SUM(U65:U94)</f>
        <v>9366</v>
      </c>
      <c r="V64" s="8">
        <f t="shared" ref="S64:AF83" si="72">+U64</f>
        <v>9366</v>
      </c>
      <c r="W64" s="8">
        <f t="shared" si="72"/>
        <v>9366</v>
      </c>
      <c r="X64" s="8">
        <f t="shared" si="72"/>
        <v>9366</v>
      </c>
      <c r="Y64" s="8">
        <f t="shared" si="72"/>
        <v>9366</v>
      </c>
      <c r="Z64" s="8">
        <f t="shared" si="72"/>
        <v>9366</v>
      </c>
      <c r="AA64" s="8">
        <f t="shared" si="72"/>
        <v>9366</v>
      </c>
      <c r="AB64" s="8">
        <f t="shared" si="72"/>
        <v>9366</v>
      </c>
      <c r="AC64" s="8">
        <f t="shared" si="72"/>
        <v>9366</v>
      </c>
      <c r="AD64" s="8">
        <f t="shared" si="72"/>
        <v>9366</v>
      </c>
      <c r="AE64" s="8">
        <f t="shared" si="72"/>
        <v>9366</v>
      </c>
      <c r="AF64" s="8">
        <f t="shared" si="72"/>
        <v>9366</v>
      </c>
      <c r="AG64" s="8">
        <f t="shared" ref="AG64:AG91" si="73">+AF64</f>
        <v>9366</v>
      </c>
    </row>
    <row r="65" spans="1:39" hidden="1" outlineLevel="1">
      <c r="A65" t="s">
        <v>247</v>
      </c>
      <c r="E65" s="8">
        <f>+E$16</f>
        <v>3178</v>
      </c>
      <c r="F65" s="8">
        <f>+E65</f>
        <v>3178</v>
      </c>
      <c r="G65" s="8">
        <f t="shared" ref="G65:T76" si="74">+F65</f>
        <v>3178</v>
      </c>
      <c r="H65" s="8">
        <f t="shared" si="74"/>
        <v>3178</v>
      </c>
      <c r="I65" s="8">
        <f t="shared" si="74"/>
        <v>3178</v>
      </c>
      <c r="J65" s="8">
        <f t="shared" si="74"/>
        <v>3178</v>
      </c>
      <c r="K65" s="8">
        <f t="shared" si="74"/>
        <v>3178</v>
      </c>
      <c r="L65" s="8">
        <f t="shared" si="74"/>
        <v>3178</v>
      </c>
      <c r="M65" s="8">
        <f t="shared" si="74"/>
        <v>3178</v>
      </c>
      <c r="N65" s="8">
        <f t="shared" si="74"/>
        <v>3178</v>
      </c>
      <c r="O65" s="8">
        <f t="shared" si="74"/>
        <v>3178</v>
      </c>
      <c r="P65" s="8">
        <f t="shared" si="74"/>
        <v>3178</v>
      </c>
      <c r="Q65" s="8">
        <f t="shared" si="74"/>
        <v>3178</v>
      </c>
      <c r="R65" s="8">
        <f t="shared" si="74"/>
        <v>3178</v>
      </c>
      <c r="S65" s="8">
        <f t="shared" si="74"/>
        <v>3178</v>
      </c>
      <c r="T65" s="8">
        <f t="shared" si="74"/>
        <v>3178</v>
      </c>
      <c r="U65" s="8">
        <f t="shared" ref="U65:U79" si="75">+T65</f>
        <v>3178</v>
      </c>
      <c r="V65" s="8">
        <f t="shared" si="72"/>
        <v>3178</v>
      </c>
      <c r="W65" s="8">
        <f t="shared" si="72"/>
        <v>3178</v>
      </c>
      <c r="X65" s="8">
        <f t="shared" si="72"/>
        <v>3178</v>
      </c>
      <c r="Y65" s="8">
        <f t="shared" si="72"/>
        <v>3178</v>
      </c>
      <c r="Z65" s="8">
        <f t="shared" si="72"/>
        <v>3178</v>
      </c>
      <c r="AA65" s="8">
        <f t="shared" si="72"/>
        <v>3178</v>
      </c>
      <c r="AB65" s="8">
        <f t="shared" si="72"/>
        <v>3178</v>
      </c>
      <c r="AC65" s="8">
        <f t="shared" si="72"/>
        <v>3178</v>
      </c>
      <c r="AD65" s="8">
        <f t="shared" si="72"/>
        <v>3178</v>
      </c>
      <c r="AE65" s="8">
        <f t="shared" si="72"/>
        <v>3178</v>
      </c>
      <c r="AF65" s="8">
        <f t="shared" si="72"/>
        <v>3178</v>
      </c>
      <c r="AG65" s="8">
        <f t="shared" si="73"/>
        <v>3178</v>
      </c>
    </row>
    <row r="66" spans="1:39" hidden="1" outlineLevel="1">
      <c r="A66" t="s">
        <v>248</v>
      </c>
      <c r="F66" s="8">
        <f>+F$16</f>
        <v>2538</v>
      </c>
      <c r="G66" s="8">
        <f>+F66</f>
        <v>2538</v>
      </c>
      <c r="H66" s="8">
        <f t="shared" si="74"/>
        <v>2538</v>
      </c>
      <c r="I66" s="8">
        <f t="shared" si="74"/>
        <v>2538</v>
      </c>
      <c r="J66" s="8">
        <f t="shared" si="74"/>
        <v>2538</v>
      </c>
      <c r="K66" s="8">
        <f t="shared" si="74"/>
        <v>2538</v>
      </c>
      <c r="L66" s="8">
        <f t="shared" si="74"/>
        <v>2538</v>
      </c>
      <c r="M66" s="8">
        <f t="shared" si="74"/>
        <v>2538</v>
      </c>
      <c r="N66" s="8">
        <f t="shared" si="74"/>
        <v>2538</v>
      </c>
      <c r="O66" s="8">
        <f t="shared" si="74"/>
        <v>2538</v>
      </c>
      <c r="P66" s="8">
        <f t="shared" si="74"/>
        <v>2538</v>
      </c>
      <c r="Q66" s="8">
        <f t="shared" si="74"/>
        <v>2538</v>
      </c>
      <c r="R66" s="8">
        <f t="shared" si="74"/>
        <v>2538</v>
      </c>
      <c r="S66" s="8">
        <f t="shared" si="74"/>
        <v>2538</v>
      </c>
      <c r="T66" s="8">
        <f t="shared" si="74"/>
        <v>2538</v>
      </c>
      <c r="U66" s="8">
        <f t="shared" si="75"/>
        <v>2538</v>
      </c>
      <c r="V66" s="8">
        <f t="shared" si="72"/>
        <v>2538</v>
      </c>
      <c r="W66" s="8">
        <f t="shared" si="72"/>
        <v>2538</v>
      </c>
      <c r="X66" s="8">
        <f t="shared" si="72"/>
        <v>2538</v>
      </c>
      <c r="Y66" s="8">
        <f t="shared" si="72"/>
        <v>2538</v>
      </c>
      <c r="Z66" s="8">
        <f t="shared" si="72"/>
        <v>2538</v>
      </c>
      <c r="AA66" s="8">
        <f t="shared" si="72"/>
        <v>2538</v>
      </c>
      <c r="AB66" s="8">
        <f t="shared" si="72"/>
        <v>2538</v>
      </c>
      <c r="AC66" s="8">
        <f t="shared" si="72"/>
        <v>2538</v>
      </c>
      <c r="AD66" s="8">
        <f t="shared" si="72"/>
        <v>2538</v>
      </c>
      <c r="AE66" s="8">
        <f t="shared" si="72"/>
        <v>2538</v>
      </c>
      <c r="AF66" s="8">
        <f t="shared" si="72"/>
        <v>2538</v>
      </c>
      <c r="AG66" s="8">
        <f t="shared" si="73"/>
        <v>2538</v>
      </c>
    </row>
    <row r="67" spans="1:39" hidden="1" outlineLevel="1">
      <c r="A67" t="s">
        <v>249</v>
      </c>
      <c r="G67" s="8">
        <f>+G$16</f>
        <v>1177</v>
      </c>
      <c r="H67" s="8">
        <f>+G67</f>
        <v>1177</v>
      </c>
      <c r="I67" s="8">
        <f t="shared" si="74"/>
        <v>1177</v>
      </c>
      <c r="J67" s="8">
        <f t="shared" si="74"/>
        <v>1177</v>
      </c>
      <c r="K67" s="8">
        <f t="shared" si="74"/>
        <v>1177</v>
      </c>
      <c r="L67" s="8">
        <f t="shared" si="74"/>
        <v>1177</v>
      </c>
      <c r="M67" s="8">
        <f t="shared" si="74"/>
        <v>1177</v>
      </c>
      <c r="N67" s="8">
        <f t="shared" si="74"/>
        <v>1177</v>
      </c>
      <c r="O67" s="8">
        <f t="shared" si="74"/>
        <v>1177</v>
      </c>
      <c r="P67" s="8">
        <f t="shared" si="74"/>
        <v>1177</v>
      </c>
      <c r="Q67" s="8">
        <f t="shared" si="74"/>
        <v>1177</v>
      </c>
      <c r="R67" s="8">
        <f t="shared" si="74"/>
        <v>1177</v>
      </c>
      <c r="S67" s="8">
        <f t="shared" si="74"/>
        <v>1177</v>
      </c>
      <c r="T67" s="8">
        <f t="shared" si="74"/>
        <v>1177</v>
      </c>
      <c r="U67" s="8">
        <f t="shared" si="75"/>
        <v>1177</v>
      </c>
      <c r="V67" s="8">
        <f t="shared" si="72"/>
        <v>1177</v>
      </c>
      <c r="W67" s="8">
        <f t="shared" si="72"/>
        <v>1177</v>
      </c>
      <c r="X67" s="8">
        <f t="shared" si="72"/>
        <v>1177</v>
      </c>
      <c r="Y67" s="8">
        <f t="shared" si="72"/>
        <v>1177</v>
      </c>
      <c r="Z67" s="8">
        <f t="shared" si="72"/>
        <v>1177</v>
      </c>
      <c r="AA67" s="8">
        <f t="shared" si="72"/>
        <v>1177</v>
      </c>
      <c r="AB67" s="8">
        <f t="shared" si="72"/>
        <v>1177</v>
      </c>
      <c r="AC67" s="8">
        <f t="shared" si="72"/>
        <v>1177</v>
      </c>
      <c r="AD67" s="8">
        <f t="shared" si="72"/>
        <v>1177</v>
      </c>
      <c r="AE67" s="8">
        <f t="shared" si="72"/>
        <v>1177</v>
      </c>
      <c r="AF67" s="8">
        <f t="shared" si="72"/>
        <v>1177</v>
      </c>
      <c r="AG67" s="8">
        <f t="shared" si="73"/>
        <v>1177</v>
      </c>
    </row>
    <row r="68" spans="1:39" hidden="1" outlineLevel="1">
      <c r="A68" t="s">
        <v>250</v>
      </c>
      <c r="H68" s="8">
        <f>+H$16</f>
        <v>1732</v>
      </c>
      <c r="I68" s="8">
        <f>+H68</f>
        <v>1732</v>
      </c>
      <c r="J68" s="8">
        <f t="shared" si="74"/>
        <v>1732</v>
      </c>
      <c r="K68" s="8">
        <f t="shared" si="74"/>
        <v>1732</v>
      </c>
      <c r="L68" s="8">
        <f t="shared" si="74"/>
        <v>1732</v>
      </c>
      <c r="M68" s="8">
        <f t="shared" si="74"/>
        <v>1732</v>
      </c>
      <c r="N68" s="8">
        <f t="shared" si="74"/>
        <v>1732</v>
      </c>
      <c r="O68" s="8">
        <f t="shared" si="74"/>
        <v>1732</v>
      </c>
      <c r="P68" s="8">
        <f t="shared" si="74"/>
        <v>1732</v>
      </c>
      <c r="Q68" s="8">
        <f t="shared" si="74"/>
        <v>1732</v>
      </c>
      <c r="R68" s="8">
        <f t="shared" si="74"/>
        <v>1732</v>
      </c>
      <c r="S68" s="8">
        <f t="shared" si="74"/>
        <v>1732</v>
      </c>
      <c r="T68" s="8">
        <f t="shared" si="74"/>
        <v>1732</v>
      </c>
      <c r="U68" s="8">
        <f t="shared" si="75"/>
        <v>1732</v>
      </c>
      <c r="V68" s="8">
        <f t="shared" si="72"/>
        <v>1732</v>
      </c>
      <c r="W68" s="8">
        <f t="shared" si="72"/>
        <v>1732</v>
      </c>
      <c r="X68" s="8">
        <f t="shared" si="72"/>
        <v>1732</v>
      </c>
      <c r="Y68" s="8">
        <f t="shared" si="72"/>
        <v>1732</v>
      </c>
      <c r="Z68" s="8">
        <f t="shared" si="72"/>
        <v>1732</v>
      </c>
      <c r="AA68" s="8">
        <f t="shared" si="72"/>
        <v>1732</v>
      </c>
      <c r="AB68" s="8">
        <f t="shared" si="72"/>
        <v>1732</v>
      </c>
      <c r="AC68" s="8">
        <f t="shared" si="72"/>
        <v>1732</v>
      </c>
      <c r="AD68" s="8">
        <f t="shared" si="72"/>
        <v>1732</v>
      </c>
      <c r="AE68" s="8">
        <f t="shared" si="72"/>
        <v>1732</v>
      </c>
      <c r="AF68" s="8">
        <f t="shared" si="72"/>
        <v>1732</v>
      </c>
      <c r="AG68" s="8">
        <f t="shared" si="73"/>
        <v>1732</v>
      </c>
    </row>
    <row r="69" spans="1:39" hidden="1" outlineLevel="1">
      <c r="A69" t="s">
        <v>251</v>
      </c>
      <c r="I69" s="8">
        <f>+I$16</f>
        <v>1240</v>
      </c>
      <c r="J69" s="8">
        <f>+I69</f>
        <v>1240</v>
      </c>
      <c r="K69" s="8">
        <f t="shared" si="74"/>
        <v>1240</v>
      </c>
      <c r="L69" s="8">
        <f t="shared" si="74"/>
        <v>1240</v>
      </c>
      <c r="M69" s="8">
        <f t="shared" si="74"/>
        <v>1240</v>
      </c>
      <c r="N69" s="8">
        <f t="shared" si="74"/>
        <v>1240</v>
      </c>
      <c r="O69" s="8">
        <f t="shared" si="74"/>
        <v>1240</v>
      </c>
      <c r="P69" s="8">
        <f t="shared" si="74"/>
        <v>1240</v>
      </c>
      <c r="Q69" s="8">
        <f t="shared" si="74"/>
        <v>1240</v>
      </c>
      <c r="R69" s="8">
        <f t="shared" si="74"/>
        <v>1240</v>
      </c>
      <c r="S69" s="8">
        <f t="shared" si="74"/>
        <v>1240</v>
      </c>
      <c r="T69" s="8">
        <f t="shared" si="74"/>
        <v>1240</v>
      </c>
      <c r="U69" s="8">
        <f t="shared" si="75"/>
        <v>1240</v>
      </c>
      <c r="V69" s="8">
        <f t="shared" si="72"/>
        <v>1240</v>
      </c>
      <c r="W69" s="8">
        <f t="shared" si="72"/>
        <v>1240</v>
      </c>
      <c r="X69" s="8">
        <f t="shared" si="72"/>
        <v>1240</v>
      </c>
      <c r="Y69" s="8">
        <f t="shared" si="72"/>
        <v>1240</v>
      </c>
      <c r="Z69" s="8">
        <f t="shared" si="72"/>
        <v>1240</v>
      </c>
      <c r="AA69" s="8">
        <f t="shared" si="72"/>
        <v>1240</v>
      </c>
      <c r="AB69" s="8">
        <f t="shared" si="72"/>
        <v>1240</v>
      </c>
      <c r="AC69" s="8">
        <f t="shared" si="72"/>
        <v>1240</v>
      </c>
      <c r="AD69" s="8">
        <f t="shared" si="72"/>
        <v>1240</v>
      </c>
      <c r="AE69" s="8">
        <f t="shared" si="72"/>
        <v>1240</v>
      </c>
      <c r="AF69" s="8">
        <f t="shared" si="72"/>
        <v>1240</v>
      </c>
      <c r="AG69" s="8">
        <f t="shared" si="73"/>
        <v>1240</v>
      </c>
    </row>
    <row r="70" spans="1:39" hidden="1" outlineLevel="1">
      <c r="A70" t="s">
        <v>252</v>
      </c>
      <c r="J70" s="8">
        <f>+J$16</f>
        <v>3273</v>
      </c>
      <c r="K70" s="8">
        <f>+J70</f>
        <v>3273</v>
      </c>
      <c r="L70" s="8">
        <f t="shared" si="74"/>
        <v>3273</v>
      </c>
      <c r="M70" s="8">
        <f t="shared" si="74"/>
        <v>3273</v>
      </c>
      <c r="N70" s="8">
        <f t="shared" si="74"/>
        <v>3273</v>
      </c>
      <c r="O70" s="8">
        <f t="shared" si="74"/>
        <v>3273</v>
      </c>
      <c r="P70" s="8">
        <f t="shared" si="74"/>
        <v>3273</v>
      </c>
      <c r="Q70" s="8">
        <f t="shared" si="74"/>
        <v>3273</v>
      </c>
      <c r="R70" s="8">
        <f t="shared" si="74"/>
        <v>3273</v>
      </c>
      <c r="S70" s="8">
        <f t="shared" si="74"/>
        <v>3273</v>
      </c>
      <c r="T70" s="8">
        <f t="shared" si="74"/>
        <v>3273</v>
      </c>
      <c r="U70" s="8">
        <f t="shared" si="75"/>
        <v>3273</v>
      </c>
      <c r="V70" s="8">
        <f t="shared" si="72"/>
        <v>3273</v>
      </c>
      <c r="W70" s="8">
        <f t="shared" si="72"/>
        <v>3273</v>
      </c>
      <c r="X70" s="8">
        <f t="shared" si="72"/>
        <v>3273</v>
      </c>
      <c r="Y70" s="8">
        <f t="shared" si="72"/>
        <v>3273</v>
      </c>
      <c r="Z70" s="8">
        <f t="shared" si="72"/>
        <v>3273</v>
      </c>
      <c r="AA70" s="8">
        <f t="shared" si="72"/>
        <v>3273</v>
      </c>
      <c r="AB70" s="8">
        <f t="shared" si="72"/>
        <v>3273</v>
      </c>
      <c r="AC70" s="8">
        <f t="shared" si="72"/>
        <v>3273</v>
      </c>
      <c r="AD70" s="8">
        <f t="shared" si="72"/>
        <v>3273</v>
      </c>
      <c r="AE70" s="8">
        <f t="shared" si="72"/>
        <v>3273</v>
      </c>
      <c r="AF70" s="8">
        <f t="shared" si="72"/>
        <v>3273</v>
      </c>
      <c r="AG70" s="8">
        <f t="shared" si="73"/>
        <v>3273</v>
      </c>
    </row>
    <row r="71" spans="1:39" hidden="1" outlineLevel="1">
      <c r="A71" t="s">
        <v>253</v>
      </c>
      <c r="K71" s="8">
        <f>+K$16</f>
        <v>5300</v>
      </c>
      <c r="L71" s="8">
        <f>+K71</f>
        <v>5300</v>
      </c>
      <c r="M71" s="8">
        <f t="shared" si="74"/>
        <v>5300</v>
      </c>
      <c r="N71" s="8">
        <f t="shared" si="74"/>
        <v>5300</v>
      </c>
      <c r="O71" s="8">
        <f t="shared" si="74"/>
        <v>5300</v>
      </c>
      <c r="P71" s="8">
        <f t="shared" si="74"/>
        <v>5300</v>
      </c>
      <c r="Q71" s="8">
        <f t="shared" si="74"/>
        <v>5300</v>
      </c>
      <c r="R71" s="8">
        <f t="shared" si="74"/>
        <v>5300</v>
      </c>
      <c r="S71" s="8">
        <f t="shared" si="74"/>
        <v>5300</v>
      </c>
      <c r="T71" s="8">
        <f t="shared" si="74"/>
        <v>5300</v>
      </c>
      <c r="U71" s="8">
        <f t="shared" si="75"/>
        <v>5300</v>
      </c>
      <c r="V71" s="8">
        <f t="shared" si="72"/>
        <v>5300</v>
      </c>
      <c r="W71" s="8">
        <f t="shared" si="72"/>
        <v>5300</v>
      </c>
      <c r="X71" s="8">
        <f t="shared" si="72"/>
        <v>5300</v>
      </c>
      <c r="Y71" s="8">
        <f t="shared" si="72"/>
        <v>5300</v>
      </c>
      <c r="Z71" s="8">
        <f t="shared" si="72"/>
        <v>5300</v>
      </c>
      <c r="AA71" s="8">
        <f t="shared" si="72"/>
        <v>5300</v>
      </c>
      <c r="AB71" s="8">
        <f t="shared" si="72"/>
        <v>5300</v>
      </c>
      <c r="AC71" s="8">
        <f t="shared" si="72"/>
        <v>5300</v>
      </c>
      <c r="AD71" s="8">
        <f t="shared" si="72"/>
        <v>5300</v>
      </c>
      <c r="AE71" s="8">
        <f t="shared" si="72"/>
        <v>5300</v>
      </c>
      <c r="AF71" s="8">
        <f t="shared" si="72"/>
        <v>5300</v>
      </c>
      <c r="AG71" s="8">
        <f t="shared" si="73"/>
        <v>5300</v>
      </c>
    </row>
    <row r="72" spans="1:39" hidden="1" outlineLevel="1">
      <c r="A72" t="s">
        <v>254</v>
      </c>
      <c r="L72" s="8">
        <f>+L$16</f>
        <v>4533</v>
      </c>
      <c r="M72" s="8">
        <f>+L72</f>
        <v>4533</v>
      </c>
      <c r="N72" s="8">
        <f t="shared" si="74"/>
        <v>4533</v>
      </c>
      <c r="O72" s="8">
        <f t="shared" si="74"/>
        <v>4533</v>
      </c>
      <c r="P72" s="8">
        <f t="shared" si="74"/>
        <v>4533</v>
      </c>
      <c r="Q72" s="8">
        <f t="shared" si="74"/>
        <v>4533</v>
      </c>
      <c r="R72" s="8">
        <f t="shared" si="74"/>
        <v>4533</v>
      </c>
      <c r="S72" s="8">
        <f t="shared" si="74"/>
        <v>4533</v>
      </c>
      <c r="T72" s="8">
        <f t="shared" si="74"/>
        <v>4533</v>
      </c>
      <c r="U72" s="8">
        <f t="shared" si="75"/>
        <v>4533</v>
      </c>
      <c r="V72" s="8">
        <f t="shared" si="72"/>
        <v>4533</v>
      </c>
      <c r="W72" s="8">
        <f t="shared" si="72"/>
        <v>4533</v>
      </c>
      <c r="X72" s="8">
        <f t="shared" si="72"/>
        <v>4533</v>
      </c>
      <c r="Y72" s="8">
        <f t="shared" si="72"/>
        <v>4533</v>
      </c>
      <c r="Z72" s="8">
        <f t="shared" si="72"/>
        <v>4533</v>
      </c>
      <c r="AA72" s="8">
        <f t="shared" si="72"/>
        <v>4533</v>
      </c>
      <c r="AB72" s="8">
        <f t="shared" si="72"/>
        <v>4533</v>
      </c>
      <c r="AC72" s="8">
        <f t="shared" si="72"/>
        <v>4533</v>
      </c>
      <c r="AD72" s="8">
        <f t="shared" si="72"/>
        <v>4533</v>
      </c>
      <c r="AE72" s="8">
        <f t="shared" si="72"/>
        <v>4533</v>
      </c>
      <c r="AF72" s="8">
        <f t="shared" si="72"/>
        <v>4533</v>
      </c>
      <c r="AG72" s="8">
        <f t="shared" si="73"/>
        <v>4533</v>
      </c>
    </row>
    <row r="73" spans="1:39" hidden="1" outlineLevel="1">
      <c r="A73" t="s">
        <v>255</v>
      </c>
      <c r="M73" s="8">
        <f>+M$16</f>
        <v>5819</v>
      </c>
      <c r="N73" s="8">
        <f>+M73</f>
        <v>5819</v>
      </c>
      <c r="O73" s="8">
        <f t="shared" si="74"/>
        <v>5819</v>
      </c>
      <c r="P73" s="8">
        <f t="shared" si="74"/>
        <v>5819</v>
      </c>
      <c r="Q73" s="8">
        <f t="shared" si="74"/>
        <v>5819</v>
      </c>
      <c r="R73" s="8">
        <f t="shared" si="74"/>
        <v>5819</v>
      </c>
      <c r="S73" s="8">
        <f t="shared" si="74"/>
        <v>5819</v>
      </c>
      <c r="T73" s="8">
        <f t="shared" si="74"/>
        <v>5819</v>
      </c>
      <c r="U73" s="8">
        <f t="shared" si="75"/>
        <v>5819</v>
      </c>
      <c r="V73" s="8">
        <f t="shared" si="72"/>
        <v>5819</v>
      </c>
      <c r="W73" s="8">
        <f t="shared" si="72"/>
        <v>5819</v>
      </c>
      <c r="X73" s="8">
        <f t="shared" si="72"/>
        <v>5819</v>
      </c>
      <c r="Y73" s="8">
        <f t="shared" si="72"/>
        <v>5819</v>
      </c>
      <c r="Z73" s="8">
        <f t="shared" si="72"/>
        <v>5819</v>
      </c>
      <c r="AA73" s="8">
        <f t="shared" si="72"/>
        <v>5819</v>
      </c>
      <c r="AB73" s="8">
        <f t="shared" si="72"/>
        <v>5819</v>
      </c>
      <c r="AC73" s="8">
        <f t="shared" si="72"/>
        <v>5819</v>
      </c>
      <c r="AD73" s="8">
        <f t="shared" si="72"/>
        <v>5819</v>
      </c>
      <c r="AE73" s="8">
        <f t="shared" si="72"/>
        <v>5819</v>
      </c>
      <c r="AF73" s="8">
        <f t="shared" si="72"/>
        <v>5819</v>
      </c>
      <c r="AG73" s="8">
        <f t="shared" si="73"/>
        <v>5819</v>
      </c>
    </row>
    <row r="74" spans="1:39" hidden="1" outlineLevel="1">
      <c r="A74" t="s">
        <v>256</v>
      </c>
      <c r="N74" s="8">
        <f>+N$16</f>
        <v>9757</v>
      </c>
      <c r="O74" s="8">
        <f>+N74</f>
        <v>9757</v>
      </c>
      <c r="P74" s="8">
        <f t="shared" si="74"/>
        <v>9757</v>
      </c>
      <c r="Q74" s="8">
        <f t="shared" si="74"/>
        <v>9757</v>
      </c>
      <c r="R74" s="8">
        <f t="shared" si="74"/>
        <v>9757</v>
      </c>
      <c r="S74" s="8">
        <f t="shared" si="74"/>
        <v>9757</v>
      </c>
      <c r="T74" s="8">
        <f t="shared" si="74"/>
        <v>9757</v>
      </c>
      <c r="U74" s="8">
        <f t="shared" si="75"/>
        <v>9757</v>
      </c>
      <c r="V74" s="8">
        <f t="shared" si="72"/>
        <v>9757</v>
      </c>
      <c r="W74" s="8">
        <f t="shared" si="72"/>
        <v>9757</v>
      </c>
      <c r="X74" s="8">
        <f t="shared" si="72"/>
        <v>9757</v>
      </c>
      <c r="Y74" s="8">
        <f t="shared" si="72"/>
        <v>9757</v>
      </c>
      <c r="Z74" s="8">
        <f t="shared" si="72"/>
        <v>9757</v>
      </c>
      <c r="AA74" s="8">
        <f t="shared" si="72"/>
        <v>9757</v>
      </c>
      <c r="AB74" s="8">
        <f t="shared" si="72"/>
        <v>9757</v>
      </c>
      <c r="AC74" s="8">
        <f t="shared" si="72"/>
        <v>9757</v>
      </c>
      <c r="AD74" s="8">
        <f t="shared" si="72"/>
        <v>9757</v>
      </c>
      <c r="AE74" s="8">
        <f t="shared" si="72"/>
        <v>9757</v>
      </c>
      <c r="AF74" s="8">
        <f t="shared" si="72"/>
        <v>9757</v>
      </c>
      <c r="AG74" s="8">
        <f t="shared" si="73"/>
        <v>9757</v>
      </c>
    </row>
    <row r="75" spans="1:39" hidden="1" outlineLevel="1">
      <c r="A75" t="s">
        <v>257</v>
      </c>
      <c r="O75" s="8">
        <f>+O$16</f>
        <v>10770</v>
      </c>
      <c r="P75" s="8">
        <f>+O75</f>
        <v>10770</v>
      </c>
      <c r="Q75" s="8">
        <f t="shared" si="74"/>
        <v>10770</v>
      </c>
      <c r="R75" s="8">
        <f t="shared" si="74"/>
        <v>10770</v>
      </c>
      <c r="S75" s="8">
        <f t="shared" si="74"/>
        <v>10770</v>
      </c>
      <c r="T75" s="8">
        <f t="shared" si="74"/>
        <v>10770</v>
      </c>
      <c r="U75" s="8">
        <f t="shared" si="75"/>
        <v>10770</v>
      </c>
      <c r="V75" s="8">
        <f t="shared" si="72"/>
        <v>10770</v>
      </c>
      <c r="W75" s="8">
        <f t="shared" si="72"/>
        <v>10770</v>
      </c>
      <c r="X75" s="8">
        <f t="shared" si="72"/>
        <v>10770</v>
      </c>
      <c r="Y75" s="8">
        <f t="shared" si="72"/>
        <v>10770</v>
      </c>
      <c r="Z75" s="8">
        <f t="shared" si="72"/>
        <v>10770</v>
      </c>
      <c r="AA75" s="8">
        <f t="shared" si="72"/>
        <v>10770</v>
      </c>
      <c r="AB75" s="8">
        <f t="shared" si="72"/>
        <v>10770</v>
      </c>
      <c r="AC75" s="8">
        <f t="shared" si="72"/>
        <v>10770</v>
      </c>
      <c r="AD75" s="8">
        <f t="shared" si="72"/>
        <v>10770</v>
      </c>
      <c r="AE75" s="8">
        <f t="shared" si="72"/>
        <v>10770</v>
      </c>
      <c r="AF75" s="8">
        <f t="shared" si="72"/>
        <v>10770</v>
      </c>
      <c r="AG75" s="8">
        <f t="shared" si="73"/>
        <v>10770</v>
      </c>
      <c r="AH75" s="8"/>
    </row>
    <row r="76" spans="1:39" hidden="1" outlineLevel="1">
      <c r="A76" t="s">
        <v>258</v>
      </c>
      <c r="P76" s="8">
        <f>+P$16</f>
        <v>13124</v>
      </c>
      <c r="Q76" s="8">
        <f>+P76</f>
        <v>13124</v>
      </c>
      <c r="R76" s="8">
        <f t="shared" si="74"/>
        <v>13124</v>
      </c>
      <c r="S76" s="8">
        <f t="shared" si="74"/>
        <v>13124</v>
      </c>
      <c r="T76" s="8">
        <f t="shared" si="74"/>
        <v>13124</v>
      </c>
      <c r="U76" s="8">
        <f t="shared" si="75"/>
        <v>13124</v>
      </c>
      <c r="V76" s="8">
        <f t="shared" si="72"/>
        <v>13124</v>
      </c>
      <c r="W76" s="8">
        <f t="shared" si="72"/>
        <v>13124</v>
      </c>
      <c r="X76" s="8">
        <f t="shared" si="72"/>
        <v>13124</v>
      </c>
      <c r="Y76" s="8">
        <f t="shared" si="72"/>
        <v>13124</v>
      </c>
      <c r="Z76" s="8">
        <f t="shared" si="72"/>
        <v>13124</v>
      </c>
      <c r="AA76" s="8">
        <f t="shared" si="72"/>
        <v>13124</v>
      </c>
      <c r="AB76" s="8">
        <f t="shared" si="72"/>
        <v>13124</v>
      </c>
      <c r="AC76" s="8">
        <f t="shared" si="72"/>
        <v>13124</v>
      </c>
      <c r="AD76" s="8">
        <f t="shared" si="72"/>
        <v>13124</v>
      </c>
      <c r="AE76" s="8">
        <f t="shared" si="72"/>
        <v>13124</v>
      </c>
      <c r="AF76" s="8">
        <f t="shared" si="72"/>
        <v>13124</v>
      </c>
      <c r="AG76" s="8">
        <f t="shared" si="73"/>
        <v>13124</v>
      </c>
      <c r="AH76" s="8"/>
      <c r="AI76" s="8"/>
    </row>
    <row r="77" spans="1:39" hidden="1" outlineLevel="1">
      <c r="A77" t="s">
        <v>259</v>
      </c>
      <c r="Q77" s="8">
        <f>+Q$16</f>
        <v>15541</v>
      </c>
      <c r="R77" s="8">
        <f>+Q77</f>
        <v>15541</v>
      </c>
      <c r="S77" s="8">
        <f t="shared" si="72"/>
        <v>15541</v>
      </c>
      <c r="T77" s="8">
        <f t="shared" si="72"/>
        <v>15541</v>
      </c>
      <c r="U77" s="8">
        <f t="shared" si="75"/>
        <v>15541</v>
      </c>
      <c r="V77" s="8">
        <f t="shared" si="72"/>
        <v>15541</v>
      </c>
      <c r="W77" s="8">
        <f t="shared" si="72"/>
        <v>15541</v>
      </c>
      <c r="X77" s="8">
        <f t="shared" si="72"/>
        <v>15541</v>
      </c>
      <c r="Y77" s="8">
        <f t="shared" si="72"/>
        <v>15541</v>
      </c>
      <c r="Z77" s="8">
        <f t="shared" si="72"/>
        <v>15541</v>
      </c>
      <c r="AA77" s="8">
        <f t="shared" si="72"/>
        <v>15541</v>
      </c>
      <c r="AB77" s="8">
        <f t="shared" si="72"/>
        <v>15541</v>
      </c>
      <c r="AC77" s="8">
        <f t="shared" si="72"/>
        <v>15541</v>
      </c>
      <c r="AD77" s="8">
        <f t="shared" si="72"/>
        <v>15541</v>
      </c>
      <c r="AE77" s="8">
        <f t="shared" si="72"/>
        <v>15541</v>
      </c>
      <c r="AF77" s="8">
        <f t="shared" si="72"/>
        <v>15541</v>
      </c>
      <c r="AG77" s="8">
        <f t="shared" si="73"/>
        <v>15541</v>
      </c>
      <c r="AH77" s="8"/>
      <c r="AI77" s="8"/>
      <c r="AJ77" s="8"/>
    </row>
    <row r="78" spans="1:39" hidden="1" outlineLevel="1">
      <c r="A78" t="s">
        <v>260</v>
      </c>
      <c r="R78" s="8">
        <f>+R$16</f>
        <v>23718</v>
      </c>
      <c r="S78" s="8">
        <f>+R78</f>
        <v>23718</v>
      </c>
      <c r="T78" s="8">
        <f t="shared" si="72"/>
        <v>23718</v>
      </c>
      <c r="U78" s="8">
        <f t="shared" si="75"/>
        <v>23718</v>
      </c>
      <c r="V78" s="8">
        <f t="shared" si="72"/>
        <v>23718</v>
      </c>
      <c r="W78" s="8">
        <f t="shared" si="72"/>
        <v>23718</v>
      </c>
      <c r="X78" s="8">
        <f t="shared" si="72"/>
        <v>23718</v>
      </c>
      <c r="Y78" s="8">
        <f t="shared" si="72"/>
        <v>23718</v>
      </c>
      <c r="Z78" s="8">
        <f t="shared" si="72"/>
        <v>23718</v>
      </c>
      <c r="AA78" s="8">
        <f t="shared" si="72"/>
        <v>23718</v>
      </c>
      <c r="AB78" s="8">
        <f t="shared" si="72"/>
        <v>23718</v>
      </c>
      <c r="AC78" s="8">
        <f t="shared" si="72"/>
        <v>23718</v>
      </c>
      <c r="AD78" s="8">
        <f t="shared" si="72"/>
        <v>23718</v>
      </c>
      <c r="AE78" s="8">
        <f t="shared" si="72"/>
        <v>23718</v>
      </c>
      <c r="AF78" s="8">
        <f t="shared" si="72"/>
        <v>23718</v>
      </c>
      <c r="AG78" s="8">
        <f t="shared" si="73"/>
        <v>23718</v>
      </c>
      <c r="AH78" s="8"/>
      <c r="AI78" s="8"/>
      <c r="AJ78" s="8"/>
      <c r="AK78" s="8"/>
    </row>
    <row r="79" spans="1:39" hidden="1" outlineLevel="1">
      <c r="A79" t="s">
        <v>109</v>
      </c>
      <c r="S79" s="8">
        <f>+S$16</f>
        <v>22992</v>
      </c>
      <c r="T79" s="8">
        <f>+S79</f>
        <v>22992</v>
      </c>
      <c r="U79" s="8">
        <f t="shared" si="75"/>
        <v>22992</v>
      </c>
      <c r="V79" s="8">
        <f t="shared" si="72"/>
        <v>22992</v>
      </c>
      <c r="W79" s="8">
        <f t="shared" si="72"/>
        <v>22992</v>
      </c>
      <c r="X79" s="8">
        <f t="shared" si="72"/>
        <v>22992</v>
      </c>
      <c r="Y79" s="8">
        <f t="shared" si="72"/>
        <v>22992</v>
      </c>
      <c r="Z79" s="8">
        <f t="shared" si="72"/>
        <v>22992</v>
      </c>
      <c r="AA79" s="8">
        <f t="shared" si="72"/>
        <v>22992</v>
      </c>
      <c r="AB79" s="8">
        <f t="shared" si="72"/>
        <v>22992</v>
      </c>
      <c r="AC79" s="8">
        <f t="shared" si="72"/>
        <v>22992</v>
      </c>
      <c r="AD79" s="8">
        <f t="shared" si="72"/>
        <v>22992</v>
      </c>
      <c r="AE79" s="8">
        <f t="shared" si="72"/>
        <v>22992</v>
      </c>
      <c r="AF79" s="8">
        <f t="shared" si="72"/>
        <v>22992</v>
      </c>
      <c r="AG79" s="8">
        <f t="shared" si="73"/>
        <v>22992</v>
      </c>
      <c r="AH79" s="8"/>
      <c r="AI79" s="8"/>
      <c r="AJ79" s="8"/>
      <c r="AK79" s="8"/>
      <c r="AL79" s="8"/>
    </row>
    <row r="80" spans="1:39" hidden="1" outlineLevel="1">
      <c r="A80" t="s">
        <v>190</v>
      </c>
      <c r="T80" s="8">
        <f>+T$16</f>
        <v>29834</v>
      </c>
      <c r="U80" s="8">
        <f t="shared" ref="U80" si="76">+T80</f>
        <v>29834</v>
      </c>
      <c r="V80" s="8">
        <f t="shared" si="72"/>
        <v>29834</v>
      </c>
      <c r="W80" s="8">
        <f t="shared" si="72"/>
        <v>29834</v>
      </c>
      <c r="X80" s="8">
        <f t="shared" si="72"/>
        <v>29834</v>
      </c>
      <c r="Y80" s="8">
        <f t="shared" si="72"/>
        <v>29834</v>
      </c>
      <c r="Z80" s="8">
        <f t="shared" si="72"/>
        <v>29834</v>
      </c>
      <c r="AA80" s="8">
        <f t="shared" si="72"/>
        <v>29834</v>
      </c>
      <c r="AB80" s="8">
        <f t="shared" si="72"/>
        <v>29834</v>
      </c>
      <c r="AC80" s="8">
        <f t="shared" si="72"/>
        <v>29834</v>
      </c>
      <c r="AD80" s="8">
        <f t="shared" si="72"/>
        <v>29834</v>
      </c>
      <c r="AE80" s="8">
        <f t="shared" si="72"/>
        <v>29834</v>
      </c>
      <c r="AF80" s="8">
        <f t="shared" si="72"/>
        <v>29834</v>
      </c>
      <c r="AG80" s="8">
        <f t="shared" si="73"/>
        <v>29834</v>
      </c>
      <c r="AH80" s="8"/>
      <c r="AI80" s="8"/>
      <c r="AJ80" s="8"/>
      <c r="AK80" s="8"/>
      <c r="AL80" s="8"/>
      <c r="AM80" s="8"/>
    </row>
    <row r="81" spans="1:44" hidden="1" outlineLevel="1">
      <c r="A81" t="s">
        <v>191</v>
      </c>
      <c r="U81" s="8">
        <f>+U$16</f>
        <v>48120</v>
      </c>
      <c r="V81" s="8">
        <f>+U81</f>
        <v>48120</v>
      </c>
      <c r="W81" s="8">
        <f t="shared" si="72"/>
        <v>48120</v>
      </c>
      <c r="X81" s="8">
        <f t="shared" si="72"/>
        <v>48120</v>
      </c>
      <c r="Y81" s="8">
        <f t="shared" si="72"/>
        <v>48120</v>
      </c>
      <c r="Z81" s="8">
        <f t="shared" si="72"/>
        <v>48120</v>
      </c>
      <c r="AA81" s="8">
        <f t="shared" si="72"/>
        <v>48120</v>
      </c>
      <c r="AB81" s="8">
        <f t="shared" si="72"/>
        <v>48120</v>
      </c>
      <c r="AC81" s="8">
        <f t="shared" si="72"/>
        <v>48120</v>
      </c>
      <c r="AD81" s="8">
        <f t="shared" si="72"/>
        <v>48120</v>
      </c>
      <c r="AE81" s="8">
        <f t="shared" si="72"/>
        <v>48120</v>
      </c>
      <c r="AF81" s="8">
        <f t="shared" si="72"/>
        <v>48120</v>
      </c>
      <c r="AG81" s="8">
        <f t="shared" si="73"/>
        <v>48120</v>
      </c>
      <c r="AH81" s="8"/>
      <c r="AI81" s="8"/>
      <c r="AJ81" s="8"/>
      <c r="AK81" s="8"/>
      <c r="AL81" s="8"/>
      <c r="AM81" s="8"/>
      <c r="AN81" s="8"/>
    </row>
    <row r="82" spans="1:44" hidden="1" outlineLevel="1">
      <c r="A82" t="s">
        <v>72</v>
      </c>
      <c r="V82" s="8">
        <f>+V$16</f>
        <v>70201.795332136448</v>
      </c>
      <c r="W82" s="8">
        <f>+V82</f>
        <v>70201.795332136448</v>
      </c>
      <c r="X82" s="8">
        <f t="shared" si="72"/>
        <v>70201.795332136448</v>
      </c>
      <c r="Y82" s="8">
        <f t="shared" si="72"/>
        <v>70201.795332136448</v>
      </c>
      <c r="Z82" s="8">
        <f t="shared" si="72"/>
        <v>70201.795332136448</v>
      </c>
      <c r="AA82" s="8">
        <f t="shared" si="72"/>
        <v>70201.795332136448</v>
      </c>
      <c r="AB82" s="8">
        <f t="shared" si="72"/>
        <v>70201.795332136448</v>
      </c>
      <c r="AC82" s="8">
        <f t="shared" si="72"/>
        <v>70201.795332136448</v>
      </c>
      <c r="AD82" s="8">
        <f t="shared" si="72"/>
        <v>70201.795332136448</v>
      </c>
      <c r="AE82" s="8">
        <f t="shared" si="72"/>
        <v>70201.795332136448</v>
      </c>
      <c r="AF82" s="8">
        <f t="shared" si="72"/>
        <v>70201.795332136448</v>
      </c>
      <c r="AG82" s="8">
        <f t="shared" si="73"/>
        <v>70201.795332136448</v>
      </c>
      <c r="AH82" s="8"/>
      <c r="AI82" s="8"/>
      <c r="AJ82" s="8"/>
      <c r="AK82" s="8"/>
      <c r="AL82" s="8"/>
      <c r="AM82" s="8"/>
      <c r="AN82" s="8"/>
      <c r="AO82" s="8"/>
    </row>
    <row r="83" spans="1:44" hidden="1" outlineLevel="1">
      <c r="A83" t="s">
        <v>73</v>
      </c>
      <c r="W83" s="8">
        <f>+W$16</f>
        <v>62203.180607645467</v>
      </c>
      <c r="X83" s="8">
        <f>+W83</f>
        <v>62203.180607645467</v>
      </c>
      <c r="Y83" s="8">
        <f t="shared" si="72"/>
        <v>62203.180607645467</v>
      </c>
      <c r="Z83" s="8">
        <f t="shared" si="72"/>
        <v>62203.180607645467</v>
      </c>
      <c r="AA83" s="8">
        <f t="shared" si="72"/>
        <v>62203.180607645467</v>
      </c>
      <c r="AB83" s="8">
        <f t="shared" si="72"/>
        <v>62203.180607645467</v>
      </c>
      <c r="AC83" s="8">
        <f t="shared" si="72"/>
        <v>62203.180607645467</v>
      </c>
      <c r="AD83" s="8">
        <f t="shared" ref="AD83:AF83" si="77">+AC83</f>
        <v>62203.180607645467</v>
      </c>
      <c r="AE83" s="8">
        <f t="shared" si="77"/>
        <v>62203.180607645467</v>
      </c>
      <c r="AF83" s="8">
        <f t="shared" si="77"/>
        <v>62203.180607645467</v>
      </c>
      <c r="AG83" s="8">
        <f t="shared" si="73"/>
        <v>62203.180607645467</v>
      </c>
      <c r="AH83" s="8"/>
      <c r="AI83" s="8"/>
      <c r="AJ83" s="8"/>
      <c r="AK83" s="8"/>
      <c r="AL83" s="8"/>
      <c r="AM83" s="8"/>
      <c r="AN83" s="8"/>
      <c r="AO83" s="8"/>
      <c r="AP83" s="8"/>
    </row>
    <row r="84" spans="1:44" hidden="1" outlineLevel="1">
      <c r="A84" t="s">
        <v>74</v>
      </c>
      <c r="X84" s="8">
        <f>+X$16</f>
        <v>64691.256030406716</v>
      </c>
      <c r="Y84" s="8">
        <f>+X84</f>
        <v>64691.256030406716</v>
      </c>
      <c r="Z84" s="8">
        <f t="shared" ref="Z84:AF90" si="78">+Y84</f>
        <v>64691.256030406716</v>
      </c>
      <c r="AA84" s="8">
        <f t="shared" si="78"/>
        <v>64691.256030406716</v>
      </c>
      <c r="AB84" s="8">
        <f t="shared" si="78"/>
        <v>64691.256030406716</v>
      </c>
      <c r="AC84" s="8">
        <f t="shared" si="78"/>
        <v>64691.256030406716</v>
      </c>
      <c r="AD84" s="8">
        <f t="shared" si="78"/>
        <v>64691.256030406716</v>
      </c>
      <c r="AE84" s="8">
        <f t="shared" si="78"/>
        <v>64691.256030406716</v>
      </c>
      <c r="AF84" s="8">
        <f t="shared" si="78"/>
        <v>64691.256030406716</v>
      </c>
      <c r="AG84" s="8">
        <f t="shared" si="73"/>
        <v>64691.256030406716</v>
      </c>
      <c r="AH84" s="8"/>
      <c r="AI84" s="8"/>
      <c r="AJ84" s="8"/>
      <c r="AK84" s="8"/>
      <c r="AL84" s="8"/>
      <c r="AM84" s="8"/>
      <c r="AN84" s="8"/>
      <c r="AO84" s="8"/>
      <c r="AP84" s="8"/>
      <c r="AQ84" s="8"/>
    </row>
    <row r="85" spans="1:44" hidden="1" outlineLevel="1">
      <c r="A85" t="s">
        <v>75</v>
      </c>
      <c r="Y85" s="8">
        <f>+Y$16</f>
        <v>66515.58178437216</v>
      </c>
      <c r="Z85" s="8">
        <f>+Y85</f>
        <v>66515.58178437216</v>
      </c>
      <c r="AA85" s="8">
        <f t="shared" si="78"/>
        <v>66515.58178437216</v>
      </c>
      <c r="AB85" s="8">
        <f t="shared" si="78"/>
        <v>66515.58178437216</v>
      </c>
      <c r="AC85" s="8">
        <f t="shared" si="78"/>
        <v>66515.58178437216</v>
      </c>
      <c r="AD85" s="8">
        <f t="shared" si="78"/>
        <v>66515.58178437216</v>
      </c>
      <c r="AE85" s="8">
        <f t="shared" si="78"/>
        <v>66515.58178437216</v>
      </c>
      <c r="AF85" s="8">
        <f t="shared" si="78"/>
        <v>66515.58178437216</v>
      </c>
      <c r="AG85" s="8">
        <f t="shared" si="73"/>
        <v>66515.58178437216</v>
      </c>
      <c r="AH85" s="8"/>
      <c r="AI85" s="8"/>
      <c r="AJ85" s="8"/>
      <c r="AK85" s="8"/>
      <c r="AL85" s="8"/>
      <c r="AM85" s="8"/>
      <c r="AN85" s="8"/>
      <c r="AO85" s="8"/>
      <c r="AP85" s="8"/>
      <c r="AQ85" s="8"/>
      <c r="AR85" s="8"/>
    </row>
    <row r="86" spans="1:44" hidden="1" outlineLevel="1">
      <c r="A86" t="s">
        <v>76</v>
      </c>
      <c r="Y86" s="8"/>
      <c r="Z86" s="8">
        <f>+Z$16</f>
        <v>67466.221851212162</v>
      </c>
      <c r="AA86" s="8">
        <f>+Z86</f>
        <v>67466.221851212162</v>
      </c>
      <c r="AB86" s="8">
        <f t="shared" si="78"/>
        <v>67466.221851212162</v>
      </c>
      <c r="AC86" s="8">
        <f t="shared" si="78"/>
        <v>67466.221851212162</v>
      </c>
      <c r="AD86" s="8">
        <f t="shared" si="78"/>
        <v>67466.221851212162</v>
      </c>
      <c r="AE86" s="8">
        <f t="shared" si="78"/>
        <v>67466.221851212162</v>
      </c>
      <c r="AF86" s="8">
        <f t="shared" si="78"/>
        <v>67466.221851212162</v>
      </c>
      <c r="AG86" s="8">
        <f t="shared" si="73"/>
        <v>67466.221851212162</v>
      </c>
      <c r="AH86" s="8"/>
      <c r="AI86" s="8"/>
      <c r="AJ86" s="8"/>
      <c r="AK86" s="8"/>
      <c r="AL86" s="8"/>
      <c r="AM86" s="8"/>
      <c r="AN86" s="8"/>
      <c r="AO86" s="8"/>
      <c r="AP86" s="8"/>
      <c r="AQ86" s="8"/>
      <c r="AR86" s="8"/>
    </row>
    <row r="87" spans="1:44" hidden="1" outlineLevel="1">
      <c r="A87" t="s">
        <v>77</v>
      </c>
      <c r="Y87" s="8"/>
      <c r="Z87" s="8"/>
      <c r="AA87" s="8">
        <f>+AA$16</f>
        <v>67290.10855890809</v>
      </c>
      <c r="AB87" s="8">
        <f>+AA87</f>
        <v>67290.10855890809</v>
      </c>
      <c r="AC87" s="8">
        <f t="shared" si="78"/>
        <v>67290.10855890809</v>
      </c>
      <c r="AD87" s="8">
        <f t="shared" si="78"/>
        <v>67290.10855890809</v>
      </c>
      <c r="AE87" s="8">
        <f t="shared" si="78"/>
        <v>67290.10855890809</v>
      </c>
      <c r="AF87" s="8">
        <f t="shared" si="78"/>
        <v>67290.10855890809</v>
      </c>
      <c r="AG87" s="8">
        <f t="shared" si="73"/>
        <v>67290.10855890809</v>
      </c>
      <c r="AH87" s="8"/>
      <c r="AI87" s="8"/>
      <c r="AJ87" s="8"/>
      <c r="AK87" s="8"/>
      <c r="AL87" s="8"/>
      <c r="AM87" s="8"/>
      <c r="AN87" s="8"/>
      <c r="AO87" s="8"/>
      <c r="AP87" s="8"/>
      <c r="AQ87" s="8"/>
      <c r="AR87" s="8"/>
    </row>
    <row r="88" spans="1:44" hidden="1" outlineLevel="1">
      <c r="A88" t="s">
        <v>78</v>
      </c>
      <c r="Y88" s="8"/>
      <c r="Z88" s="8"/>
      <c r="AA88" s="8"/>
      <c r="AB88" s="8">
        <f>+AB$16</f>
        <v>71156.998123758924</v>
      </c>
      <c r="AC88" s="8">
        <f>+AB88</f>
        <v>71156.998123758924</v>
      </c>
      <c r="AD88" s="8">
        <f t="shared" si="78"/>
        <v>71156.998123758924</v>
      </c>
      <c r="AE88" s="8">
        <f t="shared" si="78"/>
        <v>71156.998123758924</v>
      </c>
      <c r="AF88" s="8">
        <f t="shared" si="78"/>
        <v>71156.998123758924</v>
      </c>
      <c r="AG88" s="8">
        <f t="shared" si="73"/>
        <v>71156.998123758924</v>
      </c>
      <c r="AH88" s="8"/>
      <c r="AI88" s="8"/>
      <c r="AJ88" s="8"/>
      <c r="AK88" s="8"/>
      <c r="AL88" s="8"/>
      <c r="AM88" s="8"/>
      <c r="AN88" s="8"/>
      <c r="AO88" s="8"/>
      <c r="AP88" s="8"/>
      <c r="AQ88" s="8"/>
      <c r="AR88" s="8"/>
    </row>
    <row r="89" spans="1:44" hidden="1" outlineLevel="1">
      <c r="A89" t="s">
        <v>79</v>
      </c>
      <c r="Y89" s="8"/>
      <c r="Z89" s="8"/>
      <c r="AA89" s="8"/>
      <c r="AB89" s="8"/>
      <c r="AC89" s="8">
        <f>+AC$16</f>
        <v>74738.966773395805</v>
      </c>
      <c r="AD89" s="8">
        <f>+AC89</f>
        <v>74738.966773395805</v>
      </c>
      <c r="AE89" s="8">
        <f t="shared" si="78"/>
        <v>74738.966773395805</v>
      </c>
      <c r="AF89" s="8">
        <f t="shared" si="78"/>
        <v>74738.966773395805</v>
      </c>
      <c r="AG89" s="8">
        <f t="shared" si="73"/>
        <v>74738.966773395805</v>
      </c>
      <c r="AH89" s="8"/>
      <c r="AI89" s="8"/>
      <c r="AJ89" s="8"/>
      <c r="AK89" s="8"/>
      <c r="AL89" s="8"/>
      <c r="AM89" s="8"/>
      <c r="AN89" s="8"/>
      <c r="AO89" s="8"/>
      <c r="AP89" s="8"/>
      <c r="AQ89" s="8"/>
      <c r="AR89" s="8"/>
    </row>
    <row r="90" spans="1:44" hidden="1" outlineLevel="1">
      <c r="A90" t="s">
        <v>80</v>
      </c>
      <c r="Y90" s="8"/>
      <c r="Z90" s="8"/>
      <c r="AA90" s="8"/>
      <c r="AB90" s="8"/>
      <c r="AC90" s="8"/>
      <c r="AD90" s="8">
        <f>+AD$16</f>
        <v>84980.561218968491</v>
      </c>
      <c r="AE90" s="8">
        <f>+AD90</f>
        <v>84980.561218968491</v>
      </c>
      <c r="AF90" s="8">
        <f t="shared" si="78"/>
        <v>84980.561218968491</v>
      </c>
      <c r="AG90" s="8">
        <f t="shared" si="73"/>
        <v>84980.561218968491</v>
      </c>
      <c r="AH90" s="8"/>
      <c r="AI90" s="8"/>
      <c r="AJ90" s="8"/>
      <c r="AK90" s="8"/>
      <c r="AL90" s="8"/>
      <c r="AM90" s="8"/>
      <c r="AN90" s="8"/>
      <c r="AO90" s="8"/>
      <c r="AP90" s="8"/>
      <c r="AQ90" s="8"/>
      <c r="AR90" s="8"/>
    </row>
    <row r="91" spans="1:44" hidden="1" outlineLevel="1">
      <c r="A91" t="s">
        <v>81</v>
      </c>
      <c r="Y91" s="8"/>
      <c r="Z91" s="8"/>
      <c r="AA91" s="8"/>
      <c r="AB91" s="8"/>
      <c r="AC91" s="8"/>
      <c r="AD91" s="8"/>
      <c r="AE91" s="8">
        <f>+AE$16</f>
        <v>96562.496931471163</v>
      </c>
      <c r="AF91" s="8">
        <f>+AE91</f>
        <v>96562.496931471163</v>
      </c>
      <c r="AG91" s="8">
        <f t="shared" si="73"/>
        <v>96562.496931471163</v>
      </c>
      <c r="AH91" s="8"/>
      <c r="AI91" s="8"/>
      <c r="AJ91" s="8"/>
      <c r="AK91" s="8"/>
      <c r="AL91" s="8"/>
      <c r="AM91" s="8"/>
      <c r="AN91" s="8"/>
      <c r="AO91" s="8"/>
      <c r="AP91" s="8"/>
      <c r="AQ91" s="8"/>
      <c r="AR91" s="8"/>
    </row>
    <row r="92" spans="1:44" hidden="1" outlineLevel="1">
      <c r="A92" t="s">
        <v>82</v>
      </c>
      <c r="Y92" s="8"/>
      <c r="Z92" s="8"/>
      <c r="AA92" s="8"/>
      <c r="AB92" s="8"/>
      <c r="AC92" s="8"/>
      <c r="AD92" s="8"/>
      <c r="AE92" s="8"/>
      <c r="AF92" s="8">
        <f>+AF$16</f>
        <v>109659.17015341781</v>
      </c>
      <c r="AG92" s="8">
        <f>+AF92</f>
        <v>109659.17015341781</v>
      </c>
      <c r="AH92" s="8"/>
      <c r="AI92" s="8"/>
      <c r="AJ92" s="8"/>
      <c r="AK92" s="8"/>
      <c r="AL92" s="8"/>
      <c r="AM92" s="8"/>
      <c r="AN92" s="8"/>
      <c r="AO92" s="8"/>
      <c r="AP92" s="8"/>
      <c r="AQ92" s="8"/>
      <c r="AR92" s="8"/>
    </row>
    <row r="93" spans="1:44" hidden="1" outlineLevel="1">
      <c r="A93" t="s">
        <v>83</v>
      </c>
      <c r="Y93" s="8"/>
      <c r="Z93" s="8"/>
      <c r="AA93" s="8"/>
      <c r="AB93" s="8"/>
      <c r="AC93" s="8"/>
      <c r="AD93" s="8"/>
      <c r="AE93" s="8"/>
      <c r="AF93" s="8"/>
      <c r="AG93" s="8">
        <f>+AG$16</f>
        <v>124467.65122077205</v>
      </c>
      <c r="AH93" s="8"/>
      <c r="AI93" s="8"/>
      <c r="AJ93" s="8"/>
      <c r="AK93" s="8"/>
      <c r="AL93" s="8"/>
      <c r="AM93" s="8"/>
      <c r="AN93" s="8"/>
      <c r="AO93" s="8"/>
      <c r="AP93" s="8"/>
      <c r="AQ93" s="8"/>
      <c r="AR93" s="8"/>
    </row>
    <row r="94" spans="1:44" hidden="1" outlineLevel="1">
      <c r="A94" t="s">
        <v>911</v>
      </c>
      <c r="Y94" s="8"/>
      <c r="Z94" s="8"/>
      <c r="AA94" s="8"/>
      <c r="AB94" s="8"/>
      <c r="AC94" s="8"/>
      <c r="AD94" s="8"/>
      <c r="AE94" s="8"/>
      <c r="AF94" s="8"/>
      <c r="AG94" s="8"/>
      <c r="AH94" s="8"/>
      <c r="AI94" s="8"/>
      <c r="AJ94" s="8"/>
      <c r="AK94" s="8"/>
      <c r="AL94" s="8"/>
      <c r="AM94" s="8"/>
      <c r="AN94" s="8"/>
      <c r="AO94" s="8"/>
      <c r="AP94" s="8"/>
      <c r="AQ94" s="8"/>
      <c r="AR94" s="8"/>
    </row>
    <row r="95" spans="1:44" hidden="1" outlineLevel="1"/>
    <row r="96" spans="1:44" ht="10.5" hidden="1" outlineLevel="1">
      <c r="A96" s="45" t="s">
        <v>924</v>
      </c>
    </row>
    <row r="97" spans="1:38" hidden="1" outlineLevel="1">
      <c r="A97" t="str">
        <f>+A64</f>
        <v>FY07 and prior</v>
      </c>
      <c r="D97" s="8">
        <f>+SUM($C19:D19)</f>
        <v>1248.8</v>
      </c>
      <c r="E97" s="8">
        <f>+SUM($C19:E19)</f>
        <v>2497.6</v>
      </c>
      <c r="F97" s="8">
        <f>+SUM($C19:F19)</f>
        <v>3746.3999999999996</v>
      </c>
      <c r="G97" s="8">
        <f>+SUM($C19:G19)</f>
        <v>4995.2</v>
      </c>
      <c r="H97" s="8">
        <f>+SUM($C19:H19)</f>
        <v>6244</v>
      </c>
      <c r="I97" s="8">
        <f>+SUM($C19:I19)</f>
        <v>7492.8</v>
      </c>
      <c r="J97" s="8">
        <f>+SUM($C19:J19)</f>
        <v>8741.6</v>
      </c>
      <c r="K97" s="8">
        <f>+SUM($C19:K19)</f>
        <v>9366</v>
      </c>
      <c r="L97" s="8">
        <f>+SUM($C19:L19)</f>
        <v>9366</v>
      </c>
      <c r="M97" s="8">
        <f>+SUM($C19:M19)</f>
        <v>9366</v>
      </c>
      <c r="N97" s="8">
        <f>+SUM($C19:N19)</f>
        <v>9366</v>
      </c>
      <c r="O97" s="8">
        <f>+SUM($C19:O19)</f>
        <v>9366</v>
      </c>
      <c r="P97" s="8">
        <f>+SUM($C19:P19)</f>
        <v>9366</v>
      </c>
      <c r="Q97" s="8">
        <f>+SUM($C19:Q19)</f>
        <v>9366</v>
      </c>
      <c r="R97" s="8">
        <f>+SUM($C19:R19)</f>
        <v>9366</v>
      </c>
      <c r="S97" s="8">
        <f>+SUM($C19:S19)</f>
        <v>9366</v>
      </c>
      <c r="T97" s="8">
        <f>+SUM($C19:T19)</f>
        <v>9366</v>
      </c>
      <c r="U97" s="8">
        <f>+SUM($C19:U19)</f>
        <v>9366</v>
      </c>
      <c r="V97" s="8">
        <f>+SUM($C19:V19)</f>
        <v>9366</v>
      </c>
      <c r="W97" s="8">
        <f>+SUM($C19:W19)</f>
        <v>9366</v>
      </c>
      <c r="X97" s="8">
        <f>+SUM($C19:X19)</f>
        <v>9366</v>
      </c>
      <c r="Y97" s="8">
        <f>+SUM($C19:Y19)</f>
        <v>9366</v>
      </c>
      <c r="Z97" s="8">
        <f>+SUM($C19:Z19)</f>
        <v>9366</v>
      </c>
      <c r="AA97" s="8">
        <f>+SUM($C19:AA19)</f>
        <v>9366</v>
      </c>
      <c r="AB97" s="8">
        <f>+SUM($C19:AB19)</f>
        <v>9366</v>
      </c>
      <c r="AC97" s="8">
        <f>+SUM($C19:AC19)</f>
        <v>9366</v>
      </c>
      <c r="AD97" s="8">
        <f>+SUM($C19:AD19)</f>
        <v>9366</v>
      </c>
      <c r="AE97" s="8">
        <f>+SUM($C19:AE19)</f>
        <v>9366</v>
      </c>
      <c r="AF97" s="8">
        <f>+SUM($C19:AF19)</f>
        <v>9366</v>
      </c>
      <c r="AG97" s="8">
        <f>+SUM($C19:AG19)</f>
        <v>9366</v>
      </c>
    </row>
    <row r="98" spans="1:38" hidden="1" outlineLevel="1">
      <c r="A98" t="s">
        <v>247</v>
      </c>
      <c r="E98" s="8">
        <f>+SUM($C20:E20)</f>
        <v>423.73333333333335</v>
      </c>
      <c r="F98" s="8">
        <f>+SUM($C20:F20)</f>
        <v>847.4666666666667</v>
      </c>
      <c r="G98" s="8">
        <f>+SUM($C20:G20)</f>
        <v>1271.2</v>
      </c>
      <c r="H98" s="8">
        <f>+SUM($C20:H20)</f>
        <v>1694.9333333333334</v>
      </c>
      <c r="I98" s="8">
        <f>+SUM($C20:I20)</f>
        <v>2118.666666666667</v>
      </c>
      <c r="J98" s="8">
        <f>+SUM($C20:J20)</f>
        <v>2542.4000000000005</v>
      </c>
      <c r="K98" s="8">
        <f>+SUM($C20:K20)</f>
        <v>2966.1333333333341</v>
      </c>
      <c r="L98" s="8">
        <f>+SUM($C20:L20)</f>
        <v>3178</v>
      </c>
      <c r="M98" s="8">
        <f>+SUM($C20:M20)</f>
        <v>3178</v>
      </c>
      <c r="N98" s="8">
        <f>+SUM($C20:N20)</f>
        <v>3178</v>
      </c>
      <c r="O98" s="8">
        <f>+SUM($C20:O20)</f>
        <v>3178</v>
      </c>
      <c r="P98" s="8">
        <f>+SUM($C20:P20)</f>
        <v>3178</v>
      </c>
      <c r="Q98" s="8">
        <f>+SUM($C20:Q20)</f>
        <v>3178</v>
      </c>
      <c r="R98" s="8">
        <f>+SUM($C20:R20)</f>
        <v>3178</v>
      </c>
      <c r="S98" s="8">
        <f>+SUM($C20:S20)</f>
        <v>3178</v>
      </c>
      <c r="T98" s="8">
        <f>+SUM($C20:T20)</f>
        <v>3178</v>
      </c>
      <c r="U98" s="8">
        <f>+SUM($C20:U20)</f>
        <v>3178</v>
      </c>
      <c r="V98" s="8">
        <f>+SUM($C20:V20)</f>
        <v>3178</v>
      </c>
      <c r="W98" s="8">
        <f>+SUM($C20:W20)</f>
        <v>3178</v>
      </c>
      <c r="X98" s="8">
        <f>+SUM($C20:X20)</f>
        <v>3178</v>
      </c>
      <c r="Y98" s="8">
        <f>+SUM($C20:Y20)</f>
        <v>3178</v>
      </c>
      <c r="Z98" s="8">
        <f>+SUM($C20:Z20)</f>
        <v>3178</v>
      </c>
      <c r="AA98" s="8">
        <f>+SUM($C20:AA20)</f>
        <v>3178</v>
      </c>
      <c r="AB98" s="8">
        <f>+SUM($C20:AB20)</f>
        <v>3178</v>
      </c>
      <c r="AC98" s="8">
        <f>+SUM($C20:AC20)</f>
        <v>3178</v>
      </c>
      <c r="AD98" s="8">
        <f>+SUM($C20:AD20)</f>
        <v>3178</v>
      </c>
      <c r="AE98" s="8">
        <f>+SUM($C20:AE20)</f>
        <v>3178</v>
      </c>
      <c r="AF98" s="8">
        <f>+SUM($C20:AF20)</f>
        <v>3178</v>
      </c>
      <c r="AG98" s="8">
        <f>+SUM($C20:AG20)</f>
        <v>3178</v>
      </c>
    </row>
    <row r="99" spans="1:38" hidden="1" outlineLevel="1">
      <c r="A99" t="s">
        <v>248</v>
      </c>
      <c r="F99" s="8">
        <f>+SUM($C21:F21)</f>
        <v>338.4</v>
      </c>
      <c r="G99" s="8">
        <f>+SUM($C21:G21)</f>
        <v>676.8</v>
      </c>
      <c r="H99" s="8">
        <f>+SUM($C21:H21)</f>
        <v>1015.1999999999999</v>
      </c>
      <c r="I99" s="8">
        <f>+SUM($C21:I21)</f>
        <v>1353.6</v>
      </c>
      <c r="J99" s="8">
        <f>+SUM($C21:J21)</f>
        <v>1692</v>
      </c>
      <c r="K99" s="8">
        <f>+SUM($C21:K21)</f>
        <v>2030.4</v>
      </c>
      <c r="L99" s="8">
        <f>+SUM($C21:L21)</f>
        <v>2368.8000000000002</v>
      </c>
      <c r="M99" s="8">
        <f>+SUM($C21:M21)</f>
        <v>2538</v>
      </c>
      <c r="N99" s="8">
        <f>+SUM($C21:N21)</f>
        <v>2538</v>
      </c>
      <c r="O99" s="8">
        <f>+SUM($C21:O21)</f>
        <v>2538</v>
      </c>
      <c r="P99" s="8">
        <f>+SUM($C21:P21)</f>
        <v>2538</v>
      </c>
      <c r="Q99" s="8">
        <f>+SUM($C21:Q21)</f>
        <v>2538</v>
      </c>
      <c r="R99" s="8">
        <f>+SUM($C21:R21)</f>
        <v>2538</v>
      </c>
      <c r="S99" s="8">
        <f>+SUM($C21:S21)</f>
        <v>2538</v>
      </c>
      <c r="T99" s="8">
        <f>+SUM($C21:T21)</f>
        <v>2538</v>
      </c>
      <c r="U99" s="8">
        <f>+SUM($C21:U21)</f>
        <v>2538</v>
      </c>
      <c r="V99" s="8">
        <f>+SUM($C21:V21)</f>
        <v>2538</v>
      </c>
      <c r="W99" s="8">
        <f>+SUM($C21:W21)</f>
        <v>2538</v>
      </c>
      <c r="X99" s="8">
        <f>+SUM($C21:X21)</f>
        <v>2538</v>
      </c>
      <c r="Y99" s="8">
        <f>+SUM($C21:Y21)</f>
        <v>2538</v>
      </c>
      <c r="Z99" s="8">
        <f>+SUM($C21:Z21)</f>
        <v>2538</v>
      </c>
      <c r="AA99" s="8">
        <f>+SUM($C21:AA21)</f>
        <v>2538</v>
      </c>
      <c r="AB99" s="8">
        <f>+SUM($C21:AB21)</f>
        <v>2538</v>
      </c>
      <c r="AC99" s="8">
        <f>+SUM($C21:AC21)</f>
        <v>2538</v>
      </c>
      <c r="AD99" s="8">
        <f>+SUM($C21:AD21)</f>
        <v>2538</v>
      </c>
      <c r="AE99" s="8">
        <f>+SUM($C21:AE21)</f>
        <v>2538</v>
      </c>
      <c r="AF99" s="8">
        <f>+SUM($C21:AF21)</f>
        <v>2538</v>
      </c>
      <c r="AG99" s="8">
        <f>+SUM($C21:AG21)</f>
        <v>2538</v>
      </c>
    </row>
    <row r="100" spans="1:38" hidden="1" outlineLevel="1">
      <c r="A100" t="s">
        <v>249</v>
      </c>
      <c r="G100" s="8">
        <f>+SUM($C22:G22)</f>
        <v>156.93333333333334</v>
      </c>
      <c r="H100" s="8">
        <f>+SUM($C22:H22)</f>
        <v>313.86666666666667</v>
      </c>
      <c r="I100" s="8">
        <f>+SUM($C22:I22)</f>
        <v>470.8</v>
      </c>
      <c r="J100" s="8">
        <f>+SUM($C22:J22)</f>
        <v>627.73333333333335</v>
      </c>
      <c r="K100" s="8">
        <f>+SUM($C22:K22)</f>
        <v>784.66666666666674</v>
      </c>
      <c r="L100" s="8">
        <f>+SUM($C22:L22)</f>
        <v>941.60000000000014</v>
      </c>
      <c r="M100" s="8">
        <f>+SUM($C22:M22)</f>
        <v>1098.5333333333335</v>
      </c>
      <c r="N100" s="8">
        <f>+SUM($C22:N22)</f>
        <v>1177</v>
      </c>
      <c r="O100" s="8">
        <f>+SUM($C22:O22)</f>
        <v>1177</v>
      </c>
      <c r="P100" s="8">
        <f>+SUM($C22:P22)</f>
        <v>1177</v>
      </c>
      <c r="Q100" s="8">
        <f>+SUM($C22:Q22)</f>
        <v>1177</v>
      </c>
      <c r="R100" s="8">
        <f>+SUM($C22:R22)</f>
        <v>1177</v>
      </c>
      <c r="S100" s="8">
        <f>+SUM($C22:S22)</f>
        <v>1177</v>
      </c>
      <c r="T100" s="8">
        <f>+SUM($C22:T22)</f>
        <v>1177</v>
      </c>
      <c r="U100" s="8">
        <f>+SUM($C22:U22)</f>
        <v>1177</v>
      </c>
      <c r="V100" s="8">
        <f>+SUM($C22:V22)</f>
        <v>1177</v>
      </c>
      <c r="W100" s="8">
        <f>+SUM($C22:W22)</f>
        <v>1177</v>
      </c>
      <c r="X100" s="8">
        <f>+SUM($C22:X22)</f>
        <v>1177</v>
      </c>
      <c r="Y100" s="8">
        <f>+SUM($C22:Y22)</f>
        <v>1177</v>
      </c>
      <c r="Z100" s="8">
        <f>+SUM($C22:Z22)</f>
        <v>1177</v>
      </c>
      <c r="AA100" s="8">
        <f>+SUM($C22:AA22)</f>
        <v>1177</v>
      </c>
      <c r="AB100" s="8">
        <f>+SUM($C22:AB22)</f>
        <v>1177</v>
      </c>
      <c r="AC100" s="8">
        <f>+SUM($C22:AC22)</f>
        <v>1177</v>
      </c>
      <c r="AD100" s="8">
        <f>+SUM($C22:AD22)</f>
        <v>1177</v>
      </c>
      <c r="AE100" s="8">
        <f>+SUM($C22:AE22)</f>
        <v>1177</v>
      </c>
      <c r="AF100" s="8">
        <f>+SUM($C22:AF22)</f>
        <v>1177</v>
      </c>
      <c r="AG100" s="8">
        <f>+SUM($C22:AG22)</f>
        <v>1177</v>
      </c>
    </row>
    <row r="101" spans="1:38" hidden="1" outlineLevel="1">
      <c r="A101" t="s">
        <v>250</v>
      </c>
      <c r="H101" s="8">
        <f>+SUM($C23:H23)</f>
        <v>230.93333333333334</v>
      </c>
      <c r="I101" s="8">
        <f>+SUM($C23:I23)</f>
        <v>461.86666666666667</v>
      </c>
      <c r="J101" s="8">
        <f>+SUM($C23:J23)</f>
        <v>692.8</v>
      </c>
      <c r="K101" s="8">
        <f>+SUM($C23:K23)</f>
        <v>923.73333333333335</v>
      </c>
      <c r="L101" s="8">
        <f>+SUM($C23:L23)</f>
        <v>1154.6666666666667</v>
      </c>
      <c r="M101" s="8">
        <f>+SUM($C23:M23)</f>
        <v>1385.6000000000001</v>
      </c>
      <c r="N101" s="8">
        <f>+SUM($C23:N23)</f>
        <v>1616.5333333333335</v>
      </c>
      <c r="O101" s="8">
        <f>+SUM($C23:O23)</f>
        <v>1732</v>
      </c>
      <c r="P101" s="8">
        <f>+SUM($C23:P23)</f>
        <v>1732</v>
      </c>
      <c r="Q101" s="8">
        <f>+SUM($C23:Q23)</f>
        <v>1732</v>
      </c>
      <c r="R101" s="8">
        <f>+SUM($C23:R23)</f>
        <v>1732</v>
      </c>
      <c r="S101" s="8">
        <f>+SUM($C23:S23)</f>
        <v>1732</v>
      </c>
      <c r="T101" s="8">
        <f>+SUM($C23:T23)</f>
        <v>1732</v>
      </c>
      <c r="U101" s="8">
        <f>+SUM($C23:U23)</f>
        <v>1732</v>
      </c>
      <c r="V101" s="8">
        <f>+SUM($C23:V23)</f>
        <v>1732</v>
      </c>
      <c r="W101" s="8">
        <f>+SUM($C23:W23)</f>
        <v>1732</v>
      </c>
      <c r="X101" s="8">
        <f>+SUM($C23:X23)</f>
        <v>1732</v>
      </c>
      <c r="Y101" s="8">
        <f>+SUM($C23:Y23)</f>
        <v>1732</v>
      </c>
      <c r="Z101" s="8">
        <f>+SUM($C23:Z23)</f>
        <v>1732</v>
      </c>
      <c r="AA101" s="8">
        <f>+SUM($C23:AA23)</f>
        <v>1732</v>
      </c>
      <c r="AB101" s="8">
        <f>+SUM($C23:AB23)</f>
        <v>1732</v>
      </c>
      <c r="AC101" s="8">
        <f>+SUM($C23:AC23)</f>
        <v>1732</v>
      </c>
      <c r="AD101" s="8">
        <f>+SUM($C23:AD23)</f>
        <v>1732</v>
      </c>
      <c r="AE101" s="8">
        <f>+SUM($C23:AE23)</f>
        <v>1732</v>
      </c>
      <c r="AF101" s="8">
        <f>+SUM($C23:AF23)</f>
        <v>1732</v>
      </c>
      <c r="AG101" s="8">
        <f>+SUM($C23:AG23)</f>
        <v>1732</v>
      </c>
    </row>
    <row r="102" spans="1:38" hidden="1" outlineLevel="1">
      <c r="A102" t="s">
        <v>251</v>
      </c>
      <c r="I102" s="8">
        <f>+SUM($C24:I24)</f>
        <v>165.33333333333334</v>
      </c>
      <c r="J102" s="8">
        <f>+SUM($C24:J24)</f>
        <v>330.66666666666669</v>
      </c>
      <c r="K102" s="8">
        <f>+SUM($C24:K24)</f>
        <v>496</v>
      </c>
      <c r="L102" s="8">
        <f>+SUM($C24:L24)</f>
        <v>661.33333333333337</v>
      </c>
      <c r="M102" s="8">
        <f>+SUM($C24:M24)</f>
        <v>826.66666666666674</v>
      </c>
      <c r="N102" s="8">
        <f>+SUM($C24:N24)</f>
        <v>992.00000000000011</v>
      </c>
      <c r="O102" s="8">
        <f>+SUM($C24:O24)</f>
        <v>1157.3333333333335</v>
      </c>
      <c r="P102" s="8">
        <f>+SUM($C24:P24)</f>
        <v>1240</v>
      </c>
      <c r="Q102" s="8">
        <f>+SUM($C24:Q24)</f>
        <v>1240</v>
      </c>
      <c r="R102" s="8">
        <f>+SUM($C24:R24)</f>
        <v>1240</v>
      </c>
      <c r="S102" s="8">
        <f>+SUM($C24:S24)</f>
        <v>1240</v>
      </c>
      <c r="T102" s="8">
        <f>+SUM($C24:T24)</f>
        <v>1240</v>
      </c>
      <c r="U102" s="8">
        <f>+SUM($C24:U24)</f>
        <v>1240</v>
      </c>
      <c r="V102" s="8">
        <f>+SUM($C24:V24)</f>
        <v>1240</v>
      </c>
      <c r="W102" s="8">
        <f>+SUM($C24:W24)</f>
        <v>1240</v>
      </c>
      <c r="X102" s="8">
        <f>+SUM($C24:X24)</f>
        <v>1240</v>
      </c>
      <c r="Y102" s="8">
        <f>+SUM($C24:Y24)</f>
        <v>1240</v>
      </c>
      <c r="Z102" s="8">
        <f>+SUM($C24:Z24)</f>
        <v>1240</v>
      </c>
      <c r="AA102" s="8">
        <f>+SUM($C24:AA24)</f>
        <v>1240</v>
      </c>
      <c r="AB102" s="8">
        <f>+SUM($C24:AB24)</f>
        <v>1240</v>
      </c>
      <c r="AC102" s="8">
        <f>+SUM($C24:AC24)</f>
        <v>1240</v>
      </c>
      <c r="AD102" s="8">
        <f>+SUM($C24:AD24)</f>
        <v>1240</v>
      </c>
      <c r="AE102" s="8">
        <f>+SUM($C24:AE24)</f>
        <v>1240</v>
      </c>
      <c r="AF102" s="8">
        <f>+SUM($C24:AF24)</f>
        <v>1240</v>
      </c>
      <c r="AG102" s="8">
        <f>+SUM($C24:AG24)</f>
        <v>1240</v>
      </c>
    </row>
    <row r="103" spans="1:38" hidden="1" outlineLevel="1">
      <c r="A103" t="s">
        <v>252</v>
      </c>
      <c r="J103" s="8">
        <f>+SUM($C25:J25)</f>
        <v>436.4</v>
      </c>
      <c r="K103" s="8">
        <f>+SUM($C25:K25)</f>
        <v>872.8</v>
      </c>
      <c r="L103" s="8">
        <f>+SUM($C25:L25)</f>
        <v>1309.1999999999998</v>
      </c>
      <c r="M103" s="8">
        <f>+SUM($C25:M25)</f>
        <v>1745.6</v>
      </c>
      <c r="N103" s="8">
        <f>+SUM($C25:N25)</f>
        <v>2182</v>
      </c>
      <c r="O103" s="8">
        <f>+SUM($C25:O25)</f>
        <v>2618.4</v>
      </c>
      <c r="P103" s="8">
        <f>+SUM($C25:P25)</f>
        <v>3054.8</v>
      </c>
      <c r="Q103" s="8">
        <f>+SUM($C25:Q25)</f>
        <v>3273</v>
      </c>
      <c r="R103" s="8">
        <f>+SUM($C25:R25)</f>
        <v>3273</v>
      </c>
      <c r="S103" s="8">
        <f>+SUM($C25:S25)</f>
        <v>3273</v>
      </c>
      <c r="T103" s="8">
        <f>+SUM($C25:T25)</f>
        <v>3273</v>
      </c>
      <c r="U103" s="8">
        <f>+SUM($C25:U25)</f>
        <v>3273</v>
      </c>
      <c r="V103" s="8">
        <f>+SUM($C25:V25)</f>
        <v>3273</v>
      </c>
      <c r="W103" s="8">
        <f>+SUM($C25:W25)</f>
        <v>3273</v>
      </c>
      <c r="X103" s="8">
        <f>+SUM($C25:X25)</f>
        <v>3273</v>
      </c>
      <c r="Y103" s="8">
        <f>+SUM($C25:Y25)</f>
        <v>3273</v>
      </c>
      <c r="Z103" s="8">
        <f>+SUM($C25:Z25)</f>
        <v>3273</v>
      </c>
      <c r="AA103" s="8">
        <f>+SUM($C25:AA25)</f>
        <v>3273</v>
      </c>
      <c r="AB103" s="8">
        <f>+SUM($C25:AB25)</f>
        <v>3273</v>
      </c>
      <c r="AC103" s="8">
        <f>+SUM($C25:AC25)</f>
        <v>3273</v>
      </c>
      <c r="AD103" s="8">
        <f>+SUM($C25:AD25)</f>
        <v>3273</v>
      </c>
      <c r="AE103" s="8">
        <f>+SUM($C25:AE25)</f>
        <v>3273</v>
      </c>
      <c r="AF103" s="8">
        <f>+SUM($C25:AF25)</f>
        <v>3273</v>
      </c>
      <c r="AG103" s="8">
        <f>+SUM($C25:AG25)</f>
        <v>3273</v>
      </c>
    </row>
    <row r="104" spans="1:38" hidden="1" outlineLevel="1">
      <c r="A104" t="s">
        <v>253</v>
      </c>
      <c r="K104" s="8">
        <f>+SUM($C26:K26)</f>
        <v>706.66666666666663</v>
      </c>
      <c r="L104" s="8">
        <f>+SUM($C26:L26)</f>
        <v>1413.3333333333333</v>
      </c>
      <c r="M104" s="8">
        <f>+SUM($C26:M26)</f>
        <v>2120</v>
      </c>
      <c r="N104" s="8">
        <f>+SUM($C26:N26)</f>
        <v>2826.6666666666665</v>
      </c>
      <c r="O104" s="8">
        <f>+SUM($C26:O26)</f>
        <v>3533.333333333333</v>
      </c>
      <c r="P104" s="8">
        <f>+SUM($C26:P26)</f>
        <v>4240</v>
      </c>
      <c r="Q104" s="8">
        <f>+SUM($C26:Q26)</f>
        <v>4946.666666666667</v>
      </c>
      <c r="R104" s="8">
        <f>+SUM($C26:R26)</f>
        <v>5300</v>
      </c>
      <c r="S104" s="8">
        <f>+SUM($C26:S26)</f>
        <v>5300</v>
      </c>
      <c r="T104" s="8">
        <f>+SUM($C26:T26)</f>
        <v>5300</v>
      </c>
      <c r="U104" s="8">
        <f>+SUM($C26:U26)</f>
        <v>5300</v>
      </c>
      <c r="V104" s="8">
        <f>+SUM($C26:V26)</f>
        <v>5300</v>
      </c>
      <c r="W104" s="8">
        <f>+SUM($C26:W26)</f>
        <v>5300</v>
      </c>
      <c r="X104" s="8">
        <f>+SUM($C26:X26)</f>
        <v>5300</v>
      </c>
      <c r="Y104" s="8">
        <f>+SUM($C26:Y26)</f>
        <v>5300</v>
      </c>
      <c r="Z104" s="8">
        <f>+SUM($C26:Z26)</f>
        <v>5300</v>
      </c>
      <c r="AA104" s="8">
        <f>+SUM($C26:AA26)</f>
        <v>5300</v>
      </c>
      <c r="AB104" s="8">
        <f>+SUM($C26:AB26)</f>
        <v>5300</v>
      </c>
      <c r="AC104" s="8">
        <f>+SUM($C26:AC26)</f>
        <v>5300</v>
      </c>
      <c r="AD104" s="8">
        <f>+SUM($C26:AD26)</f>
        <v>5300</v>
      </c>
      <c r="AE104" s="8">
        <f>+SUM($C26:AE26)</f>
        <v>5300</v>
      </c>
      <c r="AF104" s="8">
        <f>+SUM($C26:AF26)</f>
        <v>5300</v>
      </c>
      <c r="AG104" s="8">
        <f>+SUM($C26:AG26)</f>
        <v>5300</v>
      </c>
    </row>
    <row r="105" spans="1:38" hidden="1" outlineLevel="1">
      <c r="A105" t="s">
        <v>254</v>
      </c>
      <c r="L105" s="8">
        <f>+SUM($C27:L27)</f>
        <v>604.4</v>
      </c>
      <c r="M105" s="8">
        <f>+SUM($C27:M27)</f>
        <v>1208.8</v>
      </c>
      <c r="N105" s="8">
        <f>+SUM($C27:N27)</f>
        <v>1813.1999999999998</v>
      </c>
      <c r="O105" s="8">
        <f>+SUM($C27:O27)</f>
        <v>2417.6</v>
      </c>
      <c r="P105" s="8">
        <f>+SUM($C27:P27)</f>
        <v>3022</v>
      </c>
      <c r="Q105" s="8">
        <f>+SUM($C27:Q27)</f>
        <v>3626.4</v>
      </c>
      <c r="R105" s="8">
        <f>+SUM($C27:R27)</f>
        <v>4130.0666666666666</v>
      </c>
      <c r="S105" s="8">
        <f>+SUM($C27:S27)</f>
        <v>4533</v>
      </c>
      <c r="T105" s="8">
        <f>+SUM($C27:T27)</f>
        <v>4533</v>
      </c>
      <c r="U105" s="8">
        <f>+SUM($C27:U27)</f>
        <v>4533</v>
      </c>
      <c r="V105" s="8">
        <f>+SUM($C27:V27)</f>
        <v>4533</v>
      </c>
      <c r="W105" s="8">
        <f>+SUM($C27:W27)</f>
        <v>4533</v>
      </c>
      <c r="X105" s="8">
        <f>+SUM($C27:X27)</f>
        <v>4533</v>
      </c>
      <c r="Y105" s="8">
        <f>+SUM($C27:Y27)</f>
        <v>4533</v>
      </c>
      <c r="Z105" s="8">
        <f>+SUM($C27:Z27)</f>
        <v>4533</v>
      </c>
      <c r="AA105" s="8">
        <f>+SUM($C27:AA27)</f>
        <v>4533</v>
      </c>
      <c r="AB105" s="8">
        <f>+SUM($C27:AB27)</f>
        <v>4533</v>
      </c>
      <c r="AC105" s="8">
        <f>+SUM($C27:AC27)</f>
        <v>4533</v>
      </c>
      <c r="AD105" s="8">
        <f>+SUM($C27:AD27)</f>
        <v>4533</v>
      </c>
      <c r="AE105" s="8">
        <f>+SUM($C27:AE27)</f>
        <v>4533</v>
      </c>
      <c r="AF105" s="8">
        <f>+SUM($C27:AF27)</f>
        <v>4533</v>
      </c>
      <c r="AG105" s="8">
        <f>+SUM($C27:AG27)</f>
        <v>4533</v>
      </c>
    </row>
    <row r="106" spans="1:38" hidden="1" outlineLevel="1">
      <c r="A106" t="s">
        <v>255</v>
      </c>
      <c r="M106" s="8">
        <f>+SUM($C28:M28)</f>
        <v>775.86666666666667</v>
      </c>
      <c r="N106" s="8">
        <f>+SUM($C28:N28)</f>
        <v>1551.7333333333333</v>
      </c>
      <c r="O106" s="8">
        <f>+SUM($C28:O28)</f>
        <v>2327.6</v>
      </c>
      <c r="P106" s="8">
        <f>+SUM($C28:P28)</f>
        <v>3103.4666666666667</v>
      </c>
      <c r="Q106" s="8">
        <f>+SUM($C28:Q28)</f>
        <v>3879.3333333333335</v>
      </c>
      <c r="R106" s="8">
        <f>+SUM($C28:R28)</f>
        <v>4525.8888888888887</v>
      </c>
      <c r="S106" s="8">
        <f>+SUM($C28:S28)</f>
        <v>5172.4444444444443</v>
      </c>
      <c r="T106" s="8">
        <f>+SUM($C28:T28)</f>
        <v>5701.4444444444443</v>
      </c>
      <c r="U106" s="8">
        <f>+SUM($C28:U28)</f>
        <v>5819</v>
      </c>
      <c r="V106" s="8">
        <f>+SUM($C28:V28)</f>
        <v>5819</v>
      </c>
      <c r="W106" s="8">
        <f>+SUM($C28:W28)</f>
        <v>5819</v>
      </c>
      <c r="X106" s="8">
        <f>+SUM($C28:X28)</f>
        <v>5819</v>
      </c>
      <c r="Y106" s="8">
        <f>+SUM($C28:Y28)</f>
        <v>5819</v>
      </c>
      <c r="Z106" s="8">
        <f>+SUM($C28:Z28)</f>
        <v>5819</v>
      </c>
      <c r="AA106" s="8">
        <f>+SUM($C28:AA28)</f>
        <v>5819</v>
      </c>
      <c r="AB106" s="8">
        <f>+SUM($C28:AB28)</f>
        <v>5819</v>
      </c>
      <c r="AC106" s="8">
        <f>+SUM($C28:AC28)</f>
        <v>5819</v>
      </c>
      <c r="AD106" s="8">
        <f>+SUM($C28:AD28)</f>
        <v>5819</v>
      </c>
      <c r="AE106" s="8">
        <f>+SUM($C28:AE28)</f>
        <v>5819</v>
      </c>
      <c r="AF106" s="8">
        <f>+SUM($C28:AF28)</f>
        <v>5819</v>
      </c>
      <c r="AG106" s="8">
        <f>+SUM($C28:AG28)</f>
        <v>5819</v>
      </c>
    </row>
    <row r="107" spans="1:38" hidden="1" outlineLevel="1">
      <c r="A107" t="s">
        <v>256</v>
      </c>
      <c r="N107" s="8">
        <f>+SUM($C29:N29)</f>
        <v>1300.9333333333334</v>
      </c>
      <c r="O107" s="8">
        <f>+SUM($C29:O29)</f>
        <v>2601.8666666666668</v>
      </c>
      <c r="P107" s="8">
        <f>+SUM($C29:P29)</f>
        <v>3902.8</v>
      </c>
      <c r="Q107" s="8">
        <f>+SUM($C29:Q29)</f>
        <v>5203.7333333333336</v>
      </c>
      <c r="R107" s="8">
        <f>+SUM($C29:R29)</f>
        <v>6287.8444444444449</v>
      </c>
      <c r="S107" s="8">
        <f>+SUM($C29:S29)</f>
        <v>7371.9555555555562</v>
      </c>
      <c r="T107" s="8">
        <f>+SUM($C29:T29)</f>
        <v>8258.9555555555562</v>
      </c>
      <c r="U107" s="8">
        <f>+SUM($C29:U29)</f>
        <v>9145.9555555555562</v>
      </c>
      <c r="V107" s="8">
        <f>+SUM($C29:V29)</f>
        <v>9757</v>
      </c>
      <c r="W107" s="8">
        <f>+SUM($C29:W29)</f>
        <v>9757</v>
      </c>
      <c r="X107" s="8">
        <f>+SUM($C29:X29)</f>
        <v>9757</v>
      </c>
      <c r="Y107" s="8">
        <f>+SUM($C29:Y29)</f>
        <v>9757</v>
      </c>
      <c r="Z107" s="8">
        <f>+SUM($C29:Z29)</f>
        <v>9757</v>
      </c>
      <c r="AA107" s="8">
        <f>+SUM($C29:AA29)</f>
        <v>9757</v>
      </c>
      <c r="AB107" s="8">
        <f>+SUM($C29:AB29)</f>
        <v>9757</v>
      </c>
      <c r="AC107" s="8">
        <f>+SUM($C29:AC29)</f>
        <v>9757</v>
      </c>
      <c r="AD107" s="8">
        <f>+SUM($C29:AD29)</f>
        <v>9757</v>
      </c>
      <c r="AE107" s="8">
        <f>+SUM($C29:AE29)</f>
        <v>9757</v>
      </c>
      <c r="AF107" s="8">
        <f>+SUM($C29:AF29)</f>
        <v>9757</v>
      </c>
      <c r="AG107" s="8">
        <f>+SUM($C29:AG29)</f>
        <v>9757</v>
      </c>
    </row>
    <row r="108" spans="1:38" hidden="1" outlineLevel="1">
      <c r="A108" t="s">
        <v>257</v>
      </c>
      <c r="O108" s="8">
        <f>+SUM($C30:O30)</f>
        <v>1436</v>
      </c>
      <c r="P108" s="8">
        <f>+SUM($C30:P30)</f>
        <v>2872</v>
      </c>
      <c r="Q108" s="8">
        <f>+SUM($C30:Q30)</f>
        <v>4308</v>
      </c>
      <c r="R108" s="8">
        <f>+SUM($C30:R30)</f>
        <v>5504.666666666667</v>
      </c>
      <c r="S108" s="8">
        <f>+SUM($C30:S30)</f>
        <v>6701.3333333333339</v>
      </c>
      <c r="T108" s="8">
        <f>+SUM($C30:T30)</f>
        <v>7680.4242424242429</v>
      </c>
      <c r="U108" s="8">
        <f>+SUM($C30:U30)</f>
        <v>8659.515151515152</v>
      </c>
      <c r="V108" s="8">
        <f>+SUM($C30:V30)</f>
        <v>9638.6060606060619</v>
      </c>
      <c r="W108" s="8">
        <f>+SUM($C30:W30)</f>
        <v>10617.696969696972</v>
      </c>
      <c r="X108" s="8">
        <f>+SUM($C30:X30)</f>
        <v>10770</v>
      </c>
      <c r="Y108" s="8">
        <f>+SUM($C30:Y30)</f>
        <v>10770</v>
      </c>
      <c r="Z108" s="8">
        <f>+SUM($C30:Z30)</f>
        <v>10770</v>
      </c>
      <c r="AA108" s="8">
        <f>+SUM($C30:AA30)</f>
        <v>10770</v>
      </c>
      <c r="AB108" s="8">
        <f>+SUM($C30:AB30)</f>
        <v>10770</v>
      </c>
      <c r="AC108" s="8">
        <f>+SUM($C30:AC30)</f>
        <v>10770</v>
      </c>
      <c r="AD108" s="8">
        <f>+SUM($C30:AD30)</f>
        <v>10770</v>
      </c>
      <c r="AE108" s="8">
        <f>+SUM($C30:AE30)</f>
        <v>10770</v>
      </c>
      <c r="AF108" s="8">
        <f>+SUM($C30:AF30)</f>
        <v>10770</v>
      </c>
      <c r="AG108" s="8">
        <f>+SUM($C30:AG30)</f>
        <v>10770</v>
      </c>
      <c r="AH108" s="8"/>
    </row>
    <row r="109" spans="1:38" hidden="1" outlineLevel="1">
      <c r="A109" t="s">
        <v>258</v>
      </c>
      <c r="P109" s="8">
        <f>+SUM($C31:P31)</f>
        <v>1749.8666666666666</v>
      </c>
      <c r="Q109" s="8">
        <f>+SUM($C31:Q31)</f>
        <v>3499.7333333333331</v>
      </c>
      <c r="R109" s="8">
        <f>+SUM($C31:R31)</f>
        <v>4957.9555555555553</v>
      </c>
      <c r="S109" s="8">
        <f>+SUM($C31:S31)</f>
        <v>6416.177777777777</v>
      </c>
      <c r="T109" s="8">
        <f>+SUM($C31:T31)</f>
        <v>7609.268686868686</v>
      </c>
      <c r="U109" s="8">
        <f>+SUM($C31:U31)</f>
        <v>8802.359595959595</v>
      </c>
      <c r="V109" s="8">
        <f>+SUM($C31:V31)</f>
        <v>9995.4505050505031</v>
      </c>
      <c r="W109" s="8">
        <f>+SUM($C31:W31)</f>
        <v>11188.541414141411</v>
      </c>
      <c r="X109" s="8">
        <f>+SUM($C31:X31)</f>
        <v>12381.632323232319</v>
      </c>
      <c r="Y109" s="8">
        <f>+SUM($C31:Y31)</f>
        <v>13124</v>
      </c>
      <c r="Z109" s="8">
        <f>+SUM($C31:Z31)</f>
        <v>13124</v>
      </c>
      <c r="AA109" s="8">
        <f>+SUM($C31:AA31)</f>
        <v>13124</v>
      </c>
      <c r="AB109" s="8">
        <f>+SUM($C31:AB31)</f>
        <v>13124</v>
      </c>
      <c r="AC109" s="8">
        <f>+SUM($C31:AC31)</f>
        <v>13124</v>
      </c>
      <c r="AD109" s="8">
        <f>+SUM($C31:AD31)</f>
        <v>13124</v>
      </c>
      <c r="AE109" s="8">
        <f>+SUM($C31:AE31)</f>
        <v>13124</v>
      </c>
      <c r="AF109" s="8">
        <f>+SUM($C31:AF31)</f>
        <v>13124</v>
      </c>
      <c r="AG109" s="8">
        <f>+SUM($C31:AG31)</f>
        <v>13124</v>
      </c>
      <c r="AH109" s="8"/>
      <c r="AI109" s="8"/>
    </row>
    <row r="110" spans="1:38" hidden="1" outlineLevel="1">
      <c r="A110" t="s">
        <v>259</v>
      </c>
      <c r="Q110" s="8">
        <f>+SUM($C32:Q32)</f>
        <v>2072.1333333333332</v>
      </c>
      <c r="R110" s="8">
        <f>+SUM($C32:R32)</f>
        <v>3798.911111111111</v>
      </c>
      <c r="S110" s="8">
        <f>+SUM($C32:S32)</f>
        <v>5525.6888888888889</v>
      </c>
      <c r="T110" s="8">
        <f>+SUM($C32:T32)</f>
        <v>6938.5070707070709</v>
      </c>
      <c r="U110" s="8">
        <f>+SUM($C32:U32)</f>
        <v>8351.3252525252519</v>
      </c>
      <c r="V110" s="8">
        <f>+SUM($C32:V32)</f>
        <v>9764.1434343434339</v>
      </c>
      <c r="W110" s="8">
        <f>+SUM($C32:W32)</f>
        <v>11176.961616161616</v>
      </c>
      <c r="X110" s="8">
        <f>+SUM($C32:X32)</f>
        <v>12589.779797979798</v>
      </c>
      <c r="Y110" s="8">
        <f>+SUM($C32:Y32)</f>
        <v>14002.59797979798</v>
      </c>
      <c r="Z110" s="8">
        <f>+SUM($C32:Z32)</f>
        <v>15415.416161616162</v>
      </c>
      <c r="AA110" s="8">
        <f>+SUM($C32:AA32)</f>
        <v>15541</v>
      </c>
      <c r="AB110" s="8">
        <f>+SUM($C32:AB32)</f>
        <v>15541</v>
      </c>
      <c r="AC110" s="8">
        <f>+SUM($C32:AC32)</f>
        <v>15541</v>
      </c>
      <c r="AD110" s="8">
        <f>+SUM($C32:AD32)</f>
        <v>15541</v>
      </c>
      <c r="AE110" s="8">
        <f>+SUM($C32:AE32)</f>
        <v>15541</v>
      </c>
      <c r="AF110" s="8">
        <f>+SUM($C32:AF32)</f>
        <v>15541</v>
      </c>
      <c r="AG110" s="8">
        <f>+SUM($C32:AG32)</f>
        <v>15541</v>
      </c>
      <c r="AH110" s="8"/>
      <c r="AI110" s="8"/>
      <c r="AJ110" s="8"/>
    </row>
    <row r="111" spans="1:38" hidden="1" outlineLevel="1">
      <c r="A111" t="s">
        <v>260</v>
      </c>
      <c r="R111" s="8">
        <f>+SUM($C33:R33)</f>
        <v>2635.3333333333335</v>
      </c>
      <c r="S111" s="8">
        <f>+SUM($C33:S33)</f>
        <v>5270.666666666667</v>
      </c>
      <c r="T111" s="8">
        <f>+SUM($C33:T33)</f>
        <v>7426.848484848485</v>
      </c>
      <c r="U111" s="8">
        <f>+SUM($C33:U33)</f>
        <v>9583.0303030303039</v>
      </c>
      <c r="V111" s="8">
        <f>+SUM($C33:V33)</f>
        <v>11739.212121212122</v>
      </c>
      <c r="W111" s="8">
        <f>+SUM($C33:W33)</f>
        <v>13895.39393939394</v>
      </c>
      <c r="X111" s="8">
        <f>+SUM($C33:X33)</f>
        <v>16051.575757575758</v>
      </c>
      <c r="Y111" s="8">
        <f>+SUM($C33:Y33)</f>
        <v>18207.757575757576</v>
      </c>
      <c r="Z111" s="8">
        <f>+SUM($C33:Z33)</f>
        <v>20363.939393939392</v>
      </c>
      <c r="AA111" s="8">
        <f>+SUM($C33:AA33)</f>
        <v>22520.121212121208</v>
      </c>
      <c r="AB111" s="8">
        <f>+SUM($C33:AB33)</f>
        <v>23718</v>
      </c>
      <c r="AC111" s="8">
        <f>+SUM($C33:AC33)</f>
        <v>23718</v>
      </c>
      <c r="AD111" s="8">
        <f>+SUM($C33:AD33)</f>
        <v>23718</v>
      </c>
      <c r="AE111" s="8">
        <f>+SUM($C33:AE33)</f>
        <v>23718</v>
      </c>
      <c r="AF111" s="8">
        <f>+SUM($C33:AF33)</f>
        <v>23718</v>
      </c>
      <c r="AG111" s="8">
        <f>+SUM($C33:AG33)</f>
        <v>23718</v>
      </c>
      <c r="AH111" s="8"/>
      <c r="AI111" s="8"/>
      <c r="AJ111" s="8"/>
      <c r="AK111" s="8"/>
    </row>
    <row r="112" spans="1:38" hidden="1" outlineLevel="1">
      <c r="A112" t="s">
        <v>109</v>
      </c>
      <c r="S112" s="8">
        <f>+SUM($C34:S34)</f>
        <v>2554.6666666666665</v>
      </c>
      <c r="T112" s="8">
        <f>+SUM($C34:T34)</f>
        <v>4644.8484848484841</v>
      </c>
      <c r="U112" s="8">
        <f>+SUM($C34:U34)</f>
        <v>6735.0303030303021</v>
      </c>
      <c r="V112" s="8">
        <f>+SUM($C34:V34)</f>
        <v>8825.2121212121201</v>
      </c>
      <c r="W112" s="8">
        <f>+SUM($C34:W34)</f>
        <v>10915.393939393938</v>
      </c>
      <c r="X112" s="8">
        <f>+SUM($C34:X34)</f>
        <v>13005.575757575756</v>
      </c>
      <c r="Y112" s="8">
        <f>+SUM($C34:Y34)</f>
        <v>15095.757575757574</v>
      </c>
      <c r="Z112" s="8">
        <f>+SUM($C34:Z34)</f>
        <v>17185.939393939392</v>
      </c>
      <c r="AA112" s="8">
        <f>+SUM($C34:AA34)</f>
        <v>19276.121212121208</v>
      </c>
      <c r="AB112" s="8">
        <f>+SUM($C34:AB34)</f>
        <v>21366.303030303025</v>
      </c>
      <c r="AC112" s="8">
        <f>+SUM($C34:AC34)</f>
        <v>22992</v>
      </c>
      <c r="AD112" s="8">
        <f>+SUM($C34:AD34)</f>
        <v>22992</v>
      </c>
      <c r="AE112" s="8">
        <f>+SUM($C34:AE34)</f>
        <v>22992</v>
      </c>
      <c r="AF112" s="8">
        <f>+SUM($C34:AF34)</f>
        <v>22992</v>
      </c>
      <c r="AG112" s="8">
        <f>+SUM($C34:AG34)</f>
        <v>22992</v>
      </c>
      <c r="AH112" s="8"/>
      <c r="AI112" s="8"/>
      <c r="AJ112" s="8"/>
      <c r="AK112" s="8"/>
      <c r="AL112" s="8"/>
    </row>
    <row r="113" spans="1:44" hidden="1" outlineLevel="1">
      <c r="A113" t="s">
        <v>190</v>
      </c>
      <c r="T113" s="8">
        <f>+SUM($C35:T35)</f>
        <v>2712.181818181818</v>
      </c>
      <c r="U113" s="8">
        <f>+SUM($C35:U35)</f>
        <v>5424.363636363636</v>
      </c>
      <c r="V113" s="8">
        <f>+SUM($C35:V35)</f>
        <v>8136.545454545454</v>
      </c>
      <c r="W113" s="8">
        <f>+SUM($C35:W35)</f>
        <v>10848.727272727272</v>
      </c>
      <c r="X113" s="8">
        <f>+SUM($C35:X35)</f>
        <v>13560.90909090909</v>
      </c>
      <c r="Y113" s="8">
        <f>+SUM($C35:Y35)</f>
        <v>16273.090909090908</v>
      </c>
      <c r="Z113" s="8">
        <f>+SUM($C35:Z35)</f>
        <v>18985.272727272728</v>
      </c>
      <c r="AA113" s="8">
        <f>+SUM($C35:AA35)</f>
        <v>21697.454545454544</v>
      </c>
      <c r="AB113" s="8">
        <f>+SUM($C35:AB35)</f>
        <v>24409.63636363636</v>
      </c>
      <c r="AC113" s="8">
        <f>+SUM($C35:AC35)</f>
        <v>27121.818181818177</v>
      </c>
      <c r="AD113" s="8">
        <f>+SUM($C35:AD35)</f>
        <v>29833.999999999993</v>
      </c>
      <c r="AE113" s="8">
        <f>+SUM($C35:AE35)</f>
        <v>29833.999999999993</v>
      </c>
      <c r="AF113" s="8">
        <f>+SUM($C35:AF35)</f>
        <v>29833.999999999993</v>
      </c>
      <c r="AG113" s="8">
        <f>+SUM($C35:AG35)</f>
        <v>29833.999999999993</v>
      </c>
      <c r="AH113" s="8"/>
      <c r="AI113" s="8"/>
      <c r="AJ113" s="8"/>
      <c r="AK113" s="8"/>
      <c r="AL113" s="8"/>
      <c r="AM113" s="8"/>
    </row>
    <row r="114" spans="1:44" hidden="1" outlineLevel="1">
      <c r="A114" t="s">
        <v>191</v>
      </c>
      <c r="V114" s="8">
        <f>+SUM($C36:V36)</f>
        <v>8749.0909090909099</v>
      </c>
      <c r="W114" s="8">
        <f>+SUM($C36:W36)</f>
        <v>13123.636363636364</v>
      </c>
      <c r="X114" s="8">
        <f>+SUM($C36:X36)</f>
        <v>17498.18181818182</v>
      </c>
      <c r="Y114" s="8">
        <f>+SUM($C36:Y36)</f>
        <v>21872.727272727276</v>
      </c>
      <c r="Z114" s="8">
        <f>+SUM($C36:Z36)</f>
        <v>26247.272727272732</v>
      </c>
      <c r="AA114" s="8">
        <f>+SUM($C36:AA36)</f>
        <v>30621.818181818187</v>
      </c>
      <c r="AB114" s="8">
        <f>+SUM($C36:AB36)</f>
        <v>34996.36363636364</v>
      </c>
      <c r="AC114" s="8">
        <f>+SUM($C36:AC36)</f>
        <v>39370.909090909096</v>
      </c>
      <c r="AD114" s="8">
        <f>+SUM($C36:AD36)</f>
        <v>43745.454545454551</v>
      </c>
      <c r="AE114" s="8">
        <f>+SUM($C36:AE36)</f>
        <v>48120</v>
      </c>
      <c r="AF114" s="8">
        <f>+SUM($C36:AF36)</f>
        <v>48120</v>
      </c>
      <c r="AG114" s="8">
        <f>+SUM($C36:AG36)</f>
        <v>48120</v>
      </c>
      <c r="AH114" s="8"/>
      <c r="AI114" s="8"/>
      <c r="AJ114" s="8"/>
      <c r="AK114" s="8"/>
      <c r="AL114" s="8"/>
      <c r="AM114" s="8"/>
      <c r="AN114" s="8"/>
    </row>
    <row r="115" spans="1:44" hidden="1" outlineLevel="1">
      <c r="A115" t="s">
        <v>72</v>
      </c>
      <c r="V115" s="8">
        <f>+SUM($C37:V37)</f>
        <v>6381.9813938305861</v>
      </c>
      <c r="W115" s="8">
        <f>+SUM($C37:W37)</f>
        <v>12763.962787661172</v>
      </c>
      <c r="X115" s="8">
        <f>+SUM($C37:X37)</f>
        <v>19145.944181491759</v>
      </c>
      <c r="Y115" s="8">
        <f>+SUM($C37:Y37)</f>
        <v>25527.925575322344</v>
      </c>
      <c r="Z115" s="8">
        <f>+SUM($C37:Z37)</f>
        <v>31909.906969152929</v>
      </c>
      <c r="AA115" s="8">
        <f>+SUM($C37:AA37)</f>
        <v>38291.888362983518</v>
      </c>
      <c r="AB115" s="8">
        <f>+SUM($C37:AB37)</f>
        <v>44673.869756814107</v>
      </c>
      <c r="AC115" s="8">
        <f>+SUM($C37:AC37)</f>
        <v>51055.851150644696</v>
      </c>
      <c r="AD115" s="8">
        <f>+SUM($C37:AD37)</f>
        <v>57437.832544475285</v>
      </c>
      <c r="AE115" s="8">
        <f>+SUM($C37:AE37)</f>
        <v>63819.813938305873</v>
      </c>
      <c r="AF115" s="8">
        <f>+SUM($C37:AF37)</f>
        <v>70201.795332136448</v>
      </c>
      <c r="AG115" s="8">
        <f>+SUM($C37:AG37)</f>
        <v>70201.795332136448</v>
      </c>
      <c r="AH115" s="8"/>
      <c r="AI115" s="8"/>
      <c r="AJ115" s="8"/>
      <c r="AK115" s="8"/>
      <c r="AL115" s="8"/>
      <c r="AM115" s="8"/>
      <c r="AN115" s="8"/>
      <c r="AO115" s="8"/>
    </row>
    <row r="116" spans="1:44" hidden="1" outlineLevel="1">
      <c r="A116" t="s">
        <v>73</v>
      </c>
      <c r="W116" s="8">
        <f>+SUM($C38:W38)</f>
        <v>5654.8346006950424</v>
      </c>
      <c r="X116" s="8">
        <f>+SUM($C38:X38)</f>
        <v>11309.669201390085</v>
      </c>
      <c r="Y116" s="8">
        <f>+SUM($C38:Y38)</f>
        <v>16964.503802085128</v>
      </c>
      <c r="Z116" s="8">
        <f>+SUM($C38:Z38)</f>
        <v>22619.338402780169</v>
      </c>
      <c r="AA116" s="8">
        <f>+SUM($C38:AA38)</f>
        <v>28274.173003475211</v>
      </c>
      <c r="AB116" s="8">
        <f>+SUM($C38:AB38)</f>
        <v>33929.007604170256</v>
      </c>
      <c r="AC116" s="8">
        <f>+SUM($C38:AC38)</f>
        <v>39583.842204865301</v>
      </c>
      <c r="AD116" s="8">
        <f>+SUM($C38:AD38)</f>
        <v>45238.676805560346</v>
      </c>
      <c r="AE116" s="8">
        <f>+SUM($C38:AE38)</f>
        <v>50893.511406255391</v>
      </c>
      <c r="AF116" s="8">
        <f>+SUM($C38:AF38)</f>
        <v>56548.346006950436</v>
      </c>
      <c r="AG116" s="8">
        <f>+SUM($C38:AG38)</f>
        <v>62203.180607645467</v>
      </c>
      <c r="AH116" s="8"/>
      <c r="AI116" s="8"/>
      <c r="AJ116" s="8"/>
      <c r="AK116" s="8"/>
      <c r="AL116" s="8"/>
      <c r="AM116" s="8"/>
      <c r="AN116" s="8"/>
      <c r="AO116" s="8"/>
      <c r="AP116" s="8"/>
    </row>
    <row r="117" spans="1:44" hidden="1" outlineLevel="1">
      <c r="A117" t="s">
        <v>74</v>
      </c>
      <c r="X117" s="8">
        <f>+SUM($C39:X39)</f>
        <v>5881.0232754915196</v>
      </c>
      <c r="Y117" s="8">
        <f>+SUM($C39:Y39)</f>
        <v>11762.046550983039</v>
      </c>
      <c r="Z117" s="8">
        <f>+SUM($C39:Z39)</f>
        <v>17643.069826474559</v>
      </c>
      <c r="AA117" s="8">
        <f>+SUM($C39:AA39)</f>
        <v>23524.093101966078</v>
      </c>
      <c r="AB117" s="8">
        <f>+SUM($C39:AB39)</f>
        <v>29405.116377457598</v>
      </c>
      <c r="AC117" s="8">
        <f>+SUM($C39:AC39)</f>
        <v>35286.139652949118</v>
      </c>
      <c r="AD117" s="8">
        <f>+SUM($C39:AD39)</f>
        <v>41167.162928440637</v>
      </c>
      <c r="AE117" s="8">
        <f>+SUM($C39:AE39)</f>
        <v>47048.186203932157</v>
      </c>
      <c r="AF117" s="8">
        <f>+SUM($C39:AF39)</f>
        <v>52929.209479423676</v>
      </c>
      <c r="AG117" s="8">
        <f>+SUM($C39:AG39)</f>
        <v>58810.232754915196</v>
      </c>
      <c r="AH117" s="8"/>
      <c r="AI117" s="8"/>
      <c r="AJ117" s="8"/>
      <c r="AK117" s="8"/>
      <c r="AL117" s="8"/>
      <c r="AM117" s="8"/>
      <c r="AN117" s="8"/>
      <c r="AO117" s="8"/>
      <c r="AP117" s="8"/>
      <c r="AQ117" s="8"/>
    </row>
    <row r="118" spans="1:44" hidden="1" outlineLevel="1">
      <c r="A118" t="s">
        <v>75</v>
      </c>
      <c r="Y118" s="8">
        <f>+SUM($C40:Y40)</f>
        <v>6046.8710713065602</v>
      </c>
      <c r="Z118" s="8">
        <f>+SUM($C40:Z40)</f>
        <v>12093.74214261312</v>
      </c>
      <c r="AA118" s="8">
        <f>+SUM($C40:AA40)</f>
        <v>18140.613213919682</v>
      </c>
      <c r="AB118" s="8">
        <f>+SUM($C40:AB40)</f>
        <v>24187.484285226241</v>
      </c>
      <c r="AC118" s="8">
        <f>+SUM($C40:AC40)</f>
        <v>30234.3553565328</v>
      </c>
      <c r="AD118" s="8">
        <f>+SUM($C40:AD40)</f>
        <v>36281.226427839363</v>
      </c>
      <c r="AE118" s="8">
        <f>+SUM($C40:AE40)</f>
        <v>42328.097499145922</v>
      </c>
      <c r="AF118" s="8">
        <f>+SUM($C40:AF40)</f>
        <v>48374.968570452482</v>
      </c>
      <c r="AG118" s="8">
        <f>+SUM($C40:AG40)</f>
        <v>54421.839641759041</v>
      </c>
      <c r="AH118" s="8"/>
      <c r="AI118" s="8"/>
      <c r="AJ118" s="8"/>
      <c r="AK118" s="8"/>
      <c r="AL118" s="8"/>
      <c r="AM118" s="8"/>
      <c r="AN118" s="8"/>
      <c r="AO118" s="8"/>
      <c r="AP118" s="8"/>
      <c r="AQ118" s="8"/>
      <c r="AR118" s="8"/>
    </row>
    <row r="119" spans="1:44" hidden="1" outlineLevel="1">
      <c r="A119" t="s">
        <v>76</v>
      </c>
      <c r="Y119" s="8"/>
      <c r="Z119" s="8">
        <f>+SUM($C41:Z41)</f>
        <v>6133.2928955647421</v>
      </c>
      <c r="AA119" s="8">
        <f>+SUM($C41:AA41)</f>
        <v>12266.585791129484</v>
      </c>
      <c r="AB119" s="8">
        <f>+SUM($C41:AB41)</f>
        <v>18399.878686694225</v>
      </c>
      <c r="AC119" s="8">
        <f>+SUM($C41:AC41)</f>
        <v>24533.171582258969</v>
      </c>
      <c r="AD119" s="8">
        <f>+SUM($C41:AD41)</f>
        <v>30666.464477823713</v>
      </c>
      <c r="AE119" s="8">
        <f>+SUM($C41:AE41)</f>
        <v>36799.757373388456</v>
      </c>
      <c r="AF119" s="8">
        <f>+SUM($C41:AF41)</f>
        <v>42933.0502689532</v>
      </c>
      <c r="AG119" s="8">
        <f>+SUM($C41:AG41)</f>
        <v>49066.343164517944</v>
      </c>
      <c r="AH119" s="8"/>
      <c r="AI119" s="8"/>
      <c r="AJ119" s="8"/>
      <c r="AK119" s="8"/>
      <c r="AL119" s="8"/>
      <c r="AM119" s="8"/>
      <c r="AN119" s="8"/>
      <c r="AO119" s="8"/>
      <c r="AP119" s="8"/>
      <c r="AQ119" s="8"/>
      <c r="AR119" s="8"/>
    </row>
    <row r="120" spans="1:44" hidden="1" outlineLevel="1">
      <c r="A120" t="s">
        <v>77</v>
      </c>
      <c r="Y120" s="8"/>
      <c r="Z120" s="8"/>
      <c r="AA120" s="8">
        <f>+SUM($C42:AA42)</f>
        <v>6117.2825962643719</v>
      </c>
      <c r="AB120" s="8">
        <f>+SUM($C42:AB42)</f>
        <v>12234.565192528744</v>
      </c>
      <c r="AC120" s="8">
        <f>+SUM($C42:AC42)</f>
        <v>18351.847788793115</v>
      </c>
      <c r="AD120" s="8">
        <f>+SUM($C42:AD42)</f>
        <v>24469.130385057488</v>
      </c>
      <c r="AE120" s="8">
        <f>+SUM($C42:AE42)</f>
        <v>30586.412981321861</v>
      </c>
      <c r="AF120" s="8">
        <f>+SUM($C42:AF42)</f>
        <v>36703.69557758623</v>
      </c>
      <c r="AG120" s="8">
        <f>+SUM($C42:AG42)</f>
        <v>42820.978173850599</v>
      </c>
      <c r="AH120" s="8"/>
      <c r="AI120" s="8"/>
      <c r="AJ120" s="8"/>
      <c r="AK120" s="8"/>
      <c r="AL120" s="8"/>
      <c r="AM120" s="8"/>
      <c r="AN120" s="8"/>
      <c r="AO120" s="8"/>
      <c r="AP120" s="8"/>
      <c r="AQ120" s="8"/>
      <c r="AR120" s="8"/>
    </row>
    <row r="121" spans="1:44" hidden="1" outlineLevel="1">
      <c r="A121" t="s">
        <v>78</v>
      </c>
      <c r="Y121" s="8"/>
      <c r="Z121" s="8"/>
      <c r="AA121" s="8"/>
      <c r="AB121" s="8">
        <f>+SUM($C43:AB43)</f>
        <v>6468.8180112508117</v>
      </c>
      <c r="AC121" s="8">
        <f>+SUM($C43:AC43)</f>
        <v>12937.636022501623</v>
      </c>
      <c r="AD121" s="8">
        <f>+SUM($C43:AD43)</f>
        <v>19406.454033752434</v>
      </c>
      <c r="AE121" s="8">
        <f>+SUM($C43:AE43)</f>
        <v>25875.272045003247</v>
      </c>
      <c r="AF121" s="8">
        <f>+SUM($C43:AF43)</f>
        <v>32344.090056254059</v>
      </c>
      <c r="AG121" s="8">
        <f>+SUM($C43:AG43)</f>
        <v>38812.908067504868</v>
      </c>
      <c r="AH121" s="8"/>
      <c r="AI121" s="8"/>
      <c r="AJ121" s="8"/>
      <c r="AK121" s="8"/>
      <c r="AL121" s="8"/>
      <c r="AM121" s="8"/>
      <c r="AN121" s="8"/>
      <c r="AO121" s="8"/>
      <c r="AP121" s="8"/>
      <c r="AQ121" s="8"/>
      <c r="AR121" s="8"/>
    </row>
    <row r="122" spans="1:44" hidden="1" outlineLevel="1">
      <c r="A122" t="s">
        <v>79</v>
      </c>
      <c r="Y122" s="8"/>
      <c r="Z122" s="8"/>
      <c r="AA122" s="8"/>
      <c r="AB122" s="8"/>
      <c r="AC122" s="8">
        <f>+SUM($C44:AC44)</f>
        <v>6794.4515248541638</v>
      </c>
      <c r="AD122" s="8">
        <f>+SUM($C44:AD44)</f>
        <v>13588.903049708328</v>
      </c>
      <c r="AE122" s="8">
        <f>+SUM($C44:AE44)</f>
        <v>20383.354574562491</v>
      </c>
      <c r="AF122" s="8">
        <f>+SUM($C44:AF44)</f>
        <v>27177.806099416655</v>
      </c>
      <c r="AG122" s="8">
        <f>+SUM($C44:AG44)</f>
        <v>33972.257624270816</v>
      </c>
      <c r="AH122" s="8"/>
      <c r="AI122" s="8"/>
      <c r="AJ122" s="8"/>
      <c r="AK122" s="8"/>
      <c r="AL122" s="8"/>
      <c r="AM122" s="8"/>
      <c r="AN122" s="8"/>
      <c r="AO122" s="8"/>
      <c r="AP122" s="8"/>
      <c r="AQ122" s="8"/>
      <c r="AR122" s="8"/>
    </row>
    <row r="123" spans="1:44" hidden="1" outlineLevel="1">
      <c r="A123" t="s">
        <v>80</v>
      </c>
      <c r="Y123" s="8"/>
      <c r="Z123" s="8"/>
      <c r="AA123" s="8"/>
      <c r="AB123" s="8"/>
      <c r="AC123" s="8"/>
      <c r="AD123" s="8">
        <f>+SUM($C45:AD45)</f>
        <v>7725.5055653607715</v>
      </c>
      <c r="AE123" s="8">
        <f>+SUM($C45:AE45)</f>
        <v>15451.011130721543</v>
      </c>
      <c r="AF123" s="8">
        <f>+SUM($C45:AF45)</f>
        <v>23176.516696082315</v>
      </c>
      <c r="AG123" s="8">
        <f>+SUM($C45:AG45)</f>
        <v>30902.022261443086</v>
      </c>
      <c r="AH123" s="8"/>
      <c r="AI123" s="8"/>
      <c r="AJ123" s="8"/>
      <c r="AK123" s="8"/>
      <c r="AL123" s="8"/>
      <c r="AM123" s="8"/>
      <c r="AN123" s="8"/>
      <c r="AO123" s="8"/>
      <c r="AP123" s="8"/>
      <c r="AQ123" s="8"/>
      <c r="AR123" s="8"/>
    </row>
    <row r="124" spans="1:44" hidden="1" outlineLevel="1">
      <c r="A124" t="s">
        <v>81</v>
      </c>
      <c r="Y124" s="8"/>
      <c r="Z124" s="8"/>
      <c r="AA124" s="8"/>
      <c r="AB124" s="8"/>
      <c r="AC124" s="8"/>
      <c r="AD124" s="8"/>
      <c r="AE124" s="8">
        <f>+SUM($C46:AE46)</f>
        <v>8778.4088119519238</v>
      </c>
      <c r="AF124" s="8">
        <f>+SUM($C46:AF46)</f>
        <v>17556.817623903848</v>
      </c>
      <c r="AG124" s="8">
        <f>+SUM($C46:AG46)</f>
        <v>26335.226435855773</v>
      </c>
      <c r="AH124" s="8"/>
      <c r="AI124" s="8"/>
      <c r="AJ124" s="8"/>
      <c r="AK124" s="8"/>
      <c r="AL124" s="8"/>
      <c r="AM124" s="8"/>
      <c r="AN124" s="8"/>
      <c r="AO124" s="8"/>
      <c r="AP124" s="8"/>
      <c r="AQ124" s="8"/>
      <c r="AR124" s="8"/>
    </row>
    <row r="125" spans="1:44" hidden="1" outlineLevel="1">
      <c r="A125" t="s">
        <v>82</v>
      </c>
      <c r="Y125" s="8"/>
      <c r="Z125" s="8"/>
      <c r="AA125" s="8"/>
      <c r="AB125" s="8"/>
      <c r="AC125" s="8"/>
      <c r="AD125" s="8"/>
      <c r="AE125" s="8"/>
      <c r="AF125" s="8">
        <f>+SUM($C47:AF47)</f>
        <v>9969.0154684925292</v>
      </c>
      <c r="AG125" s="8">
        <f>+SUM($C47:AG47)</f>
        <v>19938.030936985058</v>
      </c>
      <c r="AH125" s="8"/>
      <c r="AI125" s="8"/>
      <c r="AJ125" s="8"/>
      <c r="AK125" s="8"/>
      <c r="AL125" s="8"/>
      <c r="AM125" s="8"/>
      <c r="AN125" s="8"/>
      <c r="AO125" s="8"/>
      <c r="AP125" s="8"/>
      <c r="AQ125" s="8"/>
      <c r="AR125" s="8"/>
    </row>
    <row r="126" spans="1:44" hidden="1" outlineLevel="1">
      <c r="A126" t="s">
        <v>83</v>
      </c>
      <c r="Y126" s="8"/>
      <c r="Z126" s="8"/>
      <c r="AA126" s="8"/>
      <c r="AB126" s="8"/>
      <c r="AC126" s="8"/>
      <c r="AD126" s="8"/>
      <c r="AE126" s="8"/>
      <c r="AF126" s="8"/>
      <c r="AG126" s="8">
        <f>+SUM($C48:AG48)</f>
        <v>11315.241020070187</v>
      </c>
      <c r="AH126" s="8"/>
      <c r="AI126" s="8"/>
      <c r="AJ126" s="8"/>
      <c r="AK126" s="8"/>
      <c r="AL126" s="8"/>
      <c r="AM126" s="8"/>
      <c r="AN126" s="8"/>
      <c r="AO126" s="8"/>
      <c r="AP126" s="8"/>
      <c r="AQ126" s="8"/>
      <c r="AR126" s="8"/>
    </row>
    <row r="127" spans="1:44" hidden="1" outlineLevel="1">
      <c r="A127" t="s">
        <v>911</v>
      </c>
      <c r="Y127" s="8"/>
      <c r="Z127" s="8"/>
      <c r="AA127" s="8"/>
      <c r="AB127" s="8"/>
      <c r="AC127" s="8"/>
      <c r="AD127" s="8"/>
      <c r="AE127" s="8"/>
      <c r="AF127" s="8"/>
      <c r="AG127" s="8"/>
      <c r="AH127" s="8"/>
      <c r="AI127" s="8"/>
      <c r="AJ127" s="8"/>
      <c r="AK127" s="8"/>
      <c r="AL127" s="8"/>
      <c r="AM127" s="8"/>
      <c r="AN127" s="8"/>
      <c r="AO127" s="8"/>
      <c r="AP127" s="8"/>
      <c r="AQ127" s="8"/>
      <c r="AR127" s="8"/>
    </row>
    <row r="128" spans="1:44" hidden="1" outlineLevel="1"/>
    <row r="129" spans="1:37" ht="10.5" hidden="1" outlineLevel="1">
      <c r="A129" s="45" t="s">
        <v>925</v>
      </c>
    </row>
    <row r="130" spans="1:37" hidden="1" outlineLevel="1">
      <c r="A130" t="str">
        <f>+A97</f>
        <v>FY07 and prior</v>
      </c>
      <c r="D130" s="8">
        <f t="shared" ref="D130:AF139" si="79">+D64-D97</f>
        <v>8117.2</v>
      </c>
      <c r="E130" s="8">
        <f t="shared" si="79"/>
        <v>6868.4</v>
      </c>
      <c r="F130" s="8">
        <f t="shared" si="79"/>
        <v>5619.6</v>
      </c>
      <c r="G130" s="8">
        <f t="shared" si="79"/>
        <v>4370.8</v>
      </c>
      <c r="H130" s="8">
        <f t="shared" si="79"/>
        <v>3122</v>
      </c>
      <c r="I130" s="8">
        <f t="shared" si="79"/>
        <v>1873.1999999999998</v>
      </c>
      <c r="J130" s="8">
        <f t="shared" si="79"/>
        <v>624.39999999999964</v>
      </c>
      <c r="K130" s="8">
        <f t="shared" si="79"/>
        <v>0</v>
      </c>
      <c r="L130" s="8">
        <f t="shared" si="79"/>
        <v>0</v>
      </c>
      <c r="M130" s="8">
        <f t="shared" si="79"/>
        <v>0</v>
      </c>
      <c r="N130" s="8">
        <f t="shared" si="79"/>
        <v>0</v>
      </c>
      <c r="O130" s="8">
        <f t="shared" si="79"/>
        <v>0</v>
      </c>
      <c r="P130" s="8">
        <f>+P64-P97</f>
        <v>0</v>
      </c>
      <c r="Q130" s="8">
        <f t="shared" si="79"/>
        <v>0</v>
      </c>
      <c r="R130" s="8">
        <f t="shared" si="79"/>
        <v>0</v>
      </c>
      <c r="S130" s="8">
        <f t="shared" si="79"/>
        <v>0</v>
      </c>
      <c r="T130" s="8">
        <f t="shared" si="79"/>
        <v>0</v>
      </c>
      <c r="U130" s="8">
        <f t="shared" ref="U130" si="80">+U64-U97</f>
        <v>0</v>
      </c>
      <c r="V130" s="8">
        <f t="shared" si="79"/>
        <v>0</v>
      </c>
      <c r="W130" s="8">
        <f t="shared" si="79"/>
        <v>0</v>
      </c>
      <c r="X130" s="8">
        <f t="shared" si="79"/>
        <v>0</v>
      </c>
      <c r="Y130" s="8">
        <f t="shared" si="79"/>
        <v>0</v>
      </c>
      <c r="Z130" s="8">
        <f t="shared" si="79"/>
        <v>0</v>
      </c>
      <c r="AA130" s="8">
        <f t="shared" si="79"/>
        <v>0</v>
      </c>
      <c r="AB130" s="8">
        <f t="shared" si="79"/>
        <v>0</v>
      </c>
      <c r="AC130" s="8">
        <f t="shared" si="79"/>
        <v>0</v>
      </c>
      <c r="AD130" s="8">
        <f t="shared" si="79"/>
        <v>0</v>
      </c>
      <c r="AE130" s="8">
        <f t="shared" si="79"/>
        <v>0</v>
      </c>
      <c r="AF130" s="8">
        <f t="shared" si="79"/>
        <v>0</v>
      </c>
      <c r="AG130" s="8">
        <f t="shared" ref="AG130" si="81">+AG64-AG97</f>
        <v>0</v>
      </c>
    </row>
    <row r="131" spans="1:37" hidden="1" outlineLevel="1">
      <c r="A131" t="s">
        <v>247</v>
      </c>
      <c r="E131" s="8">
        <f t="shared" si="79"/>
        <v>2754.2666666666664</v>
      </c>
      <c r="F131" s="8">
        <f t="shared" si="79"/>
        <v>2330.5333333333333</v>
      </c>
      <c r="G131" s="8">
        <f t="shared" si="79"/>
        <v>1906.8</v>
      </c>
      <c r="H131" s="8">
        <f t="shared" si="79"/>
        <v>1483.0666666666666</v>
      </c>
      <c r="I131" s="8">
        <f t="shared" si="79"/>
        <v>1059.333333333333</v>
      </c>
      <c r="J131" s="8">
        <f t="shared" si="79"/>
        <v>635.59999999999945</v>
      </c>
      <c r="K131" s="8">
        <f t="shared" si="79"/>
        <v>211.86666666666588</v>
      </c>
      <c r="L131" s="8">
        <f t="shared" si="79"/>
        <v>0</v>
      </c>
      <c r="M131" s="8">
        <f t="shared" si="79"/>
        <v>0</v>
      </c>
      <c r="N131" s="8">
        <f t="shared" si="79"/>
        <v>0</v>
      </c>
      <c r="O131" s="8">
        <f t="shared" si="79"/>
        <v>0</v>
      </c>
      <c r="P131" s="8">
        <f t="shared" si="79"/>
        <v>0</v>
      </c>
      <c r="Q131" s="8">
        <f t="shared" si="79"/>
        <v>0</v>
      </c>
      <c r="R131" s="8">
        <f t="shared" si="79"/>
        <v>0</v>
      </c>
      <c r="S131" s="8">
        <f t="shared" si="79"/>
        <v>0</v>
      </c>
      <c r="T131" s="8">
        <f t="shared" si="79"/>
        <v>0</v>
      </c>
      <c r="U131" s="8">
        <f t="shared" ref="U131" si="82">+U65-U98</f>
        <v>0</v>
      </c>
      <c r="V131" s="8">
        <f t="shared" si="79"/>
        <v>0</v>
      </c>
      <c r="W131" s="8">
        <f t="shared" si="79"/>
        <v>0</v>
      </c>
      <c r="X131" s="8">
        <f t="shared" si="79"/>
        <v>0</v>
      </c>
      <c r="Y131" s="8">
        <f t="shared" si="79"/>
        <v>0</v>
      </c>
      <c r="Z131" s="8">
        <f t="shared" si="79"/>
        <v>0</v>
      </c>
      <c r="AA131" s="8">
        <f t="shared" si="79"/>
        <v>0</v>
      </c>
      <c r="AB131" s="8">
        <f t="shared" si="79"/>
        <v>0</v>
      </c>
      <c r="AC131" s="8">
        <f t="shared" si="79"/>
        <v>0</v>
      </c>
      <c r="AD131" s="8">
        <f t="shared" si="79"/>
        <v>0</v>
      </c>
      <c r="AE131" s="8">
        <f t="shared" si="79"/>
        <v>0</v>
      </c>
      <c r="AF131" s="8">
        <f t="shared" si="79"/>
        <v>0</v>
      </c>
      <c r="AG131" s="8">
        <f t="shared" ref="AG131" si="83">+AG65-AG98</f>
        <v>0</v>
      </c>
    </row>
    <row r="132" spans="1:37" hidden="1" outlineLevel="1">
      <c r="A132" t="s">
        <v>248</v>
      </c>
      <c r="F132" s="8">
        <f t="shared" si="79"/>
        <v>2199.6</v>
      </c>
      <c r="G132" s="8">
        <f t="shared" si="79"/>
        <v>1861.2</v>
      </c>
      <c r="H132" s="8">
        <f t="shared" si="79"/>
        <v>1522.8000000000002</v>
      </c>
      <c r="I132" s="8">
        <f t="shared" si="79"/>
        <v>1184.4000000000001</v>
      </c>
      <c r="J132" s="8">
        <f t="shared" si="79"/>
        <v>846</v>
      </c>
      <c r="K132" s="8">
        <f t="shared" si="79"/>
        <v>507.59999999999991</v>
      </c>
      <c r="L132" s="8">
        <f t="shared" si="79"/>
        <v>169.19999999999982</v>
      </c>
      <c r="M132" s="8">
        <f t="shared" si="79"/>
        <v>0</v>
      </c>
      <c r="N132" s="8">
        <f t="shared" si="79"/>
        <v>0</v>
      </c>
      <c r="O132" s="8">
        <f t="shared" si="79"/>
        <v>0</v>
      </c>
      <c r="P132" s="8">
        <f t="shared" si="79"/>
        <v>0</v>
      </c>
      <c r="Q132" s="8">
        <f t="shared" si="79"/>
        <v>0</v>
      </c>
      <c r="R132" s="8">
        <f t="shared" si="79"/>
        <v>0</v>
      </c>
      <c r="S132" s="8">
        <f t="shared" si="79"/>
        <v>0</v>
      </c>
      <c r="T132" s="8">
        <f t="shared" si="79"/>
        <v>0</v>
      </c>
      <c r="U132" s="8">
        <f t="shared" ref="U132" si="84">+U66-U99</f>
        <v>0</v>
      </c>
      <c r="V132" s="8">
        <f t="shared" si="79"/>
        <v>0</v>
      </c>
      <c r="W132" s="8">
        <f t="shared" si="79"/>
        <v>0</v>
      </c>
      <c r="X132" s="8">
        <f t="shared" si="79"/>
        <v>0</v>
      </c>
      <c r="Y132" s="8">
        <f t="shared" si="79"/>
        <v>0</v>
      </c>
      <c r="Z132" s="8">
        <f t="shared" si="79"/>
        <v>0</v>
      </c>
      <c r="AA132" s="8">
        <f t="shared" si="79"/>
        <v>0</v>
      </c>
      <c r="AB132" s="8">
        <f t="shared" si="79"/>
        <v>0</v>
      </c>
      <c r="AC132" s="8">
        <f t="shared" si="79"/>
        <v>0</v>
      </c>
      <c r="AD132" s="8">
        <f t="shared" si="79"/>
        <v>0</v>
      </c>
      <c r="AE132" s="8">
        <f t="shared" si="79"/>
        <v>0</v>
      </c>
      <c r="AF132" s="8">
        <f t="shared" si="79"/>
        <v>0</v>
      </c>
      <c r="AG132" s="8">
        <f t="shared" ref="AG132" si="85">+AG66-AG99</f>
        <v>0</v>
      </c>
    </row>
    <row r="133" spans="1:37" hidden="1" outlineLevel="1">
      <c r="A133" t="s">
        <v>249</v>
      </c>
      <c r="G133" s="8">
        <f t="shared" si="79"/>
        <v>1020.0666666666666</v>
      </c>
      <c r="H133" s="8">
        <f t="shared" si="79"/>
        <v>863.13333333333333</v>
      </c>
      <c r="I133" s="8">
        <f t="shared" si="79"/>
        <v>706.2</v>
      </c>
      <c r="J133" s="8">
        <f t="shared" si="79"/>
        <v>549.26666666666665</v>
      </c>
      <c r="K133" s="8">
        <f t="shared" si="79"/>
        <v>392.33333333333326</v>
      </c>
      <c r="L133" s="8">
        <f t="shared" si="79"/>
        <v>235.39999999999986</v>
      </c>
      <c r="M133" s="8">
        <f t="shared" si="79"/>
        <v>78.46666666666647</v>
      </c>
      <c r="N133" s="8">
        <f t="shared" si="79"/>
        <v>0</v>
      </c>
      <c r="O133" s="8">
        <f t="shared" si="79"/>
        <v>0</v>
      </c>
      <c r="P133" s="8">
        <f t="shared" si="79"/>
        <v>0</v>
      </c>
      <c r="Q133" s="8">
        <f t="shared" si="79"/>
        <v>0</v>
      </c>
      <c r="R133" s="8">
        <f t="shared" si="79"/>
        <v>0</v>
      </c>
      <c r="S133" s="8">
        <f t="shared" si="79"/>
        <v>0</v>
      </c>
      <c r="T133" s="8">
        <f t="shared" si="79"/>
        <v>0</v>
      </c>
      <c r="U133" s="8">
        <f t="shared" ref="U133" si="86">+U67-U100</f>
        <v>0</v>
      </c>
      <c r="V133" s="8">
        <f t="shared" si="79"/>
        <v>0</v>
      </c>
      <c r="W133" s="8">
        <f t="shared" si="79"/>
        <v>0</v>
      </c>
      <c r="X133" s="8">
        <f t="shared" si="79"/>
        <v>0</v>
      </c>
      <c r="Y133" s="8">
        <f t="shared" si="79"/>
        <v>0</v>
      </c>
      <c r="Z133" s="8">
        <f t="shared" si="79"/>
        <v>0</v>
      </c>
      <c r="AA133" s="8">
        <f t="shared" si="79"/>
        <v>0</v>
      </c>
      <c r="AB133" s="8">
        <f t="shared" si="79"/>
        <v>0</v>
      </c>
      <c r="AC133" s="8">
        <f t="shared" si="79"/>
        <v>0</v>
      </c>
      <c r="AD133" s="8">
        <f t="shared" si="79"/>
        <v>0</v>
      </c>
      <c r="AE133" s="8">
        <f t="shared" si="79"/>
        <v>0</v>
      </c>
      <c r="AF133" s="8">
        <f t="shared" si="79"/>
        <v>0</v>
      </c>
      <c r="AG133" s="8">
        <f t="shared" ref="AG133" si="87">+AG67-AG100</f>
        <v>0</v>
      </c>
    </row>
    <row r="134" spans="1:37" hidden="1" outlineLevel="1">
      <c r="A134" t="s">
        <v>250</v>
      </c>
      <c r="H134" s="8">
        <f t="shared" si="79"/>
        <v>1501.0666666666666</v>
      </c>
      <c r="I134" s="8">
        <f t="shared" si="79"/>
        <v>1270.1333333333332</v>
      </c>
      <c r="J134" s="8">
        <f t="shared" si="79"/>
        <v>1039.2</v>
      </c>
      <c r="K134" s="8">
        <f t="shared" si="79"/>
        <v>808.26666666666665</v>
      </c>
      <c r="L134" s="8">
        <f t="shared" si="79"/>
        <v>577.33333333333326</v>
      </c>
      <c r="M134" s="8">
        <f t="shared" si="79"/>
        <v>346.39999999999986</v>
      </c>
      <c r="N134" s="8">
        <f t="shared" si="79"/>
        <v>115.46666666666647</v>
      </c>
      <c r="O134" s="8">
        <f t="shared" si="79"/>
        <v>0</v>
      </c>
      <c r="P134" s="8">
        <f t="shared" si="79"/>
        <v>0</v>
      </c>
      <c r="Q134" s="8">
        <f t="shared" si="79"/>
        <v>0</v>
      </c>
      <c r="R134" s="8">
        <f t="shared" si="79"/>
        <v>0</v>
      </c>
      <c r="S134" s="8">
        <f t="shared" si="79"/>
        <v>0</v>
      </c>
      <c r="T134" s="8">
        <f t="shared" si="79"/>
        <v>0</v>
      </c>
      <c r="U134" s="8">
        <f t="shared" ref="U134" si="88">+U68-U101</f>
        <v>0</v>
      </c>
      <c r="V134" s="8">
        <f t="shared" si="79"/>
        <v>0</v>
      </c>
      <c r="W134" s="8">
        <f t="shared" si="79"/>
        <v>0</v>
      </c>
      <c r="X134" s="8">
        <f t="shared" si="79"/>
        <v>0</v>
      </c>
      <c r="Y134" s="8">
        <f t="shared" si="79"/>
        <v>0</v>
      </c>
      <c r="Z134" s="8">
        <f t="shared" si="79"/>
        <v>0</v>
      </c>
      <c r="AA134" s="8">
        <f t="shared" si="79"/>
        <v>0</v>
      </c>
      <c r="AB134" s="8">
        <f t="shared" si="79"/>
        <v>0</v>
      </c>
      <c r="AC134" s="8">
        <f t="shared" si="79"/>
        <v>0</v>
      </c>
      <c r="AD134" s="8">
        <f t="shared" si="79"/>
        <v>0</v>
      </c>
      <c r="AE134" s="8">
        <f t="shared" si="79"/>
        <v>0</v>
      </c>
      <c r="AF134" s="8">
        <f t="shared" si="79"/>
        <v>0</v>
      </c>
      <c r="AG134" s="8">
        <f t="shared" ref="AG134" si="89">+AG68-AG101</f>
        <v>0</v>
      </c>
    </row>
    <row r="135" spans="1:37" hidden="1" outlineLevel="1">
      <c r="A135" t="s">
        <v>251</v>
      </c>
      <c r="I135" s="8">
        <f t="shared" si="79"/>
        <v>1074.6666666666667</v>
      </c>
      <c r="J135" s="8">
        <f t="shared" si="79"/>
        <v>909.33333333333326</v>
      </c>
      <c r="K135" s="8">
        <f t="shared" si="79"/>
        <v>744</v>
      </c>
      <c r="L135" s="8">
        <f t="shared" si="79"/>
        <v>578.66666666666663</v>
      </c>
      <c r="M135" s="8">
        <f t="shared" si="79"/>
        <v>413.33333333333326</v>
      </c>
      <c r="N135" s="8">
        <f t="shared" si="79"/>
        <v>247.99999999999989</v>
      </c>
      <c r="O135" s="8">
        <f t="shared" si="79"/>
        <v>82.666666666666515</v>
      </c>
      <c r="P135" s="8">
        <f t="shared" si="79"/>
        <v>0</v>
      </c>
      <c r="Q135" s="8">
        <f t="shared" si="79"/>
        <v>0</v>
      </c>
      <c r="R135" s="8">
        <f t="shared" si="79"/>
        <v>0</v>
      </c>
      <c r="S135" s="8">
        <f t="shared" si="79"/>
        <v>0</v>
      </c>
      <c r="T135" s="8">
        <f t="shared" si="79"/>
        <v>0</v>
      </c>
      <c r="U135" s="8">
        <f t="shared" ref="U135" si="90">+U69-U102</f>
        <v>0</v>
      </c>
      <c r="V135" s="8">
        <f t="shared" si="79"/>
        <v>0</v>
      </c>
      <c r="W135" s="8">
        <f t="shared" si="79"/>
        <v>0</v>
      </c>
      <c r="X135" s="8">
        <f t="shared" si="79"/>
        <v>0</v>
      </c>
      <c r="Y135" s="8">
        <f t="shared" si="79"/>
        <v>0</v>
      </c>
      <c r="Z135" s="8">
        <f t="shared" si="79"/>
        <v>0</v>
      </c>
      <c r="AA135" s="8">
        <f t="shared" si="79"/>
        <v>0</v>
      </c>
      <c r="AB135" s="8">
        <f t="shared" si="79"/>
        <v>0</v>
      </c>
      <c r="AC135" s="8">
        <f t="shared" si="79"/>
        <v>0</v>
      </c>
      <c r="AD135" s="8">
        <f t="shared" si="79"/>
        <v>0</v>
      </c>
      <c r="AE135" s="8">
        <f t="shared" si="79"/>
        <v>0</v>
      </c>
      <c r="AF135" s="8">
        <f t="shared" si="79"/>
        <v>0</v>
      </c>
      <c r="AG135" s="8">
        <f t="shared" ref="AG135" si="91">+AG69-AG102</f>
        <v>0</v>
      </c>
    </row>
    <row r="136" spans="1:37" hidden="1" outlineLevel="1">
      <c r="A136" t="s">
        <v>252</v>
      </c>
      <c r="J136" s="8">
        <f t="shared" si="79"/>
        <v>2836.6</v>
      </c>
      <c r="K136" s="8">
        <f t="shared" si="79"/>
        <v>2400.1999999999998</v>
      </c>
      <c r="L136" s="8">
        <f t="shared" si="79"/>
        <v>1963.8000000000002</v>
      </c>
      <c r="M136" s="8">
        <f t="shared" si="79"/>
        <v>1527.4</v>
      </c>
      <c r="N136" s="8">
        <f t="shared" si="79"/>
        <v>1091</v>
      </c>
      <c r="O136" s="8">
        <f t="shared" si="79"/>
        <v>654.59999999999991</v>
      </c>
      <c r="P136" s="8">
        <f t="shared" si="79"/>
        <v>218.19999999999982</v>
      </c>
      <c r="Q136" s="8">
        <f t="shared" si="79"/>
        <v>0</v>
      </c>
      <c r="R136" s="8">
        <f t="shared" si="79"/>
        <v>0</v>
      </c>
      <c r="S136" s="8">
        <f t="shared" si="79"/>
        <v>0</v>
      </c>
      <c r="T136" s="8">
        <f t="shared" si="79"/>
        <v>0</v>
      </c>
      <c r="U136" s="8">
        <f t="shared" ref="U136" si="92">+U70-U103</f>
        <v>0</v>
      </c>
      <c r="V136" s="8">
        <f t="shared" si="79"/>
        <v>0</v>
      </c>
      <c r="W136" s="8">
        <f t="shared" si="79"/>
        <v>0</v>
      </c>
      <c r="X136" s="8">
        <f t="shared" si="79"/>
        <v>0</v>
      </c>
      <c r="Y136" s="8">
        <f t="shared" si="79"/>
        <v>0</v>
      </c>
      <c r="Z136" s="8">
        <f t="shared" si="79"/>
        <v>0</v>
      </c>
      <c r="AA136" s="8">
        <f t="shared" si="79"/>
        <v>0</v>
      </c>
      <c r="AB136" s="8">
        <f t="shared" si="79"/>
        <v>0</v>
      </c>
      <c r="AC136" s="8">
        <f t="shared" si="79"/>
        <v>0</v>
      </c>
      <c r="AD136" s="8">
        <f t="shared" si="79"/>
        <v>0</v>
      </c>
      <c r="AE136" s="8">
        <f t="shared" si="79"/>
        <v>0</v>
      </c>
      <c r="AF136" s="8">
        <f t="shared" si="79"/>
        <v>0</v>
      </c>
      <c r="AG136" s="8">
        <f t="shared" ref="AG136" si="93">+AG70-AG103</f>
        <v>0</v>
      </c>
    </row>
    <row r="137" spans="1:37" hidden="1" outlineLevel="1">
      <c r="A137" t="s">
        <v>253</v>
      </c>
      <c r="K137" s="8">
        <f t="shared" si="79"/>
        <v>4593.333333333333</v>
      </c>
      <c r="L137" s="8">
        <f t="shared" si="79"/>
        <v>3886.666666666667</v>
      </c>
      <c r="M137" s="8">
        <f t="shared" si="79"/>
        <v>3180</v>
      </c>
      <c r="N137" s="8">
        <f t="shared" si="79"/>
        <v>2473.3333333333335</v>
      </c>
      <c r="O137" s="8">
        <f t="shared" si="79"/>
        <v>1766.666666666667</v>
      </c>
      <c r="P137" s="8">
        <f t="shared" si="79"/>
        <v>1060</v>
      </c>
      <c r="Q137" s="8">
        <f t="shared" si="79"/>
        <v>353.33333333333303</v>
      </c>
      <c r="R137" s="8">
        <f t="shared" si="79"/>
        <v>0</v>
      </c>
      <c r="S137" s="8">
        <f t="shared" si="79"/>
        <v>0</v>
      </c>
      <c r="T137" s="8">
        <f t="shared" si="79"/>
        <v>0</v>
      </c>
      <c r="U137" s="8">
        <f t="shared" ref="U137" si="94">+U71-U104</f>
        <v>0</v>
      </c>
      <c r="V137" s="8">
        <f t="shared" si="79"/>
        <v>0</v>
      </c>
      <c r="W137" s="8">
        <f t="shared" si="79"/>
        <v>0</v>
      </c>
      <c r="X137" s="8">
        <f t="shared" si="79"/>
        <v>0</v>
      </c>
      <c r="Y137" s="8">
        <f t="shared" si="79"/>
        <v>0</v>
      </c>
      <c r="Z137" s="8">
        <f t="shared" si="79"/>
        <v>0</v>
      </c>
      <c r="AA137" s="8">
        <f t="shared" si="79"/>
        <v>0</v>
      </c>
      <c r="AB137" s="8">
        <f t="shared" si="79"/>
        <v>0</v>
      </c>
      <c r="AC137" s="8">
        <f t="shared" si="79"/>
        <v>0</v>
      </c>
      <c r="AD137" s="8">
        <f t="shared" si="79"/>
        <v>0</v>
      </c>
      <c r="AE137" s="8">
        <f t="shared" si="79"/>
        <v>0</v>
      </c>
      <c r="AF137" s="8">
        <f t="shared" si="79"/>
        <v>0</v>
      </c>
      <c r="AG137" s="8">
        <f t="shared" ref="AG137" si="95">+AG71-AG104</f>
        <v>0</v>
      </c>
    </row>
    <row r="138" spans="1:37" hidden="1" outlineLevel="1">
      <c r="A138" t="s">
        <v>254</v>
      </c>
      <c r="L138" s="8">
        <f t="shared" si="79"/>
        <v>3928.6</v>
      </c>
      <c r="M138" s="8">
        <f t="shared" si="79"/>
        <v>3324.2</v>
      </c>
      <c r="N138" s="8">
        <f>+N72-N105</f>
        <v>2719.8</v>
      </c>
      <c r="O138" s="8">
        <f t="shared" si="79"/>
        <v>2115.4</v>
      </c>
      <c r="P138" s="8">
        <f t="shared" si="79"/>
        <v>1511</v>
      </c>
      <c r="Q138" s="8">
        <f t="shared" si="79"/>
        <v>906.59999999999991</v>
      </c>
      <c r="R138" s="8">
        <f t="shared" si="79"/>
        <v>402.93333333333339</v>
      </c>
      <c r="S138" s="8">
        <f t="shared" si="79"/>
        <v>0</v>
      </c>
      <c r="T138" s="8">
        <f t="shared" si="79"/>
        <v>0</v>
      </c>
      <c r="U138" s="8">
        <f t="shared" ref="U138" si="96">+U72-U105</f>
        <v>0</v>
      </c>
      <c r="V138" s="8">
        <f t="shared" si="79"/>
        <v>0</v>
      </c>
      <c r="W138" s="8">
        <f t="shared" si="79"/>
        <v>0</v>
      </c>
      <c r="X138" s="8">
        <f t="shared" si="79"/>
        <v>0</v>
      </c>
      <c r="Y138" s="8">
        <f t="shared" si="79"/>
        <v>0</v>
      </c>
      <c r="Z138" s="8">
        <f t="shared" si="79"/>
        <v>0</v>
      </c>
      <c r="AA138" s="8">
        <f t="shared" si="79"/>
        <v>0</v>
      </c>
      <c r="AB138" s="8">
        <f t="shared" si="79"/>
        <v>0</v>
      </c>
      <c r="AC138" s="8">
        <f t="shared" si="79"/>
        <v>0</v>
      </c>
      <c r="AD138" s="8">
        <f t="shared" si="79"/>
        <v>0</v>
      </c>
      <c r="AE138" s="8">
        <f t="shared" si="79"/>
        <v>0</v>
      </c>
      <c r="AF138" s="8">
        <f t="shared" si="79"/>
        <v>0</v>
      </c>
      <c r="AG138" s="8">
        <f t="shared" ref="AG138" si="97">+AG72-AG105</f>
        <v>0</v>
      </c>
    </row>
    <row r="139" spans="1:37" hidden="1" outlineLevel="1">
      <c r="A139" t="s">
        <v>255</v>
      </c>
      <c r="M139" s="8">
        <f t="shared" si="79"/>
        <v>5043.1333333333332</v>
      </c>
      <c r="N139" s="8">
        <f>+N73-N106</f>
        <v>4267.2666666666664</v>
      </c>
      <c r="O139" s="8">
        <f t="shared" si="79"/>
        <v>3491.4</v>
      </c>
      <c r="P139" s="8">
        <f t="shared" si="79"/>
        <v>2715.5333333333333</v>
      </c>
      <c r="Q139" s="8">
        <f t="shared" si="79"/>
        <v>1939.6666666666665</v>
      </c>
      <c r="R139" s="8">
        <f t="shared" si="79"/>
        <v>1293.1111111111113</v>
      </c>
      <c r="S139" s="8">
        <f t="shared" si="79"/>
        <v>646.55555555555566</v>
      </c>
      <c r="T139" s="8">
        <f t="shared" si="79"/>
        <v>117.55555555555566</v>
      </c>
      <c r="U139" s="8">
        <f t="shared" ref="U139" si="98">+U73-U106</f>
        <v>0</v>
      </c>
      <c r="V139" s="8">
        <f t="shared" si="79"/>
        <v>0</v>
      </c>
      <c r="W139" s="8">
        <f t="shared" si="79"/>
        <v>0</v>
      </c>
      <c r="X139" s="8">
        <f t="shared" si="79"/>
        <v>0</v>
      </c>
      <c r="Y139" s="8">
        <f t="shared" ref="Y139:AF154" si="99">+Y73-Y106</f>
        <v>0</v>
      </c>
      <c r="Z139" s="8">
        <f t="shared" si="99"/>
        <v>0</v>
      </c>
      <c r="AA139" s="8">
        <f t="shared" si="99"/>
        <v>0</v>
      </c>
      <c r="AB139" s="8">
        <f t="shared" si="99"/>
        <v>0</v>
      </c>
      <c r="AC139" s="8">
        <f t="shared" si="99"/>
        <v>0</v>
      </c>
      <c r="AD139" s="8">
        <f t="shared" si="99"/>
        <v>0</v>
      </c>
      <c r="AE139" s="8">
        <f t="shared" si="99"/>
        <v>0</v>
      </c>
      <c r="AF139" s="8">
        <f t="shared" si="99"/>
        <v>0</v>
      </c>
      <c r="AG139" s="8">
        <f t="shared" ref="AG139" si="100">+AG73-AG106</f>
        <v>0</v>
      </c>
    </row>
    <row r="140" spans="1:37" hidden="1" outlineLevel="1">
      <c r="A140" t="s">
        <v>256</v>
      </c>
      <c r="N140" s="8">
        <f t="shared" ref="N140:Y147" si="101">+N74-N107</f>
        <v>8456.0666666666657</v>
      </c>
      <c r="O140" s="8">
        <f t="shared" si="101"/>
        <v>7155.1333333333332</v>
      </c>
      <c r="P140" s="8">
        <f t="shared" si="101"/>
        <v>5854.2</v>
      </c>
      <c r="Q140" s="8">
        <f t="shared" si="101"/>
        <v>4553.2666666666664</v>
      </c>
      <c r="R140" s="8">
        <f t="shared" si="101"/>
        <v>3469.1555555555551</v>
      </c>
      <c r="S140" s="8">
        <f t="shared" si="101"/>
        <v>2385.0444444444438</v>
      </c>
      <c r="T140" s="8">
        <f t="shared" si="101"/>
        <v>1498.0444444444438</v>
      </c>
      <c r="U140" s="8">
        <f t="shared" ref="U140" si="102">+U74-U107</f>
        <v>611.0444444444438</v>
      </c>
      <c r="V140" s="8">
        <f t="shared" si="101"/>
        <v>0</v>
      </c>
      <c r="W140" s="8">
        <f t="shared" si="101"/>
        <v>0</v>
      </c>
      <c r="X140" s="8">
        <f t="shared" si="101"/>
        <v>0</v>
      </c>
      <c r="Y140" s="8">
        <f t="shared" si="101"/>
        <v>0</v>
      </c>
      <c r="Z140" s="8">
        <f t="shared" si="99"/>
        <v>0</v>
      </c>
      <c r="AA140" s="8">
        <f t="shared" si="99"/>
        <v>0</v>
      </c>
      <c r="AB140" s="8">
        <f t="shared" si="99"/>
        <v>0</v>
      </c>
      <c r="AC140" s="8">
        <f t="shared" si="99"/>
        <v>0</v>
      </c>
      <c r="AD140" s="8">
        <f t="shared" si="99"/>
        <v>0</v>
      </c>
      <c r="AE140" s="8">
        <f t="shared" si="99"/>
        <v>0</v>
      </c>
      <c r="AF140" s="8">
        <f t="shared" si="99"/>
        <v>0</v>
      </c>
      <c r="AG140" s="8">
        <f t="shared" ref="AG140" si="103">+AG74-AG107</f>
        <v>0</v>
      </c>
    </row>
    <row r="141" spans="1:37" hidden="1" outlineLevel="1">
      <c r="A141" t="s">
        <v>257</v>
      </c>
      <c r="O141" s="8">
        <f t="shared" si="101"/>
        <v>9334</v>
      </c>
      <c r="P141" s="8">
        <f t="shared" si="101"/>
        <v>7898</v>
      </c>
      <c r="Q141" s="8">
        <f t="shared" si="101"/>
        <v>6462</v>
      </c>
      <c r="R141" s="8">
        <f t="shared" si="101"/>
        <v>5265.333333333333</v>
      </c>
      <c r="S141" s="8">
        <f t="shared" si="101"/>
        <v>4068.6666666666661</v>
      </c>
      <c r="T141" s="8">
        <f t="shared" si="101"/>
        <v>3089.5757575757571</v>
      </c>
      <c r="U141" s="8">
        <f t="shared" ref="U141" si="104">+U75-U108</f>
        <v>2110.484848484848</v>
      </c>
      <c r="V141" s="8">
        <f t="shared" si="101"/>
        <v>1131.3939393939381</v>
      </c>
      <c r="W141" s="8">
        <f t="shared" si="101"/>
        <v>152.30303030302821</v>
      </c>
      <c r="X141" s="8">
        <f t="shared" si="101"/>
        <v>0</v>
      </c>
      <c r="Y141" s="8">
        <f t="shared" si="101"/>
        <v>0</v>
      </c>
      <c r="Z141" s="8">
        <f t="shared" si="99"/>
        <v>0</v>
      </c>
      <c r="AA141" s="8">
        <f t="shared" si="99"/>
        <v>0</v>
      </c>
      <c r="AB141" s="8">
        <f t="shared" si="99"/>
        <v>0</v>
      </c>
      <c r="AC141" s="8">
        <f t="shared" si="99"/>
        <v>0</v>
      </c>
      <c r="AD141" s="8">
        <f t="shared" si="99"/>
        <v>0</v>
      </c>
      <c r="AE141" s="8">
        <f t="shared" si="99"/>
        <v>0</v>
      </c>
      <c r="AF141" s="8">
        <f t="shared" si="99"/>
        <v>0</v>
      </c>
      <c r="AG141" s="8">
        <f t="shared" ref="AG141" si="105">+AG75-AG108</f>
        <v>0</v>
      </c>
      <c r="AH141" s="8"/>
    </row>
    <row r="142" spans="1:37" hidden="1" outlineLevel="1">
      <c r="A142" t="s">
        <v>258</v>
      </c>
      <c r="P142" s="8">
        <f>+P76-P109</f>
        <v>11374.133333333333</v>
      </c>
      <c r="Q142" s="8">
        <f t="shared" si="101"/>
        <v>9624.2666666666664</v>
      </c>
      <c r="R142" s="8">
        <f t="shared" si="101"/>
        <v>8166.0444444444447</v>
      </c>
      <c r="S142" s="8">
        <f t="shared" si="101"/>
        <v>6707.822222222223</v>
      </c>
      <c r="T142" s="8">
        <f t="shared" si="101"/>
        <v>5514.731313131314</v>
      </c>
      <c r="U142" s="8">
        <f t="shared" ref="U142" si="106">+U76-U109</f>
        <v>4321.640404040405</v>
      </c>
      <c r="V142" s="8">
        <f t="shared" si="101"/>
        <v>3128.5494949494969</v>
      </c>
      <c r="W142" s="8">
        <f t="shared" si="101"/>
        <v>1935.4585858585888</v>
      </c>
      <c r="X142" s="8">
        <f t="shared" si="101"/>
        <v>742.36767676768068</v>
      </c>
      <c r="Y142" s="8">
        <f t="shared" si="101"/>
        <v>0</v>
      </c>
      <c r="Z142" s="8">
        <f t="shared" si="99"/>
        <v>0</v>
      </c>
      <c r="AA142" s="8">
        <f t="shared" si="99"/>
        <v>0</v>
      </c>
      <c r="AB142" s="8">
        <f t="shared" si="99"/>
        <v>0</v>
      </c>
      <c r="AC142" s="8">
        <f t="shared" si="99"/>
        <v>0</v>
      </c>
      <c r="AD142" s="8">
        <f t="shared" si="99"/>
        <v>0</v>
      </c>
      <c r="AE142" s="8">
        <f t="shared" si="99"/>
        <v>0</v>
      </c>
      <c r="AF142" s="8">
        <f t="shared" si="99"/>
        <v>0</v>
      </c>
      <c r="AG142" s="8">
        <f t="shared" ref="AG142" si="107">+AG76-AG109</f>
        <v>0</v>
      </c>
      <c r="AH142" s="8"/>
      <c r="AI142" s="8"/>
    </row>
    <row r="143" spans="1:37" hidden="1" outlineLevel="1">
      <c r="A143" t="s">
        <v>259</v>
      </c>
      <c r="Q143" s="8">
        <f t="shared" si="101"/>
        <v>13468.866666666667</v>
      </c>
      <c r="R143" s="8">
        <f t="shared" si="101"/>
        <v>11742.088888888889</v>
      </c>
      <c r="S143" s="8">
        <f>+S77-S110</f>
        <v>10015.31111111111</v>
      </c>
      <c r="T143" s="8">
        <f t="shared" si="101"/>
        <v>8602.4929292929301</v>
      </c>
      <c r="U143" s="8">
        <f t="shared" ref="U143" si="108">+U77-U110</f>
        <v>7189.6747474747481</v>
      </c>
      <c r="V143" s="8">
        <f t="shared" si="101"/>
        <v>5776.8565656565661</v>
      </c>
      <c r="W143" s="8">
        <f t="shared" si="101"/>
        <v>4364.0383838383841</v>
      </c>
      <c r="X143" s="8">
        <f t="shared" si="101"/>
        <v>2951.2202020202021</v>
      </c>
      <c r="Y143" s="8">
        <f t="shared" si="101"/>
        <v>1538.4020202020201</v>
      </c>
      <c r="Z143" s="8">
        <f t="shared" si="99"/>
        <v>125.58383838383816</v>
      </c>
      <c r="AA143" s="8">
        <f t="shared" si="99"/>
        <v>0</v>
      </c>
      <c r="AB143" s="8">
        <f t="shared" si="99"/>
        <v>0</v>
      </c>
      <c r="AC143" s="8">
        <f t="shared" si="99"/>
        <v>0</v>
      </c>
      <c r="AD143" s="8">
        <f t="shared" si="99"/>
        <v>0</v>
      </c>
      <c r="AE143" s="8">
        <f t="shared" si="99"/>
        <v>0</v>
      </c>
      <c r="AF143" s="8">
        <f t="shared" si="99"/>
        <v>0</v>
      </c>
      <c r="AG143" s="8">
        <f t="shared" ref="AG143" si="109">+AG77-AG110</f>
        <v>0</v>
      </c>
      <c r="AH143" s="8"/>
      <c r="AI143" s="8"/>
      <c r="AJ143" s="8"/>
    </row>
    <row r="144" spans="1:37" hidden="1" outlineLevel="1">
      <c r="A144" t="s">
        <v>260</v>
      </c>
      <c r="R144" s="8">
        <f t="shared" si="101"/>
        <v>21082.666666666668</v>
      </c>
      <c r="S144" s="8">
        <f t="shared" si="101"/>
        <v>18447.333333333332</v>
      </c>
      <c r="T144" s="8">
        <f t="shared" si="101"/>
        <v>16291.151515151516</v>
      </c>
      <c r="U144" s="8">
        <f t="shared" ref="U144" si="110">+U78-U111</f>
        <v>14134.969696969696</v>
      </c>
      <c r="V144" s="8">
        <f t="shared" si="101"/>
        <v>11978.787878787878</v>
      </c>
      <c r="W144" s="8">
        <f t="shared" si="101"/>
        <v>9822.6060606060601</v>
      </c>
      <c r="X144" s="8">
        <f t="shared" si="101"/>
        <v>7666.424242424242</v>
      </c>
      <c r="Y144" s="8">
        <f t="shared" si="101"/>
        <v>5510.242424242424</v>
      </c>
      <c r="Z144" s="8">
        <f t="shared" si="99"/>
        <v>3354.0606060606078</v>
      </c>
      <c r="AA144" s="8">
        <f t="shared" si="99"/>
        <v>1197.8787878787916</v>
      </c>
      <c r="AB144" s="8">
        <f t="shared" si="99"/>
        <v>0</v>
      </c>
      <c r="AC144" s="8">
        <f t="shared" si="99"/>
        <v>0</v>
      </c>
      <c r="AD144" s="8">
        <f t="shared" si="99"/>
        <v>0</v>
      </c>
      <c r="AE144" s="8">
        <f t="shared" si="99"/>
        <v>0</v>
      </c>
      <c r="AF144" s="8">
        <f t="shared" si="99"/>
        <v>0</v>
      </c>
      <c r="AG144" s="8">
        <f t="shared" ref="AG144" si="111">+AG78-AG111</f>
        <v>0</v>
      </c>
      <c r="AH144" s="8"/>
      <c r="AI144" s="8"/>
      <c r="AJ144" s="8"/>
      <c r="AK144" s="8"/>
    </row>
    <row r="145" spans="1:44" hidden="1" outlineLevel="1">
      <c r="A145" t="s">
        <v>109</v>
      </c>
      <c r="S145" s="8">
        <f t="shared" si="101"/>
        <v>20437.333333333332</v>
      </c>
      <c r="T145" s="8">
        <f t="shared" si="101"/>
        <v>18347.151515151516</v>
      </c>
      <c r="U145" s="8">
        <f t="shared" ref="U145" si="112">+U79-U112</f>
        <v>16256.969696969698</v>
      </c>
      <c r="V145" s="8">
        <f t="shared" si="101"/>
        <v>14166.78787878788</v>
      </c>
      <c r="W145" s="8">
        <f t="shared" si="101"/>
        <v>12076.606060606062</v>
      </c>
      <c r="X145" s="8">
        <f t="shared" si="101"/>
        <v>9986.4242424242439</v>
      </c>
      <c r="Y145" s="8">
        <f t="shared" si="101"/>
        <v>7896.2424242424258</v>
      </c>
      <c r="Z145" s="8">
        <f t="shared" si="99"/>
        <v>5806.0606060606078</v>
      </c>
      <c r="AA145" s="8">
        <f t="shared" si="99"/>
        <v>3715.8787878787916</v>
      </c>
      <c r="AB145" s="8">
        <f t="shared" si="99"/>
        <v>1625.6969696969754</v>
      </c>
      <c r="AC145" s="8">
        <f t="shared" si="99"/>
        <v>0</v>
      </c>
      <c r="AD145" s="8">
        <f t="shared" si="99"/>
        <v>0</v>
      </c>
      <c r="AE145" s="8">
        <f t="shared" si="99"/>
        <v>0</v>
      </c>
      <c r="AF145" s="8">
        <f t="shared" si="99"/>
        <v>0</v>
      </c>
      <c r="AG145" s="8">
        <f t="shared" ref="AG145" si="113">+AG79-AG112</f>
        <v>0</v>
      </c>
      <c r="AH145" s="8"/>
      <c r="AI145" s="8"/>
      <c r="AJ145" s="8"/>
      <c r="AK145" s="8"/>
      <c r="AL145" s="8"/>
    </row>
    <row r="146" spans="1:44" hidden="1" outlineLevel="1">
      <c r="A146" t="s">
        <v>190</v>
      </c>
      <c r="T146" s="8">
        <f t="shared" si="101"/>
        <v>27121.818181818184</v>
      </c>
      <c r="U146" s="8">
        <f t="shared" ref="U146" si="114">+U80-U113</f>
        <v>24409.636363636364</v>
      </c>
      <c r="V146" s="8">
        <f t="shared" si="101"/>
        <v>21697.454545454544</v>
      </c>
      <c r="W146" s="8">
        <f t="shared" si="101"/>
        <v>18985.272727272728</v>
      </c>
      <c r="X146" s="8">
        <f t="shared" si="101"/>
        <v>16273.09090909091</v>
      </c>
      <c r="Y146" s="8">
        <f t="shared" si="101"/>
        <v>13560.909090909092</v>
      </c>
      <c r="Z146" s="8">
        <f t="shared" si="99"/>
        <v>10848.727272727272</v>
      </c>
      <c r="AA146" s="8">
        <f t="shared" si="99"/>
        <v>8136.5454545454559</v>
      </c>
      <c r="AB146" s="8">
        <f t="shared" si="99"/>
        <v>5424.3636363636397</v>
      </c>
      <c r="AC146" s="8">
        <f t="shared" si="99"/>
        <v>2712.1818181818235</v>
      </c>
      <c r="AD146" s="8">
        <f t="shared" si="99"/>
        <v>0</v>
      </c>
      <c r="AE146" s="8">
        <f t="shared" si="99"/>
        <v>0</v>
      </c>
      <c r="AF146" s="8">
        <f t="shared" si="99"/>
        <v>0</v>
      </c>
      <c r="AG146" s="8">
        <f t="shared" ref="AG146" si="115">+AG80-AG113</f>
        <v>0</v>
      </c>
      <c r="AH146" s="8"/>
      <c r="AI146" s="8"/>
      <c r="AJ146" s="8"/>
      <c r="AK146" s="8"/>
      <c r="AL146" s="8"/>
      <c r="AM146" s="8"/>
    </row>
    <row r="147" spans="1:44" hidden="1" outlineLevel="1">
      <c r="A147" t="s">
        <v>191</v>
      </c>
      <c r="U147" s="8">
        <f t="shared" si="101"/>
        <v>48120</v>
      </c>
      <c r="V147" s="8">
        <f t="shared" ref="V147:Y148" si="116">+V81-V114</f>
        <v>39370.909090909088</v>
      </c>
      <c r="W147" s="8">
        <f t="shared" si="116"/>
        <v>34996.363636363632</v>
      </c>
      <c r="X147" s="8">
        <f t="shared" si="116"/>
        <v>30621.81818181818</v>
      </c>
      <c r="Y147" s="8">
        <f t="shared" si="116"/>
        <v>26247.272727272724</v>
      </c>
      <c r="Z147" s="8">
        <f t="shared" si="99"/>
        <v>21872.727272727268</v>
      </c>
      <c r="AA147" s="8">
        <f t="shared" si="99"/>
        <v>17498.181818181813</v>
      </c>
      <c r="AB147" s="8">
        <f t="shared" si="99"/>
        <v>13123.63636363636</v>
      </c>
      <c r="AC147" s="8">
        <f t="shared" si="99"/>
        <v>8749.0909090909045</v>
      </c>
      <c r="AD147" s="8">
        <f t="shared" si="99"/>
        <v>4374.5454545454486</v>
      </c>
      <c r="AE147" s="8">
        <f t="shared" si="99"/>
        <v>0</v>
      </c>
      <c r="AF147" s="8">
        <f t="shared" si="99"/>
        <v>0</v>
      </c>
      <c r="AG147" s="8">
        <f t="shared" ref="AG147" si="117">+AG81-AG114</f>
        <v>0</v>
      </c>
      <c r="AH147" s="8"/>
      <c r="AI147" s="8"/>
      <c r="AJ147" s="8"/>
      <c r="AK147" s="8"/>
      <c r="AL147" s="8"/>
      <c r="AM147" s="8"/>
      <c r="AN147" s="8"/>
    </row>
    <row r="148" spans="1:44" hidden="1" outlineLevel="1">
      <c r="A148" t="s">
        <v>72</v>
      </c>
      <c r="V148" s="8">
        <f t="shared" si="116"/>
        <v>63819.813938305859</v>
      </c>
      <c r="W148" s="8">
        <f t="shared" si="116"/>
        <v>57437.832544475277</v>
      </c>
      <c r="X148" s="8">
        <f t="shared" si="116"/>
        <v>51055.851150644688</v>
      </c>
      <c r="Y148" s="8">
        <f t="shared" si="116"/>
        <v>44673.869756814107</v>
      </c>
      <c r="Z148" s="8">
        <f t="shared" si="99"/>
        <v>38291.888362983518</v>
      </c>
      <c r="AA148" s="8">
        <f t="shared" si="99"/>
        <v>31909.906969152929</v>
      </c>
      <c r="AB148" s="8">
        <f t="shared" si="99"/>
        <v>25527.925575322341</v>
      </c>
      <c r="AC148" s="8">
        <f t="shared" si="99"/>
        <v>19145.944181491752</v>
      </c>
      <c r="AD148" s="8">
        <f t="shared" si="99"/>
        <v>12763.962787661163</v>
      </c>
      <c r="AE148" s="8">
        <f t="shared" si="99"/>
        <v>6381.9813938305742</v>
      </c>
      <c r="AF148" s="8">
        <f t="shared" si="99"/>
        <v>0</v>
      </c>
      <c r="AG148" s="8">
        <f t="shared" ref="AG148" si="118">+AG82-AG115</f>
        <v>0</v>
      </c>
      <c r="AH148" s="8"/>
      <c r="AI148" s="8"/>
      <c r="AJ148" s="8"/>
      <c r="AK148" s="8"/>
      <c r="AL148" s="8"/>
      <c r="AM148" s="8"/>
      <c r="AN148" s="8"/>
      <c r="AO148" s="8"/>
    </row>
    <row r="149" spans="1:44" hidden="1" outlineLevel="1">
      <c r="A149" t="s">
        <v>73</v>
      </c>
      <c r="W149" s="8">
        <f>+W83-W116</f>
        <v>56548.346006950422</v>
      </c>
      <c r="X149" s="8">
        <f>+X83-X116</f>
        <v>50893.511406255384</v>
      </c>
      <c r="Y149" s="8">
        <f>+Y83-Y116</f>
        <v>45238.676805560339</v>
      </c>
      <c r="Z149" s="8">
        <f t="shared" si="99"/>
        <v>39583.842204865301</v>
      </c>
      <c r="AA149" s="8">
        <f t="shared" si="99"/>
        <v>33929.007604170256</v>
      </c>
      <c r="AB149" s="8">
        <f t="shared" si="99"/>
        <v>28274.173003475211</v>
      </c>
      <c r="AC149" s="8">
        <f t="shared" si="99"/>
        <v>22619.338402780166</v>
      </c>
      <c r="AD149" s="8">
        <f t="shared" si="99"/>
        <v>16964.503802085121</v>
      </c>
      <c r="AE149" s="8">
        <f t="shared" si="99"/>
        <v>11309.669201390076</v>
      </c>
      <c r="AF149" s="8">
        <f t="shared" si="99"/>
        <v>5654.8346006950305</v>
      </c>
      <c r="AG149" s="8">
        <f t="shared" ref="AG149" si="119">+AG83-AG116</f>
        <v>0</v>
      </c>
      <c r="AH149" s="8"/>
      <c r="AI149" s="8"/>
      <c r="AJ149" s="8"/>
      <c r="AK149" s="8"/>
      <c r="AL149" s="8"/>
      <c r="AM149" s="8"/>
      <c r="AN149" s="8"/>
      <c r="AO149" s="8"/>
      <c r="AP149" s="8"/>
    </row>
    <row r="150" spans="1:44" hidden="1" outlineLevel="1">
      <c r="A150" t="s">
        <v>74</v>
      </c>
      <c r="X150" s="8">
        <f>+X84-X117</f>
        <v>58810.232754915196</v>
      </c>
      <c r="Y150" s="8">
        <f>+Y84-Y117</f>
        <v>52929.209479423676</v>
      </c>
      <c r="Z150" s="8">
        <f t="shared" si="99"/>
        <v>47048.186203932157</v>
      </c>
      <c r="AA150" s="8">
        <f t="shared" si="99"/>
        <v>41167.162928440637</v>
      </c>
      <c r="AB150" s="8">
        <f t="shared" si="99"/>
        <v>35286.139652949118</v>
      </c>
      <c r="AC150" s="8">
        <f t="shared" si="99"/>
        <v>29405.116377457598</v>
      </c>
      <c r="AD150" s="8">
        <f t="shared" si="99"/>
        <v>23524.093101966078</v>
      </c>
      <c r="AE150" s="8">
        <f t="shared" si="99"/>
        <v>17643.069826474559</v>
      </c>
      <c r="AF150" s="8">
        <f t="shared" si="99"/>
        <v>11762.046550983039</v>
      </c>
      <c r="AG150" s="8">
        <f t="shared" ref="AG150" si="120">+AG84-AG117</f>
        <v>5881.0232754915196</v>
      </c>
      <c r="AH150" s="8"/>
      <c r="AI150" s="8"/>
      <c r="AJ150" s="8"/>
      <c r="AK150" s="8"/>
      <c r="AL150" s="8"/>
      <c r="AM150" s="8"/>
      <c r="AN150" s="8"/>
      <c r="AO150" s="8"/>
      <c r="AP150" s="8"/>
      <c r="AQ150" s="8"/>
    </row>
    <row r="151" spans="1:44" hidden="1" outlineLevel="1">
      <c r="A151" t="s">
        <v>75</v>
      </c>
      <c r="Y151" s="8">
        <f>+Y85-Y118</f>
        <v>60468.7107130656</v>
      </c>
      <c r="Z151" s="8">
        <f t="shared" si="99"/>
        <v>54421.839641759041</v>
      </c>
      <c r="AA151" s="8">
        <f t="shared" si="99"/>
        <v>48374.968570452475</v>
      </c>
      <c r="AB151" s="8">
        <f t="shared" si="99"/>
        <v>42328.097499145922</v>
      </c>
      <c r="AC151" s="8">
        <f t="shared" si="99"/>
        <v>36281.226427839356</v>
      </c>
      <c r="AD151" s="8">
        <f t="shared" si="99"/>
        <v>30234.355356532797</v>
      </c>
      <c r="AE151" s="8">
        <f t="shared" si="99"/>
        <v>24187.484285226237</v>
      </c>
      <c r="AF151" s="8">
        <f t="shared" si="99"/>
        <v>18140.613213919678</v>
      </c>
      <c r="AG151" s="8">
        <f t="shared" ref="AG151" si="121">+AG85-AG118</f>
        <v>12093.742142613119</v>
      </c>
      <c r="AH151" s="8"/>
      <c r="AI151" s="8"/>
      <c r="AJ151" s="8"/>
      <c r="AK151" s="8"/>
      <c r="AL151" s="8"/>
      <c r="AM151" s="8"/>
      <c r="AN151" s="8"/>
      <c r="AO151" s="8"/>
      <c r="AP151" s="8"/>
      <c r="AQ151" s="8"/>
      <c r="AR151" s="8"/>
    </row>
    <row r="152" spans="1:44" hidden="1" outlineLevel="1">
      <c r="A152" t="s">
        <v>76</v>
      </c>
      <c r="Y152" s="8"/>
      <c r="Z152" s="8">
        <f>+Z86-Z119</f>
        <v>61332.928955647418</v>
      </c>
      <c r="AA152" s="8">
        <f t="shared" si="99"/>
        <v>55199.636060082674</v>
      </c>
      <c r="AB152" s="8">
        <f t="shared" si="99"/>
        <v>49066.343164517937</v>
      </c>
      <c r="AC152" s="8">
        <f t="shared" si="99"/>
        <v>42933.050268953193</v>
      </c>
      <c r="AD152" s="8">
        <f t="shared" si="99"/>
        <v>36799.757373388449</v>
      </c>
      <c r="AE152" s="8">
        <f t="shared" si="99"/>
        <v>30666.464477823705</v>
      </c>
      <c r="AF152" s="8">
        <f t="shared" si="99"/>
        <v>24533.171582258961</v>
      </c>
      <c r="AG152" s="8">
        <f t="shared" ref="AG152" si="122">+AG86-AG119</f>
        <v>18399.878686694217</v>
      </c>
      <c r="AH152" s="8"/>
      <c r="AI152" s="8"/>
      <c r="AJ152" s="8"/>
      <c r="AK152" s="8"/>
      <c r="AL152" s="8"/>
      <c r="AM152" s="8"/>
      <c r="AN152" s="8"/>
      <c r="AO152" s="8"/>
      <c r="AP152" s="8"/>
      <c r="AQ152" s="8"/>
      <c r="AR152" s="8"/>
    </row>
    <row r="153" spans="1:44" hidden="1" outlineLevel="1">
      <c r="A153" t="s">
        <v>77</v>
      </c>
      <c r="Y153" s="8"/>
      <c r="Z153" s="8"/>
      <c r="AA153" s="8">
        <f>+AA87-AA120</f>
        <v>61172.825962643721</v>
      </c>
      <c r="AB153" s="8">
        <f t="shared" si="99"/>
        <v>55055.543366379345</v>
      </c>
      <c r="AC153" s="8">
        <f t="shared" si="99"/>
        <v>48938.260770114975</v>
      </c>
      <c r="AD153" s="8">
        <f t="shared" si="99"/>
        <v>42820.978173850599</v>
      </c>
      <c r="AE153" s="8">
        <f t="shared" si="99"/>
        <v>36703.69557758623</v>
      </c>
      <c r="AF153" s="8">
        <f t="shared" si="99"/>
        <v>30586.412981321861</v>
      </c>
      <c r="AG153" s="8">
        <f t="shared" ref="AG153" si="123">+AG87-AG120</f>
        <v>24469.130385057491</v>
      </c>
      <c r="AH153" s="8"/>
      <c r="AI153" s="8"/>
      <c r="AJ153" s="8"/>
      <c r="AK153" s="8"/>
      <c r="AL153" s="8"/>
      <c r="AM153" s="8"/>
      <c r="AN153" s="8"/>
      <c r="AO153" s="8"/>
      <c r="AP153" s="8"/>
      <c r="AQ153" s="8"/>
      <c r="AR153" s="8"/>
    </row>
    <row r="154" spans="1:44" hidden="1" outlineLevel="1">
      <c r="A154" t="s">
        <v>78</v>
      </c>
      <c r="Y154" s="8"/>
      <c r="Z154" s="8"/>
      <c r="AA154" s="8"/>
      <c r="AB154" s="8">
        <f>+AB88-AB121</f>
        <v>64688.180112508111</v>
      </c>
      <c r="AC154" s="8">
        <f t="shared" si="99"/>
        <v>58219.362101257298</v>
      </c>
      <c r="AD154" s="8">
        <f t="shared" si="99"/>
        <v>51750.544090006486</v>
      </c>
      <c r="AE154" s="8">
        <f t="shared" si="99"/>
        <v>45281.726078755673</v>
      </c>
      <c r="AF154" s="8">
        <f t="shared" si="99"/>
        <v>38812.908067504861</v>
      </c>
      <c r="AG154" s="8">
        <f t="shared" ref="AG154" si="124">+AG88-AG121</f>
        <v>32344.090056254056</v>
      </c>
      <c r="AH154" s="8"/>
      <c r="AI154" s="8"/>
      <c r="AJ154" s="8"/>
      <c r="AK154" s="8"/>
      <c r="AL154" s="8"/>
      <c r="AM154" s="8"/>
      <c r="AN154" s="8"/>
      <c r="AO154" s="8"/>
      <c r="AP154" s="8"/>
      <c r="AQ154" s="8"/>
      <c r="AR154" s="8"/>
    </row>
    <row r="155" spans="1:44" hidden="1" outlineLevel="1">
      <c r="A155" t="s">
        <v>79</v>
      </c>
      <c r="Y155" s="8"/>
      <c r="Z155" s="8"/>
      <c r="AA155" s="8"/>
      <c r="AB155" s="8"/>
      <c r="AC155" s="8">
        <f>+AC89-AC122</f>
        <v>67944.515248541647</v>
      </c>
      <c r="AD155" s="8">
        <f t="shared" ref="AD155:AF157" si="125">+AD89-AD122</f>
        <v>61150.063723687475</v>
      </c>
      <c r="AE155" s="8">
        <f t="shared" si="125"/>
        <v>54355.612198833318</v>
      </c>
      <c r="AF155" s="8">
        <f t="shared" si="125"/>
        <v>47561.160673979146</v>
      </c>
      <c r="AG155" s="8">
        <f t="shared" ref="AG155" si="126">+AG89-AG122</f>
        <v>40766.709149124988</v>
      </c>
      <c r="AH155" s="8"/>
      <c r="AI155" s="8"/>
      <c r="AJ155" s="8"/>
      <c r="AK155" s="8"/>
      <c r="AL155" s="8"/>
      <c r="AM155" s="8"/>
      <c r="AN155" s="8"/>
      <c r="AO155" s="8"/>
      <c r="AP155" s="8"/>
      <c r="AQ155" s="8"/>
      <c r="AR155" s="8"/>
    </row>
    <row r="156" spans="1:44" hidden="1" outlineLevel="1">
      <c r="A156" t="s">
        <v>80</v>
      </c>
      <c r="Y156" s="8"/>
      <c r="Z156" s="8"/>
      <c r="AA156" s="8"/>
      <c r="AB156" s="8"/>
      <c r="AC156" s="8"/>
      <c r="AD156" s="8">
        <f>+AD90-AD123</f>
        <v>77255.05565360772</v>
      </c>
      <c r="AE156" s="8">
        <f t="shared" si="125"/>
        <v>69529.55008824695</v>
      </c>
      <c r="AF156" s="8">
        <f t="shared" si="125"/>
        <v>61804.044522886179</v>
      </c>
      <c r="AG156" s="8">
        <f t="shared" ref="AG156" si="127">+AG90-AG123</f>
        <v>54078.538957525408</v>
      </c>
      <c r="AH156" s="8"/>
      <c r="AI156" s="8"/>
      <c r="AJ156" s="8"/>
      <c r="AK156" s="8"/>
      <c r="AL156" s="8"/>
      <c r="AM156" s="8"/>
      <c r="AN156" s="8"/>
      <c r="AO156" s="8"/>
      <c r="AP156" s="8"/>
      <c r="AQ156" s="8"/>
      <c r="AR156" s="8"/>
    </row>
    <row r="157" spans="1:44" hidden="1" outlineLevel="1">
      <c r="A157" t="s">
        <v>81</v>
      </c>
      <c r="Y157" s="8"/>
      <c r="Z157" s="8"/>
      <c r="AA157" s="8"/>
      <c r="AB157" s="8"/>
      <c r="AC157" s="8"/>
      <c r="AD157" s="8"/>
      <c r="AE157" s="8">
        <f>+AE91-AE124</f>
        <v>87784.088119519234</v>
      </c>
      <c r="AF157" s="8">
        <f t="shared" si="125"/>
        <v>79005.679307567319</v>
      </c>
      <c r="AG157" s="8">
        <f t="shared" ref="AG157:AG158" si="128">+AG91-AG124</f>
        <v>70227.27049561539</v>
      </c>
      <c r="AH157" s="8"/>
      <c r="AI157" s="8"/>
      <c r="AJ157" s="8"/>
      <c r="AK157" s="8"/>
      <c r="AL157" s="8"/>
      <c r="AM157" s="8"/>
      <c r="AN157" s="8"/>
      <c r="AO157" s="8"/>
      <c r="AP157" s="8"/>
      <c r="AQ157" s="8"/>
      <c r="AR157" s="8"/>
    </row>
    <row r="158" spans="1:44" hidden="1" outlineLevel="1">
      <c r="A158" t="s">
        <v>82</v>
      </c>
      <c r="Y158" s="8"/>
      <c r="Z158" s="8"/>
      <c r="AA158" s="8"/>
      <c r="AB158" s="8"/>
      <c r="AC158" s="8"/>
      <c r="AD158" s="8"/>
      <c r="AE158" s="8"/>
      <c r="AF158" s="8">
        <f>+AF92-AF125</f>
        <v>99690.154684925277</v>
      </c>
      <c r="AG158" s="8">
        <f t="shared" si="128"/>
        <v>89721.139216432755</v>
      </c>
      <c r="AH158" s="8"/>
      <c r="AI158" s="8"/>
      <c r="AJ158" s="8"/>
      <c r="AK158" s="8"/>
      <c r="AL158" s="8"/>
      <c r="AM158" s="8"/>
      <c r="AN158" s="8"/>
      <c r="AO158" s="8"/>
      <c r="AP158" s="8"/>
      <c r="AQ158" s="8"/>
      <c r="AR158" s="8"/>
    </row>
    <row r="159" spans="1:44" hidden="1" outlineLevel="1">
      <c r="A159" t="s">
        <v>83</v>
      </c>
      <c r="Y159" s="8"/>
      <c r="Z159" s="8"/>
      <c r="AA159" s="8"/>
      <c r="AB159" s="8"/>
      <c r="AC159" s="8"/>
      <c r="AD159" s="8"/>
      <c r="AE159" s="8"/>
      <c r="AF159" s="8"/>
      <c r="AG159" s="8">
        <f>+AG93-AG126</f>
        <v>113152.41020070187</v>
      </c>
      <c r="AH159" s="8"/>
      <c r="AI159" s="8"/>
      <c r="AJ159" s="8"/>
      <c r="AK159" s="8"/>
      <c r="AL159" s="8"/>
      <c r="AM159" s="8"/>
      <c r="AN159" s="8"/>
      <c r="AO159" s="8"/>
      <c r="AP159" s="8"/>
      <c r="AQ159" s="8"/>
      <c r="AR159" s="8"/>
    </row>
    <row r="160" spans="1:44" hidden="1" outlineLevel="1">
      <c r="A160" t="s">
        <v>911</v>
      </c>
      <c r="Y160" s="8"/>
      <c r="Z160" s="8"/>
      <c r="AA160" s="8"/>
      <c r="AB160" s="8"/>
      <c r="AC160" s="8"/>
      <c r="AD160" s="8"/>
      <c r="AE160" s="8"/>
      <c r="AF160" s="8"/>
      <c r="AG160" s="8"/>
      <c r="AH160" s="8"/>
      <c r="AI160" s="8"/>
      <c r="AJ160" s="8"/>
      <c r="AK160" s="8"/>
      <c r="AL160" s="8"/>
      <c r="AM160" s="8"/>
      <c r="AN160" s="8"/>
      <c r="AO160" s="8"/>
      <c r="AP160" s="8"/>
      <c r="AQ160" s="8"/>
      <c r="AR160" s="8"/>
    </row>
    <row r="161" spans="1:33" collapsed="1"/>
    <row r="162" spans="1:33" ht="10.5">
      <c r="A162" s="5" t="s">
        <v>926</v>
      </c>
      <c r="B162" s="4"/>
    </row>
    <row r="164" spans="1:33" ht="10.5">
      <c r="A164" s="45" t="s">
        <v>927</v>
      </c>
    </row>
    <row r="165" spans="1:33">
      <c r="A165" t="s">
        <v>928</v>
      </c>
      <c r="C165" s="29">
        <v>362</v>
      </c>
      <c r="D165" s="29">
        <v>428</v>
      </c>
      <c r="E165" s="29">
        <v>518</v>
      </c>
      <c r="F165" s="29">
        <v>526</v>
      </c>
      <c r="G165" s="29">
        <v>526</v>
      </c>
      <c r="H165" s="29">
        <v>533</v>
      </c>
      <c r="I165" s="29">
        <v>528</v>
      </c>
      <c r="J165" s="29">
        <v>525</v>
      </c>
      <c r="K165" s="29">
        <v>541</v>
      </c>
      <c r="L165" s="29">
        <v>769</v>
      </c>
      <c r="M165" s="29">
        <v>824</v>
      </c>
      <c r="N165" s="29">
        <v>1107</v>
      </c>
      <c r="O165" s="29">
        <v>1254</v>
      </c>
      <c r="P165" s="29">
        <v>1540</v>
      </c>
      <c r="Q165" s="29">
        <v>1823</v>
      </c>
      <c r="R165" s="29">
        <v>3660</v>
      </c>
      <c r="S165" s="29">
        <v>4734</v>
      </c>
      <c r="T165" s="29">
        <v>5683</v>
      </c>
      <c r="U165" s="29">
        <v>8163</v>
      </c>
      <c r="V165" s="29"/>
      <c r="W165" s="29"/>
    </row>
    <row r="166" spans="1:33">
      <c r="A166" t="s">
        <v>929</v>
      </c>
      <c r="C166" s="29">
        <v>2228</v>
      </c>
      <c r="D166" s="29">
        <v>3170</v>
      </c>
      <c r="E166" s="29">
        <v>4302</v>
      </c>
      <c r="F166" s="29">
        <v>5886</v>
      </c>
      <c r="G166" s="29">
        <v>6087</v>
      </c>
      <c r="H166" s="29">
        <v>6521</v>
      </c>
      <c r="I166" s="29">
        <v>6768</v>
      </c>
      <c r="J166" s="29">
        <v>7326</v>
      </c>
      <c r="K166" s="29">
        <v>8867</v>
      </c>
      <c r="L166" s="29">
        <v>10800</v>
      </c>
      <c r="M166" s="29">
        <v>12393</v>
      </c>
      <c r="N166" s="29">
        <v>16284</v>
      </c>
      <c r="O166" s="29">
        <v>20604</v>
      </c>
      <c r="P166" s="29">
        <v>26288</v>
      </c>
      <c r="Q166" s="29">
        <v>33995</v>
      </c>
      <c r="R166" s="29">
        <v>43928</v>
      </c>
      <c r="S166" s="29">
        <v>55014</v>
      </c>
      <c r="T166" s="29">
        <v>68465</v>
      </c>
      <c r="U166" s="29">
        <v>93943</v>
      </c>
      <c r="V166" s="29"/>
      <c r="W166" s="29"/>
    </row>
    <row r="167" spans="1:33">
      <c r="A167" t="s">
        <v>930</v>
      </c>
      <c r="C167" s="29">
        <v>918</v>
      </c>
      <c r="D167" s="29">
        <v>1077</v>
      </c>
      <c r="E167" s="29">
        <v>1728</v>
      </c>
      <c r="F167" s="29">
        <v>1938</v>
      </c>
      <c r="G167" s="29">
        <v>2100</v>
      </c>
      <c r="H167" s="29">
        <v>2345</v>
      </c>
      <c r="I167" s="29">
        <v>2550</v>
      </c>
      <c r="J167" s="29">
        <v>2946</v>
      </c>
      <c r="K167" s="29">
        <v>3560</v>
      </c>
      <c r="L167" s="29">
        <v>3577</v>
      </c>
      <c r="M167" s="29">
        <v>3659</v>
      </c>
      <c r="N167" s="29">
        <v>5064</v>
      </c>
      <c r="O167" s="29">
        <v>4735</v>
      </c>
      <c r="P167" s="29">
        <v>5316</v>
      </c>
      <c r="Q167" s="29">
        <v>5487</v>
      </c>
      <c r="R167" s="29">
        <v>6884</v>
      </c>
      <c r="S167" s="29">
        <v>7819</v>
      </c>
      <c r="T167" s="29">
        <v>8537</v>
      </c>
      <c r="U167" s="29">
        <v>9594</v>
      </c>
      <c r="V167" s="29"/>
      <c r="W167" s="29"/>
    </row>
    <row r="168" spans="1:33">
      <c r="A168" t="s">
        <v>931</v>
      </c>
      <c r="C168" s="29">
        <v>2682</v>
      </c>
      <c r="D168" s="29">
        <v>3458</v>
      </c>
      <c r="E168" s="29">
        <v>4475</v>
      </c>
      <c r="F168" s="29">
        <v>4989</v>
      </c>
      <c r="G168" s="29">
        <v>5673</v>
      </c>
      <c r="H168" s="29">
        <v>6601</v>
      </c>
      <c r="I168" s="29">
        <v>7298</v>
      </c>
      <c r="J168" s="29">
        <v>9242</v>
      </c>
      <c r="K168" s="29">
        <v>11430</v>
      </c>
      <c r="L168" s="29">
        <v>13612</v>
      </c>
      <c r="M168" s="29">
        <v>17391</v>
      </c>
      <c r="N168" s="29">
        <v>21414</v>
      </c>
      <c r="O168" s="29">
        <v>27633</v>
      </c>
      <c r="P168" s="29">
        <v>33823</v>
      </c>
      <c r="Q168" s="29">
        <v>41261</v>
      </c>
      <c r="R168" s="29">
        <v>51250</v>
      </c>
      <c r="S168" s="29">
        <v>60631</v>
      </c>
      <c r="T168" s="29">
        <v>74961</v>
      </c>
      <c r="U168" s="29">
        <v>93780</v>
      </c>
      <c r="V168" s="29"/>
      <c r="W168" s="29"/>
    </row>
    <row r="169" spans="1:33" ht="11.45">
      <c r="A169" t="s">
        <v>932</v>
      </c>
      <c r="C169" s="30">
        <v>1033</v>
      </c>
      <c r="D169" s="30">
        <v>1233</v>
      </c>
      <c r="E169" s="30">
        <v>1521</v>
      </c>
      <c r="F169" s="30">
        <v>1743</v>
      </c>
      <c r="G169" s="30">
        <v>1873</v>
      </c>
      <c r="H169" s="30">
        <v>1991</v>
      </c>
      <c r="I169" s="30">
        <v>2087</v>
      </c>
      <c r="J169" s="30">
        <v>2465</v>
      </c>
      <c r="K169" s="30">
        <v>3406</v>
      </c>
      <c r="L169" s="30">
        <v>3579</v>
      </c>
      <c r="M169" s="30">
        <v>3889</v>
      </c>
      <c r="N169" s="30">
        <v>4044</v>
      </c>
      <c r="O169" s="30">
        <v>4457</v>
      </c>
      <c r="P169" s="30">
        <v>4840</v>
      </c>
      <c r="Q169" s="30">
        <v>4782</v>
      </c>
      <c r="R169" s="30">
        <v>5344</v>
      </c>
      <c r="S169" s="30">
        <v>5860</v>
      </c>
      <c r="T169" s="30">
        <v>6246</v>
      </c>
      <c r="U169" s="30">
        <v>6532</v>
      </c>
      <c r="V169" s="30"/>
      <c r="W169" s="30"/>
    </row>
    <row r="170" spans="1:33" s="1" customFormat="1" ht="10.5">
      <c r="A170" s="837" t="s">
        <v>933</v>
      </c>
      <c r="C170" s="936">
        <f>+SUM(C165:C169)</f>
        <v>7223</v>
      </c>
      <c r="D170" s="936">
        <f t="shared" ref="D170:U170" si="129">+SUM(D165:D169)</f>
        <v>9366</v>
      </c>
      <c r="E170" s="936">
        <f t="shared" si="129"/>
        <v>12544</v>
      </c>
      <c r="F170" s="936">
        <f t="shared" si="129"/>
        <v>15082</v>
      </c>
      <c r="G170" s="936">
        <f t="shared" si="129"/>
        <v>16259</v>
      </c>
      <c r="H170" s="936">
        <f t="shared" si="129"/>
        <v>17991</v>
      </c>
      <c r="I170" s="936">
        <f t="shared" si="129"/>
        <v>19231</v>
      </c>
      <c r="J170" s="936">
        <f t="shared" si="129"/>
        <v>22504</v>
      </c>
      <c r="K170" s="936">
        <f t="shared" si="129"/>
        <v>27804</v>
      </c>
      <c r="L170" s="936">
        <f t="shared" si="129"/>
        <v>32337</v>
      </c>
      <c r="M170" s="936">
        <f t="shared" si="129"/>
        <v>38156</v>
      </c>
      <c r="N170" s="936">
        <f t="shared" si="129"/>
        <v>47913</v>
      </c>
      <c r="O170" s="936">
        <f t="shared" si="129"/>
        <v>58683</v>
      </c>
      <c r="P170" s="936">
        <f t="shared" si="129"/>
        <v>71807</v>
      </c>
      <c r="Q170" s="936">
        <f t="shared" si="129"/>
        <v>87348</v>
      </c>
      <c r="R170" s="936">
        <f t="shared" si="129"/>
        <v>111066</v>
      </c>
      <c r="S170" s="936">
        <f t="shared" si="129"/>
        <v>134058</v>
      </c>
      <c r="T170" s="936">
        <f t="shared" si="129"/>
        <v>163892</v>
      </c>
      <c r="U170" s="936">
        <f t="shared" si="129"/>
        <v>212012</v>
      </c>
      <c r="V170" s="838">
        <f t="shared" ref="V170:AF170" si="130">+V178</f>
        <v>292512</v>
      </c>
      <c r="W170" s="838">
        <f t="shared" si="130"/>
        <v>362921.2650926722</v>
      </c>
      <c r="X170" s="838">
        <f t="shared" si="130"/>
        <v>435237.14650605363</v>
      </c>
      <c r="Y170" s="838">
        <f t="shared" si="130"/>
        <v>508773.89790346252</v>
      </c>
      <c r="Z170" s="838">
        <f t="shared" si="130"/>
        <v>582635.25708485988</v>
      </c>
      <c r="AA170" s="838">
        <f t="shared" si="130"/>
        <v>655671.30097546661</v>
      </c>
      <c r="AB170" s="838">
        <f t="shared" si="130"/>
        <v>732282.33560068172</v>
      </c>
      <c r="AC170" s="838">
        <f t="shared" si="130"/>
        <v>812171.9994097522</v>
      </c>
      <c r="AD170" s="838">
        <f t="shared" si="130"/>
        <v>902382.31951400195</v>
      </c>
      <c r="AE170" s="838">
        <f t="shared" si="130"/>
        <v>1004254.9812318041</v>
      </c>
      <c r="AF170" s="838">
        <f t="shared" si="130"/>
        <v>1119306.0889729206</v>
      </c>
      <c r="AG170" s="838">
        <f t="shared" ref="AG170" si="131">+AG178</f>
        <v>1249248.8407203821</v>
      </c>
    </row>
    <row r="171" spans="1:33" s="1" customFormat="1" ht="10.5">
      <c r="A171" s="837"/>
      <c r="C171" s="838"/>
      <c r="U171" s="838"/>
      <c r="V171" s="838"/>
      <c r="W171" s="838"/>
    </row>
    <row r="172" spans="1:33" s="1" customFormat="1" ht="10.5">
      <c r="A172" s="24" t="s">
        <v>126</v>
      </c>
      <c r="C172" s="838"/>
      <c r="U172" s="838"/>
      <c r="V172" s="838"/>
      <c r="W172" s="838"/>
    </row>
    <row r="173" spans="1:33" s="3" customFormat="1">
      <c r="A173" s="13" t="s">
        <v>934</v>
      </c>
      <c r="C173" s="40">
        <v>122</v>
      </c>
      <c r="D173" s="40">
        <v>234</v>
      </c>
      <c r="E173" s="40">
        <v>821</v>
      </c>
      <c r="F173" s="40">
        <v>1226</v>
      </c>
      <c r="G173" s="40">
        <v>621</v>
      </c>
      <c r="H173" s="40">
        <v>347</v>
      </c>
      <c r="I173" s="40">
        <v>263</v>
      </c>
      <c r="J173" s="40">
        <v>353</v>
      </c>
      <c r="K173" s="40">
        <v>694</v>
      </c>
      <c r="L173" s="40">
        <v>880</v>
      </c>
      <c r="M173" s="40">
        <v>681</v>
      </c>
      <c r="N173" s="40">
        <v>1809</v>
      </c>
      <c r="O173" s="40">
        <v>1067</v>
      </c>
      <c r="P173" s="40">
        <v>1793</v>
      </c>
      <c r="Q173" s="40">
        <v>3443</v>
      </c>
      <c r="R173" s="40">
        <v>4761</v>
      </c>
      <c r="S173" s="40">
        <v>8927</v>
      </c>
      <c r="T173" s="40">
        <v>7942</v>
      </c>
      <c r="U173" s="40">
        <v>12237</v>
      </c>
      <c r="V173" s="40">
        <v>29892</v>
      </c>
      <c r="W173" s="40"/>
    </row>
    <row r="174" spans="1:33" s="1" customFormat="1" ht="10.5">
      <c r="A174" s="837"/>
      <c r="C174" s="838"/>
      <c r="V174" s="838"/>
      <c r="W174" s="838"/>
    </row>
    <row r="175" spans="1:33" s="1" customFormat="1" ht="10.5">
      <c r="A175" t="s">
        <v>935</v>
      </c>
      <c r="D175" s="8">
        <f t="shared" ref="D175:T175" si="132">+C170</f>
        <v>7223</v>
      </c>
      <c r="E175" s="8">
        <f t="shared" si="132"/>
        <v>9366</v>
      </c>
      <c r="F175" s="8">
        <f t="shared" si="132"/>
        <v>12544</v>
      </c>
      <c r="G175" s="8">
        <f t="shared" si="132"/>
        <v>15082</v>
      </c>
      <c r="H175" s="8">
        <f t="shared" si="132"/>
        <v>16259</v>
      </c>
      <c r="I175" s="8">
        <f t="shared" si="132"/>
        <v>17991</v>
      </c>
      <c r="J175" s="8">
        <f t="shared" si="132"/>
        <v>19231</v>
      </c>
      <c r="K175" s="8">
        <f t="shared" si="132"/>
        <v>22504</v>
      </c>
      <c r="L175" s="8">
        <f t="shared" si="132"/>
        <v>27804</v>
      </c>
      <c r="M175" s="8">
        <f t="shared" si="132"/>
        <v>32337</v>
      </c>
      <c r="N175" s="8">
        <f t="shared" si="132"/>
        <v>38156</v>
      </c>
      <c r="O175" s="8">
        <f t="shared" si="132"/>
        <v>47913</v>
      </c>
      <c r="P175" s="8">
        <f t="shared" si="132"/>
        <v>58683</v>
      </c>
      <c r="Q175" s="8">
        <f t="shared" si="132"/>
        <v>71807</v>
      </c>
      <c r="R175" s="8">
        <f t="shared" si="132"/>
        <v>87348</v>
      </c>
      <c r="S175" s="8">
        <f t="shared" si="132"/>
        <v>111066</v>
      </c>
      <c r="T175" s="8">
        <f t="shared" si="132"/>
        <v>134058</v>
      </c>
      <c r="U175" s="8">
        <f t="shared" ref="U175" si="133">+T170</f>
        <v>163892</v>
      </c>
      <c r="V175" s="8">
        <f t="shared" ref="V175:AF175" si="134">+U178</f>
        <v>212012</v>
      </c>
      <c r="W175" s="8">
        <f t="shared" si="134"/>
        <v>292512</v>
      </c>
      <c r="X175" s="8">
        <f t="shared" si="134"/>
        <v>362921.2650926722</v>
      </c>
      <c r="Y175" s="8">
        <f t="shared" si="134"/>
        <v>435237.14650605363</v>
      </c>
      <c r="Z175" s="8">
        <f t="shared" si="134"/>
        <v>508773.89790346252</v>
      </c>
      <c r="AA175" s="8">
        <f t="shared" si="134"/>
        <v>582635.25708485988</v>
      </c>
      <c r="AB175" s="8">
        <f t="shared" si="134"/>
        <v>655671.30097546661</v>
      </c>
      <c r="AC175" s="8">
        <f t="shared" si="134"/>
        <v>732282.33560068172</v>
      </c>
      <c r="AD175" s="8">
        <f t="shared" si="134"/>
        <v>812171.9994097522</v>
      </c>
      <c r="AE175" s="8">
        <f t="shared" si="134"/>
        <v>902382.31951400195</v>
      </c>
      <c r="AF175" s="8">
        <f t="shared" si="134"/>
        <v>1004254.9812318041</v>
      </c>
      <c r="AG175" s="8">
        <f t="shared" ref="AG175" si="135">+AF178</f>
        <v>1119306.0889729206</v>
      </c>
    </row>
    <row r="176" spans="1:33" s="1" customFormat="1" ht="10.5">
      <c r="A176" t="s">
        <v>936</v>
      </c>
      <c r="D176" s="29">
        <f>+'Historical Financials'!AU873</f>
        <v>2264</v>
      </c>
      <c r="E176" s="29">
        <f>+'Historical Financials'!AV873</f>
        <v>3182</v>
      </c>
      <c r="F176" s="29">
        <f>+'Historical Financials'!AW873</f>
        <v>3119</v>
      </c>
      <c r="G176" s="29">
        <f>+'Historical Financials'!AX873</f>
        <v>1977</v>
      </c>
      <c r="H176" s="29">
        <f>+'Historical Financials'!AY873</f>
        <v>2355</v>
      </c>
      <c r="I176" s="29">
        <f>+'Historical Financials'!AZ873</f>
        <v>2305</v>
      </c>
      <c r="J176" s="29">
        <f>+'Historical Financials'!BA873</f>
        <v>4257</v>
      </c>
      <c r="K176" s="29">
        <f>+'Historical Financials'!BB873</f>
        <v>5485</v>
      </c>
      <c r="L176" s="29">
        <f>+'Historical Financials'!BC873</f>
        <v>5944</v>
      </c>
      <c r="M176" s="29">
        <f>+'Historical Financials'!BG873</f>
        <v>8900</v>
      </c>
      <c r="N176" s="29">
        <f>+'Historical Financials'!BH873</f>
        <v>10200</v>
      </c>
      <c r="O176" s="29">
        <f>+'Historical Financials'!BI873</f>
        <v>13600</v>
      </c>
      <c r="P176" s="29">
        <f>+'Historical Financials'!BJ873</f>
        <v>16900</v>
      </c>
      <c r="Q176" s="29">
        <f>+'Historical Financials'!BK873</f>
        <v>19000</v>
      </c>
      <c r="R176" s="29">
        <f>+'Historical Financials'!BL873</f>
        <v>24200</v>
      </c>
      <c r="S176" s="29">
        <f>+'Historical Financials'!BM873</f>
        <v>29200</v>
      </c>
      <c r="T176" s="29">
        <f>+'Historical Financials'!BN873</f>
        <v>31900</v>
      </c>
      <c r="U176" s="29">
        <f>+'Historical Financials'!BO873</f>
        <v>55700</v>
      </c>
      <c r="V176" s="8">
        <f t="shared" ref="V176:AF176" si="136">+V14</f>
        <v>80000</v>
      </c>
      <c r="W176" s="8">
        <f t="shared" si="136"/>
        <v>69909.265092672198</v>
      </c>
      <c r="X176" s="8">
        <f t="shared" si="136"/>
        <v>71815.88141338143</v>
      </c>
      <c r="Y176" s="8">
        <f t="shared" si="136"/>
        <v>73036.751397408909</v>
      </c>
      <c r="Z176" s="8">
        <f t="shared" si="136"/>
        <v>73361.359181397391</v>
      </c>
      <c r="AA176" s="8">
        <f t="shared" si="136"/>
        <v>72536.04389060667</v>
      </c>
      <c r="AB176" s="8">
        <f t="shared" si="136"/>
        <v>76111.034625215121</v>
      </c>
      <c r="AC176" s="8">
        <f t="shared" si="136"/>
        <v>79389.663809070538</v>
      </c>
      <c r="AD176" s="8">
        <f t="shared" si="136"/>
        <v>89710.320104249695</v>
      </c>
      <c r="AE176" s="8">
        <f t="shared" si="136"/>
        <v>101372.66171780214</v>
      </c>
      <c r="AF176" s="8">
        <f t="shared" si="136"/>
        <v>114551.10774111642</v>
      </c>
      <c r="AG176" s="8">
        <f t="shared" ref="AG176" si="137">+AG14</f>
        <v>129442.75174746153</v>
      </c>
    </row>
    <row r="177" spans="1:33" s="1" customFormat="1" ht="11.45">
      <c r="A177" t="s">
        <v>198</v>
      </c>
      <c r="D177" s="10">
        <f t="shared" ref="D177:T177" si="138">+D178-SUM(D175:D176)</f>
        <v>-121</v>
      </c>
      <c r="E177" s="10">
        <f t="shared" si="138"/>
        <v>-4</v>
      </c>
      <c r="F177" s="10">
        <f t="shared" si="138"/>
        <v>-581</v>
      </c>
      <c r="G177" s="10">
        <f t="shared" si="138"/>
        <v>-800</v>
      </c>
      <c r="H177" s="10">
        <f t="shared" si="138"/>
        <v>-623</v>
      </c>
      <c r="I177" s="10">
        <f t="shared" si="138"/>
        <v>-1065</v>
      </c>
      <c r="J177" s="10">
        <f t="shared" si="138"/>
        <v>-984</v>
      </c>
      <c r="K177" s="10">
        <f t="shared" si="138"/>
        <v>-185</v>
      </c>
      <c r="L177" s="10">
        <f t="shared" si="138"/>
        <v>-1411</v>
      </c>
      <c r="M177" s="10">
        <f t="shared" si="138"/>
        <v>-3081</v>
      </c>
      <c r="N177" s="10">
        <f t="shared" si="138"/>
        <v>-443</v>
      </c>
      <c r="O177" s="10">
        <f t="shared" si="138"/>
        <v>-2830</v>
      </c>
      <c r="P177" s="10">
        <f t="shared" si="138"/>
        <v>-3776</v>
      </c>
      <c r="Q177" s="10">
        <f t="shared" si="138"/>
        <v>-3459</v>
      </c>
      <c r="R177" s="10">
        <f t="shared" si="138"/>
        <v>-482</v>
      </c>
      <c r="S177" s="10">
        <f t="shared" si="138"/>
        <v>-6208</v>
      </c>
      <c r="T177" s="10">
        <f t="shared" si="138"/>
        <v>-2066</v>
      </c>
      <c r="U177" s="10">
        <f t="shared" ref="U177" si="139">+U178-SUM(U175:U176)</f>
        <v>-7580</v>
      </c>
      <c r="V177" s="58">
        <v>500</v>
      </c>
      <c r="W177" s="58">
        <v>500</v>
      </c>
      <c r="X177" s="58">
        <v>500</v>
      </c>
      <c r="Y177" s="58">
        <v>500</v>
      </c>
      <c r="Z177" s="58">
        <v>500</v>
      </c>
      <c r="AA177" s="58">
        <v>500</v>
      </c>
      <c r="AB177" s="58">
        <v>500</v>
      </c>
      <c r="AC177" s="58">
        <v>500</v>
      </c>
      <c r="AD177" s="58">
        <v>500</v>
      </c>
      <c r="AE177" s="58">
        <v>500</v>
      </c>
      <c r="AF177" s="58">
        <v>500</v>
      </c>
      <c r="AG177" s="58">
        <v>500</v>
      </c>
    </row>
    <row r="178" spans="1:33" s="1" customFormat="1" ht="10.5">
      <c r="A178" s="837" t="s">
        <v>933</v>
      </c>
      <c r="D178" s="838">
        <f t="shared" ref="D178:T178" si="140">+D170</f>
        <v>9366</v>
      </c>
      <c r="E178" s="838">
        <f t="shared" si="140"/>
        <v>12544</v>
      </c>
      <c r="F178" s="838">
        <f t="shared" si="140"/>
        <v>15082</v>
      </c>
      <c r="G178" s="838">
        <f t="shared" si="140"/>
        <v>16259</v>
      </c>
      <c r="H178" s="838">
        <f t="shared" si="140"/>
        <v>17991</v>
      </c>
      <c r="I178" s="838">
        <f t="shared" si="140"/>
        <v>19231</v>
      </c>
      <c r="J178" s="838">
        <f t="shared" si="140"/>
        <v>22504</v>
      </c>
      <c r="K178" s="838">
        <f t="shared" si="140"/>
        <v>27804</v>
      </c>
      <c r="L178" s="838">
        <f t="shared" si="140"/>
        <v>32337</v>
      </c>
      <c r="M178" s="838">
        <f t="shared" si="140"/>
        <v>38156</v>
      </c>
      <c r="N178" s="838">
        <f t="shared" si="140"/>
        <v>47913</v>
      </c>
      <c r="O178" s="838">
        <f t="shared" si="140"/>
        <v>58683</v>
      </c>
      <c r="P178" s="838">
        <f t="shared" si="140"/>
        <v>71807</v>
      </c>
      <c r="Q178" s="838">
        <f t="shared" si="140"/>
        <v>87348</v>
      </c>
      <c r="R178" s="838">
        <f t="shared" si="140"/>
        <v>111066</v>
      </c>
      <c r="S178" s="838">
        <f t="shared" si="140"/>
        <v>134058</v>
      </c>
      <c r="T178" s="838">
        <f t="shared" si="140"/>
        <v>163892</v>
      </c>
      <c r="U178" s="838">
        <f t="shared" ref="U178" si="141">+U170</f>
        <v>212012</v>
      </c>
      <c r="V178" s="838">
        <f t="shared" ref="V178:AF178" si="142">+SUM(V175:V177)</f>
        <v>292512</v>
      </c>
      <c r="W178" s="838">
        <f t="shared" si="142"/>
        <v>362921.2650926722</v>
      </c>
      <c r="X178" s="838">
        <f t="shared" si="142"/>
        <v>435237.14650605363</v>
      </c>
      <c r="Y178" s="838">
        <f t="shared" si="142"/>
        <v>508773.89790346252</v>
      </c>
      <c r="Z178" s="838">
        <f t="shared" si="142"/>
        <v>582635.25708485988</v>
      </c>
      <c r="AA178" s="838">
        <f t="shared" si="142"/>
        <v>655671.30097546661</v>
      </c>
      <c r="AB178" s="838">
        <f t="shared" si="142"/>
        <v>732282.33560068172</v>
      </c>
      <c r="AC178" s="838">
        <f t="shared" si="142"/>
        <v>812171.9994097522</v>
      </c>
      <c r="AD178" s="838">
        <f t="shared" si="142"/>
        <v>902382.31951400195</v>
      </c>
      <c r="AE178" s="838">
        <f t="shared" si="142"/>
        <v>1004254.9812318041</v>
      </c>
      <c r="AF178" s="838">
        <f t="shared" si="142"/>
        <v>1119306.0889729206</v>
      </c>
      <c r="AG178" s="838">
        <f t="shared" ref="AG178" si="143">+SUM(AG175:AG177)</f>
        <v>1249248.8407203821</v>
      </c>
    </row>
    <row r="179" spans="1:33">
      <c r="S179" s="8"/>
      <c r="T179" s="8"/>
      <c r="U179" s="8"/>
      <c r="V179" s="8"/>
    </row>
    <row r="180" spans="1:33" ht="10.5">
      <c r="A180" s="45" t="s">
        <v>937</v>
      </c>
      <c r="C180" s="8"/>
    </row>
    <row r="181" spans="1:33" s="1" customFormat="1" ht="10.5">
      <c r="A181" s="1" t="s">
        <v>924</v>
      </c>
      <c r="C181" s="936">
        <v>4179</v>
      </c>
      <c r="D181" s="936">
        <v>5016</v>
      </c>
      <c r="E181" s="936">
        <v>6302</v>
      </c>
      <c r="F181" s="936">
        <v>7547</v>
      </c>
      <c r="G181" s="936">
        <v>8629</v>
      </c>
      <c r="H181" s="936">
        <v>9829</v>
      </c>
      <c r="I181" s="936">
        <v>10962</v>
      </c>
      <c r="J181" s="936">
        <v>12513</v>
      </c>
      <c r="K181" s="936">
        <v>14793</v>
      </c>
      <c r="L181" s="936">
        <v>17606</v>
      </c>
      <c r="M181" s="936">
        <v>19800</v>
      </c>
      <c r="N181" s="936">
        <v>24179</v>
      </c>
      <c r="O181" s="936">
        <v>29223</v>
      </c>
      <c r="P181" s="936">
        <v>35330</v>
      </c>
      <c r="Q181" s="936">
        <v>43197</v>
      </c>
      <c r="R181" s="936">
        <v>51351</v>
      </c>
      <c r="S181" s="936">
        <v>59660</v>
      </c>
      <c r="T181" s="936">
        <v>68251</v>
      </c>
      <c r="U181" s="936">
        <v>76421</v>
      </c>
      <c r="V181" s="936">
        <f t="shared" ref="V181:AF181" si="144">+V186</f>
        <v>90460.589150700689</v>
      </c>
      <c r="W181" s="936">
        <f t="shared" si="144"/>
        <v>108097.86053645777</v>
      </c>
      <c r="X181" s="936">
        <f t="shared" si="144"/>
        <v>128972.69037877297</v>
      </c>
      <c r="Y181" s="936">
        <f t="shared" si="144"/>
        <v>153141.21259549679</v>
      </c>
      <c r="Z181" s="936">
        <f t="shared" si="144"/>
        <v>180211.25018817923</v>
      </c>
      <c r="AA181" s="936">
        <f t="shared" si="144"/>
        <v>209323.0638578033</v>
      </c>
      <c r="AB181" s="936">
        <f t="shared" si="144"/>
        <v>240821.22916057086</v>
      </c>
      <c r="AC181" s="936">
        <f t="shared" si="144"/>
        <v>274207.10348443565</v>
      </c>
      <c r="AD181" s="936">
        <f t="shared" si="144"/>
        <v>310253.96944162273</v>
      </c>
      <c r="AE181" s="936">
        <f t="shared" si="144"/>
        <v>348654.1575607236</v>
      </c>
      <c r="AF181" s="936">
        <f t="shared" si="144"/>
        <v>388693.51361061848</v>
      </c>
      <c r="AG181" s="936">
        <f t="shared" ref="AG181" si="145">+AG186</f>
        <v>429541.98937626428</v>
      </c>
    </row>
    <row r="183" spans="1:33">
      <c r="A183" t="s">
        <v>938</v>
      </c>
      <c r="D183" s="8">
        <f>+C181</f>
        <v>4179</v>
      </c>
      <c r="E183" s="8">
        <f>+D186</f>
        <v>5016</v>
      </c>
      <c r="F183" s="8">
        <f t="shared" ref="F183:T183" si="146">+E186</f>
        <v>6302</v>
      </c>
      <c r="G183" s="8">
        <f t="shared" si="146"/>
        <v>7547</v>
      </c>
      <c r="H183" s="8">
        <f t="shared" si="146"/>
        <v>8629</v>
      </c>
      <c r="I183" s="8">
        <f t="shared" si="146"/>
        <v>9829</v>
      </c>
      <c r="J183" s="8">
        <f t="shared" si="146"/>
        <v>10962</v>
      </c>
      <c r="K183" s="8">
        <f t="shared" si="146"/>
        <v>12513</v>
      </c>
      <c r="L183" s="8">
        <f t="shared" si="146"/>
        <v>14793</v>
      </c>
      <c r="M183" s="8">
        <f t="shared" si="146"/>
        <v>17606</v>
      </c>
      <c r="N183" s="8">
        <f t="shared" si="146"/>
        <v>19800</v>
      </c>
      <c r="O183" s="8">
        <f t="shared" si="146"/>
        <v>24179</v>
      </c>
      <c r="P183" s="8">
        <f t="shared" si="146"/>
        <v>29223</v>
      </c>
      <c r="Q183" s="8">
        <f t="shared" si="146"/>
        <v>35330</v>
      </c>
      <c r="R183" s="8">
        <f t="shared" si="146"/>
        <v>43197</v>
      </c>
      <c r="S183" s="8">
        <f t="shared" si="146"/>
        <v>51351</v>
      </c>
      <c r="T183" s="8">
        <f t="shared" si="146"/>
        <v>59660</v>
      </c>
      <c r="U183" s="8">
        <f t="shared" ref="U183" si="147">+T186</f>
        <v>68251</v>
      </c>
      <c r="V183" s="8">
        <f t="shared" ref="V183:AF183" si="148">+U186</f>
        <v>76421</v>
      </c>
      <c r="W183" s="8">
        <f t="shared" si="148"/>
        <v>90460.589150700689</v>
      </c>
      <c r="X183" s="8">
        <f t="shared" si="148"/>
        <v>108097.86053645777</v>
      </c>
      <c r="Y183" s="8">
        <f t="shared" si="148"/>
        <v>128972.69037877297</v>
      </c>
      <c r="Z183" s="8">
        <f t="shared" si="148"/>
        <v>153141.21259549679</v>
      </c>
      <c r="AA183" s="8">
        <f t="shared" si="148"/>
        <v>180211.25018817923</v>
      </c>
      <c r="AB183" s="8">
        <f t="shared" si="148"/>
        <v>209323.0638578033</v>
      </c>
      <c r="AC183" s="8">
        <f t="shared" si="148"/>
        <v>240821.22916057086</v>
      </c>
      <c r="AD183" s="8">
        <f t="shared" si="148"/>
        <v>274207.10348443565</v>
      </c>
      <c r="AE183" s="8">
        <f t="shared" si="148"/>
        <v>310253.96944162273</v>
      </c>
      <c r="AF183" s="8">
        <f t="shared" si="148"/>
        <v>348654.1575607236</v>
      </c>
      <c r="AG183" s="8">
        <f t="shared" ref="AG183" si="149">+AF186</f>
        <v>388693.51361061848</v>
      </c>
    </row>
    <row r="184" spans="1:33">
      <c r="A184" t="s">
        <v>939</v>
      </c>
      <c r="C184" s="29">
        <f t="shared" ref="C184:S184" si="150">+C213</f>
        <v>0</v>
      </c>
      <c r="D184" s="11">
        <f t="shared" si="150"/>
        <v>940</v>
      </c>
      <c r="E184" s="11">
        <f t="shared" si="150"/>
        <v>1556</v>
      </c>
      <c r="F184" s="11">
        <f t="shared" si="150"/>
        <v>2062</v>
      </c>
      <c r="G184" s="11">
        <f t="shared" si="150"/>
        <v>2173</v>
      </c>
      <c r="H184" s="11">
        <f t="shared" si="150"/>
        <v>2266</v>
      </c>
      <c r="I184" s="11">
        <f t="shared" si="150"/>
        <v>2467</v>
      </c>
      <c r="J184" s="11">
        <f t="shared" si="150"/>
        <v>3255</v>
      </c>
      <c r="K184" s="11">
        <f t="shared" si="150"/>
        <v>4712</v>
      </c>
      <c r="L184" s="11">
        <f t="shared" si="150"/>
        <v>5457</v>
      </c>
      <c r="M184" s="29">
        <f t="shared" si="150"/>
        <v>4900</v>
      </c>
      <c r="N184" s="29">
        <f t="shared" si="150"/>
        <v>6100</v>
      </c>
      <c r="O184" s="29">
        <f t="shared" si="150"/>
        <v>7700</v>
      </c>
      <c r="P184" s="29">
        <f t="shared" si="150"/>
        <v>9700</v>
      </c>
      <c r="Q184" s="29">
        <f t="shared" si="150"/>
        <v>10700</v>
      </c>
      <c r="R184" s="29">
        <f t="shared" si="150"/>
        <v>9300</v>
      </c>
      <c r="S184" s="29">
        <f t="shared" si="150"/>
        <v>12600</v>
      </c>
      <c r="T184" s="29">
        <f>+T213</f>
        <v>11000</v>
      </c>
      <c r="U184" s="29">
        <f t="shared" ref="U184" si="151">+U213</f>
        <v>15200</v>
      </c>
      <c r="V184" s="29">
        <f t="shared" ref="V184:AF184" si="152">+V50</f>
        <v>21911.116747365937</v>
      </c>
      <c r="W184" s="29">
        <f t="shared" si="152"/>
        <v>26954.906903616535</v>
      </c>
      <c r="X184" s="29">
        <f t="shared" si="152"/>
        <v>32009.142300320174</v>
      </c>
      <c r="Y184" s="29">
        <f t="shared" si="152"/>
        <v>37452.987109000482</v>
      </c>
      <c r="Z184" s="29">
        <f t="shared" si="152"/>
        <v>42843.912327797545</v>
      </c>
      <c r="AA184" s="29">
        <f t="shared" si="152"/>
        <v>47673.960580627565</v>
      </c>
      <c r="AB184" s="29">
        <f t="shared" si="152"/>
        <v>53058.891723191518</v>
      </c>
      <c r="AC184" s="29">
        <f t="shared" si="152"/>
        <v>58190.979611682043</v>
      </c>
      <c r="AD184" s="29">
        <f t="shared" si="152"/>
        <v>64290.788207345839</v>
      </c>
      <c r="AE184" s="29">
        <f t="shared" si="152"/>
        <v>70357.015201115937</v>
      </c>
      <c r="AF184" s="29">
        <f t="shared" si="152"/>
        <v>75951.485215063003</v>
      </c>
      <c r="AG184" s="29">
        <f t="shared" ref="AG184" si="153">+AG50</f>
        <v>80884.7448413026</v>
      </c>
    </row>
    <row r="185" spans="1:33" ht="11.45">
      <c r="A185" t="s">
        <v>198</v>
      </c>
      <c r="D185" s="10">
        <f>+D186-SUM(D183:D184)</f>
        <v>-103</v>
      </c>
      <c r="E185" s="10">
        <f t="shared" ref="E185:T185" si="154">+E186-SUM(E183:E184)</f>
        <v>-270</v>
      </c>
      <c r="F185" s="10">
        <f t="shared" si="154"/>
        <v>-817</v>
      </c>
      <c r="G185" s="10">
        <f t="shared" si="154"/>
        <v>-1091</v>
      </c>
      <c r="H185" s="10">
        <f t="shared" si="154"/>
        <v>-1066</v>
      </c>
      <c r="I185" s="10">
        <f t="shared" si="154"/>
        <v>-1334</v>
      </c>
      <c r="J185" s="10">
        <f t="shared" si="154"/>
        <v>-1704</v>
      </c>
      <c r="K185" s="10">
        <f t="shared" si="154"/>
        <v>-2432</v>
      </c>
      <c r="L185" s="10">
        <f t="shared" si="154"/>
        <v>-2644</v>
      </c>
      <c r="M185" s="10">
        <f t="shared" si="154"/>
        <v>-2706</v>
      </c>
      <c r="N185" s="10">
        <f t="shared" si="154"/>
        <v>-1721</v>
      </c>
      <c r="O185" s="10">
        <f t="shared" si="154"/>
        <v>-2656</v>
      </c>
      <c r="P185" s="10">
        <f t="shared" si="154"/>
        <v>-3593</v>
      </c>
      <c r="Q185" s="10">
        <f t="shared" si="154"/>
        <v>-2833</v>
      </c>
      <c r="R185" s="10">
        <f t="shared" si="154"/>
        <v>-1146</v>
      </c>
      <c r="S185" s="10">
        <f t="shared" si="154"/>
        <v>-4291</v>
      </c>
      <c r="T185" s="10">
        <f t="shared" si="154"/>
        <v>-2409</v>
      </c>
      <c r="U185" s="10">
        <f t="shared" ref="U185" si="155">+U186-SUM(U183:U184)</f>
        <v>-7030</v>
      </c>
      <c r="V185" s="58">
        <f t="shared" ref="V185:AF185" si="156">+U185/U183*V183</f>
        <v>-7871.5275966652507</v>
      </c>
      <c r="W185" s="58">
        <f t="shared" si="156"/>
        <v>-9317.6355178594586</v>
      </c>
      <c r="X185" s="58">
        <f t="shared" si="156"/>
        <v>-11134.312458004984</v>
      </c>
      <c r="Y185" s="58">
        <f t="shared" si="156"/>
        <v>-13284.464892276657</v>
      </c>
      <c r="Z185" s="58">
        <f t="shared" si="156"/>
        <v>-15773.874735115129</v>
      </c>
      <c r="AA185" s="58">
        <f t="shared" si="156"/>
        <v>-18562.146911003503</v>
      </c>
      <c r="AB185" s="58">
        <f t="shared" si="156"/>
        <v>-21560.726420423984</v>
      </c>
      <c r="AC185" s="58">
        <f t="shared" si="156"/>
        <v>-24805.105287817223</v>
      </c>
      <c r="AD185" s="58">
        <f t="shared" si="156"/>
        <v>-28243.922250158717</v>
      </c>
      <c r="AE185" s="58">
        <f t="shared" si="156"/>
        <v>-31956.827082015032</v>
      </c>
      <c r="AF185" s="58">
        <f t="shared" si="156"/>
        <v>-35912.129165168088</v>
      </c>
      <c r="AG185" s="58">
        <f t="shared" ref="AG185" si="157">+AF185/AF183*AG183</f>
        <v>-40036.269075656746</v>
      </c>
    </row>
    <row r="186" spans="1:33" s="1" customFormat="1" ht="10.5">
      <c r="A186" s="837" t="s">
        <v>924</v>
      </c>
      <c r="C186" s="838"/>
      <c r="D186" s="838">
        <f>+D181</f>
        <v>5016</v>
      </c>
      <c r="E186" s="838">
        <f t="shared" ref="E186:T186" si="158">+E181</f>
        <v>6302</v>
      </c>
      <c r="F186" s="838">
        <f t="shared" si="158"/>
        <v>7547</v>
      </c>
      <c r="G186" s="838">
        <f t="shared" si="158"/>
        <v>8629</v>
      </c>
      <c r="H186" s="838">
        <f t="shared" si="158"/>
        <v>9829</v>
      </c>
      <c r="I186" s="838">
        <f t="shared" si="158"/>
        <v>10962</v>
      </c>
      <c r="J186" s="838">
        <f t="shared" si="158"/>
        <v>12513</v>
      </c>
      <c r="K186" s="838">
        <f>+K181</f>
        <v>14793</v>
      </c>
      <c r="L186" s="838">
        <f t="shared" si="158"/>
        <v>17606</v>
      </c>
      <c r="M186" s="838">
        <f t="shared" si="158"/>
        <v>19800</v>
      </c>
      <c r="N186" s="838">
        <f t="shared" si="158"/>
        <v>24179</v>
      </c>
      <c r="O186" s="838">
        <f t="shared" si="158"/>
        <v>29223</v>
      </c>
      <c r="P186" s="838">
        <f t="shared" si="158"/>
        <v>35330</v>
      </c>
      <c r="Q186" s="838">
        <f t="shared" si="158"/>
        <v>43197</v>
      </c>
      <c r="R186" s="838">
        <f t="shared" si="158"/>
        <v>51351</v>
      </c>
      <c r="S186" s="838">
        <f t="shared" si="158"/>
        <v>59660</v>
      </c>
      <c r="T186" s="838">
        <f t="shared" si="158"/>
        <v>68251</v>
      </c>
      <c r="U186" s="838">
        <f t="shared" ref="U186" si="159">+U181</f>
        <v>76421</v>
      </c>
      <c r="V186" s="838">
        <f t="shared" ref="V186:AF186" si="160">+SUM(V183:V185)</f>
        <v>90460.589150700689</v>
      </c>
      <c r="W186" s="838">
        <f t="shared" si="160"/>
        <v>108097.86053645777</v>
      </c>
      <c r="X186" s="838">
        <f t="shared" si="160"/>
        <v>128972.69037877297</v>
      </c>
      <c r="Y186" s="838">
        <f t="shared" si="160"/>
        <v>153141.21259549679</v>
      </c>
      <c r="Z186" s="838">
        <f t="shared" si="160"/>
        <v>180211.25018817923</v>
      </c>
      <c r="AA186" s="838">
        <f t="shared" si="160"/>
        <v>209323.0638578033</v>
      </c>
      <c r="AB186" s="838">
        <f t="shared" si="160"/>
        <v>240821.22916057086</v>
      </c>
      <c r="AC186" s="838">
        <f t="shared" si="160"/>
        <v>274207.10348443565</v>
      </c>
      <c r="AD186" s="838">
        <f t="shared" si="160"/>
        <v>310253.96944162273</v>
      </c>
      <c r="AE186" s="838">
        <f t="shared" si="160"/>
        <v>348654.1575607236</v>
      </c>
      <c r="AF186" s="838">
        <f t="shared" si="160"/>
        <v>388693.51361061848</v>
      </c>
      <c r="AG186" s="838">
        <f t="shared" ref="AG186" si="161">+SUM(AG183:AG185)</f>
        <v>429541.98937626428</v>
      </c>
    </row>
    <row r="187" spans="1:33">
      <c r="A187" s="13" t="s">
        <v>940</v>
      </c>
      <c r="D187" s="1226">
        <f t="shared" ref="D187:T187" si="162">+D175/D184</f>
        <v>7.6840425531914898</v>
      </c>
      <c r="E187" s="1226">
        <f t="shared" si="162"/>
        <v>6.0192802056555266</v>
      </c>
      <c r="F187" s="1226">
        <f t="shared" si="162"/>
        <v>6.0834141610087293</v>
      </c>
      <c r="G187" s="1226">
        <f t="shared" si="162"/>
        <v>6.9406350667280261</v>
      </c>
      <c r="H187" s="1226">
        <f t="shared" si="162"/>
        <v>7.1751985878199473</v>
      </c>
      <c r="I187" s="1226">
        <f t="shared" si="162"/>
        <v>7.2926631536278883</v>
      </c>
      <c r="J187" s="1226">
        <f t="shared" si="162"/>
        <v>5.908141321044547</v>
      </c>
      <c r="K187" s="1226">
        <f t="shared" si="162"/>
        <v>4.7758913412563668</v>
      </c>
      <c r="L187" s="1226">
        <f t="shared" si="162"/>
        <v>5.0951072017592081</v>
      </c>
      <c r="M187" s="1226">
        <f t="shared" si="162"/>
        <v>6.5993877551020406</v>
      </c>
      <c r="N187" s="1226">
        <f t="shared" si="162"/>
        <v>6.2550819672131146</v>
      </c>
      <c r="O187" s="1226">
        <f t="shared" si="162"/>
        <v>6.2224675324675323</v>
      </c>
      <c r="P187" s="1226">
        <f t="shared" si="162"/>
        <v>6.0497938144329897</v>
      </c>
      <c r="Q187" s="1226">
        <f t="shared" si="162"/>
        <v>6.7109345794392521</v>
      </c>
      <c r="R187" s="1226">
        <f t="shared" si="162"/>
        <v>9.3922580645161293</v>
      </c>
      <c r="S187" s="1226">
        <f t="shared" si="162"/>
        <v>8.8147619047619052</v>
      </c>
      <c r="T187" s="1226">
        <f t="shared" si="162"/>
        <v>12.187090909090909</v>
      </c>
      <c r="U187" s="1226">
        <f t="shared" ref="U187" si="163">+U175/U184</f>
        <v>10.782368421052631</v>
      </c>
      <c r="V187" s="1226">
        <f t="shared" ref="V187:AF187" si="164">+V175/V184</f>
        <v>9.6760015678108786</v>
      </c>
      <c r="W187" s="1226">
        <f t="shared" si="164"/>
        <v>10.851901698119155</v>
      </c>
      <c r="X187" s="1226">
        <f t="shared" si="164"/>
        <v>11.338050288496548</v>
      </c>
      <c r="Y187" s="1226">
        <f t="shared" si="164"/>
        <v>11.620892753877568</v>
      </c>
      <c r="Z187" s="1226">
        <f t="shared" si="164"/>
        <v>11.875056927827879</v>
      </c>
      <c r="AA187" s="1226">
        <f t="shared" si="164"/>
        <v>12.221247196349262</v>
      </c>
      <c r="AB187" s="1226">
        <f t="shared" si="164"/>
        <v>12.357425488570451</v>
      </c>
      <c r="AC187" s="1226">
        <f t="shared" si="164"/>
        <v>12.584121121303026</v>
      </c>
      <c r="AD187" s="1226">
        <f t="shared" si="164"/>
        <v>12.63278958084004</v>
      </c>
      <c r="AE187" s="1226">
        <f t="shared" si="164"/>
        <v>12.825761822535206</v>
      </c>
      <c r="AF187" s="1226">
        <f t="shared" si="164"/>
        <v>13.222321833314673</v>
      </c>
      <c r="AG187" s="1226">
        <f t="shared" ref="AG187" si="165">+AG175/AG184</f>
        <v>13.838284229851009</v>
      </c>
    </row>
    <row r="188" spans="1:33">
      <c r="A188" s="13"/>
      <c r="D188" s="1226"/>
      <c r="E188" s="1226"/>
      <c r="F188" s="1226"/>
      <c r="G188" s="1226"/>
      <c r="H188" s="1226"/>
      <c r="I188" s="1226"/>
      <c r="J188" s="1226"/>
      <c r="K188" s="1226"/>
      <c r="L188" s="1226"/>
      <c r="M188" s="1226"/>
      <c r="N188" s="1226"/>
      <c r="O188" s="1226"/>
      <c r="P188" s="1226"/>
      <c r="Q188" s="1226"/>
      <c r="R188" s="1226"/>
      <c r="S188" s="1226"/>
      <c r="T188" s="1226"/>
      <c r="U188" s="1226"/>
      <c r="V188" s="1226"/>
      <c r="W188" s="1226"/>
    </row>
    <row r="189" spans="1:33">
      <c r="A189" s="24" t="s">
        <v>126</v>
      </c>
      <c r="D189" s="1226"/>
      <c r="E189" s="1226"/>
      <c r="F189" s="1226"/>
      <c r="G189" s="1226"/>
      <c r="H189" s="1226"/>
      <c r="I189" s="1226"/>
      <c r="J189" s="1226"/>
      <c r="K189" s="1226"/>
      <c r="L189" s="1226"/>
      <c r="M189" s="1226"/>
      <c r="N189" s="1226"/>
      <c r="O189" s="1226"/>
      <c r="P189" s="1226"/>
      <c r="Q189" s="1226"/>
      <c r="R189" s="1226"/>
      <c r="S189" s="1226"/>
      <c r="T189" s="1226"/>
      <c r="U189" s="1226"/>
      <c r="V189" s="1226"/>
      <c r="W189" s="1226"/>
    </row>
    <row r="190" spans="1:33">
      <c r="A190" s="13" t="s">
        <v>941</v>
      </c>
      <c r="D190" s="29">
        <f>+'Historical Financials'!AU816</f>
        <v>1440</v>
      </c>
      <c r="E190" s="29">
        <f>+'Historical Financials'!AV816</f>
        <v>2056</v>
      </c>
      <c r="F190" s="29">
        <f>+'Historical Financials'!AW816</f>
        <v>2562</v>
      </c>
      <c r="G190" s="29">
        <f>+'Historical Financials'!AX816</f>
        <v>2673</v>
      </c>
      <c r="H190" s="29">
        <f>+'Historical Financials'!AY816</f>
        <v>2766</v>
      </c>
      <c r="I190" s="29">
        <f>+'Historical Financials'!AZ816</f>
        <v>2967</v>
      </c>
      <c r="J190" s="29">
        <f>+'Historical Financials'!BA816</f>
        <v>3755</v>
      </c>
      <c r="K190" s="29">
        <f>+'Historical Financials'!BB816</f>
        <v>5212</v>
      </c>
      <c r="L190" s="29">
        <f>+'Historical Financials'!BC816</f>
        <v>5957</v>
      </c>
      <c r="M190" s="29">
        <f>+'Historical Financials'!BG816</f>
        <v>6622</v>
      </c>
      <c r="N190" s="29">
        <f>+'Historical Financials'!BH816</f>
        <v>8778</v>
      </c>
      <c r="O190" s="29">
        <f>+'Historical Financials'!BI816</f>
        <v>10261</v>
      </c>
      <c r="P190" s="29">
        <f>+'Historical Financials'!BJ816</f>
        <v>11682</v>
      </c>
      <c r="Q190" s="29">
        <f>+'Historical Financials'!BK816</f>
        <v>12796</v>
      </c>
      <c r="R190" s="29">
        <f>+'Historical Financials'!BL816</f>
        <v>11686</v>
      </c>
      <c r="S190" s="29">
        <f>+'Historical Financials'!BM816</f>
        <v>14460</v>
      </c>
      <c r="T190" s="29">
        <f>+'Historical Financials'!BN816</f>
        <v>13861</v>
      </c>
      <c r="U190" s="29">
        <f>+'Historical Financials'!BO816</f>
        <v>22287</v>
      </c>
      <c r="V190" s="1226"/>
      <c r="W190" s="1226"/>
    </row>
    <row r="191" spans="1:33">
      <c r="A191" s="15" t="s">
        <v>942</v>
      </c>
      <c r="B191" s="11"/>
      <c r="C191" s="11">
        <f t="shared" ref="C191:M191" si="166">+C184</f>
        <v>0</v>
      </c>
      <c r="D191" s="11">
        <f t="shared" si="166"/>
        <v>940</v>
      </c>
      <c r="E191" s="11">
        <f t="shared" si="166"/>
        <v>1556</v>
      </c>
      <c r="F191" s="11">
        <f t="shared" si="166"/>
        <v>2062</v>
      </c>
      <c r="G191" s="11">
        <f t="shared" si="166"/>
        <v>2173</v>
      </c>
      <c r="H191" s="11">
        <f t="shared" si="166"/>
        <v>2266</v>
      </c>
      <c r="I191" s="11">
        <f t="shared" si="166"/>
        <v>2467</v>
      </c>
      <c r="J191" s="11">
        <f t="shared" si="166"/>
        <v>3255</v>
      </c>
      <c r="K191" s="11">
        <f t="shared" si="166"/>
        <v>4712</v>
      </c>
      <c r="L191" s="11">
        <f t="shared" si="166"/>
        <v>5457</v>
      </c>
      <c r="M191" s="11">
        <f t="shared" si="166"/>
        <v>4900</v>
      </c>
      <c r="N191" s="11">
        <f>+N184</f>
        <v>6100</v>
      </c>
      <c r="O191" s="11">
        <f t="shared" ref="O191:U191" si="167">+O184</f>
        <v>7700</v>
      </c>
      <c r="P191" s="11">
        <f t="shared" si="167"/>
        <v>9700</v>
      </c>
      <c r="Q191" s="11">
        <f t="shared" si="167"/>
        <v>10700</v>
      </c>
      <c r="R191" s="11">
        <f t="shared" si="167"/>
        <v>9300</v>
      </c>
      <c r="S191" s="11">
        <f t="shared" si="167"/>
        <v>12600</v>
      </c>
      <c r="T191" s="11">
        <f t="shared" si="167"/>
        <v>11000</v>
      </c>
      <c r="U191" s="11">
        <f t="shared" si="167"/>
        <v>15200</v>
      </c>
      <c r="V191" s="1226"/>
      <c r="W191" s="1226"/>
    </row>
    <row r="192" spans="1:33">
      <c r="A192" s="15" t="s">
        <v>943</v>
      </c>
      <c r="B192" s="11"/>
      <c r="C192" s="11"/>
      <c r="D192" s="29">
        <v>236</v>
      </c>
      <c r="E192" s="29">
        <v>472</v>
      </c>
      <c r="F192" s="29">
        <v>591</v>
      </c>
      <c r="G192" s="29">
        <v>707</v>
      </c>
      <c r="H192" s="29">
        <v>537</v>
      </c>
      <c r="I192" s="29">
        <v>558</v>
      </c>
      <c r="J192" s="29">
        <v>739</v>
      </c>
      <c r="K192" s="29">
        <v>845</v>
      </c>
      <c r="L192" s="29">
        <v>1300</v>
      </c>
      <c r="M192" s="29">
        <v>978</v>
      </c>
      <c r="N192" s="29">
        <v>1700</v>
      </c>
      <c r="O192" s="29">
        <v>2200</v>
      </c>
      <c r="P192" s="29">
        <v>1900</v>
      </c>
      <c r="Q192" s="29">
        <v>1600</v>
      </c>
      <c r="R192" s="29">
        <v>1600</v>
      </c>
      <c r="S192" s="29">
        <v>2000</v>
      </c>
      <c r="T192" s="29">
        <v>2500</v>
      </c>
      <c r="U192" s="29">
        <v>4800</v>
      </c>
      <c r="V192" s="1226"/>
      <c r="W192" s="1226"/>
    </row>
    <row r="193" spans="1:33">
      <c r="A193" s="15" t="s">
        <v>944</v>
      </c>
      <c r="B193" s="11"/>
      <c r="C193" s="11"/>
      <c r="D193" s="61">
        <v>500</v>
      </c>
      <c r="E193" s="61">
        <v>500</v>
      </c>
      <c r="F193" s="61">
        <v>500</v>
      </c>
      <c r="G193" s="61">
        <v>500</v>
      </c>
      <c r="H193" s="61">
        <v>500</v>
      </c>
      <c r="I193" s="61">
        <v>500</v>
      </c>
      <c r="J193" s="61">
        <v>500</v>
      </c>
      <c r="K193" s="61">
        <v>500</v>
      </c>
      <c r="L193" s="61">
        <v>500</v>
      </c>
      <c r="M193" s="11">
        <f t="shared" ref="M193:T193" si="168">+M190-M191-M192</f>
        <v>744</v>
      </c>
      <c r="N193" s="11">
        <f t="shared" si="168"/>
        <v>978</v>
      </c>
      <c r="O193" s="11">
        <f t="shared" si="168"/>
        <v>361</v>
      </c>
      <c r="P193" s="11">
        <f t="shared" si="168"/>
        <v>82</v>
      </c>
      <c r="Q193" s="11">
        <f t="shared" si="168"/>
        <v>496</v>
      </c>
      <c r="R193" s="11">
        <f t="shared" si="168"/>
        <v>786</v>
      </c>
      <c r="S193" s="11">
        <f t="shared" si="168"/>
        <v>-140</v>
      </c>
      <c r="T193" s="11">
        <f t="shared" si="168"/>
        <v>361</v>
      </c>
      <c r="U193" s="11">
        <f>+U190-U191-U192</f>
        <v>2287</v>
      </c>
      <c r="V193" s="1226"/>
      <c r="W193" s="1226"/>
    </row>
    <row r="194" spans="1:33" hidden="1" outlineLevel="1">
      <c r="A194" s="19" t="s">
        <v>945</v>
      </c>
      <c r="D194" s="1253">
        <f t="shared" ref="D194:K194" si="169">+E194</f>
        <v>0.11235276351555422</v>
      </c>
      <c r="E194" s="1253">
        <f t="shared" si="169"/>
        <v>0.11235276351555422</v>
      </c>
      <c r="F194" s="1253">
        <f t="shared" si="169"/>
        <v>0.11235276351555422</v>
      </c>
      <c r="G194" s="1253">
        <f t="shared" si="169"/>
        <v>0.11235276351555422</v>
      </c>
      <c r="H194" s="1253">
        <f t="shared" si="169"/>
        <v>0.11235276351555422</v>
      </c>
      <c r="I194" s="1253">
        <f t="shared" si="169"/>
        <v>0.11235276351555422</v>
      </c>
      <c r="J194" s="1253">
        <f t="shared" si="169"/>
        <v>0.11235276351555422</v>
      </c>
      <c r="K194" s="1253">
        <f t="shared" si="169"/>
        <v>0.11235276351555422</v>
      </c>
      <c r="L194" s="1253">
        <f>+M194</f>
        <v>0.11235276351555422</v>
      </c>
      <c r="M194" s="1252">
        <f>+M193/M190</f>
        <v>0.11235276351555422</v>
      </c>
      <c r="N194" s="1252">
        <f t="shared" ref="N194:T194" si="170">+N193/N190</f>
        <v>0.11141490088858511</v>
      </c>
      <c r="O194" s="1252">
        <f t="shared" si="170"/>
        <v>3.5181756164116555E-2</v>
      </c>
      <c r="P194" s="1252">
        <f t="shared" si="170"/>
        <v>7.0193460023968502E-3</v>
      </c>
      <c r="Q194" s="1252">
        <f t="shared" si="170"/>
        <v>3.8762113160362613E-2</v>
      </c>
      <c r="R194" s="1252">
        <f t="shared" si="170"/>
        <v>6.725996919390724E-2</v>
      </c>
      <c r="S194" s="1252">
        <f t="shared" si="170"/>
        <v>-9.6818810511756573E-3</v>
      </c>
      <c r="T194" s="1252">
        <f t="shared" si="170"/>
        <v>2.6044296948272129E-2</v>
      </c>
      <c r="U194" s="1252">
        <f t="shared" ref="U194" si="171">+U193/U190</f>
        <v>0.10261587472517611</v>
      </c>
      <c r="V194" s="1226"/>
      <c r="W194" s="1226"/>
    </row>
    <row r="195" spans="1:33" collapsed="1">
      <c r="A195" s="13"/>
      <c r="D195" s="1226"/>
      <c r="E195" s="1226"/>
      <c r="F195" s="1226"/>
      <c r="G195" s="1226"/>
      <c r="H195" s="1226"/>
      <c r="I195" s="1226"/>
      <c r="J195" s="1226"/>
      <c r="K195" s="1226"/>
      <c r="L195" s="1226"/>
      <c r="M195" s="1226"/>
      <c r="N195" s="1226"/>
      <c r="O195" s="1226"/>
      <c r="P195" s="1226"/>
      <c r="Q195" s="1226"/>
      <c r="R195" s="1226"/>
      <c r="S195" s="1226"/>
      <c r="T195" s="1226"/>
      <c r="U195" s="1226"/>
      <c r="V195" s="1226"/>
      <c r="W195" s="1226"/>
    </row>
    <row r="196" spans="1:33" ht="10.5">
      <c r="A196" s="45" t="s">
        <v>946</v>
      </c>
    </row>
    <row r="197" spans="1:33">
      <c r="A197" t="s">
        <v>933</v>
      </c>
      <c r="C197" s="8">
        <f t="shared" ref="C197:AG197" si="172">+C170</f>
        <v>7223</v>
      </c>
      <c r="D197" s="8">
        <f t="shared" si="172"/>
        <v>9366</v>
      </c>
      <c r="E197" s="8">
        <f t="shared" si="172"/>
        <v>12544</v>
      </c>
      <c r="F197" s="8">
        <f t="shared" si="172"/>
        <v>15082</v>
      </c>
      <c r="G197" s="8">
        <f t="shared" si="172"/>
        <v>16259</v>
      </c>
      <c r="H197" s="8">
        <f t="shared" si="172"/>
        <v>17991</v>
      </c>
      <c r="I197" s="8">
        <f t="shared" si="172"/>
        <v>19231</v>
      </c>
      <c r="J197" s="8">
        <f t="shared" si="172"/>
        <v>22504</v>
      </c>
      <c r="K197" s="8">
        <f t="shared" si="172"/>
        <v>27804</v>
      </c>
      <c r="L197" s="8">
        <f t="shared" si="172"/>
        <v>32337</v>
      </c>
      <c r="M197" s="8">
        <f t="shared" si="172"/>
        <v>38156</v>
      </c>
      <c r="N197" s="8">
        <f t="shared" si="172"/>
        <v>47913</v>
      </c>
      <c r="O197" s="8">
        <f t="shared" si="172"/>
        <v>58683</v>
      </c>
      <c r="P197" s="8">
        <f t="shared" si="172"/>
        <v>71807</v>
      </c>
      <c r="Q197" s="8">
        <f t="shared" si="172"/>
        <v>87348</v>
      </c>
      <c r="R197" s="8">
        <f t="shared" si="172"/>
        <v>111066</v>
      </c>
      <c r="S197" s="8">
        <f t="shared" si="172"/>
        <v>134058</v>
      </c>
      <c r="T197" s="8">
        <f t="shared" si="172"/>
        <v>163892</v>
      </c>
      <c r="U197" s="8">
        <f t="shared" si="172"/>
        <v>212012</v>
      </c>
      <c r="V197" s="8">
        <f t="shared" si="172"/>
        <v>292512</v>
      </c>
      <c r="W197" s="8">
        <f t="shared" si="172"/>
        <v>362921.2650926722</v>
      </c>
      <c r="X197" s="8">
        <f t="shared" si="172"/>
        <v>435237.14650605363</v>
      </c>
      <c r="Y197" s="8">
        <f t="shared" si="172"/>
        <v>508773.89790346252</v>
      </c>
      <c r="Z197" s="8">
        <f t="shared" si="172"/>
        <v>582635.25708485988</v>
      </c>
      <c r="AA197" s="8">
        <f t="shared" si="172"/>
        <v>655671.30097546661</v>
      </c>
      <c r="AB197" s="8">
        <f t="shared" si="172"/>
        <v>732282.33560068172</v>
      </c>
      <c r="AC197" s="8">
        <f t="shared" si="172"/>
        <v>812171.9994097522</v>
      </c>
      <c r="AD197" s="8">
        <f t="shared" si="172"/>
        <v>902382.31951400195</v>
      </c>
      <c r="AE197" s="8">
        <f t="shared" si="172"/>
        <v>1004254.9812318041</v>
      </c>
      <c r="AF197" s="8">
        <f t="shared" si="172"/>
        <v>1119306.0889729206</v>
      </c>
      <c r="AG197" s="8">
        <f t="shared" si="172"/>
        <v>1249248.8407203821</v>
      </c>
    </row>
    <row r="198" spans="1:33" ht="11.45">
      <c r="A198" t="s">
        <v>924</v>
      </c>
      <c r="C198" s="10">
        <f t="shared" ref="C198:AG198" si="173">-C181</f>
        <v>-4179</v>
      </c>
      <c r="D198" s="10">
        <f t="shared" si="173"/>
        <v>-5016</v>
      </c>
      <c r="E198" s="10">
        <f t="shared" si="173"/>
        <v>-6302</v>
      </c>
      <c r="F198" s="10">
        <f t="shared" si="173"/>
        <v>-7547</v>
      </c>
      <c r="G198" s="10">
        <f t="shared" si="173"/>
        <v>-8629</v>
      </c>
      <c r="H198" s="10">
        <f t="shared" si="173"/>
        <v>-9829</v>
      </c>
      <c r="I198" s="10">
        <f t="shared" si="173"/>
        <v>-10962</v>
      </c>
      <c r="J198" s="10">
        <f t="shared" si="173"/>
        <v>-12513</v>
      </c>
      <c r="K198" s="10">
        <f t="shared" si="173"/>
        <v>-14793</v>
      </c>
      <c r="L198" s="10">
        <f t="shared" si="173"/>
        <v>-17606</v>
      </c>
      <c r="M198" s="10">
        <f t="shared" si="173"/>
        <v>-19800</v>
      </c>
      <c r="N198" s="10">
        <f t="shared" si="173"/>
        <v>-24179</v>
      </c>
      <c r="O198" s="10">
        <f t="shared" si="173"/>
        <v>-29223</v>
      </c>
      <c r="P198" s="10">
        <f t="shared" si="173"/>
        <v>-35330</v>
      </c>
      <c r="Q198" s="10">
        <f t="shared" si="173"/>
        <v>-43197</v>
      </c>
      <c r="R198" s="10">
        <f t="shared" si="173"/>
        <v>-51351</v>
      </c>
      <c r="S198" s="10">
        <f t="shared" si="173"/>
        <v>-59660</v>
      </c>
      <c r="T198" s="10">
        <f t="shared" si="173"/>
        <v>-68251</v>
      </c>
      <c r="U198" s="10">
        <f t="shared" si="173"/>
        <v>-76421</v>
      </c>
      <c r="V198" s="10">
        <f t="shared" si="173"/>
        <v>-90460.589150700689</v>
      </c>
      <c r="W198" s="10">
        <f t="shared" si="173"/>
        <v>-108097.86053645777</v>
      </c>
      <c r="X198" s="10">
        <f t="shared" si="173"/>
        <v>-128972.69037877297</v>
      </c>
      <c r="Y198" s="10">
        <f t="shared" si="173"/>
        <v>-153141.21259549679</v>
      </c>
      <c r="Z198" s="10">
        <f t="shared" si="173"/>
        <v>-180211.25018817923</v>
      </c>
      <c r="AA198" s="10">
        <f t="shared" si="173"/>
        <v>-209323.0638578033</v>
      </c>
      <c r="AB198" s="10">
        <f t="shared" si="173"/>
        <v>-240821.22916057086</v>
      </c>
      <c r="AC198" s="10">
        <f t="shared" si="173"/>
        <v>-274207.10348443565</v>
      </c>
      <c r="AD198" s="10">
        <f t="shared" si="173"/>
        <v>-310253.96944162273</v>
      </c>
      <c r="AE198" s="10">
        <f t="shared" si="173"/>
        <v>-348654.1575607236</v>
      </c>
      <c r="AF198" s="10">
        <f t="shared" si="173"/>
        <v>-388693.51361061848</v>
      </c>
      <c r="AG198" s="10">
        <f t="shared" si="173"/>
        <v>-429541.98937626428</v>
      </c>
    </row>
    <row r="199" spans="1:33" s="1" customFormat="1" ht="10.5">
      <c r="A199" s="837" t="s">
        <v>947</v>
      </c>
      <c r="C199" s="838">
        <f>SUM(C197:C198)</f>
        <v>3044</v>
      </c>
      <c r="D199" s="838">
        <f t="shared" ref="D199:T199" si="174">SUM(D197:D198)</f>
        <v>4350</v>
      </c>
      <c r="E199" s="838">
        <f t="shared" si="174"/>
        <v>6242</v>
      </c>
      <c r="F199" s="838">
        <f t="shared" si="174"/>
        <v>7535</v>
      </c>
      <c r="G199" s="838">
        <f t="shared" si="174"/>
        <v>7630</v>
      </c>
      <c r="H199" s="838">
        <f t="shared" si="174"/>
        <v>8162</v>
      </c>
      <c r="I199" s="838">
        <f t="shared" si="174"/>
        <v>8269</v>
      </c>
      <c r="J199" s="838">
        <f t="shared" si="174"/>
        <v>9991</v>
      </c>
      <c r="K199" s="838">
        <f t="shared" si="174"/>
        <v>13011</v>
      </c>
      <c r="L199" s="838">
        <f t="shared" si="174"/>
        <v>14731</v>
      </c>
      <c r="M199" s="838">
        <f t="shared" si="174"/>
        <v>18356</v>
      </c>
      <c r="N199" s="838">
        <f t="shared" si="174"/>
        <v>23734</v>
      </c>
      <c r="O199" s="838">
        <f t="shared" si="174"/>
        <v>29460</v>
      </c>
      <c r="P199" s="838">
        <f t="shared" si="174"/>
        <v>36477</v>
      </c>
      <c r="Q199" s="838">
        <f t="shared" si="174"/>
        <v>44151</v>
      </c>
      <c r="R199" s="838">
        <f t="shared" si="174"/>
        <v>59715</v>
      </c>
      <c r="S199" s="838">
        <f t="shared" si="174"/>
        <v>74398</v>
      </c>
      <c r="T199" s="838">
        <f t="shared" si="174"/>
        <v>95641</v>
      </c>
      <c r="U199" s="838">
        <f t="shared" ref="U199:AF199" si="175">SUM(U197:U198)</f>
        <v>135591</v>
      </c>
      <c r="V199" s="838">
        <f t="shared" si="175"/>
        <v>202051.41084929931</v>
      </c>
      <c r="W199" s="838">
        <f t="shared" si="175"/>
        <v>254823.40455621443</v>
      </c>
      <c r="X199" s="838">
        <f t="shared" si="175"/>
        <v>306264.45612728066</v>
      </c>
      <c r="Y199" s="838">
        <f t="shared" si="175"/>
        <v>355632.68530796573</v>
      </c>
      <c r="Z199" s="838">
        <f t="shared" si="175"/>
        <v>402424.00689668069</v>
      </c>
      <c r="AA199" s="838">
        <f t="shared" si="175"/>
        <v>446348.23711766332</v>
      </c>
      <c r="AB199" s="838">
        <f t="shared" si="175"/>
        <v>491461.10644011083</v>
      </c>
      <c r="AC199" s="838">
        <f t="shared" si="175"/>
        <v>537964.89592531649</v>
      </c>
      <c r="AD199" s="838">
        <f t="shared" si="175"/>
        <v>592128.35007237922</v>
      </c>
      <c r="AE199" s="838">
        <f t="shared" si="175"/>
        <v>655600.82367108052</v>
      </c>
      <c r="AF199" s="838">
        <f t="shared" si="175"/>
        <v>730612.57536230213</v>
      </c>
      <c r="AG199" s="838">
        <f t="shared" ref="AG199" si="176">SUM(AG197:AG198)</f>
        <v>819706.85134411778</v>
      </c>
    </row>
    <row r="201" spans="1:33">
      <c r="A201" t="s">
        <v>948</v>
      </c>
      <c r="D201" s="8">
        <f>+C199</f>
        <v>3044</v>
      </c>
      <c r="E201" s="8">
        <f t="shared" ref="E201:T201" si="177">+D199</f>
        <v>4350</v>
      </c>
      <c r="F201" s="8">
        <f t="shared" si="177"/>
        <v>6242</v>
      </c>
      <c r="G201" s="8">
        <f t="shared" si="177"/>
        <v>7535</v>
      </c>
      <c r="H201" s="8">
        <f t="shared" si="177"/>
        <v>7630</v>
      </c>
      <c r="I201" s="8">
        <f t="shared" si="177"/>
        <v>8162</v>
      </c>
      <c r="J201" s="8">
        <f t="shared" si="177"/>
        <v>8269</v>
      </c>
      <c r="K201" s="8">
        <f t="shared" si="177"/>
        <v>9991</v>
      </c>
      <c r="L201" s="8">
        <f t="shared" si="177"/>
        <v>13011</v>
      </c>
      <c r="M201" s="8">
        <f t="shared" si="177"/>
        <v>14731</v>
      </c>
      <c r="N201" s="8">
        <f t="shared" si="177"/>
        <v>18356</v>
      </c>
      <c r="O201" s="8">
        <f t="shared" si="177"/>
        <v>23734</v>
      </c>
      <c r="P201" s="8">
        <f t="shared" si="177"/>
        <v>29460</v>
      </c>
      <c r="Q201" s="8">
        <f t="shared" si="177"/>
        <v>36477</v>
      </c>
      <c r="R201" s="8">
        <f t="shared" si="177"/>
        <v>44151</v>
      </c>
      <c r="S201" s="8">
        <f t="shared" si="177"/>
        <v>59715</v>
      </c>
      <c r="T201" s="8">
        <f t="shared" si="177"/>
        <v>74398</v>
      </c>
      <c r="U201" s="8">
        <f t="shared" ref="U201" si="178">+T199</f>
        <v>95641</v>
      </c>
      <c r="V201" s="8">
        <f t="shared" ref="V201" si="179">+U199</f>
        <v>135591</v>
      </c>
      <c r="W201" s="8">
        <f t="shared" ref="W201" si="180">+V199</f>
        <v>202051.41084929931</v>
      </c>
      <c r="X201" s="8">
        <f t="shared" ref="X201" si="181">+W199</f>
        <v>254823.40455621443</v>
      </c>
      <c r="Y201" s="8">
        <f t="shared" ref="Y201" si="182">+X199</f>
        <v>306264.45612728066</v>
      </c>
      <c r="Z201" s="8">
        <f t="shared" ref="Z201" si="183">+Y199</f>
        <v>355632.68530796573</v>
      </c>
      <c r="AA201" s="8">
        <f t="shared" ref="AA201" si="184">+Z199</f>
        <v>402424.00689668069</v>
      </c>
      <c r="AB201" s="8">
        <f t="shared" ref="AB201" si="185">+AA199</f>
        <v>446348.23711766332</v>
      </c>
      <c r="AC201" s="8">
        <f t="shared" ref="AC201" si="186">+AB199</f>
        <v>491461.10644011083</v>
      </c>
      <c r="AD201" s="8">
        <f t="shared" ref="AD201" si="187">+AC199</f>
        <v>537964.89592531649</v>
      </c>
      <c r="AE201" s="8">
        <f t="shared" ref="AE201" si="188">+AD199</f>
        <v>592128.35007237922</v>
      </c>
      <c r="AF201" s="8">
        <f t="shared" ref="AF201" si="189">+AE199</f>
        <v>655600.82367108052</v>
      </c>
      <c r="AG201" s="8">
        <f t="shared" ref="AG201" si="190">+AF199</f>
        <v>730612.57536230213</v>
      </c>
    </row>
    <row r="202" spans="1:33">
      <c r="A202" t="s">
        <v>949</v>
      </c>
      <c r="D202" s="8">
        <f t="shared" ref="D202:AG202" si="191">+D176</f>
        <v>2264</v>
      </c>
      <c r="E202" s="8">
        <f t="shared" si="191"/>
        <v>3182</v>
      </c>
      <c r="F202" s="8">
        <f t="shared" si="191"/>
        <v>3119</v>
      </c>
      <c r="G202" s="8">
        <f t="shared" si="191"/>
        <v>1977</v>
      </c>
      <c r="H202" s="8">
        <f t="shared" si="191"/>
        <v>2355</v>
      </c>
      <c r="I202" s="8">
        <f t="shared" si="191"/>
        <v>2305</v>
      </c>
      <c r="J202" s="8">
        <f t="shared" si="191"/>
        <v>4257</v>
      </c>
      <c r="K202" s="8">
        <f t="shared" si="191"/>
        <v>5485</v>
      </c>
      <c r="L202" s="8">
        <f t="shared" si="191"/>
        <v>5944</v>
      </c>
      <c r="M202" s="8">
        <f t="shared" si="191"/>
        <v>8900</v>
      </c>
      <c r="N202" s="8">
        <f t="shared" si="191"/>
        <v>10200</v>
      </c>
      <c r="O202" s="8">
        <f t="shared" si="191"/>
        <v>13600</v>
      </c>
      <c r="P202" s="8">
        <f t="shared" si="191"/>
        <v>16900</v>
      </c>
      <c r="Q202" s="8">
        <f t="shared" si="191"/>
        <v>19000</v>
      </c>
      <c r="R202" s="8">
        <f t="shared" si="191"/>
        <v>24200</v>
      </c>
      <c r="S202" s="8">
        <f t="shared" si="191"/>
        <v>29200</v>
      </c>
      <c r="T202" s="8">
        <f t="shared" si="191"/>
        <v>31900</v>
      </c>
      <c r="U202" s="8">
        <f t="shared" si="191"/>
        <v>55700</v>
      </c>
      <c r="V202" s="8">
        <f t="shared" si="191"/>
        <v>80000</v>
      </c>
      <c r="W202" s="8">
        <f t="shared" si="191"/>
        <v>69909.265092672198</v>
      </c>
      <c r="X202" s="8">
        <f t="shared" si="191"/>
        <v>71815.88141338143</v>
      </c>
      <c r="Y202" s="8">
        <f t="shared" si="191"/>
        <v>73036.751397408909</v>
      </c>
      <c r="Z202" s="8">
        <f t="shared" si="191"/>
        <v>73361.359181397391</v>
      </c>
      <c r="AA202" s="8">
        <f t="shared" si="191"/>
        <v>72536.04389060667</v>
      </c>
      <c r="AB202" s="8">
        <f t="shared" si="191"/>
        <v>76111.034625215121</v>
      </c>
      <c r="AC202" s="8">
        <f t="shared" si="191"/>
        <v>79389.663809070538</v>
      </c>
      <c r="AD202" s="8">
        <f t="shared" si="191"/>
        <v>89710.320104249695</v>
      </c>
      <c r="AE202" s="8">
        <f t="shared" si="191"/>
        <v>101372.66171780214</v>
      </c>
      <c r="AF202" s="8">
        <f t="shared" si="191"/>
        <v>114551.10774111642</v>
      </c>
      <c r="AG202" s="8">
        <f t="shared" si="191"/>
        <v>129442.75174746153</v>
      </c>
    </row>
    <row r="203" spans="1:33">
      <c r="A203" t="s">
        <v>950</v>
      </c>
      <c r="D203" s="8">
        <f t="shared" ref="D203:AG203" si="192">+D184</f>
        <v>940</v>
      </c>
      <c r="E203" s="8">
        <f t="shared" si="192"/>
        <v>1556</v>
      </c>
      <c r="F203" s="8">
        <f t="shared" si="192"/>
        <v>2062</v>
      </c>
      <c r="G203" s="8">
        <f t="shared" si="192"/>
        <v>2173</v>
      </c>
      <c r="H203" s="8">
        <f t="shared" si="192"/>
        <v>2266</v>
      </c>
      <c r="I203" s="8">
        <f t="shared" si="192"/>
        <v>2467</v>
      </c>
      <c r="J203" s="8">
        <f t="shared" si="192"/>
        <v>3255</v>
      </c>
      <c r="K203" s="8">
        <f t="shared" si="192"/>
        <v>4712</v>
      </c>
      <c r="L203" s="8">
        <f t="shared" si="192"/>
        <v>5457</v>
      </c>
      <c r="M203" s="8">
        <f t="shared" si="192"/>
        <v>4900</v>
      </c>
      <c r="N203" s="8">
        <f t="shared" si="192"/>
        <v>6100</v>
      </c>
      <c r="O203" s="8">
        <f t="shared" si="192"/>
        <v>7700</v>
      </c>
      <c r="P203" s="8">
        <f t="shared" si="192"/>
        <v>9700</v>
      </c>
      <c r="Q203" s="8">
        <f t="shared" si="192"/>
        <v>10700</v>
      </c>
      <c r="R203" s="8">
        <f t="shared" si="192"/>
        <v>9300</v>
      </c>
      <c r="S203" s="8">
        <f t="shared" si="192"/>
        <v>12600</v>
      </c>
      <c r="T203" s="8">
        <f t="shared" si="192"/>
        <v>11000</v>
      </c>
      <c r="U203" s="8">
        <f t="shared" si="192"/>
        <v>15200</v>
      </c>
      <c r="V203" s="8">
        <f t="shared" si="192"/>
        <v>21911.116747365937</v>
      </c>
      <c r="W203" s="8">
        <f t="shared" si="192"/>
        <v>26954.906903616535</v>
      </c>
      <c r="X203" s="8">
        <f t="shared" si="192"/>
        <v>32009.142300320174</v>
      </c>
      <c r="Y203" s="8">
        <f t="shared" si="192"/>
        <v>37452.987109000482</v>
      </c>
      <c r="Z203" s="8">
        <f t="shared" si="192"/>
        <v>42843.912327797545</v>
      </c>
      <c r="AA203" s="8">
        <f t="shared" si="192"/>
        <v>47673.960580627565</v>
      </c>
      <c r="AB203" s="8">
        <f t="shared" si="192"/>
        <v>53058.891723191518</v>
      </c>
      <c r="AC203" s="8">
        <f t="shared" si="192"/>
        <v>58190.979611682043</v>
      </c>
      <c r="AD203" s="8">
        <f t="shared" si="192"/>
        <v>64290.788207345839</v>
      </c>
      <c r="AE203" s="8">
        <f t="shared" si="192"/>
        <v>70357.015201115937</v>
      </c>
      <c r="AF203" s="8">
        <f t="shared" si="192"/>
        <v>75951.485215063003</v>
      </c>
      <c r="AG203" s="8">
        <f t="shared" si="192"/>
        <v>80884.7448413026</v>
      </c>
    </row>
    <row r="204" spans="1:33" ht="11.45">
      <c r="A204" t="s">
        <v>198</v>
      </c>
      <c r="D204" s="10">
        <f t="shared" ref="D204:T204" si="193">+D205-SUM(D201:D203)</f>
        <v>-1898</v>
      </c>
      <c r="E204" s="10">
        <f t="shared" si="193"/>
        <v>-2846</v>
      </c>
      <c r="F204" s="10">
        <f t="shared" si="193"/>
        <v>-3888</v>
      </c>
      <c r="G204" s="10">
        <f t="shared" si="193"/>
        <v>-4055</v>
      </c>
      <c r="H204" s="10">
        <f t="shared" si="193"/>
        <v>-4089</v>
      </c>
      <c r="I204" s="10">
        <f t="shared" si="193"/>
        <v>-4665</v>
      </c>
      <c r="J204" s="10">
        <f t="shared" si="193"/>
        <v>-5790</v>
      </c>
      <c r="K204" s="10">
        <f t="shared" si="193"/>
        <v>-7177</v>
      </c>
      <c r="L204" s="10">
        <f t="shared" si="193"/>
        <v>-9681</v>
      </c>
      <c r="M204" s="10">
        <f t="shared" si="193"/>
        <v>-10175</v>
      </c>
      <c r="N204" s="10">
        <f t="shared" si="193"/>
        <v>-10922</v>
      </c>
      <c r="O204" s="10">
        <f t="shared" si="193"/>
        <v>-15574</v>
      </c>
      <c r="P204" s="10">
        <f t="shared" si="193"/>
        <v>-19583</v>
      </c>
      <c r="Q204" s="10">
        <f t="shared" si="193"/>
        <v>-22026</v>
      </c>
      <c r="R204" s="10">
        <f t="shared" si="193"/>
        <v>-17936</v>
      </c>
      <c r="S204" s="10">
        <f t="shared" si="193"/>
        <v>-27117</v>
      </c>
      <c r="T204" s="10">
        <f t="shared" si="193"/>
        <v>-21657</v>
      </c>
      <c r="U204" s="10">
        <f t="shared" ref="U204:AF204" si="194">+U205-SUM(U201:U203)</f>
        <v>-30950</v>
      </c>
      <c r="V204" s="10">
        <f t="shared" si="194"/>
        <v>-35450.705898066633</v>
      </c>
      <c r="W204" s="10">
        <f t="shared" si="194"/>
        <v>-44092.178289373609</v>
      </c>
      <c r="X204" s="10">
        <f t="shared" si="194"/>
        <v>-52383.972142635379</v>
      </c>
      <c r="Y204" s="10">
        <f t="shared" si="194"/>
        <v>-61121.509325724328</v>
      </c>
      <c r="Z204" s="10">
        <f t="shared" si="194"/>
        <v>-69413.949920479965</v>
      </c>
      <c r="AA204" s="10">
        <f t="shared" si="194"/>
        <v>-76285.77425025159</v>
      </c>
      <c r="AB204" s="10">
        <f t="shared" si="194"/>
        <v>-84057.057025959133</v>
      </c>
      <c r="AC204" s="10">
        <f t="shared" si="194"/>
        <v>-91076.85393554694</v>
      </c>
      <c r="AD204" s="10">
        <f t="shared" si="194"/>
        <v>-99837.654164532898</v>
      </c>
      <c r="AE204" s="10">
        <f t="shared" si="194"/>
        <v>-108257.20332021685</v>
      </c>
      <c r="AF204" s="10">
        <f t="shared" si="194"/>
        <v>-115490.84126495779</v>
      </c>
      <c r="AG204" s="10">
        <f t="shared" ref="AG204" si="195">+AG205-SUM(AG201:AG203)</f>
        <v>-121233.22060694848</v>
      </c>
    </row>
    <row r="205" spans="1:33" s="1" customFormat="1" ht="10.5">
      <c r="A205" s="837" t="s">
        <v>947</v>
      </c>
      <c r="D205" s="838">
        <f>+D199</f>
        <v>4350</v>
      </c>
      <c r="E205" s="838">
        <f t="shared" ref="E205:T205" si="196">+E199</f>
        <v>6242</v>
      </c>
      <c r="F205" s="838">
        <f t="shared" si="196"/>
        <v>7535</v>
      </c>
      <c r="G205" s="838">
        <f t="shared" si="196"/>
        <v>7630</v>
      </c>
      <c r="H205" s="838">
        <f t="shared" si="196"/>
        <v>8162</v>
      </c>
      <c r="I205" s="838">
        <f t="shared" si="196"/>
        <v>8269</v>
      </c>
      <c r="J205" s="838">
        <f t="shared" si="196"/>
        <v>9991</v>
      </c>
      <c r="K205" s="838">
        <f t="shared" si="196"/>
        <v>13011</v>
      </c>
      <c r="L205" s="838">
        <f t="shared" si="196"/>
        <v>14731</v>
      </c>
      <c r="M205" s="838">
        <f t="shared" si="196"/>
        <v>18356</v>
      </c>
      <c r="N205" s="838">
        <f t="shared" si="196"/>
        <v>23734</v>
      </c>
      <c r="O205" s="838">
        <f t="shared" si="196"/>
        <v>29460</v>
      </c>
      <c r="P205" s="838">
        <f t="shared" si="196"/>
        <v>36477</v>
      </c>
      <c r="Q205" s="838">
        <f t="shared" si="196"/>
        <v>44151</v>
      </c>
      <c r="R205" s="838">
        <f t="shared" si="196"/>
        <v>59715</v>
      </c>
      <c r="S205" s="838">
        <f t="shared" si="196"/>
        <v>74398</v>
      </c>
      <c r="T205" s="838">
        <f t="shared" si="196"/>
        <v>95641</v>
      </c>
      <c r="U205" s="838">
        <f t="shared" ref="U205:AF205" si="197">+U199</f>
        <v>135591</v>
      </c>
      <c r="V205" s="838">
        <f t="shared" si="197"/>
        <v>202051.41084929931</v>
      </c>
      <c r="W205" s="838">
        <f t="shared" si="197"/>
        <v>254823.40455621443</v>
      </c>
      <c r="X205" s="838">
        <f t="shared" si="197"/>
        <v>306264.45612728066</v>
      </c>
      <c r="Y205" s="838">
        <f t="shared" si="197"/>
        <v>355632.68530796573</v>
      </c>
      <c r="Z205" s="838">
        <f t="shared" si="197"/>
        <v>402424.00689668069</v>
      </c>
      <c r="AA205" s="838">
        <f t="shared" si="197"/>
        <v>446348.23711766332</v>
      </c>
      <c r="AB205" s="838">
        <f t="shared" si="197"/>
        <v>491461.10644011083</v>
      </c>
      <c r="AC205" s="838">
        <f t="shared" si="197"/>
        <v>537964.89592531649</v>
      </c>
      <c r="AD205" s="838">
        <f t="shared" si="197"/>
        <v>592128.35007237922</v>
      </c>
      <c r="AE205" s="838">
        <f t="shared" si="197"/>
        <v>655600.82367108052</v>
      </c>
      <c r="AF205" s="838">
        <f t="shared" si="197"/>
        <v>730612.57536230213</v>
      </c>
      <c r="AG205" s="838">
        <f t="shared" ref="AG205" si="198">+AG199</f>
        <v>819706.85134411778</v>
      </c>
    </row>
    <row r="206" spans="1:33" s="1" customFormat="1" ht="10.5">
      <c r="A206" s="837"/>
      <c r="D206" s="838"/>
      <c r="E206" s="838"/>
      <c r="F206" s="838"/>
      <c r="G206" s="838"/>
      <c r="H206" s="838"/>
      <c r="I206" s="838"/>
      <c r="J206" s="838"/>
      <c r="K206" s="838"/>
      <c r="L206" s="838"/>
      <c r="M206" s="838"/>
      <c r="N206" s="838"/>
      <c r="O206" s="838"/>
      <c r="P206" s="838"/>
      <c r="Q206" s="838"/>
      <c r="R206" s="838"/>
      <c r="S206" s="838"/>
      <c r="T206" s="838"/>
      <c r="U206" s="838"/>
      <c r="V206" s="838"/>
      <c r="W206" s="838"/>
    </row>
    <row r="207" spans="1:33" s="1" customFormat="1" ht="10.5">
      <c r="A207" s="45" t="s">
        <v>951</v>
      </c>
      <c r="B207"/>
      <c r="C207"/>
      <c r="D207"/>
      <c r="E207"/>
      <c r="F207"/>
      <c r="G207"/>
      <c r="H207"/>
      <c r="I207"/>
      <c r="J207"/>
      <c r="K207"/>
      <c r="L207"/>
      <c r="M207"/>
      <c r="N207" s="838"/>
      <c r="O207" s="838"/>
      <c r="P207" s="838"/>
      <c r="Q207" s="838"/>
      <c r="R207" s="838"/>
      <c r="S207" s="838"/>
      <c r="T207" s="838"/>
      <c r="U207" s="838"/>
      <c r="V207" s="838"/>
      <c r="W207" s="838"/>
    </row>
    <row r="208" spans="1:33" s="1" customFormat="1" ht="10.5">
      <c r="A208" t="s">
        <v>952</v>
      </c>
      <c r="B208"/>
      <c r="C208"/>
      <c r="D208"/>
      <c r="E208"/>
      <c r="F208"/>
      <c r="G208"/>
      <c r="H208"/>
      <c r="I208"/>
      <c r="J208"/>
      <c r="K208"/>
      <c r="L208"/>
      <c r="M208" s="1256"/>
      <c r="N208" s="1257">
        <f t="shared" ref="N208:S208" si="199">+N197/N203</f>
        <v>7.854590163934426</v>
      </c>
      <c r="O208" s="1257">
        <f t="shared" si="199"/>
        <v>7.6211688311688315</v>
      </c>
      <c r="P208" s="1257">
        <f t="shared" si="199"/>
        <v>7.4027835051546393</v>
      </c>
      <c r="Q208" s="1257">
        <f t="shared" si="199"/>
        <v>8.1633644859813081</v>
      </c>
      <c r="R208" s="1257">
        <f t="shared" si="199"/>
        <v>11.942580645161291</v>
      </c>
      <c r="S208" s="1257">
        <f t="shared" si="199"/>
        <v>10.63952380952381</v>
      </c>
      <c r="T208" s="1257">
        <f>+T197/T203</f>
        <v>14.899272727272727</v>
      </c>
      <c r="U208" s="1257">
        <f t="shared" ref="U208:AF208" si="200">+U197/U203</f>
        <v>13.948157894736843</v>
      </c>
      <c r="V208" s="1257">
        <f t="shared" si="200"/>
        <v>13.349935714032675</v>
      </c>
      <c r="W208" s="1257">
        <f t="shared" si="200"/>
        <v>13.464014785522377</v>
      </c>
      <c r="X208" s="1257">
        <f t="shared" si="200"/>
        <v>13.597276128879596</v>
      </c>
      <c r="Y208" s="1257">
        <f t="shared" si="200"/>
        <v>13.584334312848359</v>
      </c>
      <c r="Z208" s="1257">
        <f t="shared" si="200"/>
        <v>13.599020851016924</v>
      </c>
      <c r="AA208" s="1257">
        <f t="shared" si="200"/>
        <v>13.753237469468822</v>
      </c>
      <c r="AB208" s="1257">
        <f t="shared" si="200"/>
        <v>13.8013123120061</v>
      </c>
      <c r="AC208" s="1257">
        <f t="shared" si="200"/>
        <v>13.957008540318606</v>
      </c>
      <c r="AD208" s="1257">
        <f t="shared" si="200"/>
        <v>14.035950478686091</v>
      </c>
      <c r="AE208" s="1257">
        <f t="shared" si="200"/>
        <v>14.273700758355588</v>
      </c>
      <c r="AF208" s="1257">
        <f t="shared" si="200"/>
        <v>14.737119172897165</v>
      </c>
      <c r="AG208" s="1257">
        <f t="shared" ref="AG208" si="201">+AG197/AG203</f>
        <v>15.444801651676492</v>
      </c>
    </row>
    <row r="209" spans="1:33" s="1" customFormat="1" ht="10.5">
      <c r="A209" t="s">
        <v>953</v>
      </c>
      <c r="B209"/>
      <c r="C209"/>
      <c r="D209"/>
      <c r="E209"/>
      <c r="F209"/>
      <c r="G209"/>
      <c r="H209"/>
      <c r="I209"/>
      <c r="J209"/>
      <c r="K209"/>
      <c r="L209"/>
      <c r="M209" s="1256"/>
      <c r="N209" s="1257">
        <f t="shared" ref="N209:U209" si="202">(N170-N173)/N203</f>
        <v>7.5580327868852457</v>
      </c>
      <c r="O209" s="1257">
        <f t="shared" si="202"/>
        <v>7.4825974025974027</v>
      </c>
      <c r="P209" s="1257">
        <f t="shared" si="202"/>
        <v>7.2179381443298967</v>
      </c>
      <c r="Q209" s="1257">
        <f t="shared" si="202"/>
        <v>7.8415887850467287</v>
      </c>
      <c r="R209" s="1257">
        <f t="shared" si="202"/>
        <v>11.430645161290322</v>
      </c>
      <c r="S209" s="1257">
        <f t="shared" si="202"/>
        <v>9.9310317460317457</v>
      </c>
      <c r="T209" s="1257">
        <f t="shared" si="202"/>
        <v>14.177272727272728</v>
      </c>
      <c r="U209" s="1257">
        <f t="shared" si="202"/>
        <v>13.143092105263158</v>
      </c>
      <c r="V209" s="1257">
        <f t="shared" ref="V209:AG209" si="203">(V170-V173)/V203</f>
        <v>11.985696714046814</v>
      </c>
      <c r="W209" s="1257">
        <f t="shared" si="203"/>
        <v>13.464014785522377</v>
      </c>
      <c r="X209" s="1257">
        <f t="shared" si="203"/>
        <v>13.597276128879596</v>
      </c>
      <c r="Y209" s="1257">
        <f t="shared" si="203"/>
        <v>13.584334312848359</v>
      </c>
      <c r="Z209" s="1257">
        <f t="shared" si="203"/>
        <v>13.599020851016924</v>
      </c>
      <c r="AA209" s="1257">
        <f t="shared" si="203"/>
        <v>13.753237469468822</v>
      </c>
      <c r="AB209" s="1257">
        <f t="shared" si="203"/>
        <v>13.8013123120061</v>
      </c>
      <c r="AC209" s="1257">
        <f t="shared" si="203"/>
        <v>13.957008540318606</v>
      </c>
      <c r="AD209" s="1257">
        <f t="shared" si="203"/>
        <v>14.035950478686091</v>
      </c>
      <c r="AE209" s="1257">
        <f t="shared" si="203"/>
        <v>14.273700758355588</v>
      </c>
      <c r="AF209" s="1257">
        <f t="shared" si="203"/>
        <v>14.737119172897165</v>
      </c>
      <c r="AG209" s="1257">
        <f t="shared" si="203"/>
        <v>15.444801651676492</v>
      </c>
    </row>
    <row r="210" spans="1:33" s="1" customFormat="1" ht="10.5">
      <c r="A210" t="s">
        <v>954</v>
      </c>
      <c r="B210"/>
      <c r="C210"/>
      <c r="D210"/>
      <c r="E210"/>
      <c r="F210"/>
      <c r="G210"/>
      <c r="H210"/>
      <c r="I210"/>
      <c r="J210"/>
      <c r="K210"/>
      <c r="L210"/>
      <c r="M210" s="1256"/>
      <c r="N210" s="1257">
        <f t="shared" ref="N210:S210" si="204">+N205/N203</f>
        <v>3.8908196721311477</v>
      </c>
      <c r="O210" s="1257">
        <f t="shared" si="204"/>
        <v>3.825974025974026</v>
      </c>
      <c r="P210" s="1257">
        <f t="shared" si="204"/>
        <v>3.7605154639175256</v>
      </c>
      <c r="Q210" s="1257">
        <f t="shared" si="204"/>
        <v>4.1262616822429905</v>
      </c>
      <c r="R210" s="1257">
        <f t="shared" si="204"/>
        <v>6.4209677419354838</v>
      </c>
      <c r="S210" s="1257">
        <f t="shared" si="204"/>
        <v>5.9046031746031744</v>
      </c>
      <c r="T210" s="1257">
        <f>+T205/T203</f>
        <v>8.6946363636363628</v>
      </c>
      <c r="U210" s="1257">
        <f t="shared" ref="U210:AF210" si="205">+U205/U203</f>
        <v>8.9204605263157895</v>
      </c>
      <c r="V210" s="1257">
        <f t="shared" si="205"/>
        <v>9.2214109020065855</v>
      </c>
      <c r="W210" s="1257">
        <f t="shared" si="205"/>
        <v>9.4536926232909675</v>
      </c>
      <c r="X210" s="1257">
        <f t="shared" si="205"/>
        <v>9.5680306974116345</v>
      </c>
      <c r="Y210" s="1257">
        <f t="shared" si="205"/>
        <v>9.4954424936242852</v>
      </c>
      <c r="Z210" s="1257">
        <f t="shared" si="205"/>
        <v>9.3927931655201355</v>
      </c>
      <c r="AA210" s="1257">
        <f t="shared" si="205"/>
        <v>9.3625163859165088</v>
      </c>
      <c r="AB210" s="1257">
        <f t="shared" si="205"/>
        <v>9.2625588375284149</v>
      </c>
      <c r="AC210" s="1257">
        <f t="shared" si="205"/>
        <v>9.2448159408080866</v>
      </c>
      <c r="AD210" s="1257">
        <f t="shared" si="205"/>
        <v>9.2101585092205003</v>
      </c>
      <c r="AE210" s="1257">
        <f t="shared" si="205"/>
        <v>9.3182012027804451</v>
      </c>
      <c r="AF210" s="1257">
        <f t="shared" si="205"/>
        <v>9.6194639682622576</v>
      </c>
      <c r="AG210" s="1257">
        <f t="shared" ref="AG210" si="206">+AG205/AG203</f>
        <v>10.134257738618055</v>
      </c>
    </row>
    <row r="211" spans="1:33" s="1" customFormat="1" ht="10.5">
      <c r="A211" s="837"/>
      <c r="D211" s="838"/>
      <c r="E211" s="838"/>
      <c r="F211" s="838"/>
      <c r="G211" s="838"/>
      <c r="H211" s="838"/>
      <c r="I211" s="838"/>
      <c r="J211" s="838"/>
      <c r="K211" s="838"/>
      <c r="L211" s="838"/>
      <c r="M211" s="838"/>
      <c r="N211" s="838"/>
      <c r="O211" s="838"/>
      <c r="P211" s="838"/>
      <c r="Q211" s="838"/>
      <c r="R211" s="838"/>
      <c r="S211" s="838"/>
      <c r="T211" s="838"/>
      <c r="U211" s="838"/>
      <c r="V211" s="838"/>
      <c r="W211" s="838"/>
    </row>
    <row r="212" spans="1:33" s="1" customFormat="1" ht="10.5">
      <c r="A212" s="45"/>
      <c r="D212" s="838"/>
      <c r="E212" s="838"/>
      <c r="F212" s="838"/>
      <c r="G212" s="838"/>
      <c r="H212" s="838"/>
      <c r="I212" s="838"/>
      <c r="J212" s="838"/>
      <c r="K212" s="838"/>
      <c r="L212" s="838"/>
      <c r="M212" s="838"/>
      <c r="N212" s="838"/>
      <c r="O212" s="838"/>
      <c r="P212" s="838"/>
      <c r="Q212" s="838"/>
      <c r="R212" s="838"/>
      <c r="S212" s="838"/>
      <c r="T212" s="838"/>
      <c r="U212" s="838"/>
      <c r="V212" s="838"/>
      <c r="W212" s="838"/>
    </row>
    <row r="213" spans="1:33">
      <c r="A213" t="s">
        <v>950</v>
      </c>
      <c r="C213" s="29"/>
      <c r="D213" s="11">
        <f t="shared" ref="D213:K213" si="207">+D190-D193</f>
        <v>940</v>
      </c>
      <c r="E213" s="11">
        <f t="shared" si="207"/>
        <v>1556</v>
      </c>
      <c r="F213" s="11">
        <f t="shared" si="207"/>
        <v>2062</v>
      </c>
      <c r="G213" s="11">
        <f t="shared" si="207"/>
        <v>2173</v>
      </c>
      <c r="H213" s="11">
        <f t="shared" si="207"/>
        <v>2266</v>
      </c>
      <c r="I213" s="11">
        <f t="shared" si="207"/>
        <v>2467</v>
      </c>
      <c r="J213" s="11">
        <f t="shared" si="207"/>
        <v>3255</v>
      </c>
      <c r="K213" s="11">
        <f t="shared" si="207"/>
        <v>4712</v>
      </c>
      <c r="L213" s="11">
        <f>+L190-L193</f>
        <v>5457</v>
      </c>
      <c r="M213" s="29">
        <v>4900</v>
      </c>
      <c r="N213" s="29">
        <v>6100</v>
      </c>
      <c r="O213" s="29">
        <v>7700</v>
      </c>
      <c r="P213" s="29">
        <v>9700</v>
      </c>
      <c r="Q213" s="29">
        <v>10700</v>
      </c>
      <c r="R213" s="29">
        <v>9300</v>
      </c>
      <c r="S213" s="29">
        <v>12600</v>
      </c>
      <c r="T213" s="29">
        <v>11000</v>
      </c>
      <c r="U213" s="29">
        <v>15200</v>
      </c>
      <c r="V213" s="29"/>
      <c r="W213" s="29"/>
    </row>
    <row r="214" spans="1:33" s="1" customFormat="1" ht="10.5">
      <c r="A214"/>
      <c r="D214" s="838"/>
      <c r="E214" s="838"/>
      <c r="F214" s="838"/>
      <c r="G214" s="838"/>
      <c r="H214" s="838"/>
      <c r="I214" s="838"/>
      <c r="J214" s="838"/>
      <c r="K214" s="838"/>
      <c r="L214" s="838"/>
      <c r="M214" s="1227"/>
      <c r="N214" s="1227"/>
      <c r="O214" s="1227"/>
      <c r="P214" s="1227"/>
      <c r="Q214" s="1227"/>
      <c r="R214" s="1227"/>
      <c r="S214" s="1227"/>
      <c r="T214" s="1227"/>
      <c r="U214" s="1227"/>
      <c r="V214" s="1227"/>
      <c r="W214" s="1227"/>
    </row>
    <row r="215" spans="1:33" s="1" customFormat="1" ht="10.5">
      <c r="A215"/>
      <c r="D215" s="838"/>
      <c r="E215" s="838"/>
      <c r="F215" s="838"/>
      <c r="G215" s="838"/>
      <c r="H215" s="838"/>
      <c r="I215" s="838"/>
      <c r="J215" s="838"/>
      <c r="K215" s="838"/>
      <c r="L215" s="838"/>
      <c r="M215" s="1227"/>
      <c r="N215" s="1227"/>
      <c r="O215" s="1227"/>
      <c r="P215" s="1227"/>
      <c r="Q215" s="1227"/>
      <c r="R215" s="1227"/>
      <c r="S215" s="1227"/>
      <c r="T215" s="1227"/>
      <c r="U215" s="1227"/>
      <c r="V215" s="1227"/>
      <c r="W215" s="956"/>
    </row>
  </sheetData>
  <pageMargins left="0.3" right="0.3" top="0.3" bottom="0.3" header="0.3" footer="0.3"/>
  <pageSetup scale="60" fitToHeight="0" orientation="portrait" r:id="rId1"/>
  <headerFooter>
    <oddFooter>Page &amp;P</oddFooter>
  </headerFooter>
  <colBreaks count="1" manualBreakCount="1">
    <brk id="33" max="1048575"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8A12E-1174-476B-B2DD-0587EB35F837}">
  <sheetPr>
    <pageSetUpPr fitToPage="1"/>
  </sheetPr>
  <dimension ref="A1:AR215"/>
  <sheetViews>
    <sheetView view="pageBreakPreview" zoomScale="70" zoomScaleNormal="100" zoomScaleSheetLayoutView="70" workbookViewId="0">
      <pane xSplit="1" ySplit="5" topLeftCell="B6" activePane="bottomRight" state="frozen"/>
      <selection pane="bottomRight" activeCell="J83" sqref="J83"/>
      <selection pane="bottomLeft" activeCell="J83" sqref="J83"/>
      <selection pane="topRight" activeCell="J83" sqref="J83"/>
    </sheetView>
  </sheetViews>
  <sheetFormatPr defaultRowHeight="9.9499999999999993" outlineLevelRow="1" outlineLevelCol="1"/>
  <cols>
    <col min="1" max="1" width="20.83203125" customWidth="1"/>
    <col min="2" max="2" width="2.83203125" customWidth="1"/>
    <col min="3" max="12" width="9.33203125" hidden="1" customWidth="1" outlineLevel="1"/>
    <col min="13" max="13" width="9.33203125" hidden="1" customWidth="1" outlineLevel="1" collapsed="1"/>
    <col min="14" max="14" width="9.33203125" collapsed="1"/>
    <col min="21" max="21" width="9.83203125" bestFit="1" customWidth="1"/>
    <col min="22" max="22" width="10.1640625" bestFit="1" customWidth="1"/>
    <col min="23" max="24" width="9.5" bestFit="1" customWidth="1"/>
    <col min="25" max="26" width="9.83203125" bestFit="1" customWidth="1"/>
    <col min="27" max="27" width="9.5" bestFit="1" customWidth="1"/>
    <col min="28" max="28" width="9.83203125" bestFit="1" customWidth="1"/>
    <col min="29" max="29" width="9.5" bestFit="1" customWidth="1"/>
    <col min="30" max="30" width="10.33203125" bestFit="1" customWidth="1"/>
    <col min="31" max="31" width="9.83203125" bestFit="1" customWidth="1"/>
    <col min="32" max="32" width="9.6640625" bestFit="1" customWidth="1"/>
    <col min="33" max="33" width="9.6640625" customWidth="1"/>
  </cols>
  <sheetData>
    <row r="1" spans="1:35" s="1" customFormat="1" ht="10.5">
      <c r="A1" s="1" t="s">
        <v>301</v>
      </c>
      <c r="AF1" s="1222"/>
      <c r="AG1" s="1222">
        <f ca="1">+TODAY()</f>
        <v>45797</v>
      </c>
    </row>
    <row r="2" spans="1:35" s="2" customFormat="1" ht="10.5">
      <c r="A2" s="2" t="s">
        <v>901</v>
      </c>
    </row>
    <row r="3" spans="1:35">
      <c r="A3" s="3" t="s">
        <v>63</v>
      </c>
    </row>
    <row r="4" spans="1:35" ht="10.5">
      <c r="A4" s="3"/>
      <c r="D4" s="89" t="str">
        <f>+'EBIT growth'!B4</f>
        <v>FYE June 30th</v>
      </c>
      <c r="E4" s="89"/>
      <c r="F4" s="89"/>
      <c r="G4" s="89"/>
      <c r="H4" s="89"/>
      <c r="I4" s="89"/>
      <c r="J4" s="89"/>
      <c r="K4" s="89"/>
      <c r="L4" s="89"/>
      <c r="M4" s="89" t="str">
        <f>+D4</f>
        <v>FYE June 30th</v>
      </c>
      <c r="N4" s="89" t="str">
        <f>+M4</f>
        <v>FYE June 30th</v>
      </c>
      <c r="O4" s="89"/>
      <c r="P4" s="89"/>
      <c r="Q4" s="89"/>
      <c r="R4" s="89"/>
      <c r="S4" s="89"/>
      <c r="T4" s="89"/>
      <c r="U4" s="89"/>
      <c r="V4" s="89"/>
      <c r="W4" s="89"/>
      <c r="X4" s="89"/>
      <c r="Y4" s="89"/>
      <c r="Z4" s="89"/>
      <c r="AA4" s="89"/>
      <c r="AB4" s="89"/>
      <c r="AC4" s="89"/>
      <c r="AD4" s="89"/>
      <c r="AE4" s="89"/>
      <c r="AF4" s="89"/>
      <c r="AG4" s="89"/>
    </row>
    <row r="5" spans="1:35" ht="13.5">
      <c r="C5" s="6" t="s">
        <v>245</v>
      </c>
      <c r="D5" s="6" t="s">
        <v>246</v>
      </c>
      <c r="E5" s="6" t="s">
        <v>247</v>
      </c>
      <c r="F5" s="6" t="s">
        <v>248</v>
      </c>
      <c r="G5" s="6" t="s">
        <v>249</v>
      </c>
      <c r="H5" s="6" t="s">
        <v>250</v>
      </c>
      <c r="I5" s="6" t="s">
        <v>251</v>
      </c>
      <c r="J5" s="6" t="s">
        <v>252</v>
      </c>
      <c r="K5" s="6" t="s">
        <v>253</v>
      </c>
      <c r="L5" s="6" t="s">
        <v>254</v>
      </c>
      <c r="M5" s="6" t="s">
        <v>255</v>
      </c>
      <c r="N5" s="6" t="s">
        <v>256</v>
      </c>
      <c r="O5" s="6" t="s">
        <v>257</v>
      </c>
      <c r="P5" s="6" t="s">
        <v>258</v>
      </c>
      <c r="Q5" s="6" t="s">
        <v>259</v>
      </c>
      <c r="R5" s="6" t="s">
        <v>260</v>
      </c>
      <c r="S5" s="6" t="s">
        <v>109</v>
      </c>
      <c r="T5" s="6" t="s">
        <v>190</v>
      </c>
      <c r="U5" s="6" t="s">
        <v>261</v>
      </c>
      <c r="V5" s="6" t="s">
        <v>72</v>
      </c>
      <c r="W5" s="6" t="s">
        <v>73</v>
      </c>
      <c r="X5" s="6" t="s">
        <v>74</v>
      </c>
      <c r="Y5" s="6" t="s">
        <v>75</v>
      </c>
      <c r="Z5" s="6" t="s">
        <v>76</v>
      </c>
      <c r="AA5" s="6" t="s">
        <v>77</v>
      </c>
      <c r="AB5" s="6" t="s">
        <v>78</v>
      </c>
      <c r="AC5" s="6" t="s">
        <v>79</v>
      </c>
      <c r="AD5" s="6" t="s">
        <v>80</v>
      </c>
      <c r="AE5" s="6" t="s">
        <v>81</v>
      </c>
      <c r="AF5" s="6" t="s">
        <v>82</v>
      </c>
      <c r="AG5" s="6" t="s">
        <v>83</v>
      </c>
    </row>
    <row r="7" spans="1:35" ht="10.5">
      <c r="A7" s="5" t="s">
        <v>902</v>
      </c>
      <c r="B7" s="4"/>
      <c r="AI7" t="s">
        <v>125</v>
      </c>
    </row>
    <row r="8" spans="1:35">
      <c r="AI8" t="s">
        <v>903</v>
      </c>
    </row>
    <row r="9" spans="1:35" ht="10.5">
      <c r="A9" s="45" t="s">
        <v>904</v>
      </c>
    </row>
    <row r="10" spans="1:35">
      <c r="A10" t="s">
        <v>905</v>
      </c>
      <c r="N10" s="1223">
        <v>7.5</v>
      </c>
    </row>
    <row r="11" spans="1:35">
      <c r="A11" s="1224" t="s">
        <v>906</v>
      </c>
      <c r="N11" s="1223">
        <v>9</v>
      </c>
    </row>
    <row r="12" spans="1:35">
      <c r="A12" s="1224" t="s">
        <v>907</v>
      </c>
      <c r="N12" s="1223">
        <v>11</v>
      </c>
    </row>
    <row r="14" spans="1:35">
      <c r="A14" t="str">
        <f>+A176</f>
        <v>Purchase of PP&amp;E + Finance Leases</v>
      </c>
      <c r="D14" s="8">
        <f>+D176</f>
        <v>2264</v>
      </c>
      <c r="E14" s="8">
        <f t="shared" ref="E14:U14" si="0">+E176</f>
        <v>3182</v>
      </c>
      <c r="F14" s="8">
        <f t="shared" si="0"/>
        <v>3119</v>
      </c>
      <c r="G14" s="8">
        <f t="shared" si="0"/>
        <v>1977</v>
      </c>
      <c r="H14" s="8">
        <f t="shared" si="0"/>
        <v>2355</v>
      </c>
      <c r="I14" s="8">
        <f t="shared" si="0"/>
        <v>2305</v>
      </c>
      <c r="J14" s="8">
        <f t="shared" si="0"/>
        <v>4257</v>
      </c>
      <c r="K14" s="8">
        <f t="shared" si="0"/>
        <v>5485</v>
      </c>
      <c r="L14" s="8">
        <f t="shared" si="0"/>
        <v>5944</v>
      </c>
      <c r="M14" s="8">
        <f t="shared" si="0"/>
        <v>8900</v>
      </c>
      <c r="N14" s="8">
        <f t="shared" si="0"/>
        <v>10200</v>
      </c>
      <c r="O14" s="8">
        <f t="shared" si="0"/>
        <v>13600</v>
      </c>
      <c r="P14" s="8">
        <f t="shared" si="0"/>
        <v>16900</v>
      </c>
      <c r="Q14" s="8">
        <f t="shared" si="0"/>
        <v>19000</v>
      </c>
      <c r="R14" s="8">
        <f t="shared" si="0"/>
        <v>24200</v>
      </c>
      <c r="S14" s="8">
        <f t="shared" si="0"/>
        <v>29200</v>
      </c>
      <c r="T14" s="8">
        <f t="shared" si="0"/>
        <v>31900</v>
      </c>
      <c r="U14" s="8">
        <f t="shared" si="0"/>
        <v>55700</v>
      </c>
      <c r="V14" s="1098">
        <f>+'Case 2 - upside'!K48</f>
        <v>80000</v>
      </c>
      <c r="W14" s="1098">
        <f>+'Case 2 - upside'!L48</f>
        <v>71146.597218206225</v>
      </c>
      <c r="X14" s="1098">
        <f>+'Case 2 - upside'!M48</f>
        <v>74380.53345539741</v>
      </c>
      <c r="Y14" s="1098">
        <f>+'Case 2 - upside'!N48</f>
        <v>76983.852126336307</v>
      </c>
      <c r="Z14" s="1098">
        <f>+'Case 2 - upside'!O48</f>
        <v>78694.604395810456</v>
      </c>
      <c r="AA14" s="1098">
        <f>+'Case 2 - upside'!P48</f>
        <v>79186.445673284266</v>
      </c>
      <c r="AB14" s="1098">
        <f>+'Case 2 - upside'!Q48</f>
        <v>84559.81162968569</v>
      </c>
      <c r="AC14" s="1098">
        <f>+'Case 2 - upside'!R48</f>
        <v>89763.492345358638</v>
      </c>
      <c r="AD14" s="1098">
        <f>+'Case 2 - upside'!S48</f>
        <v>103228.01619716243</v>
      </c>
      <c r="AE14" s="1098">
        <f>+'Case 2 - upside'!T48</f>
        <v>118712.21862673679</v>
      </c>
      <c r="AF14" s="1098">
        <f>+'Case 2 - upside'!U48</f>
        <v>136519.0514207473</v>
      </c>
      <c r="AG14" s="1098">
        <f>+'Case 2 - upside'!V48</f>
        <v>156996.90913385942</v>
      </c>
    </row>
    <row r="15" spans="1:35" s="852" customFormat="1" ht="11.45">
      <c r="A15" t="s">
        <v>908</v>
      </c>
      <c r="D15" s="853">
        <f t="shared" ref="D15:U15" si="1">+D16-D14</f>
        <v>-121</v>
      </c>
      <c r="E15" s="853">
        <f t="shared" si="1"/>
        <v>-4</v>
      </c>
      <c r="F15" s="853">
        <f t="shared" si="1"/>
        <v>-581</v>
      </c>
      <c r="G15" s="853">
        <f t="shared" si="1"/>
        <v>-800</v>
      </c>
      <c r="H15" s="853">
        <f t="shared" si="1"/>
        <v>-623</v>
      </c>
      <c r="I15" s="853">
        <f t="shared" si="1"/>
        <v>-1065</v>
      </c>
      <c r="J15" s="853">
        <f t="shared" si="1"/>
        <v>-984</v>
      </c>
      <c r="K15" s="853">
        <f t="shared" si="1"/>
        <v>-185</v>
      </c>
      <c r="L15" s="853">
        <f t="shared" si="1"/>
        <v>-1411</v>
      </c>
      <c r="M15" s="853">
        <f t="shared" si="1"/>
        <v>-3081</v>
      </c>
      <c r="N15" s="853">
        <f t="shared" si="1"/>
        <v>-443</v>
      </c>
      <c r="O15" s="853">
        <f t="shared" si="1"/>
        <v>-2830</v>
      </c>
      <c r="P15" s="853">
        <f t="shared" si="1"/>
        <v>-3776</v>
      </c>
      <c r="Q15" s="853">
        <f t="shared" si="1"/>
        <v>-3459</v>
      </c>
      <c r="R15" s="853">
        <f t="shared" si="1"/>
        <v>-482</v>
      </c>
      <c r="S15" s="853">
        <f t="shared" si="1"/>
        <v>-6208</v>
      </c>
      <c r="T15" s="853">
        <f t="shared" si="1"/>
        <v>-2066</v>
      </c>
      <c r="U15" s="853">
        <f t="shared" si="1"/>
        <v>-7580</v>
      </c>
      <c r="V15" s="58">
        <f>+U15/U14*V14*0.9</f>
        <v>-9798.2046678635561</v>
      </c>
      <c r="W15" s="58">
        <f t="shared" ref="W15:AG15" si="2">+V15/V14*W14*0.9</f>
        <v>-7842.4753608679111</v>
      </c>
      <c r="X15" s="58">
        <f t="shared" si="2"/>
        <v>-7379.0563622711697</v>
      </c>
      <c r="Y15" s="58">
        <f t="shared" si="2"/>
        <v>-6873.5910014555939</v>
      </c>
      <c r="Z15" s="58">
        <f t="shared" si="2"/>
        <v>-6323.7037213391468</v>
      </c>
      <c r="AA15" s="58">
        <f t="shared" si="2"/>
        <v>-5726.9041826377643</v>
      </c>
      <c r="AB15" s="58">
        <f t="shared" si="2"/>
        <v>-5503.963984099365</v>
      </c>
      <c r="AC15" s="58">
        <f t="shared" si="2"/>
        <v>-5258.4025140395461</v>
      </c>
      <c r="AD15" s="58">
        <f t="shared" si="2"/>
        <v>-5442.4466020309301</v>
      </c>
      <c r="AE15" s="58">
        <f t="shared" si="2"/>
        <v>-5632.932233102013</v>
      </c>
      <c r="AF15" s="58">
        <f t="shared" si="2"/>
        <v>-5830.0848612605832</v>
      </c>
      <c r="AG15" s="58">
        <f t="shared" si="2"/>
        <v>-6034.1378314047042</v>
      </c>
    </row>
    <row r="16" spans="1:35">
      <c r="A16" s="12" t="s">
        <v>909</v>
      </c>
      <c r="D16" s="8">
        <f t="shared" ref="D16:S16" si="3">+(D170)-(C170)</f>
        <v>2143</v>
      </c>
      <c r="E16" s="8">
        <f t="shared" si="3"/>
        <v>3178</v>
      </c>
      <c r="F16" s="8">
        <f t="shared" si="3"/>
        <v>2538</v>
      </c>
      <c r="G16" s="8">
        <f t="shared" si="3"/>
        <v>1177</v>
      </c>
      <c r="H16" s="8">
        <f t="shared" si="3"/>
        <v>1732</v>
      </c>
      <c r="I16" s="8">
        <f t="shared" si="3"/>
        <v>1240</v>
      </c>
      <c r="J16" s="8">
        <f t="shared" si="3"/>
        <v>3273</v>
      </c>
      <c r="K16" s="8">
        <f t="shared" si="3"/>
        <v>5300</v>
      </c>
      <c r="L16" s="8">
        <f t="shared" si="3"/>
        <v>4533</v>
      </c>
      <c r="M16" s="8">
        <f t="shared" si="3"/>
        <v>5819</v>
      </c>
      <c r="N16" s="8">
        <f t="shared" si="3"/>
        <v>9757</v>
      </c>
      <c r="O16" s="8">
        <f t="shared" si="3"/>
        <v>10770</v>
      </c>
      <c r="P16" s="8">
        <f t="shared" si="3"/>
        <v>13124</v>
      </c>
      <c r="Q16" s="8">
        <f t="shared" si="3"/>
        <v>15541</v>
      </c>
      <c r="R16" s="8">
        <f t="shared" si="3"/>
        <v>23718</v>
      </c>
      <c r="S16" s="8">
        <f t="shared" si="3"/>
        <v>22992</v>
      </c>
      <c r="T16" s="8">
        <f>+(T170)-(S170)</f>
        <v>29834</v>
      </c>
      <c r="U16" s="8">
        <f>+(U170)-(T170)</f>
        <v>48120</v>
      </c>
      <c r="V16" s="8">
        <f t="shared" ref="V16:AF16" si="4">+SUM(V14:V15)</f>
        <v>70201.795332136448</v>
      </c>
      <c r="W16" s="8">
        <f t="shared" si="4"/>
        <v>63304.121857338316</v>
      </c>
      <c r="X16" s="8">
        <f t="shared" si="4"/>
        <v>67001.477093126246</v>
      </c>
      <c r="Y16" s="8">
        <f t="shared" si="4"/>
        <v>70110.261124880708</v>
      </c>
      <c r="Z16" s="8">
        <f t="shared" si="4"/>
        <v>72370.900674471312</v>
      </c>
      <c r="AA16" s="8">
        <f t="shared" si="4"/>
        <v>73459.541490646501</v>
      </c>
      <c r="AB16" s="8">
        <f t="shared" si="4"/>
        <v>79055.847645586327</v>
      </c>
      <c r="AC16" s="8">
        <f t="shared" si="4"/>
        <v>84505.089831319085</v>
      </c>
      <c r="AD16" s="8">
        <f t="shared" si="4"/>
        <v>97785.569595131499</v>
      </c>
      <c r="AE16" s="8">
        <f t="shared" si="4"/>
        <v>113079.28639363479</v>
      </c>
      <c r="AF16" s="8">
        <f t="shared" si="4"/>
        <v>130688.96655948673</v>
      </c>
      <c r="AG16" s="8">
        <f t="shared" ref="AG16" si="5">+SUM(AG14:AG15)</f>
        <v>150962.7713024547</v>
      </c>
      <c r="AH16" s="8"/>
    </row>
    <row r="18" spans="1:36" ht="10.5">
      <c r="A18" s="45" t="s">
        <v>910</v>
      </c>
    </row>
    <row r="19" spans="1:36">
      <c r="A19" t="s">
        <v>246</v>
      </c>
      <c r="D19" s="8">
        <f>+D64/$N$10</f>
        <v>1248.8</v>
      </c>
      <c r="E19" s="8">
        <f t="shared" ref="E19:Q26" si="6">+IF(D130&gt;0,MIN(E64/$N$10,D130),0)</f>
        <v>1248.8</v>
      </c>
      <c r="F19" s="8">
        <f t="shared" si="6"/>
        <v>1248.8</v>
      </c>
      <c r="G19" s="8">
        <f t="shared" si="6"/>
        <v>1248.8</v>
      </c>
      <c r="H19" s="8">
        <f t="shared" si="6"/>
        <v>1248.8</v>
      </c>
      <c r="I19" s="8">
        <f t="shared" si="6"/>
        <v>1248.8</v>
      </c>
      <c r="J19" s="8">
        <f t="shared" si="6"/>
        <v>1248.8</v>
      </c>
      <c r="K19" s="8">
        <f t="shared" si="6"/>
        <v>624.39999999999964</v>
      </c>
      <c r="L19" s="8">
        <f t="shared" si="6"/>
        <v>0</v>
      </c>
      <c r="M19" s="8">
        <f>+IF(L130&gt;0,MIN(M64/$N$10,L130),0)</f>
        <v>0</v>
      </c>
      <c r="N19" s="8">
        <f t="shared" si="6"/>
        <v>0</v>
      </c>
      <c r="O19" s="8">
        <f t="shared" si="6"/>
        <v>0</v>
      </c>
      <c r="P19" s="8">
        <f t="shared" si="6"/>
        <v>0</v>
      </c>
      <c r="Q19" s="8">
        <f t="shared" si="6"/>
        <v>0</v>
      </c>
      <c r="R19" s="8">
        <f>+IF(Q130&gt;0,MIN(R64/$N$11,Q130),0)</f>
        <v>0</v>
      </c>
      <c r="S19" s="8">
        <f>+IF(R130&gt;0,MIN(S64/$N$11,R130),0)</f>
        <v>0</v>
      </c>
      <c r="T19" s="8">
        <f t="shared" ref="T19:AG34" si="7">+IF(S130&gt;0,MIN(T64/$N$12,S130),0)</f>
        <v>0</v>
      </c>
      <c r="U19" s="8">
        <f t="shared" si="7"/>
        <v>0</v>
      </c>
      <c r="V19" s="8">
        <f t="shared" si="7"/>
        <v>0</v>
      </c>
      <c r="W19" s="8">
        <f t="shared" si="7"/>
        <v>0</v>
      </c>
      <c r="X19" s="8">
        <f t="shared" si="7"/>
        <v>0</v>
      </c>
      <c r="Y19" s="8">
        <f t="shared" si="7"/>
        <v>0</v>
      </c>
      <c r="Z19" s="8">
        <f t="shared" si="7"/>
        <v>0</v>
      </c>
      <c r="AA19" s="8">
        <f t="shared" si="7"/>
        <v>0</v>
      </c>
      <c r="AB19" s="8">
        <f t="shared" si="7"/>
        <v>0</v>
      </c>
      <c r="AC19" s="8">
        <f t="shared" si="7"/>
        <v>0</v>
      </c>
      <c r="AD19" s="8">
        <f t="shared" si="7"/>
        <v>0</v>
      </c>
      <c r="AE19" s="8">
        <f t="shared" si="7"/>
        <v>0</v>
      </c>
      <c r="AF19" s="8">
        <f t="shared" si="7"/>
        <v>0</v>
      </c>
      <c r="AG19" s="8">
        <f t="shared" si="7"/>
        <v>0</v>
      </c>
    </row>
    <row r="20" spans="1:36">
      <c r="A20" t="s">
        <v>247</v>
      </c>
      <c r="E20" s="8">
        <f>+E65/$N$10</f>
        <v>423.73333333333335</v>
      </c>
      <c r="F20" s="8">
        <f t="shared" si="6"/>
        <v>423.73333333333335</v>
      </c>
      <c r="G20" s="8">
        <f t="shared" si="6"/>
        <v>423.73333333333335</v>
      </c>
      <c r="H20" s="8">
        <f t="shared" si="6"/>
        <v>423.73333333333335</v>
      </c>
      <c r="I20" s="8">
        <f t="shared" si="6"/>
        <v>423.73333333333335</v>
      </c>
      <c r="J20" s="8">
        <f t="shared" si="6"/>
        <v>423.73333333333335</v>
      </c>
      <c r="K20" s="8">
        <f t="shared" si="6"/>
        <v>423.73333333333335</v>
      </c>
      <c r="L20" s="8">
        <f t="shared" si="6"/>
        <v>211.86666666666588</v>
      </c>
      <c r="M20" s="8">
        <f t="shared" si="6"/>
        <v>0</v>
      </c>
      <c r="N20" s="8">
        <f t="shared" si="6"/>
        <v>0</v>
      </c>
      <c r="O20" s="8">
        <f t="shared" si="6"/>
        <v>0</v>
      </c>
      <c r="P20" s="8">
        <f t="shared" si="6"/>
        <v>0</v>
      </c>
      <c r="Q20" s="8">
        <f t="shared" si="6"/>
        <v>0</v>
      </c>
      <c r="R20" s="8">
        <f t="shared" ref="R20:S32" si="8">+IF(Q131&gt;0,MIN(R65/$N$11,Q131),0)</f>
        <v>0</v>
      </c>
      <c r="S20" s="8">
        <f t="shared" si="8"/>
        <v>0</v>
      </c>
      <c r="T20" s="8">
        <f t="shared" si="7"/>
        <v>0</v>
      </c>
      <c r="U20" s="8">
        <f t="shared" si="7"/>
        <v>0</v>
      </c>
      <c r="V20" s="8">
        <f t="shared" si="7"/>
        <v>0</v>
      </c>
      <c r="W20" s="8">
        <f t="shared" si="7"/>
        <v>0</v>
      </c>
      <c r="X20" s="8">
        <f t="shared" si="7"/>
        <v>0</v>
      </c>
      <c r="Y20" s="8">
        <f t="shared" si="7"/>
        <v>0</v>
      </c>
      <c r="Z20" s="8">
        <f t="shared" si="7"/>
        <v>0</v>
      </c>
      <c r="AA20" s="8">
        <f t="shared" si="7"/>
        <v>0</v>
      </c>
      <c r="AB20" s="8">
        <f t="shared" si="7"/>
        <v>0</v>
      </c>
      <c r="AC20" s="8">
        <f t="shared" si="7"/>
        <v>0</v>
      </c>
      <c r="AD20" s="8">
        <f t="shared" si="7"/>
        <v>0</v>
      </c>
      <c r="AE20" s="8">
        <f t="shared" si="7"/>
        <v>0</v>
      </c>
      <c r="AF20" s="8">
        <f t="shared" si="7"/>
        <v>0</v>
      </c>
      <c r="AG20" s="8">
        <f t="shared" si="7"/>
        <v>0</v>
      </c>
    </row>
    <row r="21" spans="1:36">
      <c r="A21" t="s">
        <v>248</v>
      </c>
      <c r="F21" s="8">
        <f>+F66/$N$10</f>
        <v>338.4</v>
      </c>
      <c r="G21" s="8">
        <f t="shared" si="6"/>
        <v>338.4</v>
      </c>
      <c r="H21" s="8">
        <f t="shared" si="6"/>
        <v>338.4</v>
      </c>
      <c r="I21" s="8">
        <f t="shared" si="6"/>
        <v>338.4</v>
      </c>
      <c r="J21" s="8">
        <f t="shared" si="6"/>
        <v>338.4</v>
      </c>
      <c r="K21" s="8">
        <f t="shared" si="6"/>
        <v>338.4</v>
      </c>
      <c r="L21" s="8">
        <f t="shared" si="6"/>
        <v>338.4</v>
      </c>
      <c r="M21" s="8">
        <f t="shared" si="6"/>
        <v>169.19999999999982</v>
      </c>
      <c r="N21" s="8">
        <f t="shared" si="6"/>
        <v>0</v>
      </c>
      <c r="O21" s="8">
        <f t="shared" si="6"/>
        <v>0</v>
      </c>
      <c r="P21" s="8">
        <f t="shared" si="6"/>
        <v>0</v>
      </c>
      <c r="Q21" s="8">
        <f t="shared" si="6"/>
        <v>0</v>
      </c>
      <c r="R21" s="8">
        <f t="shared" si="8"/>
        <v>0</v>
      </c>
      <c r="S21" s="8">
        <f t="shared" si="8"/>
        <v>0</v>
      </c>
      <c r="T21" s="8">
        <f t="shared" si="7"/>
        <v>0</v>
      </c>
      <c r="U21" s="8">
        <f t="shared" si="7"/>
        <v>0</v>
      </c>
      <c r="V21" s="8">
        <f t="shared" si="7"/>
        <v>0</v>
      </c>
      <c r="W21" s="8">
        <f t="shared" si="7"/>
        <v>0</v>
      </c>
      <c r="X21" s="8">
        <f t="shared" si="7"/>
        <v>0</v>
      </c>
      <c r="Y21" s="8">
        <f t="shared" si="7"/>
        <v>0</v>
      </c>
      <c r="Z21" s="8">
        <f t="shared" si="7"/>
        <v>0</v>
      </c>
      <c r="AA21" s="8">
        <f t="shared" si="7"/>
        <v>0</v>
      </c>
      <c r="AB21" s="8">
        <f t="shared" si="7"/>
        <v>0</v>
      </c>
      <c r="AC21" s="8">
        <f t="shared" si="7"/>
        <v>0</v>
      </c>
      <c r="AD21" s="8">
        <f t="shared" si="7"/>
        <v>0</v>
      </c>
      <c r="AE21" s="8">
        <f t="shared" si="7"/>
        <v>0</v>
      </c>
      <c r="AF21" s="8">
        <f t="shared" si="7"/>
        <v>0</v>
      </c>
      <c r="AG21" s="8">
        <f t="shared" si="7"/>
        <v>0</v>
      </c>
    </row>
    <row r="22" spans="1:36">
      <c r="A22" t="s">
        <v>249</v>
      </c>
      <c r="G22" s="8">
        <f>+G67/$N$10</f>
        <v>156.93333333333334</v>
      </c>
      <c r="H22" s="8">
        <f t="shared" si="6"/>
        <v>156.93333333333334</v>
      </c>
      <c r="I22" s="8">
        <f t="shared" si="6"/>
        <v>156.93333333333334</v>
      </c>
      <c r="J22" s="8">
        <f t="shared" si="6"/>
        <v>156.93333333333334</v>
      </c>
      <c r="K22" s="8">
        <f t="shared" si="6"/>
        <v>156.93333333333334</v>
      </c>
      <c r="L22" s="8">
        <f t="shared" si="6"/>
        <v>156.93333333333334</v>
      </c>
      <c r="M22" s="8">
        <f t="shared" si="6"/>
        <v>156.93333333333334</v>
      </c>
      <c r="N22" s="8">
        <f t="shared" si="6"/>
        <v>78.46666666666647</v>
      </c>
      <c r="O22" s="8">
        <f t="shared" si="6"/>
        <v>0</v>
      </c>
      <c r="P22" s="8">
        <f t="shared" si="6"/>
        <v>0</v>
      </c>
      <c r="Q22" s="8">
        <f t="shared" si="6"/>
        <v>0</v>
      </c>
      <c r="R22" s="8">
        <f t="shared" si="8"/>
        <v>0</v>
      </c>
      <c r="S22" s="8">
        <f t="shared" si="8"/>
        <v>0</v>
      </c>
      <c r="T22" s="8">
        <f t="shared" si="7"/>
        <v>0</v>
      </c>
      <c r="U22" s="8">
        <f t="shared" si="7"/>
        <v>0</v>
      </c>
      <c r="V22" s="8">
        <f t="shared" si="7"/>
        <v>0</v>
      </c>
      <c r="W22" s="8">
        <f t="shared" si="7"/>
        <v>0</v>
      </c>
      <c r="X22" s="8">
        <f t="shared" si="7"/>
        <v>0</v>
      </c>
      <c r="Y22" s="8">
        <f t="shared" si="7"/>
        <v>0</v>
      </c>
      <c r="Z22" s="8">
        <f t="shared" si="7"/>
        <v>0</v>
      </c>
      <c r="AA22" s="8">
        <f t="shared" si="7"/>
        <v>0</v>
      </c>
      <c r="AB22" s="8">
        <f t="shared" si="7"/>
        <v>0</v>
      </c>
      <c r="AC22" s="8">
        <f t="shared" si="7"/>
        <v>0</v>
      </c>
      <c r="AD22" s="8">
        <f t="shared" si="7"/>
        <v>0</v>
      </c>
      <c r="AE22" s="8">
        <f t="shared" si="7"/>
        <v>0</v>
      </c>
      <c r="AF22" s="8">
        <f t="shared" si="7"/>
        <v>0</v>
      </c>
      <c r="AG22" s="8">
        <f t="shared" si="7"/>
        <v>0</v>
      </c>
    </row>
    <row r="23" spans="1:36">
      <c r="A23" t="s">
        <v>250</v>
      </c>
      <c r="H23" s="8">
        <f>+H68/$N$10</f>
        <v>230.93333333333334</v>
      </c>
      <c r="I23" s="8">
        <f t="shared" si="6"/>
        <v>230.93333333333334</v>
      </c>
      <c r="J23" s="8">
        <f t="shared" si="6"/>
        <v>230.93333333333334</v>
      </c>
      <c r="K23" s="8">
        <f t="shared" si="6"/>
        <v>230.93333333333334</v>
      </c>
      <c r="L23" s="8">
        <f t="shared" si="6"/>
        <v>230.93333333333334</v>
      </c>
      <c r="M23" s="8">
        <f t="shared" si="6"/>
        <v>230.93333333333334</v>
      </c>
      <c r="N23" s="8">
        <f t="shared" si="6"/>
        <v>230.93333333333334</v>
      </c>
      <c r="O23" s="8">
        <f t="shared" si="6"/>
        <v>115.46666666666647</v>
      </c>
      <c r="P23" s="8">
        <f t="shared" si="6"/>
        <v>0</v>
      </c>
      <c r="Q23" s="8">
        <f t="shared" si="6"/>
        <v>0</v>
      </c>
      <c r="R23" s="8">
        <f t="shared" si="8"/>
        <v>0</v>
      </c>
      <c r="S23" s="8">
        <f t="shared" si="8"/>
        <v>0</v>
      </c>
      <c r="T23" s="8">
        <f t="shared" si="7"/>
        <v>0</v>
      </c>
      <c r="U23" s="8">
        <f t="shared" si="7"/>
        <v>0</v>
      </c>
      <c r="V23" s="8">
        <f t="shared" si="7"/>
        <v>0</v>
      </c>
      <c r="W23" s="8">
        <f t="shared" si="7"/>
        <v>0</v>
      </c>
      <c r="X23" s="8">
        <f t="shared" si="7"/>
        <v>0</v>
      </c>
      <c r="Y23" s="8">
        <f t="shared" si="7"/>
        <v>0</v>
      </c>
      <c r="Z23" s="8">
        <f t="shared" si="7"/>
        <v>0</v>
      </c>
      <c r="AA23" s="8">
        <f t="shared" si="7"/>
        <v>0</v>
      </c>
      <c r="AB23" s="8">
        <f t="shared" si="7"/>
        <v>0</v>
      </c>
      <c r="AC23" s="8">
        <f t="shared" si="7"/>
        <v>0</v>
      </c>
      <c r="AD23" s="8">
        <f t="shared" si="7"/>
        <v>0</v>
      </c>
      <c r="AE23" s="8">
        <f t="shared" si="7"/>
        <v>0</v>
      </c>
      <c r="AF23" s="8">
        <f t="shared" si="7"/>
        <v>0</v>
      </c>
      <c r="AG23" s="8">
        <f t="shared" si="7"/>
        <v>0</v>
      </c>
    </row>
    <row r="24" spans="1:36">
      <c r="A24" t="s">
        <v>251</v>
      </c>
      <c r="I24" s="8">
        <f>+I69/$N$10</f>
        <v>165.33333333333334</v>
      </c>
      <c r="J24" s="8">
        <f t="shared" si="6"/>
        <v>165.33333333333334</v>
      </c>
      <c r="K24" s="8">
        <f t="shared" si="6"/>
        <v>165.33333333333334</v>
      </c>
      <c r="L24" s="8">
        <f t="shared" si="6"/>
        <v>165.33333333333334</v>
      </c>
      <c r="M24" s="8">
        <f t="shared" si="6"/>
        <v>165.33333333333334</v>
      </c>
      <c r="N24" s="8">
        <f t="shared" si="6"/>
        <v>165.33333333333334</v>
      </c>
      <c r="O24" s="8">
        <f t="shared" si="6"/>
        <v>165.33333333333334</v>
      </c>
      <c r="P24" s="8">
        <f t="shared" si="6"/>
        <v>82.666666666666515</v>
      </c>
      <c r="Q24" s="8">
        <f t="shared" si="6"/>
        <v>0</v>
      </c>
      <c r="R24" s="8">
        <f t="shared" si="8"/>
        <v>0</v>
      </c>
      <c r="S24" s="8">
        <f t="shared" si="8"/>
        <v>0</v>
      </c>
      <c r="T24" s="8">
        <f t="shared" si="7"/>
        <v>0</v>
      </c>
      <c r="U24" s="8">
        <f t="shared" si="7"/>
        <v>0</v>
      </c>
      <c r="V24" s="8">
        <f t="shared" si="7"/>
        <v>0</v>
      </c>
      <c r="W24" s="8">
        <f t="shared" si="7"/>
        <v>0</v>
      </c>
      <c r="X24" s="8">
        <f t="shared" si="7"/>
        <v>0</v>
      </c>
      <c r="Y24" s="8">
        <f t="shared" si="7"/>
        <v>0</v>
      </c>
      <c r="Z24" s="8">
        <f t="shared" si="7"/>
        <v>0</v>
      </c>
      <c r="AA24" s="8">
        <f t="shared" si="7"/>
        <v>0</v>
      </c>
      <c r="AB24" s="8">
        <f t="shared" si="7"/>
        <v>0</v>
      </c>
      <c r="AC24" s="8">
        <f t="shared" si="7"/>
        <v>0</v>
      </c>
      <c r="AD24" s="8">
        <f t="shared" si="7"/>
        <v>0</v>
      </c>
      <c r="AE24" s="8">
        <f t="shared" si="7"/>
        <v>0</v>
      </c>
      <c r="AF24" s="8">
        <f t="shared" si="7"/>
        <v>0</v>
      </c>
      <c r="AG24" s="8">
        <f t="shared" si="7"/>
        <v>0</v>
      </c>
    </row>
    <row r="25" spans="1:36">
      <c r="A25" t="s">
        <v>252</v>
      </c>
      <c r="J25" s="8">
        <f>+J70/$N$10</f>
        <v>436.4</v>
      </c>
      <c r="K25" s="8">
        <f t="shared" si="6"/>
        <v>436.4</v>
      </c>
      <c r="L25" s="8">
        <f t="shared" si="6"/>
        <v>436.4</v>
      </c>
      <c r="M25" s="8">
        <f t="shared" si="6"/>
        <v>436.4</v>
      </c>
      <c r="N25" s="8">
        <f t="shared" si="6"/>
        <v>436.4</v>
      </c>
      <c r="O25" s="8">
        <f t="shared" si="6"/>
        <v>436.4</v>
      </c>
      <c r="P25" s="8">
        <f t="shared" si="6"/>
        <v>436.4</v>
      </c>
      <c r="Q25" s="8">
        <f t="shared" si="6"/>
        <v>218.19999999999982</v>
      </c>
      <c r="R25" s="8">
        <f t="shared" si="8"/>
        <v>0</v>
      </c>
      <c r="S25" s="8">
        <f t="shared" si="8"/>
        <v>0</v>
      </c>
      <c r="T25" s="8">
        <f t="shared" si="7"/>
        <v>0</v>
      </c>
      <c r="U25" s="8">
        <f t="shared" si="7"/>
        <v>0</v>
      </c>
      <c r="V25" s="8">
        <f t="shared" si="7"/>
        <v>0</v>
      </c>
      <c r="W25" s="8">
        <f t="shared" si="7"/>
        <v>0</v>
      </c>
      <c r="X25" s="8">
        <f t="shared" si="7"/>
        <v>0</v>
      </c>
      <c r="Y25" s="8">
        <f t="shared" si="7"/>
        <v>0</v>
      </c>
      <c r="Z25" s="8">
        <f t="shared" si="7"/>
        <v>0</v>
      </c>
      <c r="AA25" s="8">
        <f t="shared" si="7"/>
        <v>0</v>
      </c>
      <c r="AB25" s="8">
        <f t="shared" si="7"/>
        <v>0</v>
      </c>
      <c r="AC25" s="8">
        <f t="shared" si="7"/>
        <v>0</v>
      </c>
      <c r="AD25" s="8">
        <f t="shared" si="7"/>
        <v>0</v>
      </c>
      <c r="AE25" s="8">
        <f t="shared" si="7"/>
        <v>0</v>
      </c>
      <c r="AF25" s="8">
        <f t="shared" si="7"/>
        <v>0</v>
      </c>
      <c r="AG25" s="8">
        <f t="shared" si="7"/>
        <v>0</v>
      </c>
    </row>
    <row r="26" spans="1:36">
      <c r="A26" t="s">
        <v>253</v>
      </c>
      <c r="K26" s="8">
        <f>+K71/$N$10</f>
        <v>706.66666666666663</v>
      </c>
      <c r="L26" s="8">
        <f t="shared" si="6"/>
        <v>706.66666666666663</v>
      </c>
      <c r="M26" s="8">
        <f t="shared" si="6"/>
        <v>706.66666666666663</v>
      </c>
      <c r="N26" s="8">
        <f t="shared" si="6"/>
        <v>706.66666666666663</v>
      </c>
      <c r="O26" s="8">
        <f t="shared" si="6"/>
        <v>706.66666666666663</v>
      </c>
      <c r="P26" s="8">
        <f t="shared" si="6"/>
        <v>706.66666666666663</v>
      </c>
      <c r="Q26" s="8">
        <f t="shared" si="6"/>
        <v>706.66666666666663</v>
      </c>
      <c r="R26" s="8">
        <f t="shared" si="8"/>
        <v>353.33333333333303</v>
      </c>
      <c r="S26" s="8">
        <f t="shared" si="8"/>
        <v>0</v>
      </c>
      <c r="T26" s="8">
        <f t="shared" si="7"/>
        <v>0</v>
      </c>
      <c r="U26" s="8">
        <f t="shared" si="7"/>
        <v>0</v>
      </c>
      <c r="V26" s="8">
        <f t="shared" si="7"/>
        <v>0</v>
      </c>
      <c r="W26" s="8">
        <f t="shared" si="7"/>
        <v>0</v>
      </c>
      <c r="X26" s="8">
        <f t="shared" si="7"/>
        <v>0</v>
      </c>
      <c r="Y26" s="8">
        <f t="shared" si="7"/>
        <v>0</v>
      </c>
      <c r="Z26" s="8">
        <f t="shared" si="7"/>
        <v>0</v>
      </c>
      <c r="AA26" s="8">
        <f t="shared" si="7"/>
        <v>0</v>
      </c>
      <c r="AB26" s="8">
        <f t="shared" si="7"/>
        <v>0</v>
      </c>
      <c r="AC26" s="8">
        <f t="shared" si="7"/>
        <v>0</v>
      </c>
      <c r="AD26" s="8">
        <f t="shared" si="7"/>
        <v>0</v>
      </c>
      <c r="AE26" s="8">
        <f t="shared" si="7"/>
        <v>0</v>
      </c>
      <c r="AF26" s="8">
        <f t="shared" si="7"/>
        <v>0</v>
      </c>
      <c r="AG26" s="8">
        <f t="shared" si="7"/>
        <v>0</v>
      </c>
    </row>
    <row r="27" spans="1:36">
      <c r="A27" t="s">
        <v>254</v>
      </c>
      <c r="L27" s="8">
        <f>+L72/$N$10</f>
        <v>604.4</v>
      </c>
      <c r="M27" s="8">
        <f>+IF(L138&gt;0,MIN(M72/$N$10,L138),0)</f>
        <v>604.4</v>
      </c>
      <c r="N27" s="8">
        <f>+IF(M138&gt;0,MIN(N72/$N$10,M138),0)</f>
        <v>604.4</v>
      </c>
      <c r="O27" s="8">
        <f>+IF(N138&gt;0,MIN(O72/$N$10,N138),0)</f>
        <v>604.4</v>
      </c>
      <c r="P27" s="8">
        <f>+IF(O138&gt;0,MIN(P72/$N$10,O138),0)</f>
        <v>604.4</v>
      </c>
      <c r="Q27" s="8">
        <f>+IF(P138&gt;0,MIN(Q72/$N$10,P138),0)</f>
        <v>604.4</v>
      </c>
      <c r="R27" s="8">
        <f t="shared" si="8"/>
        <v>503.66666666666669</v>
      </c>
      <c r="S27" s="8">
        <f t="shared" si="8"/>
        <v>402.93333333333339</v>
      </c>
      <c r="T27" s="8">
        <f t="shared" si="7"/>
        <v>0</v>
      </c>
      <c r="U27" s="8">
        <f t="shared" si="7"/>
        <v>0</v>
      </c>
      <c r="V27" s="8">
        <f t="shared" si="7"/>
        <v>0</v>
      </c>
      <c r="W27" s="8">
        <f t="shared" si="7"/>
        <v>0</v>
      </c>
      <c r="X27" s="8">
        <f t="shared" si="7"/>
        <v>0</v>
      </c>
      <c r="Y27" s="8">
        <f t="shared" si="7"/>
        <v>0</v>
      </c>
      <c r="Z27" s="8">
        <f t="shared" si="7"/>
        <v>0</v>
      </c>
      <c r="AA27" s="8">
        <f t="shared" si="7"/>
        <v>0</v>
      </c>
      <c r="AB27" s="8">
        <f t="shared" si="7"/>
        <v>0</v>
      </c>
      <c r="AC27" s="8">
        <f t="shared" si="7"/>
        <v>0</v>
      </c>
      <c r="AD27" s="8">
        <f t="shared" si="7"/>
        <v>0</v>
      </c>
      <c r="AE27" s="8">
        <f t="shared" si="7"/>
        <v>0</v>
      </c>
      <c r="AF27" s="8">
        <f t="shared" si="7"/>
        <v>0</v>
      </c>
      <c r="AG27" s="8">
        <f t="shared" si="7"/>
        <v>0</v>
      </c>
    </row>
    <row r="28" spans="1:36">
      <c r="A28" t="s">
        <v>255</v>
      </c>
      <c r="M28" s="8">
        <f>+M73/$N$10</f>
        <v>775.86666666666667</v>
      </c>
      <c r="N28" s="8">
        <f>+IF(M139&gt;0,MIN(N73/$N$10,M139),0)</f>
        <v>775.86666666666667</v>
      </c>
      <c r="O28" s="8">
        <f>+IF(N139&gt;0,MIN(O73/$N$10,N139),0)</f>
        <v>775.86666666666667</v>
      </c>
      <c r="P28" s="8">
        <f>+IF(O139&gt;0,MIN(P73/$N$10,O139),0)</f>
        <v>775.86666666666667</v>
      </c>
      <c r="Q28" s="8">
        <f>+IF(P139&gt;0,MIN(Q73/$N$10,P139),0)</f>
        <v>775.86666666666667</v>
      </c>
      <c r="R28" s="8">
        <f t="shared" si="8"/>
        <v>646.55555555555554</v>
      </c>
      <c r="S28" s="8">
        <f t="shared" si="8"/>
        <v>646.55555555555554</v>
      </c>
      <c r="T28" s="8">
        <f t="shared" si="7"/>
        <v>529</v>
      </c>
      <c r="U28" s="8">
        <f t="shared" si="7"/>
        <v>117.55555555555566</v>
      </c>
      <c r="V28" s="8">
        <f t="shared" si="7"/>
        <v>0</v>
      </c>
      <c r="W28" s="8">
        <f t="shared" si="7"/>
        <v>0</v>
      </c>
      <c r="X28" s="8">
        <f t="shared" si="7"/>
        <v>0</v>
      </c>
      <c r="Y28" s="8">
        <f t="shared" si="7"/>
        <v>0</v>
      </c>
      <c r="Z28" s="8">
        <f t="shared" si="7"/>
        <v>0</v>
      </c>
      <c r="AA28" s="8">
        <f t="shared" si="7"/>
        <v>0</v>
      </c>
      <c r="AB28" s="8">
        <f t="shared" si="7"/>
        <v>0</v>
      </c>
      <c r="AC28" s="8">
        <f t="shared" si="7"/>
        <v>0</v>
      </c>
      <c r="AD28" s="8">
        <f t="shared" si="7"/>
        <v>0</v>
      </c>
      <c r="AE28" s="8">
        <f t="shared" si="7"/>
        <v>0</v>
      </c>
      <c r="AF28" s="8">
        <f t="shared" si="7"/>
        <v>0</v>
      </c>
      <c r="AG28" s="8">
        <f t="shared" si="7"/>
        <v>0</v>
      </c>
    </row>
    <row r="29" spans="1:36">
      <c r="A29" t="s">
        <v>256</v>
      </c>
      <c r="N29" s="8">
        <f>+N74/$N$10</f>
        <v>1300.9333333333334</v>
      </c>
      <c r="O29" s="8">
        <f>+IF(N140&gt;0,MIN(O74/$N$10,N140),0)</f>
        <v>1300.9333333333334</v>
      </c>
      <c r="P29" s="8">
        <f>+IF(O140&gt;0,MIN(P74/$N$10,O140),0)</f>
        <v>1300.9333333333334</v>
      </c>
      <c r="Q29" s="8">
        <f>+IF(P140&gt;0,MIN(Q74/$N$10,P140),0)</f>
        <v>1300.9333333333334</v>
      </c>
      <c r="R29" s="8">
        <f t="shared" si="8"/>
        <v>1084.1111111111111</v>
      </c>
      <c r="S29" s="8">
        <f t="shared" si="8"/>
        <v>1084.1111111111111</v>
      </c>
      <c r="T29" s="8">
        <f t="shared" si="7"/>
        <v>887</v>
      </c>
      <c r="U29" s="8">
        <f t="shared" si="7"/>
        <v>887</v>
      </c>
      <c r="V29" s="8">
        <f t="shared" si="7"/>
        <v>611.0444444444438</v>
      </c>
      <c r="W29" s="8">
        <f t="shared" si="7"/>
        <v>0</v>
      </c>
      <c r="X29" s="8">
        <f t="shared" si="7"/>
        <v>0</v>
      </c>
      <c r="Y29" s="8">
        <f t="shared" si="7"/>
        <v>0</v>
      </c>
      <c r="Z29" s="8">
        <f t="shared" si="7"/>
        <v>0</v>
      </c>
      <c r="AA29" s="8">
        <f t="shared" si="7"/>
        <v>0</v>
      </c>
      <c r="AB29" s="8">
        <f t="shared" si="7"/>
        <v>0</v>
      </c>
      <c r="AC29" s="8">
        <f t="shared" si="7"/>
        <v>0</v>
      </c>
      <c r="AD29" s="8">
        <f t="shared" si="7"/>
        <v>0</v>
      </c>
      <c r="AE29" s="8">
        <f t="shared" si="7"/>
        <v>0</v>
      </c>
      <c r="AF29" s="8">
        <f t="shared" si="7"/>
        <v>0</v>
      </c>
      <c r="AG29" s="8">
        <f t="shared" si="7"/>
        <v>0</v>
      </c>
    </row>
    <row r="30" spans="1:36">
      <c r="A30" t="s">
        <v>257</v>
      </c>
      <c r="O30" s="8">
        <f>+O75/$N$10</f>
        <v>1436</v>
      </c>
      <c r="P30" s="8">
        <f>+IF(O141&gt;0,MIN(P75/$N$10,O141),0)</f>
        <v>1436</v>
      </c>
      <c r="Q30" s="8">
        <f>+IF(P141&gt;0,MIN(Q75/$N$10,P141),0)</f>
        <v>1436</v>
      </c>
      <c r="R30" s="8">
        <f t="shared" si="8"/>
        <v>1196.6666666666667</v>
      </c>
      <c r="S30" s="8">
        <f t="shared" si="8"/>
        <v>1196.6666666666667</v>
      </c>
      <c r="T30" s="8">
        <f t="shared" si="7"/>
        <v>979.09090909090912</v>
      </c>
      <c r="U30" s="8">
        <f t="shared" si="7"/>
        <v>979.09090909090912</v>
      </c>
      <c r="V30" s="8">
        <f t="shared" si="7"/>
        <v>979.09090909090912</v>
      </c>
      <c r="W30" s="8">
        <f t="shared" si="7"/>
        <v>979.09090909090912</v>
      </c>
      <c r="X30" s="8">
        <f t="shared" si="7"/>
        <v>152.30303030302821</v>
      </c>
      <c r="Y30" s="8">
        <f t="shared" si="7"/>
        <v>0</v>
      </c>
      <c r="Z30" s="8">
        <f t="shared" si="7"/>
        <v>0</v>
      </c>
      <c r="AA30" s="8">
        <f t="shared" si="7"/>
        <v>0</v>
      </c>
      <c r="AB30" s="8">
        <f t="shared" si="7"/>
        <v>0</v>
      </c>
      <c r="AC30" s="8">
        <f t="shared" si="7"/>
        <v>0</v>
      </c>
      <c r="AD30" s="8">
        <f t="shared" si="7"/>
        <v>0</v>
      </c>
      <c r="AE30" s="8">
        <f t="shared" si="7"/>
        <v>0</v>
      </c>
      <c r="AF30" s="8">
        <f t="shared" si="7"/>
        <v>0</v>
      </c>
      <c r="AG30" s="8">
        <f t="shared" si="7"/>
        <v>0</v>
      </c>
      <c r="AH30" s="8"/>
    </row>
    <row r="31" spans="1:36">
      <c r="A31" t="s">
        <v>258</v>
      </c>
      <c r="P31" s="8">
        <f>+P76/$N$10</f>
        <v>1749.8666666666666</v>
      </c>
      <c r="Q31" s="8">
        <f>+IF(P142&gt;0,MIN(Q76/$N$10,P142),0)</f>
        <v>1749.8666666666666</v>
      </c>
      <c r="R31" s="8">
        <f t="shared" si="8"/>
        <v>1458.2222222222222</v>
      </c>
      <c r="S31" s="8">
        <f t="shared" si="8"/>
        <v>1458.2222222222222</v>
      </c>
      <c r="T31" s="8">
        <f t="shared" si="7"/>
        <v>1193.090909090909</v>
      </c>
      <c r="U31" s="8">
        <f t="shared" si="7"/>
        <v>1193.090909090909</v>
      </c>
      <c r="V31" s="8">
        <f t="shared" si="7"/>
        <v>1193.090909090909</v>
      </c>
      <c r="W31" s="8">
        <f t="shared" si="7"/>
        <v>1193.090909090909</v>
      </c>
      <c r="X31" s="8">
        <f t="shared" si="7"/>
        <v>1193.090909090909</v>
      </c>
      <c r="Y31" s="8">
        <f t="shared" si="7"/>
        <v>742.36767676768068</v>
      </c>
      <c r="Z31" s="8">
        <f t="shared" si="7"/>
        <v>0</v>
      </c>
      <c r="AA31" s="8">
        <f t="shared" si="7"/>
        <v>0</v>
      </c>
      <c r="AB31" s="8">
        <f t="shared" si="7"/>
        <v>0</v>
      </c>
      <c r="AC31" s="8">
        <f t="shared" si="7"/>
        <v>0</v>
      </c>
      <c r="AD31" s="8">
        <f t="shared" si="7"/>
        <v>0</v>
      </c>
      <c r="AE31" s="8">
        <f t="shared" si="7"/>
        <v>0</v>
      </c>
      <c r="AF31" s="8">
        <f t="shared" si="7"/>
        <v>0</v>
      </c>
      <c r="AG31" s="8">
        <f t="shared" si="7"/>
        <v>0</v>
      </c>
      <c r="AH31" s="8"/>
      <c r="AI31" s="8"/>
    </row>
    <row r="32" spans="1:36">
      <c r="A32" t="s">
        <v>259</v>
      </c>
      <c r="Q32" s="8">
        <f>+Q77/$N$10</f>
        <v>2072.1333333333332</v>
      </c>
      <c r="R32" s="8">
        <f t="shared" si="8"/>
        <v>1726.7777777777778</v>
      </c>
      <c r="S32" s="8">
        <f t="shared" si="8"/>
        <v>1726.7777777777778</v>
      </c>
      <c r="T32" s="8">
        <f t="shared" si="7"/>
        <v>1412.8181818181818</v>
      </c>
      <c r="U32" s="8">
        <f t="shared" si="7"/>
        <v>1412.8181818181818</v>
      </c>
      <c r="V32" s="8">
        <f t="shared" si="7"/>
        <v>1412.8181818181818</v>
      </c>
      <c r="W32" s="8">
        <f t="shared" si="7"/>
        <v>1412.8181818181818</v>
      </c>
      <c r="X32" s="8">
        <f t="shared" si="7"/>
        <v>1412.8181818181818</v>
      </c>
      <c r="Y32" s="8">
        <f t="shared" si="7"/>
        <v>1412.8181818181818</v>
      </c>
      <c r="Z32" s="8">
        <f t="shared" si="7"/>
        <v>1412.8181818181818</v>
      </c>
      <c r="AA32" s="8">
        <f t="shared" si="7"/>
        <v>125.58383838383816</v>
      </c>
      <c r="AB32" s="8">
        <f t="shared" si="7"/>
        <v>0</v>
      </c>
      <c r="AC32" s="8">
        <f t="shared" si="7"/>
        <v>0</v>
      </c>
      <c r="AD32" s="8">
        <f t="shared" si="7"/>
        <v>0</v>
      </c>
      <c r="AE32" s="8">
        <f t="shared" si="7"/>
        <v>0</v>
      </c>
      <c r="AF32" s="8">
        <f t="shared" si="7"/>
        <v>0</v>
      </c>
      <c r="AG32" s="8">
        <f t="shared" si="7"/>
        <v>0</v>
      </c>
      <c r="AH32" s="8"/>
      <c r="AI32" s="8"/>
      <c r="AJ32" s="8"/>
    </row>
    <row r="33" spans="1:44">
      <c r="A33" t="s">
        <v>260</v>
      </c>
      <c r="R33" s="8">
        <f>+R78/$N$11</f>
        <v>2635.3333333333335</v>
      </c>
      <c r="S33" s="8">
        <f>+IF(R144&gt;0,MIN(S78/$N$11,R144),0)</f>
        <v>2635.3333333333335</v>
      </c>
      <c r="T33" s="8">
        <f t="shared" si="7"/>
        <v>2156.181818181818</v>
      </c>
      <c r="U33" s="8">
        <f t="shared" si="7"/>
        <v>2156.181818181818</v>
      </c>
      <c r="V33" s="8">
        <f t="shared" si="7"/>
        <v>2156.181818181818</v>
      </c>
      <c r="W33" s="8">
        <f t="shared" si="7"/>
        <v>2156.181818181818</v>
      </c>
      <c r="X33" s="8">
        <f t="shared" si="7"/>
        <v>2156.181818181818</v>
      </c>
      <c r="Y33" s="8">
        <f t="shared" si="7"/>
        <v>2156.181818181818</v>
      </c>
      <c r="Z33" s="8">
        <f t="shared" si="7"/>
        <v>2156.181818181818</v>
      </c>
      <c r="AA33" s="8">
        <f t="shared" si="7"/>
        <v>2156.181818181818</v>
      </c>
      <c r="AB33" s="8">
        <f t="shared" si="7"/>
        <v>1197.8787878787916</v>
      </c>
      <c r="AC33" s="8">
        <f t="shared" si="7"/>
        <v>0</v>
      </c>
      <c r="AD33" s="8">
        <f t="shared" si="7"/>
        <v>0</v>
      </c>
      <c r="AE33" s="8">
        <f t="shared" si="7"/>
        <v>0</v>
      </c>
      <c r="AF33" s="8">
        <f t="shared" si="7"/>
        <v>0</v>
      </c>
      <c r="AG33" s="8">
        <f t="shared" si="7"/>
        <v>0</v>
      </c>
      <c r="AH33" s="8"/>
      <c r="AI33" s="8"/>
      <c r="AJ33" s="8"/>
      <c r="AK33" s="8"/>
    </row>
    <row r="34" spans="1:44">
      <c r="A34" t="s">
        <v>109</v>
      </c>
      <c r="S34" s="8">
        <f>+S79/$N$11</f>
        <v>2554.6666666666665</v>
      </c>
      <c r="T34" s="8">
        <f t="shared" si="7"/>
        <v>2090.181818181818</v>
      </c>
      <c r="U34" s="8">
        <f t="shared" si="7"/>
        <v>2090.181818181818</v>
      </c>
      <c r="V34" s="8">
        <f t="shared" si="7"/>
        <v>2090.181818181818</v>
      </c>
      <c r="W34" s="8">
        <f t="shared" si="7"/>
        <v>2090.181818181818</v>
      </c>
      <c r="X34" s="8">
        <f t="shared" si="7"/>
        <v>2090.181818181818</v>
      </c>
      <c r="Y34" s="8">
        <f t="shared" si="7"/>
        <v>2090.181818181818</v>
      </c>
      <c r="Z34" s="8">
        <f t="shared" si="7"/>
        <v>2090.181818181818</v>
      </c>
      <c r="AA34" s="8">
        <f t="shared" si="7"/>
        <v>2090.181818181818</v>
      </c>
      <c r="AB34" s="8">
        <f t="shared" si="7"/>
        <v>2090.181818181818</v>
      </c>
      <c r="AC34" s="8">
        <f t="shared" si="7"/>
        <v>1625.6969696969754</v>
      </c>
      <c r="AD34" s="8">
        <f t="shared" si="7"/>
        <v>0</v>
      </c>
      <c r="AE34" s="8">
        <f t="shared" si="7"/>
        <v>0</v>
      </c>
      <c r="AF34" s="8">
        <f t="shared" si="7"/>
        <v>0</v>
      </c>
      <c r="AG34" s="8">
        <f t="shared" si="7"/>
        <v>0</v>
      </c>
      <c r="AH34" s="8"/>
      <c r="AI34" s="8"/>
      <c r="AJ34" s="8"/>
      <c r="AK34" s="8"/>
      <c r="AL34" s="8"/>
    </row>
    <row r="35" spans="1:44">
      <c r="A35" t="s">
        <v>190</v>
      </c>
      <c r="T35" s="8">
        <f>+T80/$N$12</f>
        <v>2712.181818181818</v>
      </c>
      <c r="U35" s="8">
        <f t="shared" ref="U35:AG46" si="9">+IF(T146&gt;0,MIN(U80/$N$12,T146),0)</f>
        <v>2712.181818181818</v>
      </c>
      <c r="V35" s="8">
        <f t="shared" si="9"/>
        <v>2712.181818181818</v>
      </c>
      <c r="W35" s="8">
        <f t="shared" si="9"/>
        <v>2712.181818181818</v>
      </c>
      <c r="X35" s="8">
        <f t="shared" si="9"/>
        <v>2712.181818181818</v>
      </c>
      <c r="Y35" s="8">
        <f t="shared" si="9"/>
        <v>2712.181818181818</v>
      </c>
      <c r="Z35" s="8">
        <f t="shared" si="9"/>
        <v>2712.181818181818</v>
      </c>
      <c r="AA35" s="8">
        <f t="shared" si="9"/>
        <v>2712.181818181818</v>
      </c>
      <c r="AB35" s="8">
        <f t="shared" si="9"/>
        <v>2712.181818181818</v>
      </c>
      <c r="AC35" s="8">
        <f t="shared" si="9"/>
        <v>2712.181818181818</v>
      </c>
      <c r="AD35" s="8">
        <f t="shared" si="9"/>
        <v>2712.181818181818</v>
      </c>
      <c r="AE35" s="8">
        <f t="shared" si="9"/>
        <v>0</v>
      </c>
      <c r="AF35" s="8">
        <f t="shared" si="9"/>
        <v>0</v>
      </c>
      <c r="AG35" s="8">
        <f t="shared" si="9"/>
        <v>0</v>
      </c>
      <c r="AH35" s="8"/>
      <c r="AI35" s="8"/>
      <c r="AJ35" s="8"/>
      <c r="AK35" s="8"/>
      <c r="AL35" s="8"/>
      <c r="AM35" s="8"/>
    </row>
    <row r="36" spans="1:44">
      <c r="A36" t="s">
        <v>191</v>
      </c>
      <c r="U36" s="8">
        <f>+U81/$N$12</f>
        <v>4374.545454545455</v>
      </c>
      <c r="V36" s="8">
        <f>+IF(U147&gt;0,MIN(V81/$N$12,U147),0)</f>
        <v>4374.545454545455</v>
      </c>
      <c r="W36" s="8">
        <f>+IF(V147&gt;0,MIN(W81/$N$12,V147),0)</f>
        <v>4374.545454545455</v>
      </c>
      <c r="X36" s="8">
        <f t="shared" si="9"/>
        <v>4374.545454545455</v>
      </c>
      <c r="Y36" s="8">
        <f t="shared" si="9"/>
        <v>4374.545454545455</v>
      </c>
      <c r="Z36" s="8">
        <f t="shared" si="9"/>
        <v>4374.545454545455</v>
      </c>
      <c r="AA36" s="8">
        <f t="shared" si="9"/>
        <v>4374.545454545455</v>
      </c>
      <c r="AB36" s="8">
        <f t="shared" si="9"/>
        <v>4374.545454545455</v>
      </c>
      <c r="AC36" s="8">
        <f t="shared" si="9"/>
        <v>4374.545454545455</v>
      </c>
      <c r="AD36" s="8">
        <f t="shared" si="9"/>
        <v>4374.545454545455</v>
      </c>
      <c r="AE36" s="8">
        <f t="shared" si="9"/>
        <v>4374.5454545454486</v>
      </c>
      <c r="AF36" s="8">
        <f t="shared" si="9"/>
        <v>0</v>
      </c>
      <c r="AG36" s="8">
        <f t="shared" si="9"/>
        <v>0</v>
      </c>
      <c r="AH36" s="8"/>
      <c r="AI36" s="8"/>
      <c r="AJ36" s="8"/>
      <c r="AK36" s="8"/>
      <c r="AL36" s="8"/>
      <c r="AM36" s="8"/>
      <c r="AN36" s="8"/>
    </row>
    <row r="37" spans="1:44">
      <c r="A37" t="s">
        <v>72</v>
      </c>
      <c r="V37" s="8">
        <f>+V82/$N$12</f>
        <v>6381.9813938305861</v>
      </c>
      <c r="W37" s="8">
        <f t="shared" ref="W37:AF41" si="10">+IF(V148&gt;0,MIN(W82/$N$12,V148),0)</f>
        <v>6381.9813938305861</v>
      </c>
      <c r="X37" s="8">
        <f t="shared" si="10"/>
        <v>6381.9813938305861</v>
      </c>
      <c r="Y37" s="8">
        <f t="shared" si="10"/>
        <v>6381.9813938305861</v>
      </c>
      <c r="Z37" s="8">
        <f t="shared" si="10"/>
        <v>6381.9813938305861</v>
      </c>
      <c r="AA37" s="8">
        <f t="shared" si="10"/>
        <v>6381.9813938305861</v>
      </c>
      <c r="AB37" s="8">
        <f t="shared" si="10"/>
        <v>6381.9813938305861</v>
      </c>
      <c r="AC37" s="8">
        <f t="shared" si="10"/>
        <v>6381.9813938305861</v>
      </c>
      <c r="AD37" s="8">
        <f t="shared" si="10"/>
        <v>6381.9813938305861</v>
      </c>
      <c r="AE37" s="8">
        <f t="shared" si="10"/>
        <v>6381.9813938305861</v>
      </c>
      <c r="AF37" s="8">
        <f t="shared" si="10"/>
        <v>6381.9813938305742</v>
      </c>
      <c r="AG37" s="8">
        <f t="shared" si="9"/>
        <v>0</v>
      </c>
      <c r="AH37" s="8"/>
      <c r="AI37" s="8"/>
      <c r="AJ37" s="8"/>
      <c r="AK37" s="8"/>
      <c r="AL37" s="8"/>
      <c r="AM37" s="8"/>
      <c r="AN37" s="8"/>
      <c r="AO37" s="8"/>
    </row>
    <row r="38" spans="1:44">
      <c r="A38" t="s">
        <v>73</v>
      </c>
      <c r="W38" s="8">
        <f>+W83/$N$12</f>
        <v>5754.9201688489375</v>
      </c>
      <c r="X38" s="8">
        <f t="shared" si="10"/>
        <v>5754.9201688489375</v>
      </c>
      <c r="Y38" s="8">
        <f t="shared" si="10"/>
        <v>5754.9201688489375</v>
      </c>
      <c r="Z38" s="8">
        <f t="shared" si="10"/>
        <v>5754.9201688489375</v>
      </c>
      <c r="AA38" s="8">
        <f t="shared" si="10"/>
        <v>5754.9201688489375</v>
      </c>
      <c r="AB38" s="8">
        <f t="shared" si="10"/>
        <v>5754.9201688489375</v>
      </c>
      <c r="AC38" s="8">
        <f t="shared" si="10"/>
        <v>5754.9201688489375</v>
      </c>
      <c r="AD38" s="8">
        <f t="shared" si="10"/>
        <v>5754.9201688489375</v>
      </c>
      <c r="AE38" s="8">
        <f t="shared" si="10"/>
        <v>5754.9201688489375</v>
      </c>
      <c r="AF38" s="8">
        <f t="shared" si="10"/>
        <v>5754.9201688489375</v>
      </c>
      <c r="AG38" s="8">
        <f t="shared" si="9"/>
        <v>5754.9201688489338</v>
      </c>
      <c r="AH38" s="8"/>
      <c r="AI38" s="8"/>
      <c r="AJ38" s="8"/>
      <c r="AK38" s="8"/>
      <c r="AL38" s="8"/>
      <c r="AM38" s="8"/>
      <c r="AN38" s="8"/>
      <c r="AO38" s="8"/>
      <c r="AP38" s="8"/>
    </row>
    <row r="39" spans="1:44">
      <c r="A39" t="s">
        <v>74</v>
      </c>
      <c r="X39" s="8">
        <f>+X84/$N$12</f>
        <v>6091.0433721023865</v>
      </c>
      <c r="Y39" s="8">
        <f t="shared" si="10"/>
        <v>6091.0433721023865</v>
      </c>
      <c r="Z39" s="8">
        <f t="shared" si="10"/>
        <v>6091.0433721023865</v>
      </c>
      <c r="AA39" s="8">
        <f t="shared" si="10"/>
        <v>6091.0433721023865</v>
      </c>
      <c r="AB39" s="8">
        <f t="shared" si="10"/>
        <v>6091.0433721023865</v>
      </c>
      <c r="AC39" s="8">
        <f t="shared" si="10"/>
        <v>6091.0433721023865</v>
      </c>
      <c r="AD39" s="8">
        <f t="shared" si="10"/>
        <v>6091.0433721023865</v>
      </c>
      <c r="AE39" s="8">
        <f t="shared" si="10"/>
        <v>6091.0433721023865</v>
      </c>
      <c r="AF39" s="8">
        <f t="shared" si="10"/>
        <v>6091.0433721023865</v>
      </c>
      <c r="AG39" s="8">
        <f t="shared" si="9"/>
        <v>6091.0433721023865</v>
      </c>
      <c r="AH39" s="8"/>
      <c r="AI39" s="8"/>
      <c r="AJ39" s="8"/>
      <c r="AK39" s="8"/>
      <c r="AL39" s="8"/>
      <c r="AM39" s="8"/>
      <c r="AN39" s="8"/>
      <c r="AO39" s="8"/>
      <c r="AP39" s="8"/>
      <c r="AQ39" s="8"/>
    </row>
    <row r="40" spans="1:44">
      <c r="A40" t="s">
        <v>75</v>
      </c>
      <c r="Y40" s="8">
        <f>+Y85/$N$12</f>
        <v>6373.6601022618825</v>
      </c>
      <c r="Z40" s="8">
        <f t="shared" si="10"/>
        <v>6373.6601022618825</v>
      </c>
      <c r="AA40" s="8">
        <f t="shared" si="10"/>
        <v>6373.6601022618825</v>
      </c>
      <c r="AB40" s="8">
        <f t="shared" si="10"/>
        <v>6373.6601022618825</v>
      </c>
      <c r="AC40" s="8">
        <f t="shared" si="10"/>
        <v>6373.6601022618825</v>
      </c>
      <c r="AD40" s="8">
        <f t="shared" si="10"/>
        <v>6373.6601022618825</v>
      </c>
      <c r="AE40" s="8">
        <f t="shared" si="10"/>
        <v>6373.6601022618825</v>
      </c>
      <c r="AF40" s="8">
        <f t="shared" si="10"/>
        <v>6373.6601022618825</v>
      </c>
      <c r="AG40" s="8">
        <f t="shared" si="9"/>
        <v>6373.6601022618825</v>
      </c>
      <c r="AH40" s="8"/>
      <c r="AI40" s="8"/>
      <c r="AJ40" s="8"/>
      <c r="AK40" s="8"/>
      <c r="AL40" s="8"/>
      <c r="AM40" s="8"/>
      <c r="AN40" s="8"/>
      <c r="AO40" s="8"/>
      <c r="AP40" s="8"/>
      <c r="AQ40" s="8"/>
      <c r="AR40" s="8"/>
    </row>
    <row r="41" spans="1:44">
      <c r="A41" t="s">
        <v>76</v>
      </c>
      <c r="Y41" s="8"/>
      <c r="Z41" s="8">
        <f>+Z86/$N$12</f>
        <v>6579.172788588301</v>
      </c>
      <c r="AA41" s="8">
        <f t="shared" si="10"/>
        <v>6579.172788588301</v>
      </c>
      <c r="AB41" s="8">
        <f t="shared" si="10"/>
        <v>6579.172788588301</v>
      </c>
      <c r="AC41" s="8">
        <f t="shared" si="10"/>
        <v>6579.172788588301</v>
      </c>
      <c r="AD41" s="8">
        <f t="shared" si="10"/>
        <v>6579.172788588301</v>
      </c>
      <c r="AE41" s="8">
        <f t="shared" si="10"/>
        <v>6579.172788588301</v>
      </c>
      <c r="AF41" s="8">
        <f t="shared" si="10"/>
        <v>6579.172788588301</v>
      </c>
      <c r="AG41" s="8">
        <f t="shared" si="9"/>
        <v>6579.172788588301</v>
      </c>
      <c r="AH41" s="8"/>
      <c r="AI41" s="8"/>
      <c r="AJ41" s="8"/>
      <c r="AK41" s="8"/>
      <c r="AL41" s="8"/>
      <c r="AM41" s="8"/>
      <c r="AN41" s="8"/>
      <c r="AO41" s="8"/>
      <c r="AP41" s="8"/>
      <c r="AQ41" s="8"/>
      <c r="AR41" s="8"/>
    </row>
    <row r="42" spans="1:44">
      <c r="A42" t="s">
        <v>77</v>
      </c>
      <c r="Y42" s="8"/>
      <c r="Z42" s="8"/>
      <c r="AA42" s="8">
        <f>+AA87/$N$12</f>
        <v>6678.1401355133185</v>
      </c>
      <c r="AB42" s="8">
        <f>+IF(AA153&gt;0,MIN(AB87/$N$12,AA153),0)</f>
        <v>6678.1401355133185</v>
      </c>
      <c r="AC42" s="8">
        <f>+IF(AB153&gt;0,MIN(AC87/$N$12,AB153),0)</f>
        <v>6678.1401355133185</v>
      </c>
      <c r="AD42" s="8">
        <f>+IF(AC153&gt;0,MIN(AD87/$N$12,AC153),0)</f>
        <v>6678.1401355133185</v>
      </c>
      <c r="AE42" s="8">
        <f>+IF(AD153&gt;0,MIN(AE87/$N$12,AD153),0)</f>
        <v>6678.1401355133185</v>
      </c>
      <c r="AF42" s="8">
        <f>+IF(AE153&gt;0,MIN(AF87/$N$12,AE153),0)</f>
        <v>6678.1401355133185</v>
      </c>
      <c r="AG42" s="8">
        <f t="shared" si="9"/>
        <v>6678.1401355133185</v>
      </c>
      <c r="AH42" s="8"/>
      <c r="AI42" s="8"/>
      <c r="AJ42" s="8"/>
      <c r="AK42" s="8"/>
      <c r="AL42" s="8"/>
      <c r="AM42" s="8"/>
      <c r="AN42" s="8"/>
      <c r="AO42" s="8"/>
      <c r="AP42" s="8"/>
      <c r="AQ42" s="8"/>
      <c r="AR42" s="8"/>
    </row>
    <row r="43" spans="1:44">
      <c r="A43" t="s">
        <v>78</v>
      </c>
      <c r="Y43" s="8"/>
      <c r="Z43" s="8"/>
      <c r="AA43" s="8"/>
      <c r="AB43" s="8">
        <f>+AB88/$N$12</f>
        <v>7186.895240507848</v>
      </c>
      <c r="AC43" s="8">
        <f>+IF(AB154&gt;0,MIN(AC88/$N$12,AB154),0)</f>
        <v>7186.895240507848</v>
      </c>
      <c r="AD43" s="8">
        <f>+IF(AC154&gt;0,MIN(AD88/$N$12,AC154),0)</f>
        <v>7186.895240507848</v>
      </c>
      <c r="AE43" s="8">
        <f>+IF(AD154&gt;0,MIN(AE88/$N$12,AD154),0)</f>
        <v>7186.895240507848</v>
      </c>
      <c r="AF43" s="8">
        <f>+IF(AE154&gt;0,MIN(AF88/$N$12,AE154),0)</f>
        <v>7186.895240507848</v>
      </c>
      <c r="AG43" s="8">
        <f t="shared" si="9"/>
        <v>7186.895240507848</v>
      </c>
      <c r="AH43" s="8"/>
      <c r="AI43" s="8"/>
      <c r="AJ43" s="8"/>
      <c r="AK43" s="8"/>
      <c r="AL43" s="8"/>
      <c r="AM43" s="8"/>
      <c r="AN43" s="8"/>
      <c r="AO43" s="8"/>
      <c r="AP43" s="8"/>
      <c r="AQ43" s="8"/>
      <c r="AR43" s="8"/>
    </row>
    <row r="44" spans="1:44">
      <c r="A44" t="s">
        <v>79</v>
      </c>
      <c r="Y44" s="8"/>
      <c r="Z44" s="8"/>
      <c r="AA44" s="8"/>
      <c r="AB44" s="8"/>
      <c r="AC44" s="8">
        <f>+AC89/$N$12</f>
        <v>7682.2808937562804</v>
      </c>
      <c r="AD44" s="8">
        <f>+IF(AC155&gt;0,MIN(AD89/$N$12,AC155),0)</f>
        <v>7682.2808937562804</v>
      </c>
      <c r="AE44" s="8">
        <f>+IF(AD155&gt;0,MIN(AE89/$N$12,AD155),0)</f>
        <v>7682.2808937562804</v>
      </c>
      <c r="AF44" s="8">
        <f>+IF(AE155&gt;0,MIN(AF89/$N$12,AE155),0)</f>
        <v>7682.2808937562804</v>
      </c>
      <c r="AG44" s="8">
        <f t="shared" si="9"/>
        <v>7682.2808937562804</v>
      </c>
      <c r="AH44" s="8"/>
      <c r="AI44" s="8"/>
      <c r="AJ44" s="8"/>
      <c r="AK44" s="8"/>
      <c r="AL44" s="8"/>
      <c r="AM44" s="8"/>
      <c r="AN44" s="8"/>
      <c r="AO44" s="8"/>
      <c r="AP44" s="8"/>
      <c r="AQ44" s="8"/>
      <c r="AR44" s="8"/>
    </row>
    <row r="45" spans="1:44">
      <c r="A45" t="s">
        <v>80</v>
      </c>
      <c r="Y45" s="8"/>
      <c r="Z45" s="8"/>
      <c r="AA45" s="8"/>
      <c r="AB45" s="8"/>
      <c r="AC45" s="8"/>
      <c r="AD45" s="8">
        <f>+AD90/$N$12</f>
        <v>8889.5972359210446</v>
      </c>
      <c r="AE45" s="8">
        <f>+IF(AD156&gt;0,MIN(AE90/$N$12,AD156),0)</f>
        <v>8889.5972359210446</v>
      </c>
      <c r="AF45" s="8">
        <f>+IF(AE156&gt;0,MIN(AF90/$N$12,AE156),0)</f>
        <v>8889.5972359210446</v>
      </c>
      <c r="AG45" s="8">
        <f t="shared" si="9"/>
        <v>8889.5972359210446</v>
      </c>
      <c r="AH45" s="8"/>
      <c r="AI45" s="8"/>
      <c r="AJ45" s="8"/>
      <c r="AK45" s="8"/>
      <c r="AL45" s="8"/>
      <c r="AM45" s="8"/>
      <c r="AN45" s="8"/>
      <c r="AO45" s="8"/>
      <c r="AP45" s="8"/>
      <c r="AQ45" s="8"/>
      <c r="AR45" s="8"/>
    </row>
    <row r="46" spans="1:44">
      <c r="A46" t="s">
        <v>81</v>
      </c>
      <c r="Y46" s="8"/>
      <c r="Z46" s="8"/>
      <c r="AA46" s="8"/>
      <c r="AB46" s="8"/>
      <c r="AC46" s="8"/>
      <c r="AD46" s="8"/>
      <c r="AE46" s="8">
        <f>+AE91/$N$12</f>
        <v>10279.935126694072</v>
      </c>
      <c r="AF46" s="8">
        <f>+IF(AE157&gt;0,MIN(AF91/$N$12,AE157),0)</f>
        <v>10279.935126694072</v>
      </c>
      <c r="AG46" s="8">
        <f t="shared" si="9"/>
        <v>10279.935126694072</v>
      </c>
      <c r="AH46" s="8"/>
      <c r="AI46" s="8"/>
      <c r="AJ46" s="8"/>
      <c r="AK46" s="8"/>
      <c r="AL46" s="8"/>
      <c r="AM46" s="8"/>
      <c r="AN46" s="8"/>
      <c r="AO46" s="8"/>
      <c r="AP46" s="8"/>
      <c r="AQ46" s="8"/>
      <c r="AR46" s="8"/>
    </row>
    <row r="47" spans="1:44">
      <c r="A47" t="s">
        <v>82</v>
      </c>
      <c r="Y47" s="8"/>
      <c r="Z47" s="8"/>
      <c r="AA47" s="8"/>
      <c r="AB47" s="8"/>
      <c r="AC47" s="8"/>
      <c r="AD47" s="8"/>
      <c r="AE47" s="8"/>
      <c r="AF47" s="8">
        <f>+AF92/$N$12</f>
        <v>11880.81514177152</v>
      </c>
      <c r="AG47" s="8">
        <f>+IF(AF158&gt;0,MIN(AG92/$N$12,AF158),0)</f>
        <v>11880.81514177152</v>
      </c>
      <c r="AH47" s="8"/>
      <c r="AI47" s="8"/>
      <c r="AJ47" s="8"/>
      <c r="AK47" s="8"/>
      <c r="AL47" s="8"/>
      <c r="AM47" s="8"/>
      <c r="AN47" s="8"/>
      <c r="AO47" s="8"/>
      <c r="AP47" s="8"/>
      <c r="AQ47" s="8"/>
      <c r="AR47" s="8"/>
    </row>
    <row r="48" spans="1:44">
      <c r="A48" t="s">
        <v>83</v>
      </c>
      <c r="Y48" s="8"/>
      <c r="Z48" s="8"/>
      <c r="AA48" s="8"/>
      <c r="AB48" s="8"/>
      <c r="AC48" s="8"/>
      <c r="AD48" s="8"/>
      <c r="AE48" s="8"/>
      <c r="AF48" s="8"/>
      <c r="AG48" s="8">
        <f>+AG93/$N$12</f>
        <v>13723.888300223154</v>
      </c>
      <c r="AH48" s="8"/>
      <c r="AI48" s="8"/>
      <c r="AJ48" s="8"/>
      <c r="AK48" s="8"/>
      <c r="AL48" s="8"/>
      <c r="AM48" s="8"/>
      <c r="AN48" s="8"/>
      <c r="AO48" s="8"/>
      <c r="AP48" s="8"/>
      <c r="AQ48" s="8"/>
      <c r="AR48" s="8"/>
    </row>
    <row r="49" spans="1:44">
      <c r="A49" t="s">
        <v>911</v>
      </c>
      <c r="Y49" s="8"/>
      <c r="Z49" s="8"/>
      <c r="AA49" s="8"/>
      <c r="AB49" s="8"/>
      <c r="AC49" s="8"/>
      <c r="AD49" s="8"/>
      <c r="AE49" s="8"/>
      <c r="AF49" s="8"/>
      <c r="AG49" s="8"/>
      <c r="AH49" s="8"/>
      <c r="AI49" s="8"/>
      <c r="AJ49" s="8"/>
      <c r="AK49" s="8"/>
      <c r="AL49" s="8"/>
      <c r="AM49" s="8"/>
      <c r="AN49" s="8"/>
      <c r="AO49" s="8"/>
      <c r="AP49" s="8"/>
      <c r="AQ49" s="8"/>
      <c r="AR49" s="8"/>
    </row>
    <row r="50" spans="1:44" ht="11.45">
      <c r="A50" s="12" t="s">
        <v>912</v>
      </c>
      <c r="D50" s="8">
        <f t="shared" ref="D50" si="11">+SUM(D19:D49)</f>
        <v>1248.8</v>
      </c>
      <c r="E50" s="8">
        <f t="shared" ref="E50" si="12">+SUM(E19:E49)</f>
        <v>1672.5333333333333</v>
      </c>
      <c r="F50" s="8">
        <f>+SUM(F19:F49)</f>
        <v>2010.9333333333334</v>
      </c>
      <c r="G50" s="8">
        <f t="shared" ref="G50:X50" si="13">+SUM(G19:G49)</f>
        <v>2167.8666666666668</v>
      </c>
      <c r="H50" s="8">
        <f t="shared" si="13"/>
        <v>2398.8000000000002</v>
      </c>
      <c r="I50" s="8">
        <f t="shared" si="13"/>
        <v>2564.1333333333337</v>
      </c>
      <c r="J50" s="8">
        <f t="shared" si="13"/>
        <v>3000.5333333333338</v>
      </c>
      <c r="K50" s="8">
        <f t="shared" si="13"/>
        <v>3082.7999999999993</v>
      </c>
      <c r="L50" s="8">
        <f t="shared" si="13"/>
        <v>2850.9333333333325</v>
      </c>
      <c r="M50" s="8">
        <f t="shared" si="13"/>
        <v>3245.7333333333331</v>
      </c>
      <c r="N50" s="8">
        <f t="shared" si="13"/>
        <v>4299</v>
      </c>
      <c r="O50" s="8">
        <f t="shared" si="13"/>
        <v>5541.0666666666666</v>
      </c>
      <c r="P50" s="8">
        <f t="shared" si="13"/>
        <v>7092.8</v>
      </c>
      <c r="Q50" s="8">
        <f t="shared" si="13"/>
        <v>8864.0666666666657</v>
      </c>
      <c r="R50" s="8">
        <f t="shared" si="13"/>
        <v>9604.6666666666661</v>
      </c>
      <c r="S50" s="8">
        <f t="shared" si="13"/>
        <v>11705.266666666666</v>
      </c>
      <c r="T50" s="8">
        <f>+SUM(T19:T49)</f>
        <v>11959.545454545454</v>
      </c>
      <c r="U50" s="8">
        <f t="shared" ref="U50" si="14">+SUM(U19:U49)</f>
        <v>15922.646464646463</v>
      </c>
      <c r="V50" s="8">
        <f t="shared" si="13"/>
        <v>21911.116747365937</v>
      </c>
      <c r="W50" s="8">
        <f t="shared" si="13"/>
        <v>27054.992471770431</v>
      </c>
      <c r="X50" s="8">
        <f t="shared" si="13"/>
        <v>32319.247965084938</v>
      </c>
      <c r="Y50" s="8">
        <f>+SUM(Y19:Y49)</f>
        <v>38089.881804720564</v>
      </c>
      <c r="Z50" s="8">
        <f t="shared" ref="Z50:AE50" si="15">+SUM(Z19:Z49)</f>
        <v>43926.686916541184</v>
      </c>
      <c r="AA50" s="8">
        <f t="shared" si="15"/>
        <v>49317.592708620163</v>
      </c>
      <c r="AB50" s="8">
        <f t="shared" si="15"/>
        <v>55420.601080441142</v>
      </c>
      <c r="AC50" s="8">
        <f t="shared" si="15"/>
        <v>61440.51833783379</v>
      </c>
      <c r="AD50" s="8">
        <f t="shared" si="15"/>
        <v>68704.418604057864</v>
      </c>
      <c r="AE50" s="8">
        <f t="shared" si="15"/>
        <v>76272.171912570106</v>
      </c>
      <c r="AF50" s="8">
        <f>+SUM(AF19:AF49)</f>
        <v>83778.441599796148</v>
      </c>
      <c r="AG50" s="8">
        <f t="shared" ref="AG50" si="16">+SUM(AG19:AG49)</f>
        <v>91120.348506188748</v>
      </c>
      <c r="AH50" s="8"/>
      <c r="AI50" s="10" t="s">
        <v>913</v>
      </c>
      <c r="AJ50" s="8"/>
      <c r="AK50" s="8"/>
      <c r="AL50" s="8"/>
      <c r="AM50" s="8"/>
      <c r="AN50" s="8"/>
      <c r="AO50" s="8"/>
      <c r="AP50" s="8"/>
      <c r="AQ50" s="8"/>
      <c r="AR50" s="8"/>
    </row>
    <row r="51" spans="1:44" s="953" customFormat="1" ht="11.45">
      <c r="A51" s="12" t="s">
        <v>914</v>
      </c>
      <c r="D51" s="10">
        <f t="shared" ref="D51:T51" si="17">+D192</f>
        <v>236</v>
      </c>
      <c r="E51" s="10">
        <f t="shared" si="17"/>
        <v>472</v>
      </c>
      <c r="F51" s="10">
        <f t="shared" si="17"/>
        <v>591</v>
      </c>
      <c r="G51" s="10">
        <f t="shared" si="17"/>
        <v>707</v>
      </c>
      <c r="H51" s="10">
        <f t="shared" si="17"/>
        <v>537</v>
      </c>
      <c r="I51" s="10">
        <f t="shared" si="17"/>
        <v>558</v>
      </c>
      <c r="J51" s="10">
        <f t="shared" si="17"/>
        <v>739</v>
      </c>
      <c r="K51" s="10">
        <f t="shared" si="17"/>
        <v>845</v>
      </c>
      <c r="L51" s="10">
        <f t="shared" si="17"/>
        <v>1300</v>
      </c>
      <c r="M51" s="10">
        <f t="shared" si="17"/>
        <v>978</v>
      </c>
      <c r="N51" s="10">
        <f t="shared" si="17"/>
        <v>1700</v>
      </c>
      <c r="O51" s="10">
        <f t="shared" si="17"/>
        <v>2200</v>
      </c>
      <c r="P51" s="10">
        <f t="shared" si="17"/>
        <v>1900</v>
      </c>
      <c r="Q51" s="10">
        <f t="shared" si="17"/>
        <v>1600</v>
      </c>
      <c r="R51" s="10">
        <f t="shared" si="17"/>
        <v>1600</v>
      </c>
      <c r="S51" s="10">
        <f t="shared" si="17"/>
        <v>2000</v>
      </c>
      <c r="T51" s="10">
        <f t="shared" si="17"/>
        <v>2500</v>
      </c>
      <c r="U51" s="10">
        <f>+U192</f>
        <v>4800</v>
      </c>
      <c r="V51" s="30">
        <v>5892</v>
      </c>
      <c r="W51" s="30">
        <v>4471</v>
      </c>
      <c r="X51" s="30">
        <v>2793</v>
      </c>
      <c r="Y51" s="30">
        <v>1909</v>
      </c>
      <c r="Z51" s="30">
        <v>1728</v>
      </c>
      <c r="AA51" s="58">
        <f>+Z51-Y51+Z51</f>
        <v>1547</v>
      </c>
      <c r="AB51" s="58">
        <f t="shared" ref="AB51:AG51" si="18">+AA51-Z51+AA51</f>
        <v>1366</v>
      </c>
      <c r="AC51" s="58">
        <f t="shared" si="18"/>
        <v>1185</v>
      </c>
      <c r="AD51" s="58">
        <f t="shared" si="18"/>
        <v>1004</v>
      </c>
      <c r="AE51" s="58">
        <f t="shared" si="18"/>
        <v>823</v>
      </c>
      <c r="AF51" s="58">
        <f t="shared" si="18"/>
        <v>642</v>
      </c>
      <c r="AG51" s="58">
        <f t="shared" si="18"/>
        <v>461</v>
      </c>
      <c r="AH51" s="10"/>
      <c r="AI51" s="10" t="s">
        <v>915</v>
      </c>
      <c r="AJ51" s="10"/>
      <c r="AK51" s="10"/>
      <c r="AL51" s="10"/>
      <c r="AM51" s="10"/>
      <c r="AN51" s="10"/>
      <c r="AO51" s="10"/>
      <c r="AP51" s="10"/>
      <c r="AQ51" s="10"/>
      <c r="AR51" s="10"/>
    </row>
    <row r="52" spans="1:44" s="1" customFormat="1" ht="10.5">
      <c r="A52" s="848" t="s">
        <v>916</v>
      </c>
      <c r="B52" s="838"/>
      <c r="C52" s="838">
        <f t="shared" ref="C52:M52" si="19">+C51+C50</f>
        <v>0</v>
      </c>
      <c r="D52" s="838">
        <f t="shared" si="19"/>
        <v>1484.8</v>
      </c>
      <c r="E52" s="838">
        <f t="shared" si="19"/>
        <v>2144.5333333333333</v>
      </c>
      <c r="F52" s="838">
        <f t="shared" si="19"/>
        <v>2601.9333333333334</v>
      </c>
      <c r="G52" s="838">
        <f t="shared" si="19"/>
        <v>2874.8666666666668</v>
      </c>
      <c r="H52" s="838">
        <f t="shared" si="19"/>
        <v>2935.8</v>
      </c>
      <c r="I52" s="838">
        <f t="shared" si="19"/>
        <v>3122.1333333333337</v>
      </c>
      <c r="J52" s="838">
        <f t="shared" si="19"/>
        <v>3739.5333333333338</v>
      </c>
      <c r="K52" s="838">
        <f t="shared" si="19"/>
        <v>3927.7999999999993</v>
      </c>
      <c r="L52" s="838">
        <f t="shared" si="19"/>
        <v>4150.9333333333325</v>
      </c>
      <c r="M52" s="838">
        <f t="shared" si="19"/>
        <v>4223.7333333333336</v>
      </c>
      <c r="N52" s="838">
        <f>+N51+N50</f>
        <v>5999</v>
      </c>
      <c r="O52" s="838">
        <f t="shared" ref="O52:AG52" si="20">+O51+O50</f>
        <v>7741.0666666666666</v>
      </c>
      <c r="P52" s="838">
        <f t="shared" si="20"/>
        <v>8992.7999999999993</v>
      </c>
      <c r="Q52" s="838">
        <f t="shared" si="20"/>
        <v>10464.066666666666</v>
      </c>
      <c r="R52" s="838">
        <f t="shared" si="20"/>
        <v>11204.666666666666</v>
      </c>
      <c r="S52" s="838">
        <f t="shared" si="20"/>
        <v>13705.266666666666</v>
      </c>
      <c r="T52" s="838">
        <f t="shared" si="20"/>
        <v>14459.545454545454</v>
      </c>
      <c r="U52" s="838">
        <f t="shared" si="20"/>
        <v>20722.646464646463</v>
      </c>
      <c r="V52" s="838">
        <f t="shared" si="20"/>
        <v>27803.116747365937</v>
      </c>
      <c r="W52" s="838">
        <f t="shared" si="20"/>
        <v>31525.992471770431</v>
      </c>
      <c r="X52" s="838">
        <f t="shared" si="20"/>
        <v>35112.247965084942</v>
      </c>
      <c r="Y52" s="838">
        <f t="shared" si="20"/>
        <v>39998.881804720564</v>
      </c>
      <c r="Z52" s="838">
        <f t="shared" si="20"/>
        <v>45654.686916541184</v>
      </c>
      <c r="AA52" s="838">
        <f t="shared" si="20"/>
        <v>50864.592708620163</v>
      </c>
      <c r="AB52" s="838">
        <f t="shared" si="20"/>
        <v>56786.601080441142</v>
      </c>
      <c r="AC52" s="838">
        <f t="shared" si="20"/>
        <v>62625.51833783379</v>
      </c>
      <c r="AD52" s="838">
        <f t="shared" si="20"/>
        <v>69708.418604057864</v>
      </c>
      <c r="AE52" s="838">
        <f t="shared" si="20"/>
        <v>77095.171912570106</v>
      </c>
      <c r="AF52" s="838">
        <f t="shared" si="20"/>
        <v>84420.441599796148</v>
      </c>
      <c r="AG52" s="838">
        <f t="shared" si="20"/>
        <v>91581.348506188748</v>
      </c>
      <c r="AH52" s="838"/>
      <c r="AI52" s="838"/>
      <c r="AJ52" s="838"/>
      <c r="AK52" s="838"/>
      <c r="AL52" s="838"/>
      <c r="AM52" s="838"/>
      <c r="AN52" s="838"/>
      <c r="AO52" s="838"/>
      <c r="AP52" s="838"/>
      <c r="AQ52" s="838"/>
      <c r="AR52" s="838"/>
    </row>
    <row r="53" spans="1:44" ht="11.45">
      <c r="A53" s="12" t="s">
        <v>917</v>
      </c>
      <c r="D53" s="34">
        <f t="shared" ref="D53:T53" si="21">+D193</f>
        <v>500</v>
      </c>
      <c r="E53" s="34">
        <f t="shared" si="21"/>
        <v>500</v>
      </c>
      <c r="F53" s="34">
        <f t="shared" si="21"/>
        <v>500</v>
      </c>
      <c r="G53" s="34">
        <f t="shared" si="21"/>
        <v>500</v>
      </c>
      <c r="H53" s="34">
        <f t="shared" si="21"/>
        <v>500</v>
      </c>
      <c r="I53" s="34">
        <f t="shared" si="21"/>
        <v>500</v>
      </c>
      <c r="J53" s="34">
        <f t="shared" si="21"/>
        <v>500</v>
      </c>
      <c r="K53" s="34">
        <f t="shared" si="21"/>
        <v>500</v>
      </c>
      <c r="L53" s="34">
        <f t="shared" si="21"/>
        <v>500</v>
      </c>
      <c r="M53" s="34">
        <f t="shared" si="21"/>
        <v>744</v>
      </c>
      <c r="N53" s="34">
        <f t="shared" si="21"/>
        <v>978</v>
      </c>
      <c r="O53" s="34">
        <f t="shared" si="21"/>
        <v>361</v>
      </c>
      <c r="P53" s="34">
        <f t="shared" si="21"/>
        <v>82</v>
      </c>
      <c r="Q53" s="34">
        <f t="shared" si="21"/>
        <v>496</v>
      </c>
      <c r="R53" s="34">
        <f t="shared" si="21"/>
        <v>786</v>
      </c>
      <c r="S53" s="34">
        <f t="shared" si="21"/>
        <v>-140</v>
      </c>
      <c r="T53" s="34">
        <f t="shared" si="21"/>
        <v>361</v>
      </c>
      <c r="U53" s="34">
        <f>+U193</f>
        <v>2287</v>
      </c>
      <c r="V53" s="1229">
        <f>+U53</f>
        <v>2287</v>
      </c>
      <c r="W53" s="1229">
        <f t="shared" ref="W53:AG53" si="22">+V53</f>
        <v>2287</v>
      </c>
      <c r="X53" s="1229">
        <f t="shared" si="22"/>
        <v>2287</v>
      </c>
      <c r="Y53" s="1229">
        <f t="shared" si="22"/>
        <v>2287</v>
      </c>
      <c r="Z53" s="1229">
        <f t="shared" si="22"/>
        <v>2287</v>
      </c>
      <c r="AA53" s="1229">
        <f t="shared" si="22"/>
        <v>2287</v>
      </c>
      <c r="AB53" s="1229">
        <f t="shared" si="22"/>
        <v>2287</v>
      </c>
      <c r="AC53" s="1229">
        <f t="shared" si="22"/>
        <v>2287</v>
      </c>
      <c r="AD53" s="1229">
        <f t="shared" si="22"/>
        <v>2287</v>
      </c>
      <c r="AE53" s="1229">
        <f t="shared" si="22"/>
        <v>2287</v>
      </c>
      <c r="AF53" s="1229">
        <f t="shared" si="22"/>
        <v>2287</v>
      </c>
      <c r="AG53" s="1229">
        <f t="shared" si="22"/>
        <v>2287</v>
      </c>
      <c r="AH53" s="8"/>
      <c r="AI53" s="8"/>
      <c r="AJ53" s="8"/>
      <c r="AK53" s="8"/>
      <c r="AL53" s="8"/>
      <c r="AM53" s="8"/>
      <c r="AN53" s="8"/>
      <c r="AO53" s="8"/>
      <c r="AP53" s="8"/>
      <c r="AQ53" s="8"/>
      <c r="AR53" s="8"/>
    </row>
    <row r="54" spans="1:44" s="1" customFormat="1" ht="10.5">
      <c r="A54" s="848" t="s">
        <v>918</v>
      </c>
      <c r="D54" s="838">
        <f t="shared" ref="D54:S54" si="23">+D53+D51+D50</f>
        <v>1984.8</v>
      </c>
      <c r="E54" s="838">
        <f t="shared" si="23"/>
        <v>2644.5333333333333</v>
      </c>
      <c r="F54" s="838">
        <f t="shared" si="23"/>
        <v>3101.9333333333334</v>
      </c>
      <c r="G54" s="838">
        <f t="shared" si="23"/>
        <v>3374.8666666666668</v>
      </c>
      <c r="H54" s="838">
        <f t="shared" si="23"/>
        <v>3435.8</v>
      </c>
      <c r="I54" s="838">
        <f t="shared" si="23"/>
        <v>3622.1333333333337</v>
      </c>
      <c r="J54" s="838">
        <f t="shared" si="23"/>
        <v>4239.5333333333338</v>
      </c>
      <c r="K54" s="838">
        <f t="shared" si="23"/>
        <v>4427.7999999999993</v>
      </c>
      <c r="L54" s="838">
        <f t="shared" si="23"/>
        <v>4650.9333333333325</v>
      </c>
      <c r="M54" s="838">
        <f t="shared" si="23"/>
        <v>4967.7333333333336</v>
      </c>
      <c r="N54" s="838">
        <f t="shared" si="23"/>
        <v>6977</v>
      </c>
      <c r="O54" s="838">
        <f t="shared" si="23"/>
        <v>8102.0666666666666</v>
      </c>
      <c r="P54" s="838">
        <f t="shared" si="23"/>
        <v>9074.7999999999993</v>
      </c>
      <c r="Q54" s="838">
        <f t="shared" si="23"/>
        <v>10960.066666666666</v>
      </c>
      <c r="R54" s="838">
        <f t="shared" si="23"/>
        <v>11990.666666666666</v>
      </c>
      <c r="S54" s="838">
        <f t="shared" si="23"/>
        <v>13565.266666666666</v>
      </c>
      <c r="T54" s="838">
        <f>+T53+T51+T50</f>
        <v>14820.545454545454</v>
      </c>
      <c r="U54" s="838">
        <f t="shared" ref="U54" si="24">+U53+U51+U50</f>
        <v>23009.646464646463</v>
      </c>
      <c r="V54" s="849">
        <f t="shared" ref="V54:AG54" si="25">+V53+V50+V51</f>
        <v>30090.116747365937</v>
      </c>
      <c r="W54" s="849">
        <f t="shared" si="25"/>
        <v>33812.992471770427</v>
      </c>
      <c r="X54" s="849">
        <f t="shared" si="25"/>
        <v>37399.247965084942</v>
      </c>
      <c r="Y54" s="849">
        <f t="shared" si="25"/>
        <v>42285.881804720564</v>
      </c>
      <c r="Z54" s="849">
        <f t="shared" si="25"/>
        <v>47941.686916541184</v>
      </c>
      <c r="AA54" s="849">
        <f t="shared" si="25"/>
        <v>53151.592708620163</v>
      </c>
      <c r="AB54" s="849">
        <f t="shared" si="25"/>
        <v>59073.601080441142</v>
      </c>
      <c r="AC54" s="849">
        <f t="shared" si="25"/>
        <v>64912.51833783379</v>
      </c>
      <c r="AD54" s="849">
        <f t="shared" si="25"/>
        <v>71995.418604057864</v>
      </c>
      <c r="AE54" s="849">
        <f t="shared" si="25"/>
        <v>79382.171912570106</v>
      </c>
      <c r="AF54" s="849">
        <f t="shared" si="25"/>
        <v>86707.441599796148</v>
      </c>
      <c r="AG54" s="849">
        <f t="shared" si="25"/>
        <v>93868.348506188748</v>
      </c>
      <c r="AH54" s="838"/>
      <c r="AI54" s="838"/>
      <c r="AJ54" s="838"/>
      <c r="AK54" s="838"/>
      <c r="AL54" s="838"/>
      <c r="AM54" s="838"/>
      <c r="AN54" s="838"/>
      <c r="AO54" s="838"/>
      <c r="AP54" s="838"/>
      <c r="AQ54" s="838"/>
      <c r="AR54" s="838"/>
    </row>
    <row r="55" spans="1:44" s="1" customFormat="1" ht="10.5">
      <c r="A55" s="848"/>
      <c r="D55" s="838"/>
      <c r="E55" s="838"/>
      <c r="F55" s="838"/>
      <c r="G55" s="838"/>
      <c r="H55" s="838"/>
      <c r="I55" s="838"/>
      <c r="J55" s="838"/>
      <c r="K55" s="838"/>
      <c r="L55" s="838"/>
      <c r="M55" s="838"/>
      <c r="N55" s="838"/>
      <c r="O55" s="838"/>
      <c r="P55" s="838"/>
      <c r="Q55" s="838"/>
      <c r="R55" s="838"/>
      <c r="S55" s="838"/>
      <c r="T55" s="838"/>
      <c r="U55" s="838"/>
      <c r="V55" s="849"/>
      <c r="W55" s="849"/>
      <c r="X55" s="849"/>
      <c r="Y55" s="849"/>
      <c r="Z55" s="849"/>
      <c r="AA55" s="849"/>
      <c r="AB55" s="849"/>
      <c r="AC55" s="849"/>
      <c r="AD55" s="849"/>
      <c r="AE55" s="849"/>
      <c r="AF55" s="849"/>
      <c r="AG55" s="849"/>
      <c r="AH55" s="838"/>
      <c r="AI55" s="838"/>
      <c r="AJ55" s="838"/>
      <c r="AK55" s="838"/>
      <c r="AL55" s="838"/>
      <c r="AM55" s="838"/>
      <c r="AN55" s="838"/>
      <c r="AO55" s="838"/>
      <c r="AP55" s="838"/>
      <c r="AQ55" s="838"/>
      <c r="AR55" s="838"/>
    </row>
    <row r="56" spans="1:44" s="1" customFormat="1" ht="10.5">
      <c r="A56" s="24" t="s">
        <v>126</v>
      </c>
      <c r="D56" s="838"/>
      <c r="E56" s="838"/>
      <c r="F56" s="838"/>
      <c r="G56" s="838"/>
      <c r="H56" s="838"/>
      <c r="I56" s="838"/>
      <c r="J56" s="838"/>
      <c r="K56" s="838"/>
      <c r="L56" s="838"/>
      <c r="M56" s="838"/>
      <c r="N56" s="838"/>
      <c r="O56" s="838"/>
      <c r="P56" s="838"/>
      <c r="Q56" s="838"/>
      <c r="R56" s="838"/>
      <c r="S56" s="838"/>
      <c r="T56" s="838"/>
      <c r="U56" s="838"/>
      <c r="V56" s="838"/>
      <c r="W56" s="838"/>
      <c r="X56" s="838"/>
      <c r="Y56" s="838"/>
      <c r="Z56" s="838"/>
      <c r="AA56" s="838"/>
      <c r="AB56" s="838"/>
      <c r="AC56" s="838"/>
      <c r="AD56" s="838"/>
      <c r="AE56" s="838"/>
      <c r="AF56" s="838"/>
      <c r="AG56" s="838"/>
      <c r="AH56" s="838"/>
      <c r="AI56" s="838"/>
      <c r="AJ56" s="838"/>
      <c r="AK56" s="838"/>
      <c r="AL56" s="838"/>
      <c r="AM56" s="838"/>
      <c r="AN56" s="838"/>
      <c r="AO56" s="838"/>
      <c r="AP56" s="838"/>
      <c r="AQ56" s="838"/>
      <c r="AR56" s="838"/>
    </row>
    <row r="57" spans="1:44" s="1" customFormat="1" ht="10.5">
      <c r="A57" s="13" t="s">
        <v>919</v>
      </c>
      <c r="D57" s="92">
        <f t="shared" ref="D57:S57" si="26">+D213</f>
        <v>940</v>
      </c>
      <c r="E57" s="92">
        <f t="shared" si="26"/>
        <v>1556</v>
      </c>
      <c r="F57" s="92">
        <f t="shared" si="26"/>
        <v>2062</v>
      </c>
      <c r="G57" s="92">
        <f t="shared" si="26"/>
        <v>2173</v>
      </c>
      <c r="H57" s="92">
        <f t="shared" si="26"/>
        <v>2266</v>
      </c>
      <c r="I57" s="92">
        <f t="shared" si="26"/>
        <v>2467</v>
      </c>
      <c r="J57" s="92">
        <f t="shared" si="26"/>
        <v>3255</v>
      </c>
      <c r="K57" s="92">
        <f t="shared" si="26"/>
        <v>4712</v>
      </c>
      <c r="L57" s="92">
        <f t="shared" si="26"/>
        <v>5457</v>
      </c>
      <c r="M57" s="92">
        <f t="shared" si="26"/>
        <v>4900</v>
      </c>
      <c r="N57" s="92">
        <f t="shared" si="26"/>
        <v>6100</v>
      </c>
      <c r="O57" s="92">
        <f t="shared" si="26"/>
        <v>7700</v>
      </c>
      <c r="P57" s="92">
        <f t="shared" si="26"/>
        <v>9700</v>
      </c>
      <c r="Q57" s="92">
        <f t="shared" si="26"/>
        <v>10700</v>
      </c>
      <c r="R57" s="92">
        <f t="shared" si="26"/>
        <v>9300</v>
      </c>
      <c r="S57" s="92">
        <f t="shared" si="26"/>
        <v>12600</v>
      </c>
      <c r="T57" s="92">
        <f>+T213</f>
        <v>11000</v>
      </c>
      <c r="U57" s="92">
        <f t="shared" ref="U57" si="27">+U213</f>
        <v>15200</v>
      </c>
      <c r="V57" s="1228"/>
      <c r="W57" s="1228"/>
      <c r="X57" s="1228"/>
      <c r="Y57" s="1228"/>
      <c r="Z57" s="1228"/>
      <c r="AA57" s="1228"/>
      <c r="AB57" s="1228"/>
      <c r="AC57" s="1228"/>
      <c r="AD57" s="1228"/>
      <c r="AE57" s="1228"/>
      <c r="AF57" s="1228"/>
      <c r="AG57" s="1228"/>
      <c r="AH57" s="838"/>
      <c r="AI57" s="838"/>
      <c r="AJ57" s="838"/>
      <c r="AK57" s="838"/>
      <c r="AL57" s="838"/>
      <c r="AM57" s="838"/>
      <c r="AN57" s="838"/>
      <c r="AO57" s="838"/>
      <c r="AP57" s="838"/>
      <c r="AQ57" s="838"/>
      <c r="AR57" s="838"/>
    </row>
    <row r="58" spans="1:44" s="1" customFormat="1" ht="10.5">
      <c r="A58" s="15" t="s">
        <v>920</v>
      </c>
      <c r="D58" s="1225">
        <f t="shared" ref="D58:U58" si="28">+D57/D50-1</f>
        <v>-0.24727738629083917</v>
      </c>
      <c r="E58" s="1225">
        <f t="shared" si="28"/>
        <v>-6.9674744897959218E-2</v>
      </c>
      <c r="F58" s="1225">
        <f t="shared" si="28"/>
        <v>2.5394510011934823E-2</v>
      </c>
      <c r="G58" s="1225">
        <f t="shared" si="28"/>
        <v>2.3679193062302595E-3</v>
      </c>
      <c r="H58" s="1225">
        <f t="shared" si="28"/>
        <v>-5.5361013840253492E-2</v>
      </c>
      <c r="I58" s="1225">
        <f t="shared" si="28"/>
        <v>-3.7881545421455054E-2</v>
      </c>
      <c r="J58" s="1225">
        <f t="shared" si="28"/>
        <v>8.4807145396373906E-2</v>
      </c>
      <c r="K58" s="1225">
        <f t="shared" si="28"/>
        <v>0.52848060205008474</v>
      </c>
      <c r="L58" s="1225">
        <f t="shared" si="28"/>
        <v>0.91410999906463442</v>
      </c>
      <c r="M58" s="1225">
        <f t="shared" si="28"/>
        <v>0.509674239000945</v>
      </c>
      <c r="N58" s="1225">
        <f t="shared" si="28"/>
        <v>0.41893463596185154</v>
      </c>
      <c r="O58" s="1225">
        <f t="shared" si="28"/>
        <v>0.38962413975648502</v>
      </c>
      <c r="P58" s="1225">
        <f t="shared" si="28"/>
        <v>0.36758402887435149</v>
      </c>
      <c r="Q58" s="1225">
        <f t="shared" si="28"/>
        <v>0.20712088507156245</v>
      </c>
      <c r="R58" s="1225">
        <f t="shared" si="28"/>
        <v>-3.1720691330603068E-2</v>
      </c>
      <c r="S58" s="1225">
        <f t="shared" si="28"/>
        <v>7.6438526247444294E-2</v>
      </c>
      <c r="T58" s="1225">
        <f t="shared" si="28"/>
        <v>-8.0232602333624725E-2</v>
      </c>
      <c r="U58" s="1225">
        <f t="shared" si="28"/>
        <v>-4.5384821314156332E-2</v>
      </c>
      <c r="V58" s="1225"/>
      <c r="W58" s="1225"/>
      <c r="X58" s="1225"/>
      <c r="Y58" s="1225"/>
      <c r="Z58" s="1225"/>
      <c r="AA58" s="1225"/>
      <c r="AB58" s="1225"/>
      <c r="AC58" s="1225"/>
      <c r="AD58" s="1225"/>
      <c r="AE58" s="1225"/>
      <c r="AF58" s="1225"/>
      <c r="AG58" s="1225"/>
      <c r="AH58" s="838"/>
      <c r="AI58" s="838"/>
      <c r="AJ58" s="838"/>
      <c r="AK58" s="838"/>
      <c r="AL58" s="838"/>
      <c r="AM58" s="838"/>
      <c r="AN58" s="838"/>
      <c r="AO58" s="838"/>
      <c r="AP58" s="838"/>
      <c r="AQ58" s="838"/>
      <c r="AR58" s="838"/>
    </row>
    <row r="59" spans="1:44">
      <c r="A59" s="15" t="s">
        <v>921</v>
      </c>
      <c r="D59" s="92">
        <f t="shared" ref="D59:U59" si="29">+D57-D50</f>
        <v>-308.79999999999995</v>
      </c>
      <c r="E59" s="92">
        <f t="shared" si="29"/>
        <v>-116.5333333333333</v>
      </c>
      <c r="F59" s="92">
        <f t="shared" si="29"/>
        <v>51.066666666666606</v>
      </c>
      <c r="G59" s="92">
        <f t="shared" si="29"/>
        <v>5.1333333333332121</v>
      </c>
      <c r="H59" s="92">
        <f t="shared" si="29"/>
        <v>-132.80000000000018</v>
      </c>
      <c r="I59" s="92">
        <f t="shared" si="29"/>
        <v>-97.133333333333667</v>
      </c>
      <c r="J59" s="92">
        <f t="shared" si="29"/>
        <v>254.46666666666624</v>
      </c>
      <c r="K59" s="92">
        <f t="shared" si="29"/>
        <v>1629.2000000000007</v>
      </c>
      <c r="L59" s="92">
        <f t="shared" si="29"/>
        <v>2606.0666666666675</v>
      </c>
      <c r="M59" s="92">
        <f t="shared" si="29"/>
        <v>1654.2666666666669</v>
      </c>
      <c r="N59" s="92">
        <f t="shared" si="29"/>
        <v>1801</v>
      </c>
      <c r="O59" s="92">
        <f t="shared" si="29"/>
        <v>2158.9333333333334</v>
      </c>
      <c r="P59" s="92">
        <f t="shared" si="29"/>
        <v>2607.1999999999998</v>
      </c>
      <c r="Q59" s="92">
        <f t="shared" si="29"/>
        <v>1835.9333333333343</v>
      </c>
      <c r="R59" s="92">
        <f t="shared" si="29"/>
        <v>-304.66666666666606</v>
      </c>
      <c r="S59" s="92">
        <f t="shared" si="29"/>
        <v>894.73333333333358</v>
      </c>
      <c r="T59" s="92">
        <f t="shared" si="29"/>
        <v>-959.54545454545405</v>
      </c>
      <c r="U59" s="92">
        <f t="shared" si="29"/>
        <v>-722.64646464646285</v>
      </c>
      <c r="V59" s="92"/>
      <c r="W59" s="92"/>
      <c r="X59" s="92"/>
      <c r="Y59" s="92"/>
      <c r="Z59" s="92"/>
      <c r="AA59" s="92"/>
      <c r="AB59" s="92"/>
      <c r="AC59" s="92"/>
      <c r="AD59" s="92"/>
      <c r="AE59" s="92"/>
      <c r="AF59" s="92"/>
      <c r="AG59" s="92"/>
    </row>
    <row r="60" spans="1:44">
      <c r="D60" s="92"/>
      <c r="E60" s="92"/>
      <c r="F60" s="92"/>
      <c r="G60" s="92"/>
      <c r="H60" s="92"/>
      <c r="I60" s="92"/>
      <c r="J60" s="92"/>
      <c r="K60" s="92"/>
      <c r="L60" s="92"/>
      <c r="M60" s="92"/>
      <c r="N60" s="92"/>
      <c r="O60" s="92"/>
      <c r="P60" s="92"/>
      <c r="Q60" s="92"/>
      <c r="R60" s="92"/>
      <c r="S60" s="92"/>
      <c r="T60" s="92"/>
      <c r="U60" s="92"/>
      <c r="V60" s="92"/>
      <c r="W60" s="92"/>
      <c r="X60" s="92"/>
      <c r="Y60" s="92"/>
    </row>
    <row r="61" spans="1:44" s="1" customFormat="1" ht="10.5">
      <c r="A61" s="1" t="s">
        <v>912</v>
      </c>
      <c r="D61" s="838">
        <f t="shared" ref="D61:AG61" si="30">+D50</f>
        <v>1248.8</v>
      </c>
      <c r="E61" s="838">
        <f t="shared" si="30"/>
        <v>1672.5333333333333</v>
      </c>
      <c r="F61" s="838">
        <f t="shared" si="30"/>
        <v>2010.9333333333334</v>
      </c>
      <c r="G61" s="838">
        <f t="shared" si="30"/>
        <v>2167.8666666666668</v>
      </c>
      <c r="H61" s="838">
        <f t="shared" si="30"/>
        <v>2398.8000000000002</v>
      </c>
      <c r="I61" s="838">
        <f t="shared" si="30"/>
        <v>2564.1333333333337</v>
      </c>
      <c r="J61" s="838">
        <f t="shared" si="30"/>
        <v>3000.5333333333338</v>
      </c>
      <c r="K61" s="838">
        <f t="shared" si="30"/>
        <v>3082.7999999999993</v>
      </c>
      <c r="L61" s="838">
        <f t="shared" si="30"/>
        <v>2850.9333333333325</v>
      </c>
      <c r="M61" s="838">
        <f t="shared" si="30"/>
        <v>3245.7333333333331</v>
      </c>
      <c r="N61" s="838">
        <f t="shared" si="30"/>
        <v>4299</v>
      </c>
      <c r="O61" s="838">
        <f t="shared" si="30"/>
        <v>5541.0666666666666</v>
      </c>
      <c r="P61" s="838">
        <f t="shared" si="30"/>
        <v>7092.8</v>
      </c>
      <c r="Q61" s="838">
        <f t="shared" si="30"/>
        <v>8864.0666666666657</v>
      </c>
      <c r="R61" s="838">
        <f t="shared" si="30"/>
        <v>9604.6666666666661</v>
      </c>
      <c r="S61" s="838">
        <f t="shared" si="30"/>
        <v>11705.266666666666</v>
      </c>
      <c r="T61" s="838">
        <f t="shared" si="30"/>
        <v>11959.545454545454</v>
      </c>
      <c r="U61" s="838">
        <f t="shared" si="30"/>
        <v>15922.646464646463</v>
      </c>
      <c r="V61" s="838">
        <f t="shared" si="30"/>
        <v>21911.116747365937</v>
      </c>
      <c r="W61" s="838">
        <f t="shared" si="30"/>
        <v>27054.992471770431</v>
      </c>
      <c r="X61" s="838">
        <f t="shared" si="30"/>
        <v>32319.247965084938</v>
      </c>
      <c r="Y61" s="838">
        <f t="shared" si="30"/>
        <v>38089.881804720564</v>
      </c>
      <c r="Z61" s="838">
        <f t="shared" si="30"/>
        <v>43926.686916541184</v>
      </c>
      <c r="AA61" s="838">
        <f t="shared" si="30"/>
        <v>49317.592708620163</v>
      </c>
      <c r="AB61" s="838">
        <f t="shared" si="30"/>
        <v>55420.601080441142</v>
      </c>
      <c r="AC61" s="838">
        <f t="shared" si="30"/>
        <v>61440.51833783379</v>
      </c>
      <c r="AD61" s="838">
        <f t="shared" si="30"/>
        <v>68704.418604057864</v>
      </c>
      <c r="AE61" s="838">
        <f t="shared" si="30"/>
        <v>76272.171912570106</v>
      </c>
      <c r="AF61" s="838">
        <f t="shared" si="30"/>
        <v>83778.441599796148</v>
      </c>
      <c r="AG61" s="838">
        <f t="shared" si="30"/>
        <v>91120.348506188748</v>
      </c>
    </row>
    <row r="62" spans="1:44" hidden="1" outlineLevel="1">
      <c r="A62" s="15"/>
    </row>
    <row r="63" spans="1:44" ht="10.5" hidden="1" outlineLevel="1">
      <c r="A63" s="45" t="s">
        <v>922</v>
      </c>
    </row>
    <row r="64" spans="1:44" hidden="1" outlineLevel="1">
      <c r="A64" t="s">
        <v>923</v>
      </c>
      <c r="D64" s="8">
        <f>+D170-SUM(D65:D94)</f>
        <v>9366</v>
      </c>
      <c r="E64" s="8">
        <f t="shared" ref="E64:Q64" si="31">+E170-SUM(E65:E94)</f>
        <v>9366</v>
      </c>
      <c r="F64" s="8">
        <f t="shared" si="31"/>
        <v>9366</v>
      </c>
      <c r="G64" s="8">
        <f t="shared" si="31"/>
        <v>9366</v>
      </c>
      <c r="H64" s="8">
        <f t="shared" si="31"/>
        <v>9366</v>
      </c>
      <c r="I64" s="8">
        <f t="shared" si="31"/>
        <v>9366</v>
      </c>
      <c r="J64" s="8">
        <f t="shared" si="31"/>
        <v>9366</v>
      </c>
      <c r="K64" s="8">
        <f t="shared" si="31"/>
        <v>9366</v>
      </c>
      <c r="L64" s="8">
        <f t="shared" si="31"/>
        <v>9366</v>
      </c>
      <c r="M64" s="8">
        <f>+M170-SUM(M65:M94)</f>
        <v>9366</v>
      </c>
      <c r="N64" s="8">
        <f t="shared" si="31"/>
        <v>9366</v>
      </c>
      <c r="O64" s="8">
        <f t="shared" si="31"/>
        <v>9366</v>
      </c>
      <c r="P64" s="8">
        <f t="shared" si="31"/>
        <v>9366</v>
      </c>
      <c r="Q64" s="8">
        <f t="shared" si="31"/>
        <v>9366</v>
      </c>
      <c r="R64" s="8">
        <f>+R170-SUM(R65:R94)</f>
        <v>9366</v>
      </c>
      <c r="S64" s="8">
        <f>+S170-SUM(S65:S94)</f>
        <v>9366</v>
      </c>
      <c r="T64" s="8">
        <f>+T170-SUM(T65:T94)</f>
        <v>9366</v>
      </c>
      <c r="U64" s="8">
        <f t="shared" ref="U64" si="32">+U170-SUM(U65:U94)</f>
        <v>9366</v>
      </c>
      <c r="V64" s="8">
        <f t="shared" ref="S64:AG83" si="33">+U64</f>
        <v>9366</v>
      </c>
      <c r="W64" s="8">
        <f t="shared" si="33"/>
        <v>9366</v>
      </c>
      <c r="X64" s="8">
        <f t="shared" si="33"/>
        <v>9366</v>
      </c>
      <c r="Y64" s="8">
        <f t="shared" si="33"/>
        <v>9366</v>
      </c>
      <c r="Z64" s="8">
        <f t="shared" si="33"/>
        <v>9366</v>
      </c>
      <c r="AA64" s="8">
        <f t="shared" si="33"/>
        <v>9366</v>
      </c>
      <c r="AB64" s="8">
        <f t="shared" si="33"/>
        <v>9366</v>
      </c>
      <c r="AC64" s="8">
        <f t="shared" si="33"/>
        <v>9366</v>
      </c>
      <c r="AD64" s="8">
        <f t="shared" si="33"/>
        <v>9366</v>
      </c>
      <c r="AE64" s="8">
        <f t="shared" si="33"/>
        <v>9366</v>
      </c>
      <c r="AF64" s="8">
        <f t="shared" si="33"/>
        <v>9366</v>
      </c>
      <c r="AG64" s="8">
        <f t="shared" si="33"/>
        <v>9366</v>
      </c>
    </row>
    <row r="65" spans="1:39" hidden="1" outlineLevel="1">
      <c r="A65" t="s">
        <v>247</v>
      </c>
      <c r="E65" s="8">
        <f>+E$16</f>
        <v>3178</v>
      </c>
      <c r="F65" s="8">
        <f>+E65</f>
        <v>3178</v>
      </c>
      <c r="G65" s="8">
        <f t="shared" ref="G65:U80" si="34">+F65</f>
        <v>3178</v>
      </c>
      <c r="H65" s="8">
        <f t="shared" si="34"/>
        <v>3178</v>
      </c>
      <c r="I65" s="8">
        <f t="shared" si="34"/>
        <v>3178</v>
      </c>
      <c r="J65" s="8">
        <f t="shared" si="34"/>
        <v>3178</v>
      </c>
      <c r="K65" s="8">
        <f t="shared" si="34"/>
        <v>3178</v>
      </c>
      <c r="L65" s="8">
        <f t="shared" si="34"/>
        <v>3178</v>
      </c>
      <c r="M65" s="8">
        <f t="shared" si="34"/>
        <v>3178</v>
      </c>
      <c r="N65" s="8">
        <f t="shared" si="34"/>
        <v>3178</v>
      </c>
      <c r="O65" s="8">
        <f t="shared" si="34"/>
        <v>3178</v>
      </c>
      <c r="P65" s="8">
        <f t="shared" si="34"/>
        <v>3178</v>
      </c>
      <c r="Q65" s="8">
        <f t="shared" si="34"/>
        <v>3178</v>
      </c>
      <c r="R65" s="8">
        <f t="shared" si="34"/>
        <v>3178</v>
      </c>
      <c r="S65" s="8">
        <f t="shared" si="34"/>
        <v>3178</v>
      </c>
      <c r="T65" s="8">
        <f t="shared" si="34"/>
        <v>3178</v>
      </c>
      <c r="U65" s="8">
        <f t="shared" si="34"/>
        <v>3178</v>
      </c>
      <c r="V65" s="8">
        <f t="shared" si="33"/>
        <v>3178</v>
      </c>
      <c r="W65" s="8">
        <f t="shared" si="33"/>
        <v>3178</v>
      </c>
      <c r="X65" s="8">
        <f t="shared" si="33"/>
        <v>3178</v>
      </c>
      <c r="Y65" s="8">
        <f t="shared" si="33"/>
        <v>3178</v>
      </c>
      <c r="Z65" s="8">
        <f t="shared" si="33"/>
        <v>3178</v>
      </c>
      <c r="AA65" s="8">
        <f t="shared" si="33"/>
        <v>3178</v>
      </c>
      <c r="AB65" s="8">
        <f t="shared" si="33"/>
        <v>3178</v>
      </c>
      <c r="AC65" s="8">
        <f t="shared" si="33"/>
        <v>3178</v>
      </c>
      <c r="AD65" s="8">
        <f t="shared" si="33"/>
        <v>3178</v>
      </c>
      <c r="AE65" s="8">
        <f t="shared" si="33"/>
        <v>3178</v>
      </c>
      <c r="AF65" s="8">
        <f t="shared" si="33"/>
        <v>3178</v>
      </c>
      <c r="AG65" s="8">
        <f t="shared" si="33"/>
        <v>3178</v>
      </c>
    </row>
    <row r="66" spans="1:39" hidden="1" outlineLevel="1">
      <c r="A66" t="s">
        <v>248</v>
      </c>
      <c r="F66" s="8">
        <f>+F$16</f>
        <v>2538</v>
      </c>
      <c r="G66" s="8">
        <f>+F66</f>
        <v>2538</v>
      </c>
      <c r="H66" s="8">
        <f t="shared" si="34"/>
        <v>2538</v>
      </c>
      <c r="I66" s="8">
        <f t="shared" si="34"/>
        <v>2538</v>
      </c>
      <c r="J66" s="8">
        <f t="shared" si="34"/>
        <v>2538</v>
      </c>
      <c r="K66" s="8">
        <f t="shared" si="34"/>
        <v>2538</v>
      </c>
      <c r="L66" s="8">
        <f t="shared" si="34"/>
        <v>2538</v>
      </c>
      <c r="M66" s="8">
        <f t="shared" si="34"/>
        <v>2538</v>
      </c>
      <c r="N66" s="8">
        <f t="shared" si="34"/>
        <v>2538</v>
      </c>
      <c r="O66" s="8">
        <f t="shared" si="34"/>
        <v>2538</v>
      </c>
      <c r="P66" s="8">
        <f t="shared" si="34"/>
        <v>2538</v>
      </c>
      <c r="Q66" s="8">
        <f t="shared" si="34"/>
        <v>2538</v>
      </c>
      <c r="R66" s="8">
        <f t="shared" si="34"/>
        <v>2538</v>
      </c>
      <c r="S66" s="8">
        <f t="shared" si="34"/>
        <v>2538</v>
      </c>
      <c r="T66" s="8">
        <f t="shared" si="34"/>
        <v>2538</v>
      </c>
      <c r="U66" s="8">
        <f t="shared" si="34"/>
        <v>2538</v>
      </c>
      <c r="V66" s="8">
        <f t="shared" si="33"/>
        <v>2538</v>
      </c>
      <c r="W66" s="8">
        <f t="shared" si="33"/>
        <v>2538</v>
      </c>
      <c r="X66" s="8">
        <f t="shared" si="33"/>
        <v>2538</v>
      </c>
      <c r="Y66" s="8">
        <f t="shared" si="33"/>
        <v>2538</v>
      </c>
      <c r="Z66" s="8">
        <f t="shared" si="33"/>
        <v>2538</v>
      </c>
      <c r="AA66" s="8">
        <f t="shared" si="33"/>
        <v>2538</v>
      </c>
      <c r="AB66" s="8">
        <f t="shared" si="33"/>
        <v>2538</v>
      </c>
      <c r="AC66" s="8">
        <f t="shared" si="33"/>
        <v>2538</v>
      </c>
      <c r="AD66" s="8">
        <f t="shared" si="33"/>
        <v>2538</v>
      </c>
      <c r="AE66" s="8">
        <f t="shared" si="33"/>
        <v>2538</v>
      </c>
      <c r="AF66" s="8">
        <f t="shared" si="33"/>
        <v>2538</v>
      </c>
      <c r="AG66" s="8">
        <f t="shared" si="33"/>
        <v>2538</v>
      </c>
    </row>
    <row r="67" spans="1:39" hidden="1" outlineLevel="1">
      <c r="A67" t="s">
        <v>249</v>
      </c>
      <c r="G67" s="8">
        <f>+G$16</f>
        <v>1177</v>
      </c>
      <c r="H67" s="8">
        <f>+G67</f>
        <v>1177</v>
      </c>
      <c r="I67" s="8">
        <f t="shared" si="34"/>
        <v>1177</v>
      </c>
      <c r="J67" s="8">
        <f t="shared" si="34"/>
        <v>1177</v>
      </c>
      <c r="K67" s="8">
        <f t="shared" si="34"/>
        <v>1177</v>
      </c>
      <c r="L67" s="8">
        <f t="shared" si="34"/>
        <v>1177</v>
      </c>
      <c r="M67" s="8">
        <f t="shared" si="34"/>
        <v>1177</v>
      </c>
      <c r="N67" s="8">
        <f t="shared" si="34"/>
        <v>1177</v>
      </c>
      <c r="O67" s="8">
        <f t="shared" si="34"/>
        <v>1177</v>
      </c>
      <c r="P67" s="8">
        <f t="shared" si="34"/>
        <v>1177</v>
      </c>
      <c r="Q67" s="8">
        <f t="shared" si="34"/>
        <v>1177</v>
      </c>
      <c r="R67" s="8">
        <f t="shared" si="34"/>
        <v>1177</v>
      </c>
      <c r="S67" s="8">
        <f t="shared" si="34"/>
        <v>1177</v>
      </c>
      <c r="T67" s="8">
        <f t="shared" si="34"/>
        <v>1177</v>
      </c>
      <c r="U67" s="8">
        <f t="shared" si="34"/>
        <v>1177</v>
      </c>
      <c r="V67" s="8">
        <f t="shared" si="33"/>
        <v>1177</v>
      </c>
      <c r="W67" s="8">
        <f t="shared" si="33"/>
        <v>1177</v>
      </c>
      <c r="X67" s="8">
        <f t="shared" si="33"/>
        <v>1177</v>
      </c>
      <c r="Y67" s="8">
        <f t="shared" si="33"/>
        <v>1177</v>
      </c>
      <c r="Z67" s="8">
        <f t="shared" si="33"/>
        <v>1177</v>
      </c>
      <c r="AA67" s="8">
        <f t="shared" si="33"/>
        <v>1177</v>
      </c>
      <c r="AB67" s="8">
        <f t="shared" si="33"/>
        <v>1177</v>
      </c>
      <c r="AC67" s="8">
        <f t="shared" si="33"/>
        <v>1177</v>
      </c>
      <c r="AD67" s="8">
        <f t="shared" si="33"/>
        <v>1177</v>
      </c>
      <c r="AE67" s="8">
        <f t="shared" si="33"/>
        <v>1177</v>
      </c>
      <c r="AF67" s="8">
        <f t="shared" si="33"/>
        <v>1177</v>
      </c>
      <c r="AG67" s="8">
        <f t="shared" si="33"/>
        <v>1177</v>
      </c>
    </row>
    <row r="68" spans="1:39" hidden="1" outlineLevel="1">
      <c r="A68" t="s">
        <v>250</v>
      </c>
      <c r="H68" s="8">
        <f>+H$16</f>
        <v>1732</v>
      </c>
      <c r="I68" s="8">
        <f>+H68</f>
        <v>1732</v>
      </c>
      <c r="J68" s="8">
        <f t="shared" si="34"/>
        <v>1732</v>
      </c>
      <c r="K68" s="8">
        <f t="shared" si="34"/>
        <v>1732</v>
      </c>
      <c r="L68" s="8">
        <f t="shared" si="34"/>
        <v>1732</v>
      </c>
      <c r="M68" s="8">
        <f t="shared" si="34"/>
        <v>1732</v>
      </c>
      <c r="N68" s="8">
        <f t="shared" si="34"/>
        <v>1732</v>
      </c>
      <c r="O68" s="8">
        <f t="shared" si="34"/>
        <v>1732</v>
      </c>
      <c r="P68" s="8">
        <f t="shared" si="34"/>
        <v>1732</v>
      </c>
      <c r="Q68" s="8">
        <f t="shared" si="34"/>
        <v>1732</v>
      </c>
      <c r="R68" s="8">
        <f t="shared" si="34"/>
        <v>1732</v>
      </c>
      <c r="S68" s="8">
        <f t="shared" si="34"/>
        <v>1732</v>
      </c>
      <c r="T68" s="8">
        <f t="shared" si="34"/>
        <v>1732</v>
      </c>
      <c r="U68" s="8">
        <f t="shared" si="34"/>
        <v>1732</v>
      </c>
      <c r="V68" s="8">
        <f t="shared" si="33"/>
        <v>1732</v>
      </c>
      <c r="W68" s="8">
        <f t="shared" si="33"/>
        <v>1732</v>
      </c>
      <c r="X68" s="8">
        <f t="shared" si="33"/>
        <v>1732</v>
      </c>
      <c r="Y68" s="8">
        <f t="shared" si="33"/>
        <v>1732</v>
      </c>
      <c r="Z68" s="8">
        <f t="shared" si="33"/>
        <v>1732</v>
      </c>
      <c r="AA68" s="8">
        <f t="shared" si="33"/>
        <v>1732</v>
      </c>
      <c r="AB68" s="8">
        <f t="shared" si="33"/>
        <v>1732</v>
      </c>
      <c r="AC68" s="8">
        <f t="shared" si="33"/>
        <v>1732</v>
      </c>
      <c r="AD68" s="8">
        <f t="shared" si="33"/>
        <v>1732</v>
      </c>
      <c r="AE68" s="8">
        <f t="shared" si="33"/>
        <v>1732</v>
      </c>
      <c r="AF68" s="8">
        <f t="shared" si="33"/>
        <v>1732</v>
      </c>
      <c r="AG68" s="8">
        <f t="shared" si="33"/>
        <v>1732</v>
      </c>
    </row>
    <row r="69" spans="1:39" hidden="1" outlineLevel="1">
      <c r="A69" t="s">
        <v>251</v>
      </c>
      <c r="I69" s="8">
        <f>+I$16</f>
        <v>1240</v>
      </c>
      <c r="J69" s="8">
        <f>+I69</f>
        <v>1240</v>
      </c>
      <c r="K69" s="8">
        <f t="shared" si="34"/>
        <v>1240</v>
      </c>
      <c r="L69" s="8">
        <f t="shared" si="34"/>
        <v>1240</v>
      </c>
      <c r="M69" s="8">
        <f t="shared" si="34"/>
        <v>1240</v>
      </c>
      <c r="N69" s="8">
        <f t="shared" si="34"/>
        <v>1240</v>
      </c>
      <c r="O69" s="8">
        <f t="shared" si="34"/>
        <v>1240</v>
      </c>
      <c r="P69" s="8">
        <f t="shared" si="34"/>
        <v>1240</v>
      </c>
      <c r="Q69" s="8">
        <f t="shared" si="34"/>
        <v>1240</v>
      </c>
      <c r="R69" s="8">
        <f t="shared" si="34"/>
        <v>1240</v>
      </c>
      <c r="S69" s="8">
        <f t="shared" si="34"/>
        <v>1240</v>
      </c>
      <c r="T69" s="8">
        <f t="shared" si="34"/>
        <v>1240</v>
      </c>
      <c r="U69" s="8">
        <f t="shared" si="34"/>
        <v>1240</v>
      </c>
      <c r="V69" s="8">
        <f t="shared" si="33"/>
        <v>1240</v>
      </c>
      <c r="W69" s="8">
        <f t="shared" si="33"/>
        <v>1240</v>
      </c>
      <c r="X69" s="8">
        <f t="shared" si="33"/>
        <v>1240</v>
      </c>
      <c r="Y69" s="8">
        <f t="shared" si="33"/>
        <v>1240</v>
      </c>
      <c r="Z69" s="8">
        <f t="shared" si="33"/>
        <v>1240</v>
      </c>
      <c r="AA69" s="8">
        <f t="shared" si="33"/>
        <v>1240</v>
      </c>
      <c r="AB69" s="8">
        <f t="shared" si="33"/>
        <v>1240</v>
      </c>
      <c r="AC69" s="8">
        <f t="shared" si="33"/>
        <v>1240</v>
      </c>
      <c r="AD69" s="8">
        <f t="shared" si="33"/>
        <v>1240</v>
      </c>
      <c r="AE69" s="8">
        <f t="shared" si="33"/>
        <v>1240</v>
      </c>
      <c r="AF69" s="8">
        <f t="shared" si="33"/>
        <v>1240</v>
      </c>
      <c r="AG69" s="8">
        <f t="shared" si="33"/>
        <v>1240</v>
      </c>
    </row>
    <row r="70" spans="1:39" hidden="1" outlineLevel="1">
      <c r="A70" t="s">
        <v>252</v>
      </c>
      <c r="J70" s="8">
        <f>+J$16</f>
        <v>3273</v>
      </c>
      <c r="K70" s="8">
        <f>+J70</f>
        <v>3273</v>
      </c>
      <c r="L70" s="8">
        <f t="shared" si="34"/>
        <v>3273</v>
      </c>
      <c r="M70" s="8">
        <f t="shared" si="34"/>
        <v>3273</v>
      </c>
      <c r="N70" s="8">
        <f t="shared" si="34"/>
        <v>3273</v>
      </c>
      <c r="O70" s="8">
        <f t="shared" si="34"/>
        <v>3273</v>
      </c>
      <c r="P70" s="8">
        <f t="shared" si="34"/>
        <v>3273</v>
      </c>
      <c r="Q70" s="8">
        <f t="shared" si="34"/>
        <v>3273</v>
      </c>
      <c r="R70" s="8">
        <f t="shared" si="34"/>
        <v>3273</v>
      </c>
      <c r="S70" s="8">
        <f t="shared" si="34"/>
        <v>3273</v>
      </c>
      <c r="T70" s="8">
        <f t="shared" si="34"/>
        <v>3273</v>
      </c>
      <c r="U70" s="8">
        <f t="shared" si="34"/>
        <v>3273</v>
      </c>
      <c r="V70" s="8">
        <f t="shared" si="33"/>
        <v>3273</v>
      </c>
      <c r="W70" s="8">
        <f t="shared" si="33"/>
        <v>3273</v>
      </c>
      <c r="X70" s="8">
        <f t="shared" si="33"/>
        <v>3273</v>
      </c>
      <c r="Y70" s="8">
        <f t="shared" si="33"/>
        <v>3273</v>
      </c>
      <c r="Z70" s="8">
        <f t="shared" si="33"/>
        <v>3273</v>
      </c>
      <c r="AA70" s="8">
        <f t="shared" si="33"/>
        <v>3273</v>
      </c>
      <c r="AB70" s="8">
        <f t="shared" si="33"/>
        <v>3273</v>
      </c>
      <c r="AC70" s="8">
        <f t="shared" si="33"/>
        <v>3273</v>
      </c>
      <c r="AD70" s="8">
        <f t="shared" si="33"/>
        <v>3273</v>
      </c>
      <c r="AE70" s="8">
        <f t="shared" si="33"/>
        <v>3273</v>
      </c>
      <c r="AF70" s="8">
        <f t="shared" si="33"/>
        <v>3273</v>
      </c>
      <c r="AG70" s="8">
        <f t="shared" si="33"/>
        <v>3273</v>
      </c>
    </row>
    <row r="71" spans="1:39" hidden="1" outlineLevel="1">
      <c r="A71" t="s">
        <v>253</v>
      </c>
      <c r="K71" s="8">
        <f>+K$16</f>
        <v>5300</v>
      </c>
      <c r="L71" s="8">
        <f>+K71</f>
        <v>5300</v>
      </c>
      <c r="M71" s="8">
        <f t="shared" si="34"/>
        <v>5300</v>
      </c>
      <c r="N71" s="8">
        <f t="shared" si="34"/>
        <v>5300</v>
      </c>
      <c r="O71" s="8">
        <f t="shared" si="34"/>
        <v>5300</v>
      </c>
      <c r="P71" s="8">
        <f t="shared" si="34"/>
        <v>5300</v>
      </c>
      <c r="Q71" s="8">
        <f t="shared" si="34"/>
        <v>5300</v>
      </c>
      <c r="R71" s="8">
        <f t="shared" si="34"/>
        <v>5300</v>
      </c>
      <c r="S71" s="8">
        <f t="shared" si="34"/>
        <v>5300</v>
      </c>
      <c r="T71" s="8">
        <f t="shared" si="34"/>
        <v>5300</v>
      </c>
      <c r="U71" s="8">
        <f t="shared" si="34"/>
        <v>5300</v>
      </c>
      <c r="V71" s="8">
        <f t="shared" si="33"/>
        <v>5300</v>
      </c>
      <c r="W71" s="8">
        <f t="shared" si="33"/>
        <v>5300</v>
      </c>
      <c r="X71" s="8">
        <f t="shared" si="33"/>
        <v>5300</v>
      </c>
      <c r="Y71" s="8">
        <f t="shared" si="33"/>
        <v>5300</v>
      </c>
      <c r="Z71" s="8">
        <f t="shared" si="33"/>
        <v>5300</v>
      </c>
      <c r="AA71" s="8">
        <f t="shared" si="33"/>
        <v>5300</v>
      </c>
      <c r="AB71" s="8">
        <f t="shared" si="33"/>
        <v>5300</v>
      </c>
      <c r="AC71" s="8">
        <f t="shared" si="33"/>
        <v>5300</v>
      </c>
      <c r="AD71" s="8">
        <f t="shared" si="33"/>
        <v>5300</v>
      </c>
      <c r="AE71" s="8">
        <f t="shared" si="33"/>
        <v>5300</v>
      </c>
      <c r="AF71" s="8">
        <f t="shared" si="33"/>
        <v>5300</v>
      </c>
      <c r="AG71" s="8">
        <f t="shared" si="33"/>
        <v>5300</v>
      </c>
    </row>
    <row r="72" spans="1:39" hidden="1" outlineLevel="1">
      <c r="A72" t="s">
        <v>254</v>
      </c>
      <c r="L72" s="8">
        <f>+L$16</f>
        <v>4533</v>
      </c>
      <c r="M72" s="8">
        <f>+L72</f>
        <v>4533</v>
      </c>
      <c r="N72" s="8">
        <f t="shared" si="34"/>
        <v>4533</v>
      </c>
      <c r="O72" s="8">
        <f t="shared" si="34"/>
        <v>4533</v>
      </c>
      <c r="P72" s="8">
        <f t="shared" si="34"/>
        <v>4533</v>
      </c>
      <c r="Q72" s="8">
        <f t="shared" si="34"/>
        <v>4533</v>
      </c>
      <c r="R72" s="8">
        <f t="shared" si="34"/>
        <v>4533</v>
      </c>
      <c r="S72" s="8">
        <f t="shared" si="34"/>
        <v>4533</v>
      </c>
      <c r="T72" s="8">
        <f t="shared" si="34"/>
        <v>4533</v>
      </c>
      <c r="U72" s="8">
        <f t="shared" si="34"/>
        <v>4533</v>
      </c>
      <c r="V72" s="8">
        <f t="shared" si="33"/>
        <v>4533</v>
      </c>
      <c r="W72" s="8">
        <f t="shared" si="33"/>
        <v>4533</v>
      </c>
      <c r="X72" s="8">
        <f t="shared" si="33"/>
        <v>4533</v>
      </c>
      <c r="Y72" s="8">
        <f t="shared" si="33"/>
        <v>4533</v>
      </c>
      <c r="Z72" s="8">
        <f t="shared" si="33"/>
        <v>4533</v>
      </c>
      <c r="AA72" s="8">
        <f t="shared" si="33"/>
        <v>4533</v>
      </c>
      <c r="AB72" s="8">
        <f t="shared" si="33"/>
        <v>4533</v>
      </c>
      <c r="AC72" s="8">
        <f t="shared" si="33"/>
        <v>4533</v>
      </c>
      <c r="AD72" s="8">
        <f t="shared" si="33"/>
        <v>4533</v>
      </c>
      <c r="AE72" s="8">
        <f t="shared" si="33"/>
        <v>4533</v>
      </c>
      <c r="AF72" s="8">
        <f t="shared" si="33"/>
        <v>4533</v>
      </c>
      <c r="AG72" s="8">
        <f t="shared" si="33"/>
        <v>4533</v>
      </c>
    </row>
    <row r="73" spans="1:39" hidden="1" outlineLevel="1">
      <c r="A73" t="s">
        <v>255</v>
      </c>
      <c r="M73" s="8">
        <f>+M$16</f>
        <v>5819</v>
      </c>
      <c r="N73" s="8">
        <f>+M73</f>
        <v>5819</v>
      </c>
      <c r="O73" s="8">
        <f t="shared" si="34"/>
        <v>5819</v>
      </c>
      <c r="P73" s="8">
        <f t="shared" si="34"/>
        <v>5819</v>
      </c>
      <c r="Q73" s="8">
        <f t="shared" si="34"/>
        <v>5819</v>
      </c>
      <c r="R73" s="8">
        <f t="shared" si="34"/>
        <v>5819</v>
      </c>
      <c r="S73" s="8">
        <f t="shared" si="34"/>
        <v>5819</v>
      </c>
      <c r="T73" s="8">
        <f t="shared" si="34"/>
        <v>5819</v>
      </c>
      <c r="U73" s="8">
        <f t="shared" si="34"/>
        <v>5819</v>
      </c>
      <c r="V73" s="8">
        <f t="shared" si="33"/>
        <v>5819</v>
      </c>
      <c r="W73" s="8">
        <f t="shared" si="33"/>
        <v>5819</v>
      </c>
      <c r="X73" s="8">
        <f t="shared" si="33"/>
        <v>5819</v>
      </c>
      <c r="Y73" s="8">
        <f t="shared" si="33"/>
        <v>5819</v>
      </c>
      <c r="Z73" s="8">
        <f t="shared" si="33"/>
        <v>5819</v>
      </c>
      <c r="AA73" s="8">
        <f t="shared" si="33"/>
        <v>5819</v>
      </c>
      <c r="AB73" s="8">
        <f t="shared" si="33"/>
        <v>5819</v>
      </c>
      <c r="AC73" s="8">
        <f t="shared" si="33"/>
        <v>5819</v>
      </c>
      <c r="AD73" s="8">
        <f t="shared" si="33"/>
        <v>5819</v>
      </c>
      <c r="AE73" s="8">
        <f t="shared" si="33"/>
        <v>5819</v>
      </c>
      <c r="AF73" s="8">
        <f t="shared" si="33"/>
        <v>5819</v>
      </c>
      <c r="AG73" s="8">
        <f t="shared" si="33"/>
        <v>5819</v>
      </c>
    </row>
    <row r="74" spans="1:39" hidden="1" outlineLevel="1">
      <c r="A74" t="s">
        <v>256</v>
      </c>
      <c r="N74" s="8">
        <f>+N$16</f>
        <v>9757</v>
      </c>
      <c r="O74" s="8">
        <f>+N74</f>
        <v>9757</v>
      </c>
      <c r="P74" s="8">
        <f t="shared" si="34"/>
        <v>9757</v>
      </c>
      <c r="Q74" s="8">
        <f t="shared" si="34"/>
        <v>9757</v>
      </c>
      <c r="R74" s="8">
        <f t="shared" si="34"/>
        <v>9757</v>
      </c>
      <c r="S74" s="8">
        <f t="shared" si="34"/>
        <v>9757</v>
      </c>
      <c r="T74" s="8">
        <f t="shared" si="34"/>
        <v>9757</v>
      </c>
      <c r="U74" s="8">
        <f t="shared" si="34"/>
        <v>9757</v>
      </c>
      <c r="V74" s="8">
        <f t="shared" si="33"/>
        <v>9757</v>
      </c>
      <c r="W74" s="8">
        <f t="shared" si="33"/>
        <v>9757</v>
      </c>
      <c r="X74" s="8">
        <f t="shared" si="33"/>
        <v>9757</v>
      </c>
      <c r="Y74" s="8">
        <f t="shared" si="33"/>
        <v>9757</v>
      </c>
      <c r="Z74" s="8">
        <f t="shared" si="33"/>
        <v>9757</v>
      </c>
      <c r="AA74" s="8">
        <f t="shared" si="33"/>
        <v>9757</v>
      </c>
      <c r="AB74" s="8">
        <f t="shared" si="33"/>
        <v>9757</v>
      </c>
      <c r="AC74" s="8">
        <f t="shared" si="33"/>
        <v>9757</v>
      </c>
      <c r="AD74" s="8">
        <f t="shared" si="33"/>
        <v>9757</v>
      </c>
      <c r="AE74" s="8">
        <f t="shared" si="33"/>
        <v>9757</v>
      </c>
      <c r="AF74" s="8">
        <f t="shared" si="33"/>
        <v>9757</v>
      </c>
      <c r="AG74" s="8">
        <f t="shared" si="33"/>
        <v>9757</v>
      </c>
    </row>
    <row r="75" spans="1:39" hidden="1" outlineLevel="1">
      <c r="A75" t="s">
        <v>257</v>
      </c>
      <c r="O75" s="8">
        <f>+O$16</f>
        <v>10770</v>
      </c>
      <c r="P75" s="8">
        <f>+O75</f>
        <v>10770</v>
      </c>
      <c r="Q75" s="8">
        <f t="shared" si="34"/>
        <v>10770</v>
      </c>
      <c r="R75" s="8">
        <f t="shared" si="34"/>
        <v>10770</v>
      </c>
      <c r="S75" s="8">
        <f t="shared" si="34"/>
        <v>10770</v>
      </c>
      <c r="T75" s="8">
        <f t="shared" si="34"/>
        <v>10770</v>
      </c>
      <c r="U75" s="8">
        <f t="shared" si="34"/>
        <v>10770</v>
      </c>
      <c r="V75" s="8">
        <f t="shared" si="33"/>
        <v>10770</v>
      </c>
      <c r="W75" s="8">
        <f t="shared" si="33"/>
        <v>10770</v>
      </c>
      <c r="X75" s="8">
        <f t="shared" si="33"/>
        <v>10770</v>
      </c>
      <c r="Y75" s="8">
        <f t="shared" si="33"/>
        <v>10770</v>
      </c>
      <c r="Z75" s="8">
        <f t="shared" si="33"/>
        <v>10770</v>
      </c>
      <c r="AA75" s="8">
        <f t="shared" si="33"/>
        <v>10770</v>
      </c>
      <c r="AB75" s="8">
        <f t="shared" si="33"/>
        <v>10770</v>
      </c>
      <c r="AC75" s="8">
        <f t="shared" si="33"/>
        <v>10770</v>
      </c>
      <c r="AD75" s="8">
        <f t="shared" si="33"/>
        <v>10770</v>
      </c>
      <c r="AE75" s="8">
        <f t="shared" si="33"/>
        <v>10770</v>
      </c>
      <c r="AF75" s="8">
        <f t="shared" si="33"/>
        <v>10770</v>
      </c>
      <c r="AG75" s="8">
        <f t="shared" si="33"/>
        <v>10770</v>
      </c>
      <c r="AH75" s="8"/>
    </row>
    <row r="76" spans="1:39" hidden="1" outlineLevel="1">
      <c r="A76" t="s">
        <v>258</v>
      </c>
      <c r="P76" s="8">
        <f>+P$16</f>
        <v>13124</v>
      </c>
      <c r="Q76" s="8">
        <f>+P76</f>
        <v>13124</v>
      </c>
      <c r="R76" s="8">
        <f t="shared" si="34"/>
        <v>13124</v>
      </c>
      <c r="S76" s="8">
        <f t="shared" si="34"/>
        <v>13124</v>
      </c>
      <c r="T76" s="8">
        <f t="shared" si="34"/>
        <v>13124</v>
      </c>
      <c r="U76" s="8">
        <f t="shared" si="34"/>
        <v>13124</v>
      </c>
      <c r="V76" s="8">
        <f t="shared" si="33"/>
        <v>13124</v>
      </c>
      <c r="W76" s="8">
        <f t="shared" si="33"/>
        <v>13124</v>
      </c>
      <c r="X76" s="8">
        <f t="shared" si="33"/>
        <v>13124</v>
      </c>
      <c r="Y76" s="8">
        <f t="shared" si="33"/>
        <v>13124</v>
      </c>
      <c r="Z76" s="8">
        <f t="shared" si="33"/>
        <v>13124</v>
      </c>
      <c r="AA76" s="8">
        <f t="shared" si="33"/>
        <v>13124</v>
      </c>
      <c r="AB76" s="8">
        <f t="shared" si="33"/>
        <v>13124</v>
      </c>
      <c r="AC76" s="8">
        <f t="shared" si="33"/>
        <v>13124</v>
      </c>
      <c r="AD76" s="8">
        <f t="shared" si="33"/>
        <v>13124</v>
      </c>
      <c r="AE76" s="8">
        <f t="shared" si="33"/>
        <v>13124</v>
      </c>
      <c r="AF76" s="8">
        <f t="shared" si="33"/>
        <v>13124</v>
      </c>
      <c r="AG76" s="8">
        <f t="shared" si="33"/>
        <v>13124</v>
      </c>
      <c r="AH76" s="8"/>
      <c r="AI76" s="8"/>
    </row>
    <row r="77" spans="1:39" hidden="1" outlineLevel="1">
      <c r="A77" t="s">
        <v>259</v>
      </c>
      <c r="Q77" s="8">
        <f>+Q$16</f>
        <v>15541</v>
      </c>
      <c r="R77" s="8">
        <f>+Q77</f>
        <v>15541</v>
      </c>
      <c r="S77" s="8">
        <f t="shared" si="33"/>
        <v>15541</v>
      </c>
      <c r="T77" s="8">
        <f t="shared" si="33"/>
        <v>15541</v>
      </c>
      <c r="U77" s="8">
        <f t="shared" si="34"/>
        <v>15541</v>
      </c>
      <c r="V77" s="8">
        <f t="shared" si="33"/>
        <v>15541</v>
      </c>
      <c r="W77" s="8">
        <f t="shared" si="33"/>
        <v>15541</v>
      </c>
      <c r="X77" s="8">
        <f t="shared" si="33"/>
        <v>15541</v>
      </c>
      <c r="Y77" s="8">
        <f t="shared" si="33"/>
        <v>15541</v>
      </c>
      <c r="Z77" s="8">
        <f t="shared" si="33"/>
        <v>15541</v>
      </c>
      <c r="AA77" s="8">
        <f t="shared" si="33"/>
        <v>15541</v>
      </c>
      <c r="AB77" s="8">
        <f t="shared" si="33"/>
        <v>15541</v>
      </c>
      <c r="AC77" s="8">
        <f t="shared" si="33"/>
        <v>15541</v>
      </c>
      <c r="AD77" s="8">
        <f t="shared" si="33"/>
        <v>15541</v>
      </c>
      <c r="AE77" s="8">
        <f t="shared" si="33"/>
        <v>15541</v>
      </c>
      <c r="AF77" s="8">
        <f t="shared" si="33"/>
        <v>15541</v>
      </c>
      <c r="AG77" s="8">
        <f t="shared" si="33"/>
        <v>15541</v>
      </c>
      <c r="AH77" s="8"/>
      <c r="AI77" s="8"/>
      <c r="AJ77" s="8"/>
    </row>
    <row r="78" spans="1:39" hidden="1" outlineLevel="1">
      <c r="A78" t="s">
        <v>260</v>
      </c>
      <c r="R78" s="8">
        <f>+R$16</f>
        <v>23718</v>
      </c>
      <c r="S78" s="8">
        <f>+R78</f>
        <v>23718</v>
      </c>
      <c r="T78" s="8">
        <f t="shared" si="33"/>
        <v>23718</v>
      </c>
      <c r="U78" s="8">
        <f t="shared" si="34"/>
        <v>23718</v>
      </c>
      <c r="V78" s="8">
        <f t="shared" si="33"/>
        <v>23718</v>
      </c>
      <c r="W78" s="8">
        <f t="shared" si="33"/>
        <v>23718</v>
      </c>
      <c r="X78" s="8">
        <f t="shared" si="33"/>
        <v>23718</v>
      </c>
      <c r="Y78" s="8">
        <f t="shared" si="33"/>
        <v>23718</v>
      </c>
      <c r="Z78" s="8">
        <f t="shared" si="33"/>
        <v>23718</v>
      </c>
      <c r="AA78" s="8">
        <f t="shared" si="33"/>
        <v>23718</v>
      </c>
      <c r="AB78" s="8">
        <f t="shared" si="33"/>
        <v>23718</v>
      </c>
      <c r="AC78" s="8">
        <f t="shared" si="33"/>
        <v>23718</v>
      </c>
      <c r="AD78" s="8">
        <f t="shared" si="33"/>
        <v>23718</v>
      </c>
      <c r="AE78" s="8">
        <f t="shared" si="33"/>
        <v>23718</v>
      </c>
      <c r="AF78" s="8">
        <f t="shared" si="33"/>
        <v>23718</v>
      </c>
      <c r="AG78" s="8">
        <f t="shared" si="33"/>
        <v>23718</v>
      </c>
      <c r="AH78" s="8"/>
      <c r="AI78" s="8"/>
      <c r="AJ78" s="8"/>
      <c r="AK78" s="8"/>
    </row>
    <row r="79" spans="1:39" hidden="1" outlineLevel="1">
      <c r="A79" t="s">
        <v>109</v>
      </c>
      <c r="S79" s="8">
        <f>+S$16</f>
        <v>22992</v>
      </c>
      <c r="T79" s="8">
        <f>+S79</f>
        <v>22992</v>
      </c>
      <c r="U79" s="8">
        <f t="shared" si="34"/>
        <v>22992</v>
      </c>
      <c r="V79" s="8">
        <f t="shared" si="33"/>
        <v>22992</v>
      </c>
      <c r="W79" s="8">
        <f t="shared" si="33"/>
        <v>22992</v>
      </c>
      <c r="X79" s="8">
        <f t="shared" si="33"/>
        <v>22992</v>
      </c>
      <c r="Y79" s="8">
        <f t="shared" si="33"/>
        <v>22992</v>
      </c>
      <c r="Z79" s="8">
        <f t="shared" si="33"/>
        <v>22992</v>
      </c>
      <c r="AA79" s="8">
        <f t="shared" si="33"/>
        <v>22992</v>
      </c>
      <c r="AB79" s="8">
        <f t="shared" si="33"/>
        <v>22992</v>
      </c>
      <c r="AC79" s="8">
        <f t="shared" si="33"/>
        <v>22992</v>
      </c>
      <c r="AD79" s="8">
        <f t="shared" si="33"/>
        <v>22992</v>
      </c>
      <c r="AE79" s="8">
        <f t="shared" si="33"/>
        <v>22992</v>
      </c>
      <c r="AF79" s="8">
        <f t="shared" si="33"/>
        <v>22992</v>
      </c>
      <c r="AG79" s="8">
        <f t="shared" si="33"/>
        <v>22992</v>
      </c>
      <c r="AH79" s="8"/>
      <c r="AI79" s="8"/>
      <c r="AJ79" s="8"/>
      <c r="AK79" s="8"/>
      <c r="AL79" s="8"/>
    </row>
    <row r="80" spans="1:39" hidden="1" outlineLevel="1">
      <c r="A80" t="s">
        <v>190</v>
      </c>
      <c r="T80" s="8">
        <f>+T$16</f>
        <v>29834</v>
      </c>
      <c r="U80" s="8">
        <f t="shared" si="34"/>
        <v>29834</v>
      </c>
      <c r="V80" s="8">
        <f t="shared" si="33"/>
        <v>29834</v>
      </c>
      <c r="W80" s="8">
        <f t="shared" si="33"/>
        <v>29834</v>
      </c>
      <c r="X80" s="8">
        <f t="shared" si="33"/>
        <v>29834</v>
      </c>
      <c r="Y80" s="8">
        <f t="shared" si="33"/>
        <v>29834</v>
      </c>
      <c r="Z80" s="8">
        <f t="shared" si="33"/>
        <v>29834</v>
      </c>
      <c r="AA80" s="8">
        <f t="shared" si="33"/>
        <v>29834</v>
      </c>
      <c r="AB80" s="8">
        <f t="shared" si="33"/>
        <v>29834</v>
      </c>
      <c r="AC80" s="8">
        <f t="shared" si="33"/>
        <v>29834</v>
      </c>
      <c r="AD80" s="8">
        <f t="shared" si="33"/>
        <v>29834</v>
      </c>
      <c r="AE80" s="8">
        <f t="shared" si="33"/>
        <v>29834</v>
      </c>
      <c r="AF80" s="8">
        <f t="shared" si="33"/>
        <v>29834</v>
      </c>
      <c r="AG80" s="8">
        <f t="shared" si="33"/>
        <v>29834</v>
      </c>
      <c r="AH80" s="8"/>
      <c r="AI80" s="8"/>
      <c r="AJ80" s="8"/>
      <c r="AK80" s="8"/>
      <c r="AL80" s="8"/>
      <c r="AM80" s="8"/>
    </row>
    <row r="81" spans="1:44" hidden="1" outlineLevel="1">
      <c r="A81" t="s">
        <v>191</v>
      </c>
      <c r="U81" s="8">
        <f>+U$16</f>
        <v>48120</v>
      </c>
      <c r="V81" s="8">
        <f>+U81</f>
        <v>48120</v>
      </c>
      <c r="W81" s="8">
        <f t="shared" si="33"/>
        <v>48120</v>
      </c>
      <c r="X81" s="8">
        <f t="shared" si="33"/>
        <v>48120</v>
      </c>
      <c r="Y81" s="8">
        <f t="shared" si="33"/>
        <v>48120</v>
      </c>
      <c r="Z81" s="8">
        <f t="shared" si="33"/>
        <v>48120</v>
      </c>
      <c r="AA81" s="8">
        <f t="shared" si="33"/>
        <v>48120</v>
      </c>
      <c r="AB81" s="8">
        <f t="shared" si="33"/>
        <v>48120</v>
      </c>
      <c r="AC81" s="8">
        <f t="shared" si="33"/>
        <v>48120</v>
      </c>
      <c r="AD81" s="8">
        <f t="shared" si="33"/>
        <v>48120</v>
      </c>
      <c r="AE81" s="8">
        <f t="shared" si="33"/>
        <v>48120</v>
      </c>
      <c r="AF81" s="8">
        <f t="shared" si="33"/>
        <v>48120</v>
      </c>
      <c r="AG81" s="8">
        <f t="shared" si="33"/>
        <v>48120</v>
      </c>
      <c r="AH81" s="8"/>
      <c r="AI81" s="8"/>
      <c r="AJ81" s="8"/>
      <c r="AK81" s="8"/>
      <c r="AL81" s="8"/>
      <c r="AM81" s="8"/>
      <c r="AN81" s="8"/>
    </row>
    <row r="82" spans="1:44" hidden="1" outlineLevel="1">
      <c r="A82" t="s">
        <v>72</v>
      </c>
      <c r="V82" s="8">
        <f>+V$16</f>
        <v>70201.795332136448</v>
      </c>
      <c r="W82" s="8">
        <f>+V82</f>
        <v>70201.795332136448</v>
      </c>
      <c r="X82" s="8">
        <f t="shared" si="33"/>
        <v>70201.795332136448</v>
      </c>
      <c r="Y82" s="8">
        <f t="shared" si="33"/>
        <v>70201.795332136448</v>
      </c>
      <c r="Z82" s="8">
        <f t="shared" si="33"/>
        <v>70201.795332136448</v>
      </c>
      <c r="AA82" s="8">
        <f t="shared" si="33"/>
        <v>70201.795332136448</v>
      </c>
      <c r="AB82" s="8">
        <f t="shared" si="33"/>
        <v>70201.795332136448</v>
      </c>
      <c r="AC82" s="8">
        <f t="shared" si="33"/>
        <v>70201.795332136448</v>
      </c>
      <c r="AD82" s="8">
        <f t="shared" si="33"/>
        <v>70201.795332136448</v>
      </c>
      <c r="AE82" s="8">
        <f t="shared" si="33"/>
        <v>70201.795332136448</v>
      </c>
      <c r="AF82" s="8">
        <f t="shared" si="33"/>
        <v>70201.795332136448</v>
      </c>
      <c r="AG82" s="8">
        <f t="shared" si="33"/>
        <v>70201.795332136448</v>
      </c>
      <c r="AH82" s="8"/>
      <c r="AI82" s="8"/>
      <c r="AJ82" s="8"/>
      <c r="AK82" s="8"/>
      <c r="AL82" s="8"/>
      <c r="AM82" s="8"/>
      <c r="AN82" s="8"/>
      <c r="AO82" s="8"/>
    </row>
    <row r="83" spans="1:44" hidden="1" outlineLevel="1">
      <c r="A83" t="s">
        <v>73</v>
      </c>
      <c r="W83" s="8">
        <f>+W$16</f>
        <v>63304.121857338316</v>
      </c>
      <c r="X83" s="8">
        <f>+W83</f>
        <v>63304.121857338316</v>
      </c>
      <c r="Y83" s="8">
        <f t="shared" si="33"/>
        <v>63304.121857338316</v>
      </c>
      <c r="Z83" s="8">
        <f t="shared" si="33"/>
        <v>63304.121857338316</v>
      </c>
      <c r="AA83" s="8">
        <f t="shared" si="33"/>
        <v>63304.121857338316</v>
      </c>
      <c r="AB83" s="8">
        <f t="shared" si="33"/>
        <v>63304.121857338316</v>
      </c>
      <c r="AC83" s="8">
        <f t="shared" si="33"/>
        <v>63304.121857338316</v>
      </c>
      <c r="AD83" s="8">
        <f t="shared" si="33"/>
        <v>63304.121857338316</v>
      </c>
      <c r="AE83" s="8">
        <f t="shared" si="33"/>
        <v>63304.121857338316</v>
      </c>
      <c r="AF83" s="8">
        <f t="shared" si="33"/>
        <v>63304.121857338316</v>
      </c>
      <c r="AG83" s="8">
        <f t="shared" si="33"/>
        <v>63304.121857338316</v>
      </c>
      <c r="AH83" s="8"/>
      <c r="AI83" s="8"/>
      <c r="AJ83" s="8"/>
      <c r="AK83" s="8"/>
      <c r="AL83" s="8"/>
      <c r="AM83" s="8"/>
      <c r="AN83" s="8"/>
      <c r="AO83" s="8"/>
      <c r="AP83" s="8"/>
    </row>
    <row r="84" spans="1:44" hidden="1" outlineLevel="1">
      <c r="A84" t="s">
        <v>74</v>
      </c>
      <c r="X84" s="8">
        <f>+X$16</f>
        <v>67001.477093126246</v>
      </c>
      <c r="Y84" s="8">
        <f>+X84</f>
        <v>67001.477093126246</v>
      </c>
      <c r="Z84" s="8">
        <f t="shared" ref="Z84:AG91" si="35">+Y84</f>
        <v>67001.477093126246</v>
      </c>
      <c r="AA84" s="8">
        <f t="shared" si="35"/>
        <v>67001.477093126246</v>
      </c>
      <c r="AB84" s="8">
        <f t="shared" si="35"/>
        <v>67001.477093126246</v>
      </c>
      <c r="AC84" s="8">
        <f t="shared" si="35"/>
        <v>67001.477093126246</v>
      </c>
      <c r="AD84" s="8">
        <f t="shared" si="35"/>
        <v>67001.477093126246</v>
      </c>
      <c r="AE84" s="8">
        <f t="shared" si="35"/>
        <v>67001.477093126246</v>
      </c>
      <c r="AF84" s="8">
        <f t="shared" si="35"/>
        <v>67001.477093126246</v>
      </c>
      <c r="AG84" s="8">
        <f t="shared" si="35"/>
        <v>67001.477093126246</v>
      </c>
      <c r="AH84" s="8"/>
      <c r="AI84" s="8"/>
      <c r="AJ84" s="8"/>
      <c r="AK84" s="8"/>
      <c r="AL84" s="8"/>
      <c r="AM84" s="8"/>
      <c r="AN84" s="8"/>
      <c r="AO84" s="8"/>
      <c r="AP84" s="8"/>
      <c r="AQ84" s="8"/>
    </row>
    <row r="85" spans="1:44" hidden="1" outlineLevel="1">
      <c r="A85" t="s">
        <v>75</v>
      </c>
      <c r="Y85" s="8">
        <f>+Y$16</f>
        <v>70110.261124880708</v>
      </c>
      <c r="Z85" s="8">
        <f>+Y85</f>
        <v>70110.261124880708</v>
      </c>
      <c r="AA85" s="8">
        <f t="shared" si="35"/>
        <v>70110.261124880708</v>
      </c>
      <c r="AB85" s="8">
        <f t="shared" si="35"/>
        <v>70110.261124880708</v>
      </c>
      <c r="AC85" s="8">
        <f t="shared" si="35"/>
        <v>70110.261124880708</v>
      </c>
      <c r="AD85" s="8">
        <f t="shared" si="35"/>
        <v>70110.261124880708</v>
      </c>
      <c r="AE85" s="8">
        <f t="shared" si="35"/>
        <v>70110.261124880708</v>
      </c>
      <c r="AF85" s="8">
        <f t="shared" si="35"/>
        <v>70110.261124880708</v>
      </c>
      <c r="AG85" s="8">
        <f t="shared" si="35"/>
        <v>70110.261124880708</v>
      </c>
      <c r="AH85" s="8"/>
      <c r="AI85" s="8"/>
      <c r="AJ85" s="8"/>
      <c r="AK85" s="8"/>
      <c r="AL85" s="8"/>
      <c r="AM85" s="8"/>
      <c r="AN85" s="8"/>
      <c r="AO85" s="8"/>
      <c r="AP85" s="8"/>
      <c r="AQ85" s="8"/>
      <c r="AR85" s="8"/>
    </row>
    <row r="86" spans="1:44" hidden="1" outlineLevel="1">
      <c r="A86" t="s">
        <v>76</v>
      </c>
      <c r="Y86" s="8"/>
      <c r="Z86" s="8">
        <f>+Z$16</f>
        <v>72370.900674471312</v>
      </c>
      <c r="AA86" s="8">
        <f>+Z86</f>
        <v>72370.900674471312</v>
      </c>
      <c r="AB86" s="8">
        <f t="shared" si="35"/>
        <v>72370.900674471312</v>
      </c>
      <c r="AC86" s="8">
        <f t="shared" si="35"/>
        <v>72370.900674471312</v>
      </c>
      <c r="AD86" s="8">
        <f t="shared" si="35"/>
        <v>72370.900674471312</v>
      </c>
      <c r="AE86" s="8">
        <f t="shared" si="35"/>
        <v>72370.900674471312</v>
      </c>
      <c r="AF86" s="8">
        <f t="shared" si="35"/>
        <v>72370.900674471312</v>
      </c>
      <c r="AG86" s="8">
        <f t="shared" si="35"/>
        <v>72370.900674471312</v>
      </c>
      <c r="AH86" s="8"/>
      <c r="AI86" s="8"/>
      <c r="AJ86" s="8"/>
      <c r="AK86" s="8"/>
      <c r="AL86" s="8"/>
      <c r="AM86" s="8"/>
      <c r="AN86" s="8"/>
      <c r="AO86" s="8"/>
      <c r="AP86" s="8"/>
      <c r="AQ86" s="8"/>
      <c r="AR86" s="8"/>
    </row>
    <row r="87" spans="1:44" hidden="1" outlineLevel="1">
      <c r="A87" t="s">
        <v>77</v>
      </c>
      <c r="Y87" s="8"/>
      <c r="Z87" s="8"/>
      <c r="AA87" s="8">
        <f>+AA$16</f>
        <v>73459.541490646501</v>
      </c>
      <c r="AB87" s="8">
        <f>+AA87</f>
        <v>73459.541490646501</v>
      </c>
      <c r="AC87" s="8">
        <f t="shared" si="35"/>
        <v>73459.541490646501</v>
      </c>
      <c r="AD87" s="8">
        <f t="shared" si="35"/>
        <v>73459.541490646501</v>
      </c>
      <c r="AE87" s="8">
        <f t="shared" si="35"/>
        <v>73459.541490646501</v>
      </c>
      <c r="AF87" s="8">
        <f t="shared" si="35"/>
        <v>73459.541490646501</v>
      </c>
      <c r="AG87" s="8">
        <f t="shared" si="35"/>
        <v>73459.541490646501</v>
      </c>
      <c r="AH87" s="8"/>
      <c r="AI87" s="8"/>
      <c r="AJ87" s="8"/>
      <c r="AK87" s="8"/>
      <c r="AL87" s="8"/>
      <c r="AM87" s="8"/>
      <c r="AN87" s="8"/>
      <c r="AO87" s="8"/>
      <c r="AP87" s="8"/>
      <c r="AQ87" s="8"/>
      <c r="AR87" s="8"/>
    </row>
    <row r="88" spans="1:44" hidden="1" outlineLevel="1">
      <c r="A88" t="s">
        <v>78</v>
      </c>
      <c r="Y88" s="8"/>
      <c r="Z88" s="8"/>
      <c r="AA88" s="8"/>
      <c r="AB88" s="8">
        <f>+AB$16</f>
        <v>79055.847645586327</v>
      </c>
      <c r="AC88" s="8">
        <f>+AB88</f>
        <v>79055.847645586327</v>
      </c>
      <c r="AD88" s="8">
        <f t="shared" si="35"/>
        <v>79055.847645586327</v>
      </c>
      <c r="AE88" s="8">
        <f t="shared" si="35"/>
        <v>79055.847645586327</v>
      </c>
      <c r="AF88" s="8">
        <f t="shared" si="35"/>
        <v>79055.847645586327</v>
      </c>
      <c r="AG88" s="8">
        <f t="shared" si="35"/>
        <v>79055.847645586327</v>
      </c>
      <c r="AH88" s="8"/>
      <c r="AI88" s="8"/>
      <c r="AJ88" s="8"/>
      <c r="AK88" s="8"/>
      <c r="AL88" s="8"/>
      <c r="AM88" s="8"/>
      <c r="AN88" s="8"/>
      <c r="AO88" s="8"/>
      <c r="AP88" s="8"/>
      <c r="AQ88" s="8"/>
      <c r="AR88" s="8"/>
    </row>
    <row r="89" spans="1:44" hidden="1" outlineLevel="1">
      <c r="A89" t="s">
        <v>79</v>
      </c>
      <c r="Y89" s="8"/>
      <c r="Z89" s="8"/>
      <c r="AA89" s="8"/>
      <c r="AB89" s="8"/>
      <c r="AC89" s="8">
        <f>+AC$16</f>
        <v>84505.089831319085</v>
      </c>
      <c r="AD89" s="8">
        <f>+AC89</f>
        <v>84505.089831319085</v>
      </c>
      <c r="AE89" s="8">
        <f t="shared" si="35"/>
        <v>84505.089831319085</v>
      </c>
      <c r="AF89" s="8">
        <f t="shared" si="35"/>
        <v>84505.089831319085</v>
      </c>
      <c r="AG89" s="8">
        <f t="shared" si="35"/>
        <v>84505.089831319085</v>
      </c>
      <c r="AH89" s="8"/>
      <c r="AI89" s="8"/>
      <c r="AJ89" s="8"/>
      <c r="AK89" s="8"/>
      <c r="AL89" s="8"/>
      <c r="AM89" s="8"/>
      <c r="AN89" s="8"/>
      <c r="AO89" s="8"/>
      <c r="AP89" s="8"/>
      <c r="AQ89" s="8"/>
      <c r="AR89" s="8"/>
    </row>
    <row r="90" spans="1:44" hidden="1" outlineLevel="1">
      <c r="A90" t="s">
        <v>80</v>
      </c>
      <c r="Y90" s="8"/>
      <c r="Z90" s="8"/>
      <c r="AA90" s="8"/>
      <c r="AB90" s="8"/>
      <c r="AC90" s="8"/>
      <c r="AD90" s="8">
        <f>+AD$16</f>
        <v>97785.569595131499</v>
      </c>
      <c r="AE90" s="8">
        <f>+AD90</f>
        <v>97785.569595131499</v>
      </c>
      <c r="AF90" s="8">
        <f t="shared" si="35"/>
        <v>97785.569595131499</v>
      </c>
      <c r="AG90" s="8">
        <f t="shared" si="35"/>
        <v>97785.569595131499</v>
      </c>
      <c r="AH90" s="8"/>
      <c r="AI90" s="8"/>
      <c r="AJ90" s="8"/>
      <c r="AK90" s="8"/>
      <c r="AL90" s="8"/>
      <c r="AM90" s="8"/>
      <c r="AN90" s="8"/>
      <c r="AO90" s="8"/>
      <c r="AP90" s="8"/>
      <c r="AQ90" s="8"/>
      <c r="AR90" s="8"/>
    </row>
    <row r="91" spans="1:44" hidden="1" outlineLevel="1">
      <c r="A91" t="s">
        <v>81</v>
      </c>
      <c r="Y91" s="8"/>
      <c r="Z91" s="8"/>
      <c r="AA91" s="8"/>
      <c r="AB91" s="8"/>
      <c r="AC91" s="8"/>
      <c r="AD91" s="8"/>
      <c r="AE91" s="8">
        <f>+AE$16</f>
        <v>113079.28639363479</v>
      </c>
      <c r="AF91" s="8">
        <f>+AE91</f>
        <v>113079.28639363479</v>
      </c>
      <c r="AG91" s="8">
        <f t="shared" si="35"/>
        <v>113079.28639363479</v>
      </c>
      <c r="AH91" s="8"/>
      <c r="AI91" s="8"/>
      <c r="AJ91" s="8"/>
      <c r="AK91" s="8"/>
      <c r="AL91" s="8"/>
      <c r="AM91" s="8"/>
      <c r="AN91" s="8"/>
      <c r="AO91" s="8"/>
      <c r="AP91" s="8"/>
      <c r="AQ91" s="8"/>
      <c r="AR91" s="8"/>
    </row>
    <row r="92" spans="1:44" hidden="1" outlineLevel="1">
      <c r="A92" t="s">
        <v>82</v>
      </c>
      <c r="Y92" s="8"/>
      <c r="Z92" s="8"/>
      <c r="AA92" s="8"/>
      <c r="AB92" s="8"/>
      <c r="AC92" s="8"/>
      <c r="AD92" s="8"/>
      <c r="AE92" s="8"/>
      <c r="AF92" s="8">
        <f>+AF$16</f>
        <v>130688.96655948673</v>
      </c>
      <c r="AG92" s="8">
        <f>+AF92</f>
        <v>130688.96655948673</v>
      </c>
      <c r="AH92" s="8"/>
      <c r="AI92" s="8"/>
      <c r="AJ92" s="8"/>
      <c r="AK92" s="8"/>
      <c r="AL92" s="8"/>
      <c r="AM92" s="8"/>
      <c r="AN92" s="8"/>
      <c r="AO92" s="8"/>
      <c r="AP92" s="8"/>
      <c r="AQ92" s="8"/>
      <c r="AR92" s="8"/>
    </row>
    <row r="93" spans="1:44" hidden="1" outlineLevel="1">
      <c r="A93" t="s">
        <v>83</v>
      </c>
      <c r="Y93" s="8"/>
      <c r="Z93" s="8"/>
      <c r="AA93" s="8"/>
      <c r="AB93" s="8"/>
      <c r="AC93" s="8"/>
      <c r="AD93" s="8"/>
      <c r="AE93" s="8"/>
      <c r="AF93" s="8"/>
      <c r="AG93" s="8">
        <f>+AG$16</f>
        <v>150962.7713024547</v>
      </c>
      <c r="AH93" s="8"/>
      <c r="AI93" s="8"/>
      <c r="AJ93" s="8"/>
      <c r="AK93" s="8"/>
      <c r="AL93" s="8"/>
      <c r="AM93" s="8"/>
      <c r="AN93" s="8"/>
      <c r="AO93" s="8"/>
      <c r="AP93" s="8"/>
      <c r="AQ93" s="8"/>
      <c r="AR93" s="8"/>
    </row>
    <row r="94" spans="1:44" hidden="1" outlineLevel="1">
      <c r="A94" t="s">
        <v>911</v>
      </c>
      <c r="Y94" s="8"/>
      <c r="Z94" s="8"/>
      <c r="AA94" s="8"/>
      <c r="AB94" s="8"/>
      <c r="AC94" s="8"/>
      <c r="AD94" s="8"/>
      <c r="AE94" s="8"/>
      <c r="AF94" s="8"/>
      <c r="AG94" s="8"/>
      <c r="AH94" s="8"/>
      <c r="AI94" s="8"/>
      <c r="AJ94" s="8"/>
      <c r="AK94" s="8"/>
      <c r="AL94" s="8"/>
      <c r="AM94" s="8"/>
      <c r="AN94" s="8"/>
      <c r="AO94" s="8"/>
      <c r="AP94" s="8"/>
      <c r="AQ94" s="8"/>
      <c r="AR94" s="8"/>
    </row>
    <row r="95" spans="1:44" hidden="1" outlineLevel="1"/>
    <row r="96" spans="1:44" ht="10.5" hidden="1" outlineLevel="1">
      <c r="A96" s="45" t="s">
        <v>924</v>
      </c>
    </row>
    <row r="97" spans="1:38" hidden="1" outlineLevel="1">
      <c r="A97" t="str">
        <f>+A64</f>
        <v>FY07 and prior</v>
      </c>
      <c r="D97" s="8">
        <f>+SUM($C19:D19)</f>
        <v>1248.8</v>
      </c>
      <c r="E97" s="8">
        <f>+SUM($C19:E19)</f>
        <v>2497.6</v>
      </c>
      <c r="F97" s="8">
        <f>+SUM($C19:F19)</f>
        <v>3746.3999999999996</v>
      </c>
      <c r="G97" s="8">
        <f>+SUM($C19:G19)</f>
        <v>4995.2</v>
      </c>
      <c r="H97" s="8">
        <f>+SUM($C19:H19)</f>
        <v>6244</v>
      </c>
      <c r="I97" s="8">
        <f>+SUM($C19:I19)</f>
        <v>7492.8</v>
      </c>
      <c r="J97" s="8">
        <f>+SUM($C19:J19)</f>
        <v>8741.6</v>
      </c>
      <c r="K97" s="8">
        <f>+SUM($C19:K19)</f>
        <v>9366</v>
      </c>
      <c r="L97" s="8">
        <f>+SUM($C19:L19)</f>
        <v>9366</v>
      </c>
      <c r="M97" s="8">
        <f>+SUM($C19:M19)</f>
        <v>9366</v>
      </c>
      <c r="N97" s="8">
        <f>+SUM($C19:N19)</f>
        <v>9366</v>
      </c>
      <c r="O97" s="8">
        <f>+SUM($C19:O19)</f>
        <v>9366</v>
      </c>
      <c r="P97" s="8">
        <f>+SUM($C19:P19)</f>
        <v>9366</v>
      </c>
      <c r="Q97" s="8">
        <f>+SUM($C19:Q19)</f>
        <v>9366</v>
      </c>
      <c r="R97" s="8">
        <f>+SUM($C19:R19)</f>
        <v>9366</v>
      </c>
      <c r="S97" s="8">
        <f>+SUM($C19:S19)</f>
        <v>9366</v>
      </c>
      <c r="T97" s="8">
        <f>+SUM($C19:T19)</f>
        <v>9366</v>
      </c>
      <c r="U97" s="8">
        <f>+SUM($C19:U19)</f>
        <v>9366</v>
      </c>
      <c r="V97" s="8">
        <f>+SUM($C19:V19)</f>
        <v>9366</v>
      </c>
      <c r="W97" s="8">
        <f>+SUM($C19:W19)</f>
        <v>9366</v>
      </c>
      <c r="X97" s="8">
        <f>+SUM($C19:X19)</f>
        <v>9366</v>
      </c>
      <c r="Y97" s="8">
        <f>+SUM($C19:Y19)</f>
        <v>9366</v>
      </c>
      <c r="Z97" s="8">
        <f>+SUM($C19:Z19)</f>
        <v>9366</v>
      </c>
      <c r="AA97" s="8">
        <f>+SUM($C19:AA19)</f>
        <v>9366</v>
      </c>
      <c r="AB97" s="8">
        <f>+SUM($C19:AB19)</f>
        <v>9366</v>
      </c>
      <c r="AC97" s="8">
        <f>+SUM($C19:AC19)</f>
        <v>9366</v>
      </c>
      <c r="AD97" s="8">
        <f>+SUM($C19:AD19)</f>
        <v>9366</v>
      </c>
      <c r="AE97" s="8">
        <f>+SUM($C19:AE19)</f>
        <v>9366</v>
      </c>
      <c r="AF97" s="8">
        <f>+SUM($C19:AF19)</f>
        <v>9366</v>
      </c>
      <c r="AG97" s="8">
        <f>+SUM($C19:AG19)</f>
        <v>9366</v>
      </c>
    </row>
    <row r="98" spans="1:38" hidden="1" outlineLevel="1">
      <c r="A98" t="s">
        <v>247</v>
      </c>
      <c r="E98" s="8">
        <f>+SUM($C20:E20)</f>
        <v>423.73333333333335</v>
      </c>
      <c r="F98" s="8">
        <f>+SUM($C20:F20)</f>
        <v>847.4666666666667</v>
      </c>
      <c r="G98" s="8">
        <f>+SUM($C20:G20)</f>
        <v>1271.2</v>
      </c>
      <c r="H98" s="8">
        <f>+SUM($C20:H20)</f>
        <v>1694.9333333333334</v>
      </c>
      <c r="I98" s="8">
        <f>+SUM($C20:I20)</f>
        <v>2118.666666666667</v>
      </c>
      <c r="J98" s="8">
        <f>+SUM($C20:J20)</f>
        <v>2542.4000000000005</v>
      </c>
      <c r="K98" s="8">
        <f>+SUM($C20:K20)</f>
        <v>2966.1333333333341</v>
      </c>
      <c r="L98" s="8">
        <f>+SUM($C20:L20)</f>
        <v>3178</v>
      </c>
      <c r="M98" s="8">
        <f>+SUM($C20:M20)</f>
        <v>3178</v>
      </c>
      <c r="N98" s="8">
        <f>+SUM($C20:N20)</f>
        <v>3178</v>
      </c>
      <c r="O98" s="8">
        <f>+SUM($C20:O20)</f>
        <v>3178</v>
      </c>
      <c r="P98" s="8">
        <f>+SUM($C20:P20)</f>
        <v>3178</v>
      </c>
      <c r="Q98" s="8">
        <f>+SUM($C20:Q20)</f>
        <v>3178</v>
      </c>
      <c r="R98" s="8">
        <f>+SUM($C20:R20)</f>
        <v>3178</v>
      </c>
      <c r="S98" s="8">
        <f>+SUM($C20:S20)</f>
        <v>3178</v>
      </c>
      <c r="T98" s="8">
        <f>+SUM($C20:T20)</f>
        <v>3178</v>
      </c>
      <c r="U98" s="8">
        <f>+SUM($C20:U20)</f>
        <v>3178</v>
      </c>
      <c r="V98" s="8">
        <f>+SUM($C20:V20)</f>
        <v>3178</v>
      </c>
      <c r="W98" s="8">
        <f>+SUM($C20:W20)</f>
        <v>3178</v>
      </c>
      <c r="X98" s="8">
        <f>+SUM($C20:X20)</f>
        <v>3178</v>
      </c>
      <c r="Y98" s="8">
        <f>+SUM($C20:Y20)</f>
        <v>3178</v>
      </c>
      <c r="Z98" s="8">
        <f>+SUM($C20:Z20)</f>
        <v>3178</v>
      </c>
      <c r="AA98" s="8">
        <f>+SUM($C20:AA20)</f>
        <v>3178</v>
      </c>
      <c r="AB98" s="8">
        <f>+SUM($C20:AB20)</f>
        <v>3178</v>
      </c>
      <c r="AC98" s="8">
        <f>+SUM($C20:AC20)</f>
        <v>3178</v>
      </c>
      <c r="AD98" s="8">
        <f>+SUM($C20:AD20)</f>
        <v>3178</v>
      </c>
      <c r="AE98" s="8">
        <f>+SUM($C20:AE20)</f>
        <v>3178</v>
      </c>
      <c r="AF98" s="8">
        <f>+SUM($C20:AF20)</f>
        <v>3178</v>
      </c>
      <c r="AG98" s="8">
        <f>+SUM($C20:AG20)</f>
        <v>3178</v>
      </c>
    </row>
    <row r="99" spans="1:38" hidden="1" outlineLevel="1">
      <c r="A99" t="s">
        <v>248</v>
      </c>
      <c r="F99" s="8">
        <f>+SUM($C21:F21)</f>
        <v>338.4</v>
      </c>
      <c r="G99" s="8">
        <f>+SUM($C21:G21)</f>
        <v>676.8</v>
      </c>
      <c r="H99" s="8">
        <f>+SUM($C21:H21)</f>
        <v>1015.1999999999999</v>
      </c>
      <c r="I99" s="8">
        <f>+SUM($C21:I21)</f>
        <v>1353.6</v>
      </c>
      <c r="J99" s="8">
        <f>+SUM($C21:J21)</f>
        <v>1692</v>
      </c>
      <c r="K99" s="8">
        <f>+SUM($C21:K21)</f>
        <v>2030.4</v>
      </c>
      <c r="L99" s="8">
        <f>+SUM($C21:L21)</f>
        <v>2368.8000000000002</v>
      </c>
      <c r="M99" s="8">
        <f>+SUM($C21:M21)</f>
        <v>2538</v>
      </c>
      <c r="N99" s="8">
        <f>+SUM($C21:N21)</f>
        <v>2538</v>
      </c>
      <c r="O99" s="8">
        <f>+SUM($C21:O21)</f>
        <v>2538</v>
      </c>
      <c r="P99" s="8">
        <f>+SUM($C21:P21)</f>
        <v>2538</v>
      </c>
      <c r="Q99" s="8">
        <f>+SUM($C21:Q21)</f>
        <v>2538</v>
      </c>
      <c r="R99" s="8">
        <f>+SUM($C21:R21)</f>
        <v>2538</v>
      </c>
      <c r="S99" s="8">
        <f>+SUM($C21:S21)</f>
        <v>2538</v>
      </c>
      <c r="T99" s="8">
        <f>+SUM($C21:T21)</f>
        <v>2538</v>
      </c>
      <c r="U99" s="8">
        <f>+SUM($C21:U21)</f>
        <v>2538</v>
      </c>
      <c r="V99" s="8">
        <f>+SUM($C21:V21)</f>
        <v>2538</v>
      </c>
      <c r="W99" s="8">
        <f>+SUM($C21:W21)</f>
        <v>2538</v>
      </c>
      <c r="X99" s="8">
        <f>+SUM($C21:X21)</f>
        <v>2538</v>
      </c>
      <c r="Y99" s="8">
        <f>+SUM($C21:Y21)</f>
        <v>2538</v>
      </c>
      <c r="Z99" s="8">
        <f>+SUM($C21:Z21)</f>
        <v>2538</v>
      </c>
      <c r="AA99" s="8">
        <f>+SUM($C21:AA21)</f>
        <v>2538</v>
      </c>
      <c r="AB99" s="8">
        <f>+SUM($C21:AB21)</f>
        <v>2538</v>
      </c>
      <c r="AC99" s="8">
        <f>+SUM($C21:AC21)</f>
        <v>2538</v>
      </c>
      <c r="AD99" s="8">
        <f>+SUM($C21:AD21)</f>
        <v>2538</v>
      </c>
      <c r="AE99" s="8">
        <f>+SUM($C21:AE21)</f>
        <v>2538</v>
      </c>
      <c r="AF99" s="8">
        <f>+SUM($C21:AF21)</f>
        <v>2538</v>
      </c>
      <c r="AG99" s="8">
        <f>+SUM($C21:AG21)</f>
        <v>2538</v>
      </c>
    </row>
    <row r="100" spans="1:38" hidden="1" outlineLevel="1">
      <c r="A100" t="s">
        <v>249</v>
      </c>
      <c r="G100" s="8">
        <f>+SUM($C22:G22)</f>
        <v>156.93333333333334</v>
      </c>
      <c r="H100" s="8">
        <f>+SUM($C22:H22)</f>
        <v>313.86666666666667</v>
      </c>
      <c r="I100" s="8">
        <f>+SUM($C22:I22)</f>
        <v>470.8</v>
      </c>
      <c r="J100" s="8">
        <f>+SUM($C22:J22)</f>
        <v>627.73333333333335</v>
      </c>
      <c r="K100" s="8">
        <f>+SUM($C22:K22)</f>
        <v>784.66666666666674</v>
      </c>
      <c r="L100" s="8">
        <f>+SUM($C22:L22)</f>
        <v>941.60000000000014</v>
      </c>
      <c r="M100" s="8">
        <f>+SUM($C22:M22)</f>
        <v>1098.5333333333335</v>
      </c>
      <c r="N100" s="8">
        <f>+SUM($C22:N22)</f>
        <v>1177</v>
      </c>
      <c r="O100" s="8">
        <f>+SUM($C22:O22)</f>
        <v>1177</v>
      </c>
      <c r="P100" s="8">
        <f>+SUM($C22:P22)</f>
        <v>1177</v>
      </c>
      <c r="Q100" s="8">
        <f>+SUM($C22:Q22)</f>
        <v>1177</v>
      </c>
      <c r="R100" s="8">
        <f>+SUM($C22:R22)</f>
        <v>1177</v>
      </c>
      <c r="S100" s="8">
        <f>+SUM($C22:S22)</f>
        <v>1177</v>
      </c>
      <c r="T100" s="8">
        <f>+SUM($C22:T22)</f>
        <v>1177</v>
      </c>
      <c r="U100" s="8">
        <f>+SUM($C22:U22)</f>
        <v>1177</v>
      </c>
      <c r="V100" s="8">
        <f>+SUM($C22:V22)</f>
        <v>1177</v>
      </c>
      <c r="W100" s="8">
        <f>+SUM($C22:W22)</f>
        <v>1177</v>
      </c>
      <c r="X100" s="8">
        <f>+SUM($C22:X22)</f>
        <v>1177</v>
      </c>
      <c r="Y100" s="8">
        <f>+SUM($C22:Y22)</f>
        <v>1177</v>
      </c>
      <c r="Z100" s="8">
        <f>+SUM($C22:Z22)</f>
        <v>1177</v>
      </c>
      <c r="AA100" s="8">
        <f>+SUM($C22:AA22)</f>
        <v>1177</v>
      </c>
      <c r="AB100" s="8">
        <f>+SUM($C22:AB22)</f>
        <v>1177</v>
      </c>
      <c r="AC100" s="8">
        <f>+SUM($C22:AC22)</f>
        <v>1177</v>
      </c>
      <c r="AD100" s="8">
        <f>+SUM($C22:AD22)</f>
        <v>1177</v>
      </c>
      <c r="AE100" s="8">
        <f>+SUM($C22:AE22)</f>
        <v>1177</v>
      </c>
      <c r="AF100" s="8">
        <f>+SUM($C22:AF22)</f>
        <v>1177</v>
      </c>
      <c r="AG100" s="8">
        <f>+SUM($C22:AG22)</f>
        <v>1177</v>
      </c>
    </row>
    <row r="101" spans="1:38" hidden="1" outlineLevel="1">
      <c r="A101" t="s">
        <v>250</v>
      </c>
      <c r="H101" s="8">
        <f>+SUM($C23:H23)</f>
        <v>230.93333333333334</v>
      </c>
      <c r="I101" s="8">
        <f>+SUM($C23:I23)</f>
        <v>461.86666666666667</v>
      </c>
      <c r="J101" s="8">
        <f>+SUM($C23:J23)</f>
        <v>692.8</v>
      </c>
      <c r="K101" s="8">
        <f>+SUM($C23:K23)</f>
        <v>923.73333333333335</v>
      </c>
      <c r="L101" s="8">
        <f>+SUM($C23:L23)</f>
        <v>1154.6666666666667</v>
      </c>
      <c r="M101" s="8">
        <f>+SUM($C23:M23)</f>
        <v>1385.6000000000001</v>
      </c>
      <c r="N101" s="8">
        <f>+SUM($C23:N23)</f>
        <v>1616.5333333333335</v>
      </c>
      <c r="O101" s="8">
        <f>+SUM($C23:O23)</f>
        <v>1732</v>
      </c>
      <c r="P101" s="8">
        <f>+SUM($C23:P23)</f>
        <v>1732</v>
      </c>
      <c r="Q101" s="8">
        <f>+SUM($C23:Q23)</f>
        <v>1732</v>
      </c>
      <c r="R101" s="8">
        <f>+SUM($C23:R23)</f>
        <v>1732</v>
      </c>
      <c r="S101" s="8">
        <f>+SUM($C23:S23)</f>
        <v>1732</v>
      </c>
      <c r="T101" s="8">
        <f>+SUM($C23:T23)</f>
        <v>1732</v>
      </c>
      <c r="U101" s="8">
        <f>+SUM($C23:U23)</f>
        <v>1732</v>
      </c>
      <c r="V101" s="8">
        <f>+SUM($C23:V23)</f>
        <v>1732</v>
      </c>
      <c r="W101" s="8">
        <f>+SUM($C23:W23)</f>
        <v>1732</v>
      </c>
      <c r="X101" s="8">
        <f>+SUM($C23:X23)</f>
        <v>1732</v>
      </c>
      <c r="Y101" s="8">
        <f>+SUM($C23:Y23)</f>
        <v>1732</v>
      </c>
      <c r="Z101" s="8">
        <f>+SUM($C23:Z23)</f>
        <v>1732</v>
      </c>
      <c r="AA101" s="8">
        <f>+SUM($C23:AA23)</f>
        <v>1732</v>
      </c>
      <c r="AB101" s="8">
        <f>+SUM($C23:AB23)</f>
        <v>1732</v>
      </c>
      <c r="AC101" s="8">
        <f>+SUM($C23:AC23)</f>
        <v>1732</v>
      </c>
      <c r="AD101" s="8">
        <f>+SUM($C23:AD23)</f>
        <v>1732</v>
      </c>
      <c r="AE101" s="8">
        <f>+SUM($C23:AE23)</f>
        <v>1732</v>
      </c>
      <c r="AF101" s="8">
        <f>+SUM($C23:AF23)</f>
        <v>1732</v>
      </c>
      <c r="AG101" s="8">
        <f>+SUM($C23:AG23)</f>
        <v>1732</v>
      </c>
    </row>
    <row r="102" spans="1:38" hidden="1" outlineLevel="1">
      <c r="A102" t="s">
        <v>251</v>
      </c>
      <c r="I102" s="8">
        <f>+SUM($C24:I24)</f>
        <v>165.33333333333334</v>
      </c>
      <c r="J102" s="8">
        <f>+SUM($C24:J24)</f>
        <v>330.66666666666669</v>
      </c>
      <c r="K102" s="8">
        <f>+SUM($C24:K24)</f>
        <v>496</v>
      </c>
      <c r="L102" s="8">
        <f>+SUM($C24:L24)</f>
        <v>661.33333333333337</v>
      </c>
      <c r="M102" s="8">
        <f>+SUM($C24:M24)</f>
        <v>826.66666666666674</v>
      </c>
      <c r="N102" s="8">
        <f>+SUM($C24:N24)</f>
        <v>992.00000000000011</v>
      </c>
      <c r="O102" s="8">
        <f>+SUM($C24:O24)</f>
        <v>1157.3333333333335</v>
      </c>
      <c r="P102" s="8">
        <f>+SUM($C24:P24)</f>
        <v>1240</v>
      </c>
      <c r="Q102" s="8">
        <f>+SUM($C24:Q24)</f>
        <v>1240</v>
      </c>
      <c r="R102" s="8">
        <f>+SUM($C24:R24)</f>
        <v>1240</v>
      </c>
      <c r="S102" s="8">
        <f>+SUM($C24:S24)</f>
        <v>1240</v>
      </c>
      <c r="T102" s="8">
        <f>+SUM($C24:T24)</f>
        <v>1240</v>
      </c>
      <c r="U102" s="8">
        <f>+SUM($C24:U24)</f>
        <v>1240</v>
      </c>
      <c r="V102" s="8">
        <f>+SUM($C24:V24)</f>
        <v>1240</v>
      </c>
      <c r="W102" s="8">
        <f>+SUM($C24:W24)</f>
        <v>1240</v>
      </c>
      <c r="X102" s="8">
        <f>+SUM($C24:X24)</f>
        <v>1240</v>
      </c>
      <c r="Y102" s="8">
        <f>+SUM($C24:Y24)</f>
        <v>1240</v>
      </c>
      <c r="Z102" s="8">
        <f>+SUM($C24:Z24)</f>
        <v>1240</v>
      </c>
      <c r="AA102" s="8">
        <f>+SUM($C24:AA24)</f>
        <v>1240</v>
      </c>
      <c r="AB102" s="8">
        <f>+SUM($C24:AB24)</f>
        <v>1240</v>
      </c>
      <c r="AC102" s="8">
        <f>+SUM($C24:AC24)</f>
        <v>1240</v>
      </c>
      <c r="AD102" s="8">
        <f>+SUM($C24:AD24)</f>
        <v>1240</v>
      </c>
      <c r="AE102" s="8">
        <f>+SUM($C24:AE24)</f>
        <v>1240</v>
      </c>
      <c r="AF102" s="8">
        <f>+SUM($C24:AF24)</f>
        <v>1240</v>
      </c>
      <c r="AG102" s="8">
        <f>+SUM($C24:AG24)</f>
        <v>1240</v>
      </c>
    </row>
    <row r="103" spans="1:38" hidden="1" outlineLevel="1">
      <c r="A103" t="s">
        <v>252</v>
      </c>
      <c r="J103" s="8">
        <f>+SUM($C25:J25)</f>
        <v>436.4</v>
      </c>
      <c r="K103" s="8">
        <f>+SUM($C25:K25)</f>
        <v>872.8</v>
      </c>
      <c r="L103" s="8">
        <f>+SUM($C25:L25)</f>
        <v>1309.1999999999998</v>
      </c>
      <c r="M103" s="8">
        <f>+SUM($C25:M25)</f>
        <v>1745.6</v>
      </c>
      <c r="N103" s="8">
        <f>+SUM($C25:N25)</f>
        <v>2182</v>
      </c>
      <c r="O103" s="8">
        <f>+SUM($C25:O25)</f>
        <v>2618.4</v>
      </c>
      <c r="P103" s="8">
        <f>+SUM($C25:P25)</f>
        <v>3054.8</v>
      </c>
      <c r="Q103" s="8">
        <f>+SUM($C25:Q25)</f>
        <v>3273</v>
      </c>
      <c r="R103" s="8">
        <f>+SUM($C25:R25)</f>
        <v>3273</v>
      </c>
      <c r="S103" s="8">
        <f>+SUM($C25:S25)</f>
        <v>3273</v>
      </c>
      <c r="T103" s="8">
        <f>+SUM($C25:T25)</f>
        <v>3273</v>
      </c>
      <c r="U103" s="8">
        <f>+SUM($C25:U25)</f>
        <v>3273</v>
      </c>
      <c r="V103" s="8">
        <f>+SUM($C25:V25)</f>
        <v>3273</v>
      </c>
      <c r="W103" s="8">
        <f>+SUM($C25:W25)</f>
        <v>3273</v>
      </c>
      <c r="X103" s="8">
        <f>+SUM($C25:X25)</f>
        <v>3273</v>
      </c>
      <c r="Y103" s="8">
        <f>+SUM($C25:Y25)</f>
        <v>3273</v>
      </c>
      <c r="Z103" s="8">
        <f>+SUM($C25:Z25)</f>
        <v>3273</v>
      </c>
      <c r="AA103" s="8">
        <f>+SUM($C25:AA25)</f>
        <v>3273</v>
      </c>
      <c r="AB103" s="8">
        <f>+SUM($C25:AB25)</f>
        <v>3273</v>
      </c>
      <c r="AC103" s="8">
        <f>+SUM($C25:AC25)</f>
        <v>3273</v>
      </c>
      <c r="AD103" s="8">
        <f>+SUM($C25:AD25)</f>
        <v>3273</v>
      </c>
      <c r="AE103" s="8">
        <f>+SUM($C25:AE25)</f>
        <v>3273</v>
      </c>
      <c r="AF103" s="8">
        <f>+SUM($C25:AF25)</f>
        <v>3273</v>
      </c>
      <c r="AG103" s="8">
        <f>+SUM($C25:AG25)</f>
        <v>3273</v>
      </c>
    </row>
    <row r="104" spans="1:38" hidden="1" outlineLevel="1">
      <c r="A104" t="s">
        <v>253</v>
      </c>
      <c r="K104" s="8">
        <f>+SUM($C26:K26)</f>
        <v>706.66666666666663</v>
      </c>
      <c r="L104" s="8">
        <f>+SUM($C26:L26)</f>
        <v>1413.3333333333333</v>
      </c>
      <c r="M104" s="8">
        <f>+SUM($C26:M26)</f>
        <v>2120</v>
      </c>
      <c r="N104" s="8">
        <f>+SUM($C26:N26)</f>
        <v>2826.6666666666665</v>
      </c>
      <c r="O104" s="8">
        <f>+SUM($C26:O26)</f>
        <v>3533.333333333333</v>
      </c>
      <c r="P104" s="8">
        <f>+SUM($C26:P26)</f>
        <v>4240</v>
      </c>
      <c r="Q104" s="8">
        <f>+SUM($C26:Q26)</f>
        <v>4946.666666666667</v>
      </c>
      <c r="R104" s="8">
        <f>+SUM($C26:R26)</f>
        <v>5300</v>
      </c>
      <c r="S104" s="8">
        <f>+SUM($C26:S26)</f>
        <v>5300</v>
      </c>
      <c r="T104" s="8">
        <f>+SUM($C26:T26)</f>
        <v>5300</v>
      </c>
      <c r="U104" s="8">
        <f>+SUM($C26:U26)</f>
        <v>5300</v>
      </c>
      <c r="V104" s="8">
        <f>+SUM($C26:V26)</f>
        <v>5300</v>
      </c>
      <c r="W104" s="8">
        <f>+SUM($C26:W26)</f>
        <v>5300</v>
      </c>
      <c r="X104" s="8">
        <f>+SUM($C26:X26)</f>
        <v>5300</v>
      </c>
      <c r="Y104" s="8">
        <f>+SUM($C26:Y26)</f>
        <v>5300</v>
      </c>
      <c r="Z104" s="8">
        <f>+SUM($C26:Z26)</f>
        <v>5300</v>
      </c>
      <c r="AA104" s="8">
        <f>+SUM($C26:AA26)</f>
        <v>5300</v>
      </c>
      <c r="AB104" s="8">
        <f>+SUM($C26:AB26)</f>
        <v>5300</v>
      </c>
      <c r="AC104" s="8">
        <f>+SUM($C26:AC26)</f>
        <v>5300</v>
      </c>
      <c r="AD104" s="8">
        <f>+SUM($C26:AD26)</f>
        <v>5300</v>
      </c>
      <c r="AE104" s="8">
        <f>+SUM($C26:AE26)</f>
        <v>5300</v>
      </c>
      <c r="AF104" s="8">
        <f>+SUM($C26:AF26)</f>
        <v>5300</v>
      </c>
      <c r="AG104" s="8">
        <f>+SUM($C26:AG26)</f>
        <v>5300</v>
      </c>
    </row>
    <row r="105" spans="1:38" hidden="1" outlineLevel="1">
      <c r="A105" t="s">
        <v>254</v>
      </c>
      <c r="L105" s="8">
        <f>+SUM($C27:L27)</f>
        <v>604.4</v>
      </c>
      <c r="M105" s="8">
        <f>+SUM($C27:M27)</f>
        <v>1208.8</v>
      </c>
      <c r="N105" s="8">
        <f>+SUM($C27:N27)</f>
        <v>1813.1999999999998</v>
      </c>
      <c r="O105" s="8">
        <f>+SUM($C27:O27)</f>
        <v>2417.6</v>
      </c>
      <c r="P105" s="8">
        <f>+SUM($C27:P27)</f>
        <v>3022</v>
      </c>
      <c r="Q105" s="8">
        <f>+SUM($C27:Q27)</f>
        <v>3626.4</v>
      </c>
      <c r="R105" s="8">
        <f>+SUM($C27:R27)</f>
        <v>4130.0666666666666</v>
      </c>
      <c r="S105" s="8">
        <f>+SUM($C27:S27)</f>
        <v>4533</v>
      </c>
      <c r="T105" s="8">
        <f>+SUM($C27:T27)</f>
        <v>4533</v>
      </c>
      <c r="U105" s="8">
        <f>+SUM($C27:U27)</f>
        <v>4533</v>
      </c>
      <c r="V105" s="8">
        <f>+SUM($C27:V27)</f>
        <v>4533</v>
      </c>
      <c r="W105" s="8">
        <f>+SUM($C27:W27)</f>
        <v>4533</v>
      </c>
      <c r="X105" s="8">
        <f>+SUM($C27:X27)</f>
        <v>4533</v>
      </c>
      <c r="Y105" s="8">
        <f>+SUM($C27:Y27)</f>
        <v>4533</v>
      </c>
      <c r="Z105" s="8">
        <f>+SUM($C27:Z27)</f>
        <v>4533</v>
      </c>
      <c r="AA105" s="8">
        <f>+SUM($C27:AA27)</f>
        <v>4533</v>
      </c>
      <c r="AB105" s="8">
        <f>+SUM($C27:AB27)</f>
        <v>4533</v>
      </c>
      <c r="AC105" s="8">
        <f>+SUM($C27:AC27)</f>
        <v>4533</v>
      </c>
      <c r="AD105" s="8">
        <f>+SUM($C27:AD27)</f>
        <v>4533</v>
      </c>
      <c r="AE105" s="8">
        <f>+SUM($C27:AE27)</f>
        <v>4533</v>
      </c>
      <c r="AF105" s="8">
        <f>+SUM($C27:AF27)</f>
        <v>4533</v>
      </c>
      <c r="AG105" s="8">
        <f>+SUM($C27:AG27)</f>
        <v>4533</v>
      </c>
    </row>
    <row r="106" spans="1:38" hidden="1" outlineLevel="1">
      <c r="A106" t="s">
        <v>255</v>
      </c>
      <c r="M106" s="8">
        <f>+SUM($C28:M28)</f>
        <v>775.86666666666667</v>
      </c>
      <c r="N106" s="8">
        <f>+SUM($C28:N28)</f>
        <v>1551.7333333333333</v>
      </c>
      <c r="O106" s="8">
        <f>+SUM($C28:O28)</f>
        <v>2327.6</v>
      </c>
      <c r="P106" s="8">
        <f>+SUM($C28:P28)</f>
        <v>3103.4666666666667</v>
      </c>
      <c r="Q106" s="8">
        <f>+SUM($C28:Q28)</f>
        <v>3879.3333333333335</v>
      </c>
      <c r="R106" s="8">
        <f>+SUM($C28:R28)</f>
        <v>4525.8888888888887</v>
      </c>
      <c r="S106" s="8">
        <f>+SUM($C28:S28)</f>
        <v>5172.4444444444443</v>
      </c>
      <c r="T106" s="8">
        <f>+SUM($C28:T28)</f>
        <v>5701.4444444444443</v>
      </c>
      <c r="U106" s="8">
        <f>+SUM($C28:U28)</f>
        <v>5819</v>
      </c>
      <c r="V106" s="8">
        <f>+SUM($C28:V28)</f>
        <v>5819</v>
      </c>
      <c r="W106" s="8">
        <f>+SUM($C28:W28)</f>
        <v>5819</v>
      </c>
      <c r="X106" s="8">
        <f>+SUM($C28:X28)</f>
        <v>5819</v>
      </c>
      <c r="Y106" s="8">
        <f>+SUM($C28:Y28)</f>
        <v>5819</v>
      </c>
      <c r="Z106" s="8">
        <f>+SUM($C28:Z28)</f>
        <v>5819</v>
      </c>
      <c r="AA106" s="8">
        <f>+SUM($C28:AA28)</f>
        <v>5819</v>
      </c>
      <c r="AB106" s="8">
        <f>+SUM($C28:AB28)</f>
        <v>5819</v>
      </c>
      <c r="AC106" s="8">
        <f>+SUM($C28:AC28)</f>
        <v>5819</v>
      </c>
      <c r="AD106" s="8">
        <f>+SUM($C28:AD28)</f>
        <v>5819</v>
      </c>
      <c r="AE106" s="8">
        <f>+SUM($C28:AE28)</f>
        <v>5819</v>
      </c>
      <c r="AF106" s="8">
        <f>+SUM($C28:AF28)</f>
        <v>5819</v>
      </c>
      <c r="AG106" s="8">
        <f>+SUM($C28:AG28)</f>
        <v>5819</v>
      </c>
    </row>
    <row r="107" spans="1:38" hidden="1" outlineLevel="1">
      <c r="A107" t="s">
        <v>256</v>
      </c>
      <c r="N107" s="8">
        <f>+SUM($C29:N29)</f>
        <v>1300.9333333333334</v>
      </c>
      <c r="O107" s="8">
        <f>+SUM($C29:O29)</f>
        <v>2601.8666666666668</v>
      </c>
      <c r="P107" s="8">
        <f>+SUM($C29:P29)</f>
        <v>3902.8</v>
      </c>
      <c r="Q107" s="8">
        <f>+SUM($C29:Q29)</f>
        <v>5203.7333333333336</v>
      </c>
      <c r="R107" s="8">
        <f>+SUM($C29:R29)</f>
        <v>6287.8444444444449</v>
      </c>
      <c r="S107" s="8">
        <f>+SUM($C29:S29)</f>
        <v>7371.9555555555562</v>
      </c>
      <c r="T107" s="8">
        <f>+SUM($C29:T29)</f>
        <v>8258.9555555555562</v>
      </c>
      <c r="U107" s="8">
        <f>+SUM($C29:U29)</f>
        <v>9145.9555555555562</v>
      </c>
      <c r="V107" s="8">
        <f>+SUM($C29:V29)</f>
        <v>9757</v>
      </c>
      <c r="W107" s="8">
        <f>+SUM($C29:W29)</f>
        <v>9757</v>
      </c>
      <c r="X107" s="8">
        <f>+SUM($C29:X29)</f>
        <v>9757</v>
      </c>
      <c r="Y107" s="8">
        <f>+SUM($C29:Y29)</f>
        <v>9757</v>
      </c>
      <c r="Z107" s="8">
        <f>+SUM($C29:Z29)</f>
        <v>9757</v>
      </c>
      <c r="AA107" s="8">
        <f>+SUM($C29:AA29)</f>
        <v>9757</v>
      </c>
      <c r="AB107" s="8">
        <f>+SUM($C29:AB29)</f>
        <v>9757</v>
      </c>
      <c r="AC107" s="8">
        <f>+SUM($C29:AC29)</f>
        <v>9757</v>
      </c>
      <c r="AD107" s="8">
        <f>+SUM($C29:AD29)</f>
        <v>9757</v>
      </c>
      <c r="AE107" s="8">
        <f>+SUM($C29:AE29)</f>
        <v>9757</v>
      </c>
      <c r="AF107" s="8">
        <f>+SUM($C29:AF29)</f>
        <v>9757</v>
      </c>
      <c r="AG107" s="8">
        <f>+SUM($C29:AG29)</f>
        <v>9757</v>
      </c>
    </row>
    <row r="108" spans="1:38" hidden="1" outlineLevel="1">
      <c r="A108" t="s">
        <v>257</v>
      </c>
      <c r="O108" s="8">
        <f>+SUM($C30:O30)</f>
        <v>1436</v>
      </c>
      <c r="P108" s="8">
        <f>+SUM($C30:P30)</f>
        <v>2872</v>
      </c>
      <c r="Q108" s="8">
        <f>+SUM($C30:Q30)</f>
        <v>4308</v>
      </c>
      <c r="R108" s="8">
        <f>+SUM($C30:R30)</f>
        <v>5504.666666666667</v>
      </c>
      <c r="S108" s="8">
        <f>+SUM($C30:S30)</f>
        <v>6701.3333333333339</v>
      </c>
      <c r="T108" s="8">
        <f>+SUM($C30:T30)</f>
        <v>7680.4242424242429</v>
      </c>
      <c r="U108" s="8">
        <f>+SUM($C30:U30)</f>
        <v>8659.515151515152</v>
      </c>
      <c r="V108" s="8">
        <f>+SUM($C30:V30)</f>
        <v>9638.6060606060619</v>
      </c>
      <c r="W108" s="8">
        <f>+SUM($C30:W30)</f>
        <v>10617.696969696972</v>
      </c>
      <c r="X108" s="8">
        <f>+SUM($C30:X30)</f>
        <v>10770</v>
      </c>
      <c r="Y108" s="8">
        <f>+SUM($C30:Y30)</f>
        <v>10770</v>
      </c>
      <c r="Z108" s="8">
        <f>+SUM($C30:Z30)</f>
        <v>10770</v>
      </c>
      <c r="AA108" s="8">
        <f>+SUM($C30:AA30)</f>
        <v>10770</v>
      </c>
      <c r="AB108" s="8">
        <f>+SUM($C30:AB30)</f>
        <v>10770</v>
      </c>
      <c r="AC108" s="8">
        <f>+SUM($C30:AC30)</f>
        <v>10770</v>
      </c>
      <c r="AD108" s="8">
        <f>+SUM($C30:AD30)</f>
        <v>10770</v>
      </c>
      <c r="AE108" s="8">
        <f>+SUM($C30:AE30)</f>
        <v>10770</v>
      </c>
      <c r="AF108" s="8">
        <f>+SUM($C30:AF30)</f>
        <v>10770</v>
      </c>
      <c r="AG108" s="8">
        <f>+SUM($C30:AG30)</f>
        <v>10770</v>
      </c>
      <c r="AH108" s="8"/>
    </row>
    <row r="109" spans="1:38" hidden="1" outlineLevel="1">
      <c r="A109" t="s">
        <v>258</v>
      </c>
      <c r="P109" s="8">
        <f>+SUM($C31:P31)</f>
        <v>1749.8666666666666</v>
      </c>
      <c r="Q109" s="8">
        <f>+SUM($C31:Q31)</f>
        <v>3499.7333333333331</v>
      </c>
      <c r="R109" s="8">
        <f>+SUM($C31:R31)</f>
        <v>4957.9555555555553</v>
      </c>
      <c r="S109" s="8">
        <f>+SUM($C31:S31)</f>
        <v>6416.177777777777</v>
      </c>
      <c r="T109" s="8">
        <f>+SUM($C31:T31)</f>
        <v>7609.268686868686</v>
      </c>
      <c r="U109" s="8">
        <f>+SUM($C31:U31)</f>
        <v>8802.359595959595</v>
      </c>
      <c r="V109" s="8">
        <f>+SUM($C31:V31)</f>
        <v>9995.4505050505031</v>
      </c>
      <c r="W109" s="8">
        <f>+SUM($C31:W31)</f>
        <v>11188.541414141411</v>
      </c>
      <c r="X109" s="8">
        <f>+SUM($C31:X31)</f>
        <v>12381.632323232319</v>
      </c>
      <c r="Y109" s="8">
        <f>+SUM($C31:Y31)</f>
        <v>13124</v>
      </c>
      <c r="Z109" s="8">
        <f>+SUM($C31:Z31)</f>
        <v>13124</v>
      </c>
      <c r="AA109" s="8">
        <f>+SUM($C31:AA31)</f>
        <v>13124</v>
      </c>
      <c r="AB109" s="8">
        <f>+SUM($C31:AB31)</f>
        <v>13124</v>
      </c>
      <c r="AC109" s="8">
        <f>+SUM($C31:AC31)</f>
        <v>13124</v>
      </c>
      <c r="AD109" s="8">
        <f>+SUM($C31:AD31)</f>
        <v>13124</v>
      </c>
      <c r="AE109" s="8">
        <f>+SUM($C31:AE31)</f>
        <v>13124</v>
      </c>
      <c r="AF109" s="8">
        <f>+SUM($C31:AF31)</f>
        <v>13124</v>
      </c>
      <c r="AG109" s="8">
        <f>+SUM($C31:AG31)</f>
        <v>13124</v>
      </c>
      <c r="AH109" s="8"/>
      <c r="AI109" s="8"/>
    </row>
    <row r="110" spans="1:38" hidden="1" outlineLevel="1">
      <c r="A110" t="s">
        <v>259</v>
      </c>
      <c r="Q110" s="8">
        <f>+SUM($C32:Q32)</f>
        <v>2072.1333333333332</v>
      </c>
      <c r="R110" s="8">
        <f>+SUM($C32:R32)</f>
        <v>3798.911111111111</v>
      </c>
      <c r="S110" s="8">
        <f>+SUM($C32:S32)</f>
        <v>5525.6888888888889</v>
      </c>
      <c r="T110" s="8">
        <f>+SUM($C32:T32)</f>
        <v>6938.5070707070709</v>
      </c>
      <c r="U110" s="8">
        <f>+SUM($C32:U32)</f>
        <v>8351.3252525252519</v>
      </c>
      <c r="V110" s="8">
        <f>+SUM($C32:V32)</f>
        <v>9764.1434343434339</v>
      </c>
      <c r="W110" s="8">
        <f>+SUM($C32:W32)</f>
        <v>11176.961616161616</v>
      </c>
      <c r="X110" s="8">
        <f>+SUM($C32:X32)</f>
        <v>12589.779797979798</v>
      </c>
      <c r="Y110" s="8">
        <f>+SUM($C32:Y32)</f>
        <v>14002.59797979798</v>
      </c>
      <c r="Z110" s="8">
        <f>+SUM($C32:Z32)</f>
        <v>15415.416161616162</v>
      </c>
      <c r="AA110" s="8">
        <f>+SUM($C32:AA32)</f>
        <v>15541</v>
      </c>
      <c r="AB110" s="8">
        <f>+SUM($C32:AB32)</f>
        <v>15541</v>
      </c>
      <c r="AC110" s="8">
        <f>+SUM($C32:AC32)</f>
        <v>15541</v>
      </c>
      <c r="AD110" s="8">
        <f>+SUM($C32:AD32)</f>
        <v>15541</v>
      </c>
      <c r="AE110" s="8">
        <f>+SUM($C32:AE32)</f>
        <v>15541</v>
      </c>
      <c r="AF110" s="8">
        <f>+SUM($C32:AF32)</f>
        <v>15541</v>
      </c>
      <c r="AG110" s="8">
        <f>+SUM($C32:AG32)</f>
        <v>15541</v>
      </c>
      <c r="AH110" s="8"/>
      <c r="AI110" s="8"/>
      <c r="AJ110" s="8"/>
    </row>
    <row r="111" spans="1:38" hidden="1" outlineLevel="1">
      <c r="A111" t="s">
        <v>260</v>
      </c>
      <c r="R111" s="8">
        <f>+SUM($C33:R33)</f>
        <v>2635.3333333333335</v>
      </c>
      <c r="S111" s="8">
        <f>+SUM($C33:S33)</f>
        <v>5270.666666666667</v>
      </c>
      <c r="T111" s="8">
        <f>+SUM($C33:T33)</f>
        <v>7426.848484848485</v>
      </c>
      <c r="U111" s="8">
        <f>+SUM($C33:U33)</f>
        <v>9583.0303030303039</v>
      </c>
      <c r="V111" s="8">
        <f>+SUM($C33:V33)</f>
        <v>11739.212121212122</v>
      </c>
      <c r="W111" s="8">
        <f>+SUM($C33:W33)</f>
        <v>13895.39393939394</v>
      </c>
      <c r="X111" s="8">
        <f>+SUM($C33:X33)</f>
        <v>16051.575757575758</v>
      </c>
      <c r="Y111" s="8">
        <f>+SUM($C33:Y33)</f>
        <v>18207.757575757576</v>
      </c>
      <c r="Z111" s="8">
        <f>+SUM($C33:Z33)</f>
        <v>20363.939393939392</v>
      </c>
      <c r="AA111" s="8">
        <f>+SUM($C33:AA33)</f>
        <v>22520.121212121208</v>
      </c>
      <c r="AB111" s="8">
        <f>+SUM($C33:AB33)</f>
        <v>23718</v>
      </c>
      <c r="AC111" s="8">
        <f>+SUM($C33:AC33)</f>
        <v>23718</v>
      </c>
      <c r="AD111" s="8">
        <f>+SUM($C33:AD33)</f>
        <v>23718</v>
      </c>
      <c r="AE111" s="8">
        <f>+SUM($C33:AE33)</f>
        <v>23718</v>
      </c>
      <c r="AF111" s="8">
        <f>+SUM($C33:AF33)</f>
        <v>23718</v>
      </c>
      <c r="AG111" s="8">
        <f>+SUM($C33:AG33)</f>
        <v>23718</v>
      </c>
      <c r="AH111" s="8"/>
      <c r="AI111" s="8"/>
      <c r="AJ111" s="8"/>
      <c r="AK111" s="8"/>
    </row>
    <row r="112" spans="1:38" hidden="1" outlineLevel="1">
      <c r="A112" t="s">
        <v>109</v>
      </c>
      <c r="S112" s="8">
        <f>+SUM($C34:S34)</f>
        <v>2554.6666666666665</v>
      </c>
      <c r="T112" s="8">
        <f>+SUM($C34:T34)</f>
        <v>4644.8484848484841</v>
      </c>
      <c r="U112" s="8">
        <f>+SUM($C34:U34)</f>
        <v>6735.0303030303021</v>
      </c>
      <c r="V112" s="8">
        <f>+SUM($C34:V34)</f>
        <v>8825.2121212121201</v>
      </c>
      <c r="W112" s="8">
        <f>+SUM($C34:W34)</f>
        <v>10915.393939393938</v>
      </c>
      <c r="X112" s="8">
        <f>+SUM($C34:X34)</f>
        <v>13005.575757575756</v>
      </c>
      <c r="Y112" s="8">
        <f>+SUM($C34:Y34)</f>
        <v>15095.757575757574</v>
      </c>
      <c r="Z112" s="8">
        <f>+SUM($C34:Z34)</f>
        <v>17185.939393939392</v>
      </c>
      <c r="AA112" s="8">
        <f>+SUM($C34:AA34)</f>
        <v>19276.121212121208</v>
      </c>
      <c r="AB112" s="8">
        <f>+SUM($C34:AB34)</f>
        <v>21366.303030303025</v>
      </c>
      <c r="AC112" s="8">
        <f>+SUM($C34:AC34)</f>
        <v>22992</v>
      </c>
      <c r="AD112" s="8">
        <f>+SUM($C34:AD34)</f>
        <v>22992</v>
      </c>
      <c r="AE112" s="8">
        <f>+SUM($C34:AE34)</f>
        <v>22992</v>
      </c>
      <c r="AF112" s="8">
        <f>+SUM($C34:AF34)</f>
        <v>22992</v>
      </c>
      <c r="AG112" s="8">
        <f>+SUM($C34:AG34)</f>
        <v>22992</v>
      </c>
      <c r="AH112" s="8"/>
      <c r="AI112" s="8"/>
      <c r="AJ112" s="8"/>
      <c r="AK112" s="8"/>
      <c r="AL112" s="8"/>
    </row>
    <row r="113" spans="1:44" hidden="1" outlineLevel="1">
      <c r="A113" t="s">
        <v>190</v>
      </c>
      <c r="T113" s="8">
        <f>+SUM($C35:T35)</f>
        <v>2712.181818181818</v>
      </c>
      <c r="U113" s="8">
        <f>+SUM($C35:U35)</f>
        <v>5424.363636363636</v>
      </c>
      <c r="V113" s="8">
        <f>+SUM($C35:V35)</f>
        <v>8136.545454545454</v>
      </c>
      <c r="W113" s="8">
        <f>+SUM($C35:W35)</f>
        <v>10848.727272727272</v>
      </c>
      <c r="X113" s="8">
        <f>+SUM($C35:X35)</f>
        <v>13560.90909090909</v>
      </c>
      <c r="Y113" s="8">
        <f>+SUM($C35:Y35)</f>
        <v>16273.090909090908</v>
      </c>
      <c r="Z113" s="8">
        <f>+SUM($C35:Z35)</f>
        <v>18985.272727272728</v>
      </c>
      <c r="AA113" s="8">
        <f>+SUM($C35:AA35)</f>
        <v>21697.454545454544</v>
      </c>
      <c r="AB113" s="8">
        <f>+SUM($C35:AB35)</f>
        <v>24409.63636363636</v>
      </c>
      <c r="AC113" s="8">
        <f>+SUM($C35:AC35)</f>
        <v>27121.818181818177</v>
      </c>
      <c r="AD113" s="8">
        <f>+SUM($C35:AD35)</f>
        <v>29833.999999999993</v>
      </c>
      <c r="AE113" s="8">
        <f>+SUM($C35:AE35)</f>
        <v>29833.999999999993</v>
      </c>
      <c r="AF113" s="8">
        <f>+SUM($C35:AF35)</f>
        <v>29833.999999999993</v>
      </c>
      <c r="AG113" s="8">
        <f>+SUM($C35:AG35)</f>
        <v>29833.999999999993</v>
      </c>
      <c r="AH113" s="8"/>
      <c r="AI113" s="8"/>
      <c r="AJ113" s="8"/>
      <c r="AK113" s="8"/>
      <c r="AL113" s="8"/>
      <c r="AM113" s="8"/>
    </row>
    <row r="114" spans="1:44" hidden="1" outlineLevel="1">
      <c r="A114" t="s">
        <v>191</v>
      </c>
      <c r="V114" s="8">
        <f>+SUM($C36:V36)</f>
        <v>8749.0909090909099</v>
      </c>
      <c r="W114" s="8">
        <f>+SUM($C36:W36)</f>
        <v>13123.636363636364</v>
      </c>
      <c r="X114" s="8">
        <f>+SUM($C36:X36)</f>
        <v>17498.18181818182</v>
      </c>
      <c r="Y114" s="8">
        <f>+SUM($C36:Y36)</f>
        <v>21872.727272727276</v>
      </c>
      <c r="Z114" s="8">
        <f>+SUM($C36:Z36)</f>
        <v>26247.272727272732</v>
      </c>
      <c r="AA114" s="8">
        <f>+SUM($C36:AA36)</f>
        <v>30621.818181818187</v>
      </c>
      <c r="AB114" s="8">
        <f>+SUM($C36:AB36)</f>
        <v>34996.36363636364</v>
      </c>
      <c r="AC114" s="8">
        <f>+SUM($C36:AC36)</f>
        <v>39370.909090909096</v>
      </c>
      <c r="AD114" s="8">
        <f>+SUM($C36:AD36)</f>
        <v>43745.454545454551</v>
      </c>
      <c r="AE114" s="8">
        <f>+SUM($C36:AE36)</f>
        <v>48120</v>
      </c>
      <c r="AF114" s="8">
        <f>+SUM($C36:AF36)</f>
        <v>48120</v>
      </c>
      <c r="AG114" s="8">
        <f>+SUM($C36:AG36)</f>
        <v>48120</v>
      </c>
      <c r="AH114" s="8"/>
      <c r="AI114" s="8"/>
      <c r="AJ114" s="8"/>
      <c r="AK114" s="8"/>
      <c r="AL114" s="8"/>
      <c r="AM114" s="8"/>
      <c r="AN114" s="8"/>
    </row>
    <row r="115" spans="1:44" hidden="1" outlineLevel="1">
      <c r="A115" t="s">
        <v>72</v>
      </c>
      <c r="V115" s="8">
        <f>+SUM($C37:V37)</f>
        <v>6381.9813938305861</v>
      </c>
      <c r="W115" s="8">
        <f>+SUM($C37:W37)</f>
        <v>12763.962787661172</v>
      </c>
      <c r="X115" s="8">
        <f>+SUM($C37:X37)</f>
        <v>19145.944181491759</v>
      </c>
      <c r="Y115" s="8">
        <f>+SUM($C37:Y37)</f>
        <v>25527.925575322344</v>
      </c>
      <c r="Z115" s="8">
        <f>+SUM($C37:Z37)</f>
        <v>31909.906969152929</v>
      </c>
      <c r="AA115" s="8">
        <f>+SUM($C37:AA37)</f>
        <v>38291.888362983518</v>
      </c>
      <c r="AB115" s="8">
        <f>+SUM($C37:AB37)</f>
        <v>44673.869756814107</v>
      </c>
      <c r="AC115" s="8">
        <f>+SUM($C37:AC37)</f>
        <v>51055.851150644696</v>
      </c>
      <c r="AD115" s="8">
        <f>+SUM($C37:AD37)</f>
        <v>57437.832544475285</v>
      </c>
      <c r="AE115" s="8">
        <f>+SUM($C37:AE37)</f>
        <v>63819.813938305873</v>
      </c>
      <c r="AF115" s="8">
        <f>+SUM($C37:AF37)</f>
        <v>70201.795332136448</v>
      </c>
      <c r="AG115" s="8">
        <f>+SUM($C37:AG37)</f>
        <v>70201.795332136448</v>
      </c>
      <c r="AH115" s="8"/>
      <c r="AI115" s="8"/>
      <c r="AJ115" s="8"/>
      <c r="AK115" s="8"/>
      <c r="AL115" s="8"/>
      <c r="AM115" s="8"/>
      <c r="AN115" s="8"/>
      <c r="AO115" s="8"/>
    </row>
    <row r="116" spans="1:44" hidden="1" outlineLevel="1">
      <c r="A116" t="s">
        <v>73</v>
      </c>
      <c r="W116" s="8">
        <f>+SUM($C38:W38)</f>
        <v>5754.9201688489375</v>
      </c>
      <c r="X116" s="8">
        <f>+SUM($C38:X38)</f>
        <v>11509.840337697875</v>
      </c>
      <c r="Y116" s="8">
        <f>+SUM($C38:Y38)</f>
        <v>17264.760506546812</v>
      </c>
      <c r="Z116" s="8">
        <f>+SUM($C38:Z38)</f>
        <v>23019.68067539575</v>
      </c>
      <c r="AA116" s="8">
        <f>+SUM($C38:AA38)</f>
        <v>28774.600844244687</v>
      </c>
      <c r="AB116" s="8">
        <f>+SUM($C38:AB38)</f>
        <v>34529.521013093625</v>
      </c>
      <c r="AC116" s="8">
        <f>+SUM($C38:AC38)</f>
        <v>40284.441181942559</v>
      </c>
      <c r="AD116" s="8">
        <f>+SUM($C38:AD38)</f>
        <v>46039.3613507915</v>
      </c>
      <c r="AE116" s="8">
        <f>+SUM($C38:AE38)</f>
        <v>51794.281519640441</v>
      </c>
      <c r="AF116" s="8">
        <f>+SUM($C38:AF38)</f>
        <v>57549.201688489382</v>
      </c>
      <c r="AG116" s="8">
        <f>+SUM($C38:AG38)</f>
        <v>63304.121857338316</v>
      </c>
      <c r="AH116" s="8"/>
      <c r="AI116" s="8"/>
      <c r="AJ116" s="8"/>
      <c r="AK116" s="8"/>
      <c r="AL116" s="8"/>
      <c r="AM116" s="8"/>
      <c r="AN116" s="8"/>
      <c r="AO116" s="8"/>
      <c r="AP116" s="8"/>
    </row>
    <row r="117" spans="1:44" hidden="1" outlineLevel="1">
      <c r="A117" t="s">
        <v>74</v>
      </c>
      <c r="X117" s="8">
        <f>+SUM($C39:X39)</f>
        <v>6091.0433721023865</v>
      </c>
      <c r="Y117" s="8">
        <f>+SUM($C39:Y39)</f>
        <v>12182.086744204773</v>
      </c>
      <c r="Z117" s="8">
        <f>+SUM($C39:Z39)</f>
        <v>18273.130116307158</v>
      </c>
      <c r="AA117" s="8">
        <f>+SUM($C39:AA39)</f>
        <v>24364.173488409546</v>
      </c>
      <c r="AB117" s="8">
        <f>+SUM($C39:AB39)</f>
        <v>30455.216860511933</v>
      </c>
      <c r="AC117" s="8">
        <f>+SUM($C39:AC39)</f>
        <v>36546.260232614317</v>
      </c>
      <c r="AD117" s="8">
        <f>+SUM($C39:AD39)</f>
        <v>42637.303604716704</v>
      </c>
      <c r="AE117" s="8">
        <f>+SUM($C39:AE39)</f>
        <v>48728.346976819092</v>
      </c>
      <c r="AF117" s="8">
        <f>+SUM($C39:AF39)</f>
        <v>54819.390348921479</v>
      </c>
      <c r="AG117" s="8">
        <f>+SUM($C39:AG39)</f>
        <v>60910.433721023866</v>
      </c>
      <c r="AH117" s="8"/>
      <c r="AI117" s="8"/>
      <c r="AJ117" s="8"/>
      <c r="AK117" s="8"/>
      <c r="AL117" s="8"/>
      <c r="AM117" s="8"/>
      <c r="AN117" s="8"/>
      <c r="AO117" s="8"/>
      <c r="AP117" s="8"/>
      <c r="AQ117" s="8"/>
    </row>
    <row r="118" spans="1:44" hidden="1" outlineLevel="1">
      <c r="A118" t="s">
        <v>75</v>
      </c>
      <c r="Y118" s="8">
        <f>+SUM($C40:Y40)</f>
        <v>6373.6601022618825</v>
      </c>
      <c r="Z118" s="8">
        <f>+SUM($C40:Z40)</f>
        <v>12747.320204523765</v>
      </c>
      <c r="AA118" s="8">
        <f>+SUM($C40:AA40)</f>
        <v>19120.980306785648</v>
      </c>
      <c r="AB118" s="8">
        <f>+SUM($C40:AB40)</f>
        <v>25494.64040904753</v>
      </c>
      <c r="AC118" s="8">
        <f>+SUM($C40:AC40)</f>
        <v>31868.300511309411</v>
      </c>
      <c r="AD118" s="8">
        <f>+SUM($C40:AD40)</f>
        <v>38241.960613571297</v>
      </c>
      <c r="AE118" s="8">
        <f>+SUM($C40:AE40)</f>
        <v>44615.620715833182</v>
      </c>
      <c r="AF118" s="8">
        <f>+SUM($C40:AF40)</f>
        <v>50989.280818095067</v>
      </c>
      <c r="AG118" s="8">
        <f>+SUM($C40:AG40)</f>
        <v>57362.940920356952</v>
      </c>
      <c r="AH118" s="8"/>
      <c r="AI118" s="8"/>
      <c r="AJ118" s="8"/>
      <c r="AK118" s="8"/>
      <c r="AL118" s="8"/>
      <c r="AM118" s="8"/>
      <c r="AN118" s="8"/>
      <c r="AO118" s="8"/>
      <c r="AP118" s="8"/>
      <c r="AQ118" s="8"/>
      <c r="AR118" s="8"/>
    </row>
    <row r="119" spans="1:44" hidden="1" outlineLevel="1">
      <c r="A119" t="s">
        <v>76</v>
      </c>
      <c r="Y119" s="8"/>
      <c r="Z119" s="8">
        <f>+SUM($C41:Z41)</f>
        <v>6579.172788588301</v>
      </c>
      <c r="AA119" s="8">
        <f>+SUM($C41:AA41)</f>
        <v>13158.345577176602</v>
      </c>
      <c r="AB119" s="8">
        <f>+SUM($C41:AB41)</f>
        <v>19737.518365764903</v>
      </c>
      <c r="AC119" s="8">
        <f>+SUM($C41:AC41)</f>
        <v>26316.691154353204</v>
      </c>
      <c r="AD119" s="8">
        <f>+SUM($C41:AD41)</f>
        <v>32895.863942941505</v>
      </c>
      <c r="AE119" s="8">
        <f>+SUM($C41:AE41)</f>
        <v>39475.036731529806</v>
      </c>
      <c r="AF119" s="8">
        <f>+SUM($C41:AF41)</f>
        <v>46054.209520118107</v>
      </c>
      <c r="AG119" s="8">
        <f>+SUM($C41:AG41)</f>
        <v>52633.382308706408</v>
      </c>
      <c r="AH119" s="8"/>
      <c r="AI119" s="8"/>
      <c r="AJ119" s="8"/>
      <c r="AK119" s="8"/>
      <c r="AL119" s="8"/>
      <c r="AM119" s="8"/>
      <c r="AN119" s="8"/>
      <c r="AO119" s="8"/>
      <c r="AP119" s="8"/>
      <c r="AQ119" s="8"/>
      <c r="AR119" s="8"/>
    </row>
    <row r="120" spans="1:44" hidden="1" outlineLevel="1">
      <c r="A120" t="s">
        <v>77</v>
      </c>
      <c r="Y120" s="8"/>
      <c r="Z120" s="8"/>
      <c r="AA120" s="8">
        <f>+SUM($C42:AA42)</f>
        <v>6678.1401355133185</v>
      </c>
      <c r="AB120" s="8">
        <f>+SUM($C42:AB42)</f>
        <v>13356.280271026637</v>
      </c>
      <c r="AC120" s="8">
        <f>+SUM($C42:AC42)</f>
        <v>20034.420406539954</v>
      </c>
      <c r="AD120" s="8">
        <f>+SUM($C42:AD42)</f>
        <v>26712.560542053274</v>
      </c>
      <c r="AE120" s="8">
        <f>+SUM($C42:AE42)</f>
        <v>33390.700677566594</v>
      </c>
      <c r="AF120" s="8">
        <f>+SUM($C42:AF42)</f>
        <v>40068.840813079914</v>
      </c>
      <c r="AG120" s="8">
        <f>+SUM($C42:AG42)</f>
        <v>46746.980948593235</v>
      </c>
      <c r="AH120" s="8"/>
      <c r="AI120" s="8"/>
      <c r="AJ120" s="8"/>
      <c r="AK120" s="8"/>
      <c r="AL120" s="8"/>
      <c r="AM120" s="8"/>
      <c r="AN120" s="8"/>
      <c r="AO120" s="8"/>
      <c r="AP120" s="8"/>
      <c r="AQ120" s="8"/>
      <c r="AR120" s="8"/>
    </row>
    <row r="121" spans="1:44" hidden="1" outlineLevel="1">
      <c r="A121" t="s">
        <v>78</v>
      </c>
      <c r="Y121" s="8"/>
      <c r="Z121" s="8"/>
      <c r="AA121" s="8"/>
      <c r="AB121" s="8">
        <f>+SUM($C43:AB43)</f>
        <v>7186.895240507848</v>
      </c>
      <c r="AC121" s="8">
        <f>+SUM($C43:AC43)</f>
        <v>14373.790481015696</v>
      </c>
      <c r="AD121" s="8">
        <f>+SUM($C43:AD43)</f>
        <v>21560.685721523543</v>
      </c>
      <c r="AE121" s="8">
        <f>+SUM($C43:AE43)</f>
        <v>28747.580962031392</v>
      </c>
      <c r="AF121" s="8">
        <f>+SUM($C43:AF43)</f>
        <v>35934.476202539241</v>
      </c>
      <c r="AG121" s="8">
        <f>+SUM($C43:AG43)</f>
        <v>43121.371443047086</v>
      </c>
      <c r="AH121" s="8"/>
      <c r="AI121" s="8"/>
      <c r="AJ121" s="8"/>
      <c r="AK121" s="8"/>
      <c r="AL121" s="8"/>
      <c r="AM121" s="8"/>
      <c r="AN121" s="8"/>
      <c r="AO121" s="8"/>
      <c r="AP121" s="8"/>
      <c r="AQ121" s="8"/>
      <c r="AR121" s="8"/>
    </row>
    <row r="122" spans="1:44" hidden="1" outlineLevel="1">
      <c r="A122" t="s">
        <v>79</v>
      </c>
      <c r="Y122" s="8"/>
      <c r="Z122" s="8"/>
      <c r="AA122" s="8"/>
      <c r="AB122" s="8"/>
      <c r="AC122" s="8">
        <f>+SUM($C44:AC44)</f>
        <v>7682.2808937562804</v>
      </c>
      <c r="AD122" s="8">
        <f>+SUM($C44:AD44)</f>
        <v>15364.561787512561</v>
      </c>
      <c r="AE122" s="8">
        <f>+SUM($C44:AE44)</f>
        <v>23046.842681268841</v>
      </c>
      <c r="AF122" s="8">
        <f>+SUM($C44:AF44)</f>
        <v>30729.123575025122</v>
      </c>
      <c r="AG122" s="8">
        <f>+SUM($C44:AG44)</f>
        <v>38411.404468781402</v>
      </c>
      <c r="AH122" s="8"/>
      <c r="AI122" s="8"/>
      <c r="AJ122" s="8"/>
      <c r="AK122" s="8"/>
      <c r="AL122" s="8"/>
      <c r="AM122" s="8"/>
      <c r="AN122" s="8"/>
      <c r="AO122" s="8"/>
      <c r="AP122" s="8"/>
      <c r="AQ122" s="8"/>
      <c r="AR122" s="8"/>
    </row>
    <row r="123" spans="1:44" hidden="1" outlineLevel="1">
      <c r="A123" t="s">
        <v>80</v>
      </c>
      <c r="Y123" s="8"/>
      <c r="Z123" s="8"/>
      <c r="AA123" s="8"/>
      <c r="AB123" s="8"/>
      <c r="AC123" s="8"/>
      <c r="AD123" s="8">
        <f>+SUM($C45:AD45)</f>
        <v>8889.5972359210446</v>
      </c>
      <c r="AE123" s="8">
        <f>+SUM($C45:AE45)</f>
        <v>17779.194471842089</v>
      </c>
      <c r="AF123" s="8">
        <f>+SUM($C45:AF45)</f>
        <v>26668.791707763135</v>
      </c>
      <c r="AG123" s="8">
        <f>+SUM($C45:AG45)</f>
        <v>35558.388943684178</v>
      </c>
      <c r="AH123" s="8"/>
      <c r="AI123" s="8"/>
      <c r="AJ123" s="8"/>
      <c r="AK123" s="8"/>
      <c r="AL123" s="8"/>
      <c r="AM123" s="8"/>
      <c r="AN123" s="8"/>
      <c r="AO123" s="8"/>
      <c r="AP123" s="8"/>
      <c r="AQ123" s="8"/>
      <c r="AR123" s="8"/>
    </row>
    <row r="124" spans="1:44" hidden="1" outlineLevel="1">
      <c r="A124" t="s">
        <v>81</v>
      </c>
      <c r="Y124" s="8"/>
      <c r="Z124" s="8"/>
      <c r="AA124" s="8"/>
      <c r="AB124" s="8"/>
      <c r="AC124" s="8"/>
      <c r="AD124" s="8"/>
      <c r="AE124" s="8">
        <f>+SUM($C46:AE46)</f>
        <v>10279.935126694072</v>
      </c>
      <c r="AF124" s="8">
        <f>+SUM($C46:AF46)</f>
        <v>20559.870253388144</v>
      </c>
      <c r="AG124" s="8">
        <f>+SUM($C46:AG46)</f>
        <v>30839.805380082216</v>
      </c>
      <c r="AH124" s="8"/>
      <c r="AI124" s="8"/>
      <c r="AJ124" s="8"/>
      <c r="AK124" s="8"/>
      <c r="AL124" s="8"/>
      <c r="AM124" s="8"/>
      <c r="AN124" s="8"/>
      <c r="AO124" s="8"/>
      <c r="AP124" s="8"/>
      <c r="AQ124" s="8"/>
      <c r="AR124" s="8"/>
    </row>
    <row r="125" spans="1:44" hidden="1" outlineLevel="1">
      <c r="A125" t="s">
        <v>82</v>
      </c>
      <c r="Y125" s="8"/>
      <c r="Z125" s="8"/>
      <c r="AA125" s="8"/>
      <c r="AB125" s="8"/>
      <c r="AC125" s="8"/>
      <c r="AD125" s="8"/>
      <c r="AE125" s="8"/>
      <c r="AF125" s="8">
        <f>+SUM($C47:AF47)</f>
        <v>11880.81514177152</v>
      </c>
      <c r="AG125" s="8">
        <f>+SUM($C47:AG47)</f>
        <v>23761.63028354304</v>
      </c>
      <c r="AH125" s="8"/>
      <c r="AI125" s="8"/>
      <c r="AJ125" s="8"/>
      <c r="AK125" s="8"/>
      <c r="AL125" s="8"/>
      <c r="AM125" s="8"/>
      <c r="AN125" s="8"/>
      <c r="AO125" s="8"/>
      <c r="AP125" s="8"/>
      <c r="AQ125" s="8"/>
      <c r="AR125" s="8"/>
    </row>
    <row r="126" spans="1:44" hidden="1" outlineLevel="1">
      <c r="A126" t="s">
        <v>83</v>
      </c>
      <c r="Y126" s="8"/>
      <c r="Z126" s="8"/>
      <c r="AA126" s="8"/>
      <c r="AB126" s="8"/>
      <c r="AC126" s="8"/>
      <c r="AD126" s="8"/>
      <c r="AE126" s="8"/>
      <c r="AF126" s="8"/>
      <c r="AG126" s="8">
        <f>+SUM($C48:AG48)</f>
        <v>13723.888300223154</v>
      </c>
      <c r="AH126" s="8"/>
      <c r="AI126" s="8"/>
      <c r="AJ126" s="8"/>
      <c r="AK126" s="8"/>
      <c r="AL126" s="8"/>
      <c r="AM126" s="8"/>
      <c r="AN126" s="8"/>
      <c r="AO126" s="8"/>
      <c r="AP126" s="8"/>
      <c r="AQ126" s="8"/>
      <c r="AR126" s="8"/>
    </row>
    <row r="127" spans="1:44" hidden="1" outlineLevel="1">
      <c r="A127" t="s">
        <v>911</v>
      </c>
      <c r="Y127" s="8"/>
      <c r="Z127" s="8"/>
      <c r="AA127" s="8"/>
      <c r="AB127" s="8"/>
      <c r="AC127" s="8"/>
      <c r="AD127" s="8"/>
      <c r="AE127" s="8"/>
      <c r="AF127" s="8"/>
      <c r="AG127" s="8"/>
      <c r="AH127" s="8"/>
      <c r="AI127" s="8"/>
      <c r="AJ127" s="8"/>
      <c r="AK127" s="8"/>
      <c r="AL127" s="8"/>
      <c r="AM127" s="8"/>
      <c r="AN127" s="8"/>
      <c r="AO127" s="8"/>
      <c r="AP127" s="8"/>
      <c r="AQ127" s="8"/>
      <c r="AR127" s="8"/>
    </row>
    <row r="128" spans="1:44" hidden="1" outlineLevel="1"/>
    <row r="129" spans="1:37" ht="10.5" hidden="1" outlineLevel="1">
      <c r="A129" s="45" t="s">
        <v>925</v>
      </c>
    </row>
    <row r="130" spans="1:37" hidden="1" outlineLevel="1">
      <c r="A130" t="str">
        <f>+A97</f>
        <v>FY07 and prior</v>
      </c>
      <c r="D130" s="8">
        <f t="shared" ref="D130:AG140" si="36">+D64-D97</f>
        <v>8117.2</v>
      </c>
      <c r="E130" s="8">
        <f t="shared" si="36"/>
        <v>6868.4</v>
      </c>
      <c r="F130" s="8">
        <f t="shared" si="36"/>
        <v>5619.6</v>
      </c>
      <c r="G130" s="8">
        <f t="shared" si="36"/>
        <v>4370.8</v>
      </c>
      <c r="H130" s="8">
        <f t="shared" si="36"/>
        <v>3122</v>
      </c>
      <c r="I130" s="8">
        <f t="shared" si="36"/>
        <v>1873.1999999999998</v>
      </c>
      <c r="J130" s="8">
        <f t="shared" si="36"/>
        <v>624.39999999999964</v>
      </c>
      <c r="K130" s="8">
        <f t="shared" si="36"/>
        <v>0</v>
      </c>
      <c r="L130" s="8">
        <f t="shared" si="36"/>
        <v>0</v>
      </c>
      <c r="M130" s="8">
        <f t="shared" si="36"/>
        <v>0</v>
      </c>
      <c r="N130" s="8">
        <f t="shared" si="36"/>
        <v>0</v>
      </c>
      <c r="O130" s="8">
        <f t="shared" si="36"/>
        <v>0</v>
      </c>
      <c r="P130" s="8">
        <f>+P64-P97</f>
        <v>0</v>
      </c>
      <c r="Q130" s="8">
        <f t="shared" si="36"/>
        <v>0</v>
      </c>
      <c r="R130" s="8">
        <f t="shared" si="36"/>
        <v>0</v>
      </c>
      <c r="S130" s="8">
        <f t="shared" si="36"/>
        <v>0</v>
      </c>
      <c r="T130" s="8">
        <f t="shared" si="36"/>
        <v>0</v>
      </c>
      <c r="U130" s="8">
        <f t="shared" si="36"/>
        <v>0</v>
      </c>
      <c r="V130" s="8">
        <f t="shared" si="36"/>
        <v>0</v>
      </c>
      <c r="W130" s="8">
        <f t="shared" si="36"/>
        <v>0</v>
      </c>
      <c r="X130" s="8">
        <f t="shared" si="36"/>
        <v>0</v>
      </c>
      <c r="Y130" s="8">
        <f t="shared" si="36"/>
        <v>0</v>
      </c>
      <c r="Z130" s="8">
        <f t="shared" si="36"/>
        <v>0</v>
      </c>
      <c r="AA130" s="8">
        <f t="shared" si="36"/>
        <v>0</v>
      </c>
      <c r="AB130" s="8">
        <f t="shared" si="36"/>
        <v>0</v>
      </c>
      <c r="AC130" s="8">
        <f t="shared" si="36"/>
        <v>0</v>
      </c>
      <c r="AD130" s="8">
        <f t="shared" si="36"/>
        <v>0</v>
      </c>
      <c r="AE130" s="8">
        <f t="shared" si="36"/>
        <v>0</v>
      </c>
      <c r="AF130" s="8">
        <f t="shared" si="36"/>
        <v>0</v>
      </c>
      <c r="AG130" s="8">
        <f t="shared" si="36"/>
        <v>0</v>
      </c>
    </row>
    <row r="131" spans="1:37" hidden="1" outlineLevel="1">
      <c r="A131" t="s">
        <v>247</v>
      </c>
      <c r="E131" s="8">
        <f t="shared" si="36"/>
        <v>2754.2666666666664</v>
      </c>
      <c r="F131" s="8">
        <f t="shared" si="36"/>
        <v>2330.5333333333333</v>
      </c>
      <c r="G131" s="8">
        <f t="shared" si="36"/>
        <v>1906.8</v>
      </c>
      <c r="H131" s="8">
        <f t="shared" si="36"/>
        <v>1483.0666666666666</v>
      </c>
      <c r="I131" s="8">
        <f t="shared" si="36"/>
        <v>1059.333333333333</v>
      </c>
      <c r="J131" s="8">
        <f t="shared" si="36"/>
        <v>635.59999999999945</v>
      </c>
      <c r="K131" s="8">
        <f t="shared" si="36"/>
        <v>211.86666666666588</v>
      </c>
      <c r="L131" s="8">
        <f t="shared" si="36"/>
        <v>0</v>
      </c>
      <c r="M131" s="8">
        <f t="shared" si="36"/>
        <v>0</v>
      </c>
      <c r="N131" s="8">
        <f t="shared" si="36"/>
        <v>0</v>
      </c>
      <c r="O131" s="8">
        <f t="shared" si="36"/>
        <v>0</v>
      </c>
      <c r="P131" s="8">
        <f t="shared" si="36"/>
        <v>0</v>
      </c>
      <c r="Q131" s="8">
        <f t="shared" si="36"/>
        <v>0</v>
      </c>
      <c r="R131" s="8">
        <f t="shared" si="36"/>
        <v>0</v>
      </c>
      <c r="S131" s="8">
        <f t="shared" si="36"/>
        <v>0</v>
      </c>
      <c r="T131" s="8">
        <f t="shared" si="36"/>
        <v>0</v>
      </c>
      <c r="U131" s="8">
        <f t="shared" si="36"/>
        <v>0</v>
      </c>
      <c r="V131" s="8">
        <f t="shared" si="36"/>
        <v>0</v>
      </c>
      <c r="W131" s="8">
        <f t="shared" si="36"/>
        <v>0</v>
      </c>
      <c r="X131" s="8">
        <f t="shared" si="36"/>
        <v>0</v>
      </c>
      <c r="Y131" s="8">
        <f t="shared" si="36"/>
        <v>0</v>
      </c>
      <c r="Z131" s="8">
        <f t="shared" si="36"/>
        <v>0</v>
      </c>
      <c r="AA131" s="8">
        <f t="shared" si="36"/>
        <v>0</v>
      </c>
      <c r="AB131" s="8">
        <f t="shared" si="36"/>
        <v>0</v>
      </c>
      <c r="AC131" s="8">
        <f t="shared" si="36"/>
        <v>0</v>
      </c>
      <c r="AD131" s="8">
        <f t="shared" si="36"/>
        <v>0</v>
      </c>
      <c r="AE131" s="8">
        <f t="shared" si="36"/>
        <v>0</v>
      </c>
      <c r="AF131" s="8">
        <f t="shared" si="36"/>
        <v>0</v>
      </c>
      <c r="AG131" s="8">
        <f t="shared" si="36"/>
        <v>0</v>
      </c>
    </row>
    <row r="132" spans="1:37" hidden="1" outlineLevel="1">
      <c r="A132" t="s">
        <v>248</v>
      </c>
      <c r="F132" s="8">
        <f t="shared" si="36"/>
        <v>2199.6</v>
      </c>
      <c r="G132" s="8">
        <f t="shared" si="36"/>
        <v>1861.2</v>
      </c>
      <c r="H132" s="8">
        <f t="shared" si="36"/>
        <v>1522.8000000000002</v>
      </c>
      <c r="I132" s="8">
        <f t="shared" si="36"/>
        <v>1184.4000000000001</v>
      </c>
      <c r="J132" s="8">
        <f t="shared" si="36"/>
        <v>846</v>
      </c>
      <c r="K132" s="8">
        <f t="shared" si="36"/>
        <v>507.59999999999991</v>
      </c>
      <c r="L132" s="8">
        <f t="shared" si="36"/>
        <v>169.19999999999982</v>
      </c>
      <c r="M132" s="8">
        <f t="shared" si="36"/>
        <v>0</v>
      </c>
      <c r="N132" s="8">
        <f t="shared" si="36"/>
        <v>0</v>
      </c>
      <c r="O132" s="8">
        <f t="shared" si="36"/>
        <v>0</v>
      </c>
      <c r="P132" s="8">
        <f t="shared" si="36"/>
        <v>0</v>
      </c>
      <c r="Q132" s="8">
        <f t="shared" si="36"/>
        <v>0</v>
      </c>
      <c r="R132" s="8">
        <f t="shared" si="36"/>
        <v>0</v>
      </c>
      <c r="S132" s="8">
        <f t="shared" si="36"/>
        <v>0</v>
      </c>
      <c r="T132" s="8">
        <f t="shared" si="36"/>
        <v>0</v>
      </c>
      <c r="U132" s="8">
        <f t="shared" si="36"/>
        <v>0</v>
      </c>
      <c r="V132" s="8">
        <f t="shared" si="36"/>
        <v>0</v>
      </c>
      <c r="W132" s="8">
        <f t="shared" si="36"/>
        <v>0</v>
      </c>
      <c r="X132" s="8">
        <f t="shared" si="36"/>
        <v>0</v>
      </c>
      <c r="Y132" s="8">
        <f t="shared" si="36"/>
        <v>0</v>
      </c>
      <c r="Z132" s="8">
        <f t="shared" si="36"/>
        <v>0</v>
      </c>
      <c r="AA132" s="8">
        <f t="shared" si="36"/>
        <v>0</v>
      </c>
      <c r="AB132" s="8">
        <f t="shared" si="36"/>
        <v>0</v>
      </c>
      <c r="AC132" s="8">
        <f t="shared" si="36"/>
        <v>0</v>
      </c>
      <c r="AD132" s="8">
        <f t="shared" si="36"/>
        <v>0</v>
      </c>
      <c r="AE132" s="8">
        <f t="shared" si="36"/>
        <v>0</v>
      </c>
      <c r="AF132" s="8">
        <f t="shared" si="36"/>
        <v>0</v>
      </c>
      <c r="AG132" s="8">
        <f t="shared" si="36"/>
        <v>0</v>
      </c>
    </row>
    <row r="133" spans="1:37" hidden="1" outlineLevel="1">
      <c r="A133" t="s">
        <v>249</v>
      </c>
      <c r="G133" s="8">
        <f t="shared" si="36"/>
        <v>1020.0666666666666</v>
      </c>
      <c r="H133" s="8">
        <f t="shared" si="36"/>
        <v>863.13333333333333</v>
      </c>
      <c r="I133" s="8">
        <f t="shared" si="36"/>
        <v>706.2</v>
      </c>
      <c r="J133" s="8">
        <f t="shared" si="36"/>
        <v>549.26666666666665</v>
      </c>
      <c r="K133" s="8">
        <f t="shared" si="36"/>
        <v>392.33333333333326</v>
      </c>
      <c r="L133" s="8">
        <f t="shared" si="36"/>
        <v>235.39999999999986</v>
      </c>
      <c r="M133" s="8">
        <f t="shared" si="36"/>
        <v>78.46666666666647</v>
      </c>
      <c r="N133" s="8">
        <f t="shared" si="36"/>
        <v>0</v>
      </c>
      <c r="O133" s="8">
        <f t="shared" si="36"/>
        <v>0</v>
      </c>
      <c r="P133" s="8">
        <f t="shared" si="36"/>
        <v>0</v>
      </c>
      <c r="Q133" s="8">
        <f t="shared" si="36"/>
        <v>0</v>
      </c>
      <c r="R133" s="8">
        <f t="shared" si="36"/>
        <v>0</v>
      </c>
      <c r="S133" s="8">
        <f t="shared" si="36"/>
        <v>0</v>
      </c>
      <c r="T133" s="8">
        <f t="shared" si="36"/>
        <v>0</v>
      </c>
      <c r="U133" s="8">
        <f t="shared" si="36"/>
        <v>0</v>
      </c>
      <c r="V133" s="8">
        <f t="shared" si="36"/>
        <v>0</v>
      </c>
      <c r="W133" s="8">
        <f t="shared" si="36"/>
        <v>0</v>
      </c>
      <c r="X133" s="8">
        <f t="shared" si="36"/>
        <v>0</v>
      </c>
      <c r="Y133" s="8">
        <f t="shared" si="36"/>
        <v>0</v>
      </c>
      <c r="Z133" s="8">
        <f t="shared" si="36"/>
        <v>0</v>
      </c>
      <c r="AA133" s="8">
        <f t="shared" si="36"/>
        <v>0</v>
      </c>
      <c r="AB133" s="8">
        <f t="shared" si="36"/>
        <v>0</v>
      </c>
      <c r="AC133" s="8">
        <f t="shared" si="36"/>
        <v>0</v>
      </c>
      <c r="AD133" s="8">
        <f t="shared" si="36"/>
        <v>0</v>
      </c>
      <c r="AE133" s="8">
        <f t="shared" si="36"/>
        <v>0</v>
      </c>
      <c r="AF133" s="8">
        <f t="shared" si="36"/>
        <v>0</v>
      </c>
      <c r="AG133" s="8">
        <f t="shared" si="36"/>
        <v>0</v>
      </c>
    </row>
    <row r="134" spans="1:37" hidden="1" outlineLevel="1">
      <c r="A134" t="s">
        <v>250</v>
      </c>
      <c r="H134" s="8">
        <f t="shared" si="36"/>
        <v>1501.0666666666666</v>
      </c>
      <c r="I134" s="8">
        <f t="shared" si="36"/>
        <v>1270.1333333333332</v>
      </c>
      <c r="J134" s="8">
        <f t="shared" si="36"/>
        <v>1039.2</v>
      </c>
      <c r="K134" s="8">
        <f t="shared" si="36"/>
        <v>808.26666666666665</v>
      </c>
      <c r="L134" s="8">
        <f t="shared" si="36"/>
        <v>577.33333333333326</v>
      </c>
      <c r="M134" s="8">
        <f t="shared" si="36"/>
        <v>346.39999999999986</v>
      </c>
      <c r="N134" s="8">
        <f t="shared" si="36"/>
        <v>115.46666666666647</v>
      </c>
      <c r="O134" s="8">
        <f t="shared" si="36"/>
        <v>0</v>
      </c>
      <c r="P134" s="8">
        <f t="shared" si="36"/>
        <v>0</v>
      </c>
      <c r="Q134" s="8">
        <f t="shared" si="36"/>
        <v>0</v>
      </c>
      <c r="R134" s="8">
        <f t="shared" si="36"/>
        <v>0</v>
      </c>
      <c r="S134" s="8">
        <f t="shared" si="36"/>
        <v>0</v>
      </c>
      <c r="T134" s="8">
        <f t="shared" si="36"/>
        <v>0</v>
      </c>
      <c r="U134" s="8">
        <f t="shared" si="36"/>
        <v>0</v>
      </c>
      <c r="V134" s="8">
        <f t="shared" si="36"/>
        <v>0</v>
      </c>
      <c r="W134" s="8">
        <f t="shared" si="36"/>
        <v>0</v>
      </c>
      <c r="X134" s="8">
        <f t="shared" si="36"/>
        <v>0</v>
      </c>
      <c r="Y134" s="8">
        <f t="shared" si="36"/>
        <v>0</v>
      </c>
      <c r="Z134" s="8">
        <f t="shared" si="36"/>
        <v>0</v>
      </c>
      <c r="AA134" s="8">
        <f t="shared" si="36"/>
        <v>0</v>
      </c>
      <c r="AB134" s="8">
        <f t="shared" si="36"/>
        <v>0</v>
      </c>
      <c r="AC134" s="8">
        <f t="shared" si="36"/>
        <v>0</v>
      </c>
      <c r="AD134" s="8">
        <f t="shared" si="36"/>
        <v>0</v>
      </c>
      <c r="AE134" s="8">
        <f t="shared" si="36"/>
        <v>0</v>
      </c>
      <c r="AF134" s="8">
        <f t="shared" si="36"/>
        <v>0</v>
      </c>
      <c r="AG134" s="8">
        <f t="shared" si="36"/>
        <v>0</v>
      </c>
    </row>
    <row r="135" spans="1:37" hidden="1" outlineLevel="1">
      <c r="A135" t="s">
        <v>251</v>
      </c>
      <c r="I135" s="8">
        <f t="shared" si="36"/>
        <v>1074.6666666666667</v>
      </c>
      <c r="J135" s="8">
        <f t="shared" si="36"/>
        <v>909.33333333333326</v>
      </c>
      <c r="K135" s="8">
        <f t="shared" si="36"/>
        <v>744</v>
      </c>
      <c r="L135" s="8">
        <f t="shared" si="36"/>
        <v>578.66666666666663</v>
      </c>
      <c r="M135" s="8">
        <f t="shared" si="36"/>
        <v>413.33333333333326</v>
      </c>
      <c r="N135" s="8">
        <f t="shared" si="36"/>
        <v>247.99999999999989</v>
      </c>
      <c r="O135" s="8">
        <f t="shared" si="36"/>
        <v>82.666666666666515</v>
      </c>
      <c r="P135" s="8">
        <f t="shared" si="36"/>
        <v>0</v>
      </c>
      <c r="Q135" s="8">
        <f t="shared" si="36"/>
        <v>0</v>
      </c>
      <c r="R135" s="8">
        <f t="shared" si="36"/>
        <v>0</v>
      </c>
      <c r="S135" s="8">
        <f t="shared" si="36"/>
        <v>0</v>
      </c>
      <c r="T135" s="8">
        <f t="shared" si="36"/>
        <v>0</v>
      </c>
      <c r="U135" s="8">
        <f t="shared" si="36"/>
        <v>0</v>
      </c>
      <c r="V135" s="8">
        <f t="shared" si="36"/>
        <v>0</v>
      </c>
      <c r="W135" s="8">
        <f t="shared" si="36"/>
        <v>0</v>
      </c>
      <c r="X135" s="8">
        <f t="shared" si="36"/>
        <v>0</v>
      </c>
      <c r="Y135" s="8">
        <f t="shared" si="36"/>
        <v>0</v>
      </c>
      <c r="Z135" s="8">
        <f t="shared" si="36"/>
        <v>0</v>
      </c>
      <c r="AA135" s="8">
        <f t="shared" si="36"/>
        <v>0</v>
      </c>
      <c r="AB135" s="8">
        <f t="shared" si="36"/>
        <v>0</v>
      </c>
      <c r="AC135" s="8">
        <f t="shared" si="36"/>
        <v>0</v>
      </c>
      <c r="AD135" s="8">
        <f t="shared" si="36"/>
        <v>0</v>
      </c>
      <c r="AE135" s="8">
        <f t="shared" si="36"/>
        <v>0</v>
      </c>
      <c r="AF135" s="8">
        <f t="shared" si="36"/>
        <v>0</v>
      </c>
      <c r="AG135" s="8">
        <f t="shared" si="36"/>
        <v>0</v>
      </c>
    </row>
    <row r="136" spans="1:37" hidden="1" outlineLevel="1">
      <c r="A136" t="s">
        <v>252</v>
      </c>
      <c r="J136" s="8">
        <f t="shared" si="36"/>
        <v>2836.6</v>
      </c>
      <c r="K136" s="8">
        <f t="shared" si="36"/>
        <v>2400.1999999999998</v>
      </c>
      <c r="L136" s="8">
        <f t="shared" si="36"/>
        <v>1963.8000000000002</v>
      </c>
      <c r="M136" s="8">
        <f t="shared" si="36"/>
        <v>1527.4</v>
      </c>
      <c r="N136" s="8">
        <f t="shared" si="36"/>
        <v>1091</v>
      </c>
      <c r="O136" s="8">
        <f t="shared" si="36"/>
        <v>654.59999999999991</v>
      </c>
      <c r="P136" s="8">
        <f t="shared" si="36"/>
        <v>218.19999999999982</v>
      </c>
      <c r="Q136" s="8">
        <f t="shared" si="36"/>
        <v>0</v>
      </c>
      <c r="R136" s="8">
        <f t="shared" si="36"/>
        <v>0</v>
      </c>
      <c r="S136" s="8">
        <f t="shared" si="36"/>
        <v>0</v>
      </c>
      <c r="T136" s="8">
        <f t="shared" si="36"/>
        <v>0</v>
      </c>
      <c r="U136" s="8">
        <f t="shared" si="36"/>
        <v>0</v>
      </c>
      <c r="V136" s="8">
        <f t="shared" si="36"/>
        <v>0</v>
      </c>
      <c r="W136" s="8">
        <f t="shared" si="36"/>
        <v>0</v>
      </c>
      <c r="X136" s="8">
        <f t="shared" si="36"/>
        <v>0</v>
      </c>
      <c r="Y136" s="8">
        <f t="shared" si="36"/>
        <v>0</v>
      </c>
      <c r="Z136" s="8">
        <f t="shared" si="36"/>
        <v>0</v>
      </c>
      <c r="AA136" s="8">
        <f t="shared" si="36"/>
        <v>0</v>
      </c>
      <c r="AB136" s="8">
        <f t="shared" si="36"/>
        <v>0</v>
      </c>
      <c r="AC136" s="8">
        <f t="shared" si="36"/>
        <v>0</v>
      </c>
      <c r="AD136" s="8">
        <f t="shared" si="36"/>
        <v>0</v>
      </c>
      <c r="AE136" s="8">
        <f t="shared" si="36"/>
        <v>0</v>
      </c>
      <c r="AF136" s="8">
        <f t="shared" si="36"/>
        <v>0</v>
      </c>
      <c r="AG136" s="8">
        <f t="shared" si="36"/>
        <v>0</v>
      </c>
    </row>
    <row r="137" spans="1:37" hidden="1" outlineLevel="1">
      <c r="A137" t="s">
        <v>253</v>
      </c>
      <c r="K137" s="8">
        <f t="shared" si="36"/>
        <v>4593.333333333333</v>
      </c>
      <c r="L137" s="8">
        <f t="shared" si="36"/>
        <v>3886.666666666667</v>
      </c>
      <c r="M137" s="8">
        <f t="shared" si="36"/>
        <v>3180</v>
      </c>
      <c r="N137" s="8">
        <f t="shared" si="36"/>
        <v>2473.3333333333335</v>
      </c>
      <c r="O137" s="8">
        <f t="shared" si="36"/>
        <v>1766.666666666667</v>
      </c>
      <c r="P137" s="8">
        <f t="shared" si="36"/>
        <v>1060</v>
      </c>
      <c r="Q137" s="8">
        <f t="shared" si="36"/>
        <v>353.33333333333303</v>
      </c>
      <c r="R137" s="8">
        <f t="shared" si="36"/>
        <v>0</v>
      </c>
      <c r="S137" s="8">
        <f t="shared" si="36"/>
        <v>0</v>
      </c>
      <c r="T137" s="8">
        <f t="shared" si="36"/>
        <v>0</v>
      </c>
      <c r="U137" s="8">
        <f t="shared" si="36"/>
        <v>0</v>
      </c>
      <c r="V137" s="8">
        <f t="shared" si="36"/>
        <v>0</v>
      </c>
      <c r="W137" s="8">
        <f t="shared" si="36"/>
        <v>0</v>
      </c>
      <c r="X137" s="8">
        <f t="shared" si="36"/>
        <v>0</v>
      </c>
      <c r="Y137" s="8">
        <f t="shared" si="36"/>
        <v>0</v>
      </c>
      <c r="Z137" s="8">
        <f t="shared" si="36"/>
        <v>0</v>
      </c>
      <c r="AA137" s="8">
        <f t="shared" si="36"/>
        <v>0</v>
      </c>
      <c r="AB137" s="8">
        <f t="shared" si="36"/>
        <v>0</v>
      </c>
      <c r="AC137" s="8">
        <f t="shared" si="36"/>
        <v>0</v>
      </c>
      <c r="AD137" s="8">
        <f t="shared" si="36"/>
        <v>0</v>
      </c>
      <c r="AE137" s="8">
        <f t="shared" si="36"/>
        <v>0</v>
      </c>
      <c r="AF137" s="8">
        <f t="shared" si="36"/>
        <v>0</v>
      </c>
      <c r="AG137" s="8">
        <f t="shared" si="36"/>
        <v>0</v>
      </c>
    </row>
    <row r="138" spans="1:37" hidden="1" outlineLevel="1">
      <c r="A138" t="s">
        <v>254</v>
      </c>
      <c r="L138" s="8">
        <f t="shared" si="36"/>
        <v>3928.6</v>
      </c>
      <c r="M138" s="8">
        <f t="shared" si="36"/>
        <v>3324.2</v>
      </c>
      <c r="N138" s="8">
        <f>+N72-N105</f>
        <v>2719.8</v>
      </c>
      <c r="O138" s="8">
        <f t="shared" si="36"/>
        <v>2115.4</v>
      </c>
      <c r="P138" s="8">
        <f t="shared" si="36"/>
        <v>1511</v>
      </c>
      <c r="Q138" s="8">
        <f t="shared" si="36"/>
        <v>906.59999999999991</v>
      </c>
      <c r="R138" s="8">
        <f t="shared" si="36"/>
        <v>402.93333333333339</v>
      </c>
      <c r="S138" s="8">
        <f t="shared" si="36"/>
        <v>0</v>
      </c>
      <c r="T138" s="8">
        <f t="shared" si="36"/>
        <v>0</v>
      </c>
      <c r="U138" s="8">
        <f t="shared" si="36"/>
        <v>0</v>
      </c>
      <c r="V138" s="8">
        <f t="shared" si="36"/>
        <v>0</v>
      </c>
      <c r="W138" s="8">
        <f t="shared" si="36"/>
        <v>0</v>
      </c>
      <c r="X138" s="8">
        <f t="shared" si="36"/>
        <v>0</v>
      </c>
      <c r="Y138" s="8">
        <f t="shared" si="36"/>
        <v>0</v>
      </c>
      <c r="Z138" s="8">
        <f t="shared" si="36"/>
        <v>0</v>
      </c>
      <c r="AA138" s="8">
        <f t="shared" si="36"/>
        <v>0</v>
      </c>
      <c r="AB138" s="8">
        <f t="shared" si="36"/>
        <v>0</v>
      </c>
      <c r="AC138" s="8">
        <f t="shared" si="36"/>
        <v>0</v>
      </c>
      <c r="AD138" s="8">
        <f t="shared" si="36"/>
        <v>0</v>
      </c>
      <c r="AE138" s="8">
        <f t="shared" si="36"/>
        <v>0</v>
      </c>
      <c r="AF138" s="8">
        <f t="shared" si="36"/>
        <v>0</v>
      </c>
      <c r="AG138" s="8">
        <f t="shared" si="36"/>
        <v>0</v>
      </c>
    </row>
    <row r="139" spans="1:37" hidden="1" outlineLevel="1">
      <c r="A139" t="s">
        <v>255</v>
      </c>
      <c r="M139" s="8">
        <f t="shared" si="36"/>
        <v>5043.1333333333332</v>
      </c>
      <c r="N139" s="8">
        <f>+N73-N106</f>
        <v>4267.2666666666664</v>
      </c>
      <c r="O139" s="8">
        <f t="shared" si="36"/>
        <v>3491.4</v>
      </c>
      <c r="P139" s="8">
        <f t="shared" si="36"/>
        <v>2715.5333333333333</v>
      </c>
      <c r="Q139" s="8">
        <f t="shared" si="36"/>
        <v>1939.6666666666665</v>
      </c>
      <c r="R139" s="8">
        <f t="shared" si="36"/>
        <v>1293.1111111111113</v>
      </c>
      <c r="S139" s="8">
        <f t="shared" si="36"/>
        <v>646.55555555555566</v>
      </c>
      <c r="T139" s="8">
        <f t="shared" si="36"/>
        <v>117.55555555555566</v>
      </c>
      <c r="U139" s="8">
        <f t="shared" si="36"/>
        <v>0</v>
      </c>
      <c r="V139" s="8">
        <f t="shared" si="36"/>
        <v>0</v>
      </c>
      <c r="W139" s="8">
        <f t="shared" si="36"/>
        <v>0</v>
      </c>
      <c r="X139" s="8">
        <f t="shared" si="36"/>
        <v>0</v>
      </c>
      <c r="Y139" s="8">
        <f t="shared" si="36"/>
        <v>0</v>
      </c>
      <c r="Z139" s="8">
        <f t="shared" si="36"/>
        <v>0</v>
      </c>
      <c r="AA139" s="8">
        <f t="shared" si="36"/>
        <v>0</v>
      </c>
      <c r="AB139" s="8">
        <f t="shared" si="36"/>
        <v>0</v>
      </c>
      <c r="AC139" s="8">
        <f t="shared" si="36"/>
        <v>0</v>
      </c>
      <c r="AD139" s="8">
        <f t="shared" si="36"/>
        <v>0</v>
      </c>
      <c r="AE139" s="8">
        <f t="shared" si="36"/>
        <v>0</v>
      </c>
      <c r="AF139" s="8">
        <f t="shared" si="36"/>
        <v>0</v>
      </c>
      <c r="AG139" s="8">
        <f t="shared" si="36"/>
        <v>0</v>
      </c>
    </row>
    <row r="140" spans="1:37" hidden="1" outlineLevel="1">
      <c r="A140" t="s">
        <v>256</v>
      </c>
      <c r="N140" s="8">
        <f t="shared" ref="N140:Y148" si="37">+N74-N107</f>
        <v>8456.0666666666657</v>
      </c>
      <c r="O140" s="8">
        <f t="shared" si="37"/>
        <v>7155.1333333333332</v>
      </c>
      <c r="P140" s="8">
        <f t="shared" si="37"/>
        <v>5854.2</v>
      </c>
      <c r="Q140" s="8">
        <f t="shared" si="37"/>
        <v>4553.2666666666664</v>
      </c>
      <c r="R140" s="8">
        <f t="shared" si="37"/>
        <v>3469.1555555555551</v>
      </c>
      <c r="S140" s="8">
        <f t="shared" si="37"/>
        <v>2385.0444444444438</v>
      </c>
      <c r="T140" s="8">
        <f t="shared" si="37"/>
        <v>1498.0444444444438</v>
      </c>
      <c r="U140" s="8">
        <f t="shared" si="36"/>
        <v>611.0444444444438</v>
      </c>
      <c r="V140" s="8">
        <f t="shared" si="37"/>
        <v>0</v>
      </c>
      <c r="W140" s="8">
        <f t="shared" si="37"/>
        <v>0</v>
      </c>
      <c r="X140" s="8">
        <f t="shared" si="37"/>
        <v>0</v>
      </c>
      <c r="Y140" s="8">
        <f t="shared" si="37"/>
        <v>0</v>
      </c>
      <c r="Z140" s="8">
        <f t="shared" si="36"/>
        <v>0</v>
      </c>
      <c r="AA140" s="8">
        <f t="shared" si="36"/>
        <v>0</v>
      </c>
      <c r="AB140" s="8">
        <f t="shared" ref="Z140:AG155" si="38">+AB74-AB107</f>
        <v>0</v>
      </c>
      <c r="AC140" s="8">
        <f t="shared" si="38"/>
        <v>0</v>
      </c>
      <c r="AD140" s="8">
        <f t="shared" si="38"/>
        <v>0</v>
      </c>
      <c r="AE140" s="8">
        <f t="shared" si="38"/>
        <v>0</v>
      </c>
      <c r="AF140" s="8">
        <f t="shared" si="38"/>
        <v>0</v>
      </c>
      <c r="AG140" s="8">
        <f t="shared" si="38"/>
        <v>0</v>
      </c>
    </row>
    <row r="141" spans="1:37" hidden="1" outlineLevel="1">
      <c r="A141" t="s">
        <v>257</v>
      </c>
      <c r="O141" s="8">
        <f t="shared" si="37"/>
        <v>9334</v>
      </c>
      <c r="P141" s="8">
        <f t="shared" si="37"/>
        <v>7898</v>
      </c>
      <c r="Q141" s="8">
        <f t="shared" si="37"/>
        <v>6462</v>
      </c>
      <c r="R141" s="8">
        <f t="shared" si="37"/>
        <v>5265.333333333333</v>
      </c>
      <c r="S141" s="8">
        <f t="shared" si="37"/>
        <v>4068.6666666666661</v>
      </c>
      <c r="T141" s="8">
        <f t="shared" si="37"/>
        <v>3089.5757575757571</v>
      </c>
      <c r="U141" s="8">
        <f t="shared" si="37"/>
        <v>2110.484848484848</v>
      </c>
      <c r="V141" s="8">
        <f t="shared" si="37"/>
        <v>1131.3939393939381</v>
      </c>
      <c r="W141" s="8">
        <f t="shared" si="37"/>
        <v>152.30303030302821</v>
      </c>
      <c r="X141" s="8">
        <f t="shared" si="37"/>
        <v>0</v>
      </c>
      <c r="Y141" s="8">
        <f t="shared" si="37"/>
        <v>0</v>
      </c>
      <c r="Z141" s="8">
        <f t="shared" si="38"/>
        <v>0</v>
      </c>
      <c r="AA141" s="8">
        <f t="shared" si="38"/>
        <v>0</v>
      </c>
      <c r="AB141" s="8">
        <f t="shared" si="38"/>
        <v>0</v>
      </c>
      <c r="AC141" s="8">
        <f t="shared" si="38"/>
        <v>0</v>
      </c>
      <c r="AD141" s="8">
        <f t="shared" si="38"/>
        <v>0</v>
      </c>
      <c r="AE141" s="8">
        <f t="shared" si="38"/>
        <v>0</v>
      </c>
      <c r="AF141" s="8">
        <f t="shared" si="38"/>
        <v>0</v>
      </c>
      <c r="AG141" s="8">
        <f t="shared" si="38"/>
        <v>0</v>
      </c>
      <c r="AH141" s="8"/>
    </row>
    <row r="142" spans="1:37" hidden="1" outlineLevel="1">
      <c r="A142" t="s">
        <v>258</v>
      </c>
      <c r="P142" s="8">
        <f>+P76-P109</f>
        <v>11374.133333333333</v>
      </c>
      <c r="Q142" s="8">
        <f t="shared" si="37"/>
        <v>9624.2666666666664</v>
      </c>
      <c r="R142" s="8">
        <f t="shared" si="37"/>
        <v>8166.0444444444447</v>
      </c>
      <c r="S142" s="8">
        <f t="shared" si="37"/>
        <v>6707.822222222223</v>
      </c>
      <c r="T142" s="8">
        <f t="shared" si="37"/>
        <v>5514.731313131314</v>
      </c>
      <c r="U142" s="8">
        <f t="shared" si="37"/>
        <v>4321.640404040405</v>
      </c>
      <c r="V142" s="8">
        <f t="shared" si="37"/>
        <v>3128.5494949494969</v>
      </c>
      <c r="W142" s="8">
        <f t="shared" si="37"/>
        <v>1935.4585858585888</v>
      </c>
      <c r="X142" s="8">
        <f t="shared" si="37"/>
        <v>742.36767676768068</v>
      </c>
      <c r="Y142" s="8">
        <f t="shared" si="37"/>
        <v>0</v>
      </c>
      <c r="Z142" s="8">
        <f t="shared" si="38"/>
        <v>0</v>
      </c>
      <c r="AA142" s="8">
        <f t="shared" si="38"/>
        <v>0</v>
      </c>
      <c r="AB142" s="8">
        <f t="shared" si="38"/>
        <v>0</v>
      </c>
      <c r="AC142" s="8">
        <f t="shared" si="38"/>
        <v>0</v>
      </c>
      <c r="AD142" s="8">
        <f t="shared" si="38"/>
        <v>0</v>
      </c>
      <c r="AE142" s="8">
        <f t="shared" si="38"/>
        <v>0</v>
      </c>
      <c r="AF142" s="8">
        <f t="shared" si="38"/>
        <v>0</v>
      </c>
      <c r="AG142" s="8">
        <f t="shared" si="38"/>
        <v>0</v>
      </c>
      <c r="AH142" s="8"/>
      <c r="AI142" s="8"/>
    </row>
    <row r="143" spans="1:37" hidden="1" outlineLevel="1">
      <c r="A143" t="s">
        <v>259</v>
      </c>
      <c r="Q143" s="8">
        <f t="shared" si="37"/>
        <v>13468.866666666667</v>
      </c>
      <c r="R143" s="8">
        <f t="shared" si="37"/>
        <v>11742.088888888889</v>
      </c>
      <c r="S143" s="8">
        <f>+S77-S110</f>
        <v>10015.31111111111</v>
      </c>
      <c r="T143" s="8">
        <f t="shared" si="37"/>
        <v>8602.4929292929301</v>
      </c>
      <c r="U143" s="8">
        <f t="shared" si="37"/>
        <v>7189.6747474747481</v>
      </c>
      <c r="V143" s="8">
        <f t="shared" si="37"/>
        <v>5776.8565656565661</v>
      </c>
      <c r="W143" s="8">
        <f t="shared" si="37"/>
        <v>4364.0383838383841</v>
      </c>
      <c r="X143" s="8">
        <f t="shared" si="37"/>
        <v>2951.2202020202021</v>
      </c>
      <c r="Y143" s="8">
        <f t="shared" si="37"/>
        <v>1538.4020202020201</v>
      </c>
      <c r="Z143" s="8">
        <f t="shared" si="38"/>
        <v>125.58383838383816</v>
      </c>
      <c r="AA143" s="8">
        <f t="shared" si="38"/>
        <v>0</v>
      </c>
      <c r="AB143" s="8">
        <f t="shared" si="38"/>
        <v>0</v>
      </c>
      <c r="AC143" s="8">
        <f t="shared" si="38"/>
        <v>0</v>
      </c>
      <c r="AD143" s="8">
        <f t="shared" si="38"/>
        <v>0</v>
      </c>
      <c r="AE143" s="8">
        <f t="shared" si="38"/>
        <v>0</v>
      </c>
      <c r="AF143" s="8">
        <f t="shared" si="38"/>
        <v>0</v>
      </c>
      <c r="AG143" s="8">
        <f t="shared" si="38"/>
        <v>0</v>
      </c>
      <c r="AH143" s="8"/>
      <c r="AI143" s="8"/>
      <c r="AJ143" s="8"/>
    </row>
    <row r="144" spans="1:37" hidden="1" outlineLevel="1">
      <c r="A144" t="s">
        <v>260</v>
      </c>
      <c r="R144" s="8">
        <f t="shared" si="37"/>
        <v>21082.666666666668</v>
      </c>
      <c r="S144" s="8">
        <f t="shared" si="37"/>
        <v>18447.333333333332</v>
      </c>
      <c r="T144" s="8">
        <f t="shared" si="37"/>
        <v>16291.151515151516</v>
      </c>
      <c r="U144" s="8">
        <f t="shared" si="37"/>
        <v>14134.969696969696</v>
      </c>
      <c r="V144" s="8">
        <f t="shared" si="37"/>
        <v>11978.787878787878</v>
      </c>
      <c r="W144" s="8">
        <f t="shared" si="37"/>
        <v>9822.6060606060601</v>
      </c>
      <c r="X144" s="8">
        <f t="shared" si="37"/>
        <v>7666.424242424242</v>
      </c>
      <c r="Y144" s="8">
        <f t="shared" si="37"/>
        <v>5510.242424242424</v>
      </c>
      <c r="Z144" s="8">
        <f t="shared" si="38"/>
        <v>3354.0606060606078</v>
      </c>
      <c r="AA144" s="8">
        <f t="shared" si="38"/>
        <v>1197.8787878787916</v>
      </c>
      <c r="AB144" s="8">
        <f t="shared" si="38"/>
        <v>0</v>
      </c>
      <c r="AC144" s="8">
        <f t="shared" si="38"/>
        <v>0</v>
      </c>
      <c r="AD144" s="8">
        <f t="shared" si="38"/>
        <v>0</v>
      </c>
      <c r="AE144" s="8">
        <f t="shared" si="38"/>
        <v>0</v>
      </c>
      <c r="AF144" s="8">
        <f t="shared" si="38"/>
        <v>0</v>
      </c>
      <c r="AG144" s="8">
        <f t="shared" si="38"/>
        <v>0</v>
      </c>
      <c r="AH144" s="8"/>
      <c r="AI144" s="8"/>
      <c r="AJ144" s="8"/>
      <c r="AK144" s="8"/>
    </row>
    <row r="145" spans="1:44" hidden="1" outlineLevel="1">
      <c r="A145" t="s">
        <v>109</v>
      </c>
      <c r="S145" s="8">
        <f t="shared" si="37"/>
        <v>20437.333333333332</v>
      </c>
      <c r="T145" s="8">
        <f t="shared" si="37"/>
        <v>18347.151515151516</v>
      </c>
      <c r="U145" s="8">
        <f t="shared" si="37"/>
        <v>16256.969696969698</v>
      </c>
      <c r="V145" s="8">
        <f t="shared" si="37"/>
        <v>14166.78787878788</v>
      </c>
      <c r="W145" s="8">
        <f t="shared" si="37"/>
        <v>12076.606060606062</v>
      </c>
      <c r="X145" s="8">
        <f t="shared" si="37"/>
        <v>9986.4242424242439</v>
      </c>
      <c r="Y145" s="8">
        <f t="shared" si="37"/>
        <v>7896.2424242424258</v>
      </c>
      <c r="Z145" s="8">
        <f t="shared" si="38"/>
        <v>5806.0606060606078</v>
      </c>
      <c r="AA145" s="8">
        <f t="shared" si="38"/>
        <v>3715.8787878787916</v>
      </c>
      <c r="AB145" s="8">
        <f t="shared" si="38"/>
        <v>1625.6969696969754</v>
      </c>
      <c r="AC145" s="8">
        <f t="shared" si="38"/>
        <v>0</v>
      </c>
      <c r="AD145" s="8">
        <f t="shared" si="38"/>
        <v>0</v>
      </c>
      <c r="AE145" s="8">
        <f t="shared" si="38"/>
        <v>0</v>
      </c>
      <c r="AF145" s="8">
        <f t="shared" si="38"/>
        <v>0</v>
      </c>
      <c r="AG145" s="8">
        <f t="shared" si="38"/>
        <v>0</v>
      </c>
      <c r="AH145" s="8"/>
      <c r="AI145" s="8"/>
      <c r="AJ145" s="8"/>
      <c r="AK145" s="8"/>
      <c r="AL145" s="8"/>
    </row>
    <row r="146" spans="1:44" hidden="1" outlineLevel="1">
      <c r="A146" t="s">
        <v>190</v>
      </c>
      <c r="T146" s="8">
        <f t="shared" si="37"/>
        <v>27121.818181818184</v>
      </c>
      <c r="U146" s="8">
        <f t="shared" si="37"/>
        <v>24409.636363636364</v>
      </c>
      <c r="V146" s="8">
        <f t="shared" si="37"/>
        <v>21697.454545454544</v>
      </c>
      <c r="W146" s="8">
        <f t="shared" si="37"/>
        <v>18985.272727272728</v>
      </c>
      <c r="X146" s="8">
        <f t="shared" si="37"/>
        <v>16273.09090909091</v>
      </c>
      <c r="Y146" s="8">
        <f t="shared" si="37"/>
        <v>13560.909090909092</v>
      </c>
      <c r="Z146" s="8">
        <f t="shared" si="38"/>
        <v>10848.727272727272</v>
      </c>
      <c r="AA146" s="8">
        <f t="shared" si="38"/>
        <v>8136.5454545454559</v>
      </c>
      <c r="AB146" s="8">
        <f t="shared" si="38"/>
        <v>5424.3636363636397</v>
      </c>
      <c r="AC146" s="8">
        <f t="shared" si="38"/>
        <v>2712.1818181818235</v>
      </c>
      <c r="AD146" s="8">
        <f t="shared" si="38"/>
        <v>0</v>
      </c>
      <c r="AE146" s="8">
        <f t="shared" si="38"/>
        <v>0</v>
      </c>
      <c r="AF146" s="8">
        <f t="shared" si="38"/>
        <v>0</v>
      </c>
      <c r="AG146" s="8">
        <f t="shared" si="38"/>
        <v>0</v>
      </c>
      <c r="AH146" s="8"/>
      <c r="AI146" s="8"/>
      <c r="AJ146" s="8"/>
      <c r="AK146" s="8"/>
      <c r="AL146" s="8"/>
      <c r="AM146" s="8"/>
    </row>
    <row r="147" spans="1:44" hidden="1" outlineLevel="1">
      <c r="A147" t="s">
        <v>191</v>
      </c>
      <c r="U147" s="8">
        <f t="shared" si="37"/>
        <v>48120</v>
      </c>
      <c r="V147" s="8">
        <f t="shared" si="37"/>
        <v>39370.909090909088</v>
      </c>
      <c r="W147" s="8">
        <f t="shared" si="37"/>
        <v>34996.363636363632</v>
      </c>
      <c r="X147" s="8">
        <f t="shared" si="37"/>
        <v>30621.81818181818</v>
      </c>
      <c r="Y147" s="8">
        <f t="shared" si="37"/>
        <v>26247.272727272724</v>
      </c>
      <c r="Z147" s="8">
        <f t="shared" si="38"/>
        <v>21872.727272727268</v>
      </c>
      <c r="AA147" s="8">
        <f t="shared" si="38"/>
        <v>17498.181818181813</v>
      </c>
      <c r="AB147" s="8">
        <f t="shared" si="38"/>
        <v>13123.63636363636</v>
      </c>
      <c r="AC147" s="8">
        <f t="shared" si="38"/>
        <v>8749.0909090909045</v>
      </c>
      <c r="AD147" s="8">
        <f t="shared" si="38"/>
        <v>4374.5454545454486</v>
      </c>
      <c r="AE147" s="8">
        <f t="shared" si="38"/>
        <v>0</v>
      </c>
      <c r="AF147" s="8">
        <f t="shared" si="38"/>
        <v>0</v>
      </c>
      <c r="AG147" s="8">
        <f t="shared" si="38"/>
        <v>0</v>
      </c>
      <c r="AH147" s="8"/>
      <c r="AI147" s="8"/>
      <c r="AJ147" s="8"/>
      <c r="AK147" s="8"/>
      <c r="AL147" s="8"/>
      <c r="AM147" s="8"/>
      <c r="AN147" s="8"/>
    </row>
    <row r="148" spans="1:44" hidden="1" outlineLevel="1">
      <c r="A148" t="s">
        <v>72</v>
      </c>
      <c r="V148" s="8">
        <f t="shared" si="37"/>
        <v>63819.813938305859</v>
      </c>
      <c r="W148" s="8">
        <f t="shared" si="37"/>
        <v>57437.832544475277</v>
      </c>
      <c r="X148" s="8">
        <f t="shared" si="37"/>
        <v>51055.851150644688</v>
      </c>
      <c r="Y148" s="8">
        <f t="shared" si="37"/>
        <v>44673.869756814107</v>
      </c>
      <c r="Z148" s="8">
        <f t="shared" si="38"/>
        <v>38291.888362983518</v>
      </c>
      <c r="AA148" s="8">
        <f t="shared" si="38"/>
        <v>31909.906969152929</v>
      </c>
      <c r="AB148" s="8">
        <f t="shared" si="38"/>
        <v>25527.925575322341</v>
      </c>
      <c r="AC148" s="8">
        <f t="shared" si="38"/>
        <v>19145.944181491752</v>
      </c>
      <c r="AD148" s="8">
        <f t="shared" si="38"/>
        <v>12763.962787661163</v>
      </c>
      <c r="AE148" s="8">
        <f t="shared" si="38"/>
        <v>6381.9813938305742</v>
      </c>
      <c r="AF148" s="8">
        <f t="shared" si="38"/>
        <v>0</v>
      </c>
      <c r="AG148" s="8">
        <f t="shared" si="38"/>
        <v>0</v>
      </c>
      <c r="AH148" s="8"/>
      <c r="AI148" s="8"/>
      <c r="AJ148" s="8"/>
      <c r="AK148" s="8"/>
      <c r="AL148" s="8"/>
      <c r="AM148" s="8"/>
      <c r="AN148" s="8"/>
      <c r="AO148" s="8"/>
    </row>
    <row r="149" spans="1:44" hidden="1" outlineLevel="1">
      <c r="A149" t="s">
        <v>73</v>
      </c>
      <c r="W149" s="8">
        <f>+W83-W116</f>
        <v>57549.201688489382</v>
      </c>
      <c r="X149" s="8">
        <f>+X83-X116</f>
        <v>51794.281519640441</v>
      </c>
      <c r="Y149" s="8">
        <f>+Y83-Y116</f>
        <v>46039.3613507915</v>
      </c>
      <c r="Z149" s="8">
        <f t="shared" si="38"/>
        <v>40284.441181942566</v>
      </c>
      <c r="AA149" s="8">
        <f t="shared" si="38"/>
        <v>34529.521013093632</v>
      </c>
      <c r="AB149" s="8">
        <f t="shared" si="38"/>
        <v>28774.600844244691</v>
      </c>
      <c r="AC149" s="8">
        <f t="shared" si="38"/>
        <v>23019.680675395757</v>
      </c>
      <c r="AD149" s="8">
        <f t="shared" si="38"/>
        <v>17264.760506546816</v>
      </c>
      <c r="AE149" s="8">
        <f t="shared" si="38"/>
        <v>11509.840337697875</v>
      </c>
      <c r="AF149" s="8">
        <f t="shared" si="38"/>
        <v>5754.9201688489338</v>
      </c>
      <c r="AG149" s="8">
        <f t="shared" si="38"/>
        <v>0</v>
      </c>
      <c r="AH149" s="8"/>
      <c r="AI149" s="8"/>
      <c r="AJ149" s="8"/>
      <c r="AK149" s="8"/>
      <c r="AL149" s="8"/>
      <c r="AM149" s="8"/>
      <c r="AN149" s="8"/>
      <c r="AO149" s="8"/>
      <c r="AP149" s="8"/>
    </row>
    <row r="150" spans="1:44" hidden="1" outlineLevel="1">
      <c r="A150" t="s">
        <v>74</v>
      </c>
      <c r="X150" s="8">
        <f>+X84-X117</f>
        <v>60910.433721023859</v>
      </c>
      <c r="Y150" s="8">
        <f>+Y84-Y117</f>
        <v>54819.390348921472</v>
      </c>
      <c r="Z150" s="8">
        <f t="shared" si="38"/>
        <v>48728.346976819084</v>
      </c>
      <c r="AA150" s="8">
        <f t="shared" si="38"/>
        <v>42637.303604716697</v>
      </c>
      <c r="AB150" s="8">
        <f t="shared" si="38"/>
        <v>36546.26023261431</v>
      </c>
      <c r="AC150" s="8">
        <f t="shared" si="38"/>
        <v>30455.21686051193</v>
      </c>
      <c r="AD150" s="8">
        <f t="shared" si="38"/>
        <v>24364.173488409542</v>
      </c>
      <c r="AE150" s="8">
        <f t="shared" si="38"/>
        <v>18273.130116307155</v>
      </c>
      <c r="AF150" s="8">
        <f t="shared" si="38"/>
        <v>12182.086744204767</v>
      </c>
      <c r="AG150" s="8">
        <f t="shared" si="38"/>
        <v>6091.0433721023801</v>
      </c>
      <c r="AH150" s="8"/>
      <c r="AI150" s="8"/>
      <c r="AJ150" s="8"/>
      <c r="AK150" s="8"/>
      <c r="AL150" s="8"/>
      <c r="AM150" s="8"/>
      <c r="AN150" s="8"/>
      <c r="AO150" s="8"/>
      <c r="AP150" s="8"/>
      <c r="AQ150" s="8"/>
    </row>
    <row r="151" spans="1:44" hidden="1" outlineLevel="1">
      <c r="A151" t="s">
        <v>75</v>
      </c>
      <c r="Y151" s="8">
        <f>+Y85-Y118</f>
        <v>63736.601022618823</v>
      </c>
      <c r="Z151" s="8">
        <f t="shared" si="38"/>
        <v>57362.940920356945</v>
      </c>
      <c r="AA151" s="8">
        <f t="shared" si="38"/>
        <v>50989.28081809506</v>
      </c>
      <c r="AB151" s="8">
        <f t="shared" si="38"/>
        <v>44615.620715833182</v>
      </c>
      <c r="AC151" s="8">
        <f t="shared" si="38"/>
        <v>38241.960613571297</v>
      </c>
      <c r="AD151" s="8">
        <f t="shared" si="38"/>
        <v>31868.300511309411</v>
      </c>
      <c r="AE151" s="8">
        <f t="shared" si="38"/>
        <v>25494.640409047526</v>
      </c>
      <c r="AF151" s="8">
        <f t="shared" si="38"/>
        <v>19120.980306785641</v>
      </c>
      <c r="AG151" s="8">
        <f t="shared" si="38"/>
        <v>12747.320204523756</v>
      </c>
      <c r="AH151" s="8"/>
      <c r="AI151" s="8"/>
      <c r="AJ151" s="8"/>
      <c r="AK151" s="8"/>
      <c r="AL151" s="8"/>
      <c r="AM151" s="8"/>
      <c r="AN151" s="8"/>
      <c r="AO151" s="8"/>
      <c r="AP151" s="8"/>
      <c r="AQ151" s="8"/>
      <c r="AR151" s="8"/>
    </row>
    <row r="152" spans="1:44" hidden="1" outlineLevel="1">
      <c r="A152" t="s">
        <v>76</v>
      </c>
      <c r="Y152" s="8"/>
      <c r="Z152" s="8">
        <f>+Z86-Z119</f>
        <v>65791.72788588301</v>
      </c>
      <c r="AA152" s="8">
        <f t="shared" si="38"/>
        <v>59212.555097294709</v>
      </c>
      <c r="AB152" s="8">
        <f t="shared" si="38"/>
        <v>52633.382308706408</v>
      </c>
      <c r="AC152" s="8">
        <f t="shared" si="38"/>
        <v>46054.209520118107</v>
      </c>
      <c r="AD152" s="8">
        <f t="shared" si="38"/>
        <v>39475.036731529806</v>
      </c>
      <c r="AE152" s="8">
        <f t="shared" si="38"/>
        <v>32895.863942941505</v>
      </c>
      <c r="AF152" s="8">
        <f t="shared" si="38"/>
        <v>26316.691154353204</v>
      </c>
      <c r="AG152" s="8">
        <f t="shared" si="38"/>
        <v>19737.518365764903</v>
      </c>
      <c r="AH152" s="8"/>
      <c r="AI152" s="8"/>
      <c r="AJ152" s="8"/>
      <c r="AK152" s="8"/>
      <c r="AL152" s="8"/>
      <c r="AM152" s="8"/>
      <c r="AN152" s="8"/>
      <c r="AO152" s="8"/>
      <c r="AP152" s="8"/>
      <c r="AQ152" s="8"/>
      <c r="AR152" s="8"/>
    </row>
    <row r="153" spans="1:44" hidden="1" outlineLevel="1">
      <c r="A153" t="s">
        <v>77</v>
      </c>
      <c r="Y153" s="8"/>
      <c r="Z153" s="8"/>
      <c r="AA153" s="8">
        <f>+AA87-AA120</f>
        <v>66781.401355133188</v>
      </c>
      <c r="AB153" s="8">
        <f t="shared" si="38"/>
        <v>60103.261219619861</v>
      </c>
      <c r="AC153" s="8">
        <f t="shared" si="38"/>
        <v>53425.121084106548</v>
      </c>
      <c r="AD153" s="8">
        <f t="shared" si="38"/>
        <v>46746.980948593227</v>
      </c>
      <c r="AE153" s="8">
        <f t="shared" si="38"/>
        <v>40068.840813079907</v>
      </c>
      <c r="AF153" s="8">
        <f t="shared" si="38"/>
        <v>33390.700677566587</v>
      </c>
      <c r="AG153" s="8">
        <f t="shared" si="38"/>
        <v>26712.560542053267</v>
      </c>
      <c r="AH153" s="8"/>
      <c r="AI153" s="8"/>
      <c r="AJ153" s="8"/>
      <c r="AK153" s="8"/>
      <c r="AL153" s="8"/>
      <c r="AM153" s="8"/>
      <c r="AN153" s="8"/>
      <c r="AO153" s="8"/>
      <c r="AP153" s="8"/>
      <c r="AQ153" s="8"/>
      <c r="AR153" s="8"/>
    </row>
    <row r="154" spans="1:44" hidden="1" outlineLevel="1">
      <c r="A154" t="s">
        <v>78</v>
      </c>
      <c r="Y154" s="8"/>
      <c r="Z154" s="8"/>
      <c r="AA154" s="8"/>
      <c r="AB154" s="8">
        <f>+AB88-AB121</f>
        <v>71868.952405078482</v>
      </c>
      <c r="AC154" s="8">
        <f t="shared" si="38"/>
        <v>64682.05716457063</v>
      </c>
      <c r="AD154" s="8">
        <f t="shared" si="38"/>
        <v>57495.161924062784</v>
      </c>
      <c r="AE154" s="8">
        <f t="shared" si="38"/>
        <v>50308.266683554932</v>
      </c>
      <c r="AF154" s="8">
        <f t="shared" si="38"/>
        <v>43121.371443047086</v>
      </c>
      <c r="AG154" s="8">
        <f t="shared" si="38"/>
        <v>35934.476202539241</v>
      </c>
      <c r="AH154" s="8"/>
      <c r="AI154" s="8"/>
      <c r="AJ154" s="8"/>
      <c r="AK154" s="8"/>
      <c r="AL154" s="8"/>
      <c r="AM154" s="8"/>
      <c r="AN154" s="8"/>
      <c r="AO154" s="8"/>
      <c r="AP154" s="8"/>
      <c r="AQ154" s="8"/>
      <c r="AR154" s="8"/>
    </row>
    <row r="155" spans="1:44" hidden="1" outlineLevel="1">
      <c r="A155" t="s">
        <v>79</v>
      </c>
      <c r="Y155" s="8"/>
      <c r="Z155" s="8"/>
      <c r="AA155" s="8"/>
      <c r="AB155" s="8"/>
      <c r="AC155" s="8">
        <f>+AC89-AC122</f>
        <v>76822.808937562804</v>
      </c>
      <c r="AD155" s="8">
        <f t="shared" si="38"/>
        <v>69140.528043806524</v>
      </c>
      <c r="AE155" s="8">
        <f t="shared" si="38"/>
        <v>61458.247150050243</v>
      </c>
      <c r="AF155" s="8">
        <f t="shared" si="38"/>
        <v>53775.966256293963</v>
      </c>
      <c r="AG155" s="8">
        <f t="shared" si="38"/>
        <v>46093.685362537683</v>
      </c>
      <c r="AH155" s="8"/>
      <c r="AI155" s="8"/>
      <c r="AJ155" s="8"/>
      <c r="AK155" s="8"/>
      <c r="AL155" s="8"/>
      <c r="AM155" s="8"/>
      <c r="AN155" s="8"/>
      <c r="AO155" s="8"/>
      <c r="AP155" s="8"/>
      <c r="AQ155" s="8"/>
      <c r="AR155" s="8"/>
    </row>
    <row r="156" spans="1:44" hidden="1" outlineLevel="1">
      <c r="A156" t="s">
        <v>80</v>
      </c>
      <c r="Y156" s="8"/>
      <c r="Z156" s="8"/>
      <c r="AA156" s="8"/>
      <c r="AB156" s="8"/>
      <c r="AC156" s="8"/>
      <c r="AD156" s="8">
        <f>+AD90-AD123</f>
        <v>88895.972359210456</v>
      </c>
      <c r="AE156" s="8">
        <f t="shared" ref="AE156:AG158" si="39">+AE90-AE123</f>
        <v>80006.375123289414</v>
      </c>
      <c r="AF156" s="8">
        <f t="shared" si="39"/>
        <v>71116.777887368371</v>
      </c>
      <c r="AG156" s="8">
        <f t="shared" si="39"/>
        <v>62227.180651447321</v>
      </c>
      <c r="AH156" s="8"/>
      <c r="AI156" s="8"/>
      <c r="AJ156" s="8"/>
      <c r="AK156" s="8"/>
      <c r="AL156" s="8"/>
      <c r="AM156" s="8"/>
      <c r="AN156" s="8"/>
      <c r="AO156" s="8"/>
      <c r="AP156" s="8"/>
      <c r="AQ156" s="8"/>
      <c r="AR156" s="8"/>
    </row>
    <row r="157" spans="1:44" hidden="1" outlineLevel="1">
      <c r="A157" t="s">
        <v>81</v>
      </c>
      <c r="Y157" s="8"/>
      <c r="Z157" s="8"/>
      <c r="AA157" s="8"/>
      <c r="AB157" s="8"/>
      <c r="AC157" s="8"/>
      <c r="AD157" s="8"/>
      <c r="AE157" s="8">
        <f>+AE91-AE124</f>
        <v>102799.35126694071</v>
      </c>
      <c r="AF157" s="8">
        <f t="shared" si="39"/>
        <v>92519.416140246642</v>
      </c>
      <c r="AG157" s="8">
        <f t="shared" si="39"/>
        <v>82239.481013552577</v>
      </c>
      <c r="AH157" s="8"/>
      <c r="AI157" s="8"/>
      <c r="AJ157" s="8"/>
      <c r="AK157" s="8"/>
      <c r="AL157" s="8"/>
      <c r="AM157" s="8"/>
      <c r="AN157" s="8"/>
      <c r="AO157" s="8"/>
      <c r="AP157" s="8"/>
      <c r="AQ157" s="8"/>
      <c r="AR157" s="8"/>
    </row>
    <row r="158" spans="1:44" hidden="1" outlineLevel="1">
      <c r="A158" t="s">
        <v>82</v>
      </c>
      <c r="Y158" s="8"/>
      <c r="Z158" s="8"/>
      <c r="AA158" s="8"/>
      <c r="AB158" s="8"/>
      <c r="AC158" s="8"/>
      <c r="AD158" s="8"/>
      <c r="AE158" s="8"/>
      <c r="AF158" s="8">
        <f>+AF92-AF125</f>
        <v>118808.15141771521</v>
      </c>
      <c r="AG158" s="8">
        <f t="shared" si="39"/>
        <v>106927.33627594369</v>
      </c>
      <c r="AH158" s="8"/>
      <c r="AI158" s="8"/>
      <c r="AJ158" s="8"/>
      <c r="AK158" s="8"/>
      <c r="AL158" s="8"/>
      <c r="AM158" s="8"/>
      <c r="AN158" s="8"/>
      <c r="AO158" s="8"/>
      <c r="AP158" s="8"/>
      <c r="AQ158" s="8"/>
      <c r="AR158" s="8"/>
    </row>
    <row r="159" spans="1:44" hidden="1" outlineLevel="1">
      <c r="A159" t="s">
        <v>83</v>
      </c>
      <c r="Y159" s="8"/>
      <c r="Z159" s="8"/>
      <c r="AA159" s="8"/>
      <c r="AB159" s="8"/>
      <c r="AC159" s="8"/>
      <c r="AD159" s="8"/>
      <c r="AE159" s="8"/>
      <c r="AF159" s="8"/>
      <c r="AG159" s="8">
        <f>+AG93-AG126</f>
        <v>137238.88300223154</v>
      </c>
      <c r="AH159" s="8"/>
      <c r="AI159" s="8"/>
      <c r="AJ159" s="8"/>
      <c r="AK159" s="8"/>
      <c r="AL159" s="8"/>
      <c r="AM159" s="8"/>
      <c r="AN159" s="8"/>
      <c r="AO159" s="8"/>
      <c r="AP159" s="8"/>
      <c r="AQ159" s="8"/>
      <c r="AR159" s="8"/>
    </row>
    <row r="160" spans="1:44" hidden="1" outlineLevel="1">
      <c r="A160" t="s">
        <v>911</v>
      </c>
      <c r="Y160" s="8"/>
      <c r="Z160" s="8"/>
      <c r="AA160" s="8"/>
      <c r="AB160" s="8"/>
      <c r="AC160" s="8"/>
      <c r="AD160" s="8"/>
      <c r="AE160" s="8"/>
      <c r="AF160" s="8"/>
      <c r="AG160" s="8"/>
      <c r="AH160" s="8"/>
      <c r="AI160" s="8"/>
      <c r="AJ160" s="8"/>
      <c r="AK160" s="8"/>
      <c r="AL160" s="8"/>
      <c r="AM160" s="8"/>
      <c r="AN160" s="8"/>
      <c r="AO160" s="8"/>
      <c r="AP160" s="8"/>
      <c r="AQ160" s="8"/>
      <c r="AR160" s="8"/>
    </row>
    <row r="161" spans="1:33" collapsed="1"/>
    <row r="162" spans="1:33" ht="10.5">
      <c r="A162" s="5" t="s">
        <v>926</v>
      </c>
      <c r="B162" s="4"/>
    </row>
    <row r="164" spans="1:33" ht="10.5">
      <c r="A164" s="45" t="s">
        <v>927</v>
      </c>
    </row>
    <row r="165" spans="1:33">
      <c r="A165" t="s">
        <v>928</v>
      </c>
      <c r="C165" s="29">
        <v>362</v>
      </c>
      <c r="D165" s="29">
        <v>428</v>
      </c>
      <c r="E165" s="29">
        <v>518</v>
      </c>
      <c r="F165" s="29">
        <v>526</v>
      </c>
      <c r="G165" s="29">
        <v>526</v>
      </c>
      <c r="H165" s="29">
        <v>533</v>
      </c>
      <c r="I165" s="29">
        <v>528</v>
      </c>
      <c r="J165" s="29">
        <v>525</v>
      </c>
      <c r="K165" s="29">
        <v>541</v>
      </c>
      <c r="L165" s="29">
        <v>769</v>
      </c>
      <c r="M165" s="29">
        <v>824</v>
      </c>
      <c r="N165" s="29">
        <v>1107</v>
      </c>
      <c r="O165" s="29">
        <v>1254</v>
      </c>
      <c r="P165" s="29">
        <v>1540</v>
      </c>
      <c r="Q165" s="29">
        <v>1823</v>
      </c>
      <c r="R165" s="29">
        <v>3660</v>
      </c>
      <c r="S165" s="29">
        <v>4734</v>
      </c>
      <c r="T165" s="29">
        <v>5683</v>
      </c>
      <c r="U165" s="29">
        <v>8163</v>
      </c>
      <c r="V165" s="29"/>
      <c r="W165" s="29"/>
    </row>
    <row r="166" spans="1:33">
      <c r="A166" t="s">
        <v>929</v>
      </c>
      <c r="C166" s="29">
        <v>2228</v>
      </c>
      <c r="D166" s="29">
        <v>3170</v>
      </c>
      <c r="E166" s="29">
        <v>4302</v>
      </c>
      <c r="F166" s="29">
        <v>5886</v>
      </c>
      <c r="G166" s="29">
        <v>6087</v>
      </c>
      <c r="H166" s="29">
        <v>6521</v>
      </c>
      <c r="I166" s="29">
        <v>6768</v>
      </c>
      <c r="J166" s="29">
        <v>7326</v>
      </c>
      <c r="K166" s="29">
        <v>8867</v>
      </c>
      <c r="L166" s="29">
        <v>10800</v>
      </c>
      <c r="M166" s="29">
        <v>12393</v>
      </c>
      <c r="N166" s="29">
        <v>16284</v>
      </c>
      <c r="O166" s="29">
        <v>20604</v>
      </c>
      <c r="P166" s="29">
        <v>26288</v>
      </c>
      <c r="Q166" s="29">
        <v>33995</v>
      </c>
      <c r="R166" s="29">
        <v>43928</v>
      </c>
      <c r="S166" s="29">
        <v>55014</v>
      </c>
      <c r="T166" s="29">
        <v>68465</v>
      </c>
      <c r="U166" s="29">
        <v>93943</v>
      </c>
      <c r="V166" s="29"/>
      <c r="W166" s="29"/>
    </row>
    <row r="167" spans="1:33">
      <c r="A167" t="s">
        <v>930</v>
      </c>
      <c r="C167" s="29">
        <v>918</v>
      </c>
      <c r="D167" s="29">
        <v>1077</v>
      </c>
      <c r="E167" s="29">
        <v>1728</v>
      </c>
      <c r="F167" s="29">
        <v>1938</v>
      </c>
      <c r="G167" s="29">
        <v>2100</v>
      </c>
      <c r="H167" s="29">
        <v>2345</v>
      </c>
      <c r="I167" s="29">
        <v>2550</v>
      </c>
      <c r="J167" s="29">
        <v>2946</v>
      </c>
      <c r="K167" s="29">
        <v>3560</v>
      </c>
      <c r="L167" s="29">
        <v>3577</v>
      </c>
      <c r="M167" s="29">
        <v>3659</v>
      </c>
      <c r="N167" s="29">
        <v>5064</v>
      </c>
      <c r="O167" s="29">
        <v>4735</v>
      </c>
      <c r="P167" s="29">
        <v>5316</v>
      </c>
      <c r="Q167" s="29">
        <v>5487</v>
      </c>
      <c r="R167" s="29">
        <v>6884</v>
      </c>
      <c r="S167" s="29">
        <v>7819</v>
      </c>
      <c r="T167" s="29">
        <v>8537</v>
      </c>
      <c r="U167" s="29">
        <v>9594</v>
      </c>
      <c r="V167" s="29"/>
      <c r="W167" s="29"/>
    </row>
    <row r="168" spans="1:33">
      <c r="A168" t="s">
        <v>931</v>
      </c>
      <c r="C168" s="29">
        <v>2682</v>
      </c>
      <c r="D168" s="29">
        <v>3458</v>
      </c>
      <c r="E168" s="29">
        <v>4475</v>
      </c>
      <c r="F168" s="29">
        <v>4989</v>
      </c>
      <c r="G168" s="29">
        <v>5673</v>
      </c>
      <c r="H168" s="29">
        <v>6601</v>
      </c>
      <c r="I168" s="29">
        <v>7298</v>
      </c>
      <c r="J168" s="29">
        <v>9242</v>
      </c>
      <c r="K168" s="29">
        <v>11430</v>
      </c>
      <c r="L168" s="29">
        <v>13612</v>
      </c>
      <c r="M168" s="29">
        <v>17391</v>
      </c>
      <c r="N168" s="29">
        <v>21414</v>
      </c>
      <c r="O168" s="29">
        <v>27633</v>
      </c>
      <c r="P168" s="29">
        <v>33823</v>
      </c>
      <c r="Q168" s="29">
        <v>41261</v>
      </c>
      <c r="R168" s="29">
        <v>51250</v>
      </c>
      <c r="S168" s="29">
        <v>60631</v>
      </c>
      <c r="T168" s="29">
        <v>74961</v>
      </c>
      <c r="U168" s="29">
        <v>93780</v>
      </c>
      <c r="V168" s="29"/>
      <c r="W168" s="29"/>
    </row>
    <row r="169" spans="1:33" ht="11.45">
      <c r="A169" t="s">
        <v>932</v>
      </c>
      <c r="C169" s="30">
        <v>1033</v>
      </c>
      <c r="D169" s="30">
        <v>1233</v>
      </c>
      <c r="E169" s="30">
        <v>1521</v>
      </c>
      <c r="F169" s="30">
        <v>1743</v>
      </c>
      <c r="G169" s="30">
        <v>1873</v>
      </c>
      <c r="H169" s="30">
        <v>1991</v>
      </c>
      <c r="I169" s="30">
        <v>2087</v>
      </c>
      <c r="J169" s="30">
        <v>2465</v>
      </c>
      <c r="K169" s="30">
        <v>3406</v>
      </c>
      <c r="L169" s="30">
        <v>3579</v>
      </c>
      <c r="M169" s="30">
        <v>3889</v>
      </c>
      <c r="N169" s="30">
        <v>4044</v>
      </c>
      <c r="O169" s="30">
        <v>4457</v>
      </c>
      <c r="P169" s="30">
        <v>4840</v>
      </c>
      <c r="Q169" s="30">
        <v>4782</v>
      </c>
      <c r="R169" s="30">
        <v>5344</v>
      </c>
      <c r="S169" s="30">
        <v>5860</v>
      </c>
      <c r="T169" s="30">
        <v>6246</v>
      </c>
      <c r="U169" s="30">
        <v>6532</v>
      </c>
      <c r="V169" s="30"/>
      <c r="W169" s="30"/>
    </row>
    <row r="170" spans="1:33" s="1" customFormat="1" ht="10.5">
      <c r="A170" s="837" t="s">
        <v>933</v>
      </c>
      <c r="C170" s="936">
        <f>+SUM(C165:C169)</f>
        <v>7223</v>
      </c>
      <c r="D170" s="936">
        <f t="shared" ref="D170:U170" si="40">+SUM(D165:D169)</f>
        <v>9366</v>
      </c>
      <c r="E170" s="936">
        <f t="shared" si="40"/>
        <v>12544</v>
      </c>
      <c r="F170" s="936">
        <f t="shared" si="40"/>
        <v>15082</v>
      </c>
      <c r="G170" s="936">
        <f t="shared" si="40"/>
        <v>16259</v>
      </c>
      <c r="H170" s="936">
        <f t="shared" si="40"/>
        <v>17991</v>
      </c>
      <c r="I170" s="936">
        <f t="shared" si="40"/>
        <v>19231</v>
      </c>
      <c r="J170" s="936">
        <f t="shared" si="40"/>
        <v>22504</v>
      </c>
      <c r="K170" s="936">
        <f t="shared" si="40"/>
        <v>27804</v>
      </c>
      <c r="L170" s="936">
        <f t="shared" si="40"/>
        <v>32337</v>
      </c>
      <c r="M170" s="936">
        <f t="shared" si="40"/>
        <v>38156</v>
      </c>
      <c r="N170" s="936">
        <f t="shared" si="40"/>
        <v>47913</v>
      </c>
      <c r="O170" s="936">
        <f t="shared" si="40"/>
        <v>58683</v>
      </c>
      <c r="P170" s="936">
        <f t="shared" si="40"/>
        <v>71807</v>
      </c>
      <c r="Q170" s="936">
        <f t="shared" si="40"/>
        <v>87348</v>
      </c>
      <c r="R170" s="936">
        <f t="shared" si="40"/>
        <v>111066</v>
      </c>
      <c r="S170" s="936">
        <f t="shared" si="40"/>
        <v>134058</v>
      </c>
      <c r="T170" s="936">
        <f t="shared" si="40"/>
        <v>163892</v>
      </c>
      <c r="U170" s="936">
        <f t="shared" si="40"/>
        <v>212012</v>
      </c>
      <c r="V170" s="838">
        <f t="shared" ref="V170:AG170" si="41">+V178</f>
        <v>292512</v>
      </c>
      <c r="W170" s="838">
        <f t="shared" si="41"/>
        <v>364158.59721820621</v>
      </c>
      <c r="X170" s="838">
        <f t="shared" si="41"/>
        <v>439039.13067360362</v>
      </c>
      <c r="Y170" s="838">
        <f t="shared" si="41"/>
        <v>516522.98279993993</v>
      </c>
      <c r="Z170" s="838">
        <f t="shared" si="41"/>
        <v>595717.58719575033</v>
      </c>
      <c r="AA170" s="838">
        <f t="shared" si="41"/>
        <v>675404.03286903456</v>
      </c>
      <c r="AB170" s="838">
        <f t="shared" si="41"/>
        <v>760463.84449872025</v>
      </c>
      <c r="AC170" s="838">
        <f t="shared" si="41"/>
        <v>850727.33684407885</v>
      </c>
      <c r="AD170" s="838">
        <f t="shared" si="41"/>
        <v>954455.35304124129</v>
      </c>
      <c r="AE170" s="838">
        <f t="shared" si="41"/>
        <v>1073667.5716679781</v>
      </c>
      <c r="AF170" s="838">
        <f t="shared" si="41"/>
        <v>1210686.6230887254</v>
      </c>
      <c r="AG170" s="838">
        <f t="shared" si="41"/>
        <v>1368183.5322225848</v>
      </c>
    </row>
    <row r="171" spans="1:33" s="1" customFormat="1" ht="10.5">
      <c r="A171" s="837"/>
      <c r="C171" s="838"/>
      <c r="U171" s="838"/>
      <c r="V171" s="838"/>
      <c r="W171" s="838"/>
    </row>
    <row r="172" spans="1:33" s="1" customFormat="1" ht="10.5">
      <c r="A172" s="24" t="s">
        <v>126</v>
      </c>
      <c r="C172" s="838"/>
      <c r="U172" s="838"/>
      <c r="V172" s="838"/>
      <c r="W172" s="838"/>
    </row>
    <row r="173" spans="1:33" s="3" customFormat="1">
      <c r="A173" s="13" t="s">
        <v>934</v>
      </c>
      <c r="C173" s="40">
        <v>122</v>
      </c>
      <c r="D173" s="40">
        <v>234</v>
      </c>
      <c r="E173" s="40">
        <v>821</v>
      </c>
      <c r="F173" s="40">
        <v>1226</v>
      </c>
      <c r="G173" s="40">
        <v>621</v>
      </c>
      <c r="H173" s="40">
        <v>347</v>
      </c>
      <c r="I173" s="40">
        <v>263</v>
      </c>
      <c r="J173" s="40">
        <v>353</v>
      </c>
      <c r="K173" s="40">
        <v>694</v>
      </c>
      <c r="L173" s="40">
        <v>880</v>
      </c>
      <c r="M173" s="40">
        <v>681</v>
      </c>
      <c r="N173" s="40">
        <v>1809</v>
      </c>
      <c r="O173" s="40">
        <v>1067</v>
      </c>
      <c r="P173" s="40">
        <v>1793</v>
      </c>
      <c r="Q173" s="40">
        <v>3443</v>
      </c>
      <c r="R173" s="40">
        <v>4761</v>
      </c>
      <c r="S173" s="40">
        <v>8927</v>
      </c>
      <c r="T173" s="40">
        <v>7942</v>
      </c>
      <c r="U173" s="40">
        <v>12237</v>
      </c>
      <c r="V173" s="40">
        <v>29892</v>
      </c>
      <c r="W173" s="40"/>
    </row>
    <row r="174" spans="1:33" s="1" customFormat="1" ht="10.5">
      <c r="A174" s="837"/>
      <c r="C174" s="838"/>
      <c r="V174" s="838"/>
      <c r="W174" s="838"/>
    </row>
    <row r="175" spans="1:33" s="1" customFormat="1" ht="10.5">
      <c r="A175" t="s">
        <v>935</v>
      </c>
      <c r="D175" s="8">
        <f t="shared" ref="D175:U175" si="42">+C170</f>
        <v>7223</v>
      </c>
      <c r="E175" s="8">
        <f t="shared" si="42"/>
        <v>9366</v>
      </c>
      <c r="F175" s="8">
        <f t="shared" si="42"/>
        <v>12544</v>
      </c>
      <c r="G175" s="8">
        <f t="shared" si="42"/>
        <v>15082</v>
      </c>
      <c r="H175" s="8">
        <f t="shared" si="42"/>
        <v>16259</v>
      </c>
      <c r="I175" s="8">
        <f t="shared" si="42"/>
        <v>17991</v>
      </c>
      <c r="J175" s="8">
        <f t="shared" si="42"/>
        <v>19231</v>
      </c>
      <c r="K175" s="8">
        <f t="shared" si="42"/>
        <v>22504</v>
      </c>
      <c r="L175" s="8">
        <f t="shared" si="42"/>
        <v>27804</v>
      </c>
      <c r="M175" s="8">
        <f t="shared" si="42"/>
        <v>32337</v>
      </c>
      <c r="N175" s="8">
        <f t="shared" si="42"/>
        <v>38156</v>
      </c>
      <c r="O175" s="8">
        <f t="shared" si="42"/>
        <v>47913</v>
      </c>
      <c r="P175" s="8">
        <f t="shared" si="42"/>
        <v>58683</v>
      </c>
      <c r="Q175" s="8">
        <f t="shared" si="42"/>
        <v>71807</v>
      </c>
      <c r="R175" s="8">
        <f t="shared" si="42"/>
        <v>87348</v>
      </c>
      <c r="S175" s="8">
        <f t="shared" si="42"/>
        <v>111066</v>
      </c>
      <c r="T175" s="8">
        <f t="shared" si="42"/>
        <v>134058</v>
      </c>
      <c r="U175" s="8">
        <f t="shared" si="42"/>
        <v>163892</v>
      </c>
      <c r="V175" s="8">
        <f t="shared" ref="V175:AG175" si="43">+U178</f>
        <v>212012</v>
      </c>
      <c r="W175" s="8">
        <f t="shared" si="43"/>
        <v>292512</v>
      </c>
      <c r="X175" s="8">
        <f t="shared" si="43"/>
        <v>364158.59721820621</v>
      </c>
      <c r="Y175" s="8">
        <f t="shared" si="43"/>
        <v>439039.13067360362</v>
      </c>
      <c r="Z175" s="8">
        <f t="shared" si="43"/>
        <v>516522.98279993993</v>
      </c>
      <c r="AA175" s="8">
        <f t="shared" si="43"/>
        <v>595717.58719575033</v>
      </c>
      <c r="AB175" s="8">
        <f t="shared" si="43"/>
        <v>675404.03286903456</v>
      </c>
      <c r="AC175" s="8">
        <f t="shared" si="43"/>
        <v>760463.84449872025</v>
      </c>
      <c r="AD175" s="8">
        <f t="shared" si="43"/>
        <v>850727.33684407885</v>
      </c>
      <c r="AE175" s="8">
        <f t="shared" si="43"/>
        <v>954455.35304124129</v>
      </c>
      <c r="AF175" s="8">
        <f t="shared" si="43"/>
        <v>1073667.5716679781</v>
      </c>
      <c r="AG175" s="8">
        <f t="shared" si="43"/>
        <v>1210686.6230887254</v>
      </c>
    </row>
    <row r="176" spans="1:33" s="1" customFormat="1" ht="10.5">
      <c r="A176" t="s">
        <v>936</v>
      </c>
      <c r="D176" s="29">
        <f>+'Historical Financials'!AU873</f>
        <v>2264</v>
      </c>
      <c r="E176" s="29">
        <f>+'Historical Financials'!AV873</f>
        <v>3182</v>
      </c>
      <c r="F176" s="29">
        <f>+'Historical Financials'!AW873</f>
        <v>3119</v>
      </c>
      <c r="G176" s="29">
        <f>+'Historical Financials'!AX873</f>
        <v>1977</v>
      </c>
      <c r="H176" s="29">
        <f>+'Historical Financials'!AY873</f>
        <v>2355</v>
      </c>
      <c r="I176" s="29">
        <f>+'Historical Financials'!AZ873</f>
        <v>2305</v>
      </c>
      <c r="J176" s="29">
        <f>+'Historical Financials'!BA873</f>
        <v>4257</v>
      </c>
      <c r="K176" s="29">
        <f>+'Historical Financials'!BB873</f>
        <v>5485</v>
      </c>
      <c r="L176" s="29">
        <f>+'Historical Financials'!BC873</f>
        <v>5944</v>
      </c>
      <c r="M176" s="29">
        <f>+'Historical Financials'!BG873</f>
        <v>8900</v>
      </c>
      <c r="N176" s="29">
        <f>+'Historical Financials'!BH873</f>
        <v>10200</v>
      </c>
      <c r="O176" s="29">
        <f>+'Historical Financials'!BI873</f>
        <v>13600</v>
      </c>
      <c r="P176" s="29">
        <f>+'Historical Financials'!BJ873</f>
        <v>16900</v>
      </c>
      <c r="Q176" s="29">
        <f>+'Historical Financials'!BK873</f>
        <v>19000</v>
      </c>
      <c r="R176" s="29">
        <f>+'Historical Financials'!BL873</f>
        <v>24200</v>
      </c>
      <c r="S176" s="29">
        <f>+'Historical Financials'!BM873</f>
        <v>29200</v>
      </c>
      <c r="T176" s="29">
        <f>+'Historical Financials'!BN873</f>
        <v>31900</v>
      </c>
      <c r="U176" s="29">
        <f>+'Historical Financials'!BO873</f>
        <v>55700</v>
      </c>
      <c r="V176" s="8">
        <f t="shared" ref="V176:AG176" si="44">+V14</f>
        <v>80000</v>
      </c>
      <c r="W176" s="8">
        <f t="shared" si="44"/>
        <v>71146.597218206225</v>
      </c>
      <c r="X176" s="8">
        <f t="shared" si="44"/>
        <v>74380.53345539741</v>
      </c>
      <c r="Y176" s="8">
        <f t="shared" si="44"/>
        <v>76983.852126336307</v>
      </c>
      <c r="Z176" s="8">
        <f t="shared" si="44"/>
        <v>78694.604395810456</v>
      </c>
      <c r="AA176" s="8">
        <f t="shared" si="44"/>
        <v>79186.445673284266</v>
      </c>
      <c r="AB176" s="8">
        <f t="shared" si="44"/>
        <v>84559.81162968569</v>
      </c>
      <c r="AC176" s="8">
        <f t="shared" si="44"/>
        <v>89763.492345358638</v>
      </c>
      <c r="AD176" s="8">
        <f t="shared" si="44"/>
        <v>103228.01619716243</v>
      </c>
      <c r="AE176" s="8">
        <f t="shared" si="44"/>
        <v>118712.21862673679</v>
      </c>
      <c r="AF176" s="8">
        <f t="shared" si="44"/>
        <v>136519.0514207473</v>
      </c>
      <c r="AG176" s="8">
        <f t="shared" si="44"/>
        <v>156996.90913385942</v>
      </c>
    </row>
    <row r="177" spans="1:33" s="1" customFormat="1" ht="11.45">
      <c r="A177" t="s">
        <v>198</v>
      </c>
      <c r="D177" s="10">
        <f t="shared" ref="D177:U177" si="45">+D178-SUM(D175:D176)</f>
        <v>-121</v>
      </c>
      <c r="E177" s="10">
        <f t="shared" si="45"/>
        <v>-4</v>
      </c>
      <c r="F177" s="10">
        <f t="shared" si="45"/>
        <v>-581</v>
      </c>
      <c r="G177" s="10">
        <f t="shared" si="45"/>
        <v>-800</v>
      </c>
      <c r="H177" s="10">
        <f t="shared" si="45"/>
        <v>-623</v>
      </c>
      <c r="I177" s="10">
        <f t="shared" si="45"/>
        <v>-1065</v>
      </c>
      <c r="J177" s="10">
        <f t="shared" si="45"/>
        <v>-984</v>
      </c>
      <c r="K177" s="10">
        <f t="shared" si="45"/>
        <v>-185</v>
      </c>
      <c r="L177" s="10">
        <f t="shared" si="45"/>
        <v>-1411</v>
      </c>
      <c r="M177" s="10">
        <f t="shared" si="45"/>
        <v>-3081</v>
      </c>
      <c r="N177" s="10">
        <f t="shared" si="45"/>
        <v>-443</v>
      </c>
      <c r="O177" s="10">
        <f t="shared" si="45"/>
        <v>-2830</v>
      </c>
      <c r="P177" s="10">
        <f t="shared" si="45"/>
        <v>-3776</v>
      </c>
      <c r="Q177" s="10">
        <f t="shared" si="45"/>
        <v>-3459</v>
      </c>
      <c r="R177" s="10">
        <f t="shared" si="45"/>
        <v>-482</v>
      </c>
      <c r="S177" s="10">
        <f t="shared" si="45"/>
        <v>-6208</v>
      </c>
      <c r="T177" s="10">
        <f t="shared" si="45"/>
        <v>-2066</v>
      </c>
      <c r="U177" s="10">
        <f t="shared" si="45"/>
        <v>-7580</v>
      </c>
      <c r="V177" s="58">
        <v>500</v>
      </c>
      <c r="W177" s="58">
        <v>500</v>
      </c>
      <c r="X177" s="58">
        <v>500</v>
      </c>
      <c r="Y177" s="58">
        <v>500</v>
      </c>
      <c r="Z177" s="58">
        <v>500</v>
      </c>
      <c r="AA177" s="58">
        <v>500</v>
      </c>
      <c r="AB177" s="58">
        <v>500</v>
      </c>
      <c r="AC177" s="58">
        <v>500</v>
      </c>
      <c r="AD177" s="58">
        <v>500</v>
      </c>
      <c r="AE177" s="58">
        <v>500</v>
      </c>
      <c r="AF177" s="58">
        <v>500</v>
      </c>
      <c r="AG177" s="58">
        <v>500</v>
      </c>
    </row>
    <row r="178" spans="1:33" s="1" customFormat="1" ht="10.5">
      <c r="A178" s="837" t="s">
        <v>933</v>
      </c>
      <c r="D178" s="838">
        <f t="shared" ref="D178:U178" si="46">+D170</f>
        <v>9366</v>
      </c>
      <c r="E178" s="838">
        <f t="shared" si="46"/>
        <v>12544</v>
      </c>
      <c r="F178" s="838">
        <f t="shared" si="46"/>
        <v>15082</v>
      </c>
      <c r="G178" s="838">
        <f t="shared" si="46"/>
        <v>16259</v>
      </c>
      <c r="H178" s="838">
        <f t="shared" si="46"/>
        <v>17991</v>
      </c>
      <c r="I178" s="838">
        <f t="shared" si="46"/>
        <v>19231</v>
      </c>
      <c r="J178" s="838">
        <f t="shared" si="46"/>
        <v>22504</v>
      </c>
      <c r="K178" s="838">
        <f t="shared" si="46"/>
        <v>27804</v>
      </c>
      <c r="L178" s="838">
        <f t="shared" si="46"/>
        <v>32337</v>
      </c>
      <c r="M178" s="838">
        <f t="shared" si="46"/>
        <v>38156</v>
      </c>
      <c r="N178" s="838">
        <f t="shared" si="46"/>
        <v>47913</v>
      </c>
      <c r="O178" s="838">
        <f t="shared" si="46"/>
        <v>58683</v>
      </c>
      <c r="P178" s="838">
        <f t="shared" si="46"/>
        <v>71807</v>
      </c>
      <c r="Q178" s="838">
        <f t="shared" si="46"/>
        <v>87348</v>
      </c>
      <c r="R178" s="838">
        <f t="shared" si="46"/>
        <v>111066</v>
      </c>
      <c r="S178" s="838">
        <f t="shared" si="46"/>
        <v>134058</v>
      </c>
      <c r="T178" s="838">
        <f t="shared" si="46"/>
        <v>163892</v>
      </c>
      <c r="U178" s="838">
        <f t="shared" si="46"/>
        <v>212012</v>
      </c>
      <c r="V178" s="838">
        <f t="shared" ref="V178:AF178" si="47">+SUM(V175:V177)</f>
        <v>292512</v>
      </c>
      <c r="W178" s="838">
        <f t="shared" si="47"/>
        <v>364158.59721820621</v>
      </c>
      <c r="X178" s="838">
        <f t="shared" si="47"/>
        <v>439039.13067360362</v>
      </c>
      <c r="Y178" s="838">
        <f t="shared" si="47"/>
        <v>516522.98279993993</v>
      </c>
      <c r="Z178" s="838">
        <f t="shared" si="47"/>
        <v>595717.58719575033</v>
      </c>
      <c r="AA178" s="838">
        <f t="shared" si="47"/>
        <v>675404.03286903456</v>
      </c>
      <c r="AB178" s="838">
        <f t="shared" si="47"/>
        <v>760463.84449872025</v>
      </c>
      <c r="AC178" s="838">
        <f t="shared" si="47"/>
        <v>850727.33684407885</v>
      </c>
      <c r="AD178" s="838">
        <f t="shared" si="47"/>
        <v>954455.35304124129</v>
      </c>
      <c r="AE178" s="838">
        <f t="shared" si="47"/>
        <v>1073667.5716679781</v>
      </c>
      <c r="AF178" s="838">
        <f t="shared" si="47"/>
        <v>1210686.6230887254</v>
      </c>
      <c r="AG178" s="838">
        <f t="shared" ref="AG178" si="48">+SUM(AG175:AG177)</f>
        <v>1368183.5322225848</v>
      </c>
    </row>
    <row r="179" spans="1:33">
      <c r="S179" s="8"/>
      <c r="T179" s="8"/>
      <c r="U179" s="8"/>
      <c r="V179" s="8"/>
    </row>
    <row r="180" spans="1:33" ht="10.5">
      <c r="A180" s="45" t="s">
        <v>937</v>
      </c>
      <c r="C180" s="8"/>
    </row>
    <row r="181" spans="1:33" s="1" customFormat="1" ht="10.5">
      <c r="A181" s="1" t="s">
        <v>924</v>
      </c>
      <c r="C181" s="936">
        <v>4179</v>
      </c>
      <c r="D181" s="936">
        <v>5016</v>
      </c>
      <c r="E181" s="936">
        <v>6302</v>
      </c>
      <c r="F181" s="936">
        <v>7547</v>
      </c>
      <c r="G181" s="936">
        <v>8629</v>
      </c>
      <c r="H181" s="936">
        <v>9829</v>
      </c>
      <c r="I181" s="936">
        <v>10962</v>
      </c>
      <c r="J181" s="936">
        <v>12513</v>
      </c>
      <c r="K181" s="936">
        <v>14793</v>
      </c>
      <c r="L181" s="936">
        <v>17606</v>
      </c>
      <c r="M181" s="936">
        <v>19800</v>
      </c>
      <c r="N181" s="936">
        <v>24179</v>
      </c>
      <c r="O181" s="936">
        <v>29223</v>
      </c>
      <c r="P181" s="936">
        <v>35330</v>
      </c>
      <c r="Q181" s="936">
        <v>43197</v>
      </c>
      <c r="R181" s="936">
        <v>51351</v>
      </c>
      <c r="S181" s="936">
        <v>59660</v>
      </c>
      <c r="T181" s="936">
        <v>68251</v>
      </c>
      <c r="U181" s="936">
        <v>76421</v>
      </c>
      <c r="V181" s="936">
        <f t="shared" ref="V181:AG181" si="49">+V186</f>
        <v>90460.589150700689</v>
      </c>
      <c r="W181" s="936">
        <f t="shared" si="49"/>
        <v>108197.94610461166</v>
      </c>
      <c r="X181" s="936">
        <f t="shared" si="49"/>
        <v>129372.57258260599</v>
      </c>
      <c r="Y181" s="936">
        <f t="shared" si="49"/>
        <v>154136.80076678295</v>
      </c>
      <c r="Z181" s="936">
        <f t="shared" si="49"/>
        <v>182187.0652222542</v>
      </c>
      <c r="AA181" s="936">
        <f t="shared" si="49"/>
        <v>212738.99781582187</v>
      </c>
      <c r="AB181" s="936">
        <f t="shared" si="49"/>
        <v>246247.02392087466</v>
      </c>
      <c r="AC181" s="936">
        <f t="shared" si="49"/>
        <v>282323.56842442398</v>
      </c>
      <c r="AD181" s="936">
        <f t="shared" si="49"/>
        <v>321948.05140814366</v>
      </c>
      <c r="AE181" s="936">
        <f t="shared" si="49"/>
        <v>365058.88060926262</v>
      </c>
      <c r="AF181" s="936">
        <f t="shared" si="49"/>
        <v>411235.47123715922</v>
      </c>
      <c r="AG181" s="936">
        <f t="shared" si="49"/>
        <v>459997.68048096012</v>
      </c>
    </row>
    <row r="183" spans="1:33">
      <c r="A183" t="s">
        <v>938</v>
      </c>
      <c r="D183" s="8">
        <f>+C181</f>
        <v>4179</v>
      </c>
      <c r="E183" s="8">
        <f>+D186</f>
        <v>5016</v>
      </c>
      <c r="F183" s="8">
        <f t="shared" ref="F183:AG183" si="50">+E186</f>
        <v>6302</v>
      </c>
      <c r="G183" s="8">
        <f t="shared" si="50"/>
        <v>7547</v>
      </c>
      <c r="H183" s="8">
        <f t="shared" si="50"/>
        <v>8629</v>
      </c>
      <c r="I183" s="8">
        <f t="shared" si="50"/>
        <v>9829</v>
      </c>
      <c r="J183" s="8">
        <f t="shared" si="50"/>
        <v>10962</v>
      </c>
      <c r="K183" s="8">
        <f t="shared" si="50"/>
        <v>12513</v>
      </c>
      <c r="L183" s="8">
        <f t="shared" si="50"/>
        <v>14793</v>
      </c>
      <c r="M183" s="8">
        <f t="shared" si="50"/>
        <v>17606</v>
      </c>
      <c r="N183" s="8">
        <f t="shared" si="50"/>
        <v>19800</v>
      </c>
      <c r="O183" s="8">
        <f t="shared" si="50"/>
        <v>24179</v>
      </c>
      <c r="P183" s="8">
        <f t="shared" si="50"/>
        <v>29223</v>
      </c>
      <c r="Q183" s="8">
        <f t="shared" si="50"/>
        <v>35330</v>
      </c>
      <c r="R183" s="8">
        <f t="shared" si="50"/>
        <v>43197</v>
      </c>
      <c r="S183" s="8">
        <f t="shared" si="50"/>
        <v>51351</v>
      </c>
      <c r="T183" s="8">
        <f t="shared" si="50"/>
        <v>59660</v>
      </c>
      <c r="U183" s="8">
        <f t="shared" si="50"/>
        <v>68251</v>
      </c>
      <c r="V183" s="8">
        <f t="shared" si="50"/>
        <v>76421</v>
      </c>
      <c r="W183" s="8">
        <f t="shared" si="50"/>
        <v>90460.589150700689</v>
      </c>
      <c r="X183" s="8">
        <f t="shared" si="50"/>
        <v>108197.94610461166</v>
      </c>
      <c r="Y183" s="8">
        <f t="shared" si="50"/>
        <v>129372.57258260599</v>
      </c>
      <c r="Z183" s="8">
        <f t="shared" si="50"/>
        <v>154136.80076678295</v>
      </c>
      <c r="AA183" s="8">
        <f t="shared" si="50"/>
        <v>182187.0652222542</v>
      </c>
      <c r="AB183" s="8">
        <f t="shared" si="50"/>
        <v>212738.99781582187</v>
      </c>
      <c r="AC183" s="8">
        <f t="shared" si="50"/>
        <v>246247.02392087466</v>
      </c>
      <c r="AD183" s="8">
        <f t="shared" si="50"/>
        <v>282323.56842442398</v>
      </c>
      <c r="AE183" s="8">
        <f t="shared" si="50"/>
        <v>321948.05140814366</v>
      </c>
      <c r="AF183" s="8">
        <f t="shared" si="50"/>
        <v>365058.88060926262</v>
      </c>
      <c r="AG183" s="8">
        <f t="shared" si="50"/>
        <v>411235.47123715922</v>
      </c>
    </row>
    <row r="184" spans="1:33">
      <c r="A184" t="s">
        <v>939</v>
      </c>
      <c r="C184" s="29">
        <f t="shared" ref="C184:S184" si="51">+C213</f>
        <v>0</v>
      </c>
      <c r="D184" s="11">
        <f t="shared" si="51"/>
        <v>940</v>
      </c>
      <c r="E184" s="11">
        <f t="shared" si="51"/>
        <v>1556</v>
      </c>
      <c r="F184" s="11">
        <f t="shared" si="51"/>
        <v>2062</v>
      </c>
      <c r="G184" s="11">
        <f t="shared" si="51"/>
        <v>2173</v>
      </c>
      <c r="H184" s="11">
        <f t="shared" si="51"/>
        <v>2266</v>
      </c>
      <c r="I184" s="11">
        <f t="shared" si="51"/>
        <v>2467</v>
      </c>
      <c r="J184" s="11">
        <f t="shared" si="51"/>
        <v>3255</v>
      </c>
      <c r="K184" s="11">
        <f t="shared" si="51"/>
        <v>4712</v>
      </c>
      <c r="L184" s="11">
        <f t="shared" si="51"/>
        <v>5457</v>
      </c>
      <c r="M184" s="29">
        <f t="shared" si="51"/>
        <v>4900</v>
      </c>
      <c r="N184" s="29">
        <f t="shared" si="51"/>
        <v>6100</v>
      </c>
      <c r="O184" s="29">
        <f t="shared" si="51"/>
        <v>7700</v>
      </c>
      <c r="P184" s="29">
        <f t="shared" si="51"/>
        <v>9700</v>
      </c>
      <c r="Q184" s="29">
        <f t="shared" si="51"/>
        <v>10700</v>
      </c>
      <c r="R184" s="29">
        <f t="shared" si="51"/>
        <v>9300</v>
      </c>
      <c r="S184" s="29">
        <f t="shared" si="51"/>
        <v>12600</v>
      </c>
      <c r="T184" s="29">
        <f>+T213</f>
        <v>11000</v>
      </c>
      <c r="U184" s="29">
        <f t="shared" ref="U184" si="52">+U213</f>
        <v>15200</v>
      </c>
      <c r="V184" s="29">
        <f t="shared" ref="V184:AG184" si="53">+V50</f>
        <v>21911.116747365937</v>
      </c>
      <c r="W184" s="29">
        <f t="shared" si="53"/>
        <v>27054.992471770431</v>
      </c>
      <c r="X184" s="29">
        <f t="shared" si="53"/>
        <v>32319.247965084938</v>
      </c>
      <c r="Y184" s="29">
        <f t="shared" si="53"/>
        <v>38089.881804720564</v>
      </c>
      <c r="Z184" s="29">
        <f t="shared" si="53"/>
        <v>43926.686916541184</v>
      </c>
      <c r="AA184" s="29">
        <f t="shared" si="53"/>
        <v>49317.592708620163</v>
      </c>
      <c r="AB184" s="29">
        <f t="shared" si="53"/>
        <v>55420.601080441142</v>
      </c>
      <c r="AC184" s="29">
        <f t="shared" si="53"/>
        <v>61440.51833783379</v>
      </c>
      <c r="AD184" s="29">
        <f t="shared" si="53"/>
        <v>68704.418604057864</v>
      </c>
      <c r="AE184" s="29">
        <f t="shared" si="53"/>
        <v>76272.171912570106</v>
      </c>
      <c r="AF184" s="29">
        <f t="shared" si="53"/>
        <v>83778.441599796148</v>
      </c>
      <c r="AG184" s="29">
        <f t="shared" si="53"/>
        <v>91120.348506188748</v>
      </c>
    </row>
    <row r="185" spans="1:33" ht="11.45">
      <c r="A185" t="s">
        <v>198</v>
      </c>
      <c r="D185" s="10">
        <f>+D186-SUM(D183:D184)</f>
        <v>-103</v>
      </c>
      <c r="E185" s="10">
        <f t="shared" ref="E185:U185" si="54">+E186-SUM(E183:E184)</f>
        <v>-270</v>
      </c>
      <c r="F185" s="10">
        <f t="shared" si="54"/>
        <v>-817</v>
      </c>
      <c r="G185" s="10">
        <f t="shared" si="54"/>
        <v>-1091</v>
      </c>
      <c r="H185" s="10">
        <f t="shared" si="54"/>
        <v>-1066</v>
      </c>
      <c r="I185" s="10">
        <f t="shared" si="54"/>
        <v>-1334</v>
      </c>
      <c r="J185" s="10">
        <f t="shared" si="54"/>
        <v>-1704</v>
      </c>
      <c r="K185" s="10">
        <f t="shared" si="54"/>
        <v>-2432</v>
      </c>
      <c r="L185" s="10">
        <f t="shared" si="54"/>
        <v>-2644</v>
      </c>
      <c r="M185" s="10">
        <f t="shared" si="54"/>
        <v>-2706</v>
      </c>
      <c r="N185" s="10">
        <f t="shared" si="54"/>
        <v>-1721</v>
      </c>
      <c r="O185" s="10">
        <f t="shared" si="54"/>
        <v>-2656</v>
      </c>
      <c r="P185" s="10">
        <f t="shared" si="54"/>
        <v>-3593</v>
      </c>
      <c r="Q185" s="10">
        <f t="shared" si="54"/>
        <v>-2833</v>
      </c>
      <c r="R185" s="10">
        <f t="shared" si="54"/>
        <v>-1146</v>
      </c>
      <c r="S185" s="10">
        <f t="shared" si="54"/>
        <v>-4291</v>
      </c>
      <c r="T185" s="10">
        <f t="shared" si="54"/>
        <v>-2409</v>
      </c>
      <c r="U185" s="10">
        <f t="shared" si="54"/>
        <v>-7030</v>
      </c>
      <c r="V185" s="58">
        <f t="shared" ref="V185:AG185" si="55">+U185/U183*V183</f>
        <v>-7871.5275966652507</v>
      </c>
      <c r="W185" s="58">
        <f t="shared" si="55"/>
        <v>-9317.6355178594586</v>
      </c>
      <c r="X185" s="58">
        <f t="shared" si="55"/>
        <v>-11144.621487090593</v>
      </c>
      <c r="Y185" s="58">
        <f t="shared" si="55"/>
        <v>-13325.653620543586</v>
      </c>
      <c r="Z185" s="58">
        <f t="shared" si="55"/>
        <v>-15876.422461069938</v>
      </c>
      <c r="AA185" s="58">
        <f t="shared" si="55"/>
        <v>-18765.660115052488</v>
      </c>
      <c r="AB185" s="58">
        <f t="shared" si="55"/>
        <v>-21912.574975388321</v>
      </c>
      <c r="AC185" s="58">
        <f t="shared" si="55"/>
        <v>-25363.973834284472</v>
      </c>
      <c r="AD185" s="58">
        <f t="shared" si="55"/>
        <v>-29079.935620338179</v>
      </c>
      <c r="AE185" s="58">
        <f t="shared" si="55"/>
        <v>-33161.342711451121</v>
      </c>
      <c r="AF185" s="58">
        <f t="shared" si="55"/>
        <v>-37601.850971899563</v>
      </c>
      <c r="AG185" s="58">
        <f t="shared" si="55"/>
        <v>-42358.139262387806</v>
      </c>
    </row>
    <row r="186" spans="1:33" s="1" customFormat="1" ht="10.5">
      <c r="A186" s="837" t="s">
        <v>924</v>
      </c>
      <c r="C186" s="838"/>
      <c r="D186" s="838">
        <f>+D181</f>
        <v>5016</v>
      </c>
      <c r="E186" s="838">
        <f t="shared" ref="E186:U186" si="56">+E181</f>
        <v>6302</v>
      </c>
      <c r="F186" s="838">
        <f t="shared" si="56"/>
        <v>7547</v>
      </c>
      <c r="G186" s="838">
        <f t="shared" si="56"/>
        <v>8629</v>
      </c>
      <c r="H186" s="838">
        <f t="shared" si="56"/>
        <v>9829</v>
      </c>
      <c r="I186" s="838">
        <f t="shared" si="56"/>
        <v>10962</v>
      </c>
      <c r="J186" s="838">
        <f t="shared" si="56"/>
        <v>12513</v>
      </c>
      <c r="K186" s="838">
        <f>+K181</f>
        <v>14793</v>
      </c>
      <c r="L186" s="838">
        <f t="shared" si="56"/>
        <v>17606</v>
      </c>
      <c r="M186" s="838">
        <f t="shared" si="56"/>
        <v>19800</v>
      </c>
      <c r="N186" s="838">
        <f t="shared" si="56"/>
        <v>24179</v>
      </c>
      <c r="O186" s="838">
        <f t="shared" si="56"/>
        <v>29223</v>
      </c>
      <c r="P186" s="838">
        <f t="shared" si="56"/>
        <v>35330</v>
      </c>
      <c r="Q186" s="838">
        <f t="shared" si="56"/>
        <v>43197</v>
      </c>
      <c r="R186" s="838">
        <f t="shared" si="56"/>
        <v>51351</v>
      </c>
      <c r="S186" s="838">
        <f t="shared" si="56"/>
        <v>59660</v>
      </c>
      <c r="T186" s="838">
        <f t="shared" si="56"/>
        <v>68251</v>
      </c>
      <c r="U186" s="838">
        <f t="shared" si="56"/>
        <v>76421</v>
      </c>
      <c r="V186" s="838">
        <f t="shared" ref="V186:AF186" si="57">+SUM(V183:V185)</f>
        <v>90460.589150700689</v>
      </c>
      <c r="W186" s="838">
        <f t="shared" si="57"/>
        <v>108197.94610461166</v>
      </c>
      <c r="X186" s="838">
        <f t="shared" si="57"/>
        <v>129372.57258260599</v>
      </c>
      <c r="Y186" s="838">
        <f t="shared" si="57"/>
        <v>154136.80076678295</v>
      </c>
      <c r="Z186" s="838">
        <f t="shared" si="57"/>
        <v>182187.0652222542</v>
      </c>
      <c r="AA186" s="838">
        <f t="shared" si="57"/>
        <v>212738.99781582187</v>
      </c>
      <c r="AB186" s="838">
        <f t="shared" si="57"/>
        <v>246247.02392087466</v>
      </c>
      <c r="AC186" s="838">
        <f t="shared" si="57"/>
        <v>282323.56842442398</v>
      </c>
      <c r="AD186" s="838">
        <f t="shared" si="57"/>
        <v>321948.05140814366</v>
      </c>
      <c r="AE186" s="838">
        <f t="shared" si="57"/>
        <v>365058.88060926262</v>
      </c>
      <c r="AF186" s="838">
        <f t="shared" si="57"/>
        <v>411235.47123715922</v>
      </c>
      <c r="AG186" s="838">
        <f t="shared" ref="AG186" si="58">+SUM(AG183:AG185)</f>
        <v>459997.68048096012</v>
      </c>
    </row>
    <row r="187" spans="1:33">
      <c r="A187" s="13" t="s">
        <v>940</v>
      </c>
      <c r="D187" s="1226">
        <f t="shared" ref="D187:AG187" si="59">+D175/D184</f>
        <v>7.6840425531914898</v>
      </c>
      <c r="E187" s="1226">
        <f t="shared" si="59"/>
        <v>6.0192802056555266</v>
      </c>
      <c r="F187" s="1226">
        <f t="shared" si="59"/>
        <v>6.0834141610087293</v>
      </c>
      <c r="G187" s="1226">
        <f t="shared" si="59"/>
        <v>6.9406350667280261</v>
      </c>
      <c r="H187" s="1226">
        <f t="shared" si="59"/>
        <v>7.1751985878199473</v>
      </c>
      <c r="I187" s="1226">
        <f t="shared" si="59"/>
        <v>7.2926631536278883</v>
      </c>
      <c r="J187" s="1226">
        <f t="shared" si="59"/>
        <v>5.908141321044547</v>
      </c>
      <c r="K187" s="1226">
        <f t="shared" si="59"/>
        <v>4.7758913412563668</v>
      </c>
      <c r="L187" s="1226">
        <f t="shared" si="59"/>
        <v>5.0951072017592081</v>
      </c>
      <c r="M187" s="1226">
        <f t="shared" si="59"/>
        <v>6.5993877551020406</v>
      </c>
      <c r="N187" s="1226">
        <f t="shared" si="59"/>
        <v>6.2550819672131146</v>
      </c>
      <c r="O187" s="1226">
        <f t="shared" si="59"/>
        <v>6.2224675324675323</v>
      </c>
      <c r="P187" s="1226">
        <f t="shared" si="59"/>
        <v>6.0497938144329897</v>
      </c>
      <c r="Q187" s="1226">
        <f t="shared" si="59"/>
        <v>6.7109345794392521</v>
      </c>
      <c r="R187" s="1226">
        <f t="shared" si="59"/>
        <v>9.3922580645161293</v>
      </c>
      <c r="S187" s="1226">
        <f t="shared" si="59"/>
        <v>8.8147619047619052</v>
      </c>
      <c r="T187" s="1226">
        <f t="shared" si="59"/>
        <v>12.187090909090909</v>
      </c>
      <c r="U187" s="1226">
        <f t="shared" si="59"/>
        <v>10.782368421052631</v>
      </c>
      <c r="V187" s="1226">
        <f t="shared" si="59"/>
        <v>9.6760015678108786</v>
      </c>
      <c r="W187" s="1226">
        <f t="shared" si="59"/>
        <v>10.811756843222604</v>
      </c>
      <c r="X187" s="1226">
        <f t="shared" si="59"/>
        <v>11.267545507606281</v>
      </c>
      <c r="Y187" s="1226">
        <f t="shared" si="59"/>
        <v>11.526397821985169</v>
      </c>
      <c r="Z187" s="1226">
        <f t="shared" si="59"/>
        <v>11.758751207012525</v>
      </c>
      <c r="AA187" s="1226">
        <f t="shared" si="59"/>
        <v>12.079210571274002</v>
      </c>
      <c r="AB187" s="1226">
        <f t="shared" si="59"/>
        <v>12.186876715550383</v>
      </c>
      <c r="AC187" s="1226">
        <f t="shared" si="59"/>
        <v>12.377236798642736</v>
      </c>
      <c r="AD187" s="1226">
        <f t="shared" si="59"/>
        <v>12.382425382955393</v>
      </c>
      <c r="AE187" s="1226">
        <f t="shared" si="59"/>
        <v>12.513808498010549</v>
      </c>
      <c r="AF187" s="1226">
        <f t="shared" si="59"/>
        <v>12.815559124348651</v>
      </c>
      <c r="AG187" s="1226">
        <f t="shared" si="59"/>
        <v>13.28667682835407</v>
      </c>
    </row>
    <row r="188" spans="1:33">
      <c r="A188" s="13"/>
      <c r="D188" s="1226"/>
      <c r="E188" s="1226"/>
      <c r="F188" s="1226"/>
      <c r="G188" s="1226"/>
      <c r="H188" s="1226"/>
      <c r="I188" s="1226"/>
      <c r="J188" s="1226"/>
      <c r="K188" s="1226"/>
      <c r="L188" s="1226"/>
      <c r="M188" s="1226"/>
      <c r="N188" s="1226"/>
      <c r="O188" s="1226"/>
      <c r="P188" s="1226"/>
      <c r="Q188" s="1226"/>
      <c r="R188" s="1226"/>
      <c r="S188" s="1226"/>
      <c r="T188" s="1226"/>
      <c r="U188" s="1226"/>
      <c r="V188" s="1226"/>
      <c r="W188" s="1226"/>
    </row>
    <row r="189" spans="1:33">
      <c r="A189" s="24" t="s">
        <v>126</v>
      </c>
      <c r="D189" s="1226"/>
      <c r="E189" s="1226"/>
      <c r="F189" s="1226"/>
      <c r="G189" s="1226"/>
      <c r="H189" s="1226"/>
      <c r="I189" s="1226"/>
      <c r="J189" s="1226"/>
      <c r="K189" s="1226"/>
      <c r="L189" s="1226"/>
      <c r="M189" s="1226"/>
      <c r="N189" s="1226"/>
      <c r="O189" s="1226"/>
      <c r="P189" s="1226"/>
      <c r="Q189" s="1226"/>
      <c r="R189" s="1226"/>
      <c r="S189" s="1226"/>
      <c r="T189" s="1226"/>
      <c r="U189" s="1226"/>
      <c r="V189" s="1226"/>
      <c r="W189" s="1226"/>
    </row>
    <row r="190" spans="1:33">
      <c r="A190" s="13" t="s">
        <v>941</v>
      </c>
      <c r="D190" s="29">
        <f>+'Historical Financials'!AU816</f>
        <v>1440</v>
      </c>
      <c r="E190" s="29">
        <f>+'Historical Financials'!AV816</f>
        <v>2056</v>
      </c>
      <c r="F190" s="29">
        <f>+'Historical Financials'!AW816</f>
        <v>2562</v>
      </c>
      <c r="G190" s="29">
        <f>+'Historical Financials'!AX816</f>
        <v>2673</v>
      </c>
      <c r="H190" s="29">
        <f>+'Historical Financials'!AY816</f>
        <v>2766</v>
      </c>
      <c r="I190" s="29">
        <f>+'Historical Financials'!AZ816</f>
        <v>2967</v>
      </c>
      <c r="J190" s="29">
        <f>+'Historical Financials'!BA816</f>
        <v>3755</v>
      </c>
      <c r="K190" s="29">
        <f>+'Historical Financials'!BB816</f>
        <v>5212</v>
      </c>
      <c r="L190" s="29">
        <f>+'Historical Financials'!BC816</f>
        <v>5957</v>
      </c>
      <c r="M190" s="29">
        <f>+'Historical Financials'!BG816</f>
        <v>6622</v>
      </c>
      <c r="N190" s="29">
        <f>+'Historical Financials'!BH816</f>
        <v>8778</v>
      </c>
      <c r="O190" s="29">
        <f>+'Historical Financials'!BI816</f>
        <v>10261</v>
      </c>
      <c r="P190" s="29">
        <f>+'Historical Financials'!BJ816</f>
        <v>11682</v>
      </c>
      <c r="Q190" s="29">
        <f>+'Historical Financials'!BK816</f>
        <v>12796</v>
      </c>
      <c r="R190" s="29">
        <f>+'Historical Financials'!BL816</f>
        <v>11686</v>
      </c>
      <c r="S190" s="29">
        <f>+'Historical Financials'!BM816</f>
        <v>14460</v>
      </c>
      <c r="T190" s="29">
        <f>+'Historical Financials'!BN816</f>
        <v>13861</v>
      </c>
      <c r="U190" s="29">
        <f>+'Historical Financials'!BO816</f>
        <v>22287</v>
      </c>
      <c r="V190" s="1226"/>
      <c r="W190" s="1226"/>
    </row>
    <row r="191" spans="1:33">
      <c r="A191" s="15" t="s">
        <v>942</v>
      </c>
      <c r="B191" s="11"/>
      <c r="C191" s="11">
        <f t="shared" ref="C191:M191" si="60">+C184</f>
        <v>0</v>
      </c>
      <c r="D191" s="11">
        <f t="shared" si="60"/>
        <v>940</v>
      </c>
      <c r="E191" s="11">
        <f t="shared" si="60"/>
        <v>1556</v>
      </c>
      <c r="F191" s="11">
        <f t="shared" si="60"/>
        <v>2062</v>
      </c>
      <c r="G191" s="11">
        <f t="shared" si="60"/>
        <v>2173</v>
      </c>
      <c r="H191" s="11">
        <f t="shared" si="60"/>
        <v>2266</v>
      </c>
      <c r="I191" s="11">
        <f t="shared" si="60"/>
        <v>2467</v>
      </c>
      <c r="J191" s="11">
        <f t="shared" si="60"/>
        <v>3255</v>
      </c>
      <c r="K191" s="11">
        <f t="shared" si="60"/>
        <v>4712</v>
      </c>
      <c r="L191" s="11">
        <f t="shared" si="60"/>
        <v>5457</v>
      </c>
      <c r="M191" s="11">
        <f t="shared" si="60"/>
        <v>4900</v>
      </c>
      <c r="N191" s="11">
        <f>+N184</f>
        <v>6100</v>
      </c>
      <c r="O191" s="11">
        <f t="shared" ref="O191:U191" si="61">+O184</f>
        <v>7700</v>
      </c>
      <c r="P191" s="11">
        <f t="shared" si="61"/>
        <v>9700</v>
      </c>
      <c r="Q191" s="11">
        <f t="shared" si="61"/>
        <v>10700</v>
      </c>
      <c r="R191" s="11">
        <f t="shared" si="61"/>
        <v>9300</v>
      </c>
      <c r="S191" s="11">
        <f t="shared" si="61"/>
        <v>12600</v>
      </c>
      <c r="T191" s="11">
        <f t="shared" si="61"/>
        <v>11000</v>
      </c>
      <c r="U191" s="11">
        <f t="shared" si="61"/>
        <v>15200</v>
      </c>
      <c r="V191" s="1226"/>
      <c r="W191" s="1226"/>
    </row>
    <row r="192" spans="1:33">
      <c r="A192" s="15" t="s">
        <v>943</v>
      </c>
      <c r="B192" s="11"/>
      <c r="C192" s="11"/>
      <c r="D192" s="29">
        <v>236</v>
      </c>
      <c r="E192" s="29">
        <v>472</v>
      </c>
      <c r="F192" s="29">
        <v>591</v>
      </c>
      <c r="G192" s="29">
        <v>707</v>
      </c>
      <c r="H192" s="29">
        <v>537</v>
      </c>
      <c r="I192" s="29">
        <v>558</v>
      </c>
      <c r="J192" s="29">
        <v>739</v>
      </c>
      <c r="K192" s="29">
        <v>845</v>
      </c>
      <c r="L192" s="29">
        <v>1300</v>
      </c>
      <c r="M192" s="29">
        <v>978</v>
      </c>
      <c r="N192" s="29">
        <v>1700</v>
      </c>
      <c r="O192" s="29">
        <v>2200</v>
      </c>
      <c r="P192" s="29">
        <v>1900</v>
      </c>
      <c r="Q192" s="29">
        <v>1600</v>
      </c>
      <c r="R192" s="29">
        <v>1600</v>
      </c>
      <c r="S192" s="29">
        <v>2000</v>
      </c>
      <c r="T192" s="29">
        <v>2500</v>
      </c>
      <c r="U192" s="29">
        <v>4800</v>
      </c>
      <c r="V192" s="1226"/>
      <c r="W192" s="1226"/>
    </row>
    <row r="193" spans="1:33">
      <c r="A193" s="15" t="s">
        <v>944</v>
      </c>
      <c r="B193" s="11"/>
      <c r="C193" s="11"/>
      <c r="D193" s="61">
        <v>500</v>
      </c>
      <c r="E193" s="61">
        <v>500</v>
      </c>
      <c r="F193" s="61">
        <v>500</v>
      </c>
      <c r="G193" s="61">
        <v>500</v>
      </c>
      <c r="H193" s="61">
        <v>500</v>
      </c>
      <c r="I193" s="61">
        <v>500</v>
      </c>
      <c r="J193" s="61">
        <v>500</v>
      </c>
      <c r="K193" s="61">
        <v>500</v>
      </c>
      <c r="L193" s="61">
        <v>500</v>
      </c>
      <c r="M193" s="11">
        <f t="shared" ref="M193:T193" si="62">+M190-M191-M192</f>
        <v>744</v>
      </c>
      <c r="N193" s="11">
        <f t="shared" si="62"/>
        <v>978</v>
      </c>
      <c r="O193" s="11">
        <f t="shared" si="62"/>
        <v>361</v>
      </c>
      <c r="P193" s="11">
        <f t="shared" si="62"/>
        <v>82</v>
      </c>
      <c r="Q193" s="11">
        <f t="shared" si="62"/>
        <v>496</v>
      </c>
      <c r="R193" s="11">
        <f t="shared" si="62"/>
        <v>786</v>
      </c>
      <c r="S193" s="11">
        <f t="shared" si="62"/>
        <v>-140</v>
      </c>
      <c r="T193" s="11">
        <f t="shared" si="62"/>
        <v>361</v>
      </c>
      <c r="U193" s="11">
        <f>+U190-U191-U192</f>
        <v>2287</v>
      </c>
      <c r="V193" s="1226"/>
      <c r="W193" s="1226"/>
    </row>
    <row r="194" spans="1:33" hidden="1" outlineLevel="1">
      <c r="A194" s="19" t="s">
        <v>945</v>
      </c>
      <c r="D194" s="1253">
        <f t="shared" ref="D194:K194" si="63">+E194</f>
        <v>0.11235276351555422</v>
      </c>
      <c r="E194" s="1253">
        <f t="shared" si="63"/>
        <v>0.11235276351555422</v>
      </c>
      <c r="F194" s="1253">
        <f t="shared" si="63"/>
        <v>0.11235276351555422</v>
      </c>
      <c r="G194" s="1253">
        <f t="shared" si="63"/>
        <v>0.11235276351555422</v>
      </c>
      <c r="H194" s="1253">
        <f t="shared" si="63"/>
        <v>0.11235276351555422</v>
      </c>
      <c r="I194" s="1253">
        <f t="shared" si="63"/>
        <v>0.11235276351555422</v>
      </c>
      <c r="J194" s="1253">
        <f t="shared" si="63"/>
        <v>0.11235276351555422</v>
      </c>
      <c r="K194" s="1253">
        <f t="shared" si="63"/>
        <v>0.11235276351555422</v>
      </c>
      <c r="L194" s="1253">
        <f>+M194</f>
        <v>0.11235276351555422</v>
      </c>
      <c r="M194" s="1252">
        <f>+M193/M190</f>
        <v>0.11235276351555422</v>
      </c>
      <c r="N194" s="1252">
        <f t="shared" ref="N194:U194" si="64">+N193/N190</f>
        <v>0.11141490088858511</v>
      </c>
      <c r="O194" s="1252">
        <f t="shared" si="64"/>
        <v>3.5181756164116555E-2</v>
      </c>
      <c r="P194" s="1252">
        <f t="shared" si="64"/>
        <v>7.0193460023968502E-3</v>
      </c>
      <c r="Q194" s="1252">
        <f t="shared" si="64"/>
        <v>3.8762113160362613E-2</v>
      </c>
      <c r="R194" s="1252">
        <f t="shared" si="64"/>
        <v>6.725996919390724E-2</v>
      </c>
      <c r="S194" s="1252">
        <f t="shared" si="64"/>
        <v>-9.6818810511756573E-3</v>
      </c>
      <c r="T194" s="1252">
        <f t="shared" si="64"/>
        <v>2.6044296948272129E-2</v>
      </c>
      <c r="U194" s="1252">
        <f t="shared" si="64"/>
        <v>0.10261587472517611</v>
      </c>
      <c r="V194" s="1226"/>
      <c r="W194" s="1226"/>
    </row>
    <row r="195" spans="1:33" collapsed="1">
      <c r="A195" s="13"/>
      <c r="D195" s="1226"/>
      <c r="E195" s="1226"/>
      <c r="F195" s="1226"/>
      <c r="G195" s="1226"/>
      <c r="H195" s="1226"/>
      <c r="I195" s="1226"/>
      <c r="J195" s="1226"/>
      <c r="K195" s="1226"/>
      <c r="L195" s="1226"/>
      <c r="M195" s="1226"/>
      <c r="N195" s="1226"/>
      <c r="O195" s="1226"/>
      <c r="P195" s="1226"/>
      <c r="Q195" s="1226"/>
      <c r="R195" s="1226"/>
      <c r="S195" s="1226"/>
      <c r="T195" s="1226"/>
      <c r="U195" s="1226"/>
      <c r="V195" s="1226"/>
      <c r="W195" s="1226"/>
    </row>
    <row r="196" spans="1:33" ht="10.5">
      <c r="A196" s="45" t="s">
        <v>946</v>
      </c>
    </row>
    <row r="197" spans="1:33">
      <c r="A197" t="s">
        <v>933</v>
      </c>
      <c r="C197" s="8">
        <f t="shared" ref="C197:AG197" si="65">+C170</f>
        <v>7223</v>
      </c>
      <c r="D197" s="8">
        <f t="shared" si="65"/>
        <v>9366</v>
      </c>
      <c r="E197" s="8">
        <f t="shared" si="65"/>
        <v>12544</v>
      </c>
      <c r="F197" s="8">
        <f t="shared" si="65"/>
        <v>15082</v>
      </c>
      <c r="G197" s="8">
        <f t="shared" si="65"/>
        <v>16259</v>
      </c>
      <c r="H197" s="8">
        <f t="shared" si="65"/>
        <v>17991</v>
      </c>
      <c r="I197" s="8">
        <f t="shared" si="65"/>
        <v>19231</v>
      </c>
      <c r="J197" s="8">
        <f t="shared" si="65"/>
        <v>22504</v>
      </c>
      <c r="K197" s="8">
        <f t="shared" si="65"/>
        <v>27804</v>
      </c>
      <c r="L197" s="8">
        <f t="shared" si="65"/>
        <v>32337</v>
      </c>
      <c r="M197" s="8">
        <f t="shared" si="65"/>
        <v>38156</v>
      </c>
      <c r="N197" s="8">
        <f t="shared" si="65"/>
        <v>47913</v>
      </c>
      <c r="O197" s="8">
        <f t="shared" si="65"/>
        <v>58683</v>
      </c>
      <c r="P197" s="8">
        <f t="shared" si="65"/>
        <v>71807</v>
      </c>
      <c r="Q197" s="8">
        <f t="shared" si="65"/>
        <v>87348</v>
      </c>
      <c r="R197" s="8">
        <f t="shared" si="65"/>
        <v>111066</v>
      </c>
      <c r="S197" s="8">
        <f t="shared" si="65"/>
        <v>134058</v>
      </c>
      <c r="T197" s="8">
        <f t="shared" si="65"/>
        <v>163892</v>
      </c>
      <c r="U197" s="8">
        <f t="shared" si="65"/>
        <v>212012</v>
      </c>
      <c r="V197" s="8">
        <f t="shared" si="65"/>
        <v>292512</v>
      </c>
      <c r="W197" s="8">
        <f t="shared" si="65"/>
        <v>364158.59721820621</v>
      </c>
      <c r="X197" s="8">
        <f t="shared" si="65"/>
        <v>439039.13067360362</v>
      </c>
      <c r="Y197" s="8">
        <f t="shared" si="65"/>
        <v>516522.98279993993</v>
      </c>
      <c r="Z197" s="8">
        <f t="shared" si="65"/>
        <v>595717.58719575033</v>
      </c>
      <c r="AA197" s="8">
        <f t="shared" si="65"/>
        <v>675404.03286903456</v>
      </c>
      <c r="AB197" s="8">
        <f t="shared" si="65"/>
        <v>760463.84449872025</v>
      </c>
      <c r="AC197" s="8">
        <f t="shared" si="65"/>
        <v>850727.33684407885</v>
      </c>
      <c r="AD197" s="8">
        <f t="shared" si="65"/>
        <v>954455.35304124129</v>
      </c>
      <c r="AE197" s="8">
        <f t="shared" si="65"/>
        <v>1073667.5716679781</v>
      </c>
      <c r="AF197" s="8">
        <f t="shared" si="65"/>
        <v>1210686.6230887254</v>
      </c>
      <c r="AG197" s="8">
        <f t="shared" si="65"/>
        <v>1368183.5322225848</v>
      </c>
    </row>
    <row r="198" spans="1:33" ht="11.45">
      <c r="A198" t="s">
        <v>924</v>
      </c>
      <c r="C198" s="10">
        <f t="shared" ref="C198:AG198" si="66">-C181</f>
        <v>-4179</v>
      </c>
      <c r="D198" s="10">
        <f t="shared" si="66"/>
        <v>-5016</v>
      </c>
      <c r="E198" s="10">
        <f t="shared" si="66"/>
        <v>-6302</v>
      </c>
      <c r="F198" s="10">
        <f t="shared" si="66"/>
        <v>-7547</v>
      </c>
      <c r="G198" s="10">
        <f t="shared" si="66"/>
        <v>-8629</v>
      </c>
      <c r="H198" s="10">
        <f t="shared" si="66"/>
        <v>-9829</v>
      </c>
      <c r="I198" s="10">
        <f t="shared" si="66"/>
        <v>-10962</v>
      </c>
      <c r="J198" s="10">
        <f t="shared" si="66"/>
        <v>-12513</v>
      </c>
      <c r="K198" s="10">
        <f t="shared" si="66"/>
        <v>-14793</v>
      </c>
      <c r="L198" s="10">
        <f t="shared" si="66"/>
        <v>-17606</v>
      </c>
      <c r="M198" s="10">
        <f t="shared" si="66"/>
        <v>-19800</v>
      </c>
      <c r="N198" s="10">
        <f t="shared" si="66"/>
        <v>-24179</v>
      </c>
      <c r="O198" s="10">
        <f t="shared" si="66"/>
        <v>-29223</v>
      </c>
      <c r="P198" s="10">
        <f t="shared" si="66"/>
        <v>-35330</v>
      </c>
      <c r="Q198" s="10">
        <f t="shared" si="66"/>
        <v>-43197</v>
      </c>
      <c r="R198" s="10">
        <f t="shared" si="66"/>
        <v>-51351</v>
      </c>
      <c r="S198" s="10">
        <f t="shared" si="66"/>
        <v>-59660</v>
      </c>
      <c r="T198" s="10">
        <f t="shared" si="66"/>
        <v>-68251</v>
      </c>
      <c r="U198" s="10">
        <f t="shared" si="66"/>
        <v>-76421</v>
      </c>
      <c r="V198" s="10">
        <f t="shared" si="66"/>
        <v>-90460.589150700689</v>
      </c>
      <c r="W198" s="10">
        <f t="shared" si="66"/>
        <v>-108197.94610461166</v>
      </c>
      <c r="X198" s="10">
        <f t="shared" si="66"/>
        <v>-129372.57258260599</v>
      </c>
      <c r="Y198" s="10">
        <f t="shared" si="66"/>
        <v>-154136.80076678295</v>
      </c>
      <c r="Z198" s="10">
        <f t="shared" si="66"/>
        <v>-182187.0652222542</v>
      </c>
      <c r="AA198" s="10">
        <f t="shared" si="66"/>
        <v>-212738.99781582187</v>
      </c>
      <c r="AB198" s="10">
        <f t="shared" si="66"/>
        <v>-246247.02392087466</v>
      </c>
      <c r="AC198" s="10">
        <f t="shared" si="66"/>
        <v>-282323.56842442398</v>
      </c>
      <c r="AD198" s="10">
        <f t="shared" si="66"/>
        <v>-321948.05140814366</v>
      </c>
      <c r="AE198" s="10">
        <f t="shared" si="66"/>
        <v>-365058.88060926262</v>
      </c>
      <c r="AF198" s="10">
        <f t="shared" si="66"/>
        <v>-411235.47123715922</v>
      </c>
      <c r="AG198" s="10">
        <f t="shared" si="66"/>
        <v>-459997.68048096012</v>
      </c>
    </row>
    <row r="199" spans="1:33" s="1" customFormat="1" ht="10.5">
      <c r="A199" s="837" t="s">
        <v>947</v>
      </c>
      <c r="C199" s="838">
        <f>SUM(C197:C198)</f>
        <v>3044</v>
      </c>
      <c r="D199" s="838">
        <f t="shared" ref="D199:AG199" si="67">SUM(D197:D198)</f>
        <v>4350</v>
      </c>
      <c r="E199" s="838">
        <f t="shared" si="67"/>
        <v>6242</v>
      </c>
      <c r="F199" s="838">
        <f t="shared" si="67"/>
        <v>7535</v>
      </c>
      <c r="G199" s="838">
        <f t="shared" si="67"/>
        <v>7630</v>
      </c>
      <c r="H199" s="838">
        <f t="shared" si="67"/>
        <v>8162</v>
      </c>
      <c r="I199" s="838">
        <f t="shared" si="67"/>
        <v>8269</v>
      </c>
      <c r="J199" s="838">
        <f t="shared" si="67"/>
        <v>9991</v>
      </c>
      <c r="K199" s="838">
        <f t="shared" si="67"/>
        <v>13011</v>
      </c>
      <c r="L199" s="838">
        <f t="shared" si="67"/>
        <v>14731</v>
      </c>
      <c r="M199" s="838">
        <f t="shared" si="67"/>
        <v>18356</v>
      </c>
      <c r="N199" s="838">
        <f t="shared" si="67"/>
        <v>23734</v>
      </c>
      <c r="O199" s="838">
        <f t="shared" si="67"/>
        <v>29460</v>
      </c>
      <c r="P199" s="838">
        <f t="shared" si="67"/>
        <v>36477</v>
      </c>
      <c r="Q199" s="838">
        <f t="shared" si="67"/>
        <v>44151</v>
      </c>
      <c r="R199" s="838">
        <f t="shared" si="67"/>
        <v>59715</v>
      </c>
      <c r="S199" s="838">
        <f t="shared" si="67"/>
        <v>74398</v>
      </c>
      <c r="T199" s="838">
        <f t="shared" si="67"/>
        <v>95641</v>
      </c>
      <c r="U199" s="838">
        <f t="shared" si="67"/>
        <v>135591</v>
      </c>
      <c r="V199" s="838">
        <f t="shared" si="67"/>
        <v>202051.41084929931</v>
      </c>
      <c r="W199" s="838">
        <f t="shared" si="67"/>
        <v>255960.65111359453</v>
      </c>
      <c r="X199" s="838">
        <f t="shared" si="67"/>
        <v>309666.55809099763</v>
      </c>
      <c r="Y199" s="838">
        <f t="shared" si="67"/>
        <v>362386.18203315698</v>
      </c>
      <c r="Z199" s="838">
        <f t="shared" si="67"/>
        <v>413530.52197349613</v>
      </c>
      <c r="AA199" s="838">
        <f t="shared" si="67"/>
        <v>462665.03505321266</v>
      </c>
      <c r="AB199" s="838">
        <f t="shared" si="67"/>
        <v>514216.82057784556</v>
      </c>
      <c r="AC199" s="838">
        <f t="shared" si="67"/>
        <v>568403.76841965481</v>
      </c>
      <c r="AD199" s="838">
        <f t="shared" si="67"/>
        <v>632507.3016330977</v>
      </c>
      <c r="AE199" s="838">
        <f t="shared" si="67"/>
        <v>708608.69105871546</v>
      </c>
      <c r="AF199" s="838">
        <f t="shared" si="67"/>
        <v>799451.15185156616</v>
      </c>
      <c r="AG199" s="838">
        <f t="shared" si="67"/>
        <v>908185.85174162476</v>
      </c>
    </row>
    <row r="201" spans="1:33">
      <c r="A201" t="s">
        <v>948</v>
      </c>
      <c r="D201" s="8">
        <f>+C199</f>
        <v>3044</v>
      </c>
      <c r="E201" s="8">
        <f t="shared" ref="E201:AG201" si="68">+D199</f>
        <v>4350</v>
      </c>
      <c r="F201" s="8">
        <f t="shared" si="68"/>
        <v>6242</v>
      </c>
      <c r="G201" s="8">
        <f t="shared" si="68"/>
        <v>7535</v>
      </c>
      <c r="H201" s="8">
        <f t="shared" si="68"/>
        <v>7630</v>
      </c>
      <c r="I201" s="8">
        <f t="shared" si="68"/>
        <v>8162</v>
      </c>
      <c r="J201" s="8">
        <f t="shared" si="68"/>
        <v>8269</v>
      </c>
      <c r="K201" s="8">
        <f t="shared" si="68"/>
        <v>9991</v>
      </c>
      <c r="L201" s="8">
        <f t="shared" si="68"/>
        <v>13011</v>
      </c>
      <c r="M201" s="8">
        <f t="shared" si="68"/>
        <v>14731</v>
      </c>
      <c r="N201" s="8">
        <f t="shared" si="68"/>
        <v>18356</v>
      </c>
      <c r="O201" s="8">
        <f t="shared" si="68"/>
        <v>23734</v>
      </c>
      <c r="P201" s="8">
        <f t="shared" si="68"/>
        <v>29460</v>
      </c>
      <c r="Q201" s="8">
        <f t="shared" si="68"/>
        <v>36477</v>
      </c>
      <c r="R201" s="8">
        <f t="shared" si="68"/>
        <v>44151</v>
      </c>
      <c r="S201" s="8">
        <f t="shared" si="68"/>
        <v>59715</v>
      </c>
      <c r="T201" s="8">
        <f t="shared" si="68"/>
        <v>74398</v>
      </c>
      <c r="U201" s="8">
        <f t="shared" si="68"/>
        <v>95641</v>
      </c>
      <c r="V201" s="8">
        <f t="shared" si="68"/>
        <v>135591</v>
      </c>
      <c r="W201" s="8">
        <f t="shared" si="68"/>
        <v>202051.41084929931</v>
      </c>
      <c r="X201" s="8">
        <f t="shared" si="68"/>
        <v>255960.65111359453</v>
      </c>
      <c r="Y201" s="8">
        <f t="shared" si="68"/>
        <v>309666.55809099763</v>
      </c>
      <c r="Z201" s="8">
        <f t="shared" si="68"/>
        <v>362386.18203315698</v>
      </c>
      <c r="AA201" s="8">
        <f t="shared" si="68"/>
        <v>413530.52197349613</v>
      </c>
      <c r="AB201" s="8">
        <f t="shared" si="68"/>
        <v>462665.03505321266</v>
      </c>
      <c r="AC201" s="8">
        <f t="shared" si="68"/>
        <v>514216.82057784556</v>
      </c>
      <c r="AD201" s="8">
        <f t="shared" si="68"/>
        <v>568403.76841965481</v>
      </c>
      <c r="AE201" s="8">
        <f t="shared" si="68"/>
        <v>632507.3016330977</v>
      </c>
      <c r="AF201" s="8">
        <f t="shared" si="68"/>
        <v>708608.69105871546</v>
      </c>
      <c r="AG201" s="8">
        <f t="shared" si="68"/>
        <v>799451.15185156616</v>
      </c>
    </row>
    <row r="202" spans="1:33">
      <c r="A202" t="s">
        <v>949</v>
      </c>
      <c r="D202" s="8">
        <f t="shared" ref="D202:AG202" si="69">+D176</f>
        <v>2264</v>
      </c>
      <c r="E202" s="8">
        <f t="shared" si="69"/>
        <v>3182</v>
      </c>
      <c r="F202" s="8">
        <f t="shared" si="69"/>
        <v>3119</v>
      </c>
      <c r="G202" s="8">
        <f t="shared" si="69"/>
        <v>1977</v>
      </c>
      <c r="H202" s="8">
        <f t="shared" si="69"/>
        <v>2355</v>
      </c>
      <c r="I202" s="8">
        <f t="shared" si="69"/>
        <v>2305</v>
      </c>
      <c r="J202" s="8">
        <f t="shared" si="69"/>
        <v>4257</v>
      </c>
      <c r="K202" s="8">
        <f t="shared" si="69"/>
        <v>5485</v>
      </c>
      <c r="L202" s="8">
        <f t="shared" si="69"/>
        <v>5944</v>
      </c>
      <c r="M202" s="8">
        <f t="shared" si="69"/>
        <v>8900</v>
      </c>
      <c r="N202" s="8">
        <f t="shared" si="69"/>
        <v>10200</v>
      </c>
      <c r="O202" s="8">
        <f t="shared" si="69"/>
        <v>13600</v>
      </c>
      <c r="P202" s="8">
        <f t="shared" si="69"/>
        <v>16900</v>
      </c>
      <c r="Q202" s="8">
        <f t="shared" si="69"/>
        <v>19000</v>
      </c>
      <c r="R202" s="8">
        <f t="shared" si="69"/>
        <v>24200</v>
      </c>
      <c r="S202" s="8">
        <f t="shared" si="69"/>
        <v>29200</v>
      </c>
      <c r="T202" s="8">
        <f t="shared" si="69"/>
        <v>31900</v>
      </c>
      <c r="U202" s="8">
        <f t="shared" si="69"/>
        <v>55700</v>
      </c>
      <c r="V202" s="8">
        <f t="shared" si="69"/>
        <v>80000</v>
      </c>
      <c r="W202" s="8">
        <f t="shared" si="69"/>
        <v>71146.597218206225</v>
      </c>
      <c r="X202" s="8">
        <f t="shared" si="69"/>
        <v>74380.53345539741</v>
      </c>
      <c r="Y202" s="8">
        <f t="shared" si="69"/>
        <v>76983.852126336307</v>
      </c>
      <c r="Z202" s="8">
        <f t="shared" si="69"/>
        <v>78694.604395810456</v>
      </c>
      <c r="AA202" s="8">
        <f t="shared" si="69"/>
        <v>79186.445673284266</v>
      </c>
      <c r="AB202" s="8">
        <f t="shared" si="69"/>
        <v>84559.81162968569</v>
      </c>
      <c r="AC202" s="8">
        <f t="shared" si="69"/>
        <v>89763.492345358638</v>
      </c>
      <c r="AD202" s="8">
        <f t="shared" si="69"/>
        <v>103228.01619716243</v>
      </c>
      <c r="AE202" s="8">
        <f t="shared" si="69"/>
        <v>118712.21862673679</v>
      </c>
      <c r="AF202" s="8">
        <f t="shared" si="69"/>
        <v>136519.0514207473</v>
      </c>
      <c r="AG202" s="8">
        <f t="shared" si="69"/>
        <v>156996.90913385942</v>
      </c>
    </row>
    <row r="203" spans="1:33">
      <c r="A203" t="s">
        <v>950</v>
      </c>
      <c r="D203" s="8">
        <f t="shared" ref="D203:AG203" si="70">+D184</f>
        <v>940</v>
      </c>
      <c r="E203" s="8">
        <f t="shared" si="70"/>
        <v>1556</v>
      </c>
      <c r="F203" s="8">
        <f t="shared" si="70"/>
        <v>2062</v>
      </c>
      <c r="G203" s="8">
        <f t="shared" si="70"/>
        <v>2173</v>
      </c>
      <c r="H203" s="8">
        <f t="shared" si="70"/>
        <v>2266</v>
      </c>
      <c r="I203" s="8">
        <f t="shared" si="70"/>
        <v>2467</v>
      </c>
      <c r="J203" s="8">
        <f t="shared" si="70"/>
        <v>3255</v>
      </c>
      <c r="K203" s="8">
        <f t="shared" si="70"/>
        <v>4712</v>
      </c>
      <c r="L203" s="8">
        <f t="shared" si="70"/>
        <v>5457</v>
      </c>
      <c r="M203" s="8">
        <f t="shared" si="70"/>
        <v>4900</v>
      </c>
      <c r="N203" s="8">
        <f t="shared" si="70"/>
        <v>6100</v>
      </c>
      <c r="O203" s="8">
        <f t="shared" si="70"/>
        <v>7700</v>
      </c>
      <c r="P203" s="8">
        <f t="shared" si="70"/>
        <v>9700</v>
      </c>
      <c r="Q203" s="8">
        <f t="shared" si="70"/>
        <v>10700</v>
      </c>
      <c r="R203" s="8">
        <f t="shared" si="70"/>
        <v>9300</v>
      </c>
      <c r="S203" s="8">
        <f t="shared" si="70"/>
        <v>12600</v>
      </c>
      <c r="T203" s="8">
        <f t="shared" si="70"/>
        <v>11000</v>
      </c>
      <c r="U203" s="8">
        <f t="shared" si="70"/>
        <v>15200</v>
      </c>
      <c r="V203" s="8">
        <f t="shared" si="70"/>
        <v>21911.116747365937</v>
      </c>
      <c r="W203" s="8">
        <f t="shared" si="70"/>
        <v>27054.992471770431</v>
      </c>
      <c r="X203" s="8">
        <f t="shared" si="70"/>
        <v>32319.247965084938</v>
      </c>
      <c r="Y203" s="8">
        <f t="shared" si="70"/>
        <v>38089.881804720564</v>
      </c>
      <c r="Z203" s="8">
        <f t="shared" si="70"/>
        <v>43926.686916541184</v>
      </c>
      <c r="AA203" s="8">
        <f t="shared" si="70"/>
        <v>49317.592708620163</v>
      </c>
      <c r="AB203" s="8">
        <f t="shared" si="70"/>
        <v>55420.601080441142</v>
      </c>
      <c r="AC203" s="8">
        <f t="shared" si="70"/>
        <v>61440.51833783379</v>
      </c>
      <c r="AD203" s="8">
        <f t="shared" si="70"/>
        <v>68704.418604057864</v>
      </c>
      <c r="AE203" s="8">
        <f t="shared" si="70"/>
        <v>76272.171912570106</v>
      </c>
      <c r="AF203" s="8">
        <f t="shared" si="70"/>
        <v>83778.441599796148</v>
      </c>
      <c r="AG203" s="8">
        <f t="shared" si="70"/>
        <v>91120.348506188748</v>
      </c>
    </row>
    <row r="204" spans="1:33" ht="11.45">
      <c r="A204" t="s">
        <v>198</v>
      </c>
      <c r="D204" s="10">
        <f t="shared" ref="D204:AG204" si="71">+D205-SUM(D201:D203)</f>
        <v>-1898</v>
      </c>
      <c r="E204" s="10">
        <f t="shared" si="71"/>
        <v>-2846</v>
      </c>
      <c r="F204" s="10">
        <f t="shared" si="71"/>
        <v>-3888</v>
      </c>
      <c r="G204" s="10">
        <f t="shared" si="71"/>
        <v>-4055</v>
      </c>
      <c r="H204" s="10">
        <f t="shared" si="71"/>
        <v>-4089</v>
      </c>
      <c r="I204" s="10">
        <f t="shared" si="71"/>
        <v>-4665</v>
      </c>
      <c r="J204" s="10">
        <f t="shared" si="71"/>
        <v>-5790</v>
      </c>
      <c r="K204" s="10">
        <f t="shared" si="71"/>
        <v>-7177</v>
      </c>
      <c r="L204" s="10">
        <f t="shared" si="71"/>
        <v>-9681</v>
      </c>
      <c r="M204" s="10">
        <f t="shared" si="71"/>
        <v>-10175</v>
      </c>
      <c r="N204" s="10">
        <f t="shared" si="71"/>
        <v>-10922</v>
      </c>
      <c r="O204" s="10">
        <f t="shared" si="71"/>
        <v>-15574</v>
      </c>
      <c r="P204" s="10">
        <f t="shared" si="71"/>
        <v>-19583</v>
      </c>
      <c r="Q204" s="10">
        <f t="shared" si="71"/>
        <v>-22026</v>
      </c>
      <c r="R204" s="10">
        <f t="shared" si="71"/>
        <v>-17936</v>
      </c>
      <c r="S204" s="10">
        <f t="shared" si="71"/>
        <v>-27117</v>
      </c>
      <c r="T204" s="10">
        <f t="shared" si="71"/>
        <v>-21657</v>
      </c>
      <c r="U204" s="10">
        <f t="shared" si="71"/>
        <v>-30950</v>
      </c>
      <c r="V204" s="10">
        <f t="shared" si="71"/>
        <v>-35450.705898066633</v>
      </c>
      <c r="W204" s="10">
        <f t="shared" si="71"/>
        <v>-44292.349425681459</v>
      </c>
      <c r="X204" s="10">
        <f t="shared" si="71"/>
        <v>-52993.874443079229</v>
      </c>
      <c r="Y204" s="10">
        <f t="shared" si="71"/>
        <v>-62354.109988897515</v>
      </c>
      <c r="Z204" s="10">
        <f t="shared" si="71"/>
        <v>-71476.951372012496</v>
      </c>
      <c r="AA204" s="10">
        <f t="shared" si="71"/>
        <v>-79369.525302187889</v>
      </c>
      <c r="AB204" s="10">
        <f t="shared" si="71"/>
        <v>-88428.62718549394</v>
      </c>
      <c r="AC204" s="10">
        <f t="shared" si="71"/>
        <v>-97017.062841383158</v>
      </c>
      <c r="AD204" s="10">
        <f t="shared" si="71"/>
        <v>-107828.90158777742</v>
      </c>
      <c r="AE204" s="10">
        <f t="shared" si="71"/>
        <v>-118883.00111368916</v>
      </c>
      <c r="AF204" s="10">
        <f t="shared" si="71"/>
        <v>-129455.03222769278</v>
      </c>
      <c r="AG204" s="10">
        <f t="shared" si="71"/>
        <v>-139382.55774998956</v>
      </c>
    </row>
    <row r="205" spans="1:33" s="1" customFormat="1" ht="10.5">
      <c r="A205" s="837" t="s">
        <v>947</v>
      </c>
      <c r="D205" s="838">
        <f>+D199</f>
        <v>4350</v>
      </c>
      <c r="E205" s="838">
        <f t="shared" ref="E205:AG205" si="72">+E199</f>
        <v>6242</v>
      </c>
      <c r="F205" s="838">
        <f t="shared" si="72"/>
        <v>7535</v>
      </c>
      <c r="G205" s="838">
        <f t="shared" si="72"/>
        <v>7630</v>
      </c>
      <c r="H205" s="838">
        <f t="shared" si="72"/>
        <v>8162</v>
      </c>
      <c r="I205" s="838">
        <f t="shared" si="72"/>
        <v>8269</v>
      </c>
      <c r="J205" s="838">
        <f t="shared" si="72"/>
        <v>9991</v>
      </c>
      <c r="K205" s="838">
        <f t="shared" si="72"/>
        <v>13011</v>
      </c>
      <c r="L205" s="838">
        <f t="shared" si="72"/>
        <v>14731</v>
      </c>
      <c r="M205" s="838">
        <f t="shared" si="72"/>
        <v>18356</v>
      </c>
      <c r="N205" s="838">
        <f t="shared" si="72"/>
        <v>23734</v>
      </c>
      <c r="O205" s="838">
        <f t="shared" si="72"/>
        <v>29460</v>
      </c>
      <c r="P205" s="838">
        <f t="shared" si="72"/>
        <v>36477</v>
      </c>
      <c r="Q205" s="838">
        <f t="shared" si="72"/>
        <v>44151</v>
      </c>
      <c r="R205" s="838">
        <f t="shared" si="72"/>
        <v>59715</v>
      </c>
      <c r="S205" s="838">
        <f t="shared" si="72"/>
        <v>74398</v>
      </c>
      <c r="T205" s="838">
        <f t="shared" si="72"/>
        <v>95641</v>
      </c>
      <c r="U205" s="838">
        <f t="shared" si="72"/>
        <v>135591</v>
      </c>
      <c r="V205" s="838">
        <f t="shared" si="72"/>
        <v>202051.41084929931</v>
      </c>
      <c r="W205" s="838">
        <f t="shared" si="72"/>
        <v>255960.65111359453</v>
      </c>
      <c r="X205" s="838">
        <f t="shared" si="72"/>
        <v>309666.55809099763</v>
      </c>
      <c r="Y205" s="838">
        <f t="shared" si="72"/>
        <v>362386.18203315698</v>
      </c>
      <c r="Z205" s="838">
        <f t="shared" si="72"/>
        <v>413530.52197349613</v>
      </c>
      <c r="AA205" s="838">
        <f t="shared" si="72"/>
        <v>462665.03505321266</v>
      </c>
      <c r="AB205" s="838">
        <f t="shared" si="72"/>
        <v>514216.82057784556</v>
      </c>
      <c r="AC205" s="838">
        <f t="shared" si="72"/>
        <v>568403.76841965481</v>
      </c>
      <c r="AD205" s="838">
        <f t="shared" si="72"/>
        <v>632507.3016330977</v>
      </c>
      <c r="AE205" s="838">
        <f t="shared" si="72"/>
        <v>708608.69105871546</v>
      </c>
      <c r="AF205" s="838">
        <f t="shared" si="72"/>
        <v>799451.15185156616</v>
      </c>
      <c r="AG205" s="838">
        <f t="shared" si="72"/>
        <v>908185.85174162476</v>
      </c>
    </row>
    <row r="206" spans="1:33" s="1" customFormat="1" ht="10.5">
      <c r="A206" s="837"/>
      <c r="D206" s="838"/>
      <c r="E206" s="838"/>
      <c r="F206" s="838"/>
      <c r="G206" s="838"/>
      <c r="H206" s="838"/>
      <c r="I206" s="838"/>
      <c r="J206" s="838"/>
      <c r="K206" s="838"/>
      <c r="L206" s="838"/>
      <c r="M206" s="838"/>
      <c r="N206" s="838"/>
      <c r="O206" s="838"/>
      <c r="P206" s="838"/>
      <c r="Q206" s="838"/>
      <c r="R206" s="838"/>
      <c r="S206" s="838"/>
      <c r="T206" s="838"/>
      <c r="U206" s="838"/>
      <c r="V206" s="838"/>
      <c r="W206" s="838"/>
    </row>
    <row r="207" spans="1:33" s="1" customFormat="1" ht="10.5">
      <c r="A207" s="45" t="s">
        <v>951</v>
      </c>
      <c r="B207"/>
      <c r="C207"/>
      <c r="D207"/>
      <c r="E207"/>
      <c r="F207"/>
      <c r="G207"/>
      <c r="H207"/>
      <c r="I207"/>
      <c r="J207"/>
      <c r="K207"/>
      <c r="L207"/>
      <c r="M207"/>
      <c r="N207" s="838"/>
      <c r="O207" s="838"/>
      <c r="P207" s="838"/>
      <c r="Q207" s="838"/>
      <c r="R207" s="838"/>
      <c r="S207" s="838"/>
      <c r="T207" s="838"/>
      <c r="U207" s="838"/>
      <c r="V207" s="838"/>
      <c r="W207" s="838"/>
    </row>
    <row r="208" spans="1:33" s="1" customFormat="1" ht="10.5">
      <c r="A208" t="s">
        <v>952</v>
      </c>
      <c r="B208"/>
      <c r="C208"/>
      <c r="D208"/>
      <c r="E208"/>
      <c r="F208"/>
      <c r="G208"/>
      <c r="H208"/>
      <c r="I208"/>
      <c r="J208"/>
      <c r="K208"/>
      <c r="L208"/>
      <c r="M208" s="1256"/>
      <c r="N208" s="1257">
        <f t="shared" ref="N208:S208" si="73">+N197/N203</f>
        <v>7.854590163934426</v>
      </c>
      <c r="O208" s="1257">
        <f t="shared" si="73"/>
        <v>7.6211688311688315</v>
      </c>
      <c r="P208" s="1257">
        <f t="shared" si="73"/>
        <v>7.4027835051546393</v>
      </c>
      <c r="Q208" s="1257">
        <f t="shared" si="73"/>
        <v>8.1633644859813081</v>
      </c>
      <c r="R208" s="1257">
        <f t="shared" si="73"/>
        <v>11.942580645161291</v>
      </c>
      <c r="S208" s="1257">
        <f t="shared" si="73"/>
        <v>10.63952380952381</v>
      </c>
      <c r="T208" s="1257">
        <f>+T197/T203</f>
        <v>14.899272727272727</v>
      </c>
      <c r="U208" s="1257">
        <f t="shared" ref="U208:AG208" si="74">+U197/U203</f>
        <v>13.948157894736843</v>
      </c>
      <c r="V208" s="1257">
        <f t="shared" si="74"/>
        <v>13.349935714032675</v>
      </c>
      <c r="W208" s="1257">
        <f t="shared" si="74"/>
        <v>13.459940807530238</v>
      </c>
      <c r="X208" s="1257">
        <f t="shared" si="74"/>
        <v>13.584447606822581</v>
      </c>
      <c r="Y208" s="1257">
        <f t="shared" si="74"/>
        <v>13.560634959385096</v>
      </c>
      <c r="Z208" s="1257">
        <f t="shared" si="74"/>
        <v>13.561632552156462</v>
      </c>
      <c r="AA208" s="1257">
        <f t="shared" si="74"/>
        <v>13.694991903994161</v>
      </c>
      <c r="AB208" s="1257">
        <f t="shared" si="74"/>
        <v>13.721681643166095</v>
      </c>
      <c r="AC208" s="1257">
        <f t="shared" si="74"/>
        <v>13.846356766821394</v>
      </c>
      <c r="AD208" s="1257">
        <f t="shared" si="74"/>
        <v>13.892197509766405</v>
      </c>
      <c r="AE208" s="1257">
        <f t="shared" si="74"/>
        <v>14.076792947481692</v>
      </c>
      <c r="AF208" s="1257">
        <f t="shared" si="74"/>
        <v>14.451052084163752</v>
      </c>
      <c r="AG208" s="1257">
        <f t="shared" si="74"/>
        <v>15.01512620015561</v>
      </c>
    </row>
    <row r="209" spans="1:33" s="1" customFormat="1" ht="10.5">
      <c r="A209" t="s">
        <v>953</v>
      </c>
      <c r="B209"/>
      <c r="C209"/>
      <c r="D209"/>
      <c r="E209"/>
      <c r="F209"/>
      <c r="G209"/>
      <c r="H209"/>
      <c r="I209"/>
      <c r="J209"/>
      <c r="K209"/>
      <c r="L209"/>
      <c r="M209" s="1256"/>
      <c r="N209" s="1257">
        <f t="shared" ref="N209:U209" si="75">(N170-N173)/N203</f>
        <v>7.5580327868852457</v>
      </c>
      <c r="O209" s="1257">
        <f t="shared" si="75"/>
        <v>7.4825974025974027</v>
      </c>
      <c r="P209" s="1257">
        <f t="shared" si="75"/>
        <v>7.2179381443298967</v>
      </c>
      <c r="Q209" s="1257">
        <f t="shared" si="75"/>
        <v>7.8415887850467287</v>
      </c>
      <c r="R209" s="1257">
        <f t="shared" si="75"/>
        <v>11.430645161290322</v>
      </c>
      <c r="S209" s="1257">
        <f t="shared" si="75"/>
        <v>9.9310317460317457</v>
      </c>
      <c r="T209" s="1257">
        <f t="shared" si="75"/>
        <v>14.177272727272728</v>
      </c>
      <c r="U209" s="1257">
        <f t="shared" si="75"/>
        <v>13.143092105263158</v>
      </c>
      <c r="V209" s="1257">
        <f t="shared" ref="V209:AG209" si="76">(V170-V173)/V203</f>
        <v>11.985696714046814</v>
      </c>
      <c r="W209" s="1257">
        <f t="shared" si="76"/>
        <v>13.459940807530238</v>
      </c>
      <c r="X209" s="1257">
        <f t="shared" si="76"/>
        <v>13.584447606822581</v>
      </c>
      <c r="Y209" s="1257">
        <f t="shared" si="76"/>
        <v>13.560634959385096</v>
      </c>
      <c r="Z209" s="1257">
        <f t="shared" si="76"/>
        <v>13.561632552156462</v>
      </c>
      <c r="AA209" s="1257">
        <f t="shared" si="76"/>
        <v>13.694991903994161</v>
      </c>
      <c r="AB209" s="1257">
        <f t="shared" si="76"/>
        <v>13.721681643166095</v>
      </c>
      <c r="AC209" s="1257">
        <f t="shared" si="76"/>
        <v>13.846356766821394</v>
      </c>
      <c r="AD209" s="1257">
        <f t="shared" si="76"/>
        <v>13.892197509766405</v>
      </c>
      <c r="AE209" s="1257">
        <f t="shared" si="76"/>
        <v>14.076792947481692</v>
      </c>
      <c r="AF209" s="1257">
        <f t="shared" si="76"/>
        <v>14.451052084163752</v>
      </c>
      <c r="AG209" s="1257">
        <f t="shared" si="76"/>
        <v>15.01512620015561</v>
      </c>
    </row>
    <row r="210" spans="1:33" s="1" customFormat="1" ht="10.5">
      <c r="A210" t="s">
        <v>954</v>
      </c>
      <c r="B210"/>
      <c r="C210"/>
      <c r="D210"/>
      <c r="E210"/>
      <c r="F210"/>
      <c r="G210"/>
      <c r="H210"/>
      <c r="I210"/>
      <c r="J210"/>
      <c r="K210"/>
      <c r="L210"/>
      <c r="M210" s="1256"/>
      <c r="N210" s="1257">
        <f t="shared" ref="N210:S210" si="77">+N205/N203</f>
        <v>3.8908196721311477</v>
      </c>
      <c r="O210" s="1257">
        <f t="shared" si="77"/>
        <v>3.825974025974026</v>
      </c>
      <c r="P210" s="1257">
        <f t="shared" si="77"/>
        <v>3.7605154639175256</v>
      </c>
      <c r="Q210" s="1257">
        <f t="shared" si="77"/>
        <v>4.1262616822429905</v>
      </c>
      <c r="R210" s="1257">
        <f t="shared" si="77"/>
        <v>6.4209677419354838</v>
      </c>
      <c r="S210" s="1257">
        <f t="shared" si="77"/>
        <v>5.9046031746031744</v>
      </c>
      <c r="T210" s="1257">
        <f>+T205/T203</f>
        <v>8.6946363636363628</v>
      </c>
      <c r="U210" s="1257">
        <f t="shared" ref="U210:AG210" si="78">+U205/U203</f>
        <v>8.9204605263157895</v>
      </c>
      <c r="V210" s="1257">
        <f t="shared" si="78"/>
        <v>9.2214109020065855</v>
      </c>
      <c r="W210" s="1257">
        <f t="shared" si="78"/>
        <v>9.4607548451794088</v>
      </c>
      <c r="X210" s="1257">
        <f t="shared" si="78"/>
        <v>9.5814902136812083</v>
      </c>
      <c r="Y210" s="1257">
        <f t="shared" si="78"/>
        <v>9.5139749682354129</v>
      </c>
      <c r="Z210" s="1257">
        <f t="shared" si="78"/>
        <v>9.4141067993401446</v>
      </c>
      <c r="AA210" s="1257">
        <f t="shared" si="78"/>
        <v>9.3813385780353382</v>
      </c>
      <c r="AB210" s="1257">
        <f t="shared" si="78"/>
        <v>9.2784417807283806</v>
      </c>
      <c r="AC210" s="1257">
        <f t="shared" si="78"/>
        <v>9.2512853699289774</v>
      </c>
      <c r="AD210" s="1257">
        <f t="shared" si="78"/>
        <v>9.2062099423069732</v>
      </c>
      <c r="AE210" s="1257">
        <f t="shared" si="78"/>
        <v>9.290527243291109</v>
      </c>
      <c r="AF210" s="1257">
        <f t="shared" si="78"/>
        <v>9.5424447696280783</v>
      </c>
      <c r="AG210" s="1257">
        <f t="shared" si="78"/>
        <v>9.9668829918922253</v>
      </c>
    </row>
    <row r="211" spans="1:33" s="1" customFormat="1" ht="10.5">
      <c r="A211" s="837"/>
      <c r="D211" s="838"/>
      <c r="E211" s="838"/>
      <c r="F211" s="838"/>
      <c r="G211" s="838"/>
      <c r="H211" s="838"/>
      <c r="I211" s="838"/>
      <c r="J211" s="838"/>
      <c r="K211" s="838"/>
      <c r="L211" s="838"/>
      <c r="M211" s="838"/>
      <c r="N211" s="838"/>
      <c r="O211" s="838"/>
      <c r="P211" s="838"/>
      <c r="Q211" s="838"/>
      <c r="R211" s="838"/>
      <c r="S211" s="838"/>
      <c r="T211" s="838"/>
      <c r="U211" s="838"/>
      <c r="V211" s="838"/>
      <c r="W211" s="838"/>
    </row>
    <row r="212" spans="1:33" s="1" customFormat="1" ht="10.5">
      <c r="A212" s="45"/>
      <c r="D212" s="838"/>
      <c r="E212" s="838"/>
      <c r="F212" s="838"/>
      <c r="G212" s="838"/>
      <c r="H212" s="838"/>
      <c r="I212" s="838"/>
      <c r="J212" s="838"/>
      <c r="K212" s="838"/>
      <c r="L212" s="838"/>
      <c r="M212" s="838"/>
      <c r="N212" s="838"/>
      <c r="O212" s="838"/>
      <c r="P212" s="838"/>
      <c r="Q212" s="838"/>
      <c r="R212" s="838"/>
      <c r="S212" s="838"/>
      <c r="T212" s="838"/>
      <c r="U212" s="838"/>
      <c r="V212" s="838"/>
      <c r="W212" s="838"/>
    </row>
    <row r="213" spans="1:33">
      <c r="A213" t="s">
        <v>950</v>
      </c>
      <c r="C213" s="29"/>
      <c r="D213" s="11">
        <f t="shared" ref="D213:K213" si="79">+D190-D193</f>
        <v>940</v>
      </c>
      <c r="E213" s="11">
        <f t="shared" si="79"/>
        <v>1556</v>
      </c>
      <c r="F213" s="11">
        <f t="shared" si="79"/>
        <v>2062</v>
      </c>
      <c r="G213" s="11">
        <f t="shared" si="79"/>
        <v>2173</v>
      </c>
      <c r="H213" s="11">
        <f t="shared" si="79"/>
        <v>2266</v>
      </c>
      <c r="I213" s="11">
        <f t="shared" si="79"/>
        <v>2467</v>
      </c>
      <c r="J213" s="11">
        <f t="shared" si="79"/>
        <v>3255</v>
      </c>
      <c r="K213" s="11">
        <f t="shared" si="79"/>
        <v>4712</v>
      </c>
      <c r="L213" s="11">
        <f>+L190-L193</f>
        <v>5457</v>
      </c>
      <c r="M213" s="29">
        <v>4900</v>
      </c>
      <c r="N213" s="29">
        <v>6100</v>
      </c>
      <c r="O213" s="29">
        <v>7700</v>
      </c>
      <c r="P213" s="29">
        <v>9700</v>
      </c>
      <c r="Q213" s="29">
        <v>10700</v>
      </c>
      <c r="R213" s="29">
        <v>9300</v>
      </c>
      <c r="S213" s="29">
        <v>12600</v>
      </c>
      <c r="T213" s="29">
        <v>11000</v>
      </c>
      <c r="U213" s="29">
        <v>15200</v>
      </c>
      <c r="V213" s="29"/>
      <c r="W213" s="29"/>
    </row>
    <row r="214" spans="1:33" s="1" customFormat="1" ht="10.5">
      <c r="A214"/>
      <c r="D214" s="838"/>
      <c r="E214" s="838"/>
      <c r="F214" s="838"/>
      <c r="G214" s="838"/>
      <c r="H214" s="838"/>
      <c r="I214" s="838"/>
      <c r="J214" s="838"/>
      <c r="K214" s="838"/>
      <c r="L214" s="838"/>
      <c r="M214" s="1227"/>
      <c r="N214" s="1227"/>
      <c r="O214" s="1227"/>
      <c r="P214" s="1227"/>
      <c r="Q214" s="1227"/>
      <c r="R214" s="1227"/>
      <c r="S214" s="1227"/>
      <c r="T214" s="1227"/>
      <c r="U214" s="1227"/>
      <c r="V214" s="1227"/>
      <c r="W214" s="1227"/>
    </row>
    <row r="215" spans="1:33" s="1" customFormat="1" ht="10.5">
      <c r="A215"/>
      <c r="D215" s="838"/>
      <c r="E215" s="838"/>
      <c r="F215" s="838"/>
      <c r="G215" s="838"/>
      <c r="H215" s="838"/>
      <c r="I215" s="838"/>
      <c r="J215" s="838"/>
      <c r="K215" s="838"/>
      <c r="L215" s="838"/>
      <c r="M215" s="1227"/>
      <c r="N215" s="1227"/>
      <c r="O215" s="1227"/>
      <c r="P215" s="1227"/>
      <c r="Q215" s="1227"/>
      <c r="R215" s="1227"/>
      <c r="S215" s="1227"/>
      <c r="T215" s="1227"/>
      <c r="U215" s="1227"/>
      <c r="V215" s="1227"/>
      <c r="W215" s="956"/>
    </row>
  </sheetData>
  <pageMargins left="0.3" right="0.3" top="0.3" bottom="0.3" header="0.3" footer="0.3"/>
  <pageSetup scale="60" fitToHeight="0" orientation="portrait" r:id="rId1"/>
  <headerFooter>
    <oddFooter>Page &amp;P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2AFC4-31F2-418C-9AA3-C3B521B955C4}">
  <sheetPr>
    <pageSetUpPr fitToPage="1"/>
  </sheetPr>
  <dimension ref="A1:AR215"/>
  <sheetViews>
    <sheetView view="pageBreakPreview" zoomScale="85" zoomScaleNormal="100" zoomScaleSheetLayoutView="85" workbookViewId="0">
      <pane xSplit="1" ySplit="5" topLeftCell="B6" activePane="bottomRight" state="frozen"/>
      <selection pane="bottomRight" activeCell="J83" sqref="J83"/>
      <selection pane="bottomLeft" activeCell="J83" sqref="J83"/>
      <selection pane="topRight" activeCell="J83" sqref="J83"/>
    </sheetView>
  </sheetViews>
  <sheetFormatPr defaultRowHeight="9.9499999999999993" outlineLevelRow="1" outlineLevelCol="1"/>
  <cols>
    <col min="1" max="1" width="20.83203125" customWidth="1"/>
    <col min="2" max="2" width="2.83203125" customWidth="1"/>
    <col min="3" max="12" width="9.33203125" hidden="1" customWidth="1" outlineLevel="1"/>
    <col min="13" max="13" width="9.33203125" hidden="1" customWidth="1" outlineLevel="1" collapsed="1"/>
    <col min="14" max="14" width="9.33203125" collapsed="1"/>
    <col min="21" max="21" width="9.83203125" bestFit="1" customWidth="1"/>
    <col min="22" max="22" width="10.1640625" bestFit="1" customWidth="1"/>
    <col min="23" max="24" width="9.5" bestFit="1" customWidth="1"/>
    <col min="25" max="26" width="9.83203125" bestFit="1" customWidth="1"/>
    <col min="27" max="27" width="9.5" bestFit="1" customWidth="1"/>
    <col min="28" max="28" width="9.83203125" bestFit="1" customWidth="1"/>
    <col min="29" max="29" width="9.5" bestFit="1" customWidth="1"/>
    <col min="30" max="30" width="10.33203125" bestFit="1" customWidth="1"/>
    <col min="31" max="31" width="9.83203125" bestFit="1" customWidth="1"/>
    <col min="32" max="32" width="9.6640625" bestFit="1" customWidth="1"/>
    <col min="33" max="33" width="9.6640625" customWidth="1"/>
  </cols>
  <sheetData>
    <row r="1" spans="1:35" s="1" customFormat="1" ht="10.5">
      <c r="A1" s="1" t="s">
        <v>301</v>
      </c>
      <c r="AF1" s="1222"/>
      <c r="AG1" s="1222">
        <f ca="1">+TODAY()</f>
        <v>45797</v>
      </c>
    </row>
    <row r="2" spans="1:35" s="2" customFormat="1" ht="10.5">
      <c r="A2" s="2" t="s">
        <v>901</v>
      </c>
    </row>
    <row r="3" spans="1:35">
      <c r="A3" s="3" t="s">
        <v>63</v>
      </c>
    </row>
    <row r="4" spans="1:35" ht="10.5">
      <c r="A4" s="3"/>
      <c r="D4" s="89" t="str">
        <f>+'EBIT growth'!B4</f>
        <v>FYE June 30th</v>
      </c>
      <c r="E4" s="89"/>
      <c r="F4" s="89"/>
      <c r="G4" s="89"/>
      <c r="H4" s="89"/>
      <c r="I4" s="89"/>
      <c r="J4" s="89"/>
      <c r="K4" s="89"/>
      <c r="L4" s="89"/>
      <c r="M4" s="89" t="str">
        <f>+D4</f>
        <v>FYE June 30th</v>
      </c>
      <c r="N4" s="89" t="str">
        <f>+M4</f>
        <v>FYE June 30th</v>
      </c>
      <c r="O4" s="89"/>
      <c r="P4" s="89"/>
      <c r="Q4" s="89"/>
      <c r="R4" s="89"/>
      <c r="S4" s="89"/>
      <c r="T4" s="89"/>
      <c r="U4" s="89"/>
      <c r="V4" s="89"/>
      <c r="W4" s="89"/>
      <c r="X4" s="89"/>
      <c r="Y4" s="89"/>
      <c r="Z4" s="89"/>
      <c r="AA4" s="89"/>
      <c r="AB4" s="89"/>
      <c r="AC4" s="89"/>
      <c r="AD4" s="89"/>
      <c r="AE4" s="89"/>
      <c r="AF4" s="89"/>
      <c r="AG4" s="89"/>
    </row>
    <row r="5" spans="1:35" ht="13.5">
      <c r="C5" s="6" t="s">
        <v>245</v>
      </c>
      <c r="D5" s="6" t="s">
        <v>246</v>
      </c>
      <c r="E5" s="6" t="s">
        <v>247</v>
      </c>
      <c r="F5" s="6" t="s">
        <v>248</v>
      </c>
      <c r="G5" s="6" t="s">
        <v>249</v>
      </c>
      <c r="H5" s="6" t="s">
        <v>250</v>
      </c>
      <c r="I5" s="6" t="s">
        <v>251</v>
      </c>
      <c r="J5" s="6" t="s">
        <v>252</v>
      </c>
      <c r="K5" s="6" t="s">
        <v>253</v>
      </c>
      <c r="L5" s="6" t="s">
        <v>254</v>
      </c>
      <c r="M5" s="6" t="s">
        <v>255</v>
      </c>
      <c r="N5" s="6" t="s">
        <v>256</v>
      </c>
      <c r="O5" s="6" t="s">
        <v>257</v>
      </c>
      <c r="P5" s="6" t="s">
        <v>258</v>
      </c>
      <c r="Q5" s="6" t="s">
        <v>259</v>
      </c>
      <c r="R5" s="6" t="s">
        <v>260</v>
      </c>
      <c r="S5" s="6" t="s">
        <v>109</v>
      </c>
      <c r="T5" s="6" t="s">
        <v>190</v>
      </c>
      <c r="U5" s="6" t="s">
        <v>261</v>
      </c>
      <c r="V5" s="6" t="s">
        <v>72</v>
      </c>
      <c r="W5" s="6" t="s">
        <v>73</v>
      </c>
      <c r="X5" s="6" t="s">
        <v>74</v>
      </c>
      <c r="Y5" s="6" t="s">
        <v>75</v>
      </c>
      <c r="Z5" s="6" t="s">
        <v>76</v>
      </c>
      <c r="AA5" s="6" t="s">
        <v>77</v>
      </c>
      <c r="AB5" s="6" t="s">
        <v>78</v>
      </c>
      <c r="AC5" s="6" t="s">
        <v>79</v>
      </c>
      <c r="AD5" s="6" t="s">
        <v>80</v>
      </c>
      <c r="AE5" s="6" t="s">
        <v>81</v>
      </c>
      <c r="AF5" s="6" t="s">
        <v>82</v>
      </c>
      <c r="AG5" s="6" t="s">
        <v>83</v>
      </c>
    </row>
    <row r="7" spans="1:35" ht="10.5">
      <c r="A7" s="5" t="s">
        <v>902</v>
      </c>
      <c r="B7" s="4"/>
      <c r="AI7" t="s">
        <v>125</v>
      </c>
    </row>
    <row r="8" spans="1:35">
      <c r="AI8" t="s">
        <v>903</v>
      </c>
    </row>
    <row r="9" spans="1:35" ht="10.5">
      <c r="A9" s="45" t="s">
        <v>904</v>
      </c>
    </row>
    <row r="10" spans="1:35">
      <c r="A10" t="s">
        <v>905</v>
      </c>
      <c r="N10" s="1223">
        <v>7.5</v>
      </c>
    </row>
    <row r="11" spans="1:35">
      <c r="A11" s="1224" t="s">
        <v>906</v>
      </c>
      <c r="N11" s="1223">
        <v>9</v>
      </c>
    </row>
    <row r="12" spans="1:35">
      <c r="A12" s="1224" t="s">
        <v>907</v>
      </c>
      <c r="N12" s="1223">
        <v>11</v>
      </c>
    </row>
    <row r="14" spans="1:35">
      <c r="A14" t="str">
        <f>+A176</f>
        <v>Purchase of PP&amp;E + Finance Leases</v>
      </c>
      <c r="D14" s="8">
        <f>+D176</f>
        <v>2264</v>
      </c>
      <c r="E14" s="8">
        <f t="shared" ref="E14:U14" si="0">+E176</f>
        <v>3182</v>
      </c>
      <c r="F14" s="8">
        <f t="shared" si="0"/>
        <v>3119</v>
      </c>
      <c r="G14" s="8">
        <f t="shared" si="0"/>
        <v>1977</v>
      </c>
      <c r="H14" s="8">
        <f t="shared" si="0"/>
        <v>2355</v>
      </c>
      <c r="I14" s="8">
        <f t="shared" si="0"/>
        <v>2305</v>
      </c>
      <c r="J14" s="8">
        <f t="shared" si="0"/>
        <v>4257</v>
      </c>
      <c r="K14" s="8">
        <f t="shared" si="0"/>
        <v>5485</v>
      </c>
      <c r="L14" s="8">
        <f t="shared" si="0"/>
        <v>5944</v>
      </c>
      <c r="M14" s="8">
        <f t="shared" si="0"/>
        <v>8900</v>
      </c>
      <c r="N14" s="8">
        <f t="shared" si="0"/>
        <v>10200</v>
      </c>
      <c r="O14" s="8">
        <f t="shared" si="0"/>
        <v>13600</v>
      </c>
      <c r="P14" s="8">
        <f t="shared" si="0"/>
        <v>16900</v>
      </c>
      <c r="Q14" s="8">
        <f t="shared" si="0"/>
        <v>19000</v>
      </c>
      <c r="R14" s="8">
        <f t="shared" si="0"/>
        <v>24200</v>
      </c>
      <c r="S14" s="8">
        <f t="shared" si="0"/>
        <v>29200</v>
      </c>
      <c r="T14" s="8">
        <f t="shared" si="0"/>
        <v>31900</v>
      </c>
      <c r="U14" s="8">
        <f t="shared" si="0"/>
        <v>55700</v>
      </c>
      <c r="V14" s="1098">
        <f>+'Case 3 - downside'!K48</f>
        <v>80000</v>
      </c>
      <c r="W14" s="1098">
        <f>+'Case 3 - downside'!L48</f>
        <v>66815.934778837152</v>
      </c>
      <c r="X14" s="1098">
        <f>+'Case 3 - downside'!M48</f>
        <v>65601.099601040114</v>
      </c>
      <c r="Y14" s="1098">
        <f>+'Case 3 - downside'!N48</f>
        <v>63764.268812210998</v>
      </c>
      <c r="Z14" s="1098">
        <f>+'Case 3 - downside'!O48</f>
        <v>61213.69805972257</v>
      </c>
      <c r="AA14" s="1098">
        <f>+'Case 3 - downside'!P48</f>
        <v>57846.944666437841</v>
      </c>
      <c r="AB14" s="1098">
        <f>+'Case 3 - downside'!Q48</f>
        <v>58012.221651199092</v>
      </c>
      <c r="AC14" s="1098">
        <f>+'Case 3 - downside'!R48</f>
        <v>57833.722507656938</v>
      </c>
      <c r="AD14" s="1098">
        <f>+'Case 3 - downside'!S48</f>
        <v>62460.420308269495</v>
      </c>
      <c r="AE14" s="1098">
        <f>+'Case 3 - downside'!T48</f>
        <v>67457.253932931053</v>
      </c>
      <c r="AF14" s="1098">
        <f>+'Case 3 - downside'!U48</f>
        <v>72853.834247565537</v>
      </c>
      <c r="AG14" s="1098">
        <f>+'Case 3 - downside'!V48</f>
        <v>78682.140987370789</v>
      </c>
    </row>
    <row r="15" spans="1:35" s="852" customFormat="1" ht="11.45">
      <c r="A15" t="s">
        <v>908</v>
      </c>
      <c r="D15" s="853">
        <f t="shared" ref="D15:U15" si="1">+D16-D14</f>
        <v>-121</v>
      </c>
      <c r="E15" s="853">
        <f t="shared" si="1"/>
        <v>-4</v>
      </c>
      <c r="F15" s="853">
        <f t="shared" si="1"/>
        <v>-581</v>
      </c>
      <c r="G15" s="853">
        <f t="shared" si="1"/>
        <v>-800</v>
      </c>
      <c r="H15" s="853">
        <f t="shared" si="1"/>
        <v>-623</v>
      </c>
      <c r="I15" s="853">
        <f t="shared" si="1"/>
        <v>-1065</v>
      </c>
      <c r="J15" s="853">
        <f t="shared" si="1"/>
        <v>-984</v>
      </c>
      <c r="K15" s="853">
        <f t="shared" si="1"/>
        <v>-185</v>
      </c>
      <c r="L15" s="853">
        <f t="shared" si="1"/>
        <v>-1411</v>
      </c>
      <c r="M15" s="853">
        <f t="shared" si="1"/>
        <v>-3081</v>
      </c>
      <c r="N15" s="853">
        <f t="shared" si="1"/>
        <v>-443</v>
      </c>
      <c r="O15" s="853">
        <f t="shared" si="1"/>
        <v>-2830</v>
      </c>
      <c r="P15" s="853">
        <f t="shared" si="1"/>
        <v>-3776</v>
      </c>
      <c r="Q15" s="853">
        <f t="shared" si="1"/>
        <v>-3459</v>
      </c>
      <c r="R15" s="853">
        <f t="shared" si="1"/>
        <v>-482</v>
      </c>
      <c r="S15" s="853">
        <f t="shared" si="1"/>
        <v>-6208</v>
      </c>
      <c r="T15" s="853">
        <f t="shared" si="1"/>
        <v>-2066</v>
      </c>
      <c r="U15" s="853">
        <f t="shared" si="1"/>
        <v>-7580</v>
      </c>
      <c r="V15" s="58">
        <f>+U15/U14*V14*0.9</f>
        <v>-9798.2046678635561</v>
      </c>
      <c r="W15" s="58">
        <f t="shared" ref="W15:AG15" si="2">+V15/V14*W14*0.9</f>
        <v>-7365.107295423777</v>
      </c>
      <c r="X15" s="58">
        <f t="shared" si="2"/>
        <v>-6508.0766283199191</v>
      </c>
      <c r="Y15" s="58">
        <f t="shared" si="2"/>
        <v>-5693.2654344542652</v>
      </c>
      <c r="Z15" s="58">
        <f t="shared" si="2"/>
        <v>-4918.9813353684867</v>
      </c>
      <c r="AA15" s="58">
        <f t="shared" si="2"/>
        <v>-4183.5936257308995</v>
      </c>
      <c r="AB15" s="58">
        <f t="shared" si="2"/>
        <v>-3775.9920753382612</v>
      </c>
      <c r="AC15" s="58">
        <f t="shared" si="2"/>
        <v>-3387.9362743650368</v>
      </c>
      <c r="AD15" s="58">
        <f t="shared" si="2"/>
        <v>-3293.074058682816</v>
      </c>
      <c r="AE15" s="58">
        <f t="shared" si="2"/>
        <v>-3200.8679850396975</v>
      </c>
      <c r="AF15" s="58">
        <f t="shared" si="2"/>
        <v>-3111.2436814585858</v>
      </c>
      <c r="AG15" s="58">
        <f t="shared" si="2"/>
        <v>-3024.1288583777459</v>
      </c>
    </row>
    <row r="16" spans="1:35">
      <c r="A16" s="12" t="s">
        <v>909</v>
      </c>
      <c r="D16" s="8">
        <f t="shared" ref="D16:S16" si="3">+(D170)-(C170)</f>
        <v>2143</v>
      </c>
      <c r="E16" s="8">
        <f t="shared" si="3"/>
        <v>3178</v>
      </c>
      <c r="F16" s="8">
        <f t="shared" si="3"/>
        <v>2538</v>
      </c>
      <c r="G16" s="8">
        <f t="shared" si="3"/>
        <v>1177</v>
      </c>
      <c r="H16" s="8">
        <f t="shared" si="3"/>
        <v>1732</v>
      </c>
      <c r="I16" s="8">
        <f t="shared" si="3"/>
        <v>1240</v>
      </c>
      <c r="J16" s="8">
        <f t="shared" si="3"/>
        <v>3273</v>
      </c>
      <c r="K16" s="8">
        <f t="shared" si="3"/>
        <v>5300</v>
      </c>
      <c r="L16" s="8">
        <f t="shared" si="3"/>
        <v>4533</v>
      </c>
      <c r="M16" s="8">
        <f t="shared" si="3"/>
        <v>5819</v>
      </c>
      <c r="N16" s="8">
        <f t="shared" si="3"/>
        <v>9757</v>
      </c>
      <c r="O16" s="8">
        <f t="shared" si="3"/>
        <v>10770</v>
      </c>
      <c r="P16" s="8">
        <f t="shared" si="3"/>
        <v>13124</v>
      </c>
      <c r="Q16" s="8">
        <f t="shared" si="3"/>
        <v>15541</v>
      </c>
      <c r="R16" s="8">
        <f t="shared" si="3"/>
        <v>23718</v>
      </c>
      <c r="S16" s="8">
        <f t="shared" si="3"/>
        <v>22992</v>
      </c>
      <c r="T16" s="8">
        <f>+(T170)-(S170)</f>
        <v>29834</v>
      </c>
      <c r="U16" s="8">
        <f>+(U170)-(T170)</f>
        <v>48120</v>
      </c>
      <c r="V16" s="8">
        <f t="shared" ref="V16:AF16" si="4">+SUM(V14:V15)</f>
        <v>70201.795332136448</v>
      </c>
      <c r="W16" s="8">
        <f t="shared" si="4"/>
        <v>59450.827483413377</v>
      </c>
      <c r="X16" s="8">
        <f t="shared" si="4"/>
        <v>59093.022972720195</v>
      </c>
      <c r="Y16" s="8">
        <f t="shared" si="4"/>
        <v>58071.00337775673</v>
      </c>
      <c r="Z16" s="8">
        <f t="shared" si="4"/>
        <v>56294.716724354083</v>
      </c>
      <c r="AA16" s="8">
        <f t="shared" si="4"/>
        <v>53663.351040706941</v>
      </c>
      <c r="AB16" s="8">
        <f t="shared" si="4"/>
        <v>54236.229575860831</v>
      </c>
      <c r="AC16" s="8">
        <f t="shared" si="4"/>
        <v>54445.786233291903</v>
      </c>
      <c r="AD16" s="8">
        <f t="shared" si="4"/>
        <v>59167.346249586677</v>
      </c>
      <c r="AE16" s="8">
        <f t="shared" si="4"/>
        <v>64256.385947891358</v>
      </c>
      <c r="AF16" s="8">
        <f t="shared" si="4"/>
        <v>69742.590566106956</v>
      </c>
      <c r="AG16" s="8">
        <f t="shared" ref="AG16" si="5">+SUM(AG14:AG15)</f>
        <v>75658.012128993039</v>
      </c>
      <c r="AH16" s="8"/>
    </row>
    <row r="18" spans="1:36" ht="10.5">
      <c r="A18" s="45" t="s">
        <v>910</v>
      </c>
    </row>
    <row r="19" spans="1:36">
      <c r="A19" t="s">
        <v>246</v>
      </c>
      <c r="D19" s="8">
        <f>+D64/$N$10</f>
        <v>1248.8</v>
      </c>
      <c r="E19" s="8">
        <f t="shared" ref="E19:Q26" si="6">+IF(D130&gt;0,MIN(E64/$N$10,D130),0)</f>
        <v>1248.8</v>
      </c>
      <c r="F19" s="8">
        <f t="shared" si="6"/>
        <v>1248.8</v>
      </c>
      <c r="G19" s="8">
        <f t="shared" si="6"/>
        <v>1248.8</v>
      </c>
      <c r="H19" s="8">
        <f t="shared" si="6"/>
        <v>1248.8</v>
      </c>
      <c r="I19" s="8">
        <f t="shared" si="6"/>
        <v>1248.8</v>
      </c>
      <c r="J19" s="8">
        <f t="shared" si="6"/>
        <v>1248.8</v>
      </c>
      <c r="K19" s="8">
        <f t="shared" si="6"/>
        <v>624.39999999999964</v>
      </c>
      <c r="L19" s="8">
        <f t="shared" si="6"/>
        <v>0</v>
      </c>
      <c r="M19" s="8">
        <f>+IF(L130&gt;0,MIN(M64/$N$10,L130),0)</f>
        <v>0</v>
      </c>
      <c r="N19" s="8">
        <f t="shared" si="6"/>
        <v>0</v>
      </c>
      <c r="O19" s="8">
        <f t="shared" si="6"/>
        <v>0</v>
      </c>
      <c r="P19" s="8">
        <f t="shared" si="6"/>
        <v>0</v>
      </c>
      <c r="Q19" s="8">
        <f t="shared" si="6"/>
        <v>0</v>
      </c>
      <c r="R19" s="8">
        <f>+IF(Q130&gt;0,MIN(R64/$N$11,Q130),0)</f>
        <v>0</v>
      </c>
      <c r="S19" s="8">
        <f>+IF(R130&gt;0,MIN(S64/$N$11,R130),0)</f>
        <v>0</v>
      </c>
      <c r="T19" s="8">
        <f t="shared" ref="T19:AG34" si="7">+IF(S130&gt;0,MIN(T64/$N$12,S130),0)</f>
        <v>0</v>
      </c>
      <c r="U19" s="8">
        <f t="shared" si="7"/>
        <v>0</v>
      </c>
      <c r="V19" s="8">
        <f t="shared" si="7"/>
        <v>0</v>
      </c>
      <c r="W19" s="8">
        <f t="shared" si="7"/>
        <v>0</v>
      </c>
      <c r="X19" s="8">
        <f t="shared" si="7"/>
        <v>0</v>
      </c>
      <c r="Y19" s="8">
        <f t="shared" si="7"/>
        <v>0</v>
      </c>
      <c r="Z19" s="8">
        <f t="shared" si="7"/>
        <v>0</v>
      </c>
      <c r="AA19" s="8">
        <f t="shared" si="7"/>
        <v>0</v>
      </c>
      <c r="AB19" s="8">
        <f t="shared" si="7"/>
        <v>0</v>
      </c>
      <c r="AC19" s="8">
        <f t="shared" si="7"/>
        <v>0</v>
      </c>
      <c r="AD19" s="8">
        <f t="shared" si="7"/>
        <v>0</v>
      </c>
      <c r="AE19" s="8">
        <f t="shared" si="7"/>
        <v>0</v>
      </c>
      <c r="AF19" s="8">
        <f t="shared" si="7"/>
        <v>0</v>
      </c>
      <c r="AG19" s="8">
        <f t="shared" si="7"/>
        <v>0</v>
      </c>
    </row>
    <row r="20" spans="1:36">
      <c r="A20" t="s">
        <v>247</v>
      </c>
      <c r="E20" s="8">
        <f>+E65/$N$10</f>
        <v>423.73333333333335</v>
      </c>
      <c r="F20" s="8">
        <f t="shared" si="6"/>
        <v>423.73333333333335</v>
      </c>
      <c r="G20" s="8">
        <f t="shared" si="6"/>
        <v>423.73333333333335</v>
      </c>
      <c r="H20" s="8">
        <f t="shared" si="6"/>
        <v>423.73333333333335</v>
      </c>
      <c r="I20" s="8">
        <f t="shared" si="6"/>
        <v>423.73333333333335</v>
      </c>
      <c r="J20" s="8">
        <f t="shared" si="6"/>
        <v>423.73333333333335</v>
      </c>
      <c r="K20" s="8">
        <f t="shared" si="6"/>
        <v>423.73333333333335</v>
      </c>
      <c r="L20" s="8">
        <f t="shared" si="6"/>
        <v>211.86666666666588</v>
      </c>
      <c r="M20" s="8">
        <f t="shared" si="6"/>
        <v>0</v>
      </c>
      <c r="N20" s="8">
        <f t="shared" si="6"/>
        <v>0</v>
      </c>
      <c r="O20" s="8">
        <f t="shared" si="6"/>
        <v>0</v>
      </c>
      <c r="P20" s="8">
        <f t="shared" si="6"/>
        <v>0</v>
      </c>
      <c r="Q20" s="8">
        <f t="shared" si="6"/>
        <v>0</v>
      </c>
      <c r="R20" s="8">
        <f t="shared" ref="R20:S32" si="8">+IF(Q131&gt;0,MIN(R65/$N$11,Q131),0)</f>
        <v>0</v>
      </c>
      <c r="S20" s="8">
        <f t="shared" si="8"/>
        <v>0</v>
      </c>
      <c r="T20" s="8">
        <f t="shared" si="7"/>
        <v>0</v>
      </c>
      <c r="U20" s="8">
        <f t="shared" si="7"/>
        <v>0</v>
      </c>
      <c r="V20" s="8">
        <f t="shared" si="7"/>
        <v>0</v>
      </c>
      <c r="W20" s="8">
        <f t="shared" si="7"/>
        <v>0</v>
      </c>
      <c r="X20" s="8">
        <f t="shared" si="7"/>
        <v>0</v>
      </c>
      <c r="Y20" s="8">
        <f t="shared" si="7"/>
        <v>0</v>
      </c>
      <c r="Z20" s="8">
        <f t="shared" si="7"/>
        <v>0</v>
      </c>
      <c r="AA20" s="8">
        <f t="shared" si="7"/>
        <v>0</v>
      </c>
      <c r="AB20" s="8">
        <f t="shared" si="7"/>
        <v>0</v>
      </c>
      <c r="AC20" s="8">
        <f t="shared" si="7"/>
        <v>0</v>
      </c>
      <c r="AD20" s="8">
        <f t="shared" si="7"/>
        <v>0</v>
      </c>
      <c r="AE20" s="8">
        <f t="shared" si="7"/>
        <v>0</v>
      </c>
      <c r="AF20" s="8">
        <f t="shared" si="7"/>
        <v>0</v>
      </c>
      <c r="AG20" s="8">
        <f t="shared" si="7"/>
        <v>0</v>
      </c>
    </row>
    <row r="21" spans="1:36">
      <c r="A21" t="s">
        <v>248</v>
      </c>
      <c r="F21" s="8">
        <f>+F66/$N$10</f>
        <v>338.4</v>
      </c>
      <c r="G21" s="8">
        <f t="shared" si="6"/>
        <v>338.4</v>
      </c>
      <c r="H21" s="8">
        <f t="shared" si="6"/>
        <v>338.4</v>
      </c>
      <c r="I21" s="8">
        <f t="shared" si="6"/>
        <v>338.4</v>
      </c>
      <c r="J21" s="8">
        <f t="shared" si="6"/>
        <v>338.4</v>
      </c>
      <c r="K21" s="8">
        <f t="shared" si="6"/>
        <v>338.4</v>
      </c>
      <c r="L21" s="8">
        <f t="shared" si="6"/>
        <v>338.4</v>
      </c>
      <c r="M21" s="8">
        <f t="shared" si="6"/>
        <v>169.19999999999982</v>
      </c>
      <c r="N21" s="8">
        <f t="shared" si="6"/>
        <v>0</v>
      </c>
      <c r="O21" s="8">
        <f t="shared" si="6"/>
        <v>0</v>
      </c>
      <c r="P21" s="8">
        <f t="shared" si="6"/>
        <v>0</v>
      </c>
      <c r="Q21" s="8">
        <f t="shared" si="6"/>
        <v>0</v>
      </c>
      <c r="R21" s="8">
        <f t="shared" si="8"/>
        <v>0</v>
      </c>
      <c r="S21" s="8">
        <f t="shared" si="8"/>
        <v>0</v>
      </c>
      <c r="T21" s="8">
        <f t="shared" si="7"/>
        <v>0</v>
      </c>
      <c r="U21" s="8">
        <f t="shared" si="7"/>
        <v>0</v>
      </c>
      <c r="V21" s="8">
        <f t="shared" si="7"/>
        <v>0</v>
      </c>
      <c r="W21" s="8">
        <f t="shared" si="7"/>
        <v>0</v>
      </c>
      <c r="X21" s="8">
        <f t="shared" si="7"/>
        <v>0</v>
      </c>
      <c r="Y21" s="8">
        <f t="shared" si="7"/>
        <v>0</v>
      </c>
      <c r="Z21" s="8">
        <f t="shared" si="7"/>
        <v>0</v>
      </c>
      <c r="AA21" s="8">
        <f t="shared" si="7"/>
        <v>0</v>
      </c>
      <c r="AB21" s="8">
        <f t="shared" si="7"/>
        <v>0</v>
      </c>
      <c r="AC21" s="8">
        <f t="shared" si="7"/>
        <v>0</v>
      </c>
      <c r="AD21" s="8">
        <f t="shared" si="7"/>
        <v>0</v>
      </c>
      <c r="AE21" s="8">
        <f t="shared" si="7"/>
        <v>0</v>
      </c>
      <c r="AF21" s="8">
        <f t="shared" si="7"/>
        <v>0</v>
      </c>
      <c r="AG21" s="8">
        <f t="shared" si="7"/>
        <v>0</v>
      </c>
    </row>
    <row r="22" spans="1:36">
      <c r="A22" t="s">
        <v>249</v>
      </c>
      <c r="G22" s="8">
        <f>+G67/$N$10</f>
        <v>156.93333333333334</v>
      </c>
      <c r="H22" s="8">
        <f t="shared" si="6"/>
        <v>156.93333333333334</v>
      </c>
      <c r="I22" s="8">
        <f t="shared" si="6"/>
        <v>156.93333333333334</v>
      </c>
      <c r="J22" s="8">
        <f t="shared" si="6"/>
        <v>156.93333333333334</v>
      </c>
      <c r="K22" s="8">
        <f t="shared" si="6"/>
        <v>156.93333333333334</v>
      </c>
      <c r="L22" s="8">
        <f t="shared" si="6"/>
        <v>156.93333333333334</v>
      </c>
      <c r="M22" s="8">
        <f t="shared" si="6"/>
        <v>156.93333333333334</v>
      </c>
      <c r="N22" s="8">
        <f t="shared" si="6"/>
        <v>78.46666666666647</v>
      </c>
      <c r="O22" s="8">
        <f t="shared" si="6"/>
        <v>0</v>
      </c>
      <c r="P22" s="8">
        <f t="shared" si="6"/>
        <v>0</v>
      </c>
      <c r="Q22" s="8">
        <f t="shared" si="6"/>
        <v>0</v>
      </c>
      <c r="R22" s="8">
        <f t="shared" si="8"/>
        <v>0</v>
      </c>
      <c r="S22" s="8">
        <f t="shared" si="8"/>
        <v>0</v>
      </c>
      <c r="T22" s="8">
        <f t="shared" si="7"/>
        <v>0</v>
      </c>
      <c r="U22" s="8">
        <f t="shared" si="7"/>
        <v>0</v>
      </c>
      <c r="V22" s="8">
        <f t="shared" si="7"/>
        <v>0</v>
      </c>
      <c r="W22" s="8">
        <f t="shared" si="7"/>
        <v>0</v>
      </c>
      <c r="X22" s="8">
        <f t="shared" si="7"/>
        <v>0</v>
      </c>
      <c r="Y22" s="8">
        <f t="shared" si="7"/>
        <v>0</v>
      </c>
      <c r="Z22" s="8">
        <f t="shared" si="7"/>
        <v>0</v>
      </c>
      <c r="AA22" s="8">
        <f t="shared" si="7"/>
        <v>0</v>
      </c>
      <c r="AB22" s="8">
        <f t="shared" si="7"/>
        <v>0</v>
      </c>
      <c r="AC22" s="8">
        <f t="shared" si="7"/>
        <v>0</v>
      </c>
      <c r="AD22" s="8">
        <f t="shared" si="7"/>
        <v>0</v>
      </c>
      <c r="AE22" s="8">
        <f t="shared" si="7"/>
        <v>0</v>
      </c>
      <c r="AF22" s="8">
        <f t="shared" si="7"/>
        <v>0</v>
      </c>
      <c r="AG22" s="8">
        <f t="shared" si="7"/>
        <v>0</v>
      </c>
    </row>
    <row r="23" spans="1:36">
      <c r="A23" t="s">
        <v>250</v>
      </c>
      <c r="H23" s="8">
        <f>+H68/$N$10</f>
        <v>230.93333333333334</v>
      </c>
      <c r="I23" s="8">
        <f t="shared" si="6"/>
        <v>230.93333333333334</v>
      </c>
      <c r="J23" s="8">
        <f t="shared" si="6"/>
        <v>230.93333333333334</v>
      </c>
      <c r="K23" s="8">
        <f t="shared" si="6"/>
        <v>230.93333333333334</v>
      </c>
      <c r="L23" s="8">
        <f t="shared" si="6"/>
        <v>230.93333333333334</v>
      </c>
      <c r="M23" s="8">
        <f t="shared" si="6"/>
        <v>230.93333333333334</v>
      </c>
      <c r="N23" s="8">
        <f t="shared" si="6"/>
        <v>230.93333333333334</v>
      </c>
      <c r="O23" s="8">
        <f t="shared" si="6"/>
        <v>115.46666666666647</v>
      </c>
      <c r="P23" s="8">
        <f t="shared" si="6"/>
        <v>0</v>
      </c>
      <c r="Q23" s="8">
        <f t="shared" si="6"/>
        <v>0</v>
      </c>
      <c r="R23" s="8">
        <f t="shared" si="8"/>
        <v>0</v>
      </c>
      <c r="S23" s="8">
        <f t="shared" si="8"/>
        <v>0</v>
      </c>
      <c r="T23" s="8">
        <f t="shared" si="7"/>
        <v>0</v>
      </c>
      <c r="U23" s="8">
        <f t="shared" si="7"/>
        <v>0</v>
      </c>
      <c r="V23" s="8">
        <f t="shared" si="7"/>
        <v>0</v>
      </c>
      <c r="W23" s="8">
        <f t="shared" si="7"/>
        <v>0</v>
      </c>
      <c r="X23" s="8">
        <f t="shared" si="7"/>
        <v>0</v>
      </c>
      <c r="Y23" s="8">
        <f t="shared" si="7"/>
        <v>0</v>
      </c>
      <c r="Z23" s="8">
        <f t="shared" si="7"/>
        <v>0</v>
      </c>
      <c r="AA23" s="8">
        <f t="shared" si="7"/>
        <v>0</v>
      </c>
      <c r="AB23" s="8">
        <f t="shared" si="7"/>
        <v>0</v>
      </c>
      <c r="AC23" s="8">
        <f t="shared" si="7"/>
        <v>0</v>
      </c>
      <c r="AD23" s="8">
        <f t="shared" si="7"/>
        <v>0</v>
      </c>
      <c r="AE23" s="8">
        <f t="shared" si="7"/>
        <v>0</v>
      </c>
      <c r="AF23" s="8">
        <f t="shared" si="7"/>
        <v>0</v>
      </c>
      <c r="AG23" s="8">
        <f t="shared" si="7"/>
        <v>0</v>
      </c>
    </row>
    <row r="24" spans="1:36">
      <c r="A24" t="s">
        <v>251</v>
      </c>
      <c r="I24" s="8">
        <f>+I69/$N$10</f>
        <v>165.33333333333334</v>
      </c>
      <c r="J24" s="8">
        <f t="shared" si="6"/>
        <v>165.33333333333334</v>
      </c>
      <c r="K24" s="8">
        <f t="shared" si="6"/>
        <v>165.33333333333334</v>
      </c>
      <c r="L24" s="8">
        <f t="shared" si="6"/>
        <v>165.33333333333334</v>
      </c>
      <c r="M24" s="8">
        <f t="shared" si="6"/>
        <v>165.33333333333334</v>
      </c>
      <c r="N24" s="8">
        <f t="shared" si="6"/>
        <v>165.33333333333334</v>
      </c>
      <c r="O24" s="8">
        <f t="shared" si="6"/>
        <v>165.33333333333334</v>
      </c>
      <c r="P24" s="8">
        <f t="shared" si="6"/>
        <v>82.666666666666515</v>
      </c>
      <c r="Q24" s="8">
        <f t="shared" si="6"/>
        <v>0</v>
      </c>
      <c r="R24" s="8">
        <f t="shared" si="8"/>
        <v>0</v>
      </c>
      <c r="S24" s="8">
        <f t="shared" si="8"/>
        <v>0</v>
      </c>
      <c r="T24" s="8">
        <f t="shared" si="7"/>
        <v>0</v>
      </c>
      <c r="U24" s="8">
        <f t="shared" si="7"/>
        <v>0</v>
      </c>
      <c r="V24" s="8">
        <f t="shared" si="7"/>
        <v>0</v>
      </c>
      <c r="W24" s="8">
        <f t="shared" si="7"/>
        <v>0</v>
      </c>
      <c r="X24" s="8">
        <f t="shared" si="7"/>
        <v>0</v>
      </c>
      <c r="Y24" s="8">
        <f t="shared" si="7"/>
        <v>0</v>
      </c>
      <c r="Z24" s="8">
        <f t="shared" si="7"/>
        <v>0</v>
      </c>
      <c r="AA24" s="8">
        <f t="shared" si="7"/>
        <v>0</v>
      </c>
      <c r="AB24" s="8">
        <f t="shared" si="7"/>
        <v>0</v>
      </c>
      <c r="AC24" s="8">
        <f t="shared" si="7"/>
        <v>0</v>
      </c>
      <c r="AD24" s="8">
        <f t="shared" si="7"/>
        <v>0</v>
      </c>
      <c r="AE24" s="8">
        <f t="shared" si="7"/>
        <v>0</v>
      </c>
      <c r="AF24" s="8">
        <f t="shared" si="7"/>
        <v>0</v>
      </c>
      <c r="AG24" s="8">
        <f t="shared" si="7"/>
        <v>0</v>
      </c>
    </row>
    <row r="25" spans="1:36">
      <c r="A25" t="s">
        <v>252</v>
      </c>
      <c r="J25" s="8">
        <f>+J70/$N$10</f>
        <v>436.4</v>
      </c>
      <c r="K25" s="8">
        <f t="shared" si="6"/>
        <v>436.4</v>
      </c>
      <c r="L25" s="8">
        <f t="shared" si="6"/>
        <v>436.4</v>
      </c>
      <c r="M25" s="8">
        <f t="shared" si="6"/>
        <v>436.4</v>
      </c>
      <c r="N25" s="8">
        <f t="shared" si="6"/>
        <v>436.4</v>
      </c>
      <c r="O25" s="8">
        <f t="shared" si="6"/>
        <v>436.4</v>
      </c>
      <c r="P25" s="8">
        <f t="shared" si="6"/>
        <v>436.4</v>
      </c>
      <c r="Q25" s="8">
        <f t="shared" si="6"/>
        <v>218.19999999999982</v>
      </c>
      <c r="R25" s="8">
        <f t="shared" si="8"/>
        <v>0</v>
      </c>
      <c r="S25" s="8">
        <f t="shared" si="8"/>
        <v>0</v>
      </c>
      <c r="T25" s="8">
        <f t="shared" si="7"/>
        <v>0</v>
      </c>
      <c r="U25" s="8">
        <f t="shared" si="7"/>
        <v>0</v>
      </c>
      <c r="V25" s="8">
        <f t="shared" si="7"/>
        <v>0</v>
      </c>
      <c r="W25" s="8">
        <f t="shared" si="7"/>
        <v>0</v>
      </c>
      <c r="X25" s="8">
        <f t="shared" si="7"/>
        <v>0</v>
      </c>
      <c r="Y25" s="8">
        <f t="shared" si="7"/>
        <v>0</v>
      </c>
      <c r="Z25" s="8">
        <f t="shared" si="7"/>
        <v>0</v>
      </c>
      <c r="AA25" s="8">
        <f t="shared" si="7"/>
        <v>0</v>
      </c>
      <c r="AB25" s="8">
        <f t="shared" si="7"/>
        <v>0</v>
      </c>
      <c r="AC25" s="8">
        <f t="shared" si="7"/>
        <v>0</v>
      </c>
      <c r="AD25" s="8">
        <f t="shared" si="7"/>
        <v>0</v>
      </c>
      <c r="AE25" s="8">
        <f t="shared" si="7"/>
        <v>0</v>
      </c>
      <c r="AF25" s="8">
        <f t="shared" si="7"/>
        <v>0</v>
      </c>
      <c r="AG25" s="8">
        <f t="shared" si="7"/>
        <v>0</v>
      </c>
    </row>
    <row r="26" spans="1:36">
      <c r="A26" t="s">
        <v>253</v>
      </c>
      <c r="K26" s="8">
        <f>+K71/$N$10</f>
        <v>706.66666666666663</v>
      </c>
      <c r="L26" s="8">
        <f t="shared" si="6"/>
        <v>706.66666666666663</v>
      </c>
      <c r="M26" s="8">
        <f t="shared" si="6"/>
        <v>706.66666666666663</v>
      </c>
      <c r="N26" s="8">
        <f t="shared" si="6"/>
        <v>706.66666666666663</v>
      </c>
      <c r="O26" s="8">
        <f t="shared" si="6"/>
        <v>706.66666666666663</v>
      </c>
      <c r="P26" s="8">
        <f t="shared" si="6"/>
        <v>706.66666666666663</v>
      </c>
      <c r="Q26" s="8">
        <f t="shared" si="6"/>
        <v>706.66666666666663</v>
      </c>
      <c r="R26" s="8">
        <f t="shared" si="8"/>
        <v>353.33333333333303</v>
      </c>
      <c r="S26" s="8">
        <f t="shared" si="8"/>
        <v>0</v>
      </c>
      <c r="T26" s="8">
        <f t="shared" si="7"/>
        <v>0</v>
      </c>
      <c r="U26" s="8">
        <f t="shared" si="7"/>
        <v>0</v>
      </c>
      <c r="V26" s="8">
        <f t="shared" si="7"/>
        <v>0</v>
      </c>
      <c r="W26" s="8">
        <f t="shared" si="7"/>
        <v>0</v>
      </c>
      <c r="X26" s="8">
        <f t="shared" si="7"/>
        <v>0</v>
      </c>
      <c r="Y26" s="8">
        <f t="shared" si="7"/>
        <v>0</v>
      </c>
      <c r="Z26" s="8">
        <f t="shared" si="7"/>
        <v>0</v>
      </c>
      <c r="AA26" s="8">
        <f t="shared" si="7"/>
        <v>0</v>
      </c>
      <c r="AB26" s="8">
        <f t="shared" si="7"/>
        <v>0</v>
      </c>
      <c r="AC26" s="8">
        <f t="shared" si="7"/>
        <v>0</v>
      </c>
      <c r="AD26" s="8">
        <f t="shared" si="7"/>
        <v>0</v>
      </c>
      <c r="AE26" s="8">
        <f t="shared" si="7"/>
        <v>0</v>
      </c>
      <c r="AF26" s="8">
        <f t="shared" si="7"/>
        <v>0</v>
      </c>
      <c r="AG26" s="8">
        <f t="shared" si="7"/>
        <v>0</v>
      </c>
    </row>
    <row r="27" spans="1:36">
      <c r="A27" t="s">
        <v>254</v>
      </c>
      <c r="L27" s="8">
        <f>+L72/$N$10</f>
        <v>604.4</v>
      </c>
      <c r="M27" s="8">
        <f>+IF(L138&gt;0,MIN(M72/$N$10,L138),0)</f>
        <v>604.4</v>
      </c>
      <c r="N27" s="8">
        <f>+IF(M138&gt;0,MIN(N72/$N$10,M138),0)</f>
        <v>604.4</v>
      </c>
      <c r="O27" s="8">
        <f>+IF(N138&gt;0,MIN(O72/$N$10,N138),0)</f>
        <v>604.4</v>
      </c>
      <c r="P27" s="8">
        <f>+IF(O138&gt;0,MIN(P72/$N$10,O138),0)</f>
        <v>604.4</v>
      </c>
      <c r="Q27" s="8">
        <f>+IF(P138&gt;0,MIN(Q72/$N$10,P138),0)</f>
        <v>604.4</v>
      </c>
      <c r="R27" s="8">
        <f t="shared" si="8"/>
        <v>503.66666666666669</v>
      </c>
      <c r="S27" s="8">
        <f t="shared" si="8"/>
        <v>402.93333333333339</v>
      </c>
      <c r="T27" s="8">
        <f t="shared" si="7"/>
        <v>0</v>
      </c>
      <c r="U27" s="8">
        <f t="shared" si="7"/>
        <v>0</v>
      </c>
      <c r="V27" s="8">
        <f t="shared" si="7"/>
        <v>0</v>
      </c>
      <c r="W27" s="8">
        <f t="shared" si="7"/>
        <v>0</v>
      </c>
      <c r="X27" s="8">
        <f t="shared" si="7"/>
        <v>0</v>
      </c>
      <c r="Y27" s="8">
        <f t="shared" si="7"/>
        <v>0</v>
      </c>
      <c r="Z27" s="8">
        <f t="shared" si="7"/>
        <v>0</v>
      </c>
      <c r="AA27" s="8">
        <f t="shared" si="7"/>
        <v>0</v>
      </c>
      <c r="AB27" s="8">
        <f t="shared" si="7"/>
        <v>0</v>
      </c>
      <c r="AC27" s="8">
        <f t="shared" si="7"/>
        <v>0</v>
      </c>
      <c r="AD27" s="8">
        <f t="shared" si="7"/>
        <v>0</v>
      </c>
      <c r="AE27" s="8">
        <f t="shared" si="7"/>
        <v>0</v>
      </c>
      <c r="AF27" s="8">
        <f t="shared" si="7"/>
        <v>0</v>
      </c>
      <c r="AG27" s="8">
        <f t="shared" si="7"/>
        <v>0</v>
      </c>
    </row>
    <row r="28" spans="1:36">
      <c r="A28" t="s">
        <v>255</v>
      </c>
      <c r="M28" s="8">
        <f>+M73/$N$10</f>
        <v>775.86666666666667</v>
      </c>
      <c r="N28" s="8">
        <f>+IF(M139&gt;0,MIN(N73/$N$10,M139),0)</f>
        <v>775.86666666666667</v>
      </c>
      <c r="O28" s="8">
        <f>+IF(N139&gt;0,MIN(O73/$N$10,N139),0)</f>
        <v>775.86666666666667</v>
      </c>
      <c r="P28" s="8">
        <f>+IF(O139&gt;0,MIN(P73/$N$10,O139),0)</f>
        <v>775.86666666666667</v>
      </c>
      <c r="Q28" s="8">
        <f>+IF(P139&gt;0,MIN(Q73/$N$10,P139),0)</f>
        <v>775.86666666666667</v>
      </c>
      <c r="R28" s="8">
        <f t="shared" si="8"/>
        <v>646.55555555555554</v>
      </c>
      <c r="S28" s="8">
        <f t="shared" si="8"/>
        <v>646.55555555555554</v>
      </c>
      <c r="T28" s="8">
        <f t="shared" si="7"/>
        <v>529</v>
      </c>
      <c r="U28" s="8">
        <f t="shared" si="7"/>
        <v>117.55555555555566</v>
      </c>
      <c r="V28" s="8">
        <f t="shared" si="7"/>
        <v>0</v>
      </c>
      <c r="W28" s="8">
        <f t="shared" si="7"/>
        <v>0</v>
      </c>
      <c r="X28" s="8">
        <f t="shared" si="7"/>
        <v>0</v>
      </c>
      <c r="Y28" s="8">
        <f t="shared" si="7"/>
        <v>0</v>
      </c>
      <c r="Z28" s="8">
        <f t="shared" si="7"/>
        <v>0</v>
      </c>
      <c r="AA28" s="8">
        <f t="shared" si="7"/>
        <v>0</v>
      </c>
      <c r="AB28" s="8">
        <f t="shared" si="7"/>
        <v>0</v>
      </c>
      <c r="AC28" s="8">
        <f t="shared" si="7"/>
        <v>0</v>
      </c>
      <c r="AD28" s="8">
        <f t="shared" si="7"/>
        <v>0</v>
      </c>
      <c r="AE28" s="8">
        <f t="shared" si="7"/>
        <v>0</v>
      </c>
      <c r="AF28" s="8">
        <f t="shared" si="7"/>
        <v>0</v>
      </c>
      <c r="AG28" s="8">
        <f t="shared" si="7"/>
        <v>0</v>
      </c>
    </row>
    <row r="29" spans="1:36">
      <c r="A29" t="s">
        <v>256</v>
      </c>
      <c r="N29" s="8">
        <f>+N74/$N$10</f>
        <v>1300.9333333333334</v>
      </c>
      <c r="O29" s="8">
        <f>+IF(N140&gt;0,MIN(O74/$N$10,N140),0)</f>
        <v>1300.9333333333334</v>
      </c>
      <c r="P29" s="8">
        <f>+IF(O140&gt;0,MIN(P74/$N$10,O140),0)</f>
        <v>1300.9333333333334</v>
      </c>
      <c r="Q29" s="8">
        <f>+IF(P140&gt;0,MIN(Q74/$N$10,P140),0)</f>
        <v>1300.9333333333334</v>
      </c>
      <c r="R29" s="8">
        <f t="shared" si="8"/>
        <v>1084.1111111111111</v>
      </c>
      <c r="S29" s="8">
        <f t="shared" si="8"/>
        <v>1084.1111111111111</v>
      </c>
      <c r="T29" s="8">
        <f t="shared" si="7"/>
        <v>887</v>
      </c>
      <c r="U29" s="8">
        <f t="shared" si="7"/>
        <v>887</v>
      </c>
      <c r="V29" s="8">
        <f t="shared" si="7"/>
        <v>611.0444444444438</v>
      </c>
      <c r="W29" s="8">
        <f t="shared" si="7"/>
        <v>0</v>
      </c>
      <c r="X29" s="8">
        <f t="shared" si="7"/>
        <v>0</v>
      </c>
      <c r="Y29" s="8">
        <f t="shared" si="7"/>
        <v>0</v>
      </c>
      <c r="Z29" s="8">
        <f t="shared" si="7"/>
        <v>0</v>
      </c>
      <c r="AA29" s="8">
        <f t="shared" si="7"/>
        <v>0</v>
      </c>
      <c r="AB29" s="8">
        <f t="shared" si="7"/>
        <v>0</v>
      </c>
      <c r="AC29" s="8">
        <f t="shared" si="7"/>
        <v>0</v>
      </c>
      <c r="AD29" s="8">
        <f t="shared" si="7"/>
        <v>0</v>
      </c>
      <c r="AE29" s="8">
        <f t="shared" si="7"/>
        <v>0</v>
      </c>
      <c r="AF29" s="8">
        <f t="shared" si="7"/>
        <v>0</v>
      </c>
      <c r="AG29" s="8">
        <f t="shared" si="7"/>
        <v>0</v>
      </c>
    </row>
    <row r="30" spans="1:36">
      <c r="A30" t="s">
        <v>257</v>
      </c>
      <c r="O30" s="8">
        <f>+O75/$N$10</f>
        <v>1436</v>
      </c>
      <c r="P30" s="8">
        <f>+IF(O141&gt;0,MIN(P75/$N$10,O141),0)</f>
        <v>1436</v>
      </c>
      <c r="Q30" s="8">
        <f>+IF(P141&gt;0,MIN(Q75/$N$10,P141),0)</f>
        <v>1436</v>
      </c>
      <c r="R30" s="8">
        <f t="shared" si="8"/>
        <v>1196.6666666666667</v>
      </c>
      <c r="S30" s="8">
        <f t="shared" si="8"/>
        <v>1196.6666666666667</v>
      </c>
      <c r="T30" s="8">
        <f t="shared" si="7"/>
        <v>979.09090909090912</v>
      </c>
      <c r="U30" s="8">
        <f t="shared" si="7"/>
        <v>979.09090909090912</v>
      </c>
      <c r="V30" s="8">
        <f t="shared" si="7"/>
        <v>979.09090909090912</v>
      </c>
      <c r="W30" s="8">
        <f t="shared" si="7"/>
        <v>979.09090909090912</v>
      </c>
      <c r="X30" s="8">
        <f t="shared" si="7"/>
        <v>152.30303030302821</v>
      </c>
      <c r="Y30" s="8">
        <f t="shared" si="7"/>
        <v>0</v>
      </c>
      <c r="Z30" s="8">
        <f t="shared" si="7"/>
        <v>0</v>
      </c>
      <c r="AA30" s="8">
        <f t="shared" si="7"/>
        <v>0</v>
      </c>
      <c r="AB30" s="8">
        <f t="shared" si="7"/>
        <v>0</v>
      </c>
      <c r="AC30" s="8">
        <f t="shared" si="7"/>
        <v>0</v>
      </c>
      <c r="AD30" s="8">
        <f t="shared" si="7"/>
        <v>0</v>
      </c>
      <c r="AE30" s="8">
        <f t="shared" si="7"/>
        <v>0</v>
      </c>
      <c r="AF30" s="8">
        <f t="shared" si="7"/>
        <v>0</v>
      </c>
      <c r="AG30" s="8">
        <f t="shared" si="7"/>
        <v>0</v>
      </c>
      <c r="AH30" s="8"/>
    </row>
    <row r="31" spans="1:36">
      <c r="A31" t="s">
        <v>258</v>
      </c>
      <c r="P31" s="8">
        <f>+P76/$N$10</f>
        <v>1749.8666666666666</v>
      </c>
      <c r="Q31" s="8">
        <f>+IF(P142&gt;0,MIN(Q76/$N$10,P142),0)</f>
        <v>1749.8666666666666</v>
      </c>
      <c r="R31" s="8">
        <f t="shared" si="8"/>
        <v>1458.2222222222222</v>
      </c>
      <c r="S31" s="8">
        <f t="shared" si="8"/>
        <v>1458.2222222222222</v>
      </c>
      <c r="T31" s="8">
        <f t="shared" si="7"/>
        <v>1193.090909090909</v>
      </c>
      <c r="U31" s="8">
        <f t="shared" si="7"/>
        <v>1193.090909090909</v>
      </c>
      <c r="V31" s="8">
        <f t="shared" si="7"/>
        <v>1193.090909090909</v>
      </c>
      <c r="W31" s="8">
        <f t="shared" si="7"/>
        <v>1193.090909090909</v>
      </c>
      <c r="X31" s="8">
        <f t="shared" si="7"/>
        <v>1193.090909090909</v>
      </c>
      <c r="Y31" s="8">
        <f t="shared" si="7"/>
        <v>742.36767676768068</v>
      </c>
      <c r="Z31" s="8">
        <f t="shared" si="7"/>
        <v>0</v>
      </c>
      <c r="AA31" s="8">
        <f t="shared" si="7"/>
        <v>0</v>
      </c>
      <c r="AB31" s="8">
        <f t="shared" si="7"/>
        <v>0</v>
      </c>
      <c r="AC31" s="8">
        <f t="shared" si="7"/>
        <v>0</v>
      </c>
      <c r="AD31" s="8">
        <f t="shared" si="7"/>
        <v>0</v>
      </c>
      <c r="AE31" s="8">
        <f t="shared" si="7"/>
        <v>0</v>
      </c>
      <c r="AF31" s="8">
        <f t="shared" si="7"/>
        <v>0</v>
      </c>
      <c r="AG31" s="8">
        <f t="shared" si="7"/>
        <v>0</v>
      </c>
      <c r="AH31" s="8"/>
      <c r="AI31" s="8"/>
    </row>
    <row r="32" spans="1:36">
      <c r="A32" t="s">
        <v>259</v>
      </c>
      <c r="Q32" s="8">
        <f>+Q77/$N$10</f>
        <v>2072.1333333333332</v>
      </c>
      <c r="R32" s="8">
        <f t="shared" si="8"/>
        <v>1726.7777777777778</v>
      </c>
      <c r="S32" s="8">
        <f t="shared" si="8"/>
        <v>1726.7777777777778</v>
      </c>
      <c r="T32" s="8">
        <f t="shared" si="7"/>
        <v>1412.8181818181818</v>
      </c>
      <c r="U32" s="8">
        <f t="shared" si="7"/>
        <v>1412.8181818181818</v>
      </c>
      <c r="V32" s="8">
        <f t="shared" si="7"/>
        <v>1412.8181818181818</v>
      </c>
      <c r="W32" s="8">
        <f t="shared" si="7"/>
        <v>1412.8181818181818</v>
      </c>
      <c r="X32" s="8">
        <f t="shared" si="7"/>
        <v>1412.8181818181818</v>
      </c>
      <c r="Y32" s="8">
        <f t="shared" si="7"/>
        <v>1412.8181818181818</v>
      </c>
      <c r="Z32" s="8">
        <f t="shared" si="7"/>
        <v>1412.8181818181818</v>
      </c>
      <c r="AA32" s="8">
        <f t="shared" si="7"/>
        <v>125.58383838383816</v>
      </c>
      <c r="AB32" s="8">
        <f t="shared" si="7"/>
        <v>0</v>
      </c>
      <c r="AC32" s="8">
        <f t="shared" si="7"/>
        <v>0</v>
      </c>
      <c r="AD32" s="8">
        <f t="shared" si="7"/>
        <v>0</v>
      </c>
      <c r="AE32" s="8">
        <f t="shared" si="7"/>
        <v>0</v>
      </c>
      <c r="AF32" s="8">
        <f t="shared" si="7"/>
        <v>0</v>
      </c>
      <c r="AG32" s="8">
        <f t="shared" si="7"/>
        <v>0</v>
      </c>
      <c r="AH32" s="8"/>
      <c r="AI32" s="8"/>
      <c r="AJ32" s="8"/>
    </row>
    <row r="33" spans="1:44">
      <c r="A33" t="s">
        <v>260</v>
      </c>
      <c r="R33" s="8">
        <f>+R78/$N$11</f>
        <v>2635.3333333333335</v>
      </c>
      <c r="S33" s="8">
        <f>+IF(R144&gt;0,MIN(S78/$N$11,R144),0)</f>
        <v>2635.3333333333335</v>
      </c>
      <c r="T33" s="8">
        <f t="shared" si="7"/>
        <v>2156.181818181818</v>
      </c>
      <c r="U33" s="8">
        <f t="shared" si="7"/>
        <v>2156.181818181818</v>
      </c>
      <c r="V33" s="8">
        <f t="shared" si="7"/>
        <v>2156.181818181818</v>
      </c>
      <c r="W33" s="8">
        <f t="shared" si="7"/>
        <v>2156.181818181818</v>
      </c>
      <c r="X33" s="8">
        <f t="shared" si="7"/>
        <v>2156.181818181818</v>
      </c>
      <c r="Y33" s="8">
        <f t="shared" si="7"/>
        <v>2156.181818181818</v>
      </c>
      <c r="Z33" s="8">
        <f t="shared" si="7"/>
        <v>2156.181818181818</v>
      </c>
      <c r="AA33" s="8">
        <f t="shared" si="7"/>
        <v>2156.181818181818</v>
      </c>
      <c r="AB33" s="8">
        <f t="shared" si="7"/>
        <v>1197.8787878787916</v>
      </c>
      <c r="AC33" s="8">
        <f t="shared" si="7"/>
        <v>0</v>
      </c>
      <c r="AD33" s="8">
        <f t="shared" si="7"/>
        <v>0</v>
      </c>
      <c r="AE33" s="8">
        <f t="shared" si="7"/>
        <v>0</v>
      </c>
      <c r="AF33" s="8">
        <f t="shared" si="7"/>
        <v>0</v>
      </c>
      <c r="AG33" s="8">
        <f t="shared" si="7"/>
        <v>0</v>
      </c>
      <c r="AH33" s="8"/>
      <c r="AI33" s="8"/>
      <c r="AJ33" s="8"/>
      <c r="AK33" s="8"/>
    </row>
    <row r="34" spans="1:44">
      <c r="A34" t="s">
        <v>109</v>
      </c>
      <c r="S34" s="8">
        <f>+S79/$N$11</f>
        <v>2554.6666666666665</v>
      </c>
      <c r="T34" s="8">
        <f t="shared" si="7"/>
        <v>2090.181818181818</v>
      </c>
      <c r="U34" s="8">
        <f t="shared" si="7"/>
        <v>2090.181818181818</v>
      </c>
      <c r="V34" s="8">
        <f t="shared" si="7"/>
        <v>2090.181818181818</v>
      </c>
      <c r="W34" s="8">
        <f t="shared" si="7"/>
        <v>2090.181818181818</v>
      </c>
      <c r="X34" s="8">
        <f t="shared" si="7"/>
        <v>2090.181818181818</v>
      </c>
      <c r="Y34" s="8">
        <f t="shared" si="7"/>
        <v>2090.181818181818</v>
      </c>
      <c r="Z34" s="8">
        <f t="shared" si="7"/>
        <v>2090.181818181818</v>
      </c>
      <c r="AA34" s="8">
        <f t="shared" si="7"/>
        <v>2090.181818181818</v>
      </c>
      <c r="AB34" s="8">
        <f t="shared" si="7"/>
        <v>2090.181818181818</v>
      </c>
      <c r="AC34" s="8">
        <f t="shared" si="7"/>
        <v>1625.6969696969754</v>
      </c>
      <c r="AD34" s="8">
        <f t="shared" si="7"/>
        <v>0</v>
      </c>
      <c r="AE34" s="8">
        <f t="shared" si="7"/>
        <v>0</v>
      </c>
      <c r="AF34" s="8">
        <f t="shared" si="7"/>
        <v>0</v>
      </c>
      <c r="AG34" s="8">
        <f t="shared" si="7"/>
        <v>0</v>
      </c>
      <c r="AH34" s="8"/>
      <c r="AI34" s="8"/>
      <c r="AJ34" s="8"/>
      <c r="AK34" s="8"/>
      <c r="AL34" s="8"/>
    </row>
    <row r="35" spans="1:44">
      <c r="A35" t="s">
        <v>190</v>
      </c>
      <c r="T35" s="8">
        <f>+T80/$N$12</f>
        <v>2712.181818181818</v>
      </c>
      <c r="U35" s="8">
        <f t="shared" ref="U35:AG46" si="9">+IF(T146&gt;0,MIN(U80/$N$12,T146),0)</f>
        <v>2712.181818181818</v>
      </c>
      <c r="V35" s="8">
        <f t="shared" si="9"/>
        <v>2712.181818181818</v>
      </c>
      <c r="W35" s="8">
        <f t="shared" si="9"/>
        <v>2712.181818181818</v>
      </c>
      <c r="X35" s="8">
        <f t="shared" si="9"/>
        <v>2712.181818181818</v>
      </c>
      <c r="Y35" s="8">
        <f t="shared" si="9"/>
        <v>2712.181818181818</v>
      </c>
      <c r="Z35" s="8">
        <f t="shared" si="9"/>
        <v>2712.181818181818</v>
      </c>
      <c r="AA35" s="8">
        <f t="shared" si="9"/>
        <v>2712.181818181818</v>
      </c>
      <c r="AB35" s="8">
        <f t="shared" si="9"/>
        <v>2712.181818181818</v>
      </c>
      <c r="AC35" s="8">
        <f t="shared" si="9"/>
        <v>2712.181818181818</v>
      </c>
      <c r="AD35" s="8">
        <f t="shared" si="9"/>
        <v>2712.181818181818</v>
      </c>
      <c r="AE35" s="8">
        <f t="shared" si="9"/>
        <v>0</v>
      </c>
      <c r="AF35" s="8">
        <f t="shared" si="9"/>
        <v>0</v>
      </c>
      <c r="AG35" s="8">
        <f t="shared" si="9"/>
        <v>0</v>
      </c>
      <c r="AH35" s="8"/>
      <c r="AI35" s="8"/>
      <c r="AJ35" s="8"/>
      <c r="AK35" s="8"/>
      <c r="AL35" s="8"/>
      <c r="AM35" s="8"/>
    </row>
    <row r="36" spans="1:44">
      <c r="A36" t="s">
        <v>191</v>
      </c>
      <c r="U36" s="8">
        <f>+U81/$N$12</f>
        <v>4374.545454545455</v>
      </c>
      <c r="V36" s="8">
        <f>+IF(U147&gt;0,MIN(V81/$N$12,U147),0)</f>
        <v>4374.545454545455</v>
      </c>
      <c r="W36" s="8">
        <f>+IF(V147&gt;0,MIN(W81/$N$12,V147),0)</f>
        <v>4374.545454545455</v>
      </c>
      <c r="X36" s="8">
        <f t="shared" si="9"/>
        <v>4374.545454545455</v>
      </c>
      <c r="Y36" s="8">
        <f t="shared" si="9"/>
        <v>4374.545454545455</v>
      </c>
      <c r="Z36" s="8">
        <f t="shared" si="9"/>
        <v>4374.545454545455</v>
      </c>
      <c r="AA36" s="8">
        <f t="shared" si="9"/>
        <v>4374.545454545455</v>
      </c>
      <c r="AB36" s="8">
        <f t="shared" si="9"/>
        <v>4374.545454545455</v>
      </c>
      <c r="AC36" s="8">
        <f t="shared" si="9"/>
        <v>4374.545454545455</v>
      </c>
      <c r="AD36" s="8">
        <f t="shared" si="9"/>
        <v>4374.545454545455</v>
      </c>
      <c r="AE36" s="8">
        <f t="shared" si="9"/>
        <v>4374.5454545454486</v>
      </c>
      <c r="AF36" s="8">
        <f t="shared" si="9"/>
        <v>0</v>
      </c>
      <c r="AG36" s="8">
        <f t="shared" si="9"/>
        <v>0</v>
      </c>
      <c r="AH36" s="8"/>
      <c r="AI36" s="8"/>
      <c r="AJ36" s="8"/>
      <c r="AK36" s="8"/>
      <c r="AL36" s="8"/>
      <c r="AM36" s="8"/>
      <c r="AN36" s="8"/>
    </row>
    <row r="37" spans="1:44">
      <c r="A37" t="s">
        <v>72</v>
      </c>
      <c r="V37" s="8">
        <f>+V82/$N$12</f>
        <v>6381.9813938305861</v>
      </c>
      <c r="W37" s="8">
        <f t="shared" ref="W37:AF41" si="10">+IF(V148&gt;0,MIN(W82/$N$12,V148),0)</f>
        <v>6381.9813938305861</v>
      </c>
      <c r="X37" s="8">
        <f t="shared" si="10"/>
        <v>6381.9813938305861</v>
      </c>
      <c r="Y37" s="8">
        <f t="shared" si="10"/>
        <v>6381.9813938305861</v>
      </c>
      <c r="Z37" s="8">
        <f t="shared" si="10"/>
        <v>6381.9813938305861</v>
      </c>
      <c r="AA37" s="8">
        <f t="shared" si="10"/>
        <v>6381.9813938305861</v>
      </c>
      <c r="AB37" s="8">
        <f t="shared" si="10"/>
        <v>6381.9813938305861</v>
      </c>
      <c r="AC37" s="8">
        <f t="shared" si="10"/>
        <v>6381.9813938305861</v>
      </c>
      <c r="AD37" s="8">
        <f t="shared" si="10"/>
        <v>6381.9813938305861</v>
      </c>
      <c r="AE37" s="8">
        <f t="shared" si="10"/>
        <v>6381.9813938305861</v>
      </c>
      <c r="AF37" s="8">
        <f t="shared" si="10"/>
        <v>6381.9813938305742</v>
      </c>
      <c r="AG37" s="8">
        <f t="shared" si="9"/>
        <v>0</v>
      </c>
      <c r="AH37" s="8"/>
      <c r="AI37" s="8"/>
      <c r="AJ37" s="8"/>
      <c r="AK37" s="8"/>
      <c r="AL37" s="8"/>
      <c r="AM37" s="8"/>
      <c r="AN37" s="8"/>
      <c r="AO37" s="8"/>
    </row>
    <row r="38" spans="1:44">
      <c r="A38" t="s">
        <v>73</v>
      </c>
      <c r="W38" s="8">
        <f>+W83/$N$12</f>
        <v>5404.6206803103069</v>
      </c>
      <c r="X38" s="8">
        <f t="shared" si="10"/>
        <v>5404.6206803103069</v>
      </c>
      <c r="Y38" s="8">
        <f t="shared" si="10"/>
        <v>5404.6206803103069</v>
      </c>
      <c r="Z38" s="8">
        <f t="shared" si="10"/>
        <v>5404.6206803103069</v>
      </c>
      <c r="AA38" s="8">
        <f t="shared" si="10"/>
        <v>5404.6206803103069</v>
      </c>
      <c r="AB38" s="8">
        <f t="shared" si="10"/>
        <v>5404.6206803103069</v>
      </c>
      <c r="AC38" s="8">
        <f t="shared" si="10"/>
        <v>5404.6206803103069</v>
      </c>
      <c r="AD38" s="8">
        <f t="shared" si="10"/>
        <v>5404.6206803103069</v>
      </c>
      <c r="AE38" s="8">
        <f t="shared" si="10"/>
        <v>5404.6206803103069</v>
      </c>
      <c r="AF38" s="8">
        <f t="shared" si="10"/>
        <v>5404.6206803103069</v>
      </c>
      <c r="AG38" s="8">
        <f t="shared" si="9"/>
        <v>5404.6206803103069</v>
      </c>
      <c r="AH38" s="8"/>
      <c r="AI38" s="8"/>
      <c r="AJ38" s="8"/>
      <c r="AK38" s="8"/>
      <c r="AL38" s="8"/>
      <c r="AM38" s="8"/>
      <c r="AN38" s="8"/>
      <c r="AO38" s="8"/>
      <c r="AP38" s="8"/>
    </row>
    <row r="39" spans="1:44">
      <c r="A39" t="s">
        <v>74</v>
      </c>
      <c r="X39" s="8">
        <f>+X84/$N$12</f>
        <v>5372.0929975200179</v>
      </c>
      <c r="Y39" s="8">
        <f t="shared" si="10"/>
        <v>5372.0929975200179</v>
      </c>
      <c r="Z39" s="8">
        <f t="shared" si="10"/>
        <v>5372.0929975200179</v>
      </c>
      <c r="AA39" s="8">
        <f t="shared" si="10"/>
        <v>5372.0929975200179</v>
      </c>
      <c r="AB39" s="8">
        <f t="shared" si="10"/>
        <v>5372.0929975200179</v>
      </c>
      <c r="AC39" s="8">
        <f t="shared" si="10"/>
        <v>5372.0929975200179</v>
      </c>
      <c r="AD39" s="8">
        <f t="shared" si="10"/>
        <v>5372.0929975200179</v>
      </c>
      <c r="AE39" s="8">
        <f t="shared" si="10"/>
        <v>5372.0929975200179</v>
      </c>
      <c r="AF39" s="8">
        <f t="shared" si="10"/>
        <v>5372.0929975200179</v>
      </c>
      <c r="AG39" s="8">
        <f t="shared" si="9"/>
        <v>5372.0929975200179</v>
      </c>
      <c r="AH39" s="8"/>
      <c r="AI39" s="8"/>
      <c r="AJ39" s="8"/>
      <c r="AK39" s="8"/>
      <c r="AL39" s="8"/>
      <c r="AM39" s="8"/>
      <c r="AN39" s="8"/>
      <c r="AO39" s="8"/>
      <c r="AP39" s="8"/>
      <c r="AQ39" s="8"/>
    </row>
    <row r="40" spans="1:44">
      <c r="A40" t="s">
        <v>75</v>
      </c>
      <c r="Y40" s="8">
        <f>+Y85/$N$12</f>
        <v>5279.1821252506115</v>
      </c>
      <c r="Z40" s="8">
        <f t="shared" si="10"/>
        <v>5279.1821252506115</v>
      </c>
      <c r="AA40" s="8">
        <f t="shared" si="10"/>
        <v>5279.1821252506115</v>
      </c>
      <c r="AB40" s="8">
        <f t="shared" si="10"/>
        <v>5279.1821252506115</v>
      </c>
      <c r="AC40" s="8">
        <f t="shared" si="10"/>
        <v>5279.1821252506115</v>
      </c>
      <c r="AD40" s="8">
        <f t="shared" si="10"/>
        <v>5279.1821252506115</v>
      </c>
      <c r="AE40" s="8">
        <f t="shared" si="10"/>
        <v>5279.1821252506115</v>
      </c>
      <c r="AF40" s="8">
        <f t="shared" si="10"/>
        <v>5279.1821252506115</v>
      </c>
      <c r="AG40" s="8">
        <f t="shared" si="9"/>
        <v>5279.1821252506115</v>
      </c>
      <c r="AH40" s="8"/>
      <c r="AI40" s="8"/>
      <c r="AJ40" s="8"/>
      <c r="AK40" s="8"/>
      <c r="AL40" s="8"/>
      <c r="AM40" s="8"/>
      <c r="AN40" s="8"/>
      <c r="AO40" s="8"/>
      <c r="AP40" s="8"/>
      <c r="AQ40" s="8"/>
      <c r="AR40" s="8"/>
    </row>
    <row r="41" spans="1:44">
      <c r="A41" t="s">
        <v>76</v>
      </c>
      <c r="Y41" s="8"/>
      <c r="Z41" s="8">
        <f>+Z86/$N$12</f>
        <v>5117.7015203958254</v>
      </c>
      <c r="AA41" s="8">
        <f t="shared" si="10"/>
        <v>5117.7015203958254</v>
      </c>
      <c r="AB41" s="8">
        <f t="shared" si="10"/>
        <v>5117.7015203958254</v>
      </c>
      <c r="AC41" s="8">
        <f t="shared" si="10"/>
        <v>5117.7015203958254</v>
      </c>
      <c r="AD41" s="8">
        <f t="shared" si="10"/>
        <v>5117.7015203958254</v>
      </c>
      <c r="AE41" s="8">
        <f t="shared" si="10"/>
        <v>5117.7015203958254</v>
      </c>
      <c r="AF41" s="8">
        <f t="shared" si="10"/>
        <v>5117.7015203958254</v>
      </c>
      <c r="AG41" s="8">
        <f t="shared" si="9"/>
        <v>5117.7015203958254</v>
      </c>
      <c r="AH41" s="8"/>
      <c r="AI41" s="8"/>
      <c r="AJ41" s="8"/>
      <c r="AK41" s="8"/>
      <c r="AL41" s="8"/>
      <c r="AM41" s="8"/>
      <c r="AN41" s="8"/>
      <c r="AO41" s="8"/>
      <c r="AP41" s="8"/>
      <c r="AQ41" s="8"/>
      <c r="AR41" s="8"/>
    </row>
    <row r="42" spans="1:44">
      <c r="A42" t="s">
        <v>77</v>
      </c>
      <c r="Y42" s="8"/>
      <c r="Z42" s="8"/>
      <c r="AA42" s="8">
        <f>+AA87/$N$12</f>
        <v>4878.4864582460859</v>
      </c>
      <c r="AB42" s="8">
        <f>+IF(AA153&gt;0,MIN(AB87/$N$12,AA153),0)</f>
        <v>4878.4864582460859</v>
      </c>
      <c r="AC42" s="8">
        <f>+IF(AB153&gt;0,MIN(AC87/$N$12,AB153),0)</f>
        <v>4878.4864582460859</v>
      </c>
      <c r="AD42" s="8">
        <f>+IF(AC153&gt;0,MIN(AD87/$N$12,AC153),0)</f>
        <v>4878.4864582460859</v>
      </c>
      <c r="AE42" s="8">
        <f>+IF(AD153&gt;0,MIN(AE87/$N$12,AD153),0)</f>
        <v>4878.4864582460859</v>
      </c>
      <c r="AF42" s="8">
        <f>+IF(AE153&gt;0,MIN(AF87/$N$12,AE153),0)</f>
        <v>4878.4864582460859</v>
      </c>
      <c r="AG42" s="8">
        <f t="shared" si="9"/>
        <v>4878.4864582460859</v>
      </c>
      <c r="AH42" s="8"/>
      <c r="AI42" s="8"/>
      <c r="AJ42" s="8"/>
      <c r="AK42" s="8"/>
      <c r="AL42" s="8"/>
      <c r="AM42" s="8"/>
      <c r="AN42" s="8"/>
      <c r="AO42" s="8"/>
      <c r="AP42" s="8"/>
      <c r="AQ42" s="8"/>
      <c r="AR42" s="8"/>
    </row>
    <row r="43" spans="1:44">
      <c r="A43" t="s">
        <v>78</v>
      </c>
      <c r="Y43" s="8"/>
      <c r="Z43" s="8"/>
      <c r="AA43" s="8"/>
      <c r="AB43" s="8">
        <f>+AB88/$N$12</f>
        <v>4930.5663250782573</v>
      </c>
      <c r="AC43" s="8">
        <f>+IF(AB154&gt;0,MIN(AC88/$N$12,AB154),0)</f>
        <v>4930.5663250782573</v>
      </c>
      <c r="AD43" s="8">
        <f>+IF(AC154&gt;0,MIN(AD88/$N$12,AC154),0)</f>
        <v>4930.5663250782573</v>
      </c>
      <c r="AE43" s="8">
        <f>+IF(AD154&gt;0,MIN(AE88/$N$12,AD154),0)</f>
        <v>4930.5663250782573</v>
      </c>
      <c r="AF43" s="8">
        <f>+IF(AE154&gt;0,MIN(AF88/$N$12,AE154),0)</f>
        <v>4930.5663250782573</v>
      </c>
      <c r="AG43" s="8">
        <f t="shared" si="9"/>
        <v>4930.5663250782573</v>
      </c>
      <c r="AH43" s="8"/>
      <c r="AI43" s="8"/>
      <c r="AJ43" s="8"/>
      <c r="AK43" s="8"/>
      <c r="AL43" s="8"/>
      <c r="AM43" s="8"/>
      <c r="AN43" s="8"/>
      <c r="AO43" s="8"/>
      <c r="AP43" s="8"/>
      <c r="AQ43" s="8"/>
      <c r="AR43" s="8"/>
    </row>
    <row r="44" spans="1:44">
      <c r="A44" t="s">
        <v>79</v>
      </c>
      <c r="Y44" s="8"/>
      <c r="Z44" s="8"/>
      <c r="AA44" s="8"/>
      <c r="AB44" s="8"/>
      <c r="AC44" s="8">
        <f>+AC89/$N$12</f>
        <v>4949.6169302992639</v>
      </c>
      <c r="AD44" s="8">
        <f>+IF(AC155&gt;0,MIN(AD89/$N$12,AC155),0)</f>
        <v>4949.6169302992639</v>
      </c>
      <c r="AE44" s="8">
        <f>+IF(AD155&gt;0,MIN(AE89/$N$12,AD155),0)</f>
        <v>4949.6169302992639</v>
      </c>
      <c r="AF44" s="8">
        <f>+IF(AE155&gt;0,MIN(AF89/$N$12,AE155),0)</f>
        <v>4949.6169302992639</v>
      </c>
      <c r="AG44" s="8">
        <f t="shared" si="9"/>
        <v>4949.6169302992639</v>
      </c>
      <c r="AH44" s="8"/>
      <c r="AI44" s="8"/>
      <c r="AJ44" s="8"/>
      <c r="AK44" s="8"/>
      <c r="AL44" s="8"/>
      <c r="AM44" s="8"/>
      <c r="AN44" s="8"/>
      <c r="AO44" s="8"/>
      <c r="AP44" s="8"/>
      <c r="AQ44" s="8"/>
      <c r="AR44" s="8"/>
    </row>
    <row r="45" spans="1:44">
      <c r="A45" t="s">
        <v>80</v>
      </c>
      <c r="Y45" s="8"/>
      <c r="Z45" s="8"/>
      <c r="AA45" s="8"/>
      <c r="AB45" s="8"/>
      <c r="AC45" s="8"/>
      <c r="AD45" s="8">
        <f>+AD90/$N$12</f>
        <v>5378.8496590533341</v>
      </c>
      <c r="AE45" s="8">
        <f>+IF(AD156&gt;0,MIN(AE90/$N$12,AD156),0)</f>
        <v>5378.8496590533341</v>
      </c>
      <c r="AF45" s="8">
        <f>+IF(AE156&gt;0,MIN(AF90/$N$12,AE156),0)</f>
        <v>5378.8496590533341</v>
      </c>
      <c r="AG45" s="8">
        <f t="shared" si="9"/>
        <v>5378.8496590533341</v>
      </c>
      <c r="AH45" s="8"/>
      <c r="AI45" s="8"/>
      <c r="AJ45" s="8"/>
      <c r="AK45" s="8"/>
      <c r="AL45" s="8"/>
      <c r="AM45" s="8"/>
      <c r="AN45" s="8"/>
      <c r="AO45" s="8"/>
      <c r="AP45" s="8"/>
      <c r="AQ45" s="8"/>
      <c r="AR45" s="8"/>
    </row>
    <row r="46" spans="1:44">
      <c r="A46" t="s">
        <v>81</v>
      </c>
      <c r="Y46" s="8"/>
      <c r="Z46" s="8"/>
      <c r="AA46" s="8"/>
      <c r="AB46" s="8"/>
      <c r="AC46" s="8"/>
      <c r="AD46" s="8"/>
      <c r="AE46" s="8">
        <f>+AE91/$N$12</f>
        <v>5841.4896316264867</v>
      </c>
      <c r="AF46" s="8">
        <f>+IF(AE157&gt;0,MIN(AF91/$N$12,AE157),0)</f>
        <v>5841.4896316264867</v>
      </c>
      <c r="AG46" s="8">
        <f t="shared" si="9"/>
        <v>5841.4896316264867</v>
      </c>
      <c r="AH46" s="8"/>
      <c r="AI46" s="8"/>
      <c r="AJ46" s="8"/>
      <c r="AK46" s="8"/>
      <c r="AL46" s="8"/>
      <c r="AM46" s="8"/>
      <c r="AN46" s="8"/>
      <c r="AO46" s="8"/>
      <c r="AP46" s="8"/>
      <c r="AQ46" s="8"/>
      <c r="AR46" s="8"/>
    </row>
    <row r="47" spans="1:44">
      <c r="A47" t="s">
        <v>82</v>
      </c>
      <c r="Y47" s="8"/>
      <c r="Z47" s="8"/>
      <c r="AA47" s="8"/>
      <c r="AB47" s="8"/>
      <c r="AC47" s="8"/>
      <c r="AD47" s="8"/>
      <c r="AE47" s="8"/>
      <c r="AF47" s="8">
        <f>+AF92/$N$12</f>
        <v>6340.2355060097234</v>
      </c>
      <c r="AG47" s="8">
        <f>+IF(AF158&gt;0,MIN(AG92/$N$12,AF158),0)</f>
        <v>6340.2355060097234</v>
      </c>
      <c r="AH47" s="8"/>
      <c r="AI47" s="8"/>
      <c r="AJ47" s="8"/>
      <c r="AK47" s="8"/>
      <c r="AL47" s="8"/>
      <c r="AM47" s="8"/>
      <c r="AN47" s="8"/>
      <c r="AO47" s="8"/>
      <c r="AP47" s="8"/>
      <c r="AQ47" s="8"/>
      <c r="AR47" s="8"/>
    </row>
    <row r="48" spans="1:44">
      <c r="A48" t="s">
        <v>83</v>
      </c>
      <c r="Y48" s="8"/>
      <c r="Z48" s="8"/>
      <c r="AA48" s="8"/>
      <c r="AB48" s="8"/>
      <c r="AC48" s="8"/>
      <c r="AD48" s="8"/>
      <c r="AE48" s="8"/>
      <c r="AF48" s="8"/>
      <c r="AG48" s="8">
        <f>+AG93/$N$12</f>
        <v>6878.0011026357306</v>
      </c>
      <c r="AH48" s="8"/>
      <c r="AI48" s="8"/>
      <c r="AJ48" s="8"/>
      <c r="AK48" s="8"/>
      <c r="AL48" s="8"/>
      <c r="AM48" s="8"/>
      <c r="AN48" s="8"/>
      <c r="AO48" s="8"/>
      <c r="AP48" s="8"/>
      <c r="AQ48" s="8"/>
      <c r="AR48" s="8"/>
    </row>
    <row r="49" spans="1:44">
      <c r="A49" t="s">
        <v>911</v>
      </c>
      <c r="Y49" s="8"/>
      <c r="Z49" s="8"/>
      <c r="AA49" s="8"/>
      <c r="AB49" s="8"/>
      <c r="AC49" s="8"/>
      <c r="AD49" s="8"/>
      <c r="AE49" s="8"/>
      <c r="AF49" s="8"/>
      <c r="AG49" s="8"/>
      <c r="AH49" s="8"/>
      <c r="AI49" s="8"/>
      <c r="AJ49" s="8"/>
      <c r="AK49" s="8"/>
      <c r="AL49" s="8"/>
      <c r="AM49" s="8"/>
      <c r="AN49" s="8"/>
      <c r="AO49" s="8"/>
      <c r="AP49" s="8"/>
      <c r="AQ49" s="8"/>
      <c r="AR49" s="8"/>
    </row>
    <row r="50" spans="1:44" ht="11.45">
      <c r="A50" s="12" t="s">
        <v>912</v>
      </c>
      <c r="D50" s="8">
        <f t="shared" ref="D50" si="11">+SUM(D19:D49)</f>
        <v>1248.8</v>
      </c>
      <c r="E50" s="8">
        <f t="shared" ref="E50" si="12">+SUM(E19:E49)</f>
        <v>1672.5333333333333</v>
      </c>
      <c r="F50" s="8">
        <f>+SUM(F19:F49)</f>
        <v>2010.9333333333334</v>
      </c>
      <c r="G50" s="8">
        <f t="shared" ref="G50:X50" si="13">+SUM(G19:G49)</f>
        <v>2167.8666666666668</v>
      </c>
      <c r="H50" s="8">
        <f t="shared" si="13"/>
        <v>2398.8000000000002</v>
      </c>
      <c r="I50" s="8">
        <f t="shared" si="13"/>
        <v>2564.1333333333337</v>
      </c>
      <c r="J50" s="8">
        <f t="shared" si="13"/>
        <v>3000.5333333333338</v>
      </c>
      <c r="K50" s="8">
        <f t="shared" si="13"/>
        <v>3082.7999999999993</v>
      </c>
      <c r="L50" s="8">
        <f t="shared" si="13"/>
        <v>2850.9333333333325</v>
      </c>
      <c r="M50" s="8">
        <f t="shared" si="13"/>
        <v>3245.7333333333331</v>
      </c>
      <c r="N50" s="8">
        <f t="shared" si="13"/>
        <v>4299</v>
      </c>
      <c r="O50" s="8">
        <f t="shared" si="13"/>
        <v>5541.0666666666666</v>
      </c>
      <c r="P50" s="8">
        <f t="shared" si="13"/>
        <v>7092.8</v>
      </c>
      <c r="Q50" s="8">
        <f t="shared" si="13"/>
        <v>8864.0666666666657</v>
      </c>
      <c r="R50" s="8">
        <f t="shared" si="13"/>
        <v>9604.6666666666661</v>
      </c>
      <c r="S50" s="8">
        <f t="shared" si="13"/>
        <v>11705.266666666666</v>
      </c>
      <c r="T50" s="8">
        <f>+SUM(T19:T49)</f>
        <v>11959.545454545454</v>
      </c>
      <c r="U50" s="8">
        <f t="shared" ref="U50" si="14">+SUM(U19:U49)</f>
        <v>15922.646464646463</v>
      </c>
      <c r="V50" s="8">
        <f t="shared" si="13"/>
        <v>21911.116747365937</v>
      </c>
      <c r="W50" s="8">
        <f t="shared" si="13"/>
        <v>26704.692983231798</v>
      </c>
      <c r="X50" s="8">
        <f t="shared" si="13"/>
        <v>31249.998101963938</v>
      </c>
      <c r="Y50" s="8">
        <f>+SUM(Y19:Y49)</f>
        <v>35926.153964588295</v>
      </c>
      <c r="Z50" s="8">
        <f t="shared" ref="Z50:AE50" si="15">+SUM(Z19:Z49)</f>
        <v>40301.487808216436</v>
      </c>
      <c r="AA50" s="8">
        <f t="shared" si="15"/>
        <v>43892.739923028188</v>
      </c>
      <c r="AB50" s="8">
        <f t="shared" si="15"/>
        <v>47739.419379419582</v>
      </c>
      <c r="AC50" s="8">
        <f t="shared" si="15"/>
        <v>51026.672673355213</v>
      </c>
      <c r="AD50" s="8">
        <f t="shared" si="15"/>
        <v>54779.82536271157</v>
      </c>
      <c r="AE50" s="8">
        <f t="shared" si="15"/>
        <v>57909.133176156225</v>
      </c>
      <c r="AF50" s="8">
        <f>+SUM(AF19:AF49)</f>
        <v>59874.823227620487</v>
      </c>
      <c r="AG50" s="8">
        <f t="shared" ref="AG50" si="16">+SUM(AG19:AG49)</f>
        <v>60370.842936425644</v>
      </c>
      <c r="AH50" s="8"/>
      <c r="AI50" s="10" t="s">
        <v>913</v>
      </c>
      <c r="AJ50" s="8"/>
      <c r="AK50" s="8"/>
      <c r="AL50" s="8"/>
      <c r="AM50" s="8"/>
      <c r="AN50" s="8"/>
      <c r="AO50" s="8"/>
      <c r="AP50" s="8"/>
      <c r="AQ50" s="8"/>
      <c r="AR50" s="8"/>
    </row>
    <row r="51" spans="1:44" s="953" customFormat="1" ht="11.45">
      <c r="A51" s="12" t="s">
        <v>914</v>
      </c>
      <c r="D51" s="10">
        <f t="shared" ref="D51:T51" si="17">+D192</f>
        <v>236</v>
      </c>
      <c r="E51" s="10">
        <f t="shared" si="17"/>
        <v>472</v>
      </c>
      <c r="F51" s="10">
        <f t="shared" si="17"/>
        <v>591</v>
      </c>
      <c r="G51" s="10">
        <f t="shared" si="17"/>
        <v>707</v>
      </c>
      <c r="H51" s="10">
        <f t="shared" si="17"/>
        <v>537</v>
      </c>
      <c r="I51" s="10">
        <f t="shared" si="17"/>
        <v>558</v>
      </c>
      <c r="J51" s="10">
        <f t="shared" si="17"/>
        <v>739</v>
      </c>
      <c r="K51" s="10">
        <f t="shared" si="17"/>
        <v>845</v>
      </c>
      <c r="L51" s="10">
        <f t="shared" si="17"/>
        <v>1300</v>
      </c>
      <c r="M51" s="10">
        <f t="shared" si="17"/>
        <v>978</v>
      </c>
      <c r="N51" s="10">
        <f t="shared" si="17"/>
        <v>1700</v>
      </c>
      <c r="O51" s="10">
        <f t="shared" si="17"/>
        <v>2200</v>
      </c>
      <c r="P51" s="10">
        <f t="shared" si="17"/>
        <v>1900</v>
      </c>
      <c r="Q51" s="10">
        <f t="shared" si="17"/>
        <v>1600</v>
      </c>
      <c r="R51" s="10">
        <f t="shared" si="17"/>
        <v>1600</v>
      </c>
      <c r="S51" s="10">
        <f t="shared" si="17"/>
        <v>2000</v>
      </c>
      <c r="T51" s="10">
        <f t="shared" si="17"/>
        <v>2500</v>
      </c>
      <c r="U51" s="10">
        <f>+U192</f>
        <v>4800</v>
      </c>
      <c r="V51" s="30">
        <v>5892</v>
      </c>
      <c r="W51" s="30">
        <v>4471</v>
      </c>
      <c r="X51" s="30">
        <v>2793</v>
      </c>
      <c r="Y51" s="30">
        <v>1909</v>
      </c>
      <c r="Z51" s="30">
        <v>1728</v>
      </c>
      <c r="AA51" s="58">
        <f>+Z51-Y51+Z51</f>
        <v>1547</v>
      </c>
      <c r="AB51" s="58">
        <f t="shared" ref="AB51:AG51" si="18">+AA51-Z51+AA51</f>
        <v>1366</v>
      </c>
      <c r="AC51" s="58">
        <f t="shared" si="18"/>
        <v>1185</v>
      </c>
      <c r="AD51" s="58">
        <f t="shared" si="18"/>
        <v>1004</v>
      </c>
      <c r="AE51" s="58">
        <f t="shared" si="18"/>
        <v>823</v>
      </c>
      <c r="AF51" s="58">
        <f t="shared" si="18"/>
        <v>642</v>
      </c>
      <c r="AG51" s="58">
        <f t="shared" si="18"/>
        <v>461</v>
      </c>
      <c r="AH51" s="10"/>
      <c r="AI51" s="10" t="s">
        <v>915</v>
      </c>
      <c r="AJ51" s="10"/>
      <c r="AK51" s="10"/>
      <c r="AL51" s="10"/>
      <c r="AM51" s="10"/>
      <c r="AN51" s="10"/>
      <c r="AO51" s="10"/>
      <c r="AP51" s="10"/>
      <c r="AQ51" s="10"/>
      <c r="AR51" s="10"/>
    </row>
    <row r="52" spans="1:44" s="1" customFormat="1" ht="10.5">
      <c r="A52" s="848" t="s">
        <v>916</v>
      </c>
      <c r="B52" s="838"/>
      <c r="C52" s="838">
        <f t="shared" ref="C52:M52" si="19">+C51+C50</f>
        <v>0</v>
      </c>
      <c r="D52" s="838">
        <f t="shared" si="19"/>
        <v>1484.8</v>
      </c>
      <c r="E52" s="838">
        <f t="shared" si="19"/>
        <v>2144.5333333333333</v>
      </c>
      <c r="F52" s="838">
        <f t="shared" si="19"/>
        <v>2601.9333333333334</v>
      </c>
      <c r="G52" s="838">
        <f t="shared" si="19"/>
        <v>2874.8666666666668</v>
      </c>
      <c r="H52" s="838">
        <f t="shared" si="19"/>
        <v>2935.8</v>
      </c>
      <c r="I52" s="838">
        <f t="shared" si="19"/>
        <v>3122.1333333333337</v>
      </c>
      <c r="J52" s="838">
        <f t="shared" si="19"/>
        <v>3739.5333333333338</v>
      </c>
      <c r="K52" s="838">
        <f t="shared" si="19"/>
        <v>3927.7999999999993</v>
      </c>
      <c r="L52" s="838">
        <f t="shared" si="19"/>
        <v>4150.9333333333325</v>
      </c>
      <c r="M52" s="838">
        <f t="shared" si="19"/>
        <v>4223.7333333333336</v>
      </c>
      <c r="N52" s="838">
        <f>+N51+N50</f>
        <v>5999</v>
      </c>
      <c r="O52" s="838">
        <f t="shared" ref="O52:AG52" si="20">+O51+O50</f>
        <v>7741.0666666666666</v>
      </c>
      <c r="P52" s="838">
        <f t="shared" si="20"/>
        <v>8992.7999999999993</v>
      </c>
      <c r="Q52" s="838">
        <f t="shared" si="20"/>
        <v>10464.066666666666</v>
      </c>
      <c r="R52" s="838">
        <f t="shared" si="20"/>
        <v>11204.666666666666</v>
      </c>
      <c r="S52" s="838">
        <f t="shared" si="20"/>
        <v>13705.266666666666</v>
      </c>
      <c r="T52" s="838">
        <f t="shared" si="20"/>
        <v>14459.545454545454</v>
      </c>
      <c r="U52" s="838">
        <f t="shared" si="20"/>
        <v>20722.646464646463</v>
      </c>
      <c r="V52" s="838">
        <f t="shared" si="20"/>
        <v>27803.116747365937</v>
      </c>
      <c r="W52" s="838">
        <f t="shared" si="20"/>
        <v>31175.692983231798</v>
      </c>
      <c r="X52" s="838">
        <f t="shared" si="20"/>
        <v>34042.998101963938</v>
      </c>
      <c r="Y52" s="838">
        <f t="shared" si="20"/>
        <v>37835.153964588295</v>
      </c>
      <c r="Z52" s="838">
        <f t="shared" si="20"/>
        <v>42029.487808216436</v>
      </c>
      <c r="AA52" s="838">
        <f t="shared" si="20"/>
        <v>45439.739923028188</v>
      </c>
      <c r="AB52" s="838">
        <f t="shared" si="20"/>
        <v>49105.419379419582</v>
      </c>
      <c r="AC52" s="838">
        <f t="shared" si="20"/>
        <v>52211.672673355213</v>
      </c>
      <c r="AD52" s="838">
        <f t="shared" si="20"/>
        <v>55783.82536271157</v>
      </c>
      <c r="AE52" s="838">
        <f t="shared" si="20"/>
        <v>58732.133176156225</v>
      </c>
      <c r="AF52" s="838">
        <f t="shared" si="20"/>
        <v>60516.823227620487</v>
      </c>
      <c r="AG52" s="838">
        <f t="shared" si="20"/>
        <v>60831.842936425644</v>
      </c>
      <c r="AH52" s="838"/>
      <c r="AI52" s="838"/>
      <c r="AJ52" s="838"/>
      <c r="AK52" s="838"/>
      <c r="AL52" s="838"/>
      <c r="AM52" s="838"/>
      <c r="AN52" s="838"/>
      <c r="AO52" s="838"/>
      <c r="AP52" s="838"/>
      <c r="AQ52" s="838"/>
      <c r="AR52" s="838"/>
    </row>
    <row r="53" spans="1:44" ht="11.45">
      <c r="A53" s="12" t="s">
        <v>917</v>
      </c>
      <c r="D53" s="34">
        <f t="shared" ref="D53:T53" si="21">+D193</f>
        <v>500</v>
      </c>
      <c r="E53" s="34">
        <f t="shared" si="21"/>
        <v>500</v>
      </c>
      <c r="F53" s="34">
        <f t="shared" si="21"/>
        <v>500</v>
      </c>
      <c r="G53" s="34">
        <f t="shared" si="21"/>
        <v>500</v>
      </c>
      <c r="H53" s="34">
        <f t="shared" si="21"/>
        <v>500</v>
      </c>
      <c r="I53" s="34">
        <f t="shared" si="21"/>
        <v>500</v>
      </c>
      <c r="J53" s="34">
        <f t="shared" si="21"/>
        <v>500</v>
      </c>
      <c r="K53" s="34">
        <f t="shared" si="21"/>
        <v>500</v>
      </c>
      <c r="L53" s="34">
        <f t="shared" si="21"/>
        <v>500</v>
      </c>
      <c r="M53" s="34">
        <f t="shared" si="21"/>
        <v>744</v>
      </c>
      <c r="N53" s="34">
        <f t="shared" si="21"/>
        <v>978</v>
      </c>
      <c r="O53" s="34">
        <f t="shared" si="21"/>
        <v>361</v>
      </c>
      <c r="P53" s="34">
        <f t="shared" si="21"/>
        <v>82</v>
      </c>
      <c r="Q53" s="34">
        <f t="shared" si="21"/>
        <v>496</v>
      </c>
      <c r="R53" s="34">
        <f t="shared" si="21"/>
        <v>786</v>
      </c>
      <c r="S53" s="34">
        <f t="shared" si="21"/>
        <v>-140</v>
      </c>
      <c r="T53" s="34">
        <f t="shared" si="21"/>
        <v>361</v>
      </c>
      <c r="U53" s="34">
        <f>+U193</f>
        <v>2287</v>
      </c>
      <c r="V53" s="1229">
        <f>+U53</f>
        <v>2287</v>
      </c>
      <c r="W53" s="1229">
        <f t="shared" ref="W53:AG53" si="22">+V53</f>
        <v>2287</v>
      </c>
      <c r="X53" s="1229">
        <f t="shared" si="22"/>
        <v>2287</v>
      </c>
      <c r="Y53" s="1229">
        <f t="shared" si="22"/>
        <v>2287</v>
      </c>
      <c r="Z53" s="1229">
        <f t="shared" si="22"/>
        <v>2287</v>
      </c>
      <c r="AA53" s="1229">
        <f t="shared" si="22"/>
        <v>2287</v>
      </c>
      <c r="AB53" s="1229">
        <f t="shared" si="22"/>
        <v>2287</v>
      </c>
      <c r="AC53" s="1229">
        <f t="shared" si="22"/>
        <v>2287</v>
      </c>
      <c r="AD53" s="1229">
        <f t="shared" si="22"/>
        <v>2287</v>
      </c>
      <c r="AE53" s="1229">
        <f t="shared" si="22"/>
        <v>2287</v>
      </c>
      <c r="AF53" s="1229">
        <f t="shared" si="22"/>
        <v>2287</v>
      </c>
      <c r="AG53" s="1229">
        <f t="shared" si="22"/>
        <v>2287</v>
      </c>
      <c r="AH53" s="8"/>
      <c r="AI53" s="8"/>
      <c r="AJ53" s="8"/>
      <c r="AK53" s="8"/>
      <c r="AL53" s="8"/>
      <c r="AM53" s="8"/>
      <c r="AN53" s="8"/>
      <c r="AO53" s="8"/>
      <c r="AP53" s="8"/>
      <c r="AQ53" s="8"/>
      <c r="AR53" s="8"/>
    </row>
    <row r="54" spans="1:44" s="1" customFormat="1" ht="10.5">
      <c r="A54" s="848" t="s">
        <v>918</v>
      </c>
      <c r="D54" s="838">
        <f t="shared" ref="D54:S54" si="23">+D53+D51+D50</f>
        <v>1984.8</v>
      </c>
      <c r="E54" s="838">
        <f t="shared" si="23"/>
        <v>2644.5333333333333</v>
      </c>
      <c r="F54" s="838">
        <f t="shared" si="23"/>
        <v>3101.9333333333334</v>
      </c>
      <c r="G54" s="838">
        <f t="shared" si="23"/>
        <v>3374.8666666666668</v>
      </c>
      <c r="H54" s="838">
        <f t="shared" si="23"/>
        <v>3435.8</v>
      </c>
      <c r="I54" s="838">
        <f t="shared" si="23"/>
        <v>3622.1333333333337</v>
      </c>
      <c r="J54" s="838">
        <f t="shared" si="23"/>
        <v>4239.5333333333338</v>
      </c>
      <c r="K54" s="838">
        <f t="shared" si="23"/>
        <v>4427.7999999999993</v>
      </c>
      <c r="L54" s="838">
        <f t="shared" si="23"/>
        <v>4650.9333333333325</v>
      </c>
      <c r="M54" s="838">
        <f t="shared" si="23"/>
        <v>4967.7333333333336</v>
      </c>
      <c r="N54" s="838">
        <f t="shared" si="23"/>
        <v>6977</v>
      </c>
      <c r="O54" s="838">
        <f t="shared" si="23"/>
        <v>8102.0666666666666</v>
      </c>
      <c r="P54" s="838">
        <f t="shared" si="23"/>
        <v>9074.7999999999993</v>
      </c>
      <c r="Q54" s="838">
        <f t="shared" si="23"/>
        <v>10960.066666666666</v>
      </c>
      <c r="R54" s="838">
        <f t="shared" si="23"/>
        <v>11990.666666666666</v>
      </c>
      <c r="S54" s="838">
        <f t="shared" si="23"/>
        <v>13565.266666666666</v>
      </c>
      <c r="T54" s="838">
        <f>+T53+T51+T50</f>
        <v>14820.545454545454</v>
      </c>
      <c r="U54" s="838">
        <f t="shared" ref="U54" si="24">+U53+U51+U50</f>
        <v>23009.646464646463</v>
      </c>
      <c r="V54" s="849">
        <f t="shared" ref="V54:AG54" si="25">+V53+V50+V51</f>
        <v>30090.116747365937</v>
      </c>
      <c r="W54" s="849">
        <f t="shared" si="25"/>
        <v>33462.692983231798</v>
      </c>
      <c r="X54" s="849">
        <f t="shared" si="25"/>
        <v>36329.998101963938</v>
      </c>
      <c r="Y54" s="849">
        <f t="shared" si="25"/>
        <v>40122.153964588295</v>
      </c>
      <c r="Z54" s="849">
        <f t="shared" si="25"/>
        <v>44316.487808216436</v>
      </c>
      <c r="AA54" s="849">
        <f t="shared" si="25"/>
        <v>47726.739923028188</v>
      </c>
      <c r="AB54" s="849">
        <f t="shared" si="25"/>
        <v>51392.419379419582</v>
      </c>
      <c r="AC54" s="849">
        <f t="shared" si="25"/>
        <v>54498.672673355213</v>
      </c>
      <c r="AD54" s="849">
        <f t="shared" si="25"/>
        <v>58070.82536271157</v>
      </c>
      <c r="AE54" s="849">
        <f t="shared" si="25"/>
        <v>61019.133176156225</v>
      </c>
      <c r="AF54" s="849">
        <f t="shared" si="25"/>
        <v>62803.823227620487</v>
      </c>
      <c r="AG54" s="849">
        <f t="shared" si="25"/>
        <v>63118.842936425644</v>
      </c>
      <c r="AH54" s="838"/>
      <c r="AI54" s="838"/>
      <c r="AJ54" s="838"/>
      <c r="AK54" s="838"/>
      <c r="AL54" s="838"/>
      <c r="AM54" s="838"/>
      <c r="AN54" s="838"/>
      <c r="AO54" s="838"/>
      <c r="AP54" s="838"/>
      <c r="AQ54" s="838"/>
      <c r="AR54" s="838"/>
    </row>
    <row r="55" spans="1:44" s="1" customFormat="1" ht="10.5">
      <c r="A55" s="848"/>
      <c r="D55" s="838"/>
      <c r="E55" s="838"/>
      <c r="F55" s="838"/>
      <c r="G55" s="838"/>
      <c r="H55" s="838"/>
      <c r="I55" s="838"/>
      <c r="J55" s="838"/>
      <c r="K55" s="838"/>
      <c r="L55" s="838"/>
      <c r="M55" s="838"/>
      <c r="N55" s="838"/>
      <c r="O55" s="838"/>
      <c r="P55" s="838"/>
      <c r="Q55" s="838"/>
      <c r="R55" s="838"/>
      <c r="S55" s="838"/>
      <c r="T55" s="838"/>
      <c r="U55" s="838"/>
      <c r="V55" s="849"/>
      <c r="W55" s="849"/>
      <c r="X55" s="849"/>
      <c r="Y55" s="849"/>
      <c r="Z55" s="849"/>
      <c r="AA55" s="849"/>
      <c r="AB55" s="849"/>
      <c r="AC55" s="849"/>
      <c r="AD55" s="849"/>
      <c r="AE55" s="849"/>
      <c r="AF55" s="849"/>
      <c r="AG55" s="849"/>
      <c r="AH55" s="838"/>
      <c r="AI55" s="838"/>
      <c r="AJ55" s="838"/>
      <c r="AK55" s="838"/>
      <c r="AL55" s="838"/>
      <c r="AM55" s="838"/>
      <c r="AN55" s="838"/>
      <c r="AO55" s="838"/>
      <c r="AP55" s="838"/>
      <c r="AQ55" s="838"/>
      <c r="AR55" s="838"/>
    </row>
    <row r="56" spans="1:44" s="1" customFormat="1" ht="10.5">
      <c r="A56" s="24" t="s">
        <v>126</v>
      </c>
      <c r="D56" s="838"/>
      <c r="E56" s="838"/>
      <c r="F56" s="838"/>
      <c r="G56" s="838"/>
      <c r="H56" s="838"/>
      <c r="I56" s="838"/>
      <c r="J56" s="838"/>
      <c r="K56" s="838"/>
      <c r="L56" s="838"/>
      <c r="M56" s="838"/>
      <c r="N56" s="838"/>
      <c r="O56" s="838"/>
      <c r="P56" s="838"/>
      <c r="Q56" s="838"/>
      <c r="R56" s="838"/>
      <c r="S56" s="838"/>
      <c r="T56" s="838"/>
      <c r="U56" s="838"/>
      <c r="V56" s="838"/>
      <c r="W56" s="838"/>
      <c r="X56" s="838"/>
      <c r="Y56" s="838"/>
      <c r="Z56" s="838"/>
      <c r="AA56" s="838"/>
      <c r="AB56" s="838"/>
      <c r="AC56" s="838"/>
      <c r="AD56" s="838"/>
      <c r="AE56" s="838"/>
      <c r="AF56" s="838"/>
      <c r="AG56" s="838"/>
      <c r="AH56" s="838"/>
      <c r="AI56" s="838"/>
      <c r="AJ56" s="838"/>
      <c r="AK56" s="838"/>
      <c r="AL56" s="838"/>
      <c r="AM56" s="838"/>
      <c r="AN56" s="838"/>
      <c r="AO56" s="838"/>
      <c r="AP56" s="838"/>
      <c r="AQ56" s="838"/>
      <c r="AR56" s="838"/>
    </row>
    <row r="57" spans="1:44" s="1" customFormat="1" ht="10.5">
      <c r="A57" s="13" t="s">
        <v>919</v>
      </c>
      <c r="D57" s="92">
        <f t="shared" ref="D57:S57" si="26">+D213</f>
        <v>940</v>
      </c>
      <c r="E57" s="92">
        <f t="shared" si="26"/>
        <v>1556</v>
      </c>
      <c r="F57" s="92">
        <f t="shared" si="26"/>
        <v>2062</v>
      </c>
      <c r="G57" s="92">
        <f t="shared" si="26"/>
        <v>2173</v>
      </c>
      <c r="H57" s="92">
        <f t="shared" si="26"/>
        <v>2266</v>
      </c>
      <c r="I57" s="92">
        <f t="shared" si="26"/>
        <v>2467</v>
      </c>
      <c r="J57" s="92">
        <f t="shared" si="26"/>
        <v>3255</v>
      </c>
      <c r="K57" s="92">
        <f t="shared" si="26"/>
        <v>4712</v>
      </c>
      <c r="L57" s="92">
        <f t="shared" si="26"/>
        <v>5457</v>
      </c>
      <c r="M57" s="92">
        <f t="shared" si="26"/>
        <v>4900</v>
      </c>
      <c r="N57" s="92">
        <f t="shared" si="26"/>
        <v>6100</v>
      </c>
      <c r="O57" s="92">
        <f t="shared" si="26"/>
        <v>7700</v>
      </c>
      <c r="P57" s="92">
        <f t="shared" si="26"/>
        <v>9700</v>
      </c>
      <c r="Q57" s="92">
        <f t="shared" si="26"/>
        <v>10700</v>
      </c>
      <c r="R57" s="92">
        <f t="shared" si="26"/>
        <v>9300</v>
      </c>
      <c r="S57" s="92">
        <f t="shared" si="26"/>
        <v>12600</v>
      </c>
      <c r="T57" s="92">
        <f>+T213</f>
        <v>11000</v>
      </c>
      <c r="U57" s="92">
        <f t="shared" ref="U57" si="27">+U213</f>
        <v>15200</v>
      </c>
      <c r="V57" s="1228"/>
      <c r="W57" s="1228"/>
      <c r="X57" s="1228"/>
      <c r="Y57" s="1228"/>
      <c r="Z57" s="1228"/>
      <c r="AA57" s="1228"/>
      <c r="AB57" s="1228"/>
      <c r="AC57" s="1228"/>
      <c r="AD57" s="1228"/>
      <c r="AE57" s="1228"/>
      <c r="AF57" s="1228"/>
      <c r="AG57" s="1228"/>
      <c r="AH57" s="838"/>
      <c r="AI57" s="838"/>
      <c r="AJ57" s="838"/>
      <c r="AK57" s="838"/>
      <c r="AL57" s="838"/>
      <c r="AM57" s="838"/>
      <c r="AN57" s="838"/>
      <c r="AO57" s="838"/>
      <c r="AP57" s="838"/>
      <c r="AQ57" s="838"/>
      <c r="AR57" s="838"/>
    </row>
    <row r="58" spans="1:44" s="1" customFormat="1" ht="10.5">
      <c r="A58" s="15" t="s">
        <v>920</v>
      </c>
      <c r="D58" s="1225">
        <f t="shared" ref="D58:U58" si="28">+D57/D50-1</f>
        <v>-0.24727738629083917</v>
      </c>
      <c r="E58" s="1225">
        <f t="shared" si="28"/>
        <v>-6.9674744897959218E-2</v>
      </c>
      <c r="F58" s="1225">
        <f t="shared" si="28"/>
        <v>2.5394510011934823E-2</v>
      </c>
      <c r="G58" s="1225">
        <f t="shared" si="28"/>
        <v>2.3679193062302595E-3</v>
      </c>
      <c r="H58" s="1225">
        <f t="shared" si="28"/>
        <v>-5.5361013840253492E-2</v>
      </c>
      <c r="I58" s="1225">
        <f t="shared" si="28"/>
        <v>-3.7881545421455054E-2</v>
      </c>
      <c r="J58" s="1225">
        <f t="shared" si="28"/>
        <v>8.4807145396373906E-2</v>
      </c>
      <c r="K58" s="1225">
        <f t="shared" si="28"/>
        <v>0.52848060205008474</v>
      </c>
      <c r="L58" s="1225">
        <f t="shared" si="28"/>
        <v>0.91410999906463442</v>
      </c>
      <c r="M58" s="1225">
        <f t="shared" si="28"/>
        <v>0.509674239000945</v>
      </c>
      <c r="N58" s="1225">
        <f t="shared" si="28"/>
        <v>0.41893463596185154</v>
      </c>
      <c r="O58" s="1225">
        <f t="shared" si="28"/>
        <v>0.38962413975648502</v>
      </c>
      <c r="P58" s="1225">
        <f t="shared" si="28"/>
        <v>0.36758402887435149</v>
      </c>
      <c r="Q58" s="1225">
        <f t="shared" si="28"/>
        <v>0.20712088507156245</v>
      </c>
      <c r="R58" s="1225">
        <f t="shared" si="28"/>
        <v>-3.1720691330603068E-2</v>
      </c>
      <c r="S58" s="1225">
        <f t="shared" si="28"/>
        <v>7.6438526247444294E-2</v>
      </c>
      <c r="T58" s="1225">
        <f t="shared" si="28"/>
        <v>-8.0232602333624725E-2</v>
      </c>
      <c r="U58" s="1225">
        <f t="shared" si="28"/>
        <v>-4.5384821314156332E-2</v>
      </c>
      <c r="V58" s="1225"/>
      <c r="W58" s="1225"/>
      <c r="X58" s="1225"/>
      <c r="Y58" s="1225"/>
      <c r="Z58" s="1225"/>
      <c r="AA58" s="1225"/>
      <c r="AB58" s="1225"/>
      <c r="AC58" s="1225"/>
      <c r="AD58" s="1225"/>
      <c r="AE58" s="1225"/>
      <c r="AF58" s="1225"/>
      <c r="AG58" s="1225"/>
      <c r="AH58" s="838"/>
      <c r="AI58" s="838"/>
      <c r="AJ58" s="838"/>
      <c r="AK58" s="838"/>
      <c r="AL58" s="838"/>
      <c r="AM58" s="838"/>
      <c r="AN58" s="838"/>
      <c r="AO58" s="838"/>
      <c r="AP58" s="838"/>
      <c r="AQ58" s="838"/>
      <c r="AR58" s="838"/>
    </row>
    <row r="59" spans="1:44">
      <c r="A59" s="15" t="s">
        <v>921</v>
      </c>
      <c r="D59" s="92">
        <f t="shared" ref="D59:U59" si="29">+D57-D50</f>
        <v>-308.79999999999995</v>
      </c>
      <c r="E59" s="92">
        <f t="shared" si="29"/>
        <v>-116.5333333333333</v>
      </c>
      <c r="F59" s="92">
        <f t="shared" si="29"/>
        <v>51.066666666666606</v>
      </c>
      <c r="G59" s="92">
        <f t="shared" si="29"/>
        <v>5.1333333333332121</v>
      </c>
      <c r="H59" s="92">
        <f t="shared" si="29"/>
        <v>-132.80000000000018</v>
      </c>
      <c r="I59" s="92">
        <f t="shared" si="29"/>
        <v>-97.133333333333667</v>
      </c>
      <c r="J59" s="92">
        <f t="shared" si="29"/>
        <v>254.46666666666624</v>
      </c>
      <c r="K59" s="92">
        <f t="shared" si="29"/>
        <v>1629.2000000000007</v>
      </c>
      <c r="L59" s="92">
        <f t="shared" si="29"/>
        <v>2606.0666666666675</v>
      </c>
      <c r="M59" s="92">
        <f t="shared" si="29"/>
        <v>1654.2666666666669</v>
      </c>
      <c r="N59" s="92">
        <f t="shared" si="29"/>
        <v>1801</v>
      </c>
      <c r="O59" s="92">
        <f t="shared" si="29"/>
        <v>2158.9333333333334</v>
      </c>
      <c r="P59" s="92">
        <f t="shared" si="29"/>
        <v>2607.1999999999998</v>
      </c>
      <c r="Q59" s="92">
        <f t="shared" si="29"/>
        <v>1835.9333333333343</v>
      </c>
      <c r="R59" s="92">
        <f t="shared" si="29"/>
        <v>-304.66666666666606</v>
      </c>
      <c r="S59" s="92">
        <f t="shared" si="29"/>
        <v>894.73333333333358</v>
      </c>
      <c r="T59" s="92">
        <f t="shared" si="29"/>
        <v>-959.54545454545405</v>
      </c>
      <c r="U59" s="92">
        <f t="shared" si="29"/>
        <v>-722.64646464646285</v>
      </c>
      <c r="V59" s="92"/>
      <c r="W59" s="92"/>
      <c r="X59" s="92"/>
      <c r="Y59" s="92"/>
      <c r="Z59" s="92"/>
      <c r="AA59" s="92"/>
      <c r="AB59" s="92"/>
      <c r="AC59" s="92"/>
      <c r="AD59" s="92"/>
      <c r="AE59" s="92"/>
      <c r="AF59" s="92"/>
      <c r="AG59" s="92"/>
    </row>
    <row r="60" spans="1:44">
      <c r="D60" s="92"/>
      <c r="E60" s="92"/>
      <c r="F60" s="92"/>
      <c r="G60" s="92"/>
      <c r="H60" s="92"/>
      <c r="I60" s="92"/>
      <c r="J60" s="92"/>
      <c r="K60" s="92"/>
      <c r="L60" s="92"/>
      <c r="M60" s="92"/>
      <c r="N60" s="92"/>
      <c r="O60" s="92"/>
      <c r="P60" s="92"/>
      <c r="Q60" s="92"/>
      <c r="R60" s="92"/>
      <c r="S60" s="92"/>
      <c r="T60" s="92"/>
      <c r="U60" s="92"/>
      <c r="V60" s="92"/>
      <c r="W60" s="92"/>
      <c r="X60" s="92"/>
      <c r="Y60" s="92"/>
    </row>
    <row r="61" spans="1:44" s="1" customFormat="1" ht="10.5">
      <c r="A61" s="1" t="s">
        <v>912</v>
      </c>
      <c r="D61" s="838">
        <f t="shared" ref="D61:AG61" si="30">+D50</f>
        <v>1248.8</v>
      </c>
      <c r="E61" s="838">
        <f t="shared" si="30"/>
        <v>1672.5333333333333</v>
      </c>
      <c r="F61" s="838">
        <f t="shared" si="30"/>
        <v>2010.9333333333334</v>
      </c>
      <c r="G61" s="838">
        <f t="shared" si="30"/>
        <v>2167.8666666666668</v>
      </c>
      <c r="H61" s="838">
        <f t="shared" si="30"/>
        <v>2398.8000000000002</v>
      </c>
      <c r="I61" s="838">
        <f t="shared" si="30"/>
        <v>2564.1333333333337</v>
      </c>
      <c r="J61" s="838">
        <f t="shared" si="30"/>
        <v>3000.5333333333338</v>
      </c>
      <c r="K61" s="838">
        <f t="shared" si="30"/>
        <v>3082.7999999999993</v>
      </c>
      <c r="L61" s="838">
        <f t="shared" si="30"/>
        <v>2850.9333333333325</v>
      </c>
      <c r="M61" s="838">
        <f t="shared" si="30"/>
        <v>3245.7333333333331</v>
      </c>
      <c r="N61" s="838">
        <f t="shared" si="30"/>
        <v>4299</v>
      </c>
      <c r="O61" s="838">
        <f t="shared" si="30"/>
        <v>5541.0666666666666</v>
      </c>
      <c r="P61" s="838">
        <f t="shared" si="30"/>
        <v>7092.8</v>
      </c>
      <c r="Q61" s="838">
        <f t="shared" si="30"/>
        <v>8864.0666666666657</v>
      </c>
      <c r="R61" s="838">
        <f t="shared" si="30"/>
        <v>9604.6666666666661</v>
      </c>
      <c r="S61" s="838">
        <f t="shared" si="30"/>
        <v>11705.266666666666</v>
      </c>
      <c r="T61" s="838">
        <f t="shared" si="30"/>
        <v>11959.545454545454</v>
      </c>
      <c r="U61" s="838">
        <f t="shared" si="30"/>
        <v>15922.646464646463</v>
      </c>
      <c r="V61" s="838">
        <f t="shared" si="30"/>
        <v>21911.116747365937</v>
      </c>
      <c r="W61" s="838">
        <f t="shared" si="30"/>
        <v>26704.692983231798</v>
      </c>
      <c r="X61" s="838">
        <f t="shared" si="30"/>
        <v>31249.998101963938</v>
      </c>
      <c r="Y61" s="838">
        <f t="shared" si="30"/>
        <v>35926.153964588295</v>
      </c>
      <c r="Z61" s="838">
        <f t="shared" si="30"/>
        <v>40301.487808216436</v>
      </c>
      <c r="AA61" s="838">
        <f t="shared" si="30"/>
        <v>43892.739923028188</v>
      </c>
      <c r="AB61" s="838">
        <f t="shared" si="30"/>
        <v>47739.419379419582</v>
      </c>
      <c r="AC61" s="838">
        <f t="shared" si="30"/>
        <v>51026.672673355213</v>
      </c>
      <c r="AD61" s="838">
        <f t="shared" si="30"/>
        <v>54779.82536271157</v>
      </c>
      <c r="AE61" s="838">
        <f t="shared" si="30"/>
        <v>57909.133176156225</v>
      </c>
      <c r="AF61" s="838">
        <f t="shared" si="30"/>
        <v>59874.823227620487</v>
      </c>
      <c r="AG61" s="838">
        <f t="shared" si="30"/>
        <v>60370.842936425644</v>
      </c>
    </row>
    <row r="62" spans="1:44" hidden="1" outlineLevel="1">
      <c r="A62" s="15"/>
    </row>
    <row r="63" spans="1:44" ht="10.5" hidden="1" outlineLevel="1">
      <c r="A63" s="45" t="s">
        <v>922</v>
      </c>
    </row>
    <row r="64" spans="1:44" hidden="1" outlineLevel="1">
      <c r="A64" t="s">
        <v>923</v>
      </c>
      <c r="D64" s="8">
        <f>+D170-SUM(D65:D94)</f>
        <v>9366</v>
      </c>
      <c r="E64" s="8">
        <f t="shared" ref="E64:Q64" si="31">+E170-SUM(E65:E94)</f>
        <v>9366</v>
      </c>
      <c r="F64" s="8">
        <f t="shared" si="31"/>
        <v>9366</v>
      </c>
      <c r="G64" s="8">
        <f t="shared" si="31"/>
        <v>9366</v>
      </c>
      <c r="H64" s="8">
        <f t="shared" si="31"/>
        <v>9366</v>
      </c>
      <c r="I64" s="8">
        <f t="shared" si="31"/>
        <v>9366</v>
      </c>
      <c r="J64" s="8">
        <f t="shared" si="31"/>
        <v>9366</v>
      </c>
      <c r="K64" s="8">
        <f t="shared" si="31"/>
        <v>9366</v>
      </c>
      <c r="L64" s="8">
        <f t="shared" si="31"/>
        <v>9366</v>
      </c>
      <c r="M64" s="8">
        <f>+M170-SUM(M65:M94)</f>
        <v>9366</v>
      </c>
      <c r="N64" s="8">
        <f t="shared" si="31"/>
        <v>9366</v>
      </c>
      <c r="O64" s="8">
        <f t="shared" si="31"/>
        <v>9366</v>
      </c>
      <c r="P64" s="8">
        <f t="shared" si="31"/>
        <v>9366</v>
      </c>
      <c r="Q64" s="8">
        <f t="shared" si="31"/>
        <v>9366</v>
      </c>
      <c r="R64" s="8">
        <f>+R170-SUM(R65:R94)</f>
        <v>9366</v>
      </c>
      <c r="S64" s="8">
        <f>+S170-SUM(S65:S94)</f>
        <v>9366</v>
      </c>
      <c r="T64" s="8">
        <f>+T170-SUM(T65:T94)</f>
        <v>9366</v>
      </c>
      <c r="U64" s="8">
        <f t="shared" ref="U64" si="32">+U170-SUM(U65:U94)</f>
        <v>9366</v>
      </c>
      <c r="V64" s="8">
        <f t="shared" ref="S64:AG83" si="33">+U64</f>
        <v>9366</v>
      </c>
      <c r="W64" s="8">
        <f t="shared" si="33"/>
        <v>9366</v>
      </c>
      <c r="X64" s="8">
        <f t="shared" si="33"/>
        <v>9366</v>
      </c>
      <c r="Y64" s="8">
        <f t="shared" si="33"/>
        <v>9366</v>
      </c>
      <c r="Z64" s="8">
        <f t="shared" si="33"/>
        <v>9366</v>
      </c>
      <c r="AA64" s="8">
        <f t="shared" si="33"/>
        <v>9366</v>
      </c>
      <c r="AB64" s="8">
        <f t="shared" si="33"/>
        <v>9366</v>
      </c>
      <c r="AC64" s="8">
        <f t="shared" si="33"/>
        <v>9366</v>
      </c>
      <c r="AD64" s="8">
        <f t="shared" si="33"/>
        <v>9366</v>
      </c>
      <c r="AE64" s="8">
        <f t="shared" si="33"/>
        <v>9366</v>
      </c>
      <c r="AF64" s="8">
        <f t="shared" si="33"/>
        <v>9366</v>
      </c>
      <c r="AG64" s="8">
        <f t="shared" si="33"/>
        <v>9366</v>
      </c>
    </row>
    <row r="65" spans="1:39" hidden="1" outlineLevel="1">
      <c r="A65" t="s">
        <v>247</v>
      </c>
      <c r="E65" s="8">
        <f>+E$16</f>
        <v>3178</v>
      </c>
      <c r="F65" s="8">
        <f>+E65</f>
        <v>3178</v>
      </c>
      <c r="G65" s="8">
        <f t="shared" ref="G65:U80" si="34">+F65</f>
        <v>3178</v>
      </c>
      <c r="H65" s="8">
        <f t="shared" si="34"/>
        <v>3178</v>
      </c>
      <c r="I65" s="8">
        <f t="shared" si="34"/>
        <v>3178</v>
      </c>
      <c r="J65" s="8">
        <f t="shared" si="34"/>
        <v>3178</v>
      </c>
      <c r="K65" s="8">
        <f t="shared" si="34"/>
        <v>3178</v>
      </c>
      <c r="L65" s="8">
        <f t="shared" si="34"/>
        <v>3178</v>
      </c>
      <c r="M65" s="8">
        <f t="shared" si="34"/>
        <v>3178</v>
      </c>
      <c r="N65" s="8">
        <f t="shared" si="34"/>
        <v>3178</v>
      </c>
      <c r="O65" s="8">
        <f t="shared" si="34"/>
        <v>3178</v>
      </c>
      <c r="P65" s="8">
        <f t="shared" si="34"/>
        <v>3178</v>
      </c>
      <c r="Q65" s="8">
        <f t="shared" si="34"/>
        <v>3178</v>
      </c>
      <c r="R65" s="8">
        <f t="shared" si="34"/>
        <v>3178</v>
      </c>
      <c r="S65" s="8">
        <f t="shared" si="34"/>
        <v>3178</v>
      </c>
      <c r="T65" s="8">
        <f t="shared" si="34"/>
        <v>3178</v>
      </c>
      <c r="U65" s="8">
        <f t="shared" si="34"/>
        <v>3178</v>
      </c>
      <c r="V65" s="8">
        <f t="shared" si="33"/>
        <v>3178</v>
      </c>
      <c r="W65" s="8">
        <f t="shared" si="33"/>
        <v>3178</v>
      </c>
      <c r="X65" s="8">
        <f t="shared" si="33"/>
        <v>3178</v>
      </c>
      <c r="Y65" s="8">
        <f t="shared" si="33"/>
        <v>3178</v>
      </c>
      <c r="Z65" s="8">
        <f t="shared" si="33"/>
        <v>3178</v>
      </c>
      <c r="AA65" s="8">
        <f t="shared" si="33"/>
        <v>3178</v>
      </c>
      <c r="AB65" s="8">
        <f t="shared" si="33"/>
        <v>3178</v>
      </c>
      <c r="AC65" s="8">
        <f t="shared" si="33"/>
        <v>3178</v>
      </c>
      <c r="AD65" s="8">
        <f t="shared" si="33"/>
        <v>3178</v>
      </c>
      <c r="AE65" s="8">
        <f t="shared" si="33"/>
        <v>3178</v>
      </c>
      <c r="AF65" s="8">
        <f t="shared" si="33"/>
        <v>3178</v>
      </c>
      <c r="AG65" s="8">
        <f t="shared" si="33"/>
        <v>3178</v>
      </c>
    </row>
    <row r="66" spans="1:39" hidden="1" outlineLevel="1">
      <c r="A66" t="s">
        <v>248</v>
      </c>
      <c r="F66" s="8">
        <f>+F$16</f>
        <v>2538</v>
      </c>
      <c r="G66" s="8">
        <f>+F66</f>
        <v>2538</v>
      </c>
      <c r="H66" s="8">
        <f t="shared" si="34"/>
        <v>2538</v>
      </c>
      <c r="I66" s="8">
        <f t="shared" si="34"/>
        <v>2538</v>
      </c>
      <c r="J66" s="8">
        <f t="shared" si="34"/>
        <v>2538</v>
      </c>
      <c r="K66" s="8">
        <f t="shared" si="34"/>
        <v>2538</v>
      </c>
      <c r="L66" s="8">
        <f t="shared" si="34"/>
        <v>2538</v>
      </c>
      <c r="M66" s="8">
        <f t="shared" si="34"/>
        <v>2538</v>
      </c>
      <c r="N66" s="8">
        <f t="shared" si="34"/>
        <v>2538</v>
      </c>
      <c r="O66" s="8">
        <f t="shared" si="34"/>
        <v>2538</v>
      </c>
      <c r="P66" s="8">
        <f t="shared" si="34"/>
        <v>2538</v>
      </c>
      <c r="Q66" s="8">
        <f t="shared" si="34"/>
        <v>2538</v>
      </c>
      <c r="R66" s="8">
        <f t="shared" si="34"/>
        <v>2538</v>
      </c>
      <c r="S66" s="8">
        <f t="shared" si="34"/>
        <v>2538</v>
      </c>
      <c r="T66" s="8">
        <f t="shared" si="34"/>
        <v>2538</v>
      </c>
      <c r="U66" s="8">
        <f t="shared" si="34"/>
        <v>2538</v>
      </c>
      <c r="V66" s="8">
        <f t="shared" si="33"/>
        <v>2538</v>
      </c>
      <c r="W66" s="8">
        <f t="shared" si="33"/>
        <v>2538</v>
      </c>
      <c r="X66" s="8">
        <f t="shared" si="33"/>
        <v>2538</v>
      </c>
      <c r="Y66" s="8">
        <f t="shared" si="33"/>
        <v>2538</v>
      </c>
      <c r="Z66" s="8">
        <f t="shared" si="33"/>
        <v>2538</v>
      </c>
      <c r="AA66" s="8">
        <f t="shared" si="33"/>
        <v>2538</v>
      </c>
      <c r="AB66" s="8">
        <f t="shared" si="33"/>
        <v>2538</v>
      </c>
      <c r="AC66" s="8">
        <f t="shared" si="33"/>
        <v>2538</v>
      </c>
      <c r="AD66" s="8">
        <f t="shared" si="33"/>
        <v>2538</v>
      </c>
      <c r="AE66" s="8">
        <f t="shared" si="33"/>
        <v>2538</v>
      </c>
      <c r="AF66" s="8">
        <f t="shared" si="33"/>
        <v>2538</v>
      </c>
      <c r="AG66" s="8">
        <f t="shared" si="33"/>
        <v>2538</v>
      </c>
    </row>
    <row r="67" spans="1:39" hidden="1" outlineLevel="1">
      <c r="A67" t="s">
        <v>249</v>
      </c>
      <c r="G67" s="8">
        <f>+G$16</f>
        <v>1177</v>
      </c>
      <c r="H67" s="8">
        <f>+G67</f>
        <v>1177</v>
      </c>
      <c r="I67" s="8">
        <f t="shared" si="34"/>
        <v>1177</v>
      </c>
      <c r="J67" s="8">
        <f t="shared" si="34"/>
        <v>1177</v>
      </c>
      <c r="K67" s="8">
        <f t="shared" si="34"/>
        <v>1177</v>
      </c>
      <c r="L67" s="8">
        <f t="shared" si="34"/>
        <v>1177</v>
      </c>
      <c r="M67" s="8">
        <f t="shared" si="34"/>
        <v>1177</v>
      </c>
      <c r="N67" s="8">
        <f t="shared" si="34"/>
        <v>1177</v>
      </c>
      <c r="O67" s="8">
        <f t="shared" si="34"/>
        <v>1177</v>
      </c>
      <c r="P67" s="8">
        <f t="shared" si="34"/>
        <v>1177</v>
      </c>
      <c r="Q67" s="8">
        <f t="shared" si="34"/>
        <v>1177</v>
      </c>
      <c r="R67" s="8">
        <f t="shared" si="34"/>
        <v>1177</v>
      </c>
      <c r="S67" s="8">
        <f t="shared" si="34"/>
        <v>1177</v>
      </c>
      <c r="T67" s="8">
        <f t="shared" si="34"/>
        <v>1177</v>
      </c>
      <c r="U67" s="8">
        <f t="shared" si="34"/>
        <v>1177</v>
      </c>
      <c r="V67" s="8">
        <f t="shared" si="33"/>
        <v>1177</v>
      </c>
      <c r="W67" s="8">
        <f t="shared" si="33"/>
        <v>1177</v>
      </c>
      <c r="X67" s="8">
        <f t="shared" si="33"/>
        <v>1177</v>
      </c>
      <c r="Y67" s="8">
        <f t="shared" si="33"/>
        <v>1177</v>
      </c>
      <c r="Z67" s="8">
        <f t="shared" si="33"/>
        <v>1177</v>
      </c>
      <c r="AA67" s="8">
        <f t="shared" si="33"/>
        <v>1177</v>
      </c>
      <c r="AB67" s="8">
        <f t="shared" si="33"/>
        <v>1177</v>
      </c>
      <c r="AC67" s="8">
        <f t="shared" si="33"/>
        <v>1177</v>
      </c>
      <c r="AD67" s="8">
        <f t="shared" si="33"/>
        <v>1177</v>
      </c>
      <c r="AE67" s="8">
        <f t="shared" si="33"/>
        <v>1177</v>
      </c>
      <c r="AF67" s="8">
        <f t="shared" si="33"/>
        <v>1177</v>
      </c>
      <c r="AG67" s="8">
        <f t="shared" si="33"/>
        <v>1177</v>
      </c>
    </row>
    <row r="68" spans="1:39" hidden="1" outlineLevel="1">
      <c r="A68" t="s">
        <v>250</v>
      </c>
      <c r="H68" s="8">
        <f>+H$16</f>
        <v>1732</v>
      </c>
      <c r="I68" s="8">
        <f>+H68</f>
        <v>1732</v>
      </c>
      <c r="J68" s="8">
        <f t="shared" si="34"/>
        <v>1732</v>
      </c>
      <c r="K68" s="8">
        <f t="shared" si="34"/>
        <v>1732</v>
      </c>
      <c r="L68" s="8">
        <f t="shared" si="34"/>
        <v>1732</v>
      </c>
      <c r="M68" s="8">
        <f t="shared" si="34"/>
        <v>1732</v>
      </c>
      <c r="N68" s="8">
        <f t="shared" si="34"/>
        <v>1732</v>
      </c>
      <c r="O68" s="8">
        <f t="shared" si="34"/>
        <v>1732</v>
      </c>
      <c r="P68" s="8">
        <f t="shared" si="34"/>
        <v>1732</v>
      </c>
      <c r="Q68" s="8">
        <f t="shared" si="34"/>
        <v>1732</v>
      </c>
      <c r="R68" s="8">
        <f t="shared" si="34"/>
        <v>1732</v>
      </c>
      <c r="S68" s="8">
        <f t="shared" si="34"/>
        <v>1732</v>
      </c>
      <c r="T68" s="8">
        <f t="shared" si="34"/>
        <v>1732</v>
      </c>
      <c r="U68" s="8">
        <f t="shared" si="34"/>
        <v>1732</v>
      </c>
      <c r="V68" s="8">
        <f t="shared" si="33"/>
        <v>1732</v>
      </c>
      <c r="W68" s="8">
        <f t="shared" si="33"/>
        <v>1732</v>
      </c>
      <c r="X68" s="8">
        <f t="shared" si="33"/>
        <v>1732</v>
      </c>
      <c r="Y68" s="8">
        <f t="shared" si="33"/>
        <v>1732</v>
      </c>
      <c r="Z68" s="8">
        <f t="shared" si="33"/>
        <v>1732</v>
      </c>
      <c r="AA68" s="8">
        <f t="shared" si="33"/>
        <v>1732</v>
      </c>
      <c r="AB68" s="8">
        <f t="shared" si="33"/>
        <v>1732</v>
      </c>
      <c r="AC68" s="8">
        <f t="shared" si="33"/>
        <v>1732</v>
      </c>
      <c r="AD68" s="8">
        <f t="shared" si="33"/>
        <v>1732</v>
      </c>
      <c r="AE68" s="8">
        <f t="shared" si="33"/>
        <v>1732</v>
      </c>
      <c r="AF68" s="8">
        <f t="shared" si="33"/>
        <v>1732</v>
      </c>
      <c r="AG68" s="8">
        <f t="shared" si="33"/>
        <v>1732</v>
      </c>
    </row>
    <row r="69" spans="1:39" hidden="1" outlineLevel="1">
      <c r="A69" t="s">
        <v>251</v>
      </c>
      <c r="I69" s="8">
        <f>+I$16</f>
        <v>1240</v>
      </c>
      <c r="J69" s="8">
        <f>+I69</f>
        <v>1240</v>
      </c>
      <c r="K69" s="8">
        <f t="shared" si="34"/>
        <v>1240</v>
      </c>
      <c r="L69" s="8">
        <f t="shared" si="34"/>
        <v>1240</v>
      </c>
      <c r="M69" s="8">
        <f t="shared" si="34"/>
        <v>1240</v>
      </c>
      <c r="N69" s="8">
        <f t="shared" si="34"/>
        <v>1240</v>
      </c>
      <c r="O69" s="8">
        <f t="shared" si="34"/>
        <v>1240</v>
      </c>
      <c r="P69" s="8">
        <f t="shared" si="34"/>
        <v>1240</v>
      </c>
      <c r="Q69" s="8">
        <f t="shared" si="34"/>
        <v>1240</v>
      </c>
      <c r="R69" s="8">
        <f t="shared" si="34"/>
        <v>1240</v>
      </c>
      <c r="S69" s="8">
        <f t="shared" si="34"/>
        <v>1240</v>
      </c>
      <c r="T69" s="8">
        <f t="shared" si="34"/>
        <v>1240</v>
      </c>
      <c r="U69" s="8">
        <f t="shared" si="34"/>
        <v>1240</v>
      </c>
      <c r="V69" s="8">
        <f t="shared" si="33"/>
        <v>1240</v>
      </c>
      <c r="W69" s="8">
        <f t="shared" si="33"/>
        <v>1240</v>
      </c>
      <c r="X69" s="8">
        <f t="shared" si="33"/>
        <v>1240</v>
      </c>
      <c r="Y69" s="8">
        <f t="shared" si="33"/>
        <v>1240</v>
      </c>
      <c r="Z69" s="8">
        <f t="shared" si="33"/>
        <v>1240</v>
      </c>
      <c r="AA69" s="8">
        <f t="shared" si="33"/>
        <v>1240</v>
      </c>
      <c r="AB69" s="8">
        <f t="shared" si="33"/>
        <v>1240</v>
      </c>
      <c r="AC69" s="8">
        <f t="shared" si="33"/>
        <v>1240</v>
      </c>
      <c r="AD69" s="8">
        <f t="shared" si="33"/>
        <v>1240</v>
      </c>
      <c r="AE69" s="8">
        <f t="shared" si="33"/>
        <v>1240</v>
      </c>
      <c r="AF69" s="8">
        <f t="shared" si="33"/>
        <v>1240</v>
      </c>
      <c r="AG69" s="8">
        <f t="shared" si="33"/>
        <v>1240</v>
      </c>
    </row>
    <row r="70" spans="1:39" hidden="1" outlineLevel="1">
      <c r="A70" t="s">
        <v>252</v>
      </c>
      <c r="J70" s="8">
        <f>+J$16</f>
        <v>3273</v>
      </c>
      <c r="K70" s="8">
        <f>+J70</f>
        <v>3273</v>
      </c>
      <c r="L70" s="8">
        <f t="shared" si="34"/>
        <v>3273</v>
      </c>
      <c r="M70" s="8">
        <f t="shared" si="34"/>
        <v>3273</v>
      </c>
      <c r="N70" s="8">
        <f t="shared" si="34"/>
        <v>3273</v>
      </c>
      <c r="O70" s="8">
        <f t="shared" si="34"/>
        <v>3273</v>
      </c>
      <c r="P70" s="8">
        <f t="shared" si="34"/>
        <v>3273</v>
      </c>
      <c r="Q70" s="8">
        <f t="shared" si="34"/>
        <v>3273</v>
      </c>
      <c r="R70" s="8">
        <f t="shared" si="34"/>
        <v>3273</v>
      </c>
      <c r="S70" s="8">
        <f t="shared" si="34"/>
        <v>3273</v>
      </c>
      <c r="T70" s="8">
        <f t="shared" si="34"/>
        <v>3273</v>
      </c>
      <c r="U70" s="8">
        <f t="shared" si="34"/>
        <v>3273</v>
      </c>
      <c r="V70" s="8">
        <f t="shared" si="33"/>
        <v>3273</v>
      </c>
      <c r="W70" s="8">
        <f t="shared" si="33"/>
        <v>3273</v>
      </c>
      <c r="X70" s="8">
        <f t="shared" si="33"/>
        <v>3273</v>
      </c>
      <c r="Y70" s="8">
        <f t="shared" si="33"/>
        <v>3273</v>
      </c>
      <c r="Z70" s="8">
        <f t="shared" si="33"/>
        <v>3273</v>
      </c>
      <c r="AA70" s="8">
        <f t="shared" si="33"/>
        <v>3273</v>
      </c>
      <c r="AB70" s="8">
        <f t="shared" si="33"/>
        <v>3273</v>
      </c>
      <c r="AC70" s="8">
        <f t="shared" si="33"/>
        <v>3273</v>
      </c>
      <c r="AD70" s="8">
        <f t="shared" si="33"/>
        <v>3273</v>
      </c>
      <c r="AE70" s="8">
        <f t="shared" si="33"/>
        <v>3273</v>
      </c>
      <c r="AF70" s="8">
        <f t="shared" si="33"/>
        <v>3273</v>
      </c>
      <c r="AG70" s="8">
        <f t="shared" si="33"/>
        <v>3273</v>
      </c>
    </row>
    <row r="71" spans="1:39" hidden="1" outlineLevel="1">
      <c r="A71" t="s">
        <v>253</v>
      </c>
      <c r="K71" s="8">
        <f>+K$16</f>
        <v>5300</v>
      </c>
      <c r="L71" s="8">
        <f>+K71</f>
        <v>5300</v>
      </c>
      <c r="M71" s="8">
        <f t="shared" si="34"/>
        <v>5300</v>
      </c>
      <c r="N71" s="8">
        <f t="shared" si="34"/>
        <v>5300</v>
      </c>
      <c r="O71" s="8">
        <f t="shared" si="34"/>
        <v>5300</v>
      </c>
      <c r="P71" s="8">
        <f t="shared" si="34"/>
        <v>5300</v>
      </c>
      <c r="Q71" s="8">
        <f t="shared" si="34"/>
        <v>5300</v>
      </c>
      <c r="R71" s="8">
        <f t="shared" si="34"/>
        <v>5300</v>
      </c>
      <c r="S71" s="8">
        <f t="shared" si="34"/>
        <v>5300</v>
      </c>
      <c r="T71" s="8">
        <f t="shared" si="34"/>
        <v>5300</v>
      </c>
      <c r="U71" s="8">
        <f t="shared" si="34"/>
        <v>5300</v>
      </c>
      <c r="V71" s="8">
        <f t="shared" si="33"/>
        <v>5300</v>
      </c>
      <c r="W71" s="8">
        <f t="shared" si="33"/>
        <v>5300</v>
      </c>
      <c r="X71" s="8">
        <f t="shared" si="33"/>
        <v>5300</v>
      </c>
      <c r="Y71" s="8">
        <f t="shared" si="33"/>
        <v>5300</v>
      </c>
      <c r="Z71" s="8">
        <f t="shared" si="33"/>
        <v>5300</v>
      </c>
      <c r="AA71" s="8">
        <f t="shared" si="33"/>
        <v>5300</v>
      </c>
      <c r="AB71" s="8">
        <f t="shared" si="33"/>
        <v>5300</v>
      </c>
      <c r="AC71" s="8">
        <f t="shared" si="33"/>
        <v>5300</v>
      </c>
      <c r="AD71" s="8">
        <f t="shared" si="33"/>
        <v>5300</v>
      </c>
      <c r="AE71" s="8">
        <f t="shared" si="33"/>
        <v>5300</v>
      </c>
      <c r="AF71" s="8">
        <f t="shared" si="33"/>
        <v>5300</v>
      </c>
      <c r="AG71" s="8">
        <f t="shared" si="33"/>
        <v>5300</v>
      </c>
    </row>
    <row r="72" spans="1:39" hidden="1" outlineLevel="1">
      <c r="A72" t="s">
        <v>254</v>
      </c>
      <c r="L72" s="8">
        <f>+L$16</f>
        <v>4533</v>
      </c>
      <c r="M72" s="8">
        <f>+L72</f>
        <v>4533</v>
      </c>
      <c r="N72" s="8">
        <f t="shared" si="34"/>
        <v>4533</v>
      </c>
      <c r="O72" s="8">
        <f t="shared" si="34"/>
        <v>4533</v>
      </c>
      <c r="P72" s="8">
        <f t="shared" si="34"/>
        <v>4533</v>
      </c>
      <c r="Q72" s="8">
        <f t="shared" si="34"/>
        <v>4533</v>
      </c>
      <c r="R72" s="8">
        <f t="shared" si="34"/>
        <v>4533</v>
      </c>
      <c r="S72" s="8">
        <f t="shared" si="34"/>
        <v>4533</v>
      </c>
      <c r="T72" s="8">
        <f t="shared" si="34"/>
        <v>4533</v>
      </c>
      <c r="U72" s="8">
        <f t="shared" si="34"/>
        <v>4533</v>
      </c>
      <c r="V72" s="8">
        <f t="shared" si="33"/>
        <v>4533</v>
      </c>
      <c r="W72" s="8">
        <f t="shared" si="33"/>
        <v>4533</v>
      </c>
      <c r="X72" s="8">
        <f t="shared" si="33"/>
        <v>4533</v>
      </c>
      <c r="Y72" s="8">
        <f t="shared" si="33"/>
        <v>4533</v>
      </c>
      <c r="Z72" s="8">
        <f t="shared" si="33"/>
        <v>4533</v>
      </c>
      <c r="AA72" s="8">
        <f t="shared" si="33"/>
        <v>4533</v>
      </c>
      <c r="AB72" s="8">
        <f t="shared" si="33"/>
        <v>4533</v>
      </c>
      <c r="AC72" s="8">
        <f t="shared" si="33"/>
        <v>4533</v>
      </c>
      <c r="AD72" s="8">
        <f t="shared" si="33"/>
        <v>4533</v>
      </c>
      <c r="AE72" s="8">
        <f t="shared" si="33"/>
        <v>4533</v>
      </c>
      <c r="AF72" s="8">
        <f t="shared" si="33"/>
        <v>4533</v>
      </c>
      <c r="AG72" s="8">
        <f t="shared" si="33"/>
        <v>4533</v>
      </c>
    </row>
    <row r="73" spans="1:39" hidden="1" outlineLevel="1">
      <c r="A73" t="s">
        <v>255</v>
      </c>
      <c r="M73" s="8">
        <f>+M$16</f>
        <v>5819</v>
      </c>
      <c r="N73" s="8">
        <f>+M73</f>
        <v>5819</v>
      </c>
      <c r="O73" s="8">
        <f t="shared" si="34"/>
        <v>5819</v>
      </c>
      <c r="P73" s="8">
        <f t="shared" si="34"/>
        <v>5819</v>
      </c>
      <c r="Q73" s="8">
        <f t="shared" si="34"/>
        <v>5819</v>
      </c>
      <c r="R73" s="8">
        <f t="shared" si="34"/>
        <v>5819</v>
      </c>
      <c r="S73" s="8">
        <f t="shared" si="34"/>
        <v>5819</v>
      </c>
      <c r="T73" s="8">
        <f t="shared" si="34"/>
        <v>5819</v>
      </c>
      <c r="U73" s="8">
        <f t="shared" si="34"/>
        <v>5819</v>
      </c>
      <c r="V73" s="8">
        <f t="shared" si="33"/>
        <v>5819</v>
      </c>
      <c r="W73" s="8">
        <f t="shared" si="33"/>
        <v>5819</v>
      </c>
      <c r="X73" s="8">
        <f t="shared" si="33"/>
        <v>5819</v>
      </c>
      <c r="Y73" s="8">
        <f t="shared" si="33"/>
        <v>5819</v>
      </c>
      <c r="Z73" s="8">
        <f t="shared" si="33"/>
        <v>5819</v>
      </c>
      <c r="AA73" s="8">
        <f t="shared" si="33"/>
        <v>5819</v>
      </c>
      <c r="AB73" s="8">
        <f t="shared" si="33"/>
        <v>5819</v>
      </c>
      <c r="AC73" s="8">
        <f t="shared" si="33"/>
        <v>5819</v>
      </c>
      <c r="AD73" s="8">
        <f t="shared" si="33"/>
        <v>5819</v>
      </c>
      <c r="AE73" s="8">
        <f t="shared" si="33"/>
        <v>5819</v>
      </c>
      <c r="AF73" s="8">
        <f t="shared" si="33"/>
        <v>5819</v>
      </c>
      <c r="AG73" s="8">
        <f t="shared" si="33"/>
        <v>5819</v>
      </c>
    </row>
    <row r="74" spans="1:39" hidden="1" outlineLevel="1">
      <c r="A74" t="s">
        <v>256</v>
      </c>
      <c r="N74" s="8">
        <f>+N$16</f>
        <v>9757</v>
      </c>
      <c r="O74" s="8">
        <f>+N74</f>
        <v>9757</v>
      </c>
      <c r="P74" s="8">
        <f t="shared" si="34"/>
        <v>9757</v>
      </c>
      <c r="Q74" s="8">
        <f t="shared" si="34"/>
        <v>9757</v>
      </c>
      <c r="R74" s="8">
        <f t="shared" si="34"/>
        <v>9757</v>
      </c>
      <c r="S74" s="8">
        <f t="shared" si="34"/>
        <v>9757</v>
      </c>
      <c r="T74" s="8">
        <f t="shared" si="34"/>
        <v>9757</v>
      </c>
      <c r="U74" s="8">
        <f t="shared" si="34"/>
        <v>9757</v>
      </c>
      <c r="V74" s="8">
        <f t="shared" si="33"/>
        <v>9757</v>
      </c>
      <c r="W74" s="8">
        <f t="shared" si="33"/>
        <v>9757</v>
      </c>
      <c r="X74" s="8">
        <f t="shared" si="33"/>
        <v>9757</v>
      </c>
      <c r="Y74" s="8">
        <f t="shared" si="33"/>
        <v>9757</v>
      </c>
      <c r="Z74" s="8">
        <f t="shared" si="33"/>
        <v>9757</v>
      </c>
      <c r="AA74" s="8">
        <f t="shared" si="33"/>
        <v>9757</v>
      </c>
      <c r="AB74" s="8">
        <f t="shared" si="33"/>
        <v>9757</v>
      </c>
      <c r="AC74" s="8">
        <f t="shared" si="33"/>
        <v>9757</v>
      </c>
      <c r="AD74" s="8">
        <f t="shared" si="33"/>
        <v>9757</v>
      </c>
      <c r="AE74" s="8">
        <f t="shared" si="33"/>
        <v>9757</v>
      </c>
      <c r="AF74" s="8">
        <f t="shared" si="33"/>
        <v>9757</v>
      </c>
      <c r="AG74" s="8">
        <f t="shared" si="33"/>
        <v>9757</v>
      </c>
    </row>
    <row r="75" spans="1:39" hidden="1" outlineLevel="1">
      <c r="A75" t="s">
        <v>257</v>
      </c>
      <c r="O75" s="8">
        <f>+O$16</f>
        <v>10770</v>
      </c>
      <c r="P75" s="8">
        <f>+O75</f>
        <v>10770</v>
      </c>
      <c r="Q75" s="8">
        <f t="shared" si="34"/>
        <v>10770</v>
      </c>
      <c r="R75" s="8">
        <f t="shared" si="34"/>
        <v>10770</v>
      </c>
      <c r="S75" s="8">
        <f t="shared" si="34"/>
        <v>10770</v>
      </c>
      <c r="T75" s="8">
        <f t="shared" si="34"/>
        <v>10770</v>
      </c>
      <c r="U75" s="8">
        <f t="shared" si="34"/>
        <v>10770</v>
      </c>
      <c r="V75" s="8">
        <f t="shared" si="33"/>
        <v>10770</v>
      </c>
      <c r="W75" s="8">
        <f t="shared" si="33"/>
        <v>10770</v>
      </c>
      <c r="X75" s="8">
        <f t="shared" si="33"/>
        <v>10770</v>
      </c>
      <c r="Y75" s="8">
        <f t="shared" si="33"/>
        <v>10770</v>
      </c>
      <c r="Z75" s="8">
        <f t="shared" si="33"/>
        <v>10770</v>
      </c>
      <c r="AA75" s="8">
        <f t="shared" si="33"/>
        <v>10770</v>
      </c>
      <c r="AB75" s="8">
        <f t="shared" si="33"/>
        <v>10770</v>
      </c>
      <c r="AC75" s="8">
        <f t="shared" si="33"/>
        <v>10770</v>
      </c>
      <c r="AD75" s="8">
        <f t="shared" si="33"/>
        <v>10770</v>
      </c>
      <c r="AE75" s="8">
        <f t="shared" si="33"/>
        <v>10770</v>
      </c>
      <c r="AF75" s="8">
        <f t="shared" si="33"/>
        <v>10770</v>
      </c>
      <c r="AG75" s="8">
        <f t="shared" si="33"/>
        <v>10770</v>
      </c>
      <c r="AH75" s="8"/>
    </row>
    <row r="76" spans="1:39" hidden="1" outlineLevel="1">
      <c r="A76" t="s">
        <v>258</v>
      </c>
      <c r="P76" s="8">
        <f>+P$16</f>
        <v>13124</v>
      </c>
      <c r="Q76" s="8">
        <f>+P76</f>
        <v>13124</v>
      </c>
      <c r="R76" s="8">
        <f t="shared" si="34"/>
        <v>13124</v>
      </c>
      <c r="S76" s="8">
        <f t="shared" si="34"/>
        <v>13124</v>
      </c>
      <c r="T76" s="8">
        <f t="shared" si="34"/>
        <v>13124</v>
      </c>
      <c r="U76" s="8">
        <f t="shared" si="34"/>
        <v>13124</v>
      </c>
      <c r="V76" s="8">
        <f t="shared" si="33"/>
        <v>13124</v>
      </c>
      <c r="W76" s="8">
        <f t="shared" si="33"/>
        <v>13124</v>
      </c>
      <c r="X76" s="8">
        <f t="shared" si="33"/>
        <v>13124</v>
      </c>
      <c r="Y76" s="8">
        <f t="shared" si="33"/>
        <v>13124</v>
      </c>
      <c r="Z76" s="8">
        <f t="shared" si="33"/>
        <v>13124</v>
      </c>
      <c r="AA76" s="8">
        <f t="shared" si="33"/>
        <v>13124</v>
      </c>
      <c r="AB76" s="8">
        <f t="shared" si="33"/>
        <v>13124</v>
      </c>
      <c r="AC76" s="8">
        <f t="shared" si="33"/>
        <v>13124</v>
      </c>
      <c r="AD76" s="8">
        <f t="shared" si="33"/>
        <v>13124</v>
      </c>
      <c r="AE76" s="8">
        <f t="shared" si="33"/>
        <v>13124</v>
      </c>
      <c r="AF76" s="8">
        <f t="shared" si="33"/>
        <v>13124</v>
      </c>
      <c r="AG76" s="8">
        <f t="shared" si="33"/>
        <v>13124</v>
      </c>
      <c r="AH76" s="8"/>
      <c r="AI76" s="8"/>
    </row>
    <row r="77" spans="1:39" hidden="1" outlineLevel="1">
      <c r="A77" t="s">
        <v>259</v>
      </c>
      <c r="Q77" s="8">
        <f>+Q$16</f>
        <v>15541</v>
      </c>
      <c r="R77" s="8">
        <f>+Q77</f>
        <v>15541</v>
      </c>
      <c r="S77" s="8">
        <f t="shared" si="33"/>
        <v>15541</v>
      </c>
      <c r="T77" s="8">
        <f t="shared" si="33"/>
        <v>15541</v>
      </c>
      <c r="U77" s="8">
        <f t="shared" si="34"/>
        <v>15541</v>
      </c>
      <c r="V77" s="8">
        <f t="shared" si="33"/>
        <v>15541</v>
      </c>
      <c r="W77" s="8">
        <f t="shared" si="33"/>
        <v>15541</v>
      </c>
      <c r="X77" s="8">
        <f t="shared" si="33"/>
        <v>15541</v>
      </c>
      <c r="Y77" s="8">
        <f t="shared" si="33"/>
        <v>15541</v>
      </c>
      <c r="Z77" s="8">
        <f t="shared" si="33"/>
        <v>15541</v>
      </c>
      <c r="AA77" s="8">
        <f t="shared" si="33"/>
        <v>15541</v>
      </c>
      <c r="AB77" s="8">
        <f t="shared" si="33"/>
        <v>15541</v>
      </c>
      <c r="AC77" s="8">
        <f t="shared" si="33"/>
        <v>15541</v>
      </c>
      <c r="AD77" s="8">
        <f t="shared" si="33"/>
        <v>15541</v>
      </c>
      <c r="AE77" s="8">
        <f t="shared" si="33"/>
        <v>15541</v>
      </c>
      <c r="AF77" s="8">
        <f t="shared" si="33"/>
        <v>15541</v>
      </c>
      <c r="AG77" s="8">
        <f t="shared" si="33"/>
        <v>15541</v>
      </c>
      <c r="AH77" s="8"/>
      <c r="AI77" s="8"/>
      <c r="AJ77" s="8"/>
    </row>
    <row r="78" spans="1:39" hidden="1" outlineLevel="1">
      <c r="A78" t="s">
        <v>260</v>
      </c>
      <c r="R78" s="8">
        <f>+R$16</f>
        <v>23718</v>
      </c>
      <c r="S78" s="8">
        <f>+R78</f>
        <v>23718</v>
      </c>
      <c r="T78" s="8">
        <f t="shared" si="33"/>
        <v>23718</v>
      </c>
      <c r="U78" s="8">
        <f t="shared" si="34"/>
        <v>23718</v>
      </c>
      <c r="V78" s="8">
        <f t="shared" si="33"/>
        <v>23718</v>
      </c>
      <c r="W78" s="8">
        <f t="shared" si="33"/>
        <v>23718</v>
      </c>
      <c r="X78" s="8">
        <f t="shared" si="33"/>
        <v>23718</v>
      </c>
      <c r="Y78" s="8">
        <f t="shared" si="33"/>
        <v>23718</v>
      </c>
      <c r="Z78" s="8">
        <f t="shared" si="33"/>
        <v>23718</v>
      </c>
      <c r="AA78" s="8">
        <f t="shared" si="33"/>
        <v>23718</v>
      </c>
      <c r="AB78" s="8">
        <f t="shared" si="33"/>
        <v>23718</v>
      </c>
      <c r="AC78" s="8">
        <f t="shared" si="33"/>
        <v>23718</v>
      </c>
      <c r="AD78" s="8">
        <f t="shared" si="33"/>
        <v>23718</v>
      </c>
      <c r="AE78" s="8">
        <f t="shared" si="33"/>
        <v>23718</v>
      </c>
      <c r="AF78" s="8">
        <f t="shared" si="33"/>
        <v>23718</v>
      </c>
      <c r="AG78" s="8">
        <f t="shared" si="33"/>
        <v>23718</v>
      </c>
      <c r="AH78" s="8"/>
      <c r="AI78" s="8"/>
      <c r="AJ78" s="8"/>
      <c r="AK78" s="8"/>
    </row>
    <row r="79" spans="1:39" hidden="1" outlineLevel="1">
      <c r="A79" t="s">
        <v>109</v>
      </c>
      <c r="S79" s="8">
        <f>+S$16</f>
        <v>22992</v>
      </c>
      <c r="T79" s="8">
        <f>+S79</f>
        <v>22992</v>
      </c>
      <c r="U79" s="8">
        <f t="shared" si="34"/>
        <v>22992</v>
      </c>
      <c r="V79" s="8">
        <f t="shared" si="33"/>
        <v>22992</v>
      </c>
      <c r="W79" s="8">
        <f t="shared" si="33"/>
        <v>22992</v>
      </c>
      <c r="X79" s="8">
        <f t="shared" si="33"/>
        <v>22992</v>
      </c>
      <c r="Y79" s="8">
        <f t="shared" si="33"/>
        <v>22992</v>
      </c>
      <c r="Z79" s="8">
        <f t="shared" si="33"/>
        <v>22992</v>
      </c>
      <c r="AA79" s="8">
        <f t="shared" si="33"/>
        <v>22992</v>
      </c>
      <c r="AB79" s="8">
        <f t="shared" si="33"/>
        <v>22992</v>
      </c>
      <c r="AC79" s="8">
        <f t="shared" si="33"/>
        <v>22992</v>
      </c>
      <c r="AD79" s="8">
        <f t="shared" si="33"/>
        <v>22992</v>
      </c>
      <c r="AE79" s="8">
        <f t="shared" si="33"/>
        <v>22992</v>
      </c>
      <c r="AF79" s="8">
        <f t="shared" si="33"/>
        <v>22992</v>
      </c>
      <c r="AG79" s="8">
        <f t="shared" si="33"/>
        <v>22992</v>
      </c>
      <c r="AH79" s="8"/>
      <c r="AI79" s="8"/>
      <c r="AJ79" s="8"/>
      <c r="AK79" s="8"/>
      <c r="AL79" s="8"/>
    </row>
    <row r="80" spans="1:39" hidden="1" outlineLevel="1">
      <c r="A80" t="s">
        <v>190</v>
      </c>
      <c r="T80" s="8">
        <f>+T$16</f>
        <v>29834</v>
      </c>
      <c r="U80" s="8">
        <f t="shared" si="34"/>
        <v>29834</v>
      </c>
      <c r="V80" s="8">
        <f t="shared" si="33"/>
        <v>29834</v>
      </c>
      <c r="W80" s="8">
        <f t="shared" si="33"/>
        <v>29834</v>
      </c>
      <c r="X80" s="8">
        <f t="shared" si="33"/>
        <v>29834</v>
      </c>
      <c r="Y80" s="8">
        <f t="shared" si="33"/>
        <v>29834</v>
      </c>
      <c r="Z80" s="8">
        <f t="shared" si="33"/>
        <v>29834</v>
      </c>
      <c r="AA80" s="8">
        <f t="shared" si="33"/>
        <v>29834</v>
      </c>
      <c r="AB80" s="8">
        <f t="shared" si="33"/>
        <v>29834</v>
      </c>
      <c r="AC80" s="8">
        <f t="shared" si="33"/>
        <v>29834</v>
      </c>
      <c r="AD80" s="8">
        <f t="shared" si="33"/>
        <v>29834</v>
      </c>
      <c r="AE80" s="8">
        <f t="shared" si="33"/>
        <v>29834</v>
      </c>
      <c r="AF80" s="8">
        <f t="shared" si="33"/>
        <v>29834</v>
      </c>
      <c r="AG80" s="8">
        <f t="shared" si="33"/>
        <v>29834</v>
      </c>
      <c r="AH80" s="8"/>
      <c r="AI80" s="8"/>
      <c r="AJ80" s="8"/>
      <c r="AK80" s="8"/>
      <c r="AL80" s="8"/>
      <c r="AM80" s="8"/>
    </row>
    <row r="81" spans="1:44" hidden="1" outlineLevel="1">
      <c r="A81" t="s">
        <v>191</v>
      </c>
      <c r="U81" s="8">
        <f>+U$16</f>
        <v>48120</v>
      </c>
      <c r="V81" s="8">
        <f>+U81</f>
        <v>48120</v>
      </c>
      <c r="W81" s="8">
        <f t="shared" si="33"/>
        <v>48120</v>
      </c>
      <c r="X81" s="8">
        <f t="shared" si="33"/>
        <v>48120</v>
      </c>
      <c r="Y81" s="8">
        <f t="shared" si="33"/>
        <v>48120</v>
      </c>
      <c r="Z81" s="8">
        <f t="shared" si="33"/>
        <v>48120</v>
      </c>
      <c r="AA81" s="8">
        <f t="shared" si="33"/>
        <v>48120</v>
      </c>
      <c r="AB81" s="8">
        <f t="shared" si="33"/>
        <v>48120</v>
      </c>
      <c r="AC81" s="8">
        <f t="shared" si="33"/>
        <v>48120</v>
      </c>
      <c r="AD81" s="8">
        <f t="shared" si="33"/>
        <v>48120</v>
      </c>
      <c r="AE81" s="8">
        <f t="shared" si="33"/>
        <v>48120</v>
      </c>
      <c r="AF81" s="8">
        <f t="shared" si="33"/>
        <v>48120</v>
      </c>
      <c r="AG81" s="8">
        <f t="shared" si="33"/>
        <v>48120</v>
      </c>
      <c r="AH81" s="8"/>
      <c r="AI81" s="8"/>
      <c r="AJ81" s="8"/>
      <c r="AK81" s="8"/>
      <c r="AL81" s="8"/>
      <c r="AM81" s="8"/>
      <c r="AN81" s="8"/>
    </row>
    <row r="82" spans="1:44" hidden="1" outlineLevel="1">
      <c r="A82" t="s">
        <v>72</v>
      </c>
      <c r="V82" s="8">
        <f>+V$16</f>
        <v>70201.795332136448</v>
      </c>
      <c r="W82" s="8">
        <f>+V82</f>
        <v>70201.795332136448</v>
      </c>
      <c r="X82" s="8">
        <f t="shared" si="33"/>
        <v>70201.795332136448</v>
      </c>
      <c r="Y82" s="8">
        <f t="shared" si="33"/>
        <v>70201.795332136448</v>
      </c>
      <c r="Z82" s="8">
        <f t="shared" si="33"/>
        <v>70201.795332136448</v>
      </c>
      <c r="AA82" s="8">
        <f t="shared" si="33"/>
        <v>70201.795332136448</v>
      </c>
      <c r="AB82" s="8">
        <f t="shared" si="33"/>
        <v>70201.795332136448</v>
      </c>
      <c r="AC82" s="8">
        <f t="shared" si="33"/>
        <v>70201.795332136448</v>
      </c>
      <c r="AD82" s="8">
        <f t="shared" si="33"/>
        <v>70201.795332136448</v>
      </c>
      <c r="AE82" s="8">
        <f t="shared" si="33"/>
        <v>70201.795332136448</v>
      </c>
      <c r="AF82" s="8">
        <f t="shared" si="33"/>
        <v>70201.795332136448</v>
      </c>
      <c r="AG82" s="8">
        <f t="shared" si="33"/>
        <v>70201.795332136448</v>
      </c>
      <c r="AH82" s="8"/>
      <c r="AI82" s="8"/>
      <c r="AJ82" s="8"/>
      <c r="AK82" s="8"/>
      <c r="AL82" s="8"/>
      <c r="AM82" s="8"/>
      <c r="AN82" s="8"/>
      <c r="AO82" s="8"/>
    </row>
    <row r="83" spans="1:44" hidden="1" outlineLevel="1">
      <c r="A83" t="s">
        <v>73</v>
      </c>
      <c r="W83" s="8">
        <f>+W$16</f>
        <v>59450.827483413377</v>
      </c>
      <c r="X83" s="8">
        <f>+W83</f>
        <v>59450.827483413377</v>
      </c>
      <c r="Y83" s="8">
        <f t="shared" si="33"/>
        <v>59450.827483413377</v>
      </c>
      <c r="Z83" s="8">
        <f t="shared" si="33"/>
        <v>59450.827483413377</v>
      </c>
      <c r="AA83" s="8">
        <f t="shared" si="33"/>
        <v>59450.827483413377</v>
      </c>
      <c r="AB83" s="8">
        <f t="shared" si="33"/>
        <v>59450.827483413377</v>
      </c>
      <c r="AC83" s="8">
        <f t="shared" si="33"/>
        <v>59450.827483413377</v>
      </c>
      <c r="AD83" s="8">
        <f t="shared" si="33"/>
        <v>59450.827483413377</v>
      </c>
      <c r="AE83" s="8">
        <f t="shared" si="33"/>
        <v>59450.827483413377</v>
      </c>
      <c r="AF83" s="8">
        <f t="shared" si="33"/>
        <v>59450.827483413377</v>
      </c>
      <c r="AG83" s="8">
        <f t="shared" si="33"/>
        <v>59450.827483413377</v>
      </c>
      <c r="AH83" s="8"/>
      <c r="AI83" s="8"/>
      <c r="AJ83" s="8"/>
      <c r="AK83" s="8"/>
      <c r="AL83" s="8"/>
      <c r="AM83" s="8"/>
      <c r="AN83" s="8"/>
      <c r="AO83" s="8"/>
      <c r="AP83" s="8"/>
    </row>
    <row r="84" spans="1:44" hidden="1" outlineLevel="1">
      <c r="A84" t="s">
        <v>74</v>
      </c>
      <c r="X84" s="8">
        <f>+X$16</f>
        <v>59093.022972720195</v>
      </c>
      <c r="Y84" s="8">
        <f>+X84</f>
        <v>59093.022972720195</v>
      </c>
      <c r="Z84" s="8">
        <f t="shared" ref="Z84:AG91" si="35">+Y84</f>
        <v>59093.022972720195</v>
      </c>
      <c r="AA84" s="8">
        <f t="shared" si="35"/>
        <v>59093.022972720195</v>
      </c>
      <c r="AB84" s="8">
        <f t="shared" si="35"/>
        <v>59093.022972720195</v>
      </c>
      <c r="AC84" s="8">
        <f t="shared" si="35"/>
        <v>59093.022972720195</v>
      </c>
      <c r="AD84" s="8">
        <f t="shared" si="35"/>
        <v>59093.022972720195</v>
      </c>
      <c r="AE84" s="8">
        <f t="shared" si="35"/>
        <v>59093.022972720195</v>
      </c>
      <c r="AF84" s="8">
        <f t="shared" si="35"/>
        <v>59093.022972720195</v>
      </c>
      <c r="AG84" s="8">
        <f t="shared" si="35"/>
        <v>59093.022972720195</v>
      </c>
      <c r="AH84" s="8"/>
      <c r="AI84" s="8"/>
      <c r="AJ84" s="8"/>
      <c r="AK84" s="8"/>
      <c r="AL84" s="8"/>
      <c r="AM84" s="8"/>
      <c r="AN84" s="8"/>
      <c r="AO84" s="8"/>
      <c r="AP84" s="8"/>
      <c r="AQ84" s="8"/>
    </row>
    <row r="85" spans="1:44" hidden="1" outlineLevel="1">
      <c r="A85" t="s">
        <v>75</v>
      </c>
      <c r="Y85" s="8">
        <f>+Y$16</f>
        <v>58071.00337775673</v>
      </c>
      <c r="Z85" s="8">
        <f>+Y85</f>
        <v>58071.00337775673</v>
      </c>
      <c r="AA85" s="8">
        <f t="shared" si="35"/>
        <v>58071.00337775673</v>
      </c>
      <c r="AB85" s="8">
        <f t="shared" si="35"/>
        <v>58071.00337775673</v>
      </c>
      <c r="AC85" s="8">
        <f t="shared" si="35"/>
        <v>58071.00337775673</v>
      </c>
      <c r="AD85" s="8">
        <f t="shared" si="35"/>
        <v>58071.00337775673</v>
      </c>
      <c r="AE85" s="8">
        <f t="shared" si="35"/>
        <v>58071.00337775673</v>
      </c>
      <c r="AF85" s="8">
        <f t="shared" si="35"/>
        <v>58071.00337775673</v>
      </c>
      <c r="AG85" s="8">
        <f t="shared" si="35"/>
        <v>58071.00337775673</v>
      </c>
      <c r="AH85" s="8"/>
      <c r="AI85" s="8"/>
      <c r="AJ85" s="8"/>
      <c r="AK85" s="8"/>
      <c r="AL85" s="8"/>
      <c r="AM85" s="8"/>
      <c r="AN85" s="8"/>
      <c r="AO85" s="8"/>
      <c r="AP85" s="8"/>
      <c r="AQ85" s="8"/>
      <c r="AR85" s="8"/>
    </row>
    <row r="86" spans="1:44" hidden="1" outlineLevel="1">
      <c r="A86" t="s">
        <v>76</v>
      </c>
      <c r="Y86" s="8"/>
      <c r="Z86" s="8">
        <f>+Z$16</f>
        <v>56294.716724354083</v>
      </c>
      <c r="AA86" s="8">
        <f>+Z86</f>
        <v>56294.716724354083</v>
      </c>
      <c r="AB86" s="8">
        <f t="shared" si="35"/>
        <v>56294.716724354083</v>
      </c>
      <c r="AC86" s="8">
        <f t="shared" si="35"/>
        <v>56294.716724354083</v>
      </c>
      <c r="AD86" s="8">
        <f t="shared" si="35"/>
        <v>56294.716724354083</v>
      </c>
      <c r="AE86" s="8">
        <f t="shared" si="35"/>
        <v>56294.716724354083</v>
      </c>
      <c r="AF86" s="8">
        <f t="shared" si="35"/>
        <v>56294.716724354083</v>
      </c>
      <c r="AG86" s="8">
        <f t="shared" si="35"/>
        <v>56294.716724354083</v>
      </c>
      <c r="AH86" s="8"/>
      <c r="AI86" s="8"/>
      <c r="AJ86" s="8"/>
      <c r="AK86" s="8"/>
      <c r="AL86" s="8"/>
      <c r="AM86" s="8"/>
      <c r="AN86" s="8"/>
      <c r="AO86" s="8"/>
      <c r="AP86" s="8"/>
      <c r="AQ86" s="8"/>
      <c r="AR86" s="8"/>
    </row>
    <row r="87" spans="1:44" hidden="1" outlineLevel="1">
      <c r="A87" t="s">
        <v>77</v>
      </c>
      <c r="Y87" s="8"/>
      <c r="Z87" s="8"/>
      <c r="AA87" s="8">
        <f>+AA$16</f>
        <v>53663.351040706941</v>
      </c>
      <c r="AB87" s="8">
        <f>+AA87</f>
        <v>53663.351040706941</v>
      </c>
      <c r="AC87" s="8">
        <f t="shared" si="35"/>
        <v>53663.351040706941</v>
      </c>
      <c r="AD87" s="8">
        <f t="shared" si="35"/>
        <v>53663.351040706941</v>
      </c>
      <c r="AE87" s="8">
        <f t="shared" si="35"/>
        <v>53663.351040706941</v>
      </c>
      <c r="AF87" s="8">
        <f t="shared" si="35"/>
        <v>53663.351040706941</v>
      </c>
      <c r="AG87" s="8">
        <f t="shared" si="35"/>
        <v>53663.351040706941</v>
      </c>
      <c r="AH87" s="8"/>
      <c r="AI87" s="8"/>
      <c r="AJ87" s="8"/>
      <c r="AK87" s="8"/>
      <c r="AL87" s="8"/>
      <c r="AM87" s="8"/>
      <c r="AN87" s="8"/>
      <c r="AO87" s="8"/>
      <c r="AP87" s="8"/>
      <c r="AQ87" s="8"/>
      <c r="AR87" s="8"/>
    </row>
    <row r="88" spans="1:44" hidden="1" outlineLevel="1">
      <c r="A88" t="s">
        <v>78</v>
      </c>
      <c r="Y88" s="8"/>
      <c r="Z88" s="8"/>
      <c r="AA88" s="8"/>
      <c r="AB88" s="8">
        <f>+AB$16</f>
        <v>54236.229575860831</v>
      </c>
      <c r="AC88" s="8">
        <f>+AB88</f>
        <v>54236.229575860831</v>
      </c>
      <c r="AD88" s="8">
        <f t="shared" si="35"/>
        <v>54236.229575860831</v>
      </c>
      <c r="AE88" s="8">
        <f t="shared" si="35"/>
        <v>54236.229575860831</v>
      </c>
      <c r="AF88" s="8">
        <f t="shared" si="35"/>
        <v>54236.229575860831</v>
      </c>
      <c r="AG88" s="8">
        <f t="shared" si="35"/>
        <v>54236.229575860831</v>
      </c>
      <c r="AH88" s="8"/>
      <c r="AI88" s="8"/>
      <c r="AJ88" s="8"/>
      <c r="AK88" s="8"/>
      <c r="AL88" s="8"/>
      <c r="AM88" s="8"/>
      <c r="AN88" s="8"/>
      <c r="AO88" s="8"/>
      <c r="AP88" s="8"/>
      <c r="AQ88" s="8"/>
      <c r="AR88" s="8"/>
    </row>
    <row r="89" spans="1:44" hidden="1" outlineLevel="1">
      <c r="A89" t="s">
        <v>79</v>
      </c>
      <c r="Y89" s="8"/>
      <c r="Z89" s="8"/>
      <c r="AA89" s="8"/>
      <c r="AB89" s="8"/>
      <c r="AC89" s="8">
        <f>+AC$16</f>
        <v>54445.786233291903</v>
      </c>
      <c r="AD89" s="8">
        <f>+AC89</f>
        <v>54445.786233291903</v>
      </c>
      <c r="AE89" s="8">
        <f t="shared" si="35"/>
        <v>54445.786233291903</v>
      </c>
      <c r="AF89" s="8">
        <f t="shared" si="35"/>
        <v>54445.786233291903</v>
      </c>
      <c r="AG89" s="8">
        <f t="shared" si="35"/>
        <v>54445.786233291903</v>
      </c>
      <c r="AH89" s="8"/>
      <c r="AI89" s="8"/>
      <c r="AJ89" s="8"/>
      <c r="AK89" s="8"/>
      <c r="AL89" s="8"/>
      <c r="AM89" s="8"/>
      <c r="AN89" s="8"/>
      <c r="AO89" s="8"/>
      <c r="AP89" s="8"/>
      <c r="AQ89" s="8"/>
      <c r="AR89" s="8"/>
    </row>
    <row r="90" spans="1:44" hidden="1" outlineLevel="1">
      <c r="A90" t="s">
        <v>80</v>
      </c>
      <c r="Y90" s="8"/>
      <c r="Z90" s="8"/>
      <c r="AA90" s="8"/>
      <c r="AB90" s="8"/>
      <c r="AC90" s="8"/>
      <c r="AD90" s="8">
        <f>+AD$16</f>
        <v>59167.346249586677</v>
      </c>
      <c r="AE90" s="8">
        <f>+AD90</f>
        <v>59167.346249586677</v>
      </c>
      <c r="AF90" s="8">
        <f t="shared" si="35"/>
        <v>59167.346249586677</v>
      </c>
      <c r="AG90" s="8">
        <f t="shared" si="35"/>
        <v>59167.346249586677</v>
      </c>
      <c r="AH90" s="8"/>
      <c r="AI90" s="8"/>
      <c r="AJ90" s="8"/>
      <c r="AK90" s="8"/>
      <c r="AL90" s="8"/>
      <c r="AM90" s="8"/>
      <c r="AN90" s="8"/>
      <c r="AO90" s="8"/>
      <c r="AP90" s="8"/>
      <c r="AQ90" s="8"/>
      <c r="AR90" s="8"/>
    </row>
    <row r="91" spans="1:44" hidden="1" outlineLevel="1">
      <c r="A91" t="s">
        <v>81</v>
      </c>
      <c r="Y91" s="8"/>
      <c r="Z91" s="8"/>
      <c r="AA91" s="8"/>
      <c r="AB91" s="8"/>
      <c r="AC91" s="8"/>
      <c r="AD91" s="8"/>
      <c r="AE91" s="8">
        <f>+AE$16</f>
        <v>64256.385947891358</v>
      </c>
      <c r="AF91" s="8">
        <f>+AE91</f>
        <v>64256.385947891358</v>
      </c>
      <c r="AG91" s="8">
        <f t="shared" si="35"/>
        <v>64256.385947891358</v>
      </c>
      <c r="AH91" s="8"/>
      <c r="AI91" s="8"/>
      <c r="AJ91" s="8"/>
      <c r="AK91" s="8"/>
      <c r="AL91" s="8"/>
      <c r="AM91" s="8"/>
      <c r="AN91" s="8"/>
      <c r="AO91" s="8"/>
      <c r="AP91" s="8"/>
      <c r="AQ91" s="8"/>
      <c r="AR91" s="8"/>
    </row>
    <row r="92" spans="1:44" hidden="1" outlineLevel="1">
      <c r="A92" t="s">
        <v>82</v>
      </c>
      <c r="Y92" s="8"/>
      <c r="Z92" s="8"/>
      <c r="AA92" s="8"/>
      <c r="AB92" s="8"/>
      <c r="AC92" s="8"/>
      <c r="AD92" s="8"/>
      <c r="AE92" s="8"/>
      <c r="AF92" s="8">
        <f>+AF$16</f>
        <v>69742.590566106956</v>
      </c>
      <c r="AG92" s="8">
        <f>+AF92</f>
        <v>69742.590566106956</v>
      </c>
      <c r="AH92" s="8"/>
      <c r="AI92" s="8"/>
      <c r="AJ92" s="8"/>
      <c r="AK92" s="8"/>
      <c r="AL92" s="8"/>
      <c r="AM92" s="8"/>
      <c r="AN92" s="8"/>
      <c r="AO92" s="8"/>
      <c r="AP92" s="8"/>
      <c r="AQ92" s="8"/>
      <c r="AR92" s="8"/>
    </row>
    <row r="93" spans="1:44" hidden="1" outlineLevel="1">
      <c r="A93" t="s">
        <v>83</v>
      </c>
      <c r="Y93" s="8"/>
      <c r="Z93" s="8"/>
      <c r="AA93" s="8"/>
      <c r="AB93" s="8"/>
      <c r="AC93" s="8"/>
      <c r="AD93" s="8"/>
      <c r="AE93" s="8"/>
      <c r="AF93" s="8"/>
      <c r="AG93" s="8">
        <f>+AG$16</f>
        <v>75658.012128993039</v>
      </c>
      <c r="AH93" s="8"/>
      <c r="AI93" s="8"/>
      <c r="AJ93" s="8"/>
      <c r="AK93" s="8"/>
      <c r="AL93" s="8"/>
      <c r="AM93" s="8"/>
      <c r="AN93" s="8"/>
      <c r="AO93" s="8"/>
      <c r="AP93" s="8"/>
      <c r="AQ93" s="8"/>
      <c r="AR93" s="8"/>
    </row>
    <row r="94" spans="1:44" hidden="1" outlineLevel="1">
      <c r="A94" t="s">
        <v>911</v>
      </c>
      <c r="Y94" s="8"/>
      <c r="Z94" s="8"/>
      <c r="AA94" s="8"/>
      <c r="AB94" s="8"/>
      <c r="AC94" s="8"/>
      <c r="AD94" s="8"/>
      <c r="AE94" s="8"/>
      <c r="AF94" s="8"/>
      <c r="AG94" s="8"/>
      <c r="AH94" s="8"/>
      <c r="AI94" s="8"/>
      <c r="AJ94" s="8"/>
      <c r="AK94" s="8"/>
      <c r="AL94" s="8"/>
      <c r="AM94" s="8"/>
      <c r="AN94" s="8"/>
      <c r="AO94" s="8"/>
      <c r="AP94" s="8"/>
      <c r="AQ94" s="8"/>
      <c r="AR94" s="8"/>
    </row>
    <row r="95" spans="1:44" hidden="1" outlineLevel="1"/>
    <row r="96" spans="1:44" ht="10.5" hidden="1" outlineLevel="1">
      <c r="A96" s="45" t="s">
        <v>924</v>
      </c>
    </row>
    <row r="97" spans="1:38" hidden="1" outlineLevel="1">
      <c r="A97" t="str">
        <f>+A64</f>
        <v>FY07 and prior</v>
      </c>
      <c r="D97" s="8">
        <f>+SUM($C19:D19)</f>
        <v>1248.8</v>
      </c>
      <c r="E97" s="8">
        <f>+SUM($C19:E19)</f>
        <v>2497.6</v>
      </c>
      <c r="F97" s="8">
        <f>+SUM($C19:F19)</f>
        <v>3746.3999999999996</v>
      </c>
      <c r="G97" s="8">
        <f>+SUM($C19:G19)</f>
        <v>4995.2</v>
      </c>
      <c r="H97" s="8">
        <f>+SUM($C19:H19)</f>
        <v>6244</v>
      </c>
      <c r="I97" s="8">
        <f>+SUM($C19:I19)</f>
        <v>7492.8</v>
      </c>
      <c r="J97" s="8">
        <f>+SUM($C19:J19)</f>
        <v>8741.6</v>
      </c>
      <c r="K97" s="8">
        <f>+SUM($C19:K19)</f>
        <v>9366</v>
      </c>
      <c r="L97" s="8">
        <f>+SUM($C19:L19)</f>
        <v>9366</v>
      </c>
      <c r="M97" s="8">
        <f>+SUM($C19:M19)</f>
        <v>9366</v>
      </c>
      <c r="N97" s="8">
        <f>+SUM($C19:N19)</f>
        <v>9366</v>
      </c>
      <c r="O97" s="8">
        <f>+SUM($C19:O19)</f>
        <v>9366</v>
      </c>
      <c r="P97" s="8">
        <f>+SUM($C19:P19)</f>
        <v>9366</v>
      </c>
      <c r="Q97" s="8">
        <f>+SUM($C19:Q19)</f>
        <v>9366</v>
      </c>
      <c r="R97" s="8">
        <f>+SUM($C19:R19)</f>
        <v>9366</v>
      </c>
      <c r="S97" s="8">
        <f>+SUM($C19:S19)</f>
        <v>9366</v>
      </c>
      <c r="T97" s="8">
        <f>+SUM($C19:T19)</f>
        <v>9366</v>
      </c>
      <c r="U97" s="8">
        <f>+SUM($C19:U19)</f>
        <v>9366</v>
      </c>
      <c r="V97" s="8">
        <f>+SUM($C19:V19)</f>
        <v>9366</v>
      </c>
      <c r="W97" s="8">
        <f>+SUM($C19:W19)</f>
        <v>9366</v>
      </c>
      <c r="X97" s="8">
        <f>+SUM($C19:X19)</f>
        <v>9366</v>
      </c>
      <c r="Y97" s="8">
        <f>+SUM($C19:Y19)</f>
        <v>9366</v>
      </c>
      <c r="Z97" s="8">
        <f>+SUM($C19:Z19)</f>
        <v>9366</v>
      </c>
      <c r="AA97" s="8">
        <f>+SUM($C19:AA19)</f>
        <v>9366</v>
      </c>
      <c r="AB97" s="8">
        <f>+SUM($C19:AB19)</f>
        <v>9366</v>
      </c>
      <c r="AC97" s="8">
        <f>+SUM($C19:AC19)</f>
        <v>9366</v>
      </c>
      <c r="AD97" s="8">
        <f>+SUM($C19:AD19)</f>
        <v>9366</v>
      </c>
      <c r="AE97" s="8">
        <f>+SUM($C19:AE19)</f>
        <v>9366</v>
      </c>
      <c r="AF97" s="8">
        <f>+SUM($C19:AF19)</f>
        <v>9366</v>
      </c>
      <c r="AG97" s="8">
        <f>+SUM($C19:AG19)</f>
        <v>9366</v>
      </c>
    </row>
    <row r="98" spans="1:38" hidden="1" outlineLevel="1">
      <c r="A98" t="s">
        <v>247</v>
      </c>
      <c r="E98" s="8">
        <f>+SUM($C20:E20)</f>
        <v>423.73333333333335</v>
      </c>
      <c r="F98" s="8">
        <f>+SUM($C20:F20)</f>
        <v>847.4666666666667</v>
      </c>
      <c r="G98" s="8">
        <f>+SUM($C20:G20)</f>
        <v>1271.2</v>
      </c>
      <c r="H98" s="8">
        <f>+SUM($C20:H20)</f>
        <v>1694.9333333333334</v>
      </c>
      <c r="I98" s="8">
        <f>+SUM($C20:I20)</f>
        <v>2118.666666666667</v>
      </c>
      <c r="J98" s="8">
        <f>+SUM($C20:J20)</f>
        <v>2542.4000000000005</v>
      </c>
      <c r="K98" s="8">
        <f>+SUM($C20:K20)</f>
        <v>2966.1333333333341</v>
      </c>
      <c r="L98" s="8">
        <f>+SUM($C20:L20)</f>
        <v>3178</v>
      </c>
      <c r="M98" s="8">
        <f>+SUM($C20:M20)</f>
        <v>3178</v>
      </c>
      <c r="N98" s="8">
        <f>+SUM($C20:N20)</f>
        <v>3178</v>
      </c>
      <c r="O98" s="8">
        <f>+SUM($C20:O20)</f>
        <v>3178</v>
      </c>
      <c r="P98" s="8">
        <f>+SUM($C20:P20)</f>
        <v>3178</v>
      </c>
      <c r="Q98" s="8">
        <f>+SUM($C20:Q20)</f>
        <v>3178</v>
      </c>
      <c r="R98" s="8">
        <f>+SUM($C20:R20)</f>
        <v>3178</v>
      </c>
      <c r="S98" s="8">
        <f>+SUM($C20:S20)</f>
        <v>3178</v>
      </c>
      <c r="T98" s="8">
        <f>+SUM($C20:T20)</f>
        <v>3178</v>
      </c>
      <c r="U98" s="8">
        <f>+SUM($C20:U20)</f>
        <v>3178</v>
      </c>
      <c r="V98" s="8">
        <f>+SUM($C20:V20)</f>
        <v>3178</v>
      </c>
      <c r="W98" s="8">
        <f>+SUM($C20:W20)</f>
        <v>3178</v>
      </c>
      <c r="X98" s="8">
        <f>+SUM($C20:X20)</f>
        <v>3178</v>
      </c>
      <c r="Y98" s="8">
        <f>+SUM($C20:Y20)</f>
        <v>3178</v>
      </c>
      <c r="Z98" s="8">
        <f>+SUM($C20:Z20)</f>
        <v>3178</v>
      </c>
      <c r="AA98" s="8">
        <f>+SUM($C20:AA20)</f>
        <v>3178</v>
      </c>
      <c r="AB98" s="8">
        <f>+SUM($C20:AB20)</f>
        <v>3178</v>
      </c>
      <c r="AC98" s="8">
        <f>+SUM($C20:AC20)</f>
        <v>3178</v>
      </c>
      <c r="AD98" s="8">
        <f>+SUM($C20:AD20)</f>
        <v>3178</v>
      </c>
      <c r="AE98" s="8">
        <f>+SUM($C20:AE20)</f>
        <v>3178</v>
      </c>
      <c r="AF98" s="8">
        <f>+SUM($C20:AF20)</f>
        <v>3178</v>
      </c>
      <c r="AG98" s="8">
        <f>+SUM($C20:AG20)</f>
        <v>3178</v>
      </c>
    </row>
    <row r="99" spans="1:38" hidden="1" outlineLevel="1">
      <c r="A99" t="s">
        <v>248</v>
      </c>
      <c r="F99" s="8">
        <f>+SUM($C21:F21)</f>
        <v>338.4</v>
      </c>
      <c r="G99" s="8">
        <f>+SUM($C21:G21)</f>
        <v>676.8</v>
      </c>
      <c r="H99" s="8">
        <f>+SUM($C21:H21)</f>
        <v>1015.1999999999999</v>
      </c>
      <c r="I99" s="8">
        <f>+SUM($C21:I21)</f>
        <v>1353.6</v>
      </c>
      <c r="J99" s="8">
        <f>+SUM($C21:J21)</f>
        <v>1692</v>
      </c>
      <c r="K99" s="8">
        <f>+SUM($C21:K21)</f>
        <v>2030.4</v>
      </c>
      <c r="L99" s="8">
        <f>+SUM($C21:L21)</f>
        <v>2368.8000000000002</v>
      </c>
      <c r="M99" s="8">
        <f>+SUM($C21:M21)</f>
        <v>2538</v>
      </c>
      <c r="N99" s="8">
        <f>+SUM($C21:N21)</f>
        <v>2538</v>
      </c>
      <c r="O99" s="8">
        <f>+SUM($C21:O21)</f>
        <v>2538</v>
      </c>
      <c r="P99" s="8">
        <f>+SUM($C21:P21)</f>
        <v>2538</v>
      </c>
      <c r="Q99" s="8">
        <f>+SUM($C21:Q21)</f>
        <v>2538</v>
      </c>
      <c r="R99" s="8">
        <f>+SUM($C21:R21)</f>
        <v>2538</v>
      </c>
      <c r="S99" s="8">
        <f>+SUM($C21:S21)</f>
        <v>2538</v>
      </c>
      <c r="T99" s="8">
        <f>+SUM($C21:T21)</f>
        <v>2538</v>
      </c>
      <c r="U99" s="8">
        <f>+SUM($C21:U21)</f>
        <v>2538</v>
      </c>
      <c r="V99" s="8">
        <f>+SUM($C21:V21)</f>
        <v>2538</v>
      </c>
      <c r="W99" s="8">
        <f>+SUM($C21:W21)</f>
        <v>2538</v>
      </c>
      <c r="X99" s="8">
        <f>+SUM($C21:X21)</f>
        <v>2538</v>
      </c>
      <c r="Y99" s="8">
        <f>+SUM($C21:Y21)</f>
        <v>2538</v>
      </c>
      <c r="Z99" s="8">
        <f>+SUM($C21:Z21)</f>
        <v>2538</v>
      </c>
      <c r="AA99" s="8">
        <f>+SUM($C21:AA21)</f>
        <v>2538</v>
      </c>
      <c r="AB99" s="8">
        <f>+SUM($C21:AB21)</f>
        <v>2538</v>
      </c>
      <c r="AC99" s="8">
        <f>+SUM($C21:AC21)</f>
        <v>2538</v>
      </c>
      <c r="AD99" s="8">
        <f>+SUM($C21:AD21)</f>
        <v>2538</v>
      </c>
      <c r="AE99" s="8">
        <f>+SUM($C21:AE21)</f>
        <v>2538</v>
      </c>
      <c r="AF99" s="8">
        <f>+SUM($C21:AF21)</f>
        <v>2538</v>
      </c>
      <c r="AG99" s="8">
        <f>+SUM($C21:AG21)</f>
        <v>2538</v>
      </c>
    </row>
    <row r="100" spans="1:38" hidden="1" outlineLevel="1">
      <c r="A100" t="s">
        <v>249</v>
      </c>
      <c r="G100" s="8">
        <f>+SUM($C22:G22)</f>
        <v>156.93333333333334</v>
      </c>
      <c r="H100" s="8">
        <f>+SUM($C22:H22)</f>
        <v>313.86666666666667</v>
      </c>
      <c r="I100" s="8">
        <f>+SUM($C22:I22)</f>
        <v>470.8</v>
      </c>
      <c r="J100" s="8">
        <f>+SUM($C22:J22)</f>
        <v>627.73333333333335</v>
      </c>
      <c r="K100" s="8">
        <f>+SUM($C22:K22)</f>
        <v>784.66666666666674</v>
      </c>
      <c r="L100" s="8">
        <f>+SUM($C22:L22)</f>
        <v>941.60000000000014</v>
      </c>
      <c r="M100" s="8">
        <f>+SUM($C22:M22)</f>
        <v>1098.5333333333335</v>
      </c>
      <c r="N100" s="8">
        <f>+SUM($C22:N22)</f>
        <v>1177</v>
      </c>
      <c r="O100" s="8">
        <f>+SUM($C22:O22)</f>
        <v>1177</v>
      </c>
      <c r="P100" s="8">
        <f>+SUM($C22:P22)</f>
        <v>1177</v>
      </c>
      <c r="Q100" s="8">
        <f>+SUM($C22:Q22)</f>
        <v>1177</v>
      </c>
      <c r="R100" s="8">
        <f>+SUM($C22:R22)</f>
        <v>1177</v>
      </c>
      <c r="S100" s="8">
        <f>+SUM($C22:S22)</f>
        <v>1177</v>
      </c>
      <c r="T100" s="8">
        <f>+SUM($C22:T22)</f>
        <v>1177</v>
      </c>
      <c r="U100" s="8">
        <f>+SUM($C22:U22)</f>
        <v>1177</v>
      </c>
      <c r="V100" s="8">
        <f>+SUM($C22:V22)</f>
        <v>1177</v>
      </c>
      <c r="W100" s="8">
        <f>+SUM($C22:W22)</f>
        <v>1177</v>
      </c>
      <c r="X100" s="8">
        <f>+SUM($C22:X22)</f>
        <v>1177</v>
      </c>
      <c r="Y100" s="8">
        <f>+SUM($C22:Y22)</f>
        <v>1177</v>
      </c>
      <c r="Z100" s="8">
        <f>+SUM($C22:Z22)</f>
        <v>1177</v>
      </c>
      <c r="AA100" s="8">
        <f>+SUM($C22:AA22)</f>
        <v>1177</v>
      </c>
      <c r="AB100" s="8">
        <f>+SUM($C22:AB22)</f>
        <v>1177</v>
      </c>
      <c r="AC100" s="8">
        <f>+SUM($C22:AC22)</f>
        <v>1177</v>
      </c>
      <c r="AD100" s="8">
        <f>+SUM($C22:AD22)</f>
        <v>1177</v>
      </c>
      <c r="AE100" s="8">
        <f>+SUM($C22:AE22)</f>
        <v>1177</v>
      </c>
      <c r="AF100" s="8">
        <f>+SUM($C22:AF22)</f>
        <v>1177</v>
      </c>
      <c r="AG100" s="8">
        <f>+SUM($C22:AG22)</f>
        <v>1177</v>
      </c>
    </row>
    <row r="101" spans="1:38" hidden="1" outlineLevel="1">
      <c r="A101" t="s">
        <v>250</v>
      </c>
      <c r="H101" s="8">
        <f>+SUM($C23:H23)</f>
        <v>230.93333333333334</v>
      </c>
      <c r="I101" s="8">
        <f>+SUM($C23:I23)</f>
        <v>461.86666666666667</v>
      </c>
      <c r="J101" s="8">
        <f>+SUM($C23:J23)</f>
        <v>692.8</v>
      </c>
      <c r="K101" s="8">
        <f>+SUM($C23:K23)</f>
        <v>923.73333333333335</v>
      </c>
      <c r="L101" s="8">
        <f>+SUM($C23:L23)</f>
        <v>1154.6666666666667</v>
      </c>
      <c r="M101" s="8">
        <f>+SUM($C23:M23)</f>
        <v>1385.6000000000001</v>
      </c>
      <c r="N101" s="8">
        <f>+SUM($C23:N23)</f>
        <v>1616.5333333333335</v>
      </c>
      <c r="O101" s="8">
        <f>+SUM($C23:O23)</f>
        <v>1732</v>
      </c>
      <c r="P101" s="8">
        <f>+SUM($C23:P23)</f>
        <v>1732</v>
      </c>
      <c r="Q101" s="8">
        <f>+SUM($C23:Q23)</f>
        <v>1732</v>
      </c>
      <c r="R101" s="8">
        <f>+SUM($C23:R23)</f>
        <v>1732</v>
      </c>
      <c r="S101" s="8">
        <f>+SUM($C23:S23)</f>
        <v>1732</v>
      </c>
      <c r="T101" s="8">
        <f>+SUM($C23:T23)</f>
        <v>1732</v>
      </c>
      <c r="U101" s="8">
        <f>+SUM($C23:U23)</f>
        <v>1732</v>
      </c>
      <c r="V101" s="8">
        <f>+SUM($C23:V23)</f>
        <v>1732</v>
      </c>
      <c r="W101" s="8">
        <f>+SUM($C23:W23)</f>
        <v>1732</v>
      </c>
      <c r="X101" s="8">
        <f>+SUM($C23:X23)</f>
        <v>1732</v>
      </c>
      <c r="Y101" s="8">
        <f>+SUM($C23:Y23)</f>
        <v>1732</v>
      </c>
      <c r="Z101" s="8">
        <f>+SUM($C23:Z23)</f>
        <v>1732</v>
      </c>
      <c r="AA101" s="8">
        <f>+SUM($C23:AA23)</f>
        <v>1732</v>
      </c>
      <c r="AB101" s="8">
        <f>+SUM($C23:AB23)</f>
        <v>1732</v>
      </c>
      <c r="AC101" s="8">
        <f>+SUM($C23:AC23)</f>
        <v>1732</v>
      </c>
      <c r="AD101" s="8">
        <f>+SUM($C23:AD23)</f>
        <v>1732</v>
      </c>
      <c r="AE101" s="8">
        <f>+SUM($C23:AE23)</f>
        <v>1732</v>
      </c>
      <c r="AF101" s="8">
        <f>+SUM($C23:AF23)</f>
        <v>1732</v>
      </c>
      <c r="AG101" s="8">
        <f>+SUM($C23:AG23)</f>
        <v>1732</v>
      </c>
    </row>
    <row r="102" spans="1:38" hidden="1" outlineLevel="1">
      <c r="A102" t="s">
        <v>251</v>
      </c>
      <c r="I102" s="8">
        <f>+SUM($C24:I24)</f>
        <v>165.33333333333334</v>
      </c>
      <c r="J102" s="8">
        <f>+SUM($C24:J24)</f>
        <v>330.66666666666669</v>
      </c>
      <c r="K102" s="8">
        <f>+SUM($C24:K24)</f>
        <v>496</v>
      </c>
      <c r="L102" s="8">
        <f>+SUM($C24:L24)</f>
        <v>661.33333333333337</v>
      </c>
      <c r="M102" s="8">
        <f>+SUM($C24:M24)</f>
        <v>826.66666666666674</v>
      </c>
      <c r="N102" s="8">
        <f>+SUM($C24:N24)</f>
        <v>992.00000000000011</v>
      </c>
      <c r="O102" s="8">
        <f>+SUM($C24:O24)</f>
        <v>1157.3333333333335</v>
      </c>
      <c r="P102" s="8">
        <f>+SUM($C24:P24)</f>
        <v>1240</v>
      </c>
      <c r="Q102" s="8">
        <f>+SUM($C24:Q24)</f>
        <v>1240</v>
      </c>
      <c r="R102" s="8">
        <f>+SUM($C24:R24)</f>
        <v>1240</v>
      </c>
      <c r="S102" s="8">
        <f>+SUM($C24:S24)</f>
        <v>1240</v>
      </c>
      <c r="T102" s="8">
        <f>+SUM($C24:T24)</f>
        <v>1240</v>
      </c>
      <c r="U102" s="8">
        <f>+SUM($C24:U24)</f>
        <v>1240</v>
      </c>
      <c r="V102" s="8">
        <f>+SUM($C24:V24)</f>
        <v>1240</v>
      </c>
      <c r="W102" s="8">
        <f>+SUM($C24:W24)</f>
        <v>1240</v>
      </c>
      <c r="X102" s="8">
        <f>+SUM($C24:X24)</f>
        <v>1240</v>
      </c>
      <c r="Y102" s="8">
        <f>+SUM($C24:Y24)</f>
        <v>1240</v>
      </c>
      <c r="Z102" s="8">
        <f>+SUM($C24:Z24)</f>
        <v>1240</v>
      </c>
      <c r="AA102" s="8">
        <f>+SUM($C24:AA24)</f>
        <v>1240</v>
      </c>
      <c r="AB102" s="8">
        <f>+SUM($C24:AB24)</f>
        <v>1240</v>
      </c>
      <c r="AC102" s="8">
        <f>+SUM($C24:AC24)</f>
        <v>1240</v>
      </c>
      <c r="AD102" s="8">
        <f>+SUM($C24:AD24)</f>
        <v>1240</v>
      </c>
      <c r="AE102" s="8">
        <f>+SUM($C24:AE24)</f>
        <v>1240</v>
      </c>
      <c r="AF102" s="8">
        <f>+SUM($C24:AF24)</f>
        <v>1240</v>
      </c>
      <c r="AG102" s="8">
        <f>+SUM($C24:AG24)</f>
        <v>1240</v>
      </c>
    </row>
    <row r="103" spans="1:38" hidden="1" outlineLevel="1">
      <c r="A103" t="s">
        <v>252</v>
      </c>
      <c r="J103" s="8">
        <f>+SUM($C25:J25)</f>
        <v>436.4</v>
      </c>
      <c r="K103" s="8">
        <f>+SUM($C25:K25)</f>
        <v>872.8</v>
      </c>
      <c r="L103" s="8">
        <f>+SUM($C25:L25)</f>
        <v>1309.1999999999998</v>
      </c>
      <c r="M103" s="8">
        <f>+SUM($C25:M25)</f>
        <v>1745.6</v>
      </c>
      <c r="N103" s="8">
        <f>+SUM($C25:N25)</f>
        <v>2182</v>
      </c>
      <c r="O103" s="8">
        <f>+SUM($C25:O25)</f>
        <v>2618.4</v>
      </c>
      <c r="P103" s="8">
        <f>+SUM($C25:P25)</f>
        <v>3054.8</v>
      </c>
      <c r="Q103" s="8">
        <f>+SUM($C25:Q25)</f>
        <v>3273</v>
      </c>
      <c r="R103" s="8">
        <f>+SUM($C25:R25)</f>
        <v>3273</v>
      </c>
      <c r="S103" s="8">
        <f>+SUM($C25:S25)</f>
        <v>3273</v>
      </c>
      <c r="T103" s="8">
        <f>+SUM($C25:T25)</f>
        <v>3273</v>
      </c>
      <c r="U103" s="8">
        <f>+SUM($C25:U25)</f>
        <v>3273</v>
      </c>
      <c r="V103" s="8">
        <f>+SUM($C25:V25)</f>
        <v>3273</v>
      </c>
      <c r="W103" s="8">
        <f>+SUM($C25:W25)</f>
        <v>3273</v>
      </c>
      <c r="X103" s="8">
        <f>+SUM($C25:X25)</f>
        <v>3273</v>
      </c>
      <c r="Y103" s="8">
        <f>+SUM($C25:Y25)</f>
        <v>3273</v>
      </c>
      <c r="Z103" s="8">
        <f>+SUM($C25:Z25)</f>
        <v>3273</v>
      </c>
      <c r="AA103" s="8">
        <f>+SUM($C25:AA25)</f>
        <v>3273</v>
      </c>
      <c r="AB103" s="8">
        <f>+SUM($C25:AB25)</f>
        <v>3273</v>
      </c>
      <c r="AC103" s="8">
        <f>+SUM($C25:AC25)</f>
        <v>3273</v>
      </c>
      <c r="AD103" s="8">
        <f>+SUM($C25:AD25)</f>
        <v>3273</v>
      </c>
      <c r="AE103" s="8">
        <f>+SUM($C25:AE25)</f>
        <v>3273</v>
      </c>
      <c r="AF103" s="8">
        <f>+SUM($C25:AF25)</f>
        <v>3273</v>
      </c>
      <c r="AG103" s="8">
        <f>+SUM($C25:AG25)</f>
        <v>3273</v>
      </c>
    </row>
    <row r="104" spans="1:38" hidden="1" outlineLevel="1">
      <c r="A104" t="s">
        <v>253</v>
      </c>
      <c r="K104" s="8">
        <f>+SUM($C26:K26)</f>
        <v>706.66666666666663</v>
      </c>
      <c r="L104" s="8">
        <f>+SUM($C26:L26)</f>
        <v>1413.3333333333333</v>
      </c>
      <c r="M104" s="8">
        <f>+SUM($C26:M26)</f>
        <v>2120</v>
      </c>
      <c r="N104" s="8">
        <f>+SUM($C26:N26)</f>
        <v>2826.6666666666665</v>
      </c>
      <c r="O104" s="8">
        <f>+SUM($C26:O26)</f>
        <v>3533.333333333333</v>
      </c>
      <c r="P104" s="8">
        <f>+SUM($C26:P26)</f>
        <v>4240</v>
      </c>
      <c r="Q104" s="8">
        <f>+SUM($C26:Q26)</f>
        <v>4946.666666666667</v>
      </c>
      <c r="R104" s="8">
        <f>+SUM($C26:R26)</f>
        <v>5300</v>
      </c>
      <c r="S104" s="8">
        <f>+SUM($C26:S26)</f>
        <v>5300</v>
      </c>
      <c r="T104" s="8">
        <f>+SUM($C26:T26)</f>
        <v>5300</v>
      </c>
      <c r="U104" s="8">
        <f>+SUM($C26:U26)</f>
        <v>5300</v>
      </c>
      <c r="V104" s="8">
        <f>+SUM($C26:V26)</f>
        <v>5300</v>
      </c>
      <c r="W104" s="8">
        <f>+SUM($C26:W26)</f>
        <v>5300</v>
      </c>
      <c r="X104" s="8">
        <f>+SUM($C26:X26)</f>
        <v>5300</v>
      </c>
      <c r="Y104" s="8">
        <f>+SUM($C26:Y26)</f>
        <v>5300</v>
      </c>
      <c r="Z104" s="8">
        <f>+SUM($C26:Z26)</f>
        <v>5300</v>
      </c>
      <c r="AA104" s="8">
        <f>+SUM($C26:AA26)</f>
        <v>5300</v>
      </c>
      <c r="AB104" s="8">
        <f>+SUM($C26:AB26)</f>
        <v>5300</v>
      </c>
      <c r="AC104" s="8">
        <f>+SUM($C26:AC26)</f>
        <v>5300</v>
      </c>
      <c r="AD104" s="8">
        <f>+SUM($C26:AD26)</f>
        <v>5300</v>
      </c>
      <c r="AE104" s="8">
        <f>+SUM($C26:AE26)</f>
        <v>5300</v>
      </c>
      <c r="AF104" s="8">
        <f>+SUM($C26:AF26)</f>
        <v>5300</v>
      </c>
      <c r="AG104" s="8">
        <f>+SUM($C26:AG26)</f>
        <v>5300</v>
      </c>
    </row>
    <row r="105" spans="1:38" hidden="1" outlineLevel="1">
      <c r="A105" t="s">
        <v>254</v>
      </c>
      <c r="L105" s="8">
        <f>+SUM($C27:L27)</f>
        <v>604.4</v>
      </c>
      <c r="M105" s="8">
        <f>+SUM($C27:M27)</f>
        <v>1208.8</v>
      </c>
      <c r="N105" s="8">
        <f>+SUM($C27:N27)</f>
        <v>1813.1999999999998</v>
      </c>
      <c r="O105" s="8">
        <f>+SUM($C27:O27)</f>
        <v>2417.6</v>
      </c>
      <c r="P105" s="8">
        <f>+SUM($C27:P27)</f>
        <v>3022</v>
      </c>
      <c r="Q105" s="8">
        <f>+SUM($C27:Q27)</f>
        <v>3626.4</v>
      </c>
      <c r="R105" s="8">
        <f>+SUM($C27:R27)</f>
        <v>4130.0666666666666</v>
      </c>
      <c r="S105" s="8">
        <f>+SUM($C27:S27)</f>
        <v>4533</v>
      </c>
      <c r="T105" s="8">
        <f>+SUM($C27:T27)</f>
        <v>4533</v>
      </c>
      <c r="U105" s="8">
        <f>+SUM($C27:U27)</f>
        <v>4533</v>
      </c>
      <c r="V105" s="8">
        <f>+SUM($C27:V27)</f>
        <v>4533</v>
      </c>
      <c r="W105" s="8">
        <f>+SUM($C27:W27)</f>
        <v>4533</v>
      </c>
      <c r="X105" s="8">
        <f>+SUM($C27:X27)</f>
        <v>4533</v>
      </c>
      <c r="Y105" s="8">
        <f>+SUM($C27:Y27)</f>
        <v>4533</v>
      </c>
      <c r="Z105" s="8">
        <f>+SUM($C27:Z27)</f>
        <v>4533</v>
      </c>
      <c r="AA105" s="8">
        <f>+SUM($C27:AA27)</f>
        <v>4533</v>
      </c>
      <c r="AB105" s="8">
        <f>+SUM($C27:AB27)</f>
        <v>4533</v>
      </c>
      <c r="AC105" s="8">
        <f>+SUM($C27:AC27)</f>
        <v>4533</v>
      </c>
      <c r="AD105" s="8">
        <f>+SUM($C27:AD27)</f>
        <v>4533</v>
      </c>
      <c r="AE105" s="8">
        <f>+SUM($C27:AE27)</f>
        <v>4533</v>
      </c>
      <c r="AF105" s="8">
        <f>+SUM($C27:AF27)</f>
        <v>4533</v>
      </c>
      <c r="AG105" s="8">
        <f>+SUM($C27:AG27)</f>
        <v>4533</v>
      </c>
    </row>
    <row r="106" spans="1:38" hidden="1" outlineLevel="1">
      <c r="A106" t="s">
        <v>255</v>
      </c>
      <c r="M106" s="8">
        <f>+SUM($C28:M28)</f>
        <v>775.86666666666667</v>
      </c>
      <c r="N106" s="8">
        <f>+SUM($C28:N28)</f>
        <v>1551.7333333333333</v>
      </c>
      <c r="O106" s="8">
        <f>+SUM($C28:O28)</f>
        <v>2327.6</v>
      </c>
      <c r="P106" s="8">
        <f>+SUM($C28:P28)</f>
        <v>3103.4666666666667</v>
      </c>
      <c r="Q106" s="8">
        <f>+SUM($C28:Q28)</f>
        <v>3879.3333333333335</v>
      </c>
      <c r="R106" s="8">
        <f>+SUM($C28:R28)</f>
        <v>4525.8888888888887</v>
      </c>
      <c r="S106" s="8">
        <f>+SUM($C28:S28)</f>
        <v>5172.4444444444443</v>
      </c>
      <c r="T106" s="8">
        <f>+SUM($C28:T28)</f>
        <v>5701.4444444444443</v>
      </c>
      <c r="U106" s="8">
        <f>+SUM($C28:U28)</f>
        <v>5819</v>
      </c>
      <c r="V106" s="8">
        <f>+SUM($C28:V28)</f>
        <v>5819</v>
      </c>
      <c r="W106" s="8">
        <f>+SUM($C28:W28)</f>
        <v>5819</v>
      </c>
      <c r="X106" s="8">
        <f>+SUM($C28:X28)</f>
        <v>5819</v>
      </c>
      <c r="Y106" s="8">
        <f>+SUM($C28:Y28)</f>
        <v>5819</v>
      </c>
      <c r="Z106" s="8">
        <f>+SUM($C28:Z28)</f>
        <v>5819</v>
      </c>
      <c r="AA106" s="8">
        <f>+SUM($C28:AA28)</f>
        <v>5819</v>
      </c>
      <c r="AB106" s="8">
        <f>+SUM($C28:AB28)</f>
        <v>5819</v>
      </c>
      <c r="AC106" s="8">
        <f>+SUM($C28:AC28)</f>
        <v>5819</v>
      </c>
      <c r="AD106" s="8">
        <f>+SUM($C28:AD28)</f>
        <v>5819</v>
      </c>
      <c r="AE106" s="8">
        <f>+SUM($C28:AE28)</f>
        <v>5819</v>
      </c>
      <c r="AF106" s="8">
        <f>+SUM($C28:AF28)</f>
        <v>5819</v>
      </c>
      <c r="AG106" s="8">
        <f>+SUM($C28:AG28)</f>
        <v>5819</v>
      </c>
    </row>
    <row r="107" spans="1:38" hidden="1" outlineLevel="1">
      <c r="A107" t="s">
        <v>256</v>
      </c>
      <c r="N107" s="8">
        <f>+SUM($C29:N29)</f>
        <v>1300.9333333333334</v>
      </c>
      <c r="O107" s="8">
        <f>+SUM($C29:O29)</f>
        <v>2601.8666666666668</v>
      </c>
      <c r="P107" s="8">
        <f>+SUM($C29:P29)</f>
        <v>3902.8</v>
      </c>
      <c r="Q107" s="8">
        <f>+SUM($C29:Q29)</f>
        <v>5203.7333333333336</v>
      </c>
      <c r="R107" s="8">
        <f>+SUM($C29:R29)</f>
        <v>6287.8444444444449</v>
      </c>
      <c r="S107" s="8">
        <f>+SUM($C29:S29)</f>
        <v>7371.9555555555562</v>
      </c>
      <c r="T107" s="8">
        <f>+SUM($C29:T29)</f>
        <v>8258.9555555555562</v>
      </c>
      <c r="U107" s="8">
        <f>+SUM($C29:U29)</f>
        <v>9145.9555555555562</v>
      </c>
      <c r="V107" s="8">
        <f>+SUM($C29:V29)</f>
        <v>9757</v>
      </c>
      <c r="W107" s="8">
        <f>+SUM($C29:W29)</f>
        <v>9757</v>
      </c>
      <c r="X107" s="8">
        <f>+SUM($C29:X29)</f>
        <v>9757</v>
      </c>
      <c r="Y107" s="8">
        <f>+SUM($C29:Y29)</f>
        <v>9757</v>
      </c>
      <c r="Z107" s="8">
        <f>+SUM($C29:Z29)</f>
        <v>9757</v>
      </c>
      <c r="AA107" s="8">
        <f>+SUM($C29:AA29)</f>
        <v>9757</v>
      </c>
      <c r="AB107" s="8">
        <f>+SUM($C29:AB29)</f>
        <v>9757</v>
      </c>
      <c r="AC107" s="8">
        <f>+SUM($C29:AC29)</f>
        <v>9757</v>
      </c>
      <c r="AD107" s="8">
        <f>+SUM($C29:AD29)</f>
        <v>9757</v>
      </c>
      <c r="AE107" s="8">
        <f>+SUM($C29:AE29)</f>
        <v>9757</v>
      </c>
      <c r="AF107" s="8">
        <f>+SUM($C29:AF29)</f>
        <v>9757</v>
      </c>
      <c r="AG107" s="8">
        <f>+SUM($C29:AG29)</f>
        <v>9757</v>
      </c>
    </row>
    <row r="108" spans="1:38" hidden="1" outlineLevel="1">
      <c r="A108" t="s">
        <v>257</v>
      </c>
      <c r="O108" s="8">
        <f>+SUM($C30:O30)</f>
        <v>1436</v>
      </c>
      <c r="P108" s="8">
        <f>+SUM($C30:P30)</f>
        <v>2872</v>
      </c>
      <c r="Q108" s="8">
        <f>+SUM($C30:Q30)</f>
        <v>4308</v>
      </c>
      <c r="R108" s="8">
        <f>+SUM($C30:R30)</f>
        <v>5504.666666666667</v>
      </c>
      <c r="S108" s="8">
        <f>+SUM($C30:S30)</f>
        <v>6701.3333333333339</v>
      </c>
      <c r="T108" s="8">
        <f>+SUM($C30:T30)</f>
        <v>7680.4242424242429</v>
      </c>
      <c r="U108" s="8">
        <f>+SUM($C30:U30)</f>
        <v>8659.515151515152</v>
      </c>
      <c r="V108" s="8">
        <f>+SUM($C30:V30)</f>
        <v>9638.6060606060619</v>
      </c>
      <c r="W108" s="8">
        <f>+SUM($C30:W30)</f>
        <v>10617.696969696972</v>
      </c>
      <c r="X108" s="8">
        <f>+SUM($C30:X30)</f>
        <v>10770</v>
      </c>
      <c r="Y108" s="8">
        <f>+SUM($C30:Y30)</f>
        <v>10770</v>
      </c>
      <c r="Z108" s="8">
        <f>+SUM($C30:Z30)</f>
        <v>10770</v>
      </c>
      <c r="AA108" s="8">
        <f>+SUM($C30:AA30)</f>
        <v>10770</v>
      </c>
      <c r="AB108" s="8">
        <f>+SUM($C30:AB30)</f>
        <v>10770</v>
      </c>
      <c r="AC108" s="8">
        <f>+SUM($C30:AC30)</f>
        <v>10770</v>
      </c>
      <c r="AD108" s="8">
        <f>+SUM($C30:AD30)</f>
        <v>10770</v>
      </c>
      <c r="AE108" s="8">
        <f>+SUM($C30:AE30)</f>
        <v>10770</v>
      </c>
      <c r="AF108" s="8">
        <f>+SUM($C30:AF30)</f>
        <v>10770</v>
      </c>
      <c r="AG108" s="8">
        <f>+SUM($C30:AG30)</f>
        <v>10770</v>
      </c>
      <c r="AH108" s="8"/>
    </row>
    <row r="109" spans="1:38" hidden="1" outlineLevel="1">
      <c r="A109" t="s">
        <v>258</v>
      </c>
      <c r="P109" s="8">
        <f>+SUM($C31:P31)</f>
        <v>1749.8666666666666</v>
      </c>
      <c r="Q109" s="8">
        <f>+SUM($C31:Q31)</f>
        <v>3499.7333333333331</v>
      </c>
      <c r="R109" s="8">
        <f>+SUM($C31:R31)</f>
        <v>4957.9555555555553</v>
      </c>
      <c r="S109" s="8">
        <f>+SUM($C31:S31)</f>
        <v>6416.177777777777</v>
      </c>
      <c r="T109" s="8">
        <f>+SUM($C31:T31)</f>
        <v>7609.268686868686</v>
      </c>
      <c r="U109" s="8">
        <f>+SUM($C31:U31)</f>
        <v>8802.359595959595</v>
      </c>
      <c r="V109" s="8">
        <f>+SUM($C31:V31)</f>
        <v>9995.4505050505031</v>
      </c>
      <c r="W109" s="8">
        <f>+SUM($C31:W31)</f>
        <v>11188.541414141411</v>
      </c>
      <c r="X109" s="8">
        <f>+SUM($C31:X31)</f>
        <v>12381.632323232319</v>
      </c>
      <c r="Y109" s="8">
        <f>+SUM($C31:Y31)</f>
        <v>13124</v>
      </c>
      <c r="Z109" s="8">
        <f>+SUM($C31:Z31)</f>
        <v>13124</v>
      </c>
      <c r="AA109" s="8">
        <f>+SUM($C31:AA31)</f>
        <v>13124</v>
      </c>
      <c r="AB109" s="8">
        <f>+SUM($C31:AB31)</f>
        <v>13124</v>
      </c>
      <c r="AC109" s="8">
        <f>+SUM($C31:AC31)</f>
        <v>13124</v>
      </c>
      <c r="AD109" s="8">
        <f>+SUM($C31:AD31)</f>
        <v>13124</v>
      </c>
      <c r="AE109" s="8">
        <f>+SUM($C31:AE31)</f>
        <v>13124</v>
      </c>
      <c r="AF109" s="8">
        <f>+SUM($C31:AF31)</f>
        <v>13124</v>
      </c>
      <c r="AG109" s="8">
        <f>+SUM($C31:AG31)</f>
        <v>13124</v>
      </c>
      <c r="AH109" s="8"/>
      <c r="AI109" s="8"/>
    </row>
    <row r="110" spans="1:38" hidden="1" outlineLevel="1">
      <c r="A110" t="s">
        <v>259</v>
      </c>
      <c r="Q110" s="8">
        <f>+SUM($C32:Q32)</f>
        <v>2072.1333333333332</v>
      </c>
      <c r="R110" s="8">
        <f>+SUM($C32:R32)</f>
        <v>3798.911111111111</v>
      </c>
      <c r="S110" s="8">
        <f>+SUM($C32:S32)</f>
        <v>5525.6888888888889</v>
      </c>
      <c r="T110" s="8">
        <f>+SUM($C32:T32)</f>
        <v>6938.5070707070709</v>
      </c>
      <c r="U110" s="8">
        <f>+SUM($C32:U32)</f>
        <v>8351.3252525252519</v>
      </c>
      <c r="V110" s="8">
        <f>+SUM($C32:V32)</f>
        <v>9764.1434343434339</v>
      </c>
      <c r="W110" s="8">
        <f>+SUM($C32:W32)</f>
        <v>11176.961616161616</v>
      </c>
      <c r="X110" s="8">
        <f>+SUM($C32:X32)</f>
        <v>12589.779797979798</v>
      </c>
      <c r="Y110" s="8">
        <f>+SUM($C32:Y32)</f>
        <v>14002.59797979798</v>
      </c>
      <c r="Z110" s="8">
        <f>+SUM($C32:Z32)</f>
        <v>15415.416161616162</v>
      </c>
      <c r="AA110" s="8">
        <f>+SUM($C32:AA32)</f>
        <v>15541</v>
      </c>
      <c r="AB110" s="8">
        <f>+SUM($C32:AB32)</f>
        <v>15541</v>
      </c>
      <c r="AC110" s="8">
        <f>+SUM($C32:AC32)</f>
        <v>15541</v>
      </c>
      <c r="AD110" s="8">
        <f>+SUM($C32:AD32)</f>
        <v>15541</v>
      </c>
      <c r="AE110" s="8">
        <f>+SUM($C32:AE32)</f>
        <v>15541</v>
      </c>
      <c r="AF110" s="8">
        <f>+SUM($C32:AF32)</f>
        <v>15541</v>
      </c>
      <c r="AG110" s="8">
        <f>+SUM($C32:AG32)</f>
        <v>15541</v>
      </c>
      <c r="AH110" s="8"/>
      <c r="AI110" s="8"/>
      <c r="AJ110" s="8"/>
    </row>
    <row r="111" spans="1:38" hidden="1" outlineLevel="1">
      <c r="A111" t="s">
        <v>260</v>
      </c>
      <c r="R111" s="8">
        <f>+SUM($C33:R33)</f>
        <v>2635.3333333333335</v>
      </c>
      <c r="S111" s="8">
        <f>+SUM($C33:S33)</f>
        <v>5270.666666666667</v>
      </c>
      <c r="T111" s="8">
        <f>+SUM($C33:T33)</f>
        <v>7426.848484848485</v>
      </c>
      <c r="U111" s="8">
        <f>+SUM($C33:U33)</f>
        <v>9583.0303030303039</v>
      </c>
      <c r="V111" s="8">
        <f>+SUM($C33:V33)</f>
        <v>11739.212121212122</v>
      </c>
      <c r="W111" s="8">
        <f>+SUM($C33:W33)</f>
        <v>13895.39393939394</v>
      </c>
      <c r="X111" s="8">
        <f>+SUM($C33:X33)</f>
        <v>16051.575757575758</v>
      </c>
      <c r="Y111" s="8">
        <f>+SUM($C33:Y33)</f>
        <v>18207.757575757576</v>
      </c>
      <c r="Z111" s="8">
        <f>+SUM($C33:Z33)</f>
        <v>20363.939393939392</v>
      </c>
      <c r="AA111" s="8">
        <f>+SUM($C33:AA33)</f>
        <v>22520.121212121208</v>
      </c>
      <c r="AB111" s="8">
        <f>+SUM($C33:AB33)</f>
        <v>23718</v>
      </c>
      <c r="AC111" s="8">
        <f>+SUM($C33:AC33)</f>
        <v>23718</v>
      </c>
      <c r="AD111" s="8">
        <f>+SUM($C33:AD33)</f>
        <v>23718</v>
      </c>
      <c r="AE111" s="8">
        <f>+SUM($C33:AE33)</f>
        <v>23718</v>
      </c>
      <c r="AF111" s="8">
        <f>+SUM($C33:AF33)</f>
        <v>23718</v>
      </c>
      <c r="AG111" s="8">
        <f>+SUM($C33:AG33)</f>
        <v>23718</v>
      </c>
      <c r="AH111" s="8"/>
      <c r="AI111" s="8"/>
      <c r="AJ111" s="8"/>
      <c r="AK111" s="8"/>
    </row>
    <row r="112" spans="1:38" hidden="1" outlineLevel="1">
      <c r="A112" t="s">
        <v>109</v>
      </c>
      <c r="S112" s="8">
        <f>+SUM($C34:S34)</f>
        <v>2554.6666666666665</v>
      </c>
      <c r="T112" s="8">
        <f>+SUM($C34:T34)</f>
        <v>4644.8484848484841</v>
      </c>
      <c r="U112" s="8">
        <f>+SUM($C34:U34)</f>
        <v>6735.0303030303021</v>
      </c>
      <c r="V112" s="8">
        <f>+SUM($C34:V34)</f>
        <v>8825.2121212121201</v>
      </c>
      <c r="W112" s="8">
        <f>+SUM($C34:W34)</f>
        <v>10915.393939393938</v>
      </c>
      <c r="X112" s="8">
        <f>+SUM($C34:X34)</f>
        <v>13005.575757575756</v>
      </c>
      <c r="Y112" s="8">
        <f>+SUM($C34:Y34)</f>
        <v>15095.757575757574</v>
      </c>
      <c r="Z112" s="8">
        <f>+SUM($C34:Z34)</f>
        <v>17185.939393939392</v>
      </c>
      <c r="AA112" s="8">
        <f>+SUM($C34:AA34)</f>
        <v>19276.121212121208</v>
      </c>
      <c r="AB112" s="8">
        <f>+SUM($C34:AB34)</f>
        <v>21366.303030303025</v>
      </c>
      <c r="AC112" s="8">
        <f>+SUM($C34:AC34)</f>
        <v>22992</v>
      </c>
      <c r="AD112" s="8">
        <f>+SUM($C34:AD34)</f>
        <v>22992</v>
      </c>
      <c r="AE112" s="8">
        <f>+SUM($C34:AE34)</f>
        <v>22992</v>
      </c>
      <c r="AF112" s="8">
        <f>+SUM($C34:AF34)</f>
        <v>22992</v>
      </c>
      <c r="AG112" s="8">
        <f>+SUM($C34:AG34)</f>
        <v>22992</v>
      </c>
      <c r="AH112" s="8"/>
      <c r="AI112" s="8"/>
      <c r="AJ112" s="8"/>
      <c r="AK112" s="8"/>
      <c r="AL112" s="8"/>
    </row>
    <row r="113" spans="1:44" hidden="1" outlineLevel="1">
      <c r="A113" t="s">
        <v>190</v>
      </c>
      <c r="T113" s="8">
        <f>+SUM($C35:T35)</f>
        <v>2712.181818181818</v>
      </c>
      <c r="U113" s="8">
        <f>+SUM($C35:U35)</f>
        <v>5424.363636363636</v>
      </c>
      <c r="V113" s="8">
        <f>+SUM($C35:V35)</f>
        <v>8136.545454545454</v>
      </c>
      <c r="W113" s="8">
        <f>+SUM($C35:W35)</f>
        <v>10848.727272727272</v>
      </c>
      <c r="X113" s="8">
        <f>+SUM($C35:X35)</f>
        <v>13560.90909090909</v>
      </c>
      <c r="Y113" s="8">
        <f>+SUM($C35:Y35)</f>
        <v>16273.090909090908</v>
      </c>
      <c r="Z113" s="8">
        <f>+SUM($C35:Z35)</f>
        <v>18985.272727272728</v>
      </c>
      <c r="AA113" s="8">
        <f>+SUM($C35:AA35)</f>
        <v>21697.454545454544</v>
      </c>
      <c r="AB113" s="8">
        <f>+SUM($C35:AB35)</f>
        <v>24409.63636363636</v>
      </c>
      <c r="AC113" s="8">
        <f>+SUM($C35:AC35)</f>
        <v>27121.818181818177</v>
      </c>
      <c r="AD113" s="8">
        <f>+SUM($C35:AD35)</f>
        <v>29833.999999999993</v>
      </c>
      <c r="AE113" s="8">
        <f>+SUM($C35:AE35)</f>
        <v>29833.999999999993</v>
      </c>
      <c r="AF113" s="8">
        <f>+SUM($C35:AF35)</f>
        <v>29833.999999999993</v>
      </c>
      <c r="AG113" s="8">
        <f>+SUM($C35:AG35)</f>
        <v>29833.999999999993</v>
      </c>
      <c r="AH113" s="8"/>
      <c r="AI113" s="8"/>
      <c r="AJ113" s="8"/>
      <c r="AK113" s="8"/>
      <c r="AL113" s="8"/>
      <c r="AM113" s="8"/>
    </row>
    <row r="114" spans="1:44" hidden="1" outlineLevel="1">
      <c r="A114" t="s">
        <v>191</v>
      </c>
      <c r="V114" s="8">
        <f>+SUM($C36:V36)</f>
        <v>8749.0909090909099</v>
      </c>
      <c r="W114" s="8">
        <f>+SUM($C36:W36)</f>
        <v>13123.636363636364</v>
      </c>
      <c r="X114" s="8">
        <f>+SUM($C36:X36)</f>
        <v>17498.18181818182</v>
      </c>
      <c r="Y114" s="8">
        <f>+SUM($C36:Y36)</f>
        <v>21872.727272727276</v>
      </c>
      <c r="Z114" s="8">
        <f>+SUM($C36:Z36)</f>
        <v>26247.272727272732</v>
      </c>
      <c r="AA114" s="8">
        <f>+SUM($C36:AA36)</f>
        <v>30621.818181818187</v>
      </c>
      <c r="AB114" s="8">
        <f>+SUM($C36:AB36)</f>
        <v>34996.36363636364</v>
      </c>
      <c r="AC114" s="8">
        <f>+SUM($C36:AC36)</f>
        <v>39370.909090909096</v>
      </c>
      <c r="AD114" s="8">
        <f>+SUM($C36:AD36)</f>
        <v>43745.454545454551</v>
      </c>
      <c r="AE114" s="8">
        <f>+SUM($C36:AE36)</f>
        <v>48120</v>
      </c>
      <c r="AF114" s="8">
        <f>+SUM($C36:AF36)</f>
        <v>48120</v>
      </c>
      <c r="AG114" s="8">
        <f>+SUM($C36:AG36)</f>
        <v>48120</v>
      </c>
      <c r="AH114" s="8"/>
      <c r="AI114" s="8"/>
      <c r="AJ114" s="8"/>
      <c r="AK114" s="8"/>
      <c r="AL114" s="8"/>
      <c r="AM114" s="8"/>
      <c r="AN114" s="8"/>
    </row>
    <row r="115" spans="1:44" hidden="1" outlineLevel="1">
      <c r="A115" t="s">
        <v>72</v>
      </c>
      <c r="V115" s="8">
        <f>+SUM($C37:V37)</f>
        <v>6381.9813938305861</v>
      </c>
      <c r="W115" s="8">
        <f>+SUM($C37:W37)</f>
        <v>12763.962787661172</v>
      </c>
      <c r="X115" s="8">
        <f>+SUM($C37:X37)</f>
        <v>19145.944181491759</v>
      </c>
      <c r="Y115" s="8">
        <f>+SUM($C37:Y37)</f>
        <v>25527.925575322344</v>
      </c>
      <c r="Z115" s="8">
        <f>+SUM($C37:Z37)</f>
        <v>31909.906969152929</v>
      </c>
      <c r="AA115" s="8">
        <f>+SUM($C37:AA37)</f>
        <v>38291.888362983518</v>
      </c>
      <c r="AB115" s="8">
        <f>+SUM($C37:AB37)</f>
        <v>44673.869756814107</v>
      </c>
      <c r="AC115" s="8">
        <f>+SUM($C37:AC37)</f>
        <v>51055.851150644696</v>
      </c>
      <c r="AD115" s="8">
        <f>+SUM($C37:AD37)</f>
        <v>57437.832544475285</v>
      </c>
      <c r="AE115" s="8">
        <f>+SUM($C37:AE37)</f>
        <v>63819.813938305873</v>
      </c>
      <c r="AF115" s="8">
        <f>+SUM($C37:AF37)</f>
        <v>70201.795332136448</v>
      </c>
      <c r="AG115" s="8">
        <f>+SUM($C37:AG37)</f>
        <v>70201.795332136448</v>
      </c>
      <c r="AH115" s="8"/>
      <c r="AI115" s="8"/>
      <c r="AJ115" s="8"/>
      <c r="AK115" s="8"/>
      <c r="AL115" s="8"/>
      <c r="AM115" s="8"/>
      <c r="AN115" s="8"/>
      <c r="AO115" s="8"/>
    </row>
    <row r="116" spans="1:44" hidden="1" outlineLevel="1">
      <c r="A116" t="s">
        <v>73</v>
      </c>
      <c r="W116" s="8">
        <f>+SUM($C38:W38)</f>
        <v>5404.6206803103069</v>
      </c>
      <c r="X116" s="8">
        <f>+SUM($C38:X38)</f>
        <v>10809.241360620614</v>
      </c>
      <c r="Y116" s="8">
        <f>+SUM($C38:Y38)</f>
        <v>16213.862040930921</v>
      </c>
      <c r="Z116" s="8">
        <f>+SUM($C38:Z38)</f>
        <v>21618.482721241227</v>
      </c>
      <c r="AA116" s="8">
        <f>+SUM($C38:AA38)</f>
        <v>27023.103401551532</v>
      </c>
      <c r="AB116" s="8">
        <f>+SUM($C38:AB38)</f>
        <v>32427.724081861837</v>
      </c>
      <c r="AC116" s="8">
        <f>+SUM($C38:AC38)</f>
        <v>37832.344762172143</v>
      </c>
      <c r="AD116" s="8">
        <f>+SUM($C38:AD38)</f>
        <v>43236.965442482448</v>
      </c>
      <c r="AE116" s="8">
        <f>+SUM($C38:AE38)</f>
        <v>48641.586122792753</v>
      </c>
      <c r="AF116" s="8">
        <f>+SUM($C38:AF38)</f>
        <v>54046.206803103058</v>
      </c>
      <c r="AG116" s="8">
        <f>+SUM($C38:AG38)</f>
        <v>59450.827483413363</v>
      </c>
      <c r="AH116" s="8"/>
      <c r="AI116" s="8"/>
      <c r="AJ116" s="8"/>
      <c r="AK116" s="8"/>
      <c r="AL116" s="8"/>
      <c r="AM116" s="8"/>
      <c r="AN116" s="8"/>
      <c r="AO116" s="8"/>
      <c r="AP116" s="8"/>
    </row>
    <row r="117" spans="1:44" hidden="1" outlineLevel="1">
      <c r="A117" t="s">
        <v>74</v>
      </c>
      <c r="X117" s="8">
        <f>+SUM($C39:X39)</f>
        <v>5372.0929975200179</v>
      </c>
      <c r="Y117" s="8">
        <f>+SUM($C39:Y39)</f>
        <v>10744.185995040036</v>
      </c>
      <c r="Z117" s="8">
        <f>+SUM($C39:Z39)</f>
        <v>16116.278992560054</v>
      </c>
      <c r="AA117" s="8">
        <f>+SUM($C39:AA39)</f>
        <v>21488.371990080072</v>
      </c>
      <c r="AB117" s="8">
        <f>+SUM($C39:AB39)</f>
        <v>26860.464987600091</v>
      </c>
      <c r="AC117" s="8">
        <f>+SUM($C39:AC39)</f>
        <v>32232.557985120111</v>
      </c>
      <c r="AD117" s="8">
        <f>+SUM($C39:AD39)</f>
        <v>37604.650982640131</v>
      </c>
      <c r="AE117" s="8">
        <f>+SUM($C39:AE39)</f>
        <v>42976.74398016015</v>
      </c>
      <c r="AF117" s="8">
        <f>+SUM($C39:AF39)</f>
        <v>48348.83697768017</v>
      </c>
      <c r="AG117" s="8">
        <f>+SUM($C39:AG39)</f>
        <v>53720.92997520019</v>
      </c>
      <c r="AH117" s="8"/>
      <c r="AI117" s="8"/>
      <c r="AJ117" s="8"/>
      <c r="AK117" s="8"/>
      <c r="AL117" s="8"/>
      <c r="AM117" s="8"/>
      <c r="AN117" s="8"/>
      <c r="AO117" s="8"/>
      <c r="AP117" s="8"/>
      <c r="AQ117" s="8"/>
    </row>
    <row r="118" spans="1:44" hidden="1" outlineLevel="1">
      <c r="A118" t="s">
        <v>75</v>
      </c>
      <c r="Y118" s="8">
        <f>+SUM($C40:Y40)</f>
        <v>5279.1821252506115</v>
      </c>
      <c r="Z118" s="8">
        <f>+SUM($C40:Z40)</f>
        <v>10558.364250501223</v>
      </c>
      <c r="AA118" s="8">
        <f>+SUM($C40:AA40)</f>
        <v>15837.546375751834</v>
      </c>
      <c r="AB118" s="8">
        <f>+SUM($C40:AB40)</f>
        <v>21116.728501002446</v>
      </c>
      <c r="AC118" s="8">
        <f>+SUM($C40:AC40)</f>
        <v>26395.910626253059</v>
      </c>
      <c r="AD118" s="8">
        <f>+SUM($C40:AD40)</f>
        <v>31675.092751503671</v>
      </c>
      <c r="AE118" s="8">
        <f>+SUM($C40:AE40)</f>
        <v>36954.27487675428</v>
      </c>
      <c r="AF118" s="8">
        <f>+SUM($C40:AF40)</f>
        <v>42233.457002004892</v>
      </c>
      <c r="AG118" s="8">
        <f>+SUM($C40:AG40)</f>
        <v>47512.639127255505</v>
      </c>
      <c r="AH118" s="8"/>
      <c r="AI118" s="8"/>
      <c r="AJ118" s="8"/>
      <c r="AK118" s="8"/>
      <c r="AL118" s="8"/>
      <c r="AM118" s="8"/>
      <c r="AN118" s="8"/>
      <c r="AO118" s="8"/>
      <c r="AP118" s="8"/>
      <c r="AQ118" s="8"/>
      <c r="AR118" s="8"/>
    </row>
    <row r="119" spans="1:44" hidden="1" outlineLevel="1">
      <c r="A119" t="s">
        <v>76</v>
      </c>
      <c r="Y119" s="8"/>
      <c r="Z119" s="8">
        <f>+SUM($C41:Z41)</f>
        <v>5117.7015203958254</v>
      </c>
      <c r="AA119" s="8">
        <f>+SUM($C41:AA41)</f>
        <v>10235.403040791651</v>
      </c>
      <c r="AB119" s="8">
        <f>+SUM($C41:AB41)</f>
        <v>15353.104561187476</v>
      </c>
      <c r="AC119" s="8">
        <f>+SUM($C41:AC41)</f>
        <v>20470.806081583301</v>
      </c>
      <c r="AD119" s="8">
        <f>+SUM($C41:AD41)</f>
        <v>25588.507601979127</v>
      </c>
      <c r="AE119" s="8">
        <f>+SUM($C41:AE41)</f>
        <v>30706.209122374952</v>
      </c>
      <c r="AF119" s="8">
        <f>+SUM($C41:AF41)</f>
        <v>35823.910642770774</v>
      </c>
      <c r="AG119" s="8">
        <f>+SUM($C41:AG41)</f>
        <v>40941.612163166603</v>
      </c>
      <c r="AH119" s="8"/>
      <c r="AI119" s="8"/>
      <c r="AJ119" s="8"/>
      <c r="AK119" s="8"/>
      <c r="AL119" s="8"/>
      <c r="AM119" s="8"/>
      <c r="AN119" s="8"/>
      <c r="AO119" s="8"/>
      <c r="AP119" s="8"/>
      <c r="AQ119" s="8"/>
      <c r="AR119" s="8"/>
    </row>
    <row r="120" spans="1:44" hidden="1" outlineLevel="1">
      <c r="A120" t="s">
        <v>77</v>
      </c>
      <c r="Y120" s="8"/>
      <c r="Z120" s="8"/>
      <c r="AA120" s="8">
        <f>+SUM($C42:AA42)</f>
        <v>4878.4864582460859</v>
      </c>
      <c r="AB120" s="8">
        <f>+SUM($C42:AB42)</f>
        <v>9756.9729164921719</v>
      </c>
      <c r="AC120" s="8">
        <f>+SUM($C42:AC42)</f>
        <v>14635.459374738257</v>
      </c>
      <c r="AD120" s="8">
        <f>+SUM($C42:AD42)</f>
        <v>19513.945832984344</v>
      </c>
      <c r="AE120" s="8">
        <f>+SUM($C42:AE42)</f>
        <v>24392.432291230431</v>
      </c>
      <c r="AF120" s="8">
        <f>+SUM($C42:AF42)</f>
        <v>29270.918749476517</v>
      </c>
      <c r="AG120" s="8">
        <f>+SUM($C42:AG42)</f>
        <v>34149.405207722601</v>
      </c>
      <c r="AH120" s="8"/>
      <c r="AI120" s="8"/>
      <c r="AJ120" s="8"/>
      <c r="AK120" s="8"/>
      <c r="AL120" s="8"/>
      <c r="AM120" s="8"/>
      <c r="AN120" s="8"/>
      <c r="AO120" s="8"/>
      <c r="AP120" s="8"/>
      <c r="AQ120" s="8"/>
      <c r="AR120" s="8"/>
    </row>
    <row r="121" spans="1:44" hidden="1" outlineLevel="1">
      <c r="A121" t="s">
        <v>78</v>
      </c>
      <c r="Y121" s="8"/>
      <c r="Z121" s="8"/>
      <c r="AA121" s="8"/>
      <c r="AB121" s="8">
        <f>+SUM($C43:AB43)</f>
        <v>4930.5663250782573</v>
      </c>
      <c r="AC121" s="8">
        <f>+SUM($C43:AC43)</f>
        <v>9861.1326501565145</v>
      </c>
      <c r="AD121" s="8">
        <f>+SUM($C43:AD43)</f>
        <v>14791.698975234773</v>
      </c>
      <c r="AE121" s="8">
        <f>+SUM($C43:AE43)</f>
        <v>19722.265300313029</v>
      </c>
      <c r="AF121" s="8">
        <f>+SUM($C43:AF43)</f>
        <v>24652.831625391285</v>
      </c>
      <c r="AG121" s="8">
        <f>+SUM($C43:AG43)</f>
        <v>29583.397950469542</v>
      </c>
      <c r="AH121" s="8"/>
      <c r="AI121" s="8"/>
      <c r="AJ121" s="8"/>
      <c r="AK121" s="8"/>
      <c r="AL121" s="8"/>
      <c r="AM121" s="8"/>
      <c r="AN121" s="8"/>
      <c r="AO121" s="8"/>
      <c r="AP121" s="8"/>
      <c r="AQ121" s="8"/>
      <c r="AR121" s="8"/>
    </row>
    <row r="122" spans="1:44" hidden="1" outlineLevel="1">
      <c r="A122" t="s">
        <v>79</v>
      </c>
      <c r="Y122" s="8"/>
      <c r="Z122" s="8"/>
      <c r="AA122" s="8"/>
      <c r="AB122" s="8"/>
      <c r="AC122" s="8">
        <f>+SUM($C44:AC44)</f>
        <v>4949.6169302992639</v>
      </c>
      <c r="AD122" s="8">
        <f>+SUM($C44:AD44)</f>
        <v>9899.2338605985278</v>
      </c>
      <c r="AE122" s="8">
        <f>+SUM($C44:AE44)</f>
        <v>14848.850790897792</v>
      </c>
      <c r="AF122" s="8">
        <f>+SUM($C44:AF44)</f>
        <v>19798.467721197056</v>
      </c>
      <c r="AG122" s="8">
        <f>+SUM($C44:AG44)</f>
        <v>24748.08465149632</v>
      </c>
      <c r="AH122" s="8"/>
      <c r="AI122" s="8"/>
      <c r="AJ122" s="8"/>
      <c r="AK122" s="8"/>
      <c r="AL122" s="8"/>
      <c r="AM122" s="8"/>
      <c r="AN122" s="8"/>
      <c r="AO122" s="8"/>
      <c r="AP122" s="8"/>
      <c r="AQ122" s="8"/>
      <c r="AR122" s="8"/>
    </row>
    <row r="123" spans="1:44" hidden="1" outlineLevel="1">
      <c r="A123" t="s">
        <v>80</v>
      </c>
      <c r="Y123" s="8"/>
      <c r="Z123" s="8"/>
      <c r="AA123" s="8"/>
      <c r="AB123" s="8"/>
      <c r="AC123" s="8"/>
      <c r="AD123" s="8">
        <f>+SUM($C45:AD45)</f>
        <v>5378.8496590533341</v>
      </c>
      <c r="AE123" s="8">
        <f>+SUM($C45:AE45)</f>
        <v>10757.699318106668</v>
      </c>
      <c r="AF123" s="8">
        <f>+SUM($C45:AF45)</f>
        <v>16136.548977160002</v>
      </c>
      <c r="AG123" s="8">
        <f>+SUM($C45:AG45)</f>
        <v>21515.398636213336</v>
      </c>
      <c r="AH123" s="8"/>
      <c r="AI123" s="8"/>
      <c r="AJ123" s="8"/>
      <c r="AK123" s="8"/>
      <c r="AL123" s="8"/>
      <c r="AM123" s="8"/>
      <c r="AN123" s="8"/>
      <c r="AO123" s="8"/>
      <c r="AP123" s="8"/>
      <c r="AQ123" s="8"/>
      <c r="AR123" s="8"/>
    </row>
    <row r="124" spans="1:44" hidden="1" outlineLevel="1">
      <c r="A124" t="s">
        <v>81</v>
      </c>
      <c r="Y124" s="8"/>
      <c r="Z124" s="8"/>
      <c r="AA124" s="8"/>
      <c r="AB124" s="8"/>
      <c r="AC124" s="8"/>
      <c r="AD124" s="8"/>
      <c r="AE124" s="8">
        <f>+SUM($C46:AE46)</f>
        <v>5841.4896316264867</v>
      </c>
      <c r="AF124" s="8">
        <f>+SUM($C46:AF46)</f>
        <v>11682.979263252973</v>
      </c>
      <c r="AG124" s="8">
        <f>+SUM($C46:AG46)</f>
        <v>17524.468894879461</v>
      </c>
      <c r="AH124" s="8"/>
      <c r="AI124" s="8"/>
      <c r="AJ124" s="8"/>
      <c r="AK124" s="8"/>
      <c r="AL124" s="8"/>
      <c r="AM124" s="8"/>
      <c r="AN124" s="8"/>
      <c r="AO124" s="8"/>
      <c r="AP124" s="8"/>
      <c r="AQ124" s="8"/>
      <c r="AR124" s="8"/>
    </row>
    <row r="125" spans="1:44" hidden="1" outlineLevel="1">
      <c r="A125" t="s">
        <v>82</v>
      </c>
      <c r="Y125" s="8"/>
      <c r="Z125" s="8"/>
      <c r="AA125" s="8"/>
      <c r="AB125" s="8"/>
      <c r="AC125" s="8"/>
      <c r="AD125" s="8"/>
      <c r="AE125" s="8"/>
      <c r="AF125" s="8">
        <f>+SUM($C47:AF47)</f>
        <v>6340.2355060097234</v>
      </c>
      <c r="AG125" s="8">
        <f>+SUM($C47:AG47)</f>
        <v>12680.471012019447</v>
      </c>
      <c r="AH125" s="8"/>
      <c r="AI125" s="8"/>
      <c r="AJ125" s="8"/>
      <c r="AK125" s="8"/>
      <c r="AL125" s="8"/>
      <c r="AM125" s="8"/>
      <c r="AN125" s="8"/>
      <c r="AO125" s="8"/>
      <c r="AP125" s="8"/>
      <c r="AQ125" s="8"/>
      <c r="AR125" s="8"/>
    </row>
    <row r="126" spans="1:44" hidden="1" outlineLevel="1">
      <c r="A126" t="s">
        <v>83</v>
      </c>
      <c r="Y126" s="8"/>
      <c r="Z126" s="8"/>
      <c r="AA126" s="8"/>
      <c r="AB126" s="8"/>
      <c r="AC126" s="8"/>
      <c r="AD126" s="8"/>
      <c r="AE126" s="8"/>
      <c r="AF126" s="8"/>
      <c r="AG126" s="8">
        <f>+SUM($C48:AG48)</f>
        <v>6878.0011026357306</v>
      </c>
      <c r="AH126" s="8"/>
      <c r="AI126" s="8"/>
      <c r="AJ126" s="8"/>
      <c r="AK126" s="8"/>
      <c r="AL126" s="8"/>
      <c r="AM126" s="8"/>
      <c r="AN126" s="8"/>
      <c r="AO126" s="8"/>
      <c r="AP126" s="8"/>
      <c r="AQ126" s="8"/>
      <c r="AR126" s="8"/>
    </row>
    <row r="127" spans="1:44" hidden="1" outlineLevel="1">
      <c r="A127" t="s">
        <v>911</v>
      </c>
      <c r="Y127" s="8"/>
      <c r="Z127" s="8"/>
      <c r="AA127" s="8"/>
      <c r="AB127" s="8"/>
      <c r="AC127" s="8"/>
      <c r="AD127" s="8"/>
      <c r="AE127" s="8"/>
      <c r="AF127" s="8"/>
      <c r="AG127" s="8"/>
      <c r="AH127" s="8"/>
      <c r="AI127" s="8"/>
      <c r="AJ127" s="8"/>
      <c r="AK127" s="8"/>
      <c r="AL127" s="8"/>
      <c r="AM127" s="8"/>
      <c r="AN127" s="8"/>
      <c r="AO127" s="8"/>
      <c r="AP127" s="8"/>
      <c r="AQ127" s="8"/>
      <c r="AR127" s="8"/>
    </row>
    <row r="128" spans="1:44" hidden="1" outlineLevel="1"/>
    <row r="129" spans="1:37" ht="10.5" hidden="1" outlineLevel="1">
      <c r="A129" s="45" t="s">
        <v>925</v>
      </c>
    </row>
    <row r="130" spans="1:37" hidden="1" outlineLevel="1">
      <c r="A130" t="str">
        <f>+A97</f>
        <v>FY07 and prior</v>
      </c>
      <c r="D130" s="8">
        <f t="shared" ref="D130:AG140" si="36">+D64-D97</f>
        <v>8117.2</v>
      </c>
      <c r="E130" s="8">
        <f t="shared" si="36"/>
        <v>6868.4</v>
      </c>
      <c r="F130" s="8">
        <f t="shared" si="36"/>
        <v>5619.6</v>
      </c>
      <c r="G130" s="8">
        <f t="shared" si="36"/>
        <v>4370.8</v>
      </c>
      <c r="H130" s="8">
        <f t="shared" si="36"/>
        <v>3122</v>
      </c>
      <c r="I130" s="8">
        <f t="shared" si="36"/>
        <v>1873.1999999999998</v>
      </c>
      <c r="J130" s="8">
        <f t="shared" si="36"/>
        <v>624.39999999999964</v>
      </c>
      <c r="K130" s="8">
        <f t="shared" si="36"/>
        <v>0</v>
      </c>
      <c r="L130" s="8">
        <f t="shared" si="36"/>
        <v>0</v>
      </c>
      <c r="M130" s="8">
        <f t="shared" si="36"/>
        <v>0</v>
      </c>
      <c r="N130" s="8">
        <f t="shared" si="36"/>
        <v>0</v>
      </c>
      <c r="O130" s="8">
        <f t="shared" si="36"/>
        <v>0</v>
      </c>
      <c r="P130" s="8">
        <f>+P64-P97</f>
        <v>0</v>
      </c>
      <c r="Q130" s="8">
        <f t="shared" si="36"/>
        <v>0</v>
      </c>
      <c r="R130" s="8">
        <f t="shared" si="36"/>
        <v>0</v>
      </c>
      <c r="S130" s="8">
        <f t="shared" si="36"/>
        <v>0</v>
      </c>
      <c r="T130" s="8">
        <f t="shared" si="36"/>
        <v>0</v>
      </c>
      <c r="U130" s="8">
        <f t="shared" si="36"/>
        <v>0</v>
      </c>
      <c r="V130" s="8">
        <f t="shared" si="36"/>
        <v>0</v>
      </c>
      <c r="W130" s="8">
        <f t="shared" si="36"/>
        <v>0</v>
      </c>
      <c r="X130" s="8">
        <f t="shared" si="36"/>
        <v>0</v>
      </c>
      <c r="Y130" s="8">
        <f t="shared" si="36"/>
        <v>0</v>
      </c>
      <c r="Z130" s="8">
        <f t="shared" si="36"/>
        <v>0</v>
      </c>
      <c r="AA130" s="8">
        <f t="shared" si="36"/>
        <v>0</v>
      </c>
      <c r="AB130" s="8">
        <f t="shared" si="36"/>
        <v>0</v>
      </c>
      <c r="AC130" s="8">
        <f t="shared" si="36"/>
        <v>0</v>
      </c>
      <c r="AD130" s="8">
        <f t="shared" si="36"/>
        <v>0</v>
      </c>
      <c r="AE130" s="8">
        <f t="shared" si="36"/>
        <v>0</v>
      </c>
      <c r="AF130" s="8">
        <f t="shared" si="36"/>
        <v>0</v>
      </c>
      <c r="AG130" s="8">
        <f t="shared" si="36"/>
        <v>0</v>
      </c>
    </row>
    <row r="131" spans="1:37" hidden="1" outlineLevel="1">
      <c r="A131" t="s">
        <v>247</v>
      </c>
      <c r="E131" s="8">
        <f t="shared" si="36"/>
        <v>2754.2666666666664</v>
      </c>
      <c r="F131" s="8">
        <f t="shared" si="36"/>
        <v>2330.5333333333333</v>
      </c>
      <c r="G131" s="8">
        <f t="shared" si="36"/>
        <v>1906.8</v>
      </c>
      <c r="H131" s="8">
        <f t="shared" si="36"/>
        <v>1483.0666666666666</v>
      </c>
      <c r="I131" s="8">
        <f t="shared" si="36"/>
        <v>1059.333333333333</v>
      </c>
      <c r="J131" s="8">
        <f t="shared" si="36"/>
        <v>635.59999999999945</v>
      </c>
      <c r="K131" s="8">
        <f t="shared" si="36"/>
        <v>211.86666666666588</v>
      </c>
      <c r="L131" s="8">
        <f t="shared" si="36"/>
        <v>0</v>
      </c>
      <c r="M131" s="8">
        <f t="shared" si="36"/>
        <v>0</v>
      </c>
      <c r="N131" s="8">
        <f t="shared" si="36"/>
        <v>0</v>
      </c>
      <c r="O131" s="8">
        <f t="shared" si="36"/>
        <v>0</v>
      </c>
      <c r="P131" s="8">
        <f t="shared" si="36"/>
        <v>0</v>
      </c>
      <c r="Q131" s="8">
        <f t="shared" si="36"/>
        <v>0</v>
      </c>
      <c r="R131" s="8">
        <f t="shared" si="36"/>
        <v>0</v>
      </c>
      <c r="S131" s="8">
        <f t="shared" si="36"/>
        <v>0</v>
      </c>
      <c r="T131" s="8">
        <f t="shared" si="36"/>
        <v>0</v>
      </c>
      <c r="U131" s="8">
        <f t="shared" si="36"/>
        <v>0</v>
      </c>
      <c r="V131" s="8">
        <f t="shared" si="36"/>
        <v>0</v>
      </c>
      <c r="W131" s="8">
        <f t="shared" si="36"/>
        <v>0</v>
      </c>
      <c r="X131" s="8">
        <f t="shared" si="36"/>
        <v>0</v>
      </c>
      <c r="Y131" s="8">
        <f t="shared" si="36"/>
        <v>0</v>
      </c>
      <c r="Z131" s="8">
        <f t="shared" si="36"/>
        <v>0</v>
      </c>
      <c r="AA131" s="8">
        <f t="shared" si="36"/>
        <v>0</v>
      </c>
      <c r="AB131" s="8">
        <f t="shared" si="36"/>
        <v>0</v>
      </c>
      <c r="AC131" s="8">
        <f t="shared" si="36"/>
        <v>0</v>
      </c>
      <c r="AD131" s="8">
        <f t="shared" si="36"/>
        <v>0</v>
      </c>
      <c r="AE131" s="8">
        <f t="shared" si="36"/>
        <v>0</v>
      </c>
      <c r="AF131" s="8">
        <f t="shared" si="36"/>
        <v>0</v>
      </c>
      <c r="AG131" s="8">
        <f t="shared" si="36"/>
        <v>0</v>
      </c>
    </row>
    <row r="132" spans="1:37" hidden="1" outlineLevel="1">
      <c r="A132" t="s">
        <v>248</v>
      </c>
      <c r="F132" s="8">
        <f t="shared" si="36"/>
        <v>2199.6</v>
      </c>
      <c r="G132" s="8">
        <f t="shared" si="36"/>
        <v>1861.2</v>
      </c>
      <c r="H132" s="8">
        <f t="shared" si="36"/>
        <v>1522.8000000000002</v>
      </c>
      <c r="I132" s="8">
        <f t="shared" si="36"/>
        <v>1184.4000000000001</v>
      </c>
      <c r="J132" s="8">
        <f t="shared" si="36"/>
        <v>846</v>
      </c>
      <c r="K132" s="8">
        <f t="shared" si="36"/>
        <v>507.59999999999991</v>
      </c>
      <c r="L132" s="8">
        <f t="shared" si="36"/>
        <v>169.19999999999982</v>
      </c>
      <c r="M132" s="8">
        <f t="shared" si="36"/>
        <v>0</v>
      </c>
      <c r="N132" s="8">
        <f t="shared" si="36"/>
        <v>0</v>
      </c>
      <c r="O132" s="8">
        <f t="shared" si="36"/>
        <v>0</v>
      </c>
      <c r="P132" s="8">
        <f t="shared" si="36"/>
        <v>0</v>
      </c>
      <c r="Q132" s="8">
        <f t="shared" si="36"/>
        <v>0</v>
      </c>
      <c r="R132" s="8">
        <f t="shared" si="36"/>
        <v>0</v>
      </c>
      <c r="S132" s="8">
        <f t="shared" si="36"/>
        <v>0</v>
      </c>
      <c r="T132" s="8">
        <f t="shared" si="36"/>
        <v>0</v>
      </c>
      <c r="U132" s="8">
        <f t="shared" si="36"/>
        <v>0</v>
      </c>
      <c r="V132" s="8">
        <f t="shared" si="36"/>
        <v>0</v>
      </c>
      <c r="W132" s="8">
        <f t="shared" si="36"/>
        <v>0</v>
      </c>
      <c r="X132" s="8">
        <f t="shared" si="36"/>
        <v>0</v>
      </c>
      <c r="Y132" s="8">
        <f t="shared" si="36"/>
        <v>0</v>
      </c>
      <c r="Z132" s="8">
        <f t="shared" si="36"/>
        <v>0</v>
      </c>
      <c r="AA132" s="8">
        <f t="shared" si="36"/>
        <v>0</v>
      </c>
      <c r="AB132" s="8">
        <f t="shared" si="36"/>
        <v>0</v>
      </c>
      <c r="AC132" s="8">
        <f t="shared" si="36"/>
        <v>0</v>
      </c>
      <c r="AD132" s="8">
        <f t="shared" si="36"/>
        <v>0</v>
      </c>
      <c r="AE132" s="8">
        <f t="shared" si="36"/>
        <v>0</v>
      </c>
      <c r="AF132" s="8">
        <f t="shared" si="36"/>
        <v>0</v>
      </c>
      <c r="AG132" s="8">
        <f t="shared" si="36"/>
        <v>0</v>
      </c>
    </row>
    <row r="133" spans="1:37" hidden="1" outlineLevel="1">
      <c r="A133" t="s">
        <v>249</v>
      </c>
      <c r="G133" s="8">
        <f t="shared" si="36"/>
        <v>1020.0666666666666</v>
      </c>
      <c r="H133" s="8">
        <f t="shared" si="36"/>
        <v>863.13333333333333</v>
      </c>
      <c r="I133" s="8">
        <f t="shared" si="36"/>
        <v>706.2</v>
      </c>
      <c r="J133" s="8">
        <f t="shared" si="36"/>
        <v>549.26666666666665</v>
      </c>
      <c r="K133" s="8">
        <f t="shared" si="36"/>
        <v>392.33333333333326</v>
      </c>
      <c r="L133" s="8">
        <f t="shared" si="36"/>
        <v>235.39999999999986</v>
      </c>
      <c r="M133" s="8">
        <f t="shared" si="36"/>
        <v>78.46666666666647</v>
      </c>
      <c r="N133" s="8">
        <f t="shared" si="36"/>
        <v>0</v>
      </c>
      <c r="O133" s="8">
        <f t="shared" si="36"/>
        <v>0</v>
      </c>
      <c r="P133" s="8">
        <f t="shared" si="36"/>
        <v>0</v>
      </c>
      <c r="Q133" s="8">
        <f t="shared" si="36"/>
        <v>0</v>
      </c>
      <c r="R133" s="8">
        <f t="shared" si="36"/>
        <v>0</v>
      </c>
      <c r="S133" s="8">
        <f t="shared" si="36"/>
        <v>0</v>
      </c>
      <c r="T133" s="8">
        <f t="shared" si="36"/>
        <v>0</v>
      </c>
      <c r="U133" s="8">
        <f t="shared" si="36"/>
        <v>0</v>
      </c>
      <c r="V133" s="8">
        <f t="shared" si="36"/>
        <v>0</v>
      </c>
      <c r="W133" s="8">
        <f t="shared" si="36"/>
        <v>0</v>
      </c>
      <c r="X133" s="8">
        <f t="shared" si="36"/>
        <v>0</v>
      </c>
      <c r="Y133" s="8">
        <f t="shared" si="36"/>
        <v>0</v>
      </c>
      <c r="Z133" s="8">
        <f t="shared" si="36"/>
        <v>0</v>
      </c>
      <c r="AA133" s="8">
        <f t="shared" si="36"/>
        <v>0</v>
      </c>
      <c r="AB133" s="8">
        <f t="shared" si="36"/>
        <v>0</v>
      </c>
      <c r="AC133" s="8">
        <f t="shared" si="36"/>
        <v>0</v>
      </c>
      <c r="AD133" s="8">
        <f t="shared" si="36"/>
        <v>0</v>
      </c>
      <c r="AE133" s="8">
        <f t="shared" si="36"/>
        <v>0</v>
      </c>
      <c r="AF133" s="8">
        <f t="shared" si="36"/>
        <v>0</v>
      </c>
      <c r="AG133" s="8">
        <f t="shared" si="36"/>
        <v>0</v>
      </c>
    </row>
    <row r="134" spans="1:37" hidden="1" outlineLevel="1">
      <c r="A134" t="s">
        <v>250</v>
      </c>
      <c r="H134" s="8">
        <f t="shared" si="36"/>
        <v>1501.0666666666666</v>
      </c>
      <c r="I134" s="8">
        <f t="shared" si="36"/>
        <v>1270.1333333333332</v>
      </c>
      <c r="J134" s="8">
        <f t="shared" si="36"/>
        <v>1039.2</v>
      </c>
      <c r="K134" s="8">
        <f t="shared" si="36"/>
        <v>808.26666666666665</v>
      </c>
      <c r="L134" s="8">
        <f t="shared" si="36"/>
        <v>577.33333333333326</v>
      </c>
      <c r="M134" s="8">
        <f t="shared" si="36"/>
        <v>346.39999999999986</v>
      </c>
      <c r="N134" s="8">
        <f t="shared" si="36"/>
        <v>115.46666666666647</v>
      </c>
      <c r="O134" s="8">
        <f t="shared" si="36"/>
        <v>0</v>
      </c>
      <c r="P134" s="8">
        <f t="shared" si="36"/>
        <v>0</v>
      </c>
      <c r="Q134" s="8">
        <f t="shared" si="36"/>
        <v>0</v>
      </c>
      <c r="R134" s="8">
        <f t="shared" si="36"/>
        <v>0</v>
      </c>
      <c r="S134" s="8">
        <f t="shared" si="36"/>
        <v>0</v>
      </c>
      <c r="T134" s="8">
        <f t="shared" si="36"/>
        <v>0</v>
      </c>
      <c r="U134" s="8">
        <f t="shared" si="36"/>
        <v>0</v>
      </c>
      <c r="V134" s="8">
        <f t="shared" si="36"/>
        <v>0</v>
      </c>
      <c r="W134" s="8">
        <f t="shared" si="36"/>
        <v>0</v>
      </c>
      <c r="X134" s="8">
        <f t="shared" si="36"/>
        <v>0</v>
      </c>
      <c r="Y134" s="8">
        <f t="shared" si="36"/>
        <v>0</v>
      </c>
      <c r="Z134" s="8">
        <f t="shared" si="36"/>
        <v>0</v>
      </c>
      <c r="AA134" s="8">
        <f t="shared" si="36"/>
        <v>0</v>
      </c>
      <c r="AB134" s="8">
        <f t="shared" si="36"/>
        <v>0</v>
      </c>
      <c r="AC134" s="8">
        <f t="shared" si="36"/>
        <v>0</v>
      </c>
      <c r="AD134" s="8">
        <f t="shared" si="36"/>
        <v>0</v>
      </c>
      <c r="AE134" s="8">
        <f t="shared" si="36"/>
        <v>0</v>
      </c>
      <c r="AF134" s="8">
        <f t="shared" si="36"/>
        <v>0</v>
      </c>
      <c r="AG134" s="8">
        <f t="shared" si="36"/>
        <v>0</v>
      </c>
    </row>
    <row r="135" spans="1:37" hidden="1" outlineLevel="1">
      <c r="A135" t="s">
        <v>251</v>
      </c>
      <c r="I135" s="8">
        <f t="shared" si="36"/>
        <v>1074.6666666666667</v>
      </c>
      <c r="J135" s="8">
        <f t="shared" si="36"/>
        <v>909.33333333333326</v>
      </c>
      <c r="K135" s="8">
        <f t="shared" si="36"/>
        <v>744</v>
      </c>
      <c r="L135" s="8">
        <f t="shared" si="36"/>
        <v>578.66666666666663</v>
      </c>
      <c r="M135" s="8">
        <f t="shared" si="36"/>
        <v>413.33333333333326</v>
      </c>
      <c r="N135" s="8">
        <f t="shared" si="36"/>
        <v>247.99999999999989</v>
      </c>
      <c r="O135" s="8">
        <f t="shared" si="36"/>
        <v>82.666666666666515</v>
      </c>
      <c r="P135" s="8">
        <f t="shared" si="36"/>
        <v>0</v>
      </c>
      <c r="Q135" s="8">
        <f t="shared" si="36"/>
        <v>0</v>
      </c>
      <c r="R135" s="8">
        <f t="shared" si="36"/>
        <v>0</v>
      </c>
      <c r="S135" s="8">
        <f t="shared" si="36"/>
        <v>0</v>
      </c>
      <c r="T135" s="8">
        <f t="shared" si="36"/>
        <v>0</v>
      </c>
      <c r="U135" s="8">
        <f t="shared" si="36"/>
        <v>0</v>
      </c>
      <c r="V135" s="8">
        <f t="shared" si="36"/>
        <v>0</v>
      </c>
      <c r="W135" s="8">
        <f t="shared" si="36"/>
        <v>0</v>
      </c>
      <c r="X135" s="8">
        <f t="shared" si="36"/>
        <v>0</v>
      </c>
      <c r="Y135" s="8">
        <f t="shared" si="36"/>
        <v>0</v>
      </c>
      <c r="Z135" s="8">
        <f t="shared" si="36"/>
        <v>0</v>
      </c>
      <c r="AA135" s="8">
        <f t="shared" si="36"/>
        <v>0</v>
      </c>
      <c r="AB135" s="8">
        <f t="shared" si="36"/>
        <v>0</v>
      </c>
      <c r="AC135" s="8">
        <f t="shared" si="36"/>
        <v>0</v>
      </c>
      <c r="AD135" s="8">
        <f t="shared" si="36"/>
        <v>0</v>
      </c>
      <c r="AE135" s="8">
        <f t="shared" si="36"/>
        <v>0</v>
      </c>
      <c r="AF135" s="8">
        <f t="shared" si="36"/>
        <v>0</v>
      </c>
      <c r="AG135" s="8">
        <f t="shared" si="36"/>
        <v>0</v>
      </c>
    </row>
    <row r="136" spans="1:37" hidden="1" outlineLevel="1">
      <c r="A136" t="s">
        <v>252</v>
      </c>
      <c r="J136" s="8">
        <f t="shared" si="36"/>
        <v>2836.6</v>
      </c>
      <c r="K136" s="8">
        <f t="shared" si="36"/>
        <v>2400.1999999999998</v>
      </c>
      <c r="L136" s="8">
        <f t="shared" si="36"/>
        <v>1963.8000000000002</v>
      </c>
      <c r="M136" s="8">
        <f t="shared" si="36"/>
        <v>1527.4</v>
      </c>
      <c r="N136" s="8">
        <f t="shared" si="36"/>
        <v>1091</v>
      </c>
      <c r="O136" s="8">
        <f t="shared" si="36"/>
        <v>654.59999999999991</v>
      </c>
      <c r="P136" s="8">
        <f t="shared" si="36"/>
        <v>218.19999999999982</v>
      </c>
      <c r="Q136" s="8">
        <f t="shared" si="36"/>
        <v>0</v>
      </c>
      <c r="R136" s="8">
        <f t="shared" si="36"/>
        <v>0</v>
      </c>
      <c r="S136" s="8">
        <f t="shared" si="36"/>
        <v>0</v>
      </c>
      <c r="T136" s="8">
        <f t="shared" si="36"/>
        <v>0</v>
      </c>
      <c r="U136" s="8">
        <f t="shared" si="36"/>
        <v>0</v>
      </c>
      <c r="V136" s="8">
        <f t="shared" si="36"/>
        <v>0</v>
      </c>
      <c r="W136" s="8">
        <f t="shared" si="36"/>
        <v>0</v>
      </c>
      <c r="X136" s="8">
        <f t="shared" si="36"/>
        <v>0</v>
      </c>
      <c r="Y136" s="8">
        <f t="shared" si="36"/>
        <v>0</v>
      </c>
      <c r="Z136" s="8">
        <f t="shared" si="36"/>
        <v>0</v>
      </c>
      <c r="AA136" s="8">
        <f t="shared" si="36"/>
        <v>0</v>
      </c>
      <c r="AB136" s="8">
        <f t="shared" si="36"/>
        <v>0</v>
      </c>
      <c r="AC136" s="8">
        <f t="shared" si="36"/>
        <v>0</v>
      </c>
      <c r="AD136" s="8">
        <f t="shared" si="36"/>
        <v>0</v>
      </c>
      <c r="AE136" s="8">
        <f t="shared" si="36"/>
        <v>0</v>
      </c>
      <c r="AF136" s="8">
        <f t="shared" si="36"/>
        <v>0</v>
      </c>
      <c r="AG136" s="8">
        <f t="shared" si="36"/>
        <v>0</v>
      </c>
    </row>
    <row r="137" spans="1:37" hidden="1" outlineLevel="1">
      <c r="A137" t="s">
        <v>253</v>
      </c>
      <c r="K137" s="8">
        <f t="shared" si="36"/>
        <v>4593.333333333333</v>
      </c>
      <c r="L137" s="8">
        <f t="shared" si="36"/>
        <v>3886.666666666667</v>
      </c>
      <c r="M137" s="8">
        <f t="shared" si="36"/>
        <v>3180</v>
      </c>
      <c r="N137" s="8">
        <f t="shared" si="36"/>
        <v>2473.3333333333335</v>
      </c>
      <c r="O137" s="8">
        <f t="shared" si="36"/>
        <v>1766.666666666667</v>
      </c>
      <c r="P137" s="8">
        <f t="shared" si="36"/>
        <v>1060</v>
      </c>
      <c r="Q137" s="8">
        <f t="shared" si="36"/>
        <v>353.33333333333303</v>
      </c>
      <c r="R137" s="8">
        <f t="shared" si="36"/>
        <v>0</v>
      </c>
      <c r="S137" s="8">
        <f t="shared" si="36"/>
        <v>0</v>
      </c>
      <c r="T137" s="8">
        <f t="shared" si="36"/>
        <v>0</v>
      </c>
      <c r="U137" s="8">
        <f t="shared" si="36"/>
        <v>0</v>
      </c>
      <c r="V137" s="8">
        <f t="shared" si="36"/>
        <v>0</v>
      </c>
      <c r="W137" s="8">
        <f t="shared" si="36"/>
        <v>0</v>
      </c>
      <c r="X137" s="8">
        <f t="shared" si="36"/>
        <v>0</v>
      </c>
      <c r="Y137" s="8">
        <f t="shared" si="36"/>
        <v>0</v>
      </c>
      <c r="Z137" s="8">
        <f t="shared" si="36"/>
        <v>0</v>
      </c>
      <c r="AA137" s="8">
        <f t="shared" si="36"/>
        <v>0</v>
      </c>
      <c r="AB137" s="8">
        <f t="shared" si="36"/>
        <v>0</v>
      </c>
      <c r="AC137" s="8">
        <f t="shared" si="36"/>
        <v>0</v>
      </c>
      <c r="AD137" s="8">
        <f t="shared" si="36"/>
        <v>0</v>
      </c>
      <c r="AE137" s="8">
        <f t="shared" si="36"/>
        <v>0</v>
      </c>
      <c r="AF137" s="8">
        <f t="shared" si="36"/>
        <v>0</v>
      </c>
      <c r="AG137" s="8">
        <f t="shared" si="36"/>
        <v>0</v>
      </c>
    </row>
    <row r="138" spans="1:37" hidden="1" outlineLevel="1">
      <c r="A138" t="s">
        <v>254</v>
      </c>
      <c r="L138" s="8">
        <f t="shared" si="36"/>
        <v>3928.6</v>
      </c>
      <c r="M138" s="8">
        <f t="shared" si="36"/>
        <v>3324.2</v>
      </c>
      <c r="N138" s="8">
        <f>+N72-N105</f>
        <v>2719.8</v>
      </c>
      <c r="O138" s="8">
        <f t="shared" si="36"/>
        <v>2115.4</v>
      </c>
      <c r="P138" s="8">
        <f t="shared" si="36"/>
        <v>1511</v>
      </c>
      <c r="Q138" s="8">
        <f t="shared" si="36"/>
        <v>906.59999999999991</v>
      </c>
      <c r="R138" s="8">
        <f t="shared" si="36"/>
        <v>402.93333333333339</v>
      </c>
      <c r="S138" s="8">
        <f t="shared" si="36"/>
        <v>0</v>
      </c>
      <c r="T138" s="8">
        <f t="shared" si="36"/>
        <v>0</v>
      </c>
      <c r="U138" s="8">
        <f t="shared" si="36"/>
        <v>0</v>
      </c>
      <c r="V138" s="8">
        <f t="shared" si="36"/>
        <v>0</v>
      </c>
      <c r="W138" s="8">
        <f t="shared" si="36"/>
        <v>0</v>
      </c>
      <c r="X138" s="8">
        <f t="shared" si="36"/>
        <v>0</v>
      </c>
      <c r="Y138" s="8">
        <f t="shared" si="36"/>
        <v>0</v>
      </c>
      <c r="Z138" s="8">
        <f t="shared" si="36"/>
        <v>0</v>
      </c>
      <c r="AA138" s="8">
        <f t="shared" si="36"/>
        <v>0</v>
      </c>
      <c r="AB138" s="8">
        <f t="shared" si="36"/>
        <v>0</v>
      </c>
      <c r="AC138" s="8">
        <f t="shared" si="36"/>
        <v>0</v>
      </c>
      <c r="AD138" s="8">
        <f t="shared" si="36"/>
        <v>0</v>
      </c>
      <c r="AE138" s="8">
        <f t="shared" si="36"/>
        <v>0</v>
      </c>
      <c r="AF138" s="8">
        <f t="shared" si="36"/>
        <v>0</v>
      </c>
      <c r="AG138" s="8">
        <f t="shared" si="36"/>
        <v>0</v>
      </c>
    </row>
    <row r="139" spans="1:37" hidden="1" outlineLevel="1">
      <c r="A139" t="s">
        <v>255</v>
      </c>
      <c r="M139" s="8">
        <f t="shared" si="36"/>
        <v>5043.1333333333332</v>
      </c>
      <c r="N139" s="8">
        <f>+N73-N106</f>
        <v>4267.2666666666664</v>
      </c>
      <c r="O139" s="8">
        <f t="shared" si="36"/>
        <v>3491.4</v>
      </c>
      <c r="P139" s="8">
        <f t="shared" si="36"/>
        <v>2715.5333333333333</v>
      </c>
      <c r="Q139" s="8">
        <f t="shared" si="36"/>
        <v>1939.6666666666665</v>
      </c>
      <c r="R139" s="8">
        <f t="shared" si="36"/>
        <v>1293.1111111111113</v>
      </c>
      <c r="S139" s="8">
        <f t="shared" si="36"/>
        <v>646.55555555555566</v>
      </c>
      <c r="T139" s="8">
        <f t="shared" si="36"/>
        <v>117.55555555555566</v>
      </c>
      <c r="U139" s="8">
        <f t="shared" si="36"/>
        <v>0</v>
      </c>
      <c r="V139" s="8">
        <f t="shared" si="36"/>
        <v>0</v>
      </c>
      <c r="W139" s="8">
        <f t="shared" si="36"/>
        <v>0</v>
      </c>
      <c r="X139" s="8">
        <f t="shared" si="36"/>
        <v>0</v>
      </c>
      <c r="Y139" s="8">
        <f t="shared" si="36"/>
        <v>0</v>
      </c>
      <c r="Z139" s="8">
        <f t="shared" si="36"/>
        <v>0</v>
      </c>
      <c r="AA139" s="8">
        <f t="shared" si="36"/>
        <v>0</v>
      </c>
      <c r="AB139" s="8">
        <f t="shared" si="36"/>
        <v>0</v>
      </c>
      <c r="AC139" s="8">
        <f t="shared" si="36"/>
        <v>0</v>
      </c>
      <c r="AD139" s="8">
        <f t="shared" si="36"/>
        <v>0</v>
      </c>
      <c r="AE139" s="8">
        <f t="shared" si="36"/>
        <v>0</v>
      </c>
      <c r="AF139" s="8">
        <f t="shared" si="36"/>
        <v>0</v>
      </c>
      <c r="AG139" s="8">
        <f t="shared" si="36"/>
        <v>0</v>
      </c>
    </row>
    <row r="140" spans="1:37" hidden="1" outlineLevel="1">
      <c r="A140" t="s">
        <v>256</v>
      </c>
      <c r="N140" s="8">
        <f t="shared" ref="N140:Y148" si="37">+N74-N107</f>
        <v>8456.0666666666657</v>
      </c>
      <c r="O140" s="8">
        <f t="shared" si="37"/>
        <v>7155.1333333333332</v>
      </c>
      <c r="P140" s="8">
        <f t="shared" si="37"/>
        <v>5854.2</v>
      </c>
      <c r="Q140" s="8">
        <f t="shared" si="37"/>
        <v>4553.2666666666664</v>
      </c>
      <c r="R140" s="8">
        <f t="shared" si="37"/>
        <v>3469.1555555555551</v>
      </c>
      <c r="S140" s="8">
        <f t="shared" si="37"/>
        <v>2385.0444444444438</v>
      </c>
      <c r="T140" s="8">
        <f t="shared" si="37"/>
        <v>1498.0444444444438</v>
      </c>
      <c r="U140" s="8">
        <f t="shared" si="36"/>
        <v>611.0444444444438</v>
      </c>
      <c r="V140" s="8">
        <f t="shared" si="37"/>
        <v>0</v>
      </c>
      <c r="W140" s="8">
        <f t="shared" si="37"/>
        <v>0</v>
      </c>
      <c r="X140" s="8">
        <f t="shared" si="37"/>
        <v>0</v>
      </c>
      <c r="Y140" s="8">
        <f t="shared" si="37"/>
        <v>0</v>
      </c>
      <c r="Z140" s="8">
        <f t="shared" si="36"/>
        <v>0</v>
      </c>
      <c r="AA140" s="8">
        <f t="shared" si="36"/>
        <v>0</v>
      </c>
      <c r="AB140" s="8">
        <f t="shared" ref="Z140:AG155" si="38">+AB74-AB107</f>
        <v>0</v>
      </c>
      <c r="AC140" s="8">
        <f t="shared" si="38"/>
        <v>0</v>
      </c>
      <c r="AD140" s="8">
        <f t="shared" si="38"/>
        <v>0</v>
      </c>
      <c r="AE140" s="8">
        <f t="shared" si="38"/>
        <v>0</v>
      </c>
      <c r="AF140" s="8">
        <f t="shared" si="38"/>
        <v>0</v>
      </c>
      <c r="AG140" s="8">
        <f t="shared" si="38"/>
        <v>0</v>
      </c>
    </row>
    <row r="141" spans="1:37" hidden="1" outlineLevel="1">
      <c r="A141" t="s">
        <v>257</v>
      </c>
      <c r="O141" s="8">
        <f t="shared" si="37"/>
        <v>9334</v>
      </c>
      <c r="P141" s="8">
        <f t="shared" si="37"/>
        <v>7898</v>
      </c>
      <c r="Q141" s="8">
        <f t="shared" si="37"/>
        <v>6462</v>
      </c>
      <c r="R141" s="8">
        <f t="shared" si="37"/>
        <v>5265.333333333333</v>
      </c>
      <c r="S141" s="8">
        <f t="shared" si="37"/>
        <v>4068.6666666666661</v>
      </c>
      <c r="T141" s="8">
        <f t="shared" si="37"/>
        <v>3089.5757575757571</v>
      </c>
      <c r="U141" s="8">
        <f t="shared" si="37"/>
        <v>2110.484848484848</v>
      </c>
      <c r="V141" s="8">
        <f t="shared" si="37"/>
        <v>1131.3939393939381</v>
      </c>
      <c r="W141" s="8">
        <f t="shared" si="37"/>
        <v>152.30303030302821</v>
      </c>
      <c r="X141" s="8">
        <f t="shared" si="37"/>
        <v>0</v>
      </c>
      <c r="Y141" s="8">
        <f t="shared" si="37"/>
        <v>0</v>
      </c>
      <c r="Z141" s="8">
        <f t="shared" si="38"/>
        <v>0</v>
      </c>
      <c r="AA141" s="8">
        <f t="shared" si="38"/>
        <v>0</v>
      </c>
      <c r="AB141" s="8">
        <f t="shared" si="38"/>
        <v>0</v>
      </c>
      <c r="AC141" s="8">
        <f t="shared" si="38"/>
        <v>0</v>
      </c>
      <c r="AD141" s="8">
        <f t="shared" si="38"/>
        <v>0</v>
      </c>
      <c r="AE141" s="8">
        <f t="shared" si="38"/>
        <v>0</v>
      </c>
      <c r="AF141" s="8">
        <f t="shared" si="38"/>
        <v>0</v>
      </c>
      <c r="AG141" s="8">
        <f t="shared" si="38"/>
        <v>0</v>
      </c>
      <c r="AH141" s="8"/>
    </row>
    <row r="142" spans="1:37" hidden="1" outlineLevel="1">
      <c r="A142" t="s">
        <v>258</v>
      </c>
      <c r="P142" s="8">
        <f>+P76-P109</f>
        <v>11374.133333333333</v>
      </c>
      <c r="Q142" s="8">
        <f t="shared" si="37"/>
        <v>9624.2666666666664</v>
      </c>
      <c r="R142" s="8">
        <f t="shared" si="37"/>
        <v>8166.0444444444447</v>
      </c>
      <c r="S142" s="8">
        <f t="shared" si="37"/>
        <v>6707.822222222223</v>
      </c>
      <c r="T142" s="8">
        <f t="shared" si="37"/>
        <v>5514.731313131314</v>
      </c>
      <c r="U142" s="8">
        <f t="shared" si="37"/>
        <v>4321.640404040405</v>
      </c>
      <c r="V142" s="8">
        <f t="shared" si="37"/>
        <v>3128.5494949494969</v>
      </c>
      <c r="W142" s="8">
        <f t="shared" si="37"/>
        <v>1935.4585858585888</v>
      </c>
      <c r="X142" s="8">
        <f t="shared" si="37"/>
        <v>742.36767676768068</v>
      </c>
      <c r="Y142" s="8">
        <f t="shared" si="37"/>
        <v>0</v>
      </c>
      <c r="Z142" s="8">
        <f t="shared" si="38"/>
        <v>0</v>
      </c>
      <c r="AA142" s="8">
        <f t="shared" si="38"/>
        <v>0</v>
      </c>
      <c r="AB142" s="8">
        <f t="shared" si="38"/>
        <v>0</v>
      </c>
      <c r="AC142" s="8">
        <f t="shared" si="38"/>
        <v>0</v>
      </c>
      <c r="AD142" s="8">
        <f t="shared" si="38"/>
        <v>0</v>
      </c>
      <c r="AE142" s="8">
        <f t="shared" si="38"/>
        <v>0</v>
      </c>
      <c r="AF142" s="8">
        <f t="shared" si="38"/>
        <v>0</v>
      </c>
      <c r="AG142" s="8">
        <f t="shared" si="38"/>
        <v>0</v>
      </c>
      <c r="AH142" s="8"/>
      <c r="AI142" s="8"/>
    </row>
    <row r="143" spans="1:37" hidden="1" outlineLevel="1">
      <c r="A143" t="s">
        <v>259</v>
      </c>
      <c r="Q143" s="8">
        <f t="shared" si="37"/>
        <v>13468.866666666667</v>
      </c>
      <c r="R143" s="8">
        <f t="shared" si="37"/>
        <v>11742.088888888889</v>
      </c>
      <c r="S143" s="8">
        <f>+S77-S110</f>
        <v>10015.31111111111</v>
      </c>
      <c r="T143" s="8">
        <f t="shared" si="37"/>
        <v>8602.4929292929301</v>
      </c>
      <c r="U143" s="8">
        <f t="shared" si="37"/>
        <v>7189.6747474747481</v>
      </c>
      <c r="V143" s="8">
        <f t="shared" si="37"/>
        <v>5776.8565656565661</v>
      </c>
      <c r="W143" s="8">
        <f t="shared" si="37"/>
        <v>4364.0383838383841</v>
      </c>
      <c r="X143" s="8">
        <f t="shared" si="37"/>
        <v>2951.2202020202021</v>
      </c>
      <c r="Y143" s="8">
        <f t="shared" si="37"/>
        <v>1538.4020202020201</v>
      </c>
      <c r="Z143" s="8">
        <f t="shared" si="38"/>
        <v>125.58383838383816</v>
      </c>
      <c r="AA143" s="8">
        <f t="shared" si="38"/>
        <v>0</v>
      </c>
      <c r="AB143" s="8">
        <f t="shared" si="38"/>
        <v>0</v>
      </c>
      <c r="AC143" s="8">
        <f t="shared" si="38"/>
        <v>0</v>
      </c>
      <c r="AD143" s="8">
        <f t="shared" si="38"/>
        <v>0</v>
      </c>
      <c r="AE143" s="8">
        <f t="shared" si="38"/>
        <v>0</v>
      </c>
      <c r="AF143" s="8">
        <f t="shared" si="38"/>
        <v>0</v>
      </c>
      <c r="AG143" s="8">
        <f t="shared" si="38"/>
        <v>0</v>
      </c>
      <c r="AH143" s="8"/>
      <c r="AI143" s="8"/>
      <c r="AJ143" s="8"/>
    </row>
    <row r="144" spans="1:37" hidden="1" outlineLevel="1">
      <c r="A144" t="s">
        <v>260</v>
      </c>
      <c r="R144" s="8">
        <f t="shared" si="37"/>
        <v>21082.666666666668</v>
      </c>
      <c r="S144" s="8">
        <f t="shared" si="37"/>
        <v>18447.333333333332</v>
      </c>
      <c r="T144" s="8">
        <f t="shared" si="37"/>
        <v>16291.151515151516</v>
      </c>
      <c r="U144" s="8">
        <f t="shared" si="37"/>
        <v>14134.969696969696</v>
      </c>
      <c r="V144" s="8">
        <f t="shared" si="37"/>
        <v>11978.787878787878</v>
      </c>
      <c r="W144" s="8">
        <f t="shared" si="37"/>
        <v>9822.6060606060601</v>
      </c>
      <c r="X144" s="8">
        <f t="shared" si="37"/>
        <v>7666.424242424242</v>
      </c>
      <c r="Y144" s="8">
        <f t="shared" si="37"/>
        <v>5510.242424242424</v>
      </c>
      <c r="Z144" s="8">
        <f t="shared" si="38"/>
        <v>3354.0606060606078</v>
      </c>
      <c r="AA144" s="8">
        <f t="shared" si="38"/>
        <v>1197.8787878787916</v>
      </c>
      <c r="AB144" s="8">
        <f t="shared" si="38"/>
        <v>0</v>
      </c>
      <c r="AC144" s="8">
        <f t="shared" si="38"/>
        <v>0</v>
      </c>
      <c r="AD144" s="8">
        <f t="shared" si="38"/>
        <v>0</v>
      </c>
      <c r="AE144" s="8">
        <f t="shared" si="38"/>
        <v>0</v>
      </c>
      <c r="AF144" s="8">
        <f t="shared" si="38"/>
        <v>0</v>
      </c>
      <c r="AG144" s="8">
        <f t="shared" si="38"/>
        <v>0</v>
      </c>
      <c r="AH144" s="8"/>
      <c r="AI144" s="8"/>
      <c r="AJ144" s="8"/>
      <c r="AK144" s="8"/>
    </row>
    <row r="145" spans="1:44" hidden="1" outlineLevel="1">
      <c r="A145" t="s">
        <v>109</v>
      </c>
      <c r="S145" s="8">
        <f t="shared" si="37"/>
        <v>20437.333333333332</v>
      </c>
      <c r="T145" s="8">
        <f t="shared" si="37"/>
        <v>18347.151515151516</v>
      </c>
      <c r="U145" s="8">
        <f t="shared" si="37"/>
        <v>16256.969696969698</v>
      </c>
      <c r="V145" s="8">
        <f t="shared" si="37"/>
        <v>14166.78787878788</v>
      </c>
      <c r="W145" s="8">
        <f t="shared" si="37"/>
        <v>12076.606060606062</v>
      </c>
      <c r="X145" s="8">
        <f t="shared" si="37"/>
        <v>9986.4242424242439</v>
      </c>
      <c r="Y145" s="8">
        <f t="shared" si="37"/>
        <v>7896.2424242424258</v>
      </c>
      <c r="Z145" s="8">
        <f t="shared" si="38"/>
        <v>5806.0606060606078</v>
      </c>
      <c r="AA145" s="8">
        <f t="shared" si="38"/>
        <v>3715.8787878787916</v>
      </c>
      <c r="AB145" s="8">
        <f t="shared" si="38"/>
        <v>1625.6969696969754</v>
      </c>
      <c r="AC145" s="8">
        <f t="shared" si="38"/>
        <v>0</v>
      </c>
      <c r="AD145" s="8">
        <f t="shared" si="38"/>
        <v>0</v>
      </c>
      <c r="AE145" s="8">
        <f t="shared" si="38"/>
        <v>0</v>
      </c>
      <c r="AF145" s="8">
        <f t="shared" si="38"/>
        <v>0</v>
      </c>
      <c r="AG145" s="8">
        <f t="shared" si="38"/>
        <v>0</v>
      </c>
      <c r="AH145" s="8"/>
      <c r="AI145" s="8"/>
      <c r="AJ145" s="8"/>
      <c r="AK145" s="8"/>
      <c r="AL145" s="8"/>
    </row>
    <row r="146" spans="1:44" hidden="1" outlineLevel="1">
      <c r="A146" t="s">
        <v>190</v>
      </c>
      <c r="T146" s="8">
        <f t="shared" si="37"/>
        <v>27121.818181818184</v>
      </c>
      <c r="U146" s="8">
        <f t="shared" si="37"/>
        <v>24409.636363636364</v>
      </c>
      <c r="V146" s="8">
        <f t="shared" si="37"/>
        <v>21697.454545454544</v>
      </c>
      <c r="W146" s="8">
        <f t="shared" si="37"/>
        <v>18985.272727272728</v>
      </c>
      <c r="X146" s="8">
        <f t="shared" si="37"/>
        <v>16273.09090909091</v>
      </c>
      <c r="Y146" s="8">
        <f t="shared" si="37"/>
        <v>13560.909090909092</v>
      </c>
      <c r="Z146" s="8">
        <f t="shared" si="38"/>
        <v>10848.727272727272</v>
      </c>
      <c r="AA146" s="8">
        <f t="shared" si="38"/>
        <v>8136.5454545454559</v>
      </c>
      <c r="AB146" s="8">
        <f t="shared" si="38"/>
        <v>5424.3636363636397</v>
      </c>
      <c r="AC146" s="8">
        <f t="shared" si="38"/>
        <v>2712.1818181818235</v>
      </c>
      <c r="AD146" s="8">
        <f t="shared" si="38"/>
        <v>0</v>
      </c>
      <c r="AE146" s="8">
        <f t="shared" si="38"/>
        <v>0</v>
      </c>
      <c r="AF146" s="8">
        <f t="shared" si="38"/>
        <v>0</v>
      </c>
      <c r="AG146" s="8">
        <f t="shared" si="38"/>
        <v>0</v>
      </c>
      <c r="AH146" s="8"/>
      <c r="AI146" s="8"/>
      <c r="AJ146" s="8"/>
      <c r="AK146" s="8"/>
      <c r="AL146" s="8"/>
      <c r="AM146" s="8"/>
    </row>
    <row r="147" spans="1:44" hidden="1" outlineLevel="1">
      <c r="A147" t="s">
        <v>191</v>
      </c>
      <c r="U147" s="8">
        <f t="shared" si="37"/>
        <v>48120</v>
      </c>
      <c r="V147" s="8">
        <f t="shared" si="37"/>
        <v>39370.909090909088</v>
      </c>
      <c r="W147" s="8">
        <f t="shared" si="37"/>
        <v>34996.363636363632</v>
      </c>
      <c r="X147" s="8">
        <f t="shared" si="37"/>
        <v>30621.81818181818</v>
      </c>
      <c r="Y147" s="8">
        <f t="shared" si="37"/>
        <v>26247.272727272724</v>
      </c>
      <c r="Z147" s="8">
        <f t="shared" si="38"/>
        <v>21872.727272727268</v>
      </c>
      <c r="AA147" s="8">
        <f t="shared" si="38"/>
        <v>17498.181818181813</v>
      </c>
      <c r="AB147" s="8">
        <f t="shared" si="38"/>
        <v>13123.63636363636</v>
      </c>
      <c r="AC147" s="8">
        <f t="shared" si="38"/>
        <v>8749.0909090909045</v>
      </c>
      <c r="AD147" s="8">
        <f t="shared" si="38"/>
        <v>4374.5454545454486</v>
      </c>
      <c r="AE147" s="8">
        <f t="shared" si="38"/>
        <v>0</v>
      </c>
      <c r="AF147" s="8">
        <f t="shared" si="38"/>
        <v>0</v>
      </c>
      <c r="AG147" s="8">
        <f t="shared" si="38"/>
        <v>0</v>
      </c>
      <c r="AH147" s="8"/>
      <c r="AI147" s="8"/>
      <c r="AJ147" s="8"/>
      <c r="AK147" s="8"/>
      <c r="AL147" s="8"/>
      <c r="AM147" s="8"/>
      <c r="AN147" s="8"/>
    </row>
    <row r="148" spans="1:44" hidden="1" outlineLevel="1">
      <c r="A148" t="s">
        <v>72</v>
      </c>
      <c r="V148" s="8">
        <f t="shared" si="37"/>
        <v>63819.813938305859</v>
      </c>
      <c r="W148" s="8">
        <f t="shared" si="37"/>
        <v>57437.832544475277</v>
      </c>
      <c r="X148" s="8">
        <f t="shared" si="37"/>
        <v>51055.851150644688</v>
      </c>
      <c r="Y148" s="8">
        <f t="shared" si="37"/>
        <v>44673.869756814107</v>
      </c>
      <c r="Z148" s="8">
        <f t="shared" si="38"/>
        <v>38291.888362983518</v>
      </c>
      <c r="AA148" s="8">
        <f t="shared" si="38"/>
        <v>31909.906969152929</v>
      </c>
      <c r="AB148" s="8">
        <f t="shared" si="38"/>
        <v>25527.925575322341</v>
      </c>
      <c r="AC148" s="8">
        <f t="shared" si="38"/>
        <v>19145.944181491752</v>
      </c>
      <c r="AD148" s="8">
        <f t="shared" si="38"/>
        <v>12763.962787661163</v>
      </c>
      <c r="AE148" s="8">
        <f t="shared" si="38"/>
        <v>6381.9813938305742</v>
      </c>
      <c r="AF148" s="8">
        <f t="shared" si="38"/>
        <v>0</v>
      </c>
      <c r="AG148" s="8">
        <f t="shared" si="38"/>
        <v>0</v>
      </c>
      <c r="AH148" s="8"/>
      <c r="AI148" s="8"/>
      <c r="AJ148" s="8"/>
      <c r="AK148" s="8"/>
      <c r="AL148" s="8"/>
      <c r="AM148" s="8"/>
      <c r="AN148" s="8"/>
      <c r="AO148" s="8"/>
    </row>
    <row r="149" spans="1:44" hidden="1" outlineLevel="1">
      <c r="A149" t="s">
        <v>73</v>
      </c>
      <c r="W149" s="8">
        <f>+W83-W116</f>
        <v>54046.206803103072</v>
      </c>
      <c r="X149" s="8">
        <f>+X83-X116</f>
        <v>48641.586122792767</v>
      </c>
      <c r="Y149" s="8">
        <f>+Y83-Y116</f>
        <v>43236.965442482455</v>
      </c>
      <c r="Z149" s="8">
        <f t="shared" si="38"/>
        <v>37832.34476217215</v>
      </c>
      <c r="AA149" s="8">
        <f t="shared" si="38"/>
        <v>32427.724081861845</v>
      </c>
      <c r="AB149" s="8">
        <f t="shared" si="38"/>
        <v>27023.10340155154</v>
      </c>
      <c r="AC149" s="8">
        <f t="shared" si="38"/>
        <v>21618.482721241235</v>
      </c>
      <c r="AD149" s="8">
        <f t="shared" si="38"/>
        <v>16213.86204093093</v>
      </c>
      <c r="AE149" s="8">
        <f t="shared" si="38"/>
        <v>10809.241360620625</v>
      </c>
      <c r="AF149" s="8">
        <f t="shared" si="38"/>
        <v>5404.6206803103196</v>
      </c>
      <c r="AG149" s="8">
        <f t="shared" si="38"/>
        <v>0</v>
      </c>
      <c r="AH149" s="8"/>
      <c r="AI149" s="8"/>
      <c r="AJ149" s="8"/>
      <c r="AK149" s="8"/>
      <c r="AL149" s="8"/>
      <c r="AM149" s="8"/>
      <c r="AN149" s="8"/>
      <c r="AO149" s="8"/>
      <c r="AP149" s="8"/>
    </row>
    <row r="150" spans="1:44" hidden="1" outlineLevel="1">
      <c r="A150" t="s">
        <v>74</v>
      </c>
      <c r="X150" s="8">
        <f>+X84-X117</f>
        <v>53720.929975200175</v>
      </c>
      <c r="Y150" s="8">
        <f>+Y84-Y117</f>
        <v>48348.836977680156</v>
      </c>
      <c r="Z150" s="8">
        <f t="shared" si="38"/>
        <v>42976.743980160143</v>
      </c>
      <c r="AA150" s="8">
        <f t="shared" si="38"/>
        <v>37604.650982640123</v>
      </c>
      <c r="AB150" s="8">
        <f t="shared" si="38"/>
        <v>32232.557985120104</v>
      </c>
      <c r="AC150" s="8">
        <f t="shared" si="38"/>
        <v>26860.464987600084</v>
      </c>
      <c r="AD150" s="8">
        <f t="shared" si="38"/>
        <v>21488.371990080064</v>
      </c>
      <c r="AE150" s="8">
        <f t="shared" si="38"/>
        <v>16116.278992560045</v>
      </c>
      <c r="AF150" s="8">
        <f t="shared" si="38"/>
        <v>10744.185995040025</v>
      </c>
      <c r="AG150" s="8">
        <f t="shared" si="38"/>
        <v>5372.0929975200052</v>
      </c>
      <c r="AH150" s="8"/>
      <c r="AI150" s="8"/>
      <c r="AJ150" s="8"/>
      <c r="AK150" s="8"/>
      <c r="AL150" s="8"/>
      <c r="AM150" s="8"/>
      <c r="AN150" s="8"/>
      <c r="AO150" s="8"/>
      <c r="AP150" s="8"/>
      <c r="AQ150" s="8"/>
    </row>
    <row r="151" spans="1:44" hidden="1" outlineLevel="1">
      <c r="A151" t="s">
        <v>75</v>
      </c>
      <c r="Y151" s="8">
        <f>+Y85-Y118</f>
        <v>52791.821252506117</v>
      </c>
      <c r="Z151" s="8">
        <f t="shared" si="38"/>
        <v>47512.639127255505</v>
      </c>
      <c r="AA151" s="8">
        <f t="shared" si="38"/>
        <v>42233.4570020049</v>
      </c>
      <c r="AB151" s="8">
        <f t="shared" si="38"/>
        <v>36954.27487675428</v>
      </c>
      <c r="AC151" s="8">
        <f t="shared" si="38"/>
        <v>31675.092751503671</v>
      </c>
      <c r="AD151" s="8">
        <f t="shared" si="38"/>
        <v>26395.910626253059</v>
      </c>
      <c r="AE151" s="8">
        <f t="shared" si="38"/>
        <v>21116.72850100245</v>
      </c>
      <c r="AF151" s="8">
        <f t="shared" si="38"/>
        <v>15837.546375751837</v>
      </c>
      <c r="AG151" s="8">
        <f t="shared" si="38"/>
        <v>10558.364250501225</v>
      </c>
      <c r="AH151" s="8"/>
      <c r="AI151" s="8"/>
      <c r="AJ151" s="8"/>
      <c r="AK151" s="8"/>
      <c r="AL151" s="8"/>
      <c r="AM151" s="8"/>
      <c r="AN151" s="8"/>
      <c r="AO151" s="8"/>
      <c r="AP151" s="8"/>
      <c r="AQ151" s="8"/>
      <c r="AR151" s="8"/>
    </row>
    <row r="152" spans="1:44" hidden="1" outlineLevel="1">
      <c r="A152" t="s">
        <v>76</v>
      </c>
      <c r="Y152" s="8"/>
      <c r="Z152" s="8">
        <f>+Z86-Z119</f>
        <v>51177.015203958261</v>
      </c>
      <c r="AA152" s="8">
        <f t="shared" si="38"/>
        <v>46059.313683562432</v>
      </c>
      <c r="AB152" s="8">
        <f t="shared" si="38"/>
        <v>40941.612163166603</v>
      </c>
      <c r="AC152" s="8">
        <f t="shared" si="38"/>
        <v>35823.910642770781</v>
      </c>
      <c r="AD152" s="8">
        <f t="shared" si="38"/>
        <v>30706.209122374956</v>
      </c>
      <c r="AE152" s="8">
        <f t="shared" si="38"/>
        <v>25588.50760197913</v>
      </c>
      <c r="AF152" s="8">
        <f t="shared" si="38"/>
        <v>20470.806081583309</v>
      </c>
      <c r="AG152" s="8">
        <f t="shared" si="38"/>
        <v>15353.10456118748</v>
      </c>
      <c r="AH152" s="8"/>
      <c r="AI152" s="8"/>
      <c r="AJ152" s="8"/>
      <c r="AK152" s="8"/>
      <c r="AL152" s="8"/>
      <c r="AM152" s="8"/>
      <c r="AN152" s="8"/>
      <c r="AO152" s="8"/>
      <c r="AP152" s="8"/>
      <c r="AQ152" s="8"/>
      <c r="AR152" s="8"/>
    </row>
    <row r="153" spans="1:44" hidden="1" outlineLevel="1">
      <c r="A153" t="s">
        <v>77</v>
      </c>
      <c r="Y153" s="8"/>
      <c r="Z153" s="8"/>
      <c r="AA153" s="8">
        <f>+AA87-AA120</f>
        <v>48784.864582460854</v>
      </c>
      <c r="AB153" s="8">
        <f t="shared" si="38"/>
        <v>43906.378124214767</v>
      </c>
      <c r="AC153" s="8">
        <f t="shared" si="38"/>
        <v>39027.89166596868</v>
      </c>
      <c r="AD153" s="8">
        <f t="shared" si="38"/>
        <v>34149.405207722593</v>
      </c>
      <c r="AE153" s="8">
        <f t="shared" si="38"/>
        <v>29270.91874947651</v>
      </c>
      <c r="AF153" s="8">
        <f t="shared" si="38"/>
        <v>24392.432291230423</v>
      </c>
      <c r="AG153" s="8">
        <f t="shared" si="38"/>
        <v>19513.94583298434</v>
      </c>
      <c r="AH153" s="8"/>
      <c r="AI153" s="8"/>
      <c r="AJ153" s="8"/>
      <c r="AK153" s="8"/>
      <c r="AL153" s="8"/>
      <c r="AM153" s="8"/>
      <c r="AN153" s="8"/>
      <c r="AO153" s="8"/>
      <c r="AP153" s="8"/>
      <c r="AQ153" s="8"/>
      <c r="AR153" s="8"/>
    </row>
    <row r="154" spans="1:44" hidden="1" outlineLevel="1">
      <c r="A154" t="s">
        <v>78</v>
      </c>
      <c r="Y154" s="8"/>
      <c r="Z154" s="8"/>
      <c r="AA154" s="8"/>
      <c r="AB154" s="8">
        <f>+AB88-AB121</f>
        <v>49305.663250782571</v>
      </c>
      <c r="AC154" s="8">
        <f t="shared" si="38"/>
        <v>44375.096925704318</v>
      </c>
      <c r="AD154" s="8">
        <f t="shared" si="38"/>
        <v>39444.530600626058</v>
      </c>
      <c r="AE154" s="8">
        <f t="shared" si="38"/>
        <v>34513.964275547798</v>
      </c>
      <c r="AF154" s="8">
        <f t="shared" si="38"/>
        <v>29583.397950469545</v>
      </c>
      <c r="AG154" s="8">
        <f t="shared" si="38"/>
        <v>24652.831625391289</v>
      </c>
      <c r="AH154" s="8"/>
      <c r="AI154" s="8"/>
      <c r="AJ154" s="8"/>
      <c r="AK154" s="8"/>
      <c r="AL154" s="8"/>
      <c r="AM154" s="8"/>
      <c r="AN154" s="8"/>
      <c r="AO154" s="8"/>
      <c r="AP154" s="8"/>
      <c r="AQ154" s="8"/>
      <c r="AR154" s="8"/>
    </row>
    <row r="155" spans="1:44" hidden="1" outlineLevel="1">
      <c r="A155" t="s">
        <v>79</v>
      </c>
      <c r="Y155" s="8"/>
      <c r="Z155" s="8"/>
      <c r="AA155" s="8"/>
      <c r="AB155" s="8"/>
      <c r="AC155" s="8">
        <f>+AC89-AC122</f>
        <v>49496.169302992639</v>
      </c>
      <c r="AD155" s="8">
        <f t="shared" si="38"/>
        <v>44546.552372693375</v>
      </c>
      <c r="AE155" s="8">
        <f t="shared" si="38"/>
        <v>39596.935442394111</v>
      </c>
      <c r="AF155" s="8">
        <f t="shared" si="38"/>
        <v>34647.318512094847</v>
      </c>
      <c r="AG155" s="8">
        <f t="shared" si="38"/>
        <v>29697.701581795583</v>
      </c>
      <c r="AH155" s="8"/>
      <c r="AI155" s="8"/>
      <c r="AJ155" s="8"/>
      <c r="AK155" s="8"/>
      <c r="AL155" s="8"/>
      <c r="AM155" s="8"/>
      <c r="AN155" s="8"/>
      <c r="AO155" s="8"/>
      <c r="AP155" s="8"/>
      <c r="AQ155" s="8"/>
      <c r="AR155" s="8"/>
    </row>
    <row r="156" spans="1:44" hidden="1" outlineLevel="1">
      <c r="A156" t="s">
        <v>80</v>
      </c>
      <c r="Y156" s="8"/>
      <c r="Z156" s="8"/>
      <c r="AA156" s="8"/>
      <c r="AB156" s="8"/>
      <c r="AC156" s="8"/>
      <c r="AD156" s="8">
        <f>+AD90-AD123</f>
        <v>53788.496590533345</v>
      </c>
      <c r="AE156" s="8">
        <f t="shared" ref="AE156:AG158" si="39">+AE90-AE123</f>
        <v>48409.646931480005</v>
      </c>
      <c r="AF156" s="8">
        <f t="shared" si="39"/>
        <v>43030.797272426673</v>
      </c>
      <c r="AG156" s="8">
        <f t="shared" si="39"/>
        <v>37651.947613373341</v>
      </c>
      <c r="AH156" s="8"/>
      <c r="AI156" s="8"/>
      <c r="AJ156" s="8"/>
      <c r="AK156" s="8"/>
      <c r="AL156" s="8"/>
      <c r="AM156" s="8"/>
      <c r="AN156" s="8"/>
      <c r="AO156" s="8"/>
      <c r="AP156" s="8"/>
      <c r="AQ156" s="8"/>
      <c r="AR156" s="8"/>
    </row>
    <row r="157" spans="1:44" hidden="1" outlineLevel="1">
      <c r="A157" t="s">
        <v>81</v>
      </c>
      <c r="Y157" s="8"/>
      <c r="Z157" s="8"/>
      <c r="AA157" s="8"/>
      <c r="AB157" s="8"/>
      <c r="AC157" s="8"/>
      <c r="AD157" s="8"/>
      <c r="AE157" s="8">
        <f>+AE91-AE124</f>
        <v>58414.896316264872</v>
      </c>
      <c r="AF157" s="8">
        <f t="shared" si="39"/>
        <v>52573.406684638387</v>
      </c>
      <c r="AG157" s="8">
        <f t="shared" si="39"/>
        <v>46731.917053011901</v>
      </c>
      <c r="AH157" s="8"/>
      <c r="AI157" s="8"/>
      <c r="AJ157" s="8"/>
      <c r="AK157" s="8"/>
      <c r="AL157" s="8"/>
      <c r="AM157" s="8"/>
      <c r="AN157" s="8"/>
      <c r="AO157" s="8"/>
      <c r="AP157" s="8"/>
      <c r="AQ157" s="8"/>
      <c r="AR157" s="8"/>
    </row>
    <row r="158" spans="1:44" hidden="1" outlineLevel="1">
      <c r="A158" t="s">
        <v>82</v>
      </c>
      <c r="Y158" s="8"/>
      <c r="Z158" s="8"/>
      <c r="AA158" s="8"/>
      <c r="AB158" s="8"/>
      <c r="AC158" s="8"/>
      <c r="AD158" s="8"/>
      <c r="AE158" s="8"/>
      <c r="AF158" s="8">
        <f>+AF92-AF125</f>
        <v>63402.35506009723</v>
      </c>
      <c r="AG158" s="8">
        <f t="shared" si="39"/>
        <v>57062.119554087505</v>
      </c>
      <c r="AH158" s="8"/>
      <c r="AI158" s="8"/>
      <c r="AJ158" s="8"/>
      <c r="AK158" s="8"/>
      <c r="AL158" s="8"/>
      <c r="AM158" s="8"/>
      <c r="AN158" s="8"/>
      <c r="AO158" s="8"/>
      <c r="AP158" s="8"/>
      <c r="AQ158" s="8"/>
      <c r="AR158" s="8"/>
    </row>
    <row r="159" spans="1:44" hidden="1" outlineLevel="1">
      <c r="A159" t="s">
        <v>83</v>
      </c>
      <c r="Y159" s="8"/>
      <c r="Z159" s="8"/>
      <c r="AA159" s="8"/>
      <c r="AB159" s="8"/>
      <c r="AC159" s="8"/>
      <c r="AD159" s="8"/>
      <c r="AE159" s="8"/>
      <c r="AF159" s="8"/>
      <c r="AG159" s="8">
        <f>+AG93-AG126</f>
        <v>68780.011026357315</v>
      </c>
      <c r="AH159" s="8"/>
      <c r="AI159" s="8"/>
      <c r="AJ159" s="8"/>
      <c r="AK159" s="8"/>
      <c r="AL159" s="8"/>
      <c r="AM159" s="8"/>
      <c r="AN159" s="8"/>
      <c r="AO159" s="8"/>
      <c r="AP159" s="8"/>
      <c r="AQ159" s="8"/>
      <c r="AR159" s="8"/>
    </row>
    <row r="160" spans="1:44" hidden="1" outlineLevel="1">
      <c r="A160" t="s">
        <v>911</v>
      </c>
      <c r="Y160" s="8"/>
      <c r="Z160" s="8"/>
      <c r="AA160" s="8"/>
      <c r="AB160" s="8"/>
      <c r="AC160" s="8"/>
      <c r="AD160" s="8"/>
      <c r="AE160" s="8"/>
      <c r="AF160" s="8"/>
      <c r="AG160" s="8"/>
      <c r="AH160" s="8"/>
      <c r="AI160" s="8"/>
      <c r="AJ160" s="8"/>
      <c r="AK160" s="8"/>
      <c r="AL160" s="8"/>
      <c r="AM160" s="8"/>
      <c r="AN160" s="8"/>
      <c r="AO160" s="8"/>
      <c r="AP160" s="8"/>
      <c r="AQ160" s="8"/>
      <c r="AR160" s="8"/>
    </row>
    <row r="161" spans="1:33" collapsed="1"/>
    <row r="162" spans="1:33" ht="10.5">
      <c r="A162" s="5" t="s">
        <v>926</v>
      </c>
      <c r="B162" s="4"/>
    </row>
    <row r="164" spans="1:33" ht="10.5">
      <c r="A164" s="45" t="s">
        <v>927</v>
      </c>
    </row>
    <row r="165" spans="1:33">
      <c r="A165" t="s">
        <v>928</v>
      </c>
      <c r="C165" s="29">
        <v>362</v>
      </c>
      <c r="D165" s="29">
        <v>428</v>
      </c>
      <c r="E165" s="29">
        <v>518</v>
      </c>
      <c r="F165" s="29">
        <v>526</v>
      </c>
      <c r="G165" s="29">
        <v>526</v>
      </c>
      <c r="H165" s="29">
        <v>533</v>
      </c>
      <c r="I165" s="29">
        <v>528</v>
      </c>
      <c r="J165" s="29">
        <v>525</v>
      </c>
      <c r="K165" s="29">
        <v>541</v>
      </c>
      <c r="L165" s="29">
        <v>769</v>
      </c>
      <c r="M165" s="29">
        <v>824</v>
      </c>
      <c r="N165" s="29">
        <v>1107</v>
      </c>
      <c r="O165" s="29">
        <v>1254</v>
      </c>
      <c r="P165" s="29">
        <v>1540</v>
      </c>
      <c r="Q165" s="29">
        <v>1823</v>
      </c>
      <c r="R165" s="29">
        <v>3660</v>
      </c>
      <c r="S165" s="29">
        <v>4734</v>
      </c>
      <c r="T165" s="29">
        <v>5683</v>
      </c>
      <c r="U165" s="29">
        <v>8163</v>
      </c>
      <c r="V165" s="29"/>
      <c r="W165" s="29"/>
    </row>
    <row r="166" spans="1:33">
      <c r="A166" t="s">
        <v>929</v>
      </c>
      <c r="C166" s="29">
        <v>2228</v>
      </c>
      <c r="D166" s="29">
        <v>3170</v>
      </c>
      <c r="E166" s="29">
        <v>4302</v>
      </c>
      <c r="F166" s="29">
        <v>5886</v>
      </c>
      <c r="G166" s="29">
        <v>6087</v>
      </c>
      <c r="H166" s="29">
        <v>6521</v>
      </c>
      <c r="I166" s="29">
        <v>6768</v>
      </c>
      <c r="J166" s="29">
        <v>7326</v>
      </c>
      <c r="K166" s="29">
        <v>8867</v>
      </c>
      <c r="L166" s="29">
        <v>10800</v>
      </c>
      <c r="M166" s="29">
        <v>12393</v>
      </c>
      <c r="N166" s="29">
        <v>16284</v>
      </c>
      <c r="O166" s="29">
        <v>20604</v>
      </c>
      <c r="P166" s="29">
        <v>26288</v>
      </c>
      <c r="Q166" s="29">
        <v>33995</v>
      </c>
      <c r="R166" s="29">
        <v>43928</v>
      </c>
      <c r="S166" s="29">
        <v>55014</v>
      </c>
      <c r="T166" s="29">
        <v>68465</v>
      </c>
      <c r="U166" s="29">
        <v>93943</v>
      </c>
      <c r="V166" s="29"/>
      <c r="W166" s="29"/>
    </row>
    <row r="167" spans="1:33">
      <c r="A167" t="s">
        <v>930</v>
      </c>
      <c r="C167" s="29">
        <v>918</v>
      </c>
      <c r="D167" s="29">
        <v>1077</v>
      </c>
      <c r="E167" s="29">
        <v>1728</v>
      </c>
      <c r="F167" s="29">
        <v>1938</v>
      </c>
      <c r="G167" s="29">
        <v>2100</v>
      </c>
      <c r="H167" s="29">
        <v>2345</v>
      </c>
      <c r="I167" s="29">
        <v>2550</v>
      </c>
      <c r="J167" s="29">
        <v>2946</v>
      </c>
      <c r="K167" s="29">
        <v>3560</v>
      </c>
      <c r="L167" s="29">
        <v>3577</v>
      </c>
      <c r="M167" s="29">
        <v>3659</v>
      </c>
      <c r="N167" s="29">
        <v>5064</v>
      </c>
      <c r="O167" s="29">
        <v>4735</v>
      </c>
      <c r="P167" s="29">
        <v>5316</v>
      </c>
      <c r="Q167" s="29">
        <v>5487</v>
      </c>
      <c r="R167" s="29">
        <v>6884</v>
      </c>
      <c r="S167" s="29">
        <v>7819</v>
      </c>
      <c r="T167" s="29">
        <v>8537</v>
      </c>
      <c r="U167" s="29">
        <v>9594</v>
      </c>
      <c r="V167" s="29"/>
      <c r="W167" s="29"/>
    </row>
    <row r="168" spans="1:33">
      <c r="A168" t="s">
        <v>931</v>
      </c>
      <c r="C168" s="29">
        <v>2682</v>
      </c>
      <c r="D168" s="29">
        <v>3458</v>
      </c>
      <c r="E168" s="29">
        <v>4475</v>
      </c>
      <c r="F168" s="29">
        <v>4989</v>
      </c>
      <c r="G168" s="29">
        <v>5673</v>
      </c>
      <c r="H168" s="29">
        <v>6601</v>
      </c>
      <c r="I168" s="29">
        <v>7298</v>
      </c>
      <c r="J168" s="29">
        <v>9242</v>
      </c>
      <c r="K168" s="29">
        <v>11430</v>
      </c>
      <c r="L168" s="29">
        <v>13612</v>
      </c>
      <c r="M168" s="29">
        <v>17391</v>
      </c>
      <c r="N168" s="29">
        <v>21414</v>
      </c>
      <c r="O168" s="29">
        <v>27633</v>
      </c>
      <c r="P168" s="29">
        <v>33823</v>
      </c>
      <c r="Q168" s="29">
        <v>41261</v>
      </c>
      <c r="R168" s="29">
        <v>51250</v>
      </c>
      <c r="S168" s="29">
        <v>60631</v>
      </c>
      <c r="T168" s="29">
        <v>74961</v>
      </c>
      <c r="U168" s="29">
        <v>93780</v>
      </c>
      <c r="V168" s="29"/>
      <c r="W168" s="29"/>
    </row>
    <row r="169" spans="1:33" ht="11.45">
      <c r="A169" t="s">
        <v>932</v>
      </c>
      <c r="C169" s="30">
        <v>1033</v>
      </c>
      <c r="D169" s="30">
        <v>1233</v>
      </c>
      <c r="E169" s="30">
        <v>1521</v>
      </c>
      <c r="F169" s="30">
        <v>1743</v>
      </c>
      <c r="G169" s="30">
        <v>1873</v>
      </c>
      <c r="H169" s="30">
        <v>1991</v>
      </c>
      <c r="I169" s="30">
        <v>2087</v>
      </c>
      <c r="J169" s="30">
        <v>2465</v>
      </c>
      <c r="K169" s="30">
        <v>3406</v>
      </c>
      <c r="L169" s="30">
        <v>3579</v>
      </c>
      <c r="M169" s="30">
        <v>3889</v>
      </c>
      <c r="N169" s="30">
        <v>4044</v>
      </c>
      <c r="O169" s="30">
        <v>4457</v>
      </c>
      <c r="P169" s="30">
        <v>4840</v>
      </c>
      <c r="Q169" s="30">
        <v>4782</v>
      </c>
      <c r="R169" s="30">
        <v>5344</v>
      </c>
      <c r="S169" s="30">
        <v>5860</v>
      </c>
      <c r="T169" s="30">
        <v>6246</v>
      </c>
      <c r="U169" s="30">
        <v>6532</v>
      </c>
      <c r="V169" s="30"/>
      <c r="W169" s="30"/>
    </row>
    <row r="170" spans="1:33" s="1" customFormat="1" ht="10.5">
      <c r="A170" s="837" t="s">
        <v>933</v>
      </c>
      <c r="C170" s="936">
        <f>+SUM(C165:C169)</f>
        <v>7223</v>
      </c>
      <c r="D170" s="936">
        <f t="shared" ref="D170:U170" si="40">+SUM(D165:D169)</f>
        <v>9366</v>
      </c>
      <c r="E170" s="936">
        <f t="shared" si="40"/>
        <v>12544</v>
      </c>
      <c r="F170" s="936">
        <f t="shared" si="40"/>
        <v>15082</v>
      </c>
      <c r="G170" s="936">
        <f t="shared" si="40"/>
        <v>16259</v>
      </c>
      <c r="H170" s="936">
        <f t="shared" si="40"/>
        <v>17991</v>
      </c>
      <c r="I170" s="936">
        <f t="shared" si="40"/>
        <v>19231</v>
      </c>
      <c r="J170" s="936">
        <f t="shared" si="40"/>
        <v>22504</v>
      </c>
      <c r="K170" s="936">
        <f t="shared" si="40"/>
        <v>27804</v>
      </c>
      <c r="L170" s="936">
        <f t="shared" si="40"/>
        <v>32337</v>
      </c>
      <c r="M170" s="936">
        <f t="shared" si="40"/>
        <v>38156</v>
      </c>
      <c r="N170" s="936">
        <f t="shared" si="40"/>
        <v>47913</v>
      </c>
      <c r="O170" s="936">
        <f t="shared" si="40"/>
        <v>58683</v>
      </c>
      <c r="P170" s="936">
        <f t="shared" si="40"/>
        <v>71807</v>
      </c>
      <c r="Q170" s="936">
        <f t="shared" si="40"/>
        <v>87348</v>
      </c>
      <c r="R170" s="936">
        <f t="shared" si="40"/>
        <v>111066</v>
      </c>
      <c r="S170" s="936">
        <f t="shared" si="40"/>
        <v>134058</v>
      </c>
      <c r="T170" s="936">
        <f t="shared" si="40"/>
        <v>163892</v>
      </c>
      <c r="U170" s="936">
        <f t="shared" si="40"/>
        <v>212012</v>
      </c>
      <c r="V170" s="838">
        <f t="shared" ref="V170:AG170" si="41">+V178</f>
        <v>292512</v>
      </c>
      <c r="W170" s="838">
        <f t="shared" si="41"/>
        <v>359827.93477883714</v>
      </c>
      <c r="X170" s="838">
        <f t="shared" si="41"/>
        <v>425929.03437987727</v>
      </c>
      <c r="Y170" s="838">
        <f t="shared" si="41"/>
        <v>490193.30319208826</v>
      </c>
      <c r="Z170" s="838">
        <f t="shared" si="41"/>
        <v>551907.00125181081</v>
      </c>
      <c r="AA170" s="838">
        <f t="shared" si="41"/>
        <v>610253.94591824862</v>
      </c>
      <c r="AB170" s="838">
        <f t="shared" si="41"/>
        <v>668766.16756944766</v>
      </c>
      <c r="AC170" s="838">
        <f t="shared" si="41"/>
        <v>727099.89007710456</v>
      </c>
      <c r="AD170" s="838">
        <f t="shared" si="41"/>
        <v>790060.310385374</v>
      </c>
      <c r="AE170" s="838">
        <f t="shared" si="41"/>
        <v>858017.56431830511</v>
      </c>
      <c r="AF170" s="838">
        <f t="shared" si="41"/>
        <v>931371.39856587071</v>
      </c>
      <c r="AG170" s="838">
        <f t="shared" si="41"/>
        <v>1010553.5395532415</v>
      </c>
    </row>
    <row r="171" spans="1:33" s="1" customFormat="1" ht="10.5">
      <c r="A171" s="837"/>
      <c r="C171" s="838"/>
      <c r="U171" s="838"/>
      <c r="V171" s="838"/>
      <c r="W171" s="838"/>
    </row>
    <row r="172" spans="1:33" s="1" customFormat="1" ht="10.5">
      <c r="A172" s="24" t="s">
        <v>126</v>
      </c>
      <c r="C172" s="838"/>
      <c r="U172" s="838"/>
      <c r="V172" s="838"/>
      <c r="W172" s="838"/>
    </row>
    <row r="173" spans="1:33" s="3" customFormat="1">
      <c r="A173" s="13" t="s">
        <v>934</v>
      </c>
      <c r="C173" s="40">
        <v>122</v>
      </c>
      <c r="D173" s="40">
        <v>234</v>
      </c>
      <c r="E173" s="40">
        <v>821</v>
      </c>
      <c r="F173" s="40">
        <v>1226</v>
      </c>
      <c r="G173" s="40">
        <v>621</v>
      </c>
      <c r="H173" s="40">
        <v>347</v>
      </c>
      <c r="I173" s="40">
        <v>263</v>
      </c>
      <c r="J173" s="40">
        <v>353</v>
      </c>
      <c r="K173" s="40">
        <v>694</v>
      </c>
      <c r="L173" s="40">
        <v>880</v>
      </c>
      <c r="M173" s="40">
        <v>681</v>
      </c>
      <c r="N173" s="40">
        <v>1809</v>
      </c>
      <c r="O173" s="40">
        <v>1067</v>
      </c>
      <c r="P173" s="40">
        <v>1793</v>
      </c>
      <c r="Q173" s="40">
        <v>3443</v>
      </c>
      <c r="R173" s="40">
        <v>4761</v>
      </c>
      <c r="S173" s="40">
        <v>8927</v>
      </c>
      <c r="T173" s="40">
        <v>7942</v>
      </c>
      <c r="U173" s="40">
        <v>12237</v>
      </c>
      <c r="V173" s="40">
        <v>29892</v>
      </c>
      <c r="W173" s="40"/>
    </row>
    <row r="174" spans="1:33" s="1" customFormat="1" ht="10.5">
      <c r="A174" s="837"/>
      <c r="C174" s="838"/>
      <c r="V174" s="838"/>
      <c r="W174" s="838"/>
    </row>
    <row r="175" spans="1:33" s="1" customFormat="1" ht="10.5">
      <c r="A175" t="s">
        <v>935</v>
      </c>
      <c r="D175" s="8">
        <f t="shared" ref="D175:U175" si="42">+C170</f>
        <v>7223</v>
      </c>
      <c r="E175" s="8">
        <f t="shared" si="42"/>
        <v>9366</v>
      </c>
      <c r="F175" s="8">
        <f t="shared" si="42"/>
        <v>12544</v>
      </c>
      <c r="G175" s="8">
        <f t="shared" si="42"/>
        <v>15082</v>
      </c>
      <c r="H175" s="8">
        <f t="shared" si="42"/>
        <v>16259</v>
      </c>
      <c r="I175" s="8">
        <f t="shared" si="42"/>
        <v>17991</v>
      </c>
      <c r="J175" s="8">
        <f t="shared" si="42"/>
        <v>19231</v>
      </c>
      <c r="K175" s="8">
        <f t="shared" si="42"/>
        <v>22504</v>
      </c>
      <c r="L175" s="8">
        <f t="shared" si="42"/>
        <v>27804</v>
      </c>
      <c r="M175" s="8">
        <f t="shared" si="42"/>
        <v>32337</v>
      </c>
      <c r="N175" s="8">
        <f t="shared" si="42"/>
        <v>38156</v>
      </c>
      <c r="O175" s="8">
        <f t="shared" si="42"/>
        <v>47913</v>
      </c>
      <c r="P175" s="8">
        <f t="shared" si="42"/>
        <v>58683</v>
      </c>
      <c r="Q175" s="8">
        <f t="shared" si="42"/>
        <v>71807</v>
      </c>
      <c r="R175" s="8">
        <f t="shared" si="42"/>
        <v>87348</v>
      </c>
      <c r="S175" s="8">
        <f t="shared" si="42"/>
        <v>111066</v>
      </c>
      <c r="T175" s="8">
        <f t="shared" si="42"/>
        <v>134058</v>
      </c>
      <c r="U175" s="8">
        <f t="shared" si="42"/>
        <v>163892</v>
      </c>
      <c r="V175" s="8">
        <f t="shared" ref="V175:AG175" si="43">+U178</f>
        <v>212012</v>
      </c>
      <c r="W175" s="8">
        <f t="shared" si="43"/>
        <v>292512</v>
      </c>
      <c r="X175" s="8">
        <f t="shared" si="43"/>
        <v>359827.93477883714</v>
      </c>
      <c r="Y175" s="8">
        <f t="shared" si="43"/>
        <v>425929.03437987727</v>
      </c>
      <c r="Z175" s="8">
        <f t="shared" si="43"/>
        <v>490193.30319208826</v>
      </c>
      <c r="AA175" s="8">
        <f t="shared" si="43"/>
        <v>551907.00125181081</v>
      </c>
      <c r="AB175" s="8">
        <f t="shared" si="43"/>
        <v>610253.94591824862</v>
      </c>
      <c r="AC175" s="8">
        <f t="shared" si="43"/>
        <v>668766.16756944766</v>
      </c>
      <c r="AD175" s="8">
        <f t="shared" si="43"/>
        <v>727099.89007710456</v>
      </c>
      <c r="AE175" s="8">
        <f t="shared" si="43"/>
        <v>790060.310385374</v>
      </c>
      <c r="AF175" s="8">
        <f t="shared" si="43"/>
        <v>858017.56431830511</v>
      </c>
      <c r="AG175" s="8">
        <f t="shared" si="43"/>
        <v>931371.39856587071</v>
      </c>
    </row>
    <row r="176" spans="1:33" s="1" customFormat="1" ht="10.5">
      <c r="A176" t="s">
        <v>936</v>
      </c>
      <c r="D176" s="29">
        <f>+'Historical Financials'!AU873</f>
        <v>2264</v>
      </c>
      <c r="E176" s="29">
        <f>+'Historical Financials'!AV873</f>
        <v>3182</v>
      </c>
      <c r="F176" s="29">
        <f>+'Historical Financials'!AW873</f>
        <v>3119</v>
      </c>
      <c r="G176" s="29">
        <f>+'Historical Financials'!AX873</f>
        <v>1977</v>
      </c>
      <c r="H176" s="29">
        <f>+'Historical Financials'!AY873</f>
        <v>2355</v>
      </c>
      <c r="I176" s="29">
        <f>+'Historical Financials'!AZ873</f>
        <v>2305</v>
      </c>
      <c r="J176" s="29">
        <f>+'Historical Financials'!BA873</f>
        <v>4257</v>
      </c>
      <c r="K176" s="29">
        <f>+'Historical Financials'!BB873</f>
        <v>5485</v>
      </c>
      <c r="L176" s="29">
        <f>+'Historical Financials'!BC873</f>
        <v>5944</v>
      </c>
      <c r="M176" s="29">
        <f>+'Historical Financials'!BG873</f>
        <v>8900</v>
      </c>
      <c r="N176" s="29">
        <f>+'Historical Financials'!BH873</f>
        <v>10200</v>
      </c>
      <c r="O176" s="29">
        <f>+'Historical Financials'!BI873</f>
        <v>13600</v>
      </c>
      <c r="P176" s="29">
        <f>+'Historical Financials'!BJ873</f>
        <v>16900</v>
      </c>
      <c r="Q176" s="29">
        <f>+'Historical Financials'!BK873</f>
        <v>19000</v>
      </c>
      <c r="R176" s="29">
        <f>+'Historical Financials'!BL873</f>
        <v>24200</v>
      </c>
      <c r="S176" s="29">
        <f>+'Historical Financials'!BM873</f>
        <v>29200</v>
      </c>
      <c r="T176" s="29">
        <f>+'Historical Financials'!BN873</f>
        <v>31900</v>
      </c>
      <c r="U176" s="29">
        <f>+'Historical Financials'!BO873</f>
        <v>55700</v>
      </c>
      <c r="V176" s="8">
        <f t="shared" ref="V176:AG176" si="44">+V14</f>
        <v>80000</v>
      </c>
      <c r="W176" s="8">
        <f t="shared" si="44"/>
        <v>66815.934778837152</v>
      </c>
      <c r="X176" s="8">
        <f t="shared" si="44"/>
        <v>65601.099601040114</v>
      </c>
      <c r="Y176" s="8">
        <f t="shared" si="44"/>
        <v>63764.268812210998</v>
      </c>
      <c r="Z176" s="8">
        <f t="shared" si="44"/>
        <v>61213.69805972257</v>
      </c>
      <c r="AA176" s="8">
        <f t="shared" si="44"/>
        <v>57846.944666437841</v>
      </c>
      <c r="AB176" s="8">
        <f t="shared" si="44"/>
        <v>58012.221651199092</v>
      </c>
      <c r="AC176" s="8">
        <f t="shared" si="44"/>
        <v>57833.722507656938</v>
      </c>
      <c r="AD176" s="8">
        <f t="shared" si="44"/>
        <v>62460.420308269495</v>
      </c>
      <c r="AE176" s="8">
        <f t="shared" si="44"/>
        <v>67457.253932931053</v>
      </c>
      <c r="AF176" s="8">
        <f t="shared" si="44"/>
        <v>72853.834247565537</v>
      </c>
      <c r="AG176" s="8">
        <f t="shared" si="44"/>
        <v>78682.140987370789</v>
      </c>
    </row>
    <row r="177" spans="1:33" s="1" customFormat="1" ht="11.45">
      <c r="A177" t="s">
        <v>198</v>
      </c>
      <c r="D177" s="10">
        <f t="shared" ref="D177:U177" si="45">+D178-SUM(D175:D176)</f>
        <v>-121</v>
      </c>
      <c r="E177" s="10">
        <f t="shared" si="45"/>
        <v>-4</v>
      </c>
      <c r="F177" s="10">
        <f t="shared" si="45"/>
        <v>-581</v>
      </c>
      <c r="G177" s="10">
        <f t="shared" si="45"/>
        <v>-800</v>
      </c>
      <c r="H177" s="10">
        <f t="shared" si="45"/>
        <v>-623</v>
      </c>
      <c r="I177" s="10">
        <f t="shared" si="45"/>
        <v>-1065</v>
      </c>
      <c r="J177" s="10">
        <f t="shared" si="45"/>
        <v>-984</v>
      </c>
      <c r="K177" s="10">
        <f t="shared" si="45"/>
        <v>-185</v>
      </c>
      <c r="L177" s="10">
        <f t="shared" si="45"/>
        <v>-1411</v>
      </c>
      <c r="M177" s="10">
        <f t="shared" si="45"/>
        <v>-3081</v>
      </c>
      <c r="N177" s="10">
        <f t="shared" si="45"/>
        <v>-443</v>
      </c>
      <c r="O177" s="10">
        <f t="shared" si="45"/>
        <v>-2830</v>
      </c>
      <c r="P177" s="10">
        <f t="shared" si="45"/>
        <v>-3776</v>
      </c>
      <c r="Q177" s="10">
        <f t="shared" si="45"/>
        <v>-3459</v>
      </c>
      <c r="R177" s="10">
        <f t="shared" si="45"/>
        <v>-482</v>
      </c>
      <c r="S177" s="10">
        <f t="shared" si="45"/>
        <v>-6208</v>
      </c>
      <c r="T177" s="10">
        <f t="shared" si="45"/>
        <v>-2066</v>
      </c>
      <c r="U177" s="10">
        <f t="shared" si="45"/>
        <v>-7580</v>
      </c>
      <c r="V177" s="58">
        <v>500</v>
      </c>
      <c r="W177" s="58">
        <v>500</v>
      </c>
      <c r="X177" s="58">
        <v>500</v>
      </c>
      <c r="Y177" s="58">
        <v>500</v>
      </c>
      <c r="Z177" s="58">
        <v>500</v>
      </c>
      <c r="AA177" s="58">
        <v>500</v>
      </c>
      <c r="AB177" s="58">
        <v>500</v>
      </c>
      <c r="AC177" s="58">
        <v>500</v>
      </c>
      <c r="AD177" s="58">
        <v>500</v>
      </c>
      <c r="AE177" s="58">
        <v>500</v>
      </c>
      <c r="AF177" s="58">
        <v>500</v>
      </c>
      <c r="AG177" s="58">
        <v>500</v>
      </c>
    </row>
    <row r="178" spans="1:33" s="1" customFormat="1" ht="10.5">
      <c r="A178" s="837" t="s">
        <v>933</v>
      </c>
      <c r="D178" s="838">
        <f t="shared" ref="D178:U178" si="46">+D170</f>
        <v>9366</v>
      </c>
      <c r="E178" s="838">
        <f t="shared" si="46"/>
        <v>12544</v>
      </c>
      <c r="F178" s="838">
        <f t="shared" si="46"/>
        <v>15082</v>
      </c>
      <c r="G178" s="838">
        <f t="shared" si="46"/>
        <v>16259</v>
      </c>
      <c r="H178" s="838">
        <f t="shared" si="46"/>
        <v>17991</v>
      </c>
      <c r="I178" s="838">
        <f t="shared" si="46"/>
        <v>19231</v>
      </c>
      <c r="J178" s="838">
        <f t="shared" si="46"/>
        <v>22504</v>
      </c>
      <c r="K178" s="838">
        <f t="shared" si="46"/>
        <v>27804</v>
      </c>
      <c r="L178" s="838">
        <f t="shared" si="46"/>
        <v>32337</v>
      </c>
      <c r="M178" s="838">
        <f t="shared" si="46"/>
        <v>38156</v>
      </c>
      <c r="N178" s="838">
        <f t="shared" si="46"/>
        <v>47913</v>
      </c>
      <c r="O178" s="838">
        <f t="shared" si="46"/>
        <v>58683</v>
      </c>
      <c r="P178" s="838">
        <f t="shared" si="46"/>
        <v>71807</v>
      </c>
      <c r="Q178" s="838">
        <f t="shared" si="46"/>
        <v>87348</v>
      </c>
      <c r="R178" s="838">
        <f t="shared" si="46"/>
        <v>111066</v>
      </c>
      <c r="S178" s="838">
        <f t="shared" si="46"/>
        <v>134058</v>
      </c>
      <c r="T178" s="838">
        <f t="shared" si="46"/>
        <v>163892</v>
      </c>
      <c r="U178" s="838">
        <f t="shared" si="46"/>
        <v>212012</v>
      </c>
      <c r="V178" s="838">
        <f t="shared" ref="V178:AF178" si="47">+SUM(V175:V177)</f>
        <v>292512</v>
      </c>
      <c r="W178" s="838">
        <f t="shared" si="47"/>
        <v>359827.93477883714</v>
      </c>
      <c r="X178" s="838">
        <f t="shared" si="47"/>
        <v>425929.03437987727</v>
      </c>
      <c r="Y178" s="838">
        <f t="shared" si="47"/>
        <v>490193.30319208826</v>
      </c>
      <c r="Z178" s="838">
        <f t="shared" si="47"/>
        <v>551907.00125181081</v>
      </c>
      <c r="AA178" s="838">
        <f t="shared" si="47"/>
        <v>610253.94591824862</v>
      </c>
      <c r="AB178" s="838">
        <f t="shared" si="47"/>
        <v>668766.16756944766</v>
      </c>
      <c r="AC178" s="838">
        <f t="shared" si="47"/>
        <v>727099.89007710456</v>
      </c>
      <c r="AD178" s="838">
        <f t="shared" si="47"/>
        <v>790060.310385374</v>
      </c>
      <c r="AE178" s="838">
        <f t="shared" si="47"/>
        <v>858017.56431830511</v>
      </c>
      <c r="AF178" s="838">
        <f t="shared" si="47"/>
        <v>931371.39856587071</v>
      </c>
      <c r="AG178" s="838">
        <f t="shared" ref="AG178" si="48">+SUM(AG175:AG177)</f>
        <v>1010553.5395532415</v>
      </c>
    </row>
    <row r="179" spans="1:33">
      <c r="S179" s="8"/>
      <c r="T179" s="8"/>
      <c r="U179" s="8"/>
      <c r="V179" s="8"/>
    </row>
    <row r="180" spans="1:33" ht="10.5">
      <c r="A180" s="45" t="s">
        <v>937</v>
      </c>
      <c r="C180" s="8"/>
    </row>
    <row r="181" spans="1:33" s="1" customFormat="1" ht="10.5">
      <c r="A181" s="1" t="s">
        <v>924</v>
      </c>
      <c r="C181" s="936">
        <v>4179</v>
      </c>
      <c r="D181" s="936">
        <v>5016</v>
      </c>
      <c r="E181" s="936">
        <v>6302</v>
      </c>
      <c r="F181" s="936">
        <v>7547</v>
      </c>
      <c r="G181" s="936">
        <v>8629</v>
      </c>
      <c r="H181" s="936">
        <v>9829</v>
      </c>
      <c r="I181" s="936">
        <v>10962</v>
      </c>
      <c r="J181" s="936">
        <v>12513</v>
      </c>
      <c r="K181" s="936">
        <v>14793</v>
      </c>
      <c r="L181" s="936">
        <v>17606</v>
      </c>
      <c r="M181" s="936">
        <v>19800</v>
      </c>
      <c r="N181" s="936">
        <v>24179</v>
      </c>
      <c r="O181" s="936">
        <v>29223</v>
      </c>
      <c r="P181" s="936">
        <v>35330</v>
      </c>
      <c r="Q181" s="936">
        <v>43197</v>
      </c>
      <c r="R181" s="936">
        <v>51351</v>
      </c>
      <c r="S181" s="936">
        <v>59660</v>
      </c>
      <c r="T181" s="936">
        <v>68251</v>
      </c>
      <c r="U181" s="936">
        <v>76421</v>
      </c>
      <c r="V181" s="936">
        <f t="shared" ref="V181:AG181" si="49">+V186</f>
        <v>90460.589150700689</v>
      </c>
      <c r="W181" s="936">
        <f t="shared" si="49"/>
        <v>107847.64661607303</v>
      </c>
      <c r="X181" s="936">
        <f t="shared" si="49"/>
        <v>127989.10483274603</v>
      </c>
      <c r="Y181" s="936">
        <f t="shared" si="49"/>
        <v>150732.10533475934</v>
      </c>
      <c r="Z181" s="936">
        <f t="shared" si="49"/>
        <v>175507.86164448698</v>
      </c>
      <c r="AA181" s="936">
        <f t="shared" si="49"/>
        <v>201322.91380673886</v>
      </c>
      <c r="AB181" s="936">
        <f t="shared" si="49"/>
        <v>228325.63945183405</v>
      </c>
      <c r="AC181" s="936">
        <f t="shared" si="49"/>
        <v>255834.27949055546</v>
      </c>
      <c r="AD181" s="936">
        <f t="shared" si="49"/>
        <v>284262.62304613442</v>
      </c>
      <c r="AE181" s="936">
        <f t="shared" si="49"/>
        <v>312892.09379955212</v>
      </c>
      <c r="AF181" s="936">
        <f t="shared" si="49"/>
        <v>340538.35745426011</v>
      </c>
      <c r="AG181" s="936">
        <f t="shared" si="49"/>
        <v>365833.01611641212</v>
      </c>
    </row>
    <row r="183" spans="1:33">
      <c r="A183" t="s">
        <v>938</v>
      </c>
      <c r="D183" s="8">
        <f>+C181</f>
        <v>4179</v>
      </c>
      <c r="E183" s="8">
        <f>+D186</f>
        <v>5016</v>
      </c>
      <c r="F183" s="8">
        <f t="shared" ref="F183:AG183" si="50">+E186</f>
        <v>6302</v>
      </c>
      <c r="G183" s="8">
        <f t="shared" si="50"/>
        <v>7547</v>
      </c>
      <c r="H183" s="8">
        <f t="shared" si="50"/>
        <v>8629</v>
      </c>
      <c r="I183" s="8">
        <f t="shared" si="50"/>
        <v>9829</v>
      </c>
      <c r="J183" s="8">
        <f t="shared" si="50"/>
        <v>10962</v>
      </c>
      <c r="K183" s="8">
        <f t="shared" si="50"/>
        <v>12513</v>
      </c>
      <c r="L183" s="8">
        <f t="shared" si="50"/>
        <v>14793</v>
      </c>
      <c r="M183" s="8">
        <f t="shared" si="50"/>
        <v>17606</v>
      </c>
      <c r="N183" s="8">
        <f t="shared" si="50"/>
        <v>19800</v>
      </c>
      <c r="O183" s="8">
        <f t="shared" si="50"/>
        <v>24179</v>
      </c>
      <c r="P183" s="8">
        <f t="shared" si="50"/>
        <v>29223</v>
      </c>
      <c r="Q183" s="8">
        <f t="shared" si="50"/>
        <v>35330</v>
      </c>
      <c r="R183" s="8">
        <f t="shared" si="50"/>
        <v>43197</v>
      </c>
      <c r="S183" s="8">
        <f t="shared" si="50"/>
        <v>51351</v>
      </c>
      <c r="T183" s="8">
        <f t="shared" si="50"/>
        <v>59660</v>
      </c>
      <c r="U183" s="8">
        <f t="shared" si="50"/>
        <v>68251</v>
      </c>
      <c r="V183" s="8">
        <f t="shared" si="50"/>
        <v>76421</v>
      </c>
      <c r="W183" s="8">
        <f t="shared" si="50"/>
        <v>90460.589150700689</v>
      </c>
      <c r="X183" s="8">
        <f t="shared" si="50"/>
        <v>107847.64661607303</v>
      </c>
      <c r="Y183" s="8">
        <f t="shared" si="50"/>
        <v>127989.10483274603</v>
      </c>
      <c r="Z183" s="8">
        <f t="shared" si="50"/>
        <v>150732.10533475934</v>
      </c>
      <c r="AA183" s="8">
        <f t="shared" si="50"/>
        <v>175507.86164448698</v>
      </c>
      <c r="AB183" s="8">
        <f t="shared" si="50"/>
        <v>201322.91380673886</v>
      </c>
      <c r="AC183" s="8">
        <f t="shared" si="50"/>
        <v>228325.63945183405</v>
      </c>
      <c r="AD183" s="8">
        <f t="shared" si="50"/>
        <v>255834.27949055546</v>
      </c>
      <c r="AE183" s="8">
        <f t="shared" si="50"/>
        <v>284262.62304613442</v>
      </c>
      <c r="AF183" s="8">
        <f t="shared" si="50"/>
        <v>312892.09379955212</v>
      </c>
      <c r="AG183" s="8">
        <f t="shared" si="50"/>
        <v>340538.35745426011</v>
      </c>
    </row>
    <row r="184" spans="1:33">
      <c r="A184" t="s">
        <v>939</v>
      </c>
      <c r="C184" s="29">
        <f t="shared" ref="C184:S184" si="51">+C213</f>
        <v>0</v>
      </c>
      <c r="D184" s="11">
        <f t="shared" si="51"/>
        <v>940</v>
      </c>
      <c r="E184" s="11">
        <f t="shared" si="51"/>
        <v>1556</v>
      </c>
      <c r="F184" s="11">
        <f t="shared" si="51"/>
        <v>2062</v>
      </c>
      <c r="G184" s="11">
        <f t="shared" si="51"/>
        <v>2173</v>
      </c>
      <c r="H184" s="11">
        <f t="shared" si="51"/>
        <v>2266</v>
      </c>
      <c r="I184" s="11">
        <f t="shared" si="51"/>
        <v>2467</v>
      </c>
      <c r="J184" s="11">
        <f t="shared" si="51"/>
        <v>3255</v>
      </c>
      <c r="K184" s="11">
        <f t="shared" si="51"/>
        <v>4712</v>
      </c>
      <c r="L184" s="11">
        <f t="shared" si="51"/>
        <v>5457</v>
      </c>
      <c r="M184" s="29">
        <f t="shared" si="51"/>
        <v>4900</v>
      </c>
      <c r="N184" s="29">
        <f t="shared" si="51"/>
        <v>6100</v>
      </c>
      <c r="O184" s="29">
        <f t="shared" si="51"/>
        <v>7700</v>
      </c>
      <c r="P184" s="29">
        <f t="shared" si="51"/>
        <v>9700</v>
      </c>
      <c r="Q184" s="29">
        <f t="shared" si="51"/>
        <v>10700</v>
      </c>
      <c r="R184" s="29">
        <f t="shared" si="51"/>
        <v>9300</v>
      </c>
      <c r="S184" s="29">
        <f t="shared" si="51"/>
        <v>12600</v>
      </c>
      <c r="T184" s="29">
        <f>+T213</f>
        <v>11000</v>
      </c>
      <c r="U184" s="29">
        <f t="shared" ref="U184" si="52">+U213</f>
        <v>15200</v>
      </c>
      <c r="V184" s="29">
        <f t="shared" ref="V184:AG184" si="53">+V50</f>
        <v>21911.116747365937</v>
      </c>
      <c r="W184" s="29">
        <f t="shared" si="53"/>
        <v>26704.692983231798</v>
      </c>
      <c r="X184" s="29">
        <f t="shared" si="53"/>
        <v>31249.998101963938</v>
      </c>
      <c r="Y184" s="29">
        <f t="shared" si="53"/>
        <v>35926.153964588295</v>
      </c>
      <c r="Z184" s="29">
        <f t="shared" si="53"/>
        <v>40301.487808216436</v>
      </c>
      <c r="AA184" s="29">
        <f t="shared" si="53"/>
        <v>43892.739923028188</v>
      </c>
      <c r="AB184" s="29">
        <f t="shared" si="53"/>
        <v>47739.419379419582</v>
      </c>
      <c r="AC184" s="29">
        <f t="shared" si="53"/>
        <v>51026.672673355213</v>
      </c>
      <c r="AD184" s="29">
        <f t="shared" si="53"/>
        <v>54779.82536271157</v>
      </c>
      <c r="AE184" s="29">
        <f t="shared" si="53"/>
        <v>57909.133176156225</v>
      </c>
      <c r="AF184" s="29">
        <f t="shared" si="53"/>
        <v>59874.823227620487</v>
      </c>
      <c r="AG184" s="29">
        <f t="shared" si="53"/>
        <v>60370.842936425644</v>
      </c>
    </row>
    <row r="185" spans="1:33" ht="11.45">
      <c r="A185" t="s">
        <v>198</v>
      </c>
      <c r="D185" s="10">
        <f>+D186-SUM(D183:D184)</f>
        <v>-103</v>
      </c>
      <c r="E185" s="10">
        <f t="shared" ref="E185:U185" si="54">+E186-SUM(E183:E184)</f>
        <v>-270</v>
      </c>
      <c r="F185" s="10">
        <f t="shared" si="54"/>
        <v>-817</v>
      </c>
      <c r="G185" s="10">
        <f t="shared" si="54"/>
        <v>-1091</v>
      </c>
      <c r="H185" s="10">
        <f t="shared" si="54"/>
        <v>-1066</v>
      </c>
      <c r="I185" s="10">
        <f t="shared" si="54"/>
        <v>-1334</v>
      </c>
      <c r="J185" s="10">
        <f t="shared" si="54"/>
        <v>-1704</v>
      </c>
      <c r="K185" s="10">
        <f t="shared" si="54"/>
        <v>-2432</v>
      </c>
      <c r="L185" s="10">
        <f t="shared" si="54"/>
        <v>-2644</v>
      </c>
      <c r="M185" s="10">
        <f t="shared" si="54"/>
        <v>-2706</v>
      </c>
      <c r="N185" s="10">
        <f t="shared" si="54"/>
        <v>-1721</v>
      </c>
      <c r="O185" s="10">
        <f t="shared" si="54"/>
        <v>-2656</v>
      </c>
      <c r="P185" s="10">
        <f t="shared" si="54"/>
        <v>-3593</v>
      </c>
      <c r="Q185" s="10">
        <f t="shared" si="54"/>
        <v>-2833</v>
      </c>
      <c r="R185" s="10">
        <f t="shared" si="54"/>
        <v>-1146</v>
      </c>
      <c r="S185" s="10">
        <f t="shared" si="54"/>
        <v>-4291</v>
      </c>
      <c r="T185" s="10">
        <f t="shared" si="54"/>
        <v>-2409</v>
      </c>
      <c r="U185" s="10">
        <f t="shared" si="54"/>
        <v>-7030</v>
      </c>
      <c r="V185" s="58">
        <f t="shared" ref="V185:AG185" si="55">+U185/U183*V183</f>
        <v>-7871.5275966652507</v>
      </c>
      <c r="W185" s="58">
        <f t="shared" si="55"/>
        <v>-9317.6355178594586</v>
      </c>
      <c r="X185" s="58">
        <f t="shared" si="55"/>
        <v>-11108.539885290964</v>
      </c>
      <c r="Y185" s="58">
        <f t="shared" si="55"/>
        <v>-13183.153462574977</v>
      </c>
      <c r="Z185" s="58">
        <f t="shared" si="55"/>
        <v>-15525.731498488789</v>
      </c>
      <c r="AA185" s="58">
        <f t="shared" si="55"/>
        <v>-18077.687760776305</v>
      </c>
      <c r="AB185" s="58">
        <f t="shared" si="55"/>
        <v>-20736.693734324395</v>
      </c>
      <c r="AC185" s="58">
        <f t="shared" si="55"/>
        <v>-23518.032634633833</v>
      </c>
      <c r="AD185" s="58">
        <f t="shared" si="55"/>
        <v>-26351.481807132575</v>
      </c>
      <c r="AE185" s="58">
        <f t="shared" si="55"/>
        <v>-29279.662422738504</v>
      </c>
      <c r="AF185" s="58">
        <f t="shared" si="55"/>
        <v>-32228.559572912516</v>
      </c>
      <c r="AG185" s="58">
        <f t="shared" si="55"/>
        <v>-35076.184274273626</v>
      </c>
    </row>
    <row r="186" spans="1:33" s="1" customFormat="1" ht="10.5">
      <c r="A186" s="837" t="s">
        <v>924</v>
      </c>
      <c r="C186" s="838"/>
      <c r="D186" s="838">
        <f>+D181</f>
        <v>5016</v>
      </c>
      <c r="E186" s="838">
        <f t="shared" ref="E186:U186" si="56">+E181</f>
        <v>6302</v>
      </c>
      <c r="F186" s="838">
        <f t="shared" si="56"/>
        <v>7547</v>
      </c>
      <c r="G186" s="838">
        <f t="shared" si="56"/>
        <v>8629</v>
      </c>
      <c r="H186" s="838">
        <f t="shared" si="56"/>
        <v>9829</v>
      </c>
      <c r="I186" s="838">
        <f t="shared" si="56"/>
        <v>10962</v>
      </c>
      <c r="J186" s="838">
        <f t="shared" si="56"/>
        <v>12513</v>
      </c>
      <c r="K186" s="838">
        <f>+K181</f>
        <v>14793</v>
      </c>
      <c r="L186" s="838">
        <f t="shared" si="56"/>
        <v>17606</v>
      </c>
      <c r="M186" s="838">
        <f t="shared" si="56"/>
        <v>19800</v>
      </c>
      <c r="N186" s="838">
        <f t="shared" si="56"/>
        <v>24179</v>
      </c>
      <c r="O186" s="838">
        <f t="shared" si="56"/>
        <v>29223</v>
      </c>
      <c r="P186" s="838">
        <f t="shared" si="56"/>
        <v>35330</v>
      </c>
      <c r="Q186" s="838">
        <f t="shared" si="56"/>
        <v>43197</v>
      </c>
      <c r="R186" s="838">
        <f t="shared" si="56"/>
        <v>51351</v>
      </c>
      <c r="S186" s="838">
        <f t="shared" si="56"/>
        <v>59660</v>
      </c>
      <c r="T186" s="838">
        <f t="shared" si="56"/>
        <v>68251</v>
      </c>
      <c r="U186" s="838">
        <f t="shared" si="56"/>
        <v>76421</v>
      </c>
      <c r="V186" s="838">
        <f t="shared" ref="V186:AF186" si="57">+SUM(V183:V185)</f>
        <v>90460.589150700689</v>
      </c>
      <c r="W186" s="838">
        <f t="shared" si="57"/>
        <v>107847.64661607303</v>
      </c>
      <c r="X186" s="838">
        <f t="shared" si="57"/>
        <v>127989.10483274603</v>
      </c>
      <c r="Y186" s="838">
        <f t="shared" si="57"/>
        <v>150732.10533475934</v>
      </c>
      <c r="Z186" s="838">
        <f t="shared" si="57"/>
        <v>175507.86164448698</v>
      </c>
      <c r="AA186" s="838">
        <f t="shared" si="57"/>
        <v>201322.91380673886</v>
      </c>
      <c r="AB186" s="838">
        <f t="shared" si="57"/>
        <v>228325.63945183405</v>
      </c>
      <c r="AC186" s="838">
        <f t="shared" si="57"/>
        <v>255834.27949055546</v>
      </c>
      <c r="AD186" s="838">
        <f t="shared" si="57"/>
        <v>284262.62304613442</v>
      </c>
      <c r="AE186" s="838">
        <f t="shared" si="57"/>
        <v>312892.09379955212</v>
      </c>
      <c r="AF186" s="838">
        <f t="shared" si="57"/>
        <v>340538.35745426011</v>
      </c>
      <c r="AG186" s="838">
        <f t="shared" ref="AG186" si="58">+SUM(AG183:AG185)</f>
        <v>365833.01611641212</v>
      </c>
    </row>
    <row r="187" spans="1:33">
      <c r="A187" s="13" t="s">
        <v>940</v>
      </c>
      <c r="D187" s="1226">
        <f t="shared" ref="D187:AG187" si="59">+D175/D184</f>
        <v>7.6840425531914898</v>
      </c>
      <c r="E187" s="1226">
        <f t="shared" si="59"/>
        <v>6.0192802056555266</v>
      </c>
      <c r="F187" s="1226">
        <f t="shared" si="59"/>
        <v>6.0834141610087293</v>
      </c>
      <c r="G187" s="1226">
        <f t="shared" si="59"/>
        <v>6.9406350667280261</v>
      </c>
      <c r="H187" s="1226">
        <f t="shared" si="59"/>
        <v>7.1751985878199473</v>
      </c>
      <c r="I187" s="1226">
        <f t="shared" si="59"/>
        <v>7.2926631536278883</v>
      </c>
      <c r="J187" s="1226">
        <f t="shared" si="59"/>
        <v>5.908141321044547</v>
      </c>
      <c r="K187" s="1226">
        <f t="shared" si="59"/>
        <v>4.7758913412563668</v>
      </c>
      <c r="L187" s="1226">
        <f t="shared" si="59"/>
        <v>5.0951072017592081</v>
      </c>
      <c r="M187" s="1226">
        <f t="shared" si="59"/>
        <v>6.5993877551020406</v>
      </c>
      <c r="N187" s="1226">
        <f t="shared" si="59"/>
        <v>6.2550819672131146</v>
      </c>
      <c r="O187" s="1226">
        <f t="shared" si="59"/>
        <v>6.2224675324675323</v>
      </c>
      <c r="P187" s="1226">
        <f t="shared" si="59"/>
        <v>6.0497938144329897</v>
      </c>
      <c r="Q187" s="1226">
        <f t="shared" si="59"/>
        <v>6.7109345794392521</v>
      </c>
      <c r="R187" s="1226">
        <f t="shared" si="59"/>
        <v>9.3922580645161293</v>
      </c>
      <c r="S187" s="1226">
        <f t="shared" si="59"/>
        <v>8.8147619047619052</v>
      </c>
      <c r="T187" s="1226">
        <f t="shared" si="59"/>
        <v>12.187090909090909</v>
      </c>
      <c r="U187" s="1226">
        <f t="shared" si="59"/>
        <v>10.782368421052631</v>
      </c>
      <c r="V187" s="1226">
        <f t="shared" si="59"/>
        <v>9.6760015678108786</v>
      </c>
      <c r="W187" s="1226">
        <f t="shared" si="59"/>
        <v>10.953580338245111</v>
      </c>
      <c r="X187" s="1226">
        <f t="shared" si="59"/>
        <v>11.514494612280421</v>
      </c>
      <c r="Y187" s="1226">
        <f t="shared" si="59"/>
        <v>11.855681373511542</v>
      </c>
      <c r="Z187" s="1226">
        <f t="shared" si="59"/>
        <v>12.16315649498554</v>
      </c>
      <c r="AA187" s="1226">
        <f t="shared" si="59"/>
        <v>12.573992925017983</v>
      </c>
      <c r="AB187" s="1226">
        <f t="shared" si="59"/>
        <v>12.783019857617466</v>
      </c>
      <c r="AC187" s="1226">
        <f t="shared" si="59"/>
        <v>13.106207646548347</v>
      </c>
      <c r="AD187" s="1226">
        <f t="shared" si="59"/>
        <v>13.273132677272805</v>
      </c>
      <c r="AE187" s="1226">
        <f t="shared" si="59"/>
        <v>13.643103722206588</v>
      </c>
      <c r="AF187" s="1226">
        <f t="shared" si="59"/>
        <v>14.330189519833075</v>
      </c>
      <c r="AG187" s="1226">
        <f t="shared" si="59"/>
        <v>15.427503630298228</v>
      </c>
    </row>
    <row r="188" spans="1:33">
      <c r="A188" s="13"/>
      <c r="D188" s="1226"/>
      <c r="E188" s="1226"/>
      <c r="F188" s="1226"/>
      <c r="G188" s="1226"/>
      <c r="H188" s="1226"/>
      <c r="I188" s="1226"/>
      <c r="J188" s="1226"/>
      <c r="K188" s="1226"/>
      <c r="L188" s="1226"/>
      <c r="M188" s="1226"/>
      <c r="N188" s="1226"/>
      <c r="O188" s="1226"/>
      <c r="P188" s="1226"/>
      <c r="Q188" s="1226"/>
      <c r="R188" s="1226"/>
      <c r="S188" s="1226"/>
      <c r="T188" s="1226"/>
      <c r="U188" s="1226"/>
      <c r="V188" s="1226"/>
      <c r="W188" s="1226"/>
    </row>
    <row r="189" spans="1:33">
      <c r="A189" s="24" t="s">
        <v>126</v>
      </c>
      <c r="D189" s="1226"/>
      <c r="E189" s="1226"/>
      <c r="F189" s="1226"/>
      <c r="G189" s="1226"/>
      <c r="H189" s="1226"/>
      <c r="I189" s="1226"/>
      <c r="J189" s="1226"/>
      <c r="K189" s="1226"/>
      <c r="L189" s="1226"/>
      <c r="M189" s="1226"/>
      <c r="N189" s="1226"/>
      <c r="O189" s="1226"/>
      <c r="P189" s="1226"/>
      <c r="Q189" s="1226"/>
      <c r="R189" s="1226"/>
      <c r="S189" s="1226"/>
      <c r="T189" s="1226"/>
      <c r="U189" s="1226"/>
      <c r="V189" s="1226"/>
      <c r="W189" s="1226"/>
    </row>
    <row r="190" spans="1:33">
      <c r="A190" s="13" t="s">
        <v>941</v>
      </c>
      <c r="D190" s="29">
        <f>+'Historical Financials'!AU816</f>
        <v>1440</v>
      </c>
      <c r="E190" s="29">
        <f>+'Historical Financials'!AV816</f>
        <v>2056</v>
      </c>
      <c r="F190" s="29">
        <f>+'Historical Financials'!AW816</f>
        <v>2562</v>
      </c>
      <c r="G190" s="29">
        <f>+'Historical Financials'!AX816</f>
        <v>2673</v>
      </c>
      <c r="H190" s="29">
        <f>+'Historical Financials'!AY816</f>
        <v>2766</v>
      </c>
      <c r="I190" s="29">
        <f>+'Historical Financials'!AZ816</f>
        <v>2967</v>
      </c>
      <c r="J190" s="29">
        <f>+'Historical Financials'!BA816</f>
        <v>3755</v>
      </c>
      <c r="K190" s="29">
        <f>+'Historical Financials'!BB816</f>
        <v>5212</v>
      </c>
      <c r="L190" s="29">
        <f>+'Historical Financials'!BC816</f>
        <v>5957</v>
      </c>
      <c r="M190" s="29">
        <f>+'Historical Financials'!BG816</f>
        <v>6622</v>
      </c>
      <c r="N190" s="29">
        <f>+'Historical Financials'!BH816</f>
        <v>8778</v>
      </c>
      <c r="O190" s="29">
        <f>+'Historical Financials'!BI816</f>
        <v>10261</v>
      </c>
      <c r="P190" s="29">
        <f>+'Historical Financials'!BJ816</f>
        <v>11682</v>
      </c>
      <c r="Q190" s="29">
        <f>+'Historical Financials'!BK816</f>
        <v>12796</v>
      </c>
      <c r="R190" s="29">
        <f>+'Historical Financials'!BL816</f>
        <v>11686</v>
      </c>
      <c r="S190" s="29">
        <f>+'Historical Financials'!BM816</f>
        <v>14460</v>
      </c>
      <c r="T190" s="29">
        <f>+'Historical Financials'!BN816</f>
        <v>13861</v>
      </c>
      <c r="U190" s="29">
        <f>+'Historical Financials'!BO816</f>
        <v>22287</v>
      </c>
      <c r="V190" s="1226"/>
      <c r="W190" s="1226"/>
    </row>
    <row r="191" spans="1:33">
      <c r="A191" s="15" t="s">
        <v>942</v>
      </c>
      <c r="B191" s="11"/>
      <c r="C191" s="11">
        <f t="shared" ref="C191:M191" si="60">+C184</f>
        <v>0</v>
      </c>
      <c r="D191" s="11">
        <f t="shared" si="60"/>
        <v>940</v>
      </c>
      <c r="E191" s="11">
        <f t="shared" si="60"/>
        <v>1556</v>
      </c>
      <c r="F191" s="11">
        <f t="shared" si="60"/>
        <v>2062</v>
      </c>
      <c r="G191" s="11">
        <f t="shared" si="60"/>
        <v>2173</v>
      </c>
      <c r="H191" s="11">
        <f t="shared" si="60"/>
        <v>2266</v>
      </c>
      <c r="I191" s="11">
        <f t="shared" si="60"/>
        <v>2467</v>
      </c>
      <c r="J191" s="11">
        <f t="shared" si="60"/>
        <v>3255</v>
      </c>
      <c r="K191" s="11">
        <f t="shared" si="60"/>
        <v>4712</v>
      </c>
      <c r="L191" s="11">
        <f t="shared" si="60"/>
        <v>5457</v>
      </c>
      <c r="M191" s="11">
        <f t="shared" si="60"/>
        <v>4900</v>
      </c>
      <c r="N191" s="11">
        <f>+N184</f>
        <v>6100</v>
      </c>
      <c r="O191" s="11">
        <f t="shared" ref="O191:U191" si="61">+O184</f>
        <v>7700</v>
      </c>
      <c r="P191" s="11">
        <f t="shared" si="61"/>
        <v>9700</v>
      </c>
      <c r="Q191" s="11">
        <f t="shared" si="61"/>
        <v>10700</v>
      </c>
      <c r="R191" s="11">
        <f t="shared" si="61"/>
        <v>9300</v>
      </c>
      <c r="S191" s="11">
        <f t="shared" si="61"/>
        <v>12600</v>
      </c>
      <c r="T191" s="11">
        <f t="shared" si="61"/>
        <v>11000</v>
      </c>
      <c r="U191" s="11">
        <f t="shared" si="61"/>
        <v>15200</v>
      </c>
      <c r="V191" s="1226"/>
      <c r="W191" s="1226"/>
    </row>
    <row r="192" spans="1:33">
      <c r="A192" s="15" t="s">
        <v>943</v>
      </c>
      <c r="B192" s="11"/>
      <c r="C192" s="11"/>
      <c r="D192" s="29">
        <v>236</v>
      </c>
      <c r="E192" s="29">
        <v>472</v>
      </c>
      <c r="F192" s="29">
        <v>591</v>
      </c>
      <c r="G192" s="29">
        <v>707</v>
      </c>
      <c r="H192" s="29">
        <v>537</v>
      </c>
      <c r="I192" s="29">
        <v>558</v>
      </c>
      <c r="J192" s="29">
        <v>739</v>
      </c>
      <c r="K192" s="29">
        <v>845</v>
      </c>
      <c r="L192" s="29">
        <v>1300</v>
      </c>
      <c r="M192" s="29">
        <v>978</v>
      </c>
      <c r="N192" s="29">
        <v>1700</v>
      </c>
      <c r="O192" s="29">
        <v>2200</v>
      </c>
      <c r="P192" s="29">
        <v>1900</v>
      </c>
      <c r="Q192" s="29">
        <v>1600</v>
      </c>
      <c r="R192" s="29">
        <v>1600</v>
      </c>
      <c r="S192" s="29">
        <v>2000</v>
      </c>
      <c r="T192" s="29">
        <v>2500</v>
      </c>
      <c r="U192" s="29">
        <v>4800</v>
      </c>
      <c r="V192" s="1226"/>
      <c r="W192" s="1226"/>
    </row>
    <row r="193" spans="1:33">
      <c r="A193" s="15" t="s">
        <v>944</v>
      </c>
      <c r="B193" s="11"/>
      <c r="C193" s="11"/>
      <c r="D193" s="61">
        <v>500</v>
      </c>
      <c r="E193" s="61">
        <v>500</v>
      </c>
      <c r="F193" s="61">
        <v>500</v>
      </c>
      <c r="G193" s="61">
        <v>500</v>
      </c>
      <c r="H193" s="61">
        <v>500</v>
      </c>
      <c r="I193" s="61">
        <v>500</v>
      </c>
      <c r="J193" s="61">
        <v>500</v>
      </c>
      <c r="K193" s="61">
        <v>500</v>
      </c>
      <c r="L193" s="61">
        <v>500</v>
      </c>
      <c r="M193" s="11">
        <f t="shared" ref="M193:T193" si="62">+M190-M191-M192</f>
        <v>744</v>
      </c>
      <c r="N193" s="11">
        <f t="shared" si="62"/>
        <v>978</v>
      </c>
      <c r="O193" s="11">
        <f t="shared" si="62"/>
        <v>361</v>
      </c>
      <c r="P193" s="11">
        <f t="shared" si="62"/>
        <v>82</v>
      </c>
      <c r="Q193" s="11">
        <f t="shared" si="62"/>
        <v>496</v>
      </c>
      <c r="R193" s="11">
        <f t="shared" si="62"/>
        <v>786</v>
      </c>
      <c r="S193" s="11">
        <f t="shared" si="62"/>
        <v>-140</v>
      </c>
      <c r="T193" s="11">
        <f t="shared" si="62"/>
        <v>361</v>
      </c>
      <c r="U193" s="11">
        <f>+U190-U191-U192</f>
        <v>2287</v>
      </c>
      <c r="V193" s="1226"/>
      <c r="W193" s="1226"/>
    </row>
    <row r="194" spans="1:33" hidden="1" outlineLevel="1">
      <c r="A194" s="19" t="s">
        <v>945</v>
      </c>
      <c r="D194" s="1253">
        <f t="shared" ref="D194:K194" si="63">+E194</f>
        <v>0.11235276351555422</v>
      </c>
      <c r="E194" s="1253">
        <f t="shared" si="63"/>
        <v>0.11235276351555422</v>
      </c>
      <c r="F194" s="1253">
        <f t="shared" si="63"/>
        <v>0.11235276351555422</v>
      </c>
      <c r="G194" s="1253">
        <f t="shared" si="63"/>
        <v>0.11235276351555422</v>
      </c>
      <c r="H194" s="1253">
        <f t="shared" si="63"/>
        <v>0.11235276351555422</v>
      </c>
      <c r="I194" s="1253">
        <f t="shared" si="63"/>
        <v>0.11235276351555422</v>
      </c>
      <c r="J194" s="1253">
        <f t="shared" si="63"/>
        <v>0.11235276351555422</v>
      </c>
      <c r="K194" s="1253">
        <f t="shared" si="63"/>
        <v>0.11235276351555422</v>
      </c>
      <c r="L194" s="1253">
        <f>+M194</f>
        <v>0.11235276351555422</v>
      </c>
      <c r="M194" s="1252">
        <f>+M193/M190</f>
        <v>0.11235276351555422</v>
      </c>
      <c r="N194" s="1252">
        <f t="shared" ref="N194:U194" si="64">+N193/N190</f>
        <v>0.11141490088858511</v>
      </c>
      <c r="O194" s="1252">
        <f t="shared" si="64"/>
        <v>3.5181756164116555E-2</v>
      </c>
      <c r="P194" s="1252">
        <f t="shared" si="64"/>
        <v>7.0193460023968502E-3</v>
      </c>
      <c r="Q194" s="1252">
        <f t="shared" si="64"/>
        <v>3.8762113160362613E-2</v>
      </c>
      <c r="R194" s="1252">
        <f t="shared" si="64"/>
        <v>6.725996919390724E-2</v>
      </c>
      <c r="S194" s="1252">
        <f t="shared" si="64"/>
        <v>-9.6818810511756573E-3</v>
      </c>
      <c r="T194" s="1252">
        <f t="shared" si="64"/>
        <v>2.6044296948272129E-2</v>
      </c>
      <c r="U194" s="1252">
        <f t="shared" si="64"/>
        <v>0.10261587472517611</v>
      </c>
      <c r="V194" s="1226"/>
      <c r="W194" s="1226"/>
    </row>
    <row r="195" spans="1:33" collapsed="1">
      <c r="A195" s="13"/>
      <c r="D195" s="1226"/>
      <c r="E195" s="1226"/>
      <c r="F195" s="1226"/>
      <c r="G195" s="1226"/>
      <c r="H195" s="1226"/>
      <c r="I195" s="1226"/>
      <c r="J195" s="1226"/>
      <c r="K195" s="1226"/>
      <c r="L195" s="1226"/>
      <c r="M195" s="1226"/>
      <c r="N195" s="1226"/>
      <c r="O195" s="1226"/>
      <c r="P195" s="1226"/>
      <c r="Q195" s="1226"/>
      <c r="R195" s="1226"/>
      <c r="S195" s="1226"/>
      <c r="T195" s="1226"/>
      <c r="U195" s="1226"/>
      <c r="V195" s="1226"/>
      <c r="W195" s="1226"/>
    </row>
    <row r="196" spans="1:33" ht="10.5">
      <c r="A196" s="45" t="s">
        <v>946</v>
      </c>
    </row>
    <row r="197" spans="1:33">
      <c r="A197" t="s">
        <v>933</v>
      </c>
      <c r="C197" s="8">
        <f t="shared" ref="C197:AG197" si="65">+C170</f>
        <v>7223</v>
      </c>
      <c r="D197" s="8">
        <f t="shared" si="65"/>
        <v>9366</v>
      </c>
      <c r="E197" s="8">
        <f t="shared" si="65"/>
        <v>12544</v>
      </c>
      <c r="F197" s="8">
        <f t="shared" si="65"/>
        <v>15082</v>
      </c>
      <c r="G197" s="8">
        <f t="shared" si="65"/>
        <v>16259</v>
      </c>
      <c r="H197" s="8">
        <f t="shared" si="65"/>
        <v>17991</v>
      </c>
      <c r="I197" s="8">
        <f t="shared" si="65"/>
        <v>19231</v>
      </c>
      <c r="J197" s="8">
        <f t="shared" si="65"/>
        <v>22504</v>
      </c>
      <c r="K197" s="8">
        <f t="shared" si="65"/>
        <v>27804</v>
      </c>
      <c r="L197" s="8">
        <f t="shared" si="65"/>
        <v>32337</v>
      </c>
      <c r="M197" s="8">
        <f t="shared" si="65"/>
        <v>38156</v>
      </c>
      <c r="N197" s="8">
        <f t="shared" si="65"/>
        <v>47913</v>
      </c>
      <c r="O197" s="8">
        <f t="shared" si="65"/>
        <v>58683</v>
      </c>
      <c r="P197" s="8">
        <f t="shared" si="65"/>
        <v>71807</v>
      </c>
      <c r="Q197" s="8">
        <f t="shared" si="65"/>
        <v>87348</v>
      </c>
      <c r="R197" s="8">
        <f t="shared" si="65"/>
        <v>111066</v>
      </c>
      <c r="S197" s="8">
        <f t="shared" si="65"/>
        <v>134058</v>
      </c>
      <c r="T197" s="8">
        <f t="shared" si="65"/>
        <v>163892</v>
      </c>
      <c r="U197" s="8">
        <f t="shared" si="65"/>
        <v>212012</v>
      </c>
      <c r="V197" s="8">
        <f t="shared" si="65"/>
        <v>292512</v>
      </c>
      <c r="W197" s="8">
        <f t="shared" si="65"/>
        <v>359827.93477883714</v>
      </c>
      <c r="X197" s="8">
        <f t="shared" si="65"/>
        <v>425929.03437987727</v>
      </c>
      <c r="Y197" s="8">
        <f t="shared" si="65"/>
        <v>490193.30319208826</v>
      </c>
      <c r="Z197" s="8">
        <f t="shared" si="65"/>
        <v>551907.00125181081</v>
      </c>
      <c r="AA197" s="8">
        <f t="shared" si="65"/>
        <v>610253.94591824862</v>
      </c>
      <c r="AB197" s="8">
        <f t="shared" si="65"/>
        <v>668766.16756944766</v>
      </c>
      <c r="AC197" s="8">
        <f t="shared" si="65"/>
        <v>727099.89007710456</v>
      </c>
      <c r="AD197" s="8">
        <f t="shared" si="65"/>
        <v>790060.310385374</v>
      </c>
      <c r="AE197" s="8">
        <f t="shared" si="65"/>
        <v>858017.56431830511</v>
      </c>
      <c r="AF197" s="8">
        <f t="shared" si="65"/>
        <v>931371.39856587071</v>
      </c>
      <c r="AG197" s="8">
        <f t="shared" si="65"/>
        <v>1010553.5395532415</v>
      </c>
    </row>
    <row r="198" spans="1:33" ht="11.45">
      <c r="A198" t="s">
        <v>924</v>
      </c>
      <c r="C198" s="10">
        <f t="shared" ref="C198:AG198" si="66">-C181</f>
        <v>-4179</v>
      </c>
      <c r="D198" s="10">
        <f t="shared" si="66"/>
        <v>-5016</v>
      </c>
      <c r="E198" s="10">
        <f t="shared" si="66"/>
        <v>-6302</v>
      </c>
      <c r="F198" s="10">
        <f t="shared" si="66"/>
        <v>-7547</v>
      </c>
      <c r="G198" s="10">
        <f t="shared" si="66"/>
        <v>-8629</v>
      </c>
      <c r="H198" s="10">
        <f t="shared" si="66"/>
        <v>-9829</v>
      </c>
      <c r="I198" s="10">
        <f t="shared" si="66"/>
        <v>-10962</v>
      </c>
      <c r="J198" s="10">
        <f t="shared" si="66"/>
        <v>-12513</v>
      </c>
      <c r="K198" s="10">
        <f t="shared" si="66"/>
        <v>-14793</v>
      </c>
      <c r="L198" s="10">
        <f t="shared" si="66"/>
        <v>-17606</v>
      </c>
      <c r="M198" s="10">
        <f t="shared" si="66"/>
        <v>-19800</v>
      </c>
      <c r="N198" s="10">
        <f t="shared" si="66"/>
        <v>-24179</v>
      </c>
      <c r="O198" s="10">
        <f t="shared" si="66"/>
        <v>-29223</v>
      </c>
      <c r="P198" s="10">
        <f t="shared" si="66"/>
        <v>-35330</v>
      </c>
      <c r="Q198" s="10">
        <f t="shared" si="66"/>
        <v>-43197</v>
      </c>
      <c r="R198" s="10">
        <f t="shared" si="66"/>
        <v>-51351</v>
      </c>
      <c r="S198" s="10">
        <f t="shared" si="66"/>
        <v>-59660</v>
      </c>
      <c r="T198" s="10">
        <f t="shared" si="66"/>
        <v>-68251</v>
      </c>
      <c r="U198" s="10">
        <f t="shared" si="66"/>
        <v>-76421</v>
      </c>
      <c r="V198" s="10">
        <f t="shared" si="66"/>
        <v>-90460.589150700689</v>
      </c>
      <c r="W198" s="10">
        <f t="shared" si="66"/>
        <v>-107847.64661607303</v>
      </c>
      <c r="X198" s="10">
        <f t="shared" si="66"/>
        <v>-127989.10483274603</v>
      </c>
      <c r="Y198" s="10">
        <f t="shared" si="66"/>
        <v>-150732.10533475934</v>
      </c>
      <c r="Z198" s="10">
        <f t="shared" si="66"/>
        <v>-175507.86164448698</v>
      </c>
      <c r="AA198" s="10">
        <f t="shared" si="66"/>
        <v>-201322.91380673886</v>
      </c>
      <c r="AB198" s="10">
        <f t="shared" si="66"/>
        <v>-228325.63945183405</v>
      </c>
      <c r="AC198" s="10">
        <f t="shared" si="66"/>
        <v>-255834.27949055546</v>
      </c>
      <c r="AD198" s="10">
        <f t="shared" si="66"/>
        <v>-284262.62304613442</v>
      </c>
      <c r="AE198" s="10">
        <f t="shared" si="66"/>
        <v>-312892.09379955212</v>
      </c>
      <c r="AF198" s="10">
        <f t="shared" si="66"/>
        <v>-340538.35745426011</v>
      </c>
      <c r="AG198" s="10">
        <f t="shared" si="66"/>
        <v>-365833.01611641212</v>
      </c>
    </row>
    <row r="199" spans="1:33" s="1" customFormat="1" ht="10.5">
      <c r="A199" s="837" t="s">
        <v>947</v>
      </c>
      <c r="C199" s="838">
        <f>SUM(C197:C198)</f>
        <v>3044</v>
      </c>
      <c r="D199" s="838">
        <f t="shared" ref="D199:AG199" si="67">SUM(D197:D198)</f>
        <v>4350</v>
      </c>
      <c r="E199" s="838">
        <f t="shared" si="67"/>
        <v>6242</v>
      </c>
      <c r="F199" s="838">
        <f t="shared" si="67"/>
        <v>7535</v>
      </c>
      <c r="G199" s="838">
        <f t="shared" si="67"/>
        <v>7630</v>
      </c>
      <c r="H199" s="838">
        <f t="shared" si="67"/>
        <v>8162</v>
      </c>
      <c r="I199" s="838">
        <f t="shared" si="67"/>
        <v>8269</v>
      </c>
      <c r="J199" s="838">
        <f t="shared" si="67"/>
        <v>9991</v>
      </c>
      <c r="K199" s="838">
        <f t="shared" si="67"/>
        <v>13011</v>
      </c>
      <c r="L199" s="838">
        <f t="shared" si="67"/>
        <v>14731</v>
      </c>
      <c r="M199" s="838">
        <f t="shared" si="67"/>
        <v>18356</v>
      </c>
      <c r="N199" s="838">
        <f t="shared" si="67"/>
        <v>23734</v>
      </c>
      <c r="O199" s="838">
        <f t="shared" si="67"/>
        <v>29460</v>
      </c>
      <c r="P199" s="838">
        <f t="shared" si="67"/>
        <v>36477</v>
      </c>
      <c r="Q199" s="838">
        <f t="shared" si="67"/>
        <v>44151</v>
      </c>
      <c r="R199" s="838">
        <f t="shared" si="67"/>
        <v>59715</v>
      </c>
      <c r="S199" s="838">
        <f t="shared" si="67"/>
        <v>74398</v>
      </c>
      <c r="T199" s="838">
        <f t="shared" si="67"/>
        <v>95641</v>
      </c>
      <c r="U199" s="838">
        <f t="shared" si="67"/>
        <v>135591</v>
      </c>
      <c r="V199" s="838">
        <f t="shared" si="67"/>
        <v>202051.41084929931</v>
      </c>
      <c r="W199" s="838">
        <f t="shared" si="67"/>
        <v>251980.2881627641</v>
      </c>
      <c r="X199" s="838">
        <f t="shared" si="67"/>
        <v>297939.92954713124</v>
      </c>
      <c r="Y199" s="838">
        <f t="shared" si="67"/>
        <v>339461.19785732892</v>
      </c>
      <c r="Z199" s="838">
        <f t="shared" si="67"/>
        <v>376399.1396073238</v>
      </c>
      <c r="AA199" s="838">
        <f t="shared" si="67"/>
        <v>408931.03211150976</v>
      </c>
      <c r="AB199" s="838">
        <f t="shared" si="67"/>
        <v>440440.52811761363</v>
      </c>
      <c r="AC199" s="838">
        <f t="shared" si="67"/>
        <v>471265.6105865491</v>
      </c>
      <c r="AD199" s="838">
        <f t="shared" si="67"/>
        <v>505797.68733923958</v>
      </c>
      <c r="AE199" s="838">
        <f t="shared" si="67"/>
        <v>545125.47051875293</v>
      </c>
      <c r="AF199" s="838">
        <f t="shared" si="67"/>
        <v>590833.0411116106</v>
      </c>
      <c r="AG199" s="838">
        <f t="shared" si="67"/>
        <v>644720.52343682933</v>
      </c>
    </row>
    <row r="201" spans="1:33">
      <c r="A201" t="s">
        <v>948</v>
      </c>
      <c r="D201" s="8">
        <f>+C199</f>
        <v>3044</v>
      </c>
      <c r="E201" s="8">
        <f t="shared" ref="E201:AG201" si="68">+D199</f>
        <v>4350</v>
      </c>
      <c r="F201" s="8">
        <f t="shared" si="68"/>
        <v>6242</v>
      </c>
      <c r="G201" s="8">
        <f t="shared" si="68"/>
        <v>7535</v>
      </c>
      <c r="H201" s="8">
        <f t="shared" si="68"/>
        <v>7630</v>
      </c>
      <c r="I201" s="8">
        <f t="shared" si="68"/>
        <v>8162</v>
      </c>
      <c r="J201" s="8">
        <f t="shared" si="68"/>
        <v>8269</v>
      </c>
      <c r="K201" s="8">
        <f t="shared" si="68"/>
        <v>9991</v>
      </c>
      <c r="L201" s="8">
        <f t="shared" si="68"/>
        <v>13011</v>
      </c>
      <c r="M201" s="8">
        <f t="shared" si="68"/>
        <v>14731</v>
      </c>
      <c r="N201" s="8">
        <f t="shared" si="68"/>
        <v>18356</v>
      </c>
      <c r="O201" s="8">
        <f t="shared" si="68"/>
        <v>23734</v>
      </c>
      <c r="P201" s="8">
        <f t="shared" si="68"/>
        <v>29460</v>
      </c>
      <c r="Q201" s="8">
        <f t="shared" si="68"/>
        <v>36477</v>
      </c>
      <c r="R201" s="8">
        <f t="shared" si="68"/>
        <v>44151</v>
      </c>
      <c r="S201" s="8">
        <f t="shared" si="68"/>
        <v>59715</v>
      </c>
      <c r="T201" s="8">
        <f t="shared" si="68"/>
        <v>74398</v>
      </c>
      <c r="U201" s="8">
        <f t="shared" si="68"/>
        <v>95641</v>
      </c>
      <c r="V201" s="8">
        <f t="shared" si="68"/>
        <v>135591</v>
      </c>
      <c r="W201" s="8">
        <f t="shared" si="68"/>
        <v>202051.41084929931</v>
      </c>
      <c r="X201" s="8">
        <f t="shared" si="68"/>
        <v>251980.2881627641</v>
      </c>
      <c r="Y201" s="8">
        <f t="shared" si="68"/>
        <v>297939.92954713124</v>
      </c>
      <c r="Z201" s="8">
        <f t="shared" si="68"/>
        <v>339461.19785732892</v>
      </c>
      <c r="AA201" s="8">
        <f t="shared" si="68"/>
        <v>376399.1396073238</v>
      </c>
      <c r="AB201" s="8">
        <f t="shared" si="68"/>
        <v>408931.03211150976</v>
      </c>
      <c r="AC201" s="8">
        <f t="shared" si="68"/>
        <v>440440.52811761363</v>
      </c>
      <c r="AD201" s="8">
        <f t="shared" si="68"/>
        <v>471265.6105865491</v>
      </c>
      <c r="AE201" s="8">
        <f t="shared" si="68"/>
        <v>505797.68733923958</v>
      </c>
      <c r="AF201" s="8">
        <f t="shared" si="68"/>
        <v>545125.47051875293</v>
      </c>
      <c r="AG201" s="8">
        <f t="shared" si="68"/>
        <v>590833.0411116106</v>
      </c>
    </row>
    <row r="202" spans="1:33">
      <c r="A202" t="s">
        <v>949</v>
      </c>
      <c r="D202" s="8">
        <f t="shared" ref="D202:AG202" si="69">+D176</f>
        <v>2264</v>
      </c>
      <c r="E202" s="8">
        <f t="shared" si="69"/>
        <v>3182</v>
      </c>
      <c r="F202" s="8">
        <f t="shared" si="69"/>
        <v>3119</v>
      </c>
      <c r="G202" s="8">
        <f t="shared" si="69"/>
        <v>1977</v>
      </c>
      <c r="H202" s="8">
        <f t="shared" si="69"/>
        <v>2355</v>
      </c>
      <c r="I202" s="8">
        <f t="shared" si="69"/>
        <v>2305</v>
      </c>
      <c r="J202" s="8">
        <f t="shared" si="69"/>
        <v>4257</v>
      </c>
      <c r="K202" s="8">
        <f t="shared" si="69"/>
        <v>5485</v>
      </c>
      <c r="L202" s="8">
        <f t="shared" si="69"/>
        <v>5944</v>
      </c>
      <c r="M202" s="8">
        <f t="shared" si="69"/>
        <v>8900</v>
      </c>
      <c r="N202" s="8">
        <f t="shared" si="69"/>
        <v>10200</v>
      </c>
      <c r="O202" s="8">
        <f t="shared" si="69"/>
        <v>13600</v>
      </c>
      <c r="P202" s="8">
        <f t="shared" si="69"/>
        <v>16900</v>
      </c>
      <c r="Q202" s="8">
        <f t="shared" si="69"/>
        <v>19000</v>
      </c>
      <c r="R202" s="8">
        <f t="shared" si="69"/>
        <v>24200</v>
      </c>
      <c r="S202" s="8">
        <f t="shared" si="69"/>
        <v>29200</v>
      </c>
      <c r="T202" s="8">
        <f t="shared" si="69"/>
        <v>31900</v>
      </c>
      <c r="U202" s="8">
        <f t="shared" si="69"/>
        <v>55700</v>
      </c>
      <c r="V202" s="8">
        <f t="shared" si="69"/>
        <v>80000</v>
      </c>
      <c r="W202" s="8">
        <f t="shared" si="69"/>
        <v>66815.934778837152</v>
      </c>
      <c r="X202" s="8">
        <f t="shared" si="69"/>
        <v>65601.099601040114</v>
      </c>
      <c r="Y202" s="8">
        <f t="shared" si="69"/>
        <v>63764.268812210998</v>
      </c>
      <c r="Z202" s="8">
        <f t="shared" si="69"/>
        <v>61213.69805972257</v>
      </c>
      <c r="AA202" s="8">
        <f t="shared" si="69"/>
        <v>57846.944666437841</v>
      </c>
      <c r="AB202" s="8">
        <f t="shared" si="69"/>
        <v>58012.221651199092</v>
      </c>
      <c r="AC202" s="8">
        <f t="shared" si="69"/>
        <v>57833.722507656938</v>
      </c>
      <c r="AD202" s="8">
        <f t="shared" si="69"/>
        <v>62460.420308269495</v>
      </c>
      <c r="AE202" s="8">
        <f t="shared" si="69"/>
        <v>67457.253932931053</v>
      </c>
      <c r="AF202" s="8">
        <f t="shared" si="69"/>
        <v>72853.834247565537</v>
      </c>
      <c r="AG202" s="8">
        <f t="shared" si="69"/>
        <v>78682.140987370789</v>
      </c>
    </row>
    <row r="203" spans="1:33">
      <c r="A203" t="s">
        <v>950</v>
      </c>
      <c r="D203" s="8">
        <f t="shared" ref="D203:AG203" si="70">+D184</f>
        <v>940</v>
      </c>
      <c r="E203" s="8">
        <f t="shared" si="70"/>
        <v>1556</v>
      </c>
      <c r="F203" s="8">
        <f t="shared" si="70"/>
        <v>2062</v>
      </c>
      <c r="G203" s="8">
        <f t="shared" si="70"/>
        <v>2173</v>
      </c>
      <c r="H203" s="8">
        <f t="shared" si="70"/>
        <v>2266</v>
      </c>
      <c r="I203" s="8">
        <f t="shared" si="70"/>
        <v>2467</v>
      </c>
      <c r="J203" s="8">
        <f t="shared" si="70"/>
        <v>3255</v>
      </c>
      <c r="K203" s="8">
        <f t="shared" si="70"/>
        <v>4712</v>
      </c>
      <c r="L203" s="8">
        <f t="shared" si="70"/>
        <v>5457</v>
      </c>
      <c r="M203" s="8">
        <f t="shared" si="70"/>
        <v>4900</v>
      </c>
      <c r="N203" s="8">
        <f t="shared" si="70"/>
        <v>6100</v>
      </c>
      <c r="O203" s="8">
        <f t="shared" si="70"/>
        <v>7700</v>
      </c>
      <c r="P203" s="8">
        <f t="shared" si="70"/>
        <v>9700</v>
      </c>
      <c r="Q203" s="8">
        <f t="shared" si="70"/>
        <v>10700</v>
      </c>
      <c r="R203" s="8">
        <f t="shared" si="70"/>
        <v>9300</v>
      </c>
      <c r="S203" s="8">
        <f t="shared" si="70"/>
        <v>12600</v>
      </c>
      <c r="T203" s="8">
        <f t="shared" si="70"/>
        <v>11000</v>
      </c>
      <c r="U203" s="8">
        <f t="shared" si="70"/>
        <v>15200</v>
      </c>
      <c r="V203" s="8">
        <f t="shared" si="70"/>
        <v>21911.116747365937</v>
      </c>
      <c r="W203" s="8">
        <f t="shared" si="70"/>
        <v>26704.692983231798</v>
      </c>
      <c r="X203" s="8">
        <f t="shared" si="70"/>
        <v>31249.998101963938</v>
      </c>
      <c r="Y203" s="8">
        <f t="shared" si="70"/>
        <v>35926.153964588295</v>
      </c>
      <c r="Z203" s="8">
        <f t="shared" si="70"/>
        <v>40301.487808216436</v>
      </c>
      <c r="AA203" s="8">
        <f t="shared" si="70"/>
        <v>43892.739923028188</v>
      </c>
      <c r="AB203" s="8">
        <f t="shared" si="70"/>
        <v>47739.419379419582</v>
      </c>
      <c r="AC203" s="8">
        <f t="shared" si="70"/>
        <v>51026.672673355213</v>
      </c>
      <c r="AD203" s="8">
        <f t="shared" si="70"/>
        <v>54779.82536271157</v>
      </c>
      <c r="AE203" s="8">
        <f t="shared" si="70"/>
        <v>57909.133176156225</v>
      </c>
      <c r="AF203" s="8">
        <f t="shared" si="70"/>
        <v>59874.823227620487</v>
      </c>
      <c r="AG203" s="8">
        <f t="shared" si="70"/>
        <v>60370.842936425644</v>
      </c>
    </row>
    <row r="204" spans="1:33" ht="11.45">
      <c r="A204" t="s">
        <v>198</v>
      </c>
      <c r="D204" s="10">
        <f t="shared" ref="D204:AG204" si="71">+D205-SUM(D201:D203)</f>
        <v>-1898</v>
      </c>
      <c r="E204" s="10">
        <f t="shared" si="71"/>
        <v>-2846</v>
      </c>
      <c r="F204" s="10">
        <f t="shared" si="71"/>
        <v>-3888</v>
      </c>
      <c r="G204" s="10">
        <f t="shared" si="71"/>
        <v>-4055</v>
      </c>
      <c r="H204" s="10">
        <f t="shared" si="71"/>
        <v>-4089</v>
      </c>
      <c r="I204" s="10">
        <f t="shared" si="71"/>
        <v>-4665</v>
      </c>
      <c r="J204" s="10">
        <f t="shared" si="71"/>
        <v>-5790</v>
      </c>
      <c r="K204" s="10">
        <f t="shared" si="71"/>
        <v>-7177</v>
      </c>
      <c r="L204" s="10">
        <f t="shared" si="71"/>
        <v>-9681</v>
      </c>
      <c r="M204" s="10">
        <f t="shared" si="71"/>
        <v>-10175</v>
      </c>
      <c r="N204" s="10">
        <f t="shared" si="71"/>
        <v>-10922</v>
      </c>
      <c r="O204" s="10">
        <f t="shared" si="71"/>
        <v>-15574</v>
      </c>
      <c r="P204" s="10">
        <f t="shared" si="71"/>
        <v>-19583</v>
      </c>
      <c r="Q204" s="10">
        <f t="shared" si="71"/>
        <v>-22026</v>
      </c>
      <c r="R204" s="10">
        <f t="shared" si="71"/>
        <v>-17936</v>
      </c>
      <c r="S204" s="10">
        <f t="shared" si="71"/>
        <v>-27117</v>
      </c>
      <c r="T204" s="10">
        <f t="shared" si="71"/>
        <v>-21657</v>
      </c>
      <c r="U204" s="10">
        <f t="shared" si="71"/>
        <v>-30950</v>
      </c>
      <c r="V204" s="10">
        <f t="shared" si="71"/>
        <v>-35450.705898066633</v>
      </c>
      <c r="W204" s="10">
        <f t="shared" si="71"/>
        <v>-43591.750448604173</v>
      </c>
      <c r="X204" s="10">
        <f t="shared" si="71"/>
        <v>-50891.456318636949</v>
      </c>
      <c r="Y204" s="10">
        <f t="shared" si="71"/>
        <v>-58169.154466601613</v>
      </c>
      <c r="Z204" s="10">
        <f t="shared" si="71"/>
        <v>-64577.244117944094</v>
      </c>
      <c r="AA204" s="10">
        <f t="shared" si="71"/>
        <v>-69207.792085280118</v>
      </c>
      <c r="AB204" s="10">
        <f t="shared" si="71"/>
        <v>-74242.145024514815</v>
      </c>
      <c r="AC204" s="10">
        <f t="shared" si="71"/>
        <v>-78035.31271207676</v>
      </c>
      <c r="AD204" s="10">
        <f t="shared" si="71"/>
        <v>-82708.168918290583</v>
      </c>
      <c r="AE204" s="10">
        <f t="shared" si="71"/>
        <v>-86038.603929573903</v>
      </c>
      <c r="AF204" s="10">
        <f t="shared" si="71"/>
        <v>-87021.086882328382</v>
      </c>
      <c r="AG204" s="10">
        <f t="shared" si="71"/>
        <v>-85165.501598577597</v>
      </c>
    </row>
    <row r="205" spans="1:33" s="1" customFormat="1" ht="10.5">
      <c r="A205" s="837" t="s">
        <v>947</v>
      </c>
      <c r="D205" s="838">
        <f>+D199</f>
        <v>4350</v>
      </c>
      <c r="E205" s="838">
        <f t="shared" ref="E205:AG205" si="72">+E199</f>
        <v>6242</v>
      </c>
      <c r="F205" s="838">
        <f t="shared" si="72"/>
        <v>7535</v>
      </c>
      <c r="G205" s="838">
        <f t="shared" si="72"/>
        <v>7630</v>
      </c>
      <c r="H205" s="838">
        <f t="shared" si="72"/>
        <v>8162</v>
      </c>
      <c r="I205" s="838">
        <f t="shared" si="72"/>
        <v>8269</v>
      </c>
      <c r="J205" s="838">
        <f t="shared" si="72"/>
        <v>9991</v>
      </c>
      <c r="K205" s="838">
        <f t="shared" si="72"/>
        <v>13011</v>
      </c>
      <c r="L205" s="838">
        <f t="shared" si="72"/>
        <v>14731</v>
      </c>
      <c r="M205" s="838">
        <f t="shared" si="72"/>
        <v>18356</v>
      </c>
      <c r="N205" s="838">
        <f t="shared" si="72"/>
        <v>23734</v>
      </c>
      <c r="O205" s="838">
        <f t="shared" si="72"/>
        <v>29460</v>
      </c>
      <c r="P205" s="838">
        <f t="shared" si="72"/>
        <v>36477</v>
      </c>
      <c r="Q205" s="838">
        <f t="shared" si="72"/>
        <v>44151</v>
      </c>
      <c r="R205" s="838">
        <f t="shared" si="72"/>
        <v>59715</v>
      </c>
      <c r="S205" s="838">
        <f t="shared" si="72"/>
        <v>74398</v>
      </c>
      <c r="T205" s="838">
        <f t="shared" si="72"/>
        <v>95641</v>
      </c>
      <c r="U205" s="838">
        <f t="shared" si="72"/>
        <v>135591</v>
      </c>
      <c r="V205" s="838">
        <f t="shared" si="72"/>
        <v>202051.41084929931</v>
      </c>
      <c r="W205" s="838">
        <f t="shared" si="72"/>
        <v>251980.2881627641</v>
      </c>
      <c r="X205" s="838">
        <f t="shared" si="72"/>
        <v>297939.92954713124</v>
      </c>
      <c r="Y205" s="838">
        <f t="shared" si="72"/>
        <v>339461.19785732892</v>
      </c>
      <c r="Z205" s="838">
        <f t="shared" si="72"/>
        <v>376399.1396073238</v>
      </c>
      <c r="AA205" s="838">
        <f t="shared" si="72"/>
        <v>408931.03211150976</v>
      </c>
      <c r="AB205" s="838">
        <f t="shared" si="72"/>
        <v>440440.52811761363</v>
      </c>
      <c r="AC205" s="838">
        <f t="shared" si="72"/>
        <v>471265.6105865491</v>
      </c>
      <c r="AD205" s="838">
        <f t="shared" si="72"/>
        <v>505797.68733923958</v>
      </c>
      <c r="AE205" s="838">
        <f t="shared" si="72"/>
        <v>545125.47051875293</v>
      </c>
      <c r="AF205" s="838">
        <f t="shared" si="72"/>
        <v>590833.0411116106</v>
      </c>
      <c r="AG205" s="838">
        <f t="shared" si="72"/>
        <v>644720.52343682933</v>
      </c>
    </row>
    <row r="206" spans="1:33" s="1" customFormat="1" ht="10.5">
      <c r="A206" s="837"/>
      <c r="D206" s="838"/>
      <c r="E206" s="838"/>
      <c r="F206" s="838"/>
      <c r="G206" s="838"/>
      <c r="H206" s="838"/>
      <c r="I206" s="838"/>
      <c r="J206" s="838"/>
      <c r="K206" s="838"/>
      <c r="L206" s="838"/>
      <c r="M206" s="838"/>
      <c r="N206" s="838"/>
      <c r="O206" s="838"/>
      <c r="P206" s="838"/>
      <c r="Q206" s="838"/>
      <c r="R206" s="838"/>
      <c r="S206" s="838"/>
      <c r="T206" s="838"/>
      <c r="U206" s="838"/>
      <c r="V206" s="838"/>
      <c r="W206" s="838"/>
    </row>
    <row r="207" spans="1:33" s="1" customFormat="1" ht="10.5">
      <c r="A207" s="45" t="s">
        <v>951</v>
      </c>
      <c r="B207"/>
      <c r="C207"/>
      <c r="D207"/>
      <c r="E207"/>
      <c r="F207"/>
      <c r="G207"/>
      <c r="H207"/>
      <c r="I207"/>
      <c r="J207"/>
      <c r="K207"/>
      <c r="L207"/>
      <c r="M207"/>
      <c r="N207" s="838"/>
      <c r="O207" s="838"/>
      <c r="P207" s="838"/>
      <c r="Q207" s="838"/>
      <c r="R207" s="838"/>
      <c r="S207" s="838"/>
      <c r="T207" s="838"/>
      <c r="U207" s="838"/>
      <c r="V207" s="838"/>
      <c r="W207" s="838"/>
    </row>
    <row r="208" spans="1:33" s="1" customFormat="1" ht="10.5">
      <c r="A208" t="s">
        <v>952</v>
      </c>
      <c r="B208"/>
      <c r="C208"/>
      <c r="D208"/>
      <c r="E208"/>
      <c r="F208"/>
      <c r="G208"/>
      <c r="H208"/>
      <c r="I208"/>
      <c r="J208"/>
      <c r="K208"/>
      <c r="L208"/>
      <c r="M208" s="1256"/>
      <c r="N208" s="1257">
        <f t="shared" ref="N208:S208" si="73">+N197/N203</f>
        <v>7.854590163934426</v>
      </c>
      <c r="O208" s="1257">
        <f t="shared" si="73"/>
        <v>7.6211688311688315</v>
      </c>
      <c r="P208" s="1257">
        <f t="shared" si="73"/>
        <v>7.4027835051546393</v>
      </c>
      <c r="Q208" s="1257">
        <f t="shared" si="73"/>
        <v>8.1633644859813081</v>
      </c>
      <c r="R208" s="1257">
        <f t="shared" si="73"/>
        <v>11.942580645161291</v>
      </c>
      <c r="S208" s="1257">
        <f t="shared" si="73"/>
        <v>10.63952380952381</v>
      </c>
      <c r="T208" s="1257">
        <f>+T197/T203</f>
        <v>14.899272727272727</v>
      </c>
      <c r="U208" s="1257">
        <f t="shared" ref="U208:AG208" si="74">+U197/U203</f>
        <v>13.948157894736843</v>
      </c>
      <c r="V208" s="1257">
        <f t="shared" si="74"/>
        <v>13.349935714032675</v>
      </c>
      <c r="W208" s="1257">
        <f t="shared" si="74"/>
        <v>13.474333331777208</v>
      </c>
      <c r="X208" s="1257">
        <f t="shared" si="74"/>
        <v>13.629729927987078</v>
      </c>
      <c r="Y208" s="1257">
        <f t="shared" si="74"/>
        <v>13.644469254216919</v>
      </c>
      <c r="Z208" s="1257">
        <f t="shared" si="74"/>
        <v>13.69445723389128</v>
      </c>
      <c r="AA208" s="1257">
        <f t="shared" si="74"/>
        <v>13.903300340521254</v>
      </c>
      <c r="AB208" s="1257">
        <f t="shared" si="74"/>
        <v>14.008678284381316</v>
      </c>
      <c r="AC208" s="1257">
        <f t="shared" si="74"/>
        <v>14.249408240501971</v>
      </c>
      <c r="AD208" s="1257">
        <f t="shared" si="74"/>
        <v>14.422468584997812</v>
      </c>
      <c r="AE208" s="1257">
        <f t="shared" si="74"/>
        <v>14.816619024640991</v>
      </c>
      <c r="AF208" s="1257">
        <f t="shared" si="74"/>
        <v>15.555309366428752</v>
      </c>
      <c r="AG208" s="1257">
        <f t="shared" si="74"/>
        <v>16.739099379768788</v>
      </c>
    </row>
    <row r="209" spans="1:33" s="1" customFormat="1" ht="10.5">
      <c r="A209" t="s">
        <v>953</v>
      </c>
      <c r="B209"/>
      <c r="C209"/>
      <c r="D209"/>
      <c r="E209"/>
      <c r="F209"/>
      <c r="G209"/>
      <c r="H209"/>
      <c r="I209"/>
      <c r="J209"/>
      <c r="K209"/>
      <c r="L209"/>
      <c r="M209" s="1256"/>
      <c r="N209" s="1257">
        <f t="shared" ref="N209:U209" si="75">(N170-N173)/N203</f>
        <v>7.5580327868852457</v>
      </c>
      <c r="O209" s="1257">
        <f t="shared" si="75"/>
        <v>7.4825974025974027</v>
      </c>
      <c r="P209" s="1257">
        <f t="shared" si="75"/>
        <v>7.2179381443298967</v>
      </c>
      <c r="Q209" s="1257">
        <f t="shared" si="75"/>
        <v>7.8415887850467287</v>
      </c>
      <c r="R209" s="1257">
        <f t="shared" si="75"/>
        <v>11.430645161290322</v>
      </c>
      <c r="S209" s="1257">
        <f t="shared" si="75"/>
        <v>9.9310317460317457</v>
      </c>
      <c r="T209" s="1257">
        <f t="shared" si="75"/>
        <v>14.177272727272728</v>
      </c>
      <c r="U209" s="1257">
        <f t="shared" si="75"/>
        <v>13.143092105263158</v>
      </c>
      <c r="V209" s="1257">
        <f t="shared" ref="V209:AG209" si="76">(V170-V173)/V203</f>
        <v>11.985696714046814</v>
      </c>
      <c r="W209" s="1257">
        <f t="shared" si="76"/>
        <v>13.474333331777208</v>
      </c>
      <c r="X209" s="1257">
        <f t="shared" si="76"/>
        <v>13.629729927987078</v>
      </c>
      <c r="Y209" s="1257">
        <f t="shared" si="76"/>
        <v>13.644469254216919</v>
      </c>
      <c r="Z209" s="1257">
        <f t="shared" si="76"/>
        <v>13.69445723389128</v>
      </c>
      <c r="AA209" s="1257">
        <f t="shared" si="76"/>
        <v>13.903300340521254</v>
      </c>
      <c r="AB209" s="1257">
        <f t="shared" si="76"/>
        <v>14.008678284381316</v>
      </c>
      <c r="AC209" s="1257">
        <f t="shared" si="76"/>
        <v>14.249408240501971</v>
      </c>
      <c r="AD209" s="1257">
        <f t="shared" si="76"/>
        <v>14.422468584997812</v>
      </c>
      <c r="AE209" s="1257">
        <f t="shared" si="76"/>
        <v>14.816619024640991</v>
      </c>
      <c r="AF209" s="1257">
        <f t="shared" si="76"/>
        <v>15.555309366428752</v>
      </c>
      <c r="AG209" s="1257">
        <f t="shared" si="76"/>
        <v>16.739099379768788</v>
      </c>
    </row>
    <row r="210" spans="1:33" s="1" customFormat="1" ht="10.5">
      <c r="A210" t="s">
        <v>954</v>
      </c>
      <c r="B210"/>
      <c r="C210"/>
      <c r="D210"/>
      <c r="E210"/>
      <c r="F210"/>
      <c r="G210"/>
      <c r="H210"/>
      <c r="I210"/>
      <c r="J210"/>
      <c r="K210"/>
      <c r="L210"/>
      <c r="M210" s="1256"/>
      <c r="N210" s="1257">
        <f t="shared" ref="N210:S210" si="77">+N205/N203</f>
        <v>3.8908196721311477</v>
      </c>
      <c r="O210" s="1257">
        <f t="shared" si="77"/>
        <v>3.825974025974026</v>
      </c>
      <c r="P210" s="1257">
        <f t="shared" si="77"/>
        <v>3.7605154639175256</v>
      </c>
      <c r="Q210" s="1257">
        <f t="shared" si="77"/>
        <v>4.1262616822429905</v>
      </c>
      <c r="R210" s="1257">
        <f t="shared" si="77"/>
        <v>6.4209677419354838</v>
      </c>
      <c r="S210" s="1257">
        <f t="shared" si="77"/>
        <v>5.9046031746031744</v>
      </c>
      <c r="T210" s="1257">
        <f>+T205/T203</f>
        <v>8.6946363636363628</v>
      </c>
      <c r="U210" s="1257">
        <f t="shared" ref="U210:AG210" si="78">+U205/U203</f>
        <v>8.9204605263157895</v>
      </c>
      <c r="V210" s="1257">
        <f t="shared" si="78"/>
        <v>9.2214109020065855</v>
      </c>
      <c r="W210" s="1257">
        <f t="shared" si="78"/>
        <v>9.4358054713823361</v>
      </c>
      <c r="X210" s="1257">
        <f t="shared" si="78"/>
        <v>9.5340783245809835</v>
      </c>
      <c r="Y210" s="1257">
        <f t="shared" si="78"/>
        <v>9.4488599640231232</v>
      </c>
      <c r="Z210" s="1257">
        <f t="shared" si="78"/>
        <v>9.3395842207737481</v>
      </c>
      <c r="AA210" s="1257">
        <f t="shared" si="78"/>
        <v>9.3165984358375713</v>
      </c>
      <c r="AB210" s="1257">
        <f t="shared" si="78"/>
        <v>9.225929721036513</v>
      </c>
      <c r="AC210" s="1257">
        <f t="shared" si="78"/>
        <v>9.2356719710754653</v>
      </c>
      <c r="AD210" s="1257">
        <f t="shared" si="78"/>
        <v>9.2332840418935369</v>
      </c>
      <c r="AE210" s="1257">
        <f t="shared" si="78"/>
        <v>9.4134627928294634</v>
      </c>
      <c r="AF210" s="1257">
        <f t="shared" si="78"/>
        <v>9.8678043501773054</v>
      </c>
      <c r="AG210" s="1257">
        <f t="shared" si="78"/>
        <v>10.679336117863407</v>
      </c>
    </row>
    <row r="211" spans="1:33" s="1" customFormat="1" ht="10.5">
      <c r="A211" s="837"/>
      <c r="D211" s="838"/>
      <c r="E211" s="838"/>
      <c r="F211" s="838"/>
      <c r="G211" s="838"/>
      <c r="H211" s="838"/>
      <c r="I211" s="838"/>
      <c r="J211" s="838"/>
      <c r="K211" s="838"/>
      <c r="L211" s="838"/>
      <c r="M211" s="838"/>
      <c r="N211" s="838"/>
      <c r="O211" s="838"/>
      <c r="P211" s="838"/>
      <c r="Q211" s="838"/>
      <c r="R211" s="838"/>
      <c r="S211" s="838"/>
      <c r="T211" s="838"/>
      <c r="U211" s="838"/>
      <c r="V211" s="838"/>
      <c r="W211" s="838"/>
    </row>
    <row r="212" spans="1:33" s="1" customFormat="1" ht="10.5">
      <c r="A212" s="45"/>
      <c r="D212" s="838"/>
      <c r="E212" s="838"/>
      <c r="F212" s="838"/>
      <c r="G212" s="838"/>
      <c r="H212" s="838"/>
      <c r="I212" s="838"/>
      <c r="J212" s="838"/>
      <c r="K212" s="838"/>
      <c r="L212" s="838"/>
      <c r="M212" s="838"/>
      <c r="N212" s="838"/>
      <c r="O212" s="838"/>
      <c r="P212" s="838"/>
      <c r="Q212" s="838"/>
      <c r="R212" s="838"/>
      <c r="S212" s="838"/>
      <c r="T212" s="838"/>
      <c r="U212" s="838"/>
      <c r="V212" s="838"/>
      <c r="W212" s="838"/>
    </row>
    <row r="213" spans="1:33">
      <c r="A213" t="s">
        <v>950</v>
      </c>
      <c r="C213" s="29"/>
      <c r="D213" s="11">
        <f t="shared" ref="D213:K213" si="79">+D190-D193</f>
        <v>940</v>
      </c>
      <c r="E213" s="11">
        <f t="shared" si="79"/>
        <v>1556</v>
      </c>
      <c r="F213" s="11">
        <f t="shared" si="79"/>
        <v>2062</v>
      </c>
      <c r="G213" s="11">
        <f t="shared" si="79"/>
        <v>2173</v>
      </c>
      <c r="H213" s="11">
        <f t="shared" si="79"/>
        <v>2266</v>
      </c>
      <c r="I213" s="11">
        <f t="shared" si="79"/>
        <v>2467</v>
      </c>
      <c r="J213" s="11">
        <f t="shared" si="79"/>
        <v>3255</v>
      </c>
      <c r="K213" s="11">
        <f t="shared" si="79"/>
        <v>4712</v>
      </c>
      <c r="L213" s="11">
        <f>+L190-L193</f>
        <v>5457</v>
      </c>
      <c r="M213" s="29">
        <v>4900</v>
      </c>
      <c r="N213" s="29">
        <v>6100</v>
      </c>
      <c r="O213" s="29">
        <v>7700</v>
      </c>
      <c r="P213" s="29">
        <v>9700</v>
      </c>
      <c r="Q213" s="29">
        <v>10700</v>
      </c>
      <c r="R213" s="29">
        <v>9300</v>
      </c>
      <c r="S213" s="29">
        <v>12600</v>
      </c>
      <c r="T213" s="29">
        <v>11000</v>
      </c>
      <c r="U213" s="29">
        <v>15200</v>
      </c>
      <c r="V213" s="29"/>
      <c r="W213" s="29"/>
    </row>
    <row r="214" spans="1:33" s="1" customFormat="1" ht="10.5">
      <c r="A214"/>
      <c r="D214" s="838"/>
      <c r="E214" s="838"/>
      <c r="F214" s="838"/>
      <c r="G214" s="838"/>
      <c r="H214" s="838"/>
      <c r="I214" s="838"/>
      <c r="J214" s="838"/>
      <c r="K214" s="838"/>
      <c r="L214" s="838"/>
      <c r="M214" s="1227"/>
      <c r="N214" s="1227"/>
      <c r="O214" s="1227"/>
      <c r="P214" s="1227"/>
      <c r="Q214" s="1227"/>
      <c r="R214" s="1227"/>
      <c r="S214" s="1227"/>
      <c r="T214" s="1227"/>
      <c r="U214" s="1227"/>
      <c r="V214" s="1227"/>
      <c r="W214" s="1227"/>
    </row>
    <row r="215" spans="1:33" s="1" customFormat="1" ht="10.5">
      <c r="A215"/>
      <c r="D215" s="838"/>
      <c r="E215" s="838"/>
      <c r="F215" s="838"/>
      <c r="G215" s="838"/>
      <c r="H215" s="838"/>
      <c r="I215" s="838"/>
      <c r="J215" s="838"/>
      <c r="K215" s="838"/>
      <c r="L215" s="838"/>
      <c r="M215" s="1227"/>
      <c r="N215" s="1227"/>
      <c r="O215" s="1227"/>
      <c r="P215" s="1227"/>
      <c r="Q215" s="1227"/>
      <c r="R215" s="1227"/>
      <c r="S215" s="1227"/>
      <c r="T215" s="1227"/>
      <c r="U215" s="1227"/>
      <c r="V215" s="1227"/>
      <c r="W215" s="956"/>
    </row>
  </sheetData>
  <pageMargins left="0.3" right="0.3" top="0.3" bottom="0.3" header="0.3" footer="0.3"/>
  <pageSetup scale="60" fitToHeight="0" orientation="portrait" r:id="rId1"/>
  <headerFooter>
    <oddFooter>Page &amp;P</oddFooter>
  </headerFooter>
  <colBreaks count="1" manualBreakCount="1">
    <brk id="33" max="1048575" man="1"/>
  </col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3BF73-9449-4E48-BD87-B77BDDE6915B}">
  <sheetPr>
    <pageSetUpPr fitToPage="1"/>
  </sheetPr>
  <dimension ref="A1:AD75"/>
  <sheetViews>
    <sheetView view="pageBreakPreview" zoomScale="85" zoomScaleNormal="100" zoomScaleSheetLayoutView="85" workbookViewId="0">
      <pane xSplit="2" ySplit="6" topLeftCell="C7" activePane="bottomRight" state="frozen"/>
      <selection pane="bottomRight" activeCell="J83" sqref="J83"/>
      <selection pane="bottomLeft" activeCell="J83" sqref="J83"/>
      <selection pane="topRight" activeCell="J83" sqref="J83"/>
    </sheetView>
  </sheetViews>
  <sheetFormatPr defaultRowHeight="9.9499999999999993" outlineLevelCol="1"/>
  <cols>
    <col min="1" max="1" width="2.6640625" style="42" customWidth="1"/>
    <col min="2" max="2" width="20.6640625" customWidth="1"/>
    <col min="3" max="3" width="2.6640625" customWidth="1"/>
    <col min="4" max="19" width="9.83203125" customWidth="1"/>
    <col min="20" max="20" width="2.6640625" customWidth="1"/>
    <col min="21" max="21" width="9.1640625" hidden="1" customWidth="1" outlineLevel="1"/>
    <col min="22" max="22" width="9.83203125" customWidth="1" collapsed="1"/>
    <col min="23" max="30" width="9.83203125" customWidth="1"/>
  </cols>
  <sheetData>
    <row r="1" spans="1:30">
      <c r="Q1" t="s">
        <v>955</v>
      </c>
      <c r="R1" t="s">
        <v>956</v>
      </c>
      <c r="S1" t="s">
        <v>957</v>
      </c>
      <c r="AC1" t="s">
        <v>958</v>
      </c>
      <c r="AD1" t="s">
        <v>959</v>
      </c>
    </row>
    <row r="2" spans="1:30" s="1" customFormat="1" ht="10.5">
      <c r="A2" s="1243"/>
      <c r="B2" s="1" t="s">
        <v>60</v>
      </c>
      <c r="AC2" s="1222"/>
      <c r="AD2" s="1222">
        <f ca="1">+TODAY()</f>
        <v>45797</v>
      </c>
    </row>
    <row r="3" spans="1:30" s="2" customFormat="1" ht="10.5">
      <c r="A3" s="1244"/>
      <c r="B3" s="2" t="s">
        <v>960</v>
      </c>
    </row>
    <row r="4" spans="1:30">
      <c r="B4" s="3" t="s">
        <v>63</v>
      </c>
    </row>
    <row r="5" spans="1:30" ht="10.5">
      <c r="B5" s="3"/>
      <c r="D5" s="89" t="s">
        <v>961</v>
      </c>
      <c r="E5" s="90"/>
      <c r="F5" s="90"/>
      <c r="G5" s="90"/>
      <c r="H5" s="90"/>
      <c r="I5" s="90"/>
      <c r="J5" s="90"/>
      <c r="K5" s="90"/>
      <c r="L5" s="90"/>
      <c r="M5" s="90"/>
      <c r="N5" s="90"/>
      <c r="O5" s="90"/>
      <c r="P5" s="90"/>
      <c r="Q5" s="90"/>
      <c r="R5" s="90"/>
      <c r="S5" s="90"/>
      <c r="V5" s="89" t="s">
        <v>962</v>
      </c>
      <c r="W5" s="90"/>
      <c r="X5" s="90"/>
      <c r="Y5" s="90"/>
      <c r="Z5" s="90"/>
      <c r="AA5" s="90"/>
      <c r="AB5" s="90"/>
      <c r="AC5" s="90"/>
      <c r="AD5" s="90"/>
    </row>
    <row r="6" spans="1:30" ht="13.5">
      <c r="D6" s="6" t="s">
        <v>224</v>
      </c>
      <c r="E6" s="6" t="s">
        <v>225</v>
      </c>
      <c r="F6" s="6" t="s">
        <v>226</v>
      </c>
      <c r="G6" s="6" t="s">
        <v>227</v>
      </c>
      <c r="H6" s="6" t="s">
        <v>228</v>
      </c>
      <c r="I6" s="6" t="s">
        <v>229</v>
      </c>
      <c r="J6" s="6" t="s">
        <v>230</v>
      </c>
      <c r="K6" s="6" t="s">
        <v>231</v>
      </c>
      <c r="L6" s="6" t="s">
        <v>232</v>
      </c>
      <c r="M6" s="6" t="s">
        <v>233</v>
      </c>
      <c r="N6" s="6" t="s">
        <v>234</v>
      </c>
      <c r="O6" s="6" t="s">
        <v>235</v>
      </c>
      <c r="P6" s="6" t="s">
        <v>236</v>
      </c>
      <c r="Q6" s="6" t="s">
        <v>237</v>
      </c>
      <c r="R6" s="6" t="s">
        <v>238</v>
      </c>
      <c r="S6" s="6" t="s">
        <v>239</v>
      </c>
      <c r="V6" s="6" t="s">
        <v>257</v>
      </c>
      <c r="W6" s="6" t="s">
        <v>258</v>
      </c>
      <c r="X6" s="6" t="s">
        <v>259</v>
      </c>
      <c r="Y6" s="6" t="s">
        <v>260</v>
      </c>
      <c r="Z6" s="6" t="s">
        <v>109</v>
      </c>
      <c r="AA6" s="6" t="s">
        <v>190</v>
      </c>
      <c r="AB6" s="6" t="s">
        <v>261</v>
      </c>
      <c r="AC6" s="6" t="s">
        <v>72</v>
      </c>
      <c r="AD6" s="6" t="s">
        <v>73</v>
      </c>
    </row>
    <row r="8" spans="1:30" ht="10.5">
      <c r="B8" s="5" t="s">
        <v>963</v>
      </c>
      <c r="C8" s="4"/>
    </row>
    <row r="9" spans="1:30">
      <c r="L9" s="8"/>
      <c r="M9" s="8"/>
      <c r="N9" s="8"/>
      <c r="O9" s="8"/>
    </row>
    <row r="10" spans="1:30">
      <c r="B10" t="s">
        <v>928</v>
      </c>
      <c r="D10" s="61">
        <f t="shared" ref="D10:D13" si="0">+($G10-$X10)/4+X10</f>
        <v>2282.25</v>
      </c>
      <c r="E10" s="61">
        <f t="shared" ref="E10" si="1">+($G10-$X10)/4+D10</f>
        <v>2741.5</v>
      </c>
      <c r="F10" s="61">
        <f>+($G10-$X10)/4+E10</f>
        <v>3200.75</v>
      </c>
      <c r="G10" s="29">
        <f>+Y10</f>
        <v>3660</v>
      </c>
      <c r="H10" s="61">
        <f>+(K10-G10)/4+G10</f>
        <v>3928.5</v>
      </c>
      <c r="I10" s="61">
        <f>+(K10-G10)/4+H10</f>
        <v>4197</v>
      </c>
      <c r="J10" s="61">
        <f>+(K10-G10)/4+I10</f>
        <v>4465.5</v>
      </c>
      <c r="K10" s="29">
        <f>+Z10</f>
        <v>4734</v>
      </c>
      <c r="L10" s="61">
        <f>+(O10-K10)/4+K10</f>
        <v>4971.25</v>
      </c>
      <c r="M10" s="61">
        <f>+(O10-K10)/4+L10</f>
        <v>5208.5</v>
      </c>
      <c r="N10" s="61">
        <f>+(O10-K10)/4+M10</f>
        <v>5445.75</v>
      </c>
      <c r="O10" s="29">
        <f>+AA10</f>
        <v>5683</v>
      </c>
      <c r="P10" s="61">
        <f>+(S10-O10)/4+O10</f>
        <v>6303</v>
      </c>
      <c r="Q10" s="61">
        <f>+(S10-O10)/4+P10</f>
        <v>6923</v>
      </c>
      <c r="R10" s="61">
        <f>+(S10-O10)/4+Q10</f>
        <v>7543</v>
      </c>
      <c r="S10" s="29">
        <f>+AB10</f>
        <v>8163</v>
      </c>
      <c r="U10" s="29">
        <v>1107</v>
      </c>
      <c r="V10" s="29">
        <v>1254</v>
      </c>
      <c r="W10" s="29">
        <v>1540</v>
      </c>
      <c r="X10" s="29">
        <v>1823</v>
      </c>
      <c r="Y10" s="29">
        <v>3660</v>
      </c>
      <c r="Z10" s="29">
        <v>4734</v>
      </c>
      <c r="AA10" s="29">
        <v>5683</v>
      </c>
      <c r="AB10" s="29">
        <v>8163</v>
      </c>
    </row>
    <row r="11" spans="1:30">
      <c r="B11" t="s">
        <v>929</v>
      </c>
      <c r="D11" s="61">
        <f t="shared" si="0"/>
        <v>36478.25</v>
      </c>
      <c r="E11" s="61">
        <f t="shared" ref="E11:F11" si="2">+($G11-$X11)/4+D11</f>
        <v>38961.5</v>
      </c>
      <c r="F11" s="61">
        <f t="shared" si="2"/>
        <v>41444.75</v>
      </c>
      <c r="G11" s="29">
        <f t="shared" ref="G11:G14" si="3">+Y11</f>
        <v>43928</v>
      </c>
      <c r="H11" s="61">
        <f t="shared" ref="H11:H14" si="4">+(K11-G11)/4+G11</f>
        <v>46699.5</v>
      </c>
      <c r="I11" s="61">
        <f t="shared" ref="I11:I14" si="5">+(K11-G11)/4+H11</f>
        <v>49471</v>
      </c>
      <c r="J11" s="61">
        <f t="shared" ref="J11:J14" si="6">+(K11-G11)/4+I11</f>
        <v>52242.5</v>
      </c>
      <c r="K11" s="29">
        <f t="shared" ref="K11:K14" si="7">+Z11</f>
        <v>55014</v>
      </c>
      <c r="L11" s="61">
        <f t="shared" ref="L11:L14" si="8">+(O11-K11)/4+K11</f>
        <v>58376.75</v>
      </c>
      <c r="M11" s="61">
        <f t="shared" ref="M11:M14" si="9">+(O11-K11)/4+L11</f>
        <v>61739.5</v>
      </c>
      <c r="N11" s="61">
        <f t="shared" ref="N11:N14" si="10">+(O11-K11)/4+M11</f>
        <v>65102.25</v>
      </c>
      <c r="O11" s="29">
        <f t="shared" ref="O11:O14" si="11">+AA11</f>
        <v>68465</v>
      </c>
      <c r="P11" s="61">
        <f t="shared" ref="P11:P14" si="12">+(S11-O11)/4+O11</f>
        <v>74834.5</v>
      </c>
      <c r="Q11" s="61">
        <f t="shared" ref="Q11:Q14" si="13">+(S11-O11)/4+P11</f>
        <v>81204</v>
      </c>
      <c r="R11" s="61">
        <f t="shared" ref="R11:R14" si="14">+(S11-O11)/4+Q11</f>
        <v>87573.5</v>
      </c>
      <c r="S11" s="29">
        <f t="shared" ref="S11:S14" si="15">+AB11</f>
        <v>93943</v>
      </c>
      <c r="U11" s="29">
        <v>16284</v>
      </c>
      <c r="V11" s="29">
        <v>20604</v>
      </c>
      <c r="W11" s="29">
        <v>26288</v>
      </c>
      <c r="X11" s="29">
        <v>33995</v>
      </c>
      <c r="Y11" s="29">
        <v>43928</v>
      </c>
      <c r="Z11" s="29">
        <v>55014</v>
      </c>
      <c r="AA11" s="29">
        <v>68465</v>
      </c>
      <c r="AB11" s="29">
        <v>93943</v>
      </c>
    </row>
    <row r="12" spans="1:30">
      <c r="B12" t="s">
        <v>930</v>
      </c>
      <c r="D12" s="61">
        <f t="shared" si="0"/>
        <v>5836.25</v>
      </c>
      <c r="E12" s="61">
        <f t="shared" ref="E12:F12" si="16">+($G12-$X12)/4+D12</f>
        <v>6185.5</v>
      </c>
      <c r="F12" s="61">
        <f t="shared" si="16"/>
        <v>6534.75</v>
      </c>
      <c r="G12" s="29">
        <f t="shared" si="3"/>
        <v>6884</v>
      </c>
      <c r="H12" s="61">
        <f t="shared" si="4"/>
        <v>7117.75</v>
      </c>
      <c r="I12" s="61">
        <f t="shared" si="5"/>
        <v>7351.5</v>
      </c>
      <c r="J12" s="61">
        <f t="shared" si="6"/>
        <v>7585.25</v>
      </c>
      <c r="K12" s="29">
        <f t="shared" si="7"/>
        <v>7819</v>
      </c>
      <c r="L12" s="61">
        <f t="shared" si="8"/>
        <v>7998.5</v>
      </c>
      <c r="M12" s="61">
        <f t="shared" si="9"/>
        <v>8178</v>
      </c>
      <c r="N12" s="61">
        <f t="shared" si="10"/>
        <v>8357.5</v>
      </c>
      <c r="O12" s="29">
        <f t="shared" si="11"/>
        <v>8537</v>
      </c>
      <c r="P12" s="61">
        <f t="shared" si="12"/>
        <v>8801.25</v>
      </c>
      <c r="Q12" s="61">
        <f t="shared" si="13"/>
        <v>9065.5</v>
      </c>
      <c r="R12" s="61">
        <f t="shared" si="14"/>
        <v>9329.75</v>
      </c>
      <c r="S12" s="29">
        <f t="shared" si="15"/>
        <v>9594</v>
      </c>
      <c r="U12" s="29">
        <v>5064</v>
      </c>
      <c r="V12" s="29">
        <v>4735</v>
      </c>
      <c r="W12" s="29">
        <v>5316</v>
      </c>
      <c r="X12" s="29">
        <v>5487</v>
      </c>
      <c r="Y12" s="29">
        <v>6884</v>
      </c>
      <c r="Z12" s="29">
        <v>7819</v>
      </c>
      <c r="AA12" s="29">
        <v>8537</v>
      </c>
      <c r="AB12" s="29">
        <v>9594</v>
      </c>
    </row>
    <row r="13" spans="1:30">
      <c r="B13" t="s">
        <v>931</v>
      </c>
      <c r="D13" s="61">
        <f t="shared" si="0"/>
        <v>43758.25</v>
      </c>
      <c r="E13" s="61">
        <f t="shared" ref="E13:F13" si="17">+($G13-$X13)/4+D13</f>
        <v>46255.5</v>
      </c>
      <c r="F13" s="61">
        <f t="shared" si="17"/>
        <v>48752.75</v>
      </c>
      <c r="G13" s="29">
        <f t="shared" si="3"/>
        <v>51250</v>
      </c>
      <c r="H13" s="61">
        <f t="shared" si="4"/>
        <v>53595.25</v>
      </c>
      <c r="I13" s="61">
        <f t="shared" si="5"/>
        <v>55940.5</v>
      </c>
      <c r="J13" s="61">
        <f t="shared" si="6"/>
        <v>58285.75</v>
      </c>
      <c r="K13" s="29">
        <f t="shared" si="7"/>
        <v>60631</v>
      </c>
      <c r="L13" s="61">
        <f t="shared" si="8"/>
        <v>64213.5</v>
      </c>
      <c r="M13" s="61">
        <f t="shared" si="9"/>
        <v>67796</v>
      </c>
      <c r="N13" s="61">
        <f t="shared" si="10"/>
        <v>71378.5</v>
      </c>
      <c r="O13" s="29">
        <f t="shared" si="11"/>
        <v>74961</v>
      </c>
      <c r="P13" s="61">
        <f t="shared" si="12"/>
        <v>79665.75</v>
      </c>
      <c r="Q13" s="61">
        <f t="shared" si="13"/>
        <v>84370.5</v>
      </c>
      <c r="R13" s="61">
        <f t="shared" si="14"/>
        <v>89075.25</v>
      </c>
      <c r="S13" s="29">
        <f t="shared" si="15"/>
        <v>93780</v>
      </c>
      <c r="U13" s="29">
        <v>21414</v>
      </c>
      <c r="V13" s="29">
        <v>27633</v>
      </c>
      <c r="W13" s="29">
        <v>33823</v>
      </c>
      <c r="X13" s="29">
        <v>41261</v>
      </c>
      <c r="Y13" s="29">
        <v>51250</v>
      </c>
      <c r="Z13" s="29">
        <v>60631</v>
      </c>
      <c r="AA13" s="29">
        <v>74961</v>
      </c>
      <c r="AB13" s="29">
        <v>93780</v>
      </c>
    </row>
    <row r="14" spans="1:30" ht="11.45">
      <c r="B14" t="s">
        <v>932</v>
      </c>
      <c r="D14" s="58">
        <f>+($G14-$X14)/4+X14</f>
        <v>4922.5</v>
      </c>
      <c r="E14" s="58">
        <f t="shared" ref="E14:F14" si="18">+($G14-$X14)/4+D14</f>
        <v>5063</v>
      </c>
      <c r="F14" s="58">
        <f t="shared" si="18"/>
        <v>5203.5</v>
      </c>
      <c r="G14" s="30">
        <f t="shared" si="3"/>
        <v>5344</v>
      </c>
      <c r="H14" s="58">
        <f t="shared" si="4"/>
        <v>5473</v>
      </c>
      <c r="I14" s="58">
        <f t="shared" si="5"/>
        <v>5602</v>
      </c>
      <c r="J14" s="58">
        <f t="shared" si="6"/>
        <v>5731</v>
      </c>
      <c r="K14" s="30">
        <f t="shared" si="7"/>
        <v>5860</v>
      </c>
      <c r="L14" s="58">
        <f t="shared" si="8"/>
        <v>5956.5</v>
      </c>
      <c r="M14" s="58">
        <f t="shared" si="9"/>
        <v>6053</v>
      </c>
      <c r="N14" s="58">
        <f t="shared" si="10"/>
        <v>6149.5</v>
      </c>
      <c r="O14" s="30">
        <f t="shared" si="11"/>
        <v>6246</v>
      </c>
      <c r="P14" s="58">
        <f t="shared" si="12"/>
        <v>6317.5</v>
      </c>
      <c r="Q14" s="58">
        <f t="shared" si="13"/>
        <v>6389</v>
      </c>
      <c r="R14" s="58">
        <f t="shared" si="14"/>
        <v>6460.5</v>
      </c>
      <c r="S14" s="30">
        <f t="shared" si="15"/>
        <v>6532</v>
      </c>
      <c r="U14" s="30">
        <v>4044</v>
      </c>
      <c r="V14" s="30">
        <v>4457</v>
      </c>
      <c r="W14" s="30">
        <v>4840</v>
      </c>
      <c r="X14" s="30">
        <v>4782</v>
      </c>
      <c r="Y14" s="30">
        <v>5344</v>
      </c>
      <c r="Z14" s="30">
        <v>5860</v>
      </c>
      <c r="AA14" s="30">
        <v>6246</v>
      </c>
      <c r="AB14" s="30">
        <v>6532</v>
      </c>
    </row>
    <row r="15" spans="1:30" s="1" customFormat="1" ht="10.5">
      <c r="A15" s="1243"/>
      <c r="B15" s="837" t="s">
        <v>927</v>
      </c>
      <c r="D15" s="849">
        <f t="shared" ref="D15:R15" si="19">+SUM(D10:D14)</f>
        <v>93277.5</v>
      </c>
      <c r="E15" s="849">
        <f t="shared" si="19"/>
        <v>99207</v>
      </c>
      <c r="F15" s="849">
        <f t="shared" si="19"/>
        <v>105136.5</v>
      </c>
      <c r="G15" s="849">
        <f t="shared" si="19"/>
        <v>111066</v>
      </c>
      <c r="H15" s="849">
        <f t="shared" si="19"/>
        <v>116814</v>
      </c>
      <c r="I15" s="849">
        <f t="shared" si="19"/>
        <v>122562</v>
      </c>
      <c r="J15" s="849">
        <f t="shared" si="19"/>
        <v>128310</v>
      </c>
      <c r="K15" s="849">
        <f t="shared" si="19"/>
        <v>134058</v>
      </c>
      <c r="L15" s="849">
        <f t="shared" si="19"/>
        <v>141516.5</v>
      </c>
      <c r="M15" s="849">
        <f t="shared" si="19"/>
        <v>148975</v>
      </c>
      <c r="N15" s="849">
        <f t="shared" si="19"/>
        <v>156433.5</v>
      </c>
      <c r="O15" s="849">
        <f t="shared" si="19"/>
        <v>163892</v>
      </c>
      <c r="P15" s="849">
        <f t="shared" si="19"/>
        <v>175922</v>
      </c>
      <c r="Q15" s="849">
        <f t="shared" si="19"/>
        <v>187952</v>
      </c>
      <c r="R15" s="849">
        <f t="shared" si="19"/>
        <v>199982</v>
      </c>
      <c r="S15" s="849">
        <f t="shared" ref="S15" si="20">+SUM(S10:S14)</f>
        <v>212012</v>
      </c>
      <c r="T15" s="936"/>
      <c r="U15" s="849">
        <f t="shared" ref="U15:AB15" si="21">+SUM(U10:U14)</f>
        <v>47913</v>
      </c>
      <c r="V15" s="849">
        <f t="shared" si="21"/>
        <v>58683</v>
      </c>
      <c r="W15" s="849">
        <f t="shared" si="21"/>
        <v>71807</v>
      </c>
      <c r="X15" s="849">
        <f t="shared" si="21"/>
        <v>87348</v>
      </c>
      <c r="Y15" s="849">
        <f t="shared" si="21"/>
        <v>111066</v>
      </c>
      <c r="Z15" s="849">
        <f t="shared" si="21"/>
        <v>134058</v>
      </c>
      <c r="AA15" s="849">
        <f t="shared" si="21"/>
        <v>163892</v>
      </c>
      <c r="AB15" s="849">
        <f t="shared" si="21"/>
        <v>212012</v>
      </c>
      <c r="AC15" s="849">
        <f>+AC21</f>
        <v>287012</v>
      </c>
      <c r="AD15" s="849">
        <f>+AD21</f>
        <v>351921.2650926722</v>
      </c>
    </row>
    <row r="16" spans="1:30" s="1" customFormat="1" ht="10.5">
      <c r="A16" s="1243"/>
      <c r="B16" s="15"/>
      <c r="D16" s="936"/>
      <c r="E16" s="936"/>
      <c r="F16" s="936"/>
      <c r="G16" s="936"/>
      <c r="H16" s="936"/>
      <c r="I16" s="936"/>
      <c r="J16" s="936"/>
      <c r="K16" s="936"/>
      <c r="L16" s="936"/>
      <c r="M16" s="936"/>
      <c r="N16" s="936"/>
      <c r="O16" s="936"/>
      <c r="P16" s="936"/>
      <c r="Q16" s="849"/>
      <c r="R16" s="849"/>
      <c r="S16" s="849"/>
      <c r="T16" s="936"/>
      <c r="U16" s="936"/>
      <c r="V16" s="936"/>
      <c r="W16" s="936"/>
      <c r="X16" s="936"/>
      <c r="Y16" s="936"/>
      <c r="Z16" s="936"/>
      <c r="AA16" s="936"/>
      <c r="AB16" s="838"/>
      <c r="AC16" s="849"/>
      <c r="AD16" s="849"/>
    </row>
    <row r="17" spans="1:30" s="1" customFormat="1" ht="10.5">
      <c r="A17" s="1243"/>
      <c r="B17" s="24" t="s">
        <v>126</v>
      </c>
      <c r="D17" s="936"/>
      <c r="E17" s="936"/>
      <c r="F17" s="936"/>
      <c r="G17" s="936"/>
      <c r="H17" s="936"/>
      <c r="I17" s="936"/>
      <c r="J17" s="936"/>
      <c r="K17" s="936"/>
      <c r="L17" s="936"/>
      <c r="M17" s="936"/>
      <c r="N17" s="936"/>
      <c r="O17" s="936"/>
      <c r="P17" s="936"/>
      <c r="Q17" s="849"/>
      <c r="R17" s="849"/>
      <c r="S17" s="849"/>
      <c r="T17" s="936"/>
      <c r="U17" s="936"/>
      <c r="V17" s="936"/>
      <c r="W17" s="936"/>
      <c r="X17" s="936"/>
      <c r="Y17" s="936"/>
      <c r="Z17" s="936"/>
      <c r="AA17" s="936"/>
      <c r="AB17" s="838"/>
      <c r="AC17" s="849"/>
      <c r="AD17" s="849"/>
    </row>
    <row r="18" spans="1:30" s="1" customFormat="1" ht="10.5">
      <c r="A18" s="1243"/>
      <c r="B18" s="13" t="s">
        <v>935</v>
      </c>
      <c r="D18" s="94">
        <f>+X15</f>
        <v>87348</v>
      </c>
      <c r="E18" s="94">
        <f>+D21</f>
        <v>93277.5</v>
      </c>
      <c r="F18" s="94">
        <f t="shared" ref="F18:P18" si="22">+E21</f>
        <v>99207</v>
      </c>
      <c r="G18" s="94">
        <f t="shared" si="22"/>
        <v>105136.5</v>
      </c>
      <c r="H18" s="94">
        <f t="shared" si="22"/>
        <v>111066</v>
      </c>
      <c r="I18" s="94">
        <f t="shared" si="22"/>
        <v>116814</v>
      </c>
      <c r="J18" s="94">
        <f t="shared" si="22"/>
        <v>122562</v>
      </c>
      <c r="K18" s="94">
        <f t="shared" si="22"/>
        <v>128310</v>
      </c>
      <c r="L18" s="94">
        <f t="shared" si="22"/>
        <v>134058</v>
      </c>
      <c r="M18" s="94">
        <f t="shared" si="22"/>
        <v>141516.5</v>
      </c>
      <c r="N18" s="94">
        <f t="shared" si="22"/>
        <v>148975</v>
      </c>
      <c r="O18" s="94">
        <f t="shared" si="22"/>
        <v>156433.5</v>
      </c>
      <c r="P18" s="94">
        <f t="shared" si="22"/>
        <v>163892</v>
      </c>
      <c r="Q18" s="94">
        <f t="shared" ref="Q18" si="23">+P21</f>
        <v>175922</v>
      </c>
      <c r="R18" s="94">
        <f t="shared" ref="R18" si="24">+Q21</f>
        <v>187952</v>
      </c>
      <c r="S18" s="94">
        <f t="shared" ref="S18" si="25">+R21</f>
        <v>199982</v>
      </c>
      <c r="T18" s="936"/>
      <c r="U18" s="936"/>
      <c r="V18" s="94">
        <f>+U15</f>
        <v>47913</v>
      </c>
      <c r="W18" s="94">
        <f t="shared" ref="W18:AD18" si="26">+V21</f>
        <v>58683</v>
      </c>
      <c r="X18" s="94">
        <f t="shared" si="26"/>
        <v>71807</v>
      </c>
      <c r="Y18" s="94">
        <f t="shared" si="26"/>
        <v>87348</v>
      </c>
      <c r="Z18" s="94">
        <f t="shared" si="26"/>
        <v>111066</v>
      </c>
      <c r="AA18" s="94">
        <f t="shared" si="26"/>
        <v>134058</v>
      </c>
      <c r="AB18" s="94">
        <f t="shared" si="26"/>
        <v>163892</v>
      </c>
      <c r="AC18" s="94">
        <f t="shared" si="26"/>
        <v>212012</v>
      </c>
      <c r="AD18" s="94">
        <f t="shared" si="26"/>
        <v>287012</v>
      </c>
    </row>
    <row r="19" spans="1:30" s="1" customFormat="1" ht="10.5">
      <c r="A19" s="1243"/>
      <c r="B19" s="13" t="s">
        <v>949</v>
      </c>
      <c r="D19" s="94">
        <f>+D25</f>
        <v>5500</v>
      </c>
      <c r="E19" s="94">
        <f>+E25</f>
        <v>5400</v>
      </c>
      <c r="F19" s="94">
        <f t="shared" ref="F19:P19" si="27">+F25</f>
        <v>6000</v>
      </c>
      <c r="G19" s="94">
        <f t="shared" si="27"/>
        <v>7300</v>
      </c>
      <c r="H19" s="94">
        <f t="shared" si="27"/>
        <v>7400</v>
      </c>
      <c r="I19" s="94">
        <f t="shared" si="27"/>
        <v>6800</v>
      </c>
      <c r="J19" s="94">
        <f t="shared" si="27"/>
        <v>6300</v>
      </c>
      <c r="K19" s="94">
        <f t="shared" si="27"/>
        <v>8700</v>
      </c>
      <c r="L19" s="94">
        <f t="shared" si="27"/>
        <v>6600</v>
      </c>
      <c r="M19" s="94">
        <f t="shared" si="27"/>
        <v>6800</v>
      </c>
      <c r="N19" s="94">
        <f t="shared" si="27"/>
        <v>7800</v>
      </c>
      <c r="O19" s="94">
        <f t="shared" si="27"/>
        <v>10700</v>
      </c>
      <c r="P19" s="94">
        <f t="shared" si="27"/>
        <v>11200</v>
      </c>
      <c r="Q19" s="94">
        <f t="shared" ref="Q19:R19" si="28">+Q25</f>
        <v>11500</v>
      </c>
      <c r="R19" s="94">
        <f t="shared" si="28"/>
        <v>14000</v>
      </c>
      <c r="S19" s="94">
        <f t="shared" ref="S19" si="29">+S25</f>
        <v>19000</v>
      </c>
      <c r="T19" s="936"/>
      <c r="U19" s="936"/>
      <c r="V19" s="94">
        <f t="shared" ref="V19:AD19" si="30">+V25</f>
        <v>13600</v>
      </c>
      <c r="W19" s="94">
        <f t="shared" si="30"/>
        <v>16900</v>
      </c>
      <c r="X19" s="94">
        <f t="shared" si="30"/>
        <v>19000</v>
      </c>
      <c r="Y19" s="94">
        <f t="shared" si="30"/>
        <v>24200</v>
      </c>
      <c r="Z19" s="94">
        <f t="shared" si="30"/>
        <v>29200</v>
      </c>
      <c r="AA19" s="94">
        <f t="shared" si="30"/>
        <v>31900</v>
      </c>
      <c r="AB19" s="94">
        <f t="shared" si="30"/>
        <v>55700</v>
      </c>
      <c r="AC19" s="94">
        <f t="shared" si="30"/>
        <v>80000</v>
      </c>
      <c r="AD19" s="94">
        <f t="shared" si="30"/>
        <v>69909.265092672198</v>
      </c>
    </row>
    <row r="20" spans="1:30" s="1" customFormat="1" ht="11.45">
      <c r="A20" s="1243"/>
      <c r="B20" s="13" t="s">
        <v>198</v>
      </c>
      <c r="D20" s="943">
        <f>+D21-SUM(D18:D19)</f>
        <v>429.5</v>
      </c>
      <c r="E20" s="943">
        <f>+E21-SUM(E18:E19)</f>
        <v>529.5</v>
      </c>
      <c r="F20" s="943">
        <f t="shared" ref="F20:P20" si="31">+F21-SUM(F18:F19)</f>
        <v>-70.5</v>
      </c>
      <c r="G20" s="943">
        <f t="shared" si="31"/>
        <v>-1370.5</v>
      </c>
      <c r="H20" s="943">
        <f t="shared" si="31"/>
        <v>-1652</v>
      </c>
      <c r="I20" s="943">
        <f t="shared" si="31"/>
        <v>-1052</v>
      </c>
      <c r="J20" s="943">
        <f t="shared" si="31"/>
        <v>-552</v>
      </c>
      <c r="K20" s="943">
        <f t="shared" si="31"/>
        <v>-2952</v>
      </c>
      <c r="L20" s="943">
        <f t="shared" si="31"/>
        <v>858.5</v>
      </c>
      <c r="M20" s="943">
        <f t="shared" si="31"/>
        <v>658.5</v>
      </c>
      <c r="N20" s="943">
        <f t="shared" si="31"/>
        <v>-341.5</v>
      </c>
      <c r="O20" s="943">
        <f t="shared" si="31"/>
        <v>-3241.5</v>
      </c>
      <c r="P20" s="943">
        <f t="shared" si="31"/>
        <v>830</v>
      </c>
      <c r="Q20" s="943">
        <f t="shared" ref="Q20:R20" si="32">+Q21-SUM(Q18:Q19)</f>
        <v>530</v>
      </c>
      <c r="R20" s="943">
        <f t="shared" si="32"/>
        <v>-1970</v>
      </c>
      <c r="S20" s="943">
        <f t="shared" ref="S20" si="33">+S21-SUM(S18:S19)</f>
        <v>-6970</v>
      </c>
      <c r="T20" s="936"/>
      <c r="U20" s="936"/>
      <c r="V20" s="943">
        <f t="shared" ref="V20:AB20" si="34">+V21-SUM(V18:V19)</f>
        <v>-2830</v>
      </c>
      <c r="W20" s="943">
        <f t="shared" si="34"/>
        <v>-3776</v>
      </c>
      <c r="X20" s="943">
        <f t="shared" si="34"/>
        <v>-3459</v>
      </c>
      <c r="Y20" s="943">
        <f t="shared" si="34"/>
        <v>-482</v>
      </c>
      <c r="Z20" s="943">
        <f t="shared" si="34"/>
        <v>-6208</v>
      </c>
      <c r="AA20" s="943">
        <f t="shared" si="34"/>
        <v>-2066</v>
      </c>
      <c r="AB20" s="943">
        <f t="shared" si="34"/>
        <v>-7580</v>
      </c>
      <c r="AC20" s="1236">
        <v>-5000</v>
      </c>
      <c r="AD20" s="1236">
        <v>-5000</v>
      </c>
    </row>
    <row r="21" spans="1:30" s="1" customFormat="1" ht="10.5">
      <c r="A21" s="1243"/>
      <c r="B21" s="15" t="s">
        <v>933</v>
      </c>
      <c r="D21" s="94">
        <f t="shared" ref="D21:R21" si="35">+D15</f>
        <v>93277.5</v>
      </c>
      <c r="E21" s="94">
        <f t="shared" si="35"/>
        <v>99207</v>
      </c>
      <c r="F21" s="94">
        <f t="shared" si="35"/>
        <v>105136.5</v>
      </c>
      <c r="G21" s="94">
        <f t="shared" si="35"/>
        <v>111066</v>
      </c>
      <c r="H21" s="94">
        <f t="shared" si="35"/>
        <v>116814</v>
      </c>
      <c r="I21" s="94">
        <f t="shared" si="35"/>
        <v>122562</v>
      </c>
      <c r="J21" s="94">
        <f t="shared" si="35"/>
        <v>128310</v>
      </c>
      <c r="K21" s="94">
        <f t="shared" si="35"/>
        <v>134058</v>
      </c>
      <c r="L21" s="94">
        <f t="shared" si="35"/>
        <v>141516.5</v>
      </c>
      <c r="M21" s="94">
        <f t="shared" si="35"/>
        <v>148975</v>
      </c>
      <c r="N21" s="94">
        <f t="shared" si="35"/>
        <v>156433.5</v>
      </c>
      <c r="O21" s="94">
        <f t="shared" si="35"/>
        <v>163892</v>
      </c>
      <c r="P21" s="94">
        <f t="shared" si="35"/>
        <v>175922</v>
      </c>
      <c r="Q21" s="94">
        <f t="shared" si="35"/>
        <v>187952</v>
      </c>
      <c r="R21" s="94">
        <f t="shared" si="35"/>
        <v>199982</v>
      </c>
      <c r="S21" s="94">
        <f t="shared" ref="S21" si="36">+S15</f>
        <v>212012</v>
      </c>
      <c r="T21" s="936"/>
      <c r="U21" s="936"/>
      <c r="V21" s="94">
        <f t="shared" ref="V21:AB21" si="37">+V15</f>
        <v>58683</v>
      </c>
      <c r="W21" s="94">
        <f t="shared" si="37"/>
        <v>71807</v>
      </c>
      <c r="X21" s="94">
        <f t="shared" si="37"/>
        <v>87348</v>
      </c>
      <c r="Y21" s="94">
        <f t="shared" si="37"/>
        <v>111066</v>
      </c>
      <c r="Z21" s="94">
        <f t="shared" si="37"/>
        <v>134058</v>
      </c>
      <c r="AA21" s="94">
        <f t="shared" si="37"/>
        <v>163892</v>
      </c>
      <c r="AB21" s="94">
        <f t="shared" si="37"/>
        <v>212012</v>
      </c>
      <c r="AC21" s="94">
        <f t="shared" ref="AC21:AD21" si="38">SUM(AC18:AC20)</f>
        <v>287012</v>
      </c>
      <c r="AD21" s="94">
        <f t="shared" si="38"/>
        <v>351921.2650926722</v>
      </c>
    </row>
    <row r="23" spans="1:30">
      <c r="B23" t="str">
        <f>+'Historical Financials'!B871</f>
        <v>Additions to property plant and equipment</v>
      </c>
      <c r="D23" s="956">
        <f>+'Historical Financials'!X871</f>
        <v>4907</v>
      </c>
      <c r="E23" s="956">
        <f>+'Historical Financials'!Y871</f>
        <v>4174</v>
      </c>
      <c r="F23" s="956">
        <f>+'Historical Financials'!Z871</f>
        <v>5089</v>
      </c>
      <c r="G23" s="956">
        <f>+'Historical Financials'!AA871</f>
        <v>6452</v>
      </c>
      <c r="H23" s="956">
        <f>+'Historical Financials'!AB871</f>
        <v>5810</v>
      </c>
      <c r="I23" s="956">
        <f>+'Historical Financials'!AC871</f>
        <v>5865</v>
      </c>
      <c r="J23" s="956">
        <f>+'Historical Financials'!AD871</f>
        <v>5340</v>
      </c>
      <c r="K23" s="956">
        <f>+'Historical Financials'!AE871</f>
        <v>6871</v>
      </c>
      <c r="L23" s="956">
        <f>+'Historical Financials'!AF871</f>
        <v>6283</v>
      </c>
      <c r="M23" s="956">
        <f>+'Historical Financials'!AG871</f>
        <v>6274</v>
      </c>
      <c r="N23" s="956">
        <f>+'Historical Financials'!AH871</f>
        <v>6607</v>
      </c>
      <c r="O23" s="956">
        <f>+'Historical Financials'!AI871</f>
        <v>8943</v>
      </c>
      <c r="P23" s="956">
        <f>+'Historical Financials'!AJ871</f>
        <v>9917</v>
      </c>
      <c r="Q23" s="956">
        <f>+'Historical Financials'!AK871</f>
        <v>9735</v>
      </c>
      <c r="R23" s="956">
        <f>+'Historical Financials'!AL871</f>
        <v>10952</v>
      </c>
      <c r="S23" s="956">
        <f>+'Historical Financials'!AM871</f>
        <v>13873</v>
      </c>
      <c r="V23" s="956">
        <f>+'Historical Financials'!BI871</f>
        <v>11632</v>
      </c>
      <c r="W23" s="956">
        <f>+'Historical Financials'!BJ871</f>
        <v>13925</v>
      </c>
      <c r="X23" s="956">
        <f>+'Historical Financials'!BK871</f>
        <v>15441</v>
      </c>
      <c r="Y23" s="956">
        <f>+'Historical Financials'!BL871</f>
        <v>20622</v>
      </c>
      <c r="Z23" s="956">
        <f>+'Historical Financials'!BM871</f>
        <v>23886</v>
      </c>
      <c r="AA23" s="956">
        <f>+'Historical Financials'!BN871</f>
        <v>28107</v>
      </c>
      <c r="AB23" s="956">
        <f>+'Historical Financials'!BO871</f>
        <v>44477</v>
      </c>
    </row>
    <row r="24" spans="1:30" ht="11.45">
      <c r="B24" t="str">
        <f>+'Historical Financials'!B872</f>
        <v>Assets acquired under capital leases</v>
      </c>
      <c r="D24" s="1245">
        <f>+'Historical Financials'!X872</f>
        <v>593</v>
      </c>
      <c r="E24" s="1245">
        <f>+'Historical Financials'!Y872</f>
        <v>1226</v>
      </c>
      <c r="F24" s="1245">
        <f>+'Historical Financials'!Z872</f>
        <v>911</v>
      </c>
      <c r="G24" s="1245">
        <f>+'Historical Financials'!AA872</f>
        <v>848</v>
      </c>
      <c r="H24" s="1245">
        <f>+'Historical Financials'!AB872</f>
        <v>1590</v>
      </c>
      <c r="I24" s="1245">
        <f>+'Historical Financials'!AC872</f>
        <v>935</v>
      </c>
      <c r="J24" s="1245">
        <f>+'Historical Financials'!AD872</f>
        <v>960</v>
      </c>
      <c r="K24" s="1245">
        <f>+'Historical Financials'!AE872</f>
        <v>1829</v>
      </c>
      <c r="L24" s="1245">
        <f>+'Historical Financials'!AF872</f>
        <v>317</v>
      </c>
      <c r="M24" s="1245">
        <f>+'Historical Financials'!AG872</f>
        <v>526</v>
      </c>
      <c r="N24" s="1245">
        <f>+'Historical Financials'!AH872</f>
        <v>1193</v>
      </c>
      <c r="O24" s="1245">
        <f>+'Historical Financials'!AI872</f>
        <v>1757</v>
      </c>
      <c r="P24" s="1245">
        <f>+'Historical Financials'!AJ872</f>
        <v>1283</v>
      </c>
      <c r="Q24" s="1245">
        <f>+'Historical Financials'!AK872</f>
        <v>1765</v>
      </c>
      <c r="R24" s="1245">
        <f>+'Historical Financials'!AL872</f>
        <v>3048</v>
      </c>
      <c r="S24" s="1245">
        <f>+'Historical Financials'!AM872</f>
        <v>5127</v>
      </c>
      <c r="V24" s="1245">
        <f>+'Historical Financials'!BI872</f>
        <v>1968</v>
      </c>
      <c r="W24" s="1245">
        <f>+'Historical Financials'!BJ872</f>
        <v>2975</v>
      </c>
      <c r="X24" s="1245">
        <f>+'Historical Financials'!BK872</f>
        <v>3559</v>
      </c>
      <c r="Y24" s="1245">
        <f>+'Historical Financials'!BL872</f>
        <v>3578</v>
      </c>
      <c r="Z24" s="1245">
        <f>+'Historical Financials'!BM872</f>
        <v>5314</v>
      </c>
      <c r="AA24" s="1245">
        <f>+'Historical Financials'!BN872</f>
        <v>3793</v>
      </c>
      <c r="AB24" s="1245">
        <f>+'Historical Financials'!BO872</f>
        <v>11223</v>
      </c>
    </row>
    <row r="25" spans="1:30" s="1" customFormat="1" ht="10.5">
      <c r="A25" s="1243"/>
      <c r="B25" s="837" t="s">
        <v>571</v>
      </c>
      <c r="D25" s="936">
        <f>+'Historical Financials'!X873</f>
        <v>5500</v>
      </c>
      <c r="E25" s="936">
        <f>+'Historical Financials'!Y873</f>
        <v>5400</v>
      </c>
      <c r="F25" s="936">
        <f>+'Historical Financials'!Z873</f>
        <v>6000</v>
      </c>
      <c r="G25" s="936">
        <f>+'Historical Financials'!AA873</f>
        <v>7300</v>
      </c>
      <c r="H25" s="936">
        <f>+'Historical Financials'!AB873</f>
        <v>7400</v>
      </c>
      <c r="I25" s="936">
        <f>+'Historical Financials'!AC873</f>
        <v>6800</v>
      </c>
      <c r="J25" s="936">
        <f>+'Historical Financials'!AD873</f>
        <v>6300</v>
      </c>
      <c r="K25" s="936">
        <f>+'Historical Financials'!AE873</f>
        <v>8700</v>
      </c>
      <c r="L25" s="936">
        <f>+'Historical Financials'!AF873</f>
        <v>6600</v>
      </c>
      <c r="M25" s="936">
        <f>+'Historical Financials'!AG873</f>
        <v>6800</v>
      </c>
      <c r="N25" s="936">
        <f>+'Historical Financials'!AH873</f>
        <v>7800</v>
      </c>
      <c r="O25" s="936">
        <f>+'Historical Financials'!AI873</f>
        <v>10700</v>
      </c>
      <c r="P25" s="936">
        <f>+'Historical Financials'!AJ873</f>
        <v>11200</v>
      </c>
      <c r="Q25" s="936">
        <f>+'Historical Financials'!AK873</f>
        <v>11500</v>
      </c>
      <c r="R25" s="936">
        <f>+'Historical Financials'!AL873</f>
        <v>14000</v>
      </c>
      <c r="S25" s="936">
        <f>+'Historical Financials'!AM873</f>
        <v>19000</v>
      </c>
      <c r="V25" s="936">
        <f>+'Historical Financials'!BI873</f>
        <v>13600</v>
      </c>
      <c r="W25" s="936">
        <f>+'Historical Financials'!BJ873</f>
        <v>16900</v>
      </c>
      <c r="X25" s="936">
        <f>+'Historical Financials'!BK873</f>
        <v>19000</v>
      </c>
      <c r="Y25" s="936">
        <f>+'Historical Financials'!BL873</f>
        <v>24200</v>
      </c>
      <c r="Z25" s="936">
        <f>+'Historical Financials'!BM873</f>
        <v>29200</v>
      </c>
      <c r="AA25" s="936">
        <f>+'Historical Financials'!BN873</f>
        <v>31900</v>
      </c>
      <c r="AB25" s="936">
        <f>+'Historical Financials'!BO873</f>
        <v>55700</v>
      </c>
      <c r="AC25" s="1221">
        <f>+Base!K49</f>
        <v>80000</v>
      </c>
      <c r="AD25" s="1221">
        <f>+Base!L49</f>
        <v>69909.265092672198</v>
      </c>
    </row>
    <row r="26" spans="1:30">
      <c r="B26" s="13"/>
    </row>
    <row r="27" spans="1:30">
      <c r="B27" s="843" t="s">
        <v>964</v>
      </c>
      <c r="D27" s="29">
        <f>+'Historical Financials'!X85</f>
        <v>2645</v>
      </c>
      <c r="E27" s="29">
        <f>+'Historical Financials'!Y85</f>
        <v>2761</v>
      </c>
      <c r="F27" s="29">
        <f>+'Historical Financials'!Z85</f>
        <v>2936</v>
      </c>
      <c r="G27" s="29">
        <f>+'Historical Financials'!AA85</f>
        <v>3344</v>
      </c>
      <c r="H27" s="29">
        <f>+'Historical Financials'!AB85</f>
        <v>3212</v>
      </c>
      <c r="I27" s="29">
        <f>+'Historical Financials'!AC85</f>
        <v>3496</v>
      </c>
      <c r="J27" s="29">
        <f>+'Historical Financials'!AD85</f>
        <v>3773</v>
      </c>
      <c r="K27" s="29">
        <f>+'Historical Financials'!AE85</f>
        <v>3979</v>
      </c>
      <c r="L27" s="29">
        <f>+'Historical Financials'!AF85</f>
        <v>2790</v>
      </c>
      <c r="M27" s="29">
        <f>+'Historical Financials'!AG85</f>
        <v>3648</v>
      </c>
      <c r="N27" s="29">
        <f>+'Historical Financials'!AH85</f>
        <v>3549</v>
      </c>
      <c r="O27" s="29">
        <f>+'Historical Financials'!AI85</f>
        <v>3874</v>
      </c>
      <c r="P27" s="29">
        <f>+'Historical Financials'!AJ85</f>
        <v>3921</v>
      </c>
      <c r="Q27" s="29">
        <f>+'Historical Financials'!AK85</f>
        <v>5459</v>
      </c>
      <c r="R27" s="29">
        <f>+'Historical Financials'!AL85</f>
        <v>5357</v>
      </c>
      <c r="S27" s="29">
        <f>+'Historical Financials'!AM85</f>
        <v>5690</v>
      </c>
      <c r="V27" s="29">
        <f>+'Historical Financials'!BI85</f>
        <v>10261</v>
      </c>
      <c r="W27" s="29">
        <f>+'Historical Financials'!BJ85</f>
        <v>11682</v>
      </c>
      <c r="X27" s="29">
        <f>+'Historical Financials'!BK85</f>
        <v>12796</v>
      </c>
      <c r="Y27" s="29">
        <f>+'Historical Financials'!BL85</f>
        <v>11686</v>
      </c>
      <c r="Z27" s="29">
        <f>+'Historical Financials'!BM85</f>
        <v>14460</v>
      </c>
      <c r="AA27" s="29">
        <f>+'Historical Financials'!BN85</f>
        <v>13861</v>
      </c>
      <c r="AB27" s="29">
        <f>+'Historical Financials'!BO85</f>
        <v>20427</v>
      </c>
      <c r="AC27" s="8">
        <f>+Base!K29</f>
        <v>27803.116747365937</v>
      </c>
      <c r="AD27" s="8">
        <f>+Base!L29</f>
        <v>31425.906903616535</v>
      </c>
    </row>
    <row r="28" spans="1:30">
      <c r="B28" s="921" t="s">
        <v>965</v>
      </c>
      <c r="D28" s="40">
        <f>+'Historical Financials'!X816</f>
        <v>2645</v>
      </c>
      <c r="E28" s="40">
        <f>+'Historical Financials'!Y816</f>
        <v>2761</v>
      </c>
      <c r="F28" s="40">
        <f>+'Historical Financials'!Z816</f>
        <v>2936</v>
      </c>
      <c r="G28" s="40">
        <f>+'Historical Financials'!AA816</f>
        <v>3344</v>
      </c>
      <c r="H28" s="40">
        <f>+'Historical Financials'!AB816</f>
        <v>3212</v>
      </c>
      <c r="I28" s="40">
        <f>+'Historical Financials'!AC816</f>
        <v>3496</v>
      </c>
      <c r="J28" s="40">
        <f>+'Historical Financials'!AD816</f>
        <v>3773</v>
      </c>
      <c r="K28" s="40">
        <f>+'Historical Financials'!AE816</f>
        <v>3979</v>
      </c>
      <c r="L28" s="40">
        <f>+'Historical Financials'!AF816</f>
        <v>2790</v>
      </c>
      <c r="M28" s="40">
        <f>+'Historical Financials'!AG816</f>
        <v>3648</v>
      </c>
      <c r="N28" s="40">
        <f>+'Historical Financials'!AH816</f>
        <v>3549</v>
      </c>
      <c r="O28" s="40">
        <f>+'Historical Financials'!AI816</f>
        <v>3874</v>
      </c>
      <c r="P28" s="40">
        <f>+'Historical Financials'!AJ816</f>
        <v>3921</v>
      </c>
      <c r="Q28" s="40">
        <f>+'Historical Financials'!AK816</f>
        <v>5959</v>
      </c>
      <c r="R28" s="40">
        <f>+'Historical Financials'!AL816</f>
        <v>6027</v>
      </c>
      <c r="S28" s="40">
        <f>+'Historical Financials'!AM816</f>
        <v>6380</v>
      </c>
      <c r="V28" s="40">
        <f>+'Historical Financials'!BI816</f>
        <v>10261</v>
      </c>
      <c r="W28" s="40">
        <f>+'Historical Financials'!BJ816</f>
        <v>11682</v>
      </c>
      <c r="X28" s="40">
        <f>+'Historical Financials'!BK816</f>
        <v>12796</v>
      </c>
      <c r="Y28" s="40">
        <f>+'Historical Financials'!BL816</f>
        <v>11686</v>
      </c>
      <c r="Z28" s="40">
        <f>+'Historical Financials'!BM816</f>
        <v>14460</v>
      </c>
      <c r="AA28" s="40">
        <f>+'Historical Financials'!BN816</f>
        <v>13861</v>
      </c>
      <c r="AB28" s="40">
        <f>+'Historical Financials'!BO816</f>
        <v>22287</v>
      </c>
      <c r="AC28" s="1228"/>
      <c r="AD28" s="1228"/>
    </row>
    <row r="30" spans="1:30">
      <c r="B30" s="24" t="s">
        <v>966</v>
      </c>
    </row>
    <row r="31" spans="1:30">
      <c r="B31" s="13" t="s">
        <v>967</v>
      </c>
      <c r="D31" s="1246">
        <f t="shared" ref="D31:S31" si="39">+IFERROR(D15/(D27*4),"n/a")</f>
        <v>8.8163988657844996</v>
      </c>
      <c r="E31" s="1246">
        <f t="shared" si="39"/>
        <v>8.9828866352770742</v>
      </c>
      <c r="F31" s="1246">
        <f t="shared" si="39"/>
        <v>8.9523586512261577</v>
      </c>
      <c r="G31" s="1246">
        <f t="shared" si="39"/>
        <v>8.3033791866028714</v>
      </c>
      <c r="H31" s="1246">
        <f t="shared" si="39"/>
        <v>9.0919987546699872</v>
      </c>
      <c r="I31" s="1246">
        <f t="shared" si="39"/>
        <v>8.7644450800915337</v>
      </c>
      <c r="J31" s="1246">
        <f t="shared" si="39"/>
        <v>8.5018552875695725</v>
      </c>
      <c r="K31" s="1246">
        <f t="shared" si="39"/>
        <v>8.4228449359135453</v>
      </c>
      <c r="L31" s="1246">
        <f t="shared" si="39"/>
        <v>12.680689964157706</v>
      </c>
      <c r="M31" s="1246">
        <f t="shared" si="39"/>
        <v>10.209361293859649</v>
      </c>
      <c r="N31" s="1246">
        <f t="shared" si="39"/>
        <v>11.019547759932376</v>
      </c>
      <c r="O31" s="1246">
        <f t="shared" si="39"/>
        <v>10.576406814661848</v>
      </c>
      <c r="P31" s="1246">
        <f t="shared" si="39"/>
        <v>11.216653914817648</v>
      </c>
      <c r="Q31" s="1246">
        <f t="shared" si="39"/>
        <v>8.6074372595713502</v>
      </c>
      <c r="R31" s="1246">
        <f t="shared" si="39"/>
        <v>9.332742206458839</v>
      </c>
      <c r="S31" s="1246">
        <f t="shared" si="39"/>
        <v>9.3151142355008787</v>
      </c>
      <c r="V31" s="1246">
        <f t="shared" ref="V31:AD31" si="40">+IFERROR(V15/(V27),"n/a")</f>
        <v>5.7190332326283988</v>
      </c>
      <c r="W31" s="1246">
        <f t="shared" si="40"/>
        <v>6.1468070535867145</v>
      </c>
      <c r="X31" s="1246">
        <f t="shared" si="40"/>
        <v>6.8261956861519222</v>
      </c>
      <c r="Y31" s="1246">
        <f t="shared" si="40"/>
        <v>9.5041930515146333</v>
      </c>
      <c r="Z31" s="1246">
        <f t="shared" si="40"/>
        <v>9.2709543568464738</v>
      </c>
      <c r="AA31" s="1246">
        <f t="shared" si="40"/>
        <v>11.823966524781762</v>
      </c>
      <c r="AB31" s="1246">
        <f t="shared" si="40"/>
        <v>10.379008175454056</v>
      </c>
      <c r="AC31" s="1246">
        <f t="shared" si="40"/>
        <v>10.323015315439104</v>
      </c>
      <c r="AD31" s="1246">
        <f t="shared" si="40"/>
        <v>11.198444206304597</v>
      </c>
    </row>
    <row r="33" spans="1:30" ht="10.5">
      <c r="B33" s="45" t="s">
        <v>946</v>
      </c>
    </row>
    <row r="34" spans="1:30">
      <c r="B34" t="s">
        <v>927</v>
      </c>
      <c r="D34" s="61">
        <f t="shared" ref="D34" si="41">+($G34-$X34)/4+X34</f>
        <v>93277.5</v>
      </c>
      <c r="E34" s="61">
        <f t="shared" ref="E34" si="42">+($G34-$X34)/4+D34</f>
        <v>99207</v>
      </c>
      <c r="F34" s="61">
        <f>+($G34-$X34)/4+E34</f>
        <v>105136.5</v>
      </c>
      <c r="G34" s="29">
        <f>+Y34</f>
        <v>111066</v>
      </c>
      <c r="H34" s="61">
        <f t="shared" ref="H34:H35" si="43">+(K34-G34)/4+G34</f>
        <v>116814</v>
      </c>
      <c r="I34" s="61">
        <f t="shared" ref="I34:I35" si="44">+(K34-G34)/4+H34</f>
        <v>122562</v>
      </c>
      <c r="J34" s="61">
        <f t="shared" ref="J34:J35" si="45">+(K34-G34)/4+I34</f>
        <v>128310</v>
      </c>
      <c r="K34" s="29">
        <f>+Z34</f>
        <v>134058</v>
      </c>
      <c r="L34" s="61">
        <f t="shared" ref="L34:L35" si="46">+(O34-K34)/4+K34</f>
        <v>141516.5</v>
      </c>
      <c r="M34" s="61">
        <f t="shared" ref="M34:M35" si="47">+(O34-K34)/4+L34</f>
        <v>148975</v>
      </c>
      <c r="N34" s="61">
        <f t="shared" ref="N34:N35" si="48">+(O34-K34)/4+M34</f>
        <v>156433.5</v>
      </c>
      <c r="O34" s="29">
        <f>+AA34</f>
        <v>163892</v>
      </c>
      <c r="P34" s="61">
        <f t="shared" ref="P34:P35" si="49">+(S34-O34)/4+O34</f>
        <v>175922</v>
      </c>
      <c r="Q34" s="61">
        <f t="shared" ref="Q34:Q35" si="50">+(S34-O34)/4+P34</f>
        <v>187952</v>
      </c>
      <c r="R34" s="61">
        <f t="shared" ref="R34:R35" si="51">+(S34-O34)/4+Q34</f>
        <v>199982</v>
      </c>
      <c r="S34" s="29">
        <f>+AB34</f>
        <v>212012</v>
      </c>
      <c r="T34" s="29"/>
      <c r="U34" s="29">
        <v>47913</v>
      </c>
      <c r="V34" s="29">
        <v>58683</v>
      </c>
      <c r="W34" s="29">
        <v>71807</v>
      </c>
      <c r="X34" s="29">
        <v>87348</v>
      </c>
      <c r="Y34" s="29">
        <v>111066</v>
      </c>
      <c r="Z34" s="29">
        <v>134058</v>
      </c>
      <c r="AA34" s="29">
        <v>163892</v>
      </c>
      <c r="AB34" s="29">
        <f>+AB15</f>
        <v>212012</v>
      </c>
      <c r="AC34" s="8">
        <f>+AC15</f>
        <v>287012</v>
      </c>
      <c r="AD34" s="8">
        <f>+AD15</f>
        <v>351921.2650926722</v>
      </c>
    </row>
    <row r="35" spans="1:30" ht="11.45">
      <c r="B35" t="s">
        <v>937</v>
      </c>
      <c r="D35" s="58">
        <f t="shared" ref="D35" si="52">+($G35-$X35)/4+X35</f>
        <v>-45235.5</v>
      </c>
      <c r="E35" s="58">
        <f t="shared" ref="E35:F35" si="53">+($G35-$X35)/4+D35</f>
        <v>-47274</v>
      </c>
      <c r="F35" s="58">
        <f t="shared" si="53"/>
        <v>-49312.5</v>
      </c>
      <c r="G35" s="30">
        <f>+Y35</f>
        <v>-51351</v>
      </c>
      <c r="H35" s="58">
        <f t="shared" si="43"/>
        <v>-53428.25</v>
      </c>
      <c r="I35" s="58">
        <f t="shared" si="44"/>
        <v>-55505.5</v>
      </c>
      <c r="J35" s="58">
        <f t="shared" si="45"/>
        <v>-57582.75</v>
      </c>
      <c r="K35" s="30">
        <f>+Z35</f>
        <v>-59660</v>
      </c>
      <c r="L35" s="58">
        <f t="shared" si="46"/>
        <v>-61807.75</v>
      </c>
      <c r="M35" s="58">
        <f t="shared" si="47"/>
        <v>-63955.5</v>
      </c>
      <c r="N35" s="58">
        <f t="shared" si="48"/>
        <v>-66103.25</v>
      </c>
      <c r="O35" s="30">
        <f>+AA35</f>
        <v>-68251</v>
      </c>
      <c r="P35" s="58">
        <f t="shared" si="49"/>
        <v>-70293.5</v>
      </c>
      <c r="Q35" s="58">
        <f t="shared" si="50"/>
        <v>-72336</v>
      </c>
      <c r="R35" s="58">
        <f t="shared" si="51"/>
        <v>-74378.5</v>
      </c>
      <c r="S35" s="30">
        <f>+AB35</f>
        <v>-76421</v>
      </c>
      <c r="U35" s="30">
        <v>-24179</v>
      </c>
      <c r="V35" s="30">
        <v>-29223</v>
      </c>
      <c r="W35" s="30">
        <v>-35330</v>
      </c>
      <c r="X35" s="30">
        <v>-43197</v>
      </c>
      <c r="Y35" s="30">
        <v>-51351</v>
      </c>
      <c r="Z35" s="30">
        <v>-59660</v>
      </c>
      <c r="AA35" s="30">
        <v>-68251</v>
      </c>
      <c r="AB35" s="30">
        <v>-76421</v>
      </c>
      <c r="AC35" s="10">
        <f t="shared" ref="AC35:AD35" si="54">-AC43</f>
        <v>-102224.11674736594</v>
      </c>
      <c r="AD35" s="10">
        <f t="shared" si="54"/>
        <v>-131650.02365098248</v>
      </c>
    </row>
    <row r="36" spans="1:30" s="1" customFormat="1" ht="10.5">
      <c r="A36" s="1243"/>
      <c r="B36" s="837" t="s">
        <v>946</v>
      </c>
      <c r="D36" s="838">
        <f>SUM(D34:D35)</f>
        <v>48042</v>
      </c>
      <c r="E36" s="838">
        <f t="shared" ref="E36:P36" si="55">SUM(E34:E35)</f>
        <v>51933</v>
      </c>
      <c r="F36" s="838">
        <f t="shared" si="55"/>
        <v>55824</v>
      </c>
      <c r="G36" s="838">
        <f t="shared" si="55"/>
        <v>59715</v>
      </c>
      <c r="H36" s="838">
        <f t="shared" si="55"/>
        <v>63385.75</v>
      </c>
      <c r="I36" s="838">
        <f t="shared" si="55"/>
        <v>67056.5</v>
      </c>
      <c r="J36" s="838">
        <f t="shared" si="55"/>
        <v>70727.25</v>
      </c>
      <c r="K36" s="838">
        <f t="shared" si="55"/>
        <v>74398</v>
      </c>
      <c r="L36" s="838">
        <f t="shared" si="55"/>
        <v>79708.75</v>
      </c>
      <c r="M36" s="838">
        <f t="shared" si="55"/>
        <v>85019.5</v>
      </c>
      <c r="N36" s="838">
        <f t="shared" si="55"/>
        <v>90330.25</v>
      </c>
      <c r="O36" s="838">
        <f t="shared" si="55"/>
        <v>95641</v>
      </c>
      <c r="P36" s="838">
        <f t="shared" si="55"/>
        <v>105628.5</v>
      </c>
      <c r="Q36" s="838">
        <f t="shared" ref="Q36:R36" si="56">SUM(Q34:Q35)</f>
        <v>115616</v>
      </c>
      <c r="R36" s="838">
        <f t="shared" si="56"/>
        <v>125603.5</v>
      </c>
      <c r="S36" s="838">
        <f>+SUM(S34:S35)</f>
        <v>135591</v>
      </c>
      <c r="U36" s="838">
        <f t="shared" ref="U36" si="57">SUM(U34:U35)</f>
        <v>23734</v>
      </c>
      <c r="V36" s="838">
        <f>SUM(V34:V35)</f>
        <v>29460</v>
      </c>
      <c r="W36" s="838">
        <f t="shared" ref="W36:AD36" si="58">SUM(W34:W35)</f>
        <v>36477</v>
      </c>
      <c r="X36" s="838">
        <f t="shared" si="58"/>
        <v>44151</v>
      </c>
      <c r="Y36" s="838">
        <f t="shared" si="58"/>
        <v>59715</v>
      </c>
      <c r="Z36" s="838">
        <f t="shared" si="58"/>
        <v>74398</v>
      </c>
      <c r="AA36" s="838">
        <f t="shared" si="58"/>
        <v>95641</v>
      </c>
      <c r="AB36" s="838">
        <f t="shared" si="58"/>
        <v>135591</v>
      </c>
      <c r="AC36" s="838">
        <f t="shared" si="58"/>
        <v>184787.88325263406</v>
      </c>
      <c r="AD36" s="838">
        <f t="shared" si="58"/>
        <v>220271.24144168972</v>
      </c>
    </row>
    <row r="37" spans="1:30">
      <c r="B37" s="13" t="s">
        <v>968</v>
      </c>
      <c r="D37" s="1246">
        <f t="shared" ref="D37:P37" si="59">+IFERROR(D36/(D27*4),"n/a")</f>
        <v>4.5408317580340265</v>
      </c>
      <c r="E37" s="1246">
        <f t="shared" si="59"/>
        <v>4.7023723288663524</v>
      </c>
      <c r="F37" s="1246">
        <f t="shared" si="59"/>
        <v>4.753405994550409</v>
      </c>
      <c r="G37" s="1246">
        <f t="shared" si="59"/>
        <v>4.4643391148325362</v>
      </c>
      <c r="H37" s="1246">
        <f t="shared" si="59"/>
        <v>4.9335110523038601</v>
      </c>
      <c r="I37" s="1246">
        <f t="shared" si="59"/>
        <v>4.7952302631578947</v>
      </c>
      <c r="J37" s="1246">
        <f t="shared" si="59"/>
        <v>4.6864067055393583</v>
      </c>
      <c r="K37" s="1246">
        <f t="shared" si="59"/>
        <v>4.6744156823322447</v>
      </c>
      <c r="L37" s="1246">
        <f t="shared" si="59"/>
        <v>7.1423611111111107</v>
      </c>
      <c r="M37" s="1246">
        <f t="shared" si="59"/>
        <v>5.8264459978070171</v>
      </c>
      <c r="N37" s="1246">
        <f t="shared" si="59"/>
        <v>6.3630776275007044</v>
      </c>
      <c r="O37" s="1246">
        <f t="shared" si="59"/>
        <v>6.1719798657718119</v>
      </c>
      <c r="P37" s="1246">
        <f t="shared" si="59"/>
        <v>6.7347934200459063</v>
      </c>
      <c r="Q37" s="1246">
        <f t="shared" ref="Q37:S37" si="60">+IFERROR(Q36/(Q27*4),"n/a")</f>
        <v>5.2947426268547355</v>
      </c>
      <c r="R37" s="1246">
        <f t="shared" si="60"/>
        <v>5.8616529774127306</v>
      </c>
      <c r="S37" s="1246">
        <f t="shared" si="60"/>
        <v>5.9574253075571182</v>
      </c>
      <c r="U37" s="1246" t="str">
        <f t="shared" ref="U37" si="61">+IFERROR(U36/(U27),"n/a")</f>
        <v>n/a</v>
      </c>
      <c r="V37" s="1246">
        <f t="shared" ref="V37:AD37" si="62">+IFERROR(V36/(V27),"n/a")</f>
        <v>2.8710651983237501</v>
      </c>
      <c r="W37" s="1246">
        <f t="shared" si="62"/>
        <v>3.1224961479198767</v>
      </c>
      <c r="X37" s="1246">
        <f t="shared" si="62"/>
        <v>3.4503751172241324</v>
      </c>
      <c r="Y37" s="1246">
        <f t="shared" si="62"/>
        <v>5.1099606366592507</v>
      </c>
      <c r="Z37" s="1246">
        <f t="shared" si="62"/>
        <v>5.1450899031811899</v>
      </c>
      <c r="AA37" s="1246">
        <f t="shared" si="62"/>
        <v>6.9000072144866893</v>
      </c>
      <c r="AB37" s="1246">
        <f t="shared" si="62"/>
        <v>6.6378322808048171</v>
      </c>
      <c r="AC37" s="1246">
        <f t="shared" si="62"/>
        <v>6.6463010219939038</v>
      </c>
      <c r="AD37" s="1246">
        <f t="shared" si="62"/>
        <v>7.00922465395392</v>
      </c>
    </row>
    <row r="38" spans="1:30">
      <c r="B38" s="13"/>
      <c r="V38" s="8"/>
      <c r="W38" s="8"/>
      <c r="X38" s="8"/>
      <c r="Y38" s="8"/>
      <c r="Z38" s="8"/>
      <c r="AA38" s="8"/>
    </row>
    <row r="39" spans="1:30">
      <c r="B39" s="24" t="s">
        <v>126</v>
      </c>
      <c r="V39" s="8"/>
      <c r="W39" s="8"/>
      <c r="X39" s="8"/>
      <c r="Y39" s="8"/>
      <c r="Z39" s="8"/>
      <c r="AA39" s="8"/>
    </row>
    <row r="40" spans="1:30">
      <c r="B40" s="13" t="s">
        <v>938</v>
      </c>
      <c r="D40" s="92">
        <f>-X35</f>
        <v>43197</v>
      </c>
      <c r="E40" s="92">
        <f>+D43</f>
        <v>45235.5</v>
      </c>
      <c r="F40" s="92">
        <f t="shared" ref="F40:P40" si="63">+E43</f>
        <v>47274</v>
      </c>
      <c r="G40" s="92">
        <f t="shared" si="63"/>
        <v>49312.5</v>
      </c>
      <c r="H40" s="92">
        <f t="shared" si="63"/>
        <v>51351</v>
      </c>
      <c r="I40" s="92">
        <f t="shared" si="63"/>
        <v>53428.25</v>
      </c>
      <c r="J40" s="92">
        <f t="shared" si="63"/>
        <v>55505.5</v>
      </c>
      <c r="K40" s="92">
        <f t="shared" si="63"/>
        <v>57582.75</v>
      </c>
      <c r="L40" s="92">
        <f t="shared" si="63"/>
        <v>59660</v>
      </c>
      <c r="M40" s="92">
        <f t="shared" si="63"/>
        <v>61807.75</v>
      </c>
      <c r="N40" s="92">
        <f t="shared" si="63"/>
        <v>63955.5</v>
      </c>
      <c r="O40" s="92">
        <f t="shared" si="63"/>
        <v>66103.25</v>
      </c>
      <c r="P40" s="92">
        <f t="shared" si="63"/>
        <v>68251</v>
      </c>
      <c r="Q40" s="92">
        <f t="shared" ref="Q40" si="64">+P43</f>
        <v>70293.5</v>
      </c>
      <c r="R40" s="92">
        <f t="shared" ref="R40" si="65">+Q43</f>
        <v>72336</v>
      </c>
      <c r="S40" s="92">
        <f t="shared" ref="S40" si="66">+R43</f>
        <v>74378.5</v>
      </c>
      <c r="V40" s="92">
        <f>-U35</f>
        <v>24179</v>
      </c>
      <c r="W40" s="92">
        <f t="shared" ref="W40:AD40" si="67">+V43</f>
        <v>29223</v>
      </c>
      <c r="X40" s="92">
        <f t="shared" si="67"/>
        <v>35330</v>
      </c>
      <c r="Y40" s="92">
        <f t="shared" si="67"/>
        <v>43197</v>
      </c>
      <c r="Z40" s="92">
        <f t="shared" si="67"/>
        <v>51351</v>
      </c>
      <c r="AA40" s="92">
        <f t="shared" si="67"/>
        <v>59660</v>
      </c>
      <c r="AB40" s="92">
        <f t="shared" si="67"/>
        <v>68251</v>
      </c>
      <c r="AC40" s="92">
        <f t="shared" si="67"/>
        <v>76421</v>
      </c>
      <c r="AD40" s="92">
        <f t="shared" si="67"/>
        <v>102224.11674736594</v>
      </c>
    </row>
    <row r="41" spans="1:30">
      <c r="B41" s="13" t="s">
        <v>942</v>
      </c>
      <c r="D41" s="92">
        <f t="shared" ref="D41:P41" si="68">+D27</f>
        <v>2645</v>
      </c>
      <c r="E41" s="92">
        <f t="shared" si="68"/>
        <v>2761</v>
      </c>
      <c r="F41" s="92">
        <f t="shared" si="68"/>
        <v>2936</v>
      </c>
      <c r="G41" s="92">
        <f t="shared" si="68"/>
        <v>3344</v>
      </c>
      <c r="H41" s="92">
        <f t="shared" si="68"/>
        <v>3212</v>
      </c>
      <c r="I41" s="92">
        <f t="shared" si="68"/>
        <v>3496</v>
      </c>
      <c r="J41" s="92">
        <f t="shared" si="68"/>
        <v>3773</v>
      </c>
      <c r="K41" s="92">
        <f t="shared" si="68"/>
        <v>3979</v>
      </c>
      <c r="L41" s="92">
        <f t="shared" si="68"/>
        <v>2790</v>
      </c>
      <c r="M41" s="92">
        <f t="shared" si="68"/>
        <v>3648</v>
      </c>
      <c r="N41" s="92">
        <f t="shared" si="68"/>
        <v>3549</v>
      </c>
      <c r="O41" s="92">
        <f t="shared" si="68"/>
        <v>3874</v>
      </c>
      <c r="P41" s="92">
        <f t="shared" si="68"/>
        <v>3921</v>
      </c>
      <c r="Q41" s="92">
        <f t="shared" ref="Q41:R41" si="69">+Q27</f>
        <v>5459</v>
      </c>
      <c r="R41" s="92">
        <f t="shared" si="69"/>
        <v>5357</v>
      </c>
      <c r="S41" s="92">
        <f t="shared" ref="S41" si="70">+S27</f>
        <v>5690</v>
      </c>
      <c r="V41" s="92">
        <f t="shared" ref="V41:AD41" si="71">+V27</f>
        <v>10261</v>
      </c>
      <c r="W41" s="92">
        <f t="shared" si="71"/>
        <v>11682</v>
      </c>
      <c r="X41" s="92">
        <f t="shared" si="71"/>
        <v>12796</v>
      </c>
      <c r="Y41" s="92">
        <f t="shared" si="71"/>
        <v>11686</v>
      </c>
      <c r="Z41" s="92">
        <f t="shared" si="71"/>
        <v>14460</v>
      </c>
      <c r="AA41" s="92">
        <f t="shared" si="71"/>
        <v>13861</v>
      </c>
      <c r="AB41" s="92">
        <f t="shared" si="71"/>
        <v>20427</v>
      </c>
      <c r="AC41" s="92">
        <f t="shared" si="71"/>
        <v>27803.116747365937</v>
      </c>
      <c r="AD41" s="92">
        <f t="shared" si="71"/>
        <v>31425.906903616535</v>
      </c>
    </row>
    <row r="42" spans="1:30" ht="11.45">
      <c r="B42" s="13" t="s">
        <v>198</v>
      </c>
      <c r="D42" s="846">
        <f>+D43-SUM(D40:D41)</f>
        <v>-606.5</v>
      </c>
      <c r="E42" s="846">
        <f>+E43-SUM(E40:E41)</f>
        <v>-722.5</v>
      </c>
      <c r="F42" s="846">
        <f t="shared" ref="F42:P42" si="72">+F43-SUM(F40:F41)</f>
        <v>-897.5</v>
      </c>
      <c r="G42" s="846">
        <f t="shared" si="72"/>
        <v>-1305.5</v>
      </c>
      <c r="H42" s="846">
        <f t="shared" si="72"/>
        <v>-1134.75</v>
      </c>
      <c r="I42" s="846">
        <f t="shared" si="72"/>
        <v>-1418.75</v>
      </c>
      <c r="J42" s="846">
        <f t="shared" si="72"/>
        <v>-1695.75</v>
      </c>
      <c r="K42" s="846">
        <f t="shared" si="72"/>
        <v>-1901.75</v>
      </c>
      <c r="L42" s="846">
        <f t="shared" si="72"/>
        <v>-642.25</v>
      </c>
      <c r="M42" s="846">
        <f t="shared" si="72"/>
        <v>-1500.25</v>
      </c>
      <c r="N42" s="846">
        <f t="shared" si="72"/>
        <v>-1401.25</v>
      </c>
      <c r="O42" s="846">
        <f t="shared" si="72"/>
        <v>-1726.25</v>
      </c>
      <c r="P42" s="846">
        <f t="shared" si="72"/>
        <v>-1878.5</v>
      </c>
      <c r="Q42" s="846">
        <f t="shared" ref="Q42:R42" si="73">+Q43-SUM(Q40:Q41)</f>
        <v>-3416.5</v>
      </c>
      <c r="R42" s="846">
        <f t="shared" si="73"/>
        <v>-3314.5</v>
      </c>
      <c r="S42" s="846">
        <f t="shared" ref="S42" si="74">+S43-SUM(S40:S41)</f>
        <v>-3647.5</v>
      </c>
      <c r="V42" s="846">
        <f>+V43-SUM(V40:V41)</f>
        <v>-5217</v>
      </c>
      <c r="W42" s="846">
        <f t="shared" ref="W42:AB42" si="75">+W43-SUM(W40:W41)</f>
        <v>-5575</v>
      </c>
      <c r="X42" s="846">
        <f t="shared" si="75"/>
        <v>-4929</v>
      </c>
      <c r="Y42" s="846">
        <f t="shared" si="75"/>
        <v>-3532</v>
      </c>
      <c r="Z42" s="846">
        <f t="shared" si="75"/>
        <v>-6151</v>
      </c>
      <c r="AA42" s="846">
        <f t="shared" si="75"/>
        <v>-5270</v>
      </c>
      <c r="AB42" s="846">
        <f t="shared" si="75"/>
        <v>-12257</v>
      </c>
      <c r="AC42" s="1236">
        <v>-2000</v>
      </c>
      <c r="AD42" s="1236">
        <v>-2000</v>
      </c>
    </row>
    <row r="43" spans="1:30">
      <c r="B43" s="15" t="s">
        <v>924</v>
      </c>
      <c r="D43" s="92">
        <f>-D35</f>
        <v>45235.5</v>
      </c>
      <c r="E43" s="92">
        <f>-E35</f>
        <v>47274</v>
      </c>
      <c r="F43" s="92">
        <f t="shared" ref="F43:P43" si="76">-F35</f>
        <v>49312.5</v>
      </c>
      <c r="G43" s="92">
        <f t="shared" si="76"/>
        <v>51351</v>
      </c>
      <c r="H43" s="92">
        <f t="shared" si="76"/>
        <v>53428.25</v>
      </c>
      <c r="I43" s="92">
        <f t="shared" si="76"/>
        <v>55505.5</v>
      </c>
      <c r="J43" s="92">
        <f t="shared" si="76"/>
        <v>57582.75</v>
      </c>
      <c r="K43" s="92">
        <f t="shared" si="76"/>
        <v>59660</v>
      </c>
      <c r="L43" s="92">
        <f t="shared" si="76"/>
        <v>61807.75</v>
      </c>
      <c r="M43" s="92">
        <f t="shared" si="76"/>
        <v>63955.5</v>
      </c>
      <c r="N43" s="92">
        <f t="shared" si="76"/>
        <v>66103.25</v>
      </c>
      <c r="O43" s="92">
        <f t="shared" si="76"/>
        <v>68251</v>
      </c>
      <c r="P43" s="92">
        <f t="shared" si="76"/>
        <v>70293.5</v>
      </c>
      <c r="Q43" s="92">
        <f t="shared" ref="Q43:R43" si="77">-Q35</f>
        <v>72336</v>
      </c>
      <c r="R43" s="92">
        <f t="shared" si="77"/>
        <v>74378.5</v>
      </c>
      <c r="S43" s="92">
        <f t="shared" ref="S43" si="78">-S35</f>
        <v>76421</v>
      </c>
      <c r="V43" s="92">
        <f>-V35</f>
        <v>29223</v>
      </c>
      <c r="W43" s="92">
        <f t="shared" ref="W43:AB43" si="79">-W35</f>
        <v>35330</v>
      </c>
      <c r="X43" s="92">
        <f t="shared" si="79"/>
        <v>43197</v>
      </c>
      <c r="Y43" s="92">
        <f t="shared" si="79"/>
        <v>51351</v>
      </c>
      <c r="Z43" s="92">
        <f t="shared" si="79"/>
        <v>59660</v>
      </c>
      <c r="AA43" s="92">
        <f t="shared" si="79"/>
        <v>68251</v>
      </c>
      <c r="AB43" s="92">
        <f t="shared" si="79"/>
        <v>76421</v>
      </c>
      <c r="AC43" s="92">
        <f t="shared" ref="AC43:AD43" si="80">SUM(AC40:AC42)</f>
        <v>102224.11674736594</v>
      </c>
      <c r="AD43" s="92">
        <f t="shared" si="80"/>
        <v>131650.02365098248</v>
      </c>
    </row>
    <row r="45" spans="1:30" ht="10.5">
      <c r="B45" s="5" t="s">
        <v>969</v>
      </c>
      <c r="C45" s="4"/>
    </row>
    <row r="47" spans="1:30">
      <c r="B47" s="843" t="s">
        <v>927</v>
      </c>
      <c r="D47" s="8">
        <f t="shared" ref="D47:O47" si="81">+D15</f>
        <v>93277.5</v>
      </c>
      <c r="E47" s="8">
        <f t="shared" si="81"/>
        <v>99207</v>
      </c>
      <c r="F47" s="8">
        <f t="shared" si="81"/>
        <v>105136.5</v>
      </c>
      <c r="G47" s="8">
        <f t="shared" si="81"/>
        <v>111066</v>
      </c>
      <c r="H47" s="8">
        <f t="shared" si="81"/>
        <v>116814</v>
      </c>
      <c r="I47" s="8">
        <f t="shared" si="81"/>
        <v>122562</v>
      </c>
      <c r="J47" s="8">
        <f t="shared" si="81"/>
        <v>128310</v>
      </c>
      <c r="K47" s="8">
        <f t="shared" si="81"/>
        <v>134058</v>
      </c>
      <c r="L47" s="8">
        <f t="shared" si="81"/>
        <v>141516.5</v>
      </c>
      <c r="M47" s="8">
        <f t="shared" si="81"/>
        <v>148975</v>
      </c>
      <c r="N47" s="8">
        <f t="shared" si="81"/>
        <v>156433.5</v>
      </c>
      <c r="O47" s="8">
        <f t="shared" si="81"/>
        <v>163892</v>
      </c>
      <c r="P47" s="8">
        <f t="shared" ref="P47:S47" si="82">+P15</f>
        <v>175922</v>
      </c>
      <c r="Q47" s="8">
        <f t="shared" si="82"/>
        <v>187952</v>
      </c>
      <c r="R47" s="8">
        <f t="shared" si="82"/>
        <v>199982</v>
      </c>
      <c r="S47" s="8">
        <f t="shared" si="82"/>
        <v>212012</v>
      </c>
      <c r="V47" s="8">
        <f t="shared" ref="V47:AA47" si="83">+V15</f>
        <v>58683</v>
      </c>
      <c r="W47" s="8">
        <f t="shared" si="83"/>
        <v>71807</v>
      </c>
      <c r="X47" s="8">
        <f t="shared" si="83"/>
        <v>87348</v>
      </c>
      <c r="Y47" s="8">
        <f t="shared" si="83"/>
        <v>111066</v>
      </c>
      <c r="Z47" s="8">
        <f t="shared" si="83"/>
        <v>134058</v>
      </c>
      <c r="AA47" s="8">
        <f t="shared" si="83"/>
        <v>163892</v>
      </c>
      <c r="AB47" s="8">
        <f>+S47</f>
        <v>212012</v>
      </c>
      <c r="AC47" s="11">
        <f>+AC53</f>
        <v>274074.59999999998</v>
      </c>
      <c r="AD47" s="11">
        <f>+AD53</f>
        <v>343581.6</v>
      </c>
    </row>
    <row r="48" spans="1:30" s="1" customFormat="1" ht="10.5">
      <c r="A48" s="1243"/>
      <c r="B48" s="837"/>
      <c r="D48" s="936"/>
      <c r="E48" s="936"/>
      <c r="F48" s="936"/>
      <c r="G48" s="936"/>
      <c r="H48" s="936"/>
      <c r="I48" s="936"/>
      <c r="J48" s="936"/>
      <c r="K48" s="936"/>
      <c r="L48" s="936"/>
      <c r="M48" s="936"/>
      <c r="N48" s="936"/>
      <c r="O48" s="936"/>
      <c r="P48" s="936"/>
      <c r="Q48" s="849"/>
      <c r="R48" s="849"/>
      <c r="S48" s="849"/>
      <c r="T48" s="936"/>
      <c r="U48" s="936"/>
      <c r="V48" s="936"/>
      <c r="W48" s="936"/>
      <c r="X48" s="936"/>
      <c r="Y48" s="936"/>
      <c r="Z48" s="936"/>
      <c r="AA48" s="936"/>
      <c r="AB48" s="838"/>
      <c r="AC48" s="849"/>
      <c r="AD48" s="849"/>
    </row>
    <row r="49" spans="1:30" s="1" customFormat="1" ht="10.5">
      <c r="A49" s="1243"/>
      <c r="B49" s="24" t="s">
        <v>126</v>
      </c>
      <c r="D49" s="936"/>
      <c r="E49" s="936"/>
      <c r="F49" s="936"/>
      <c r="G49" s="936"/>
      <c r="H49" s="936"/>
      <c r="I49" s="936"/>
      <c r="J49" s="936"/>
      <c r="K49" s="936"/>
      <c r="L49" s="936"/>
      <c r="M49" s="936"/>
      <c r="N49" s="936"/>
      <c r="O49" s="936"/>
      <c r="P49" s="936"/>
      <c r="Q49" s="849"/>
      <c r="R49" s="849"/>
      <c r="S49" s="849"/>
      <c r="T49" s="936"/>
      <c r="U49" s="936"/>
      <c r="V49" s="936"/>
      <c r="W49" s="936"/>
      <c r="X49" s="936"/>
      <c r="Y49" s="936"/>
      <c r="Z49" s="936"/>
      <c r="AA49" s="936"/>
      <c r="AB49" s="838"/>
      <c r="AC49" s="849"/>
      <c r="AD49" s="849"/>
    </row>
    <row r="50" spans="1:30" s="1" customFormat="1" ht="10.5">
      <c r="A50" s="1243"/>
      <c r="B50" s="13" t="s">
        <v>935</v>
      </c>
      <c r="D50" s="94">
        <f>+X47</f>
        <v>87348</v>
      </c>
      <c r="E50" s="94">
        <f>+D53</f>
        <v>93277.5</v>
      </c>
      <c r="F50" s="94">
        <f t="shared" ref="F50:P50" si="84">+E53</f>
        <v>99207</v>
      </c>
      <c r="G50" s="94">
        <f t="shared" si="84"/>
        <v>105136.5</v>
      </c>
      <c r="H50" s="94">
        <f t="shared" si="84"/>
        <v>111066</v>
      </c>
      <c r="I50" s="94">
        <f t="shared" si="84"/>
        <v>116814</v>
      </c>
      <c r="J50" s="94">
        <f t="shared" si="84"/>
        <v>122562</v>
      </c>
      <c r="K50" s="94">
        <f t="shared" si="84"/>
        <v>128310</v>
      </c>
      <c r="L50" s="94">
        <f t="shared" si="84"/>
        <v>134058</v>
      </c>
      <c r="M50" s="94">
        <f t="shared" si="84"/>
        <v>141516.5</v>
      </c>
      <c r="N50" s="94">
        <f t="shared" si="84"/>
        <v>148975</v>
      </c>
      <c r="O50" s="94">
        <f t="shared" si="84"/>
        <v>156433.5</v>
      </c>
      <c r="P50" s="94">
        <f t="shared" si="84"/>
        <v>163892</v>
      </c>
      <c r="Q50" s="94">
        <f t="shared" ref="Q50" si="85">+P53</f>
        <v>175922</v>
      </c>
      <c r="R50" s="94">
        <f t="shared" ref="R50" si="86">+Q53</f>
        <v>187952</v>
      </c>
      <c r="S50" s="94">
        <f t="shared" ref="S50" si="87">+R53</f>
        <v>199982</v>
      </c>
      <c r="T50" s="936"/>
      <c r="U50" s="936"/>
      <c r="V50" s="94">
        <f>+U47</f>
        <v>0</v>
      </c>
      <c r="W50" s="94">
        <f t="shared" ref="W50:AD50" si="88">+V53</f>
        <v>58683</v>
      </c>
      <c r="X50" s="94">
        <f t="shared" si="88"/>
        <v>71807</v>
      </c>
      <c r="Y50" s="94">
        <f t="shared" si="88"/>
        <v>87348</v>
      </c>
      <c r="Z50" s="94">
        <f t="shared" si="88"/>
        <v>111066</v>
      </c>
      <c r="AA50" s="94">
        <f t="shared" si="88"/>
        <v>134058</v>
      </c>
      <c r="AB50" s="94">
        <f t="shared" si="88"/>
        <v>163892</v>
      </c>
      <c r="AC50" s="94">
        <f t="shared" si="88"/>
        <v>212012</v>
      </c>
      <c r="AD50" s="94">
        <f t="shared" si="88"/>
        <v>274074.59999999998</v>
      </c>
    </row>
    <row r="51" spans="1:30" s="1" customFormat="1" ht="10.5">
      <c r="A51" s="1243"/>
      <c r="B51" s="13" t="s">
        <v>949</v>
      </c>
      <c r="D51" s="94">
        <f>+D57</f>
        <v>5500</v>
      </c>
      <c r="E51" s="94">
        <f>+E57</f>
        <v>5400</v>
      </c>
      <c r="F51" s="94">
        <f t="shared" ref="F51:P51" si="89">+F57</f>
        <v>6000</v>
      </c>
      <c r="G51" s="94">
        <f t="shared" si="89"/>
        <v>7300</v>
      </c>
      <c r="H51" s="94">
        <f t="shared" si="89"/>
        <v>7400</v>
      </c>
      <c r="I51" s="94">
        <f t="shared" si="89"/>
        <v>6800</v>
      </c>
      <c r="J51" s="94">
        <f t="shared" si="89"/>
        <v>6300</v>
      </c>
      <c r="K51" s="94">
        <f t="shared" si="89"/>
        <v>8700</v>
      </c>
      <c r="L51" s="94">
        <f t="shared" si="89"/>
        <v>6600</v>
      </c>
      <c r="M51" s="94">
        <f t="shared" si="89"/>
        <v>6800</v>
      </c>
      <c r="N51" s="94">
        <f t="shared" si="89"/>
        <v>7800</v>
      </c>
      <c r="O51" s="94">
        <f t="shared" si="89"/>
        <v>10700</v>
      </c>
      <c r="P51" s="94">
        <f t="shared" si="89"/>
        <v>11200</v>
      </c>
      <c r="Q51" s="94">
        <f t="shared" ref="Q51:R51" si="90">+Q57</f>
        <v>11500</v>
      </c>
      <c r="R51" s="94">
        <f t="shared" si="90"/>
        <v>14000</v>
      </c>
      <c r="S51" s="94">
        <f t="shared" ref="S51" si="91">+S57</f>
        <v>19000</v>
      </c>
      <c r="T51" s="936"/>
      <c r="U51" s="936"/>
      <c r="V51" s="94">
        <f t="shared" ref="V51:AD51" si="92">+V57</f>
        <v>13600</v>
      </c>
      <c r="W51" s="94">
        <f t="shared" si="92"/>
        <v>16900</v>
      </c>
      <c r="X51" s="94">
        <f t="shared" si="92"/>
        <v>19000</v>
      </c>
      <c r="Y51" s="94">
        <f t="shared" si="92"/>
        <v>24200</v>
      </c>
      <c r="Z51" s="94">
        <f t="shared" si="92"/>
        <v>29200</v>
      </c>
      <c r="AA51" s="94">
        <f t="shared" si="92"/>
        <v>31900</v>
      </c>
      <c r="AB51" s="94">
        <f t="shared" si="92"/>
        <v>55700</v>
      </c>
      <c r="AC51" s="94">
        <f t="shared" si="92"/>
        <v>65062.6</v>
      </c>
      <c r="AD51" s="94">
        <f t="shared" si="92"/>
        <v>72507</v>
      </c>
    </row>
    <row r="52" spans="1:30" s="1" customFormat="1" ht="11.45">
      <c r="A52" s="1243"/>
      <c r="B52" s="13" t="s">
        <v>198</v>
      </c>
      <c r="D52" s="943">
        <f>+D53-SUM(D50:D51)</f>
        <v>429.5</v>
      </c>
      <c r="E52" s="943">
        <f>+E53-SUM(E50:E51)</f>
        <v>529.5</v>
      </c>
      <c r="F52" s="943">
        <f t="shared" ref="F52:P52" si="93">+F53-SUM(F50:F51)</f>
        <v>-70.5</v>
      </c>
      <c r="G52" s="943">
        <f t="shared" si="93"/>
        <v>-1370.5</v>
      </c>
      <c r="H52" s="943">
        <f t="shared" si="93"/>
        <v>-1652</v>
      </c>
      <c r="I52" s="943">
        <f t="shared" si="93"/>
        <v>-1052</v>
      </c>
      <c r="J52" s="943">
        <f t="shared" si="93"/>
        <v>-552</v>
      </c>
      <c r="K52" s="943">
        <f t="shared" si="93"/>
        <v>-2952</v>
      </c>
      <c r="L52" s="943">
        <f t="shared" si="93"/>
        <v>858.5</v>
      </c>
      <c r="M52" s="943">
        <f t="shared" si="93"/>
        <v>658.5</v>
      </c>
      <c r="N52" s="943">
        <f t="shared" si="93"/>
        <v>-341.5</v>
      </c>
      <c r="O52" s="943">
        <f t="shared" si="93"/>
        <v>-3241.5</v>
      </c>
      <c r="P52" s="943">
        <f t="shared" si="93"/>
        <v>830</v>
      </c>
      <c r="Q52" s="943">
        <f t="shared" ref="Q52:R52" si="94">+Q53-SUM(Q50:Q51)</f>
        <v>530</v>
      </c>
      <c r="R52" s="943">
        <f t="shared" si="94"/>
        <v>-1970</v>
      </c>
      <c r="S52" s="943">
        <f t="shared" ref="S52" si="95">+S53-SUM(S50:S51)</f>
        <v>-6970</v>
      </c>
      <c r="T52" s="936"/>
      <c r="U52" s="936"/>
      <c r="V52" s="943">
        <f t="shared" ref="V52:AB52" si="96">+V53-SUM(V50:V51)</f>
        <v>45083</v>
      </c>
      <c r="W52" s="943">
        <f t="shared" si="96"/>
        <v>-3776</v>
      </c>
      <c r="X52" s="943">
        <f t="shared" si="96"/>
        <v>-3459</v>
      </c>
      <c r="Y52" s="943">
        <f t="shared" si="96"/>
        <v>-482</v>
      </c>
      <c r="Z52" s="943">
        <f t="shared" si="96"/>
        <v>-6208</v>
      </c>
      <c r="AA52" s="943">
        <f t="shared" si="96"/>
        <v>-2066</v>
      </c>
      <c r="AB52" s="943">
        <f t="shared" si="96"/>
        <v>-7580</v>
      </c>
      <c r="AC52" s="1236">
        <v>-3000</v>
      </c>
      <c r="AD52" s="1236">
        <v>-3000</v>
      </c>
    </row>
    <row r="53" spans="1:30" s="1" customFormat="1" ht="10.5">
      <c r="A53" s="1243"/>
      <c r="B53" s="15" t="s">
        <v>933</v>
      </c>
      <c r="D53" s="94">
        <f t="shared" ref="D53:P53" si="97">+D47</f>
        <v>93277.5</v>
      </c>
      <c r="E53" s="94">
        <f t="shared" si="97"/>
        <v>99207</v>
      </c>
      <c r="F53" s="94">
        <f t="shared" si="97"/>
        <v>105136.5</v>
      </c>
      <c r="G53" s="94">
        <f t="shared" si="97"/>
        <v>111066</v>
      </c>
      <c r="H53" s="94">
        <f t="shared" si="97"/>
        <v>116814</v>
      </c>
      <c r="I53" s="94">
        <f t="shared" si="97"/>
        <v>122562</v>
      </c>
      <c r="J53" s="94">
        <f t="shared" si="97"/>
        <v>128310</v>
      </c>
      <c r="K53" s="94">
        <f t="shared" si="97"/>
        <v>134058</v>
      </c>
      <c r="L53" s="94">
        <f t="shared" si="97"/>
        <v>141516.5</v>
      </c>
      <c r="M53" s="94">
        <f t="shared" si="97"/>
        <v>148975</v>
      </c>
      <c r="N53" s="94">
        <f t="shared" si="97"/>
        <v>156433.5</v>
      </c>
      <c r="O53" s="94">
        <f t="shared" si="97"/>
        <v>163892</v>
      </c>
      <c r="P53" s="94">
        <f t="shared" si="97"/>
        <v>175922</v>
      </c>
      <c r="Q53" s="94">
        <f t="shared" ref="Q53:R53" si="98">+Q47</f>
        <v>187952</v>
      </c>
      <c r="R53" s="94">
        <f t="shared" si="98"/>
        <v>199982</v>
      </c>
      <c r="S53" s="94">
        <f t="shared" ref="S53" si="99">+S47</f>
        <v>212012</v>
      </c>
      <c r="T53" s="936"/>
      <c r="U53" s="936"/>
      <c r="V53" s="94">
        <f t="shared" ref="V53:AB53" si="100">+V47</f>
        <v>58683</v>
      </c>
      <c r="W53" s="94">
        <f t="shared" si="100"/>
        <v>71807</v>
      </c>
      <c r="X53" s="94">
        <f t="shared" si="100"/>
        <v>87348</v>
      </c>
      <c r="Y53" s="94">
        <f t="shared" si="100"/>
        <v>111066</v>
      </c>
      <c r="Z53" s="94">
        <f t="shared" si="100"/>
        <v>134058</v>
      </c>
      <c r="AA53" s="94">
        <f t="shared" si="100"/>
        <v>163892</v>
      </c>
      <c r="AB53" s="94">
        <f t="shared" si="100"/>
        <v>212012</v>
      </c>
      <c r="AC53" s="94">
        <f t="shared" ref="AC53:AD53" si="101">SUM(AC50:AC52)</f>
        <v>274074.59999999998</v>
      </c>
      <c r="AD53" s="94">
        <f t="shared" si="101"/>
        <v>343581.6</v>
      </c>
    </row>
    <row r="55" spans="1:30">
      <c r="B55" t="str">
        <f>+B23</f>
        <v>Additions to property plant and equipment</v>
      </c>
      <c r="D55" s="859">
        <f t="shared" ref="D55:P55" si="102">+D23</f>
        <v>4907</v>
      </c>
      <c r="E55" s="859">
        <f t="shared" si="102"/>
        <v>4174</v>
      </c>
      <c r="F55" s="859">
        <f t="shared" si="102"/>
        <v>5089</v>
      </c>
      <c r="G55" s="859">
        <f t="shared" si="102"/>
        <v>6452</v>
      </c>
      <c r="H55" s="859">
        <f t="shared" si="102"/>
        <v>5810</v>
      </c>
      <c r="I55" s="859">
        <f t="shared" si="102"/>
        <v>5865</v>
      </c>
      <c r="J55" s="859">
        <f t="shared" si="102"/>
        <v>5340</v>
      </c>
      <c r="K55" s="859">
        <f t="shared" si="102"/>
        <v>6871</v>
      </c>
      <c r="L55" s="859">
        <f t="shared" si="102"/>
        <v>6283</v>
      </c>
      <c r="M55" s="859">
        <f t="shared" si="102"/>
        <v>6274</v>
      </c>
      <c r="N55" s="859">
        <f t="shared" si="102"/>
        <v>6607</v>
      </c>
      <c r="O55" s="859">
        <f t="shared" si="102"/>
        <v>8943</v>
      </c>
      <c r="P55" s="859">
        <f t="shared" si="102"/>
        <v>9917</v>
      </c>
      <c r="Q55" s="859">
        <f t="shared" ref="Q55:R55" si="103">+Q23</f>
        <v>9735</v>
      </c>
      <c r="R55" s="859">
        <f t="shared" si="103"/>
        <v>10952</v>
      </c>
      <c r="S55" s="859">
        <f t="shared" ref="S55" si="104">+S23</f>
        <v>13873</v>
      </c>
      <c r="T55" s="41"/>
      <c r="U55" s="41"/>
      <c r="V55" s="859">
        <f t="shared" ref="V55:AA57" si="105">+V23</f>
        <v>11632</v>
      </c>
      <c r="W55" s="859">
        <f t="shared" si="105"/>
        <v>13925</v>
      </c>
      <c r="X55" s="859">
        <f t="shared" si="105"/>
        <v>15441</v>
      </c>
      <c r="Y55" s="859">
        <f t="shared" si="105"/>
        <v>20622</v>
      </c>
      <c r="Z55" s="859">
        <f t="shared" si="105"/>
        <v>23886</v>
      </c>
      <c r="AA55" s="859">
        <f t="shared" si="105"/>
        <v>28107</v>
      </c>
    </row>
    <row r="56" spans="1:30" ht="11.45">
      <c r="B56" t="str">
        <f t="shared" ref="B56:B57" si="106">+B24</f>
        <v>Assets acquired under capital leases</v>
      </c>
      <c r="D56" s="26">
        <f t="shared" ref="D56:P56" si="107">+D24</f>
        <v>593</v>
      </c>
      <c r="E56" s="26">
        <f t="shared" si="107"/>
        <v>1226</v>
      </c>
      <c r="F56" s="26">
        <f t="shared" si="107"/>
        <v>911</v>
      </c>
      <c r="G56" s="26">
        <f t="shared" si="107"/>
        <v>848</v>
      </c>
      <c r="H56" s="26">
        <f t="shared" si="107"/>
        <v>1590</v>
      </c>
      <c r="I56" s="26">
        <f t="shared" si="107"/>
        <v>935</v>
      </c>
      <c r="J56" s="26">
        <f t="shared" si="107"/>
        <v>960</v>
      </c>
      <c r="K56" s="26">
        <f t="shared" si="107"/>
        <v>1829</v>
      </c>
      <c r="L56" s="26">
        <f t="shared" si="107"/>
        <v>317</v>
      </c>
      <c r="M56" s="26">
        <f t="shared" si="107"/>
        <v>526</v>
      </c>
      <c r="N56" s="26">
        <f t="shared" si="107"/>
        <v>1193</v>
      </c>
      <c r="O56" s="26">
        <f t="shared" si="107"/>
        <v>1757</v>
      </c>
      <c r="P56" s="26">
        <f t="shared" si="107"/>
        <v>1283</v>
      </c>
      <c r="Q56" s="26">
        <f t="shared" ref="Q56:R56" si="108">+Q24</f>
        <v>1765</v>
      </c>
      <c r="R56" s="26">
        <f t="shared" si="108"/>
        <v>3048</v>
      </c>
      <c r="S56" s="26">
        <f t="shared" ref="S56" si="109">+S24</f>
        <v>5127</v>
      </c>
      <c r="T56" s="41"/>
      <c r="U56" s="41"/>
      <c r="V56" s="26">
        <f t="shared" si="105"/>
        <v>1968</v>
      </c>
      <c r="W56" s="26">
        <f t="shared" si="105"/>
        <v>2975</v>
      </c>
      <c r="X56" s="26">
        <f t="shared" si="105"/>
        <v>3559</v>
      </c>
      <c r="Y56" s="26">
        <f t="shared" si="105"/>
        <v>3578</v>
      </c>
      <c r="Z56" s="26">
        <f t="shared" si="105"/>
        <v>5314</v>
      </c>
      <c r="AA56" s="26">
        <f t="shared" si="105"/>
        <v>3793</v>
      </c>
    </row>
    <row r="57" spans="1:30" ht="10.5">
      <c r="A57" t="s">
        <v>970</v>
      </c>
      <c r="B57" s="837" t="str">
        <f t="shared" si="106"/>
        <v>Total Capex</v>
      </c>
      <c r="D57" s="1247">
        <f t="shared" ref="D57:P57" si="110">+D25</f>
        <v>5500</v>
      </c>
      <c r="E57" s="1247">
        <f t="shared" si="110"/>
        <v>5400</v>
      </c>
      <c r="F57" s="1247">
        <f t="shared" si="110"/>
        <v>6000</v>
      </c>
      <c r="G57" s="1247">
        <f t="shared" si="110"/>
        <v>7300</v>
      </c>
      <c r="H57" s="1247">
        <f t="shared" si="110"/>
        <v>7400</v>
      </c>
      <c r="I57" s="1247">
        <f t="shared" si="110"/>
        <v>6800</v>
      </c>
      <c r="J57" s="1247">
        <f t="shared" si="110"/>
        <v>6300</v>
      </c>
      <c r="K57" s="1247">
        <f t="shared" si="110"/>
        <v>8700</v>
      </c>
      <c r="L57" s="1247">
        <f t="shared" si="110"/>
        <v>6600</v>
      </c>
      <c r="M57" s="1247">
        <f t="shared" si="110"/>
        <v>6800</v>
      </c>
      <c r="N57" s="1247">
        <f t="shared" si="110"/>
        <v>7800</v>
      </c>
      <c r="O57" s="1247">
        <f t="shared" si="110"/>
        <v>10700</v>
      </c>
      <c r="P57" s="1247">
        <f t="shared" si="110"/>
        <v>11200</v>
      </c>
      <c r="Q57" s="1247">
        <f t="shared" ref="Q57:R57" si="111">+Q25</f>
        <v>11500</v>
      </c>
      <c r="R57" s="1247">
        <f t="shared" si="111"/>
        <v>14000</v>
      </c>
      <c r="S57" s="1247">
        <f t="shared" ref="S57" si="112">+S25</f>
        <v>19000</v>
      </c>
      <c r="T57" s="41"/>
      <c r="U57" s="41"/>
      <c r="V57" s="1247">
        <f t="shared" si="105"/>
        <v>13600</v>
      </c>
      <c r="W57" s="1247">
        <f t="shared" si="105"/>
        <v>16900</v>
      </c>
      <c r="X57" s="1247">
        <f t="shared" si="105"/>
        <v>19000</v>
      </c>
      <c r="Y57" s="1247">
        <f t="shared" si="105"/>
        <v>24200</v>
      </c>
      <c r="Z57" s="1247">
        <f t="shared" si="105"/>
        <v>29200</v>
      </c>
      <c r="AA57" s="1247">
        <f t="shared" si="105"/>
        <v>31900</v>
      </c>
      <c r="AB57" s="838">
        <f>+SUM(P57:S57)</f>
        <v>55700</v>
      </c>
      <c r="AC57" s="1248">
        <f>54338.7+10723.9</f>
        <v>65062.6</v>
      </c>
      <c r="AD57" s="1248">
        <f>59715+12792</f>
        <v>72507</v>
      </c>
    </row>
    <row r="58" spans="1:30">
      <c r="B58" s="13"/>
    </row>
    <row r="59" spans="1:30">
      <c r="B59" t="s">
        <v>964</v>
      </c>
      <c r="D59" s="859">
        <f t="shared" ref="D59:O59" si="113">+D27</f>
        <v>2645</v>
      </c>
      <c r="E59" s="859">
        <f t="shared" si="113"/>
        <v>2761</v>
      </c>
      <c r="F59" s="859">
        <f t="shared" si="113"/>
        <v>2936</v>
      </c>
      <c r="G59" s="859">
        <f t="shared" si="113"/>
        <v>3344</v>
      </c>
      <c r="H59" s="859">
        <f t="shared" si="113"/>
        <v>3212</v>
      </c>
      <c r="I59" s="859">
        <f t="shared" si="113"/>
        <v>3496</v>
      </c>
      <c r="J59" s="859">
        <f t="shared" si="113"/>
        <v>3773</v>
      </c>
      <c r="K59" s="859">
        <f t="shared" si="113"/>
        <v>3979</v>
      </c>
      <c r="L59" s="859">
        <f t="shared" si="113"/>
        <v>2790</v>
      </c>
      <c r="M59" s="859">
        <f t="shared" si="113"/>
        <v>3648</v>
      </c>
      <c r="N59" s="859">
        <f t="shared" si="113"/>
        <v>3549</v>
      </c>
      <c r="O59" s="859">
        <f t="shared" si="113"/>
        <v>3874</v>
      </c>
      <c r="P59" s="859">
        <f t="shared" ref="P59:R59" si="114">+P27</f>
        <v>3921</v>
      </c>
      <c r="Q59" s="859">
        <f t="shared" si="114"/>
        <v>5459</v>
      </c>
      <c r="R59" s="859">
        <f t="shared" si="114"/>
        <v>5357</v>
      </c>
      <c r="S59" s="859">
        <f t="shared" ref="S59" si="115">+S27</f>
        <v>5690</v>
      </c>
      <c r="T59" s="41"/>
      <c r="U59" s="41"/>
      <c r="V59" s="859">
        <f t="shared" ref="V59:AA60" si="116">+V27</f>
        <v>10261</v>
      </c>
      <c r="W59" s="859">
        <f t="shared" si="116"/>
        <v>11682</v>
      </c>
      <c r="X59" s="859">
        <f t="shared" si="116"/>
        <v>12796</v>
      </c>
      <c r="Y59" s="859">
        <f t="shared" si="116"/>
        <v>11686</v>
      </c>
      <c r="Z59" s="859">
        <f t="shared" si="116"/>
        <v>14460</v>
      </c>
      <c r="AA59" s="859">
        <f t="shared" si="116"/>
        <v>13861</v>
      </c>
      <c r="AB59" s="8">
        <f>+SUM(P59:S59)</f>
        <v>20427</v>
      </c>
      <c r="AC59" s="8">
        <f t="shared" ref="AC59:AD59" si="117">+AB59-AB60+AC60</f>
        <v>24100</v>
      </c>
      <c r="AD59" s="8">
        <f t="shared" si="117"/>
        <v>27755</v>
      </c>
    </row>
    <row r="60" spans="1:30">
      <c r="A60" t="s">
        <v>971</v>
      </c>
      <c r="B60" s="921" t="s">
        <v>965</v>
      </c>
      <c r="D60" s="1249">
        <f t="shared" ref="D60:O60" si="118">+D28</f>
        <v>2645</v>
      </c>
      <c r="E60" s="1249">
        <f t="shared" si="118"/>
        <v>2761</v>
      </c>
      <c r="F60" s="1249">
        <f t="shared" si="118"/>
        <v>2936</v>
      </c>
      <c r="G60" s="1249">
        <f t="shared" si="118"/>
        <v>3344</v>
      </c>
      <c r="H60" s="1249">
        <f t="shared" si="118"/>
        <v>3212</v>
      </c>
      <c r="I60" s="1249">
        <f t="shared" si="118"/>
        <v>3496</v>
      </c>
      <c r="J60" s="1249">
        <f t="shared" si="118"/>
        <v>3773</v>
      </c>
      <c r="K60" s="1249">
        <f t="shared" si="118"/>
        <v>3979</v>
      </c>
      <c r="L60" s="1249">
        <f t="shared" si="118"/>
        <v>2790</v>
      </c>
      <c r="M60" s="1249">
        <f t="shared" si="118"/>
        <v>3648</v>
      </c>
      <c r="N60" s="1249">
        <f t="shared" si="118"/>
        <v>3549</v>
      </c>
      <c r="O60" s="1249">
        <f t="shared" si="118"/>
        <v>3874</v>
      </c>
      <c r="P60" s="1249">
        <f t="shared" ref="P60:R60" si="119">+P28</f>
        <v>3921</v>
      </c>
      <c r="Q60" s="1249">
        <f t="shared" si="119"/>
        <v>5959</v>
      </c>
      <c r="R60" s="1249">
        <f t="shared" si="119"/>
        <v>6027</v>
      </c>
      <c r="S60" s="1249">
        <f t="shared" ref="S60" si="120">+S28</f>
        <v>6380</v>
      </c>
      <c r="T60" s="932"/>
      <c r="U60" s="932"/>
      <c r="V60" s="1249">
        <f t="shared" si="116"/>
        <v>10261</v>
      </c>
      <c r="W60" s="1249">
        <f t="shared" si="116"/>
        <v>11682</v>
      </c>
      <c r="X60" s="1249">
        <f t="shared" si="116"/>
        <v>12796</v>
      </c>
      <c r="Y60" s="1249">
        <f t="shared" si="116"/>
        <v>11686</v>
      </c>
      <c r="Z60" s="1249">
        <f t="shared" si="116"/>
        <v>14460</v>
      </c>
      <c r="AA60" s="1249">
        <f t="shared" si="116"/>
        <v>13861</v>
      </c>
      <c r="AB60" s="92">
        <f>+SUM(P60:S60)</f>
        <v>22287</v>
      </c>
      <c r="AC60" s="1250">
        <v>25960</v>
      </c>
      <c r="AD60" s="1250">
        <v>29615</v>
      </c>
    </row>
    <row r="62" spans="1:30">
      <c r="B62" s="24" t="s">
        <v>966</v>
      </c>
    </row>
    <row r="63" spans="1:30">
      <c r="B63" s="13" t="s">
        <v>967</v>
      </c>
      <c r="D63" s="1246">
        <f t="shared" ref="D63:P63" si="121">+IFERROR(D47/(D59*4),"n/a")</f>
        <v>8.8163988657844996</v>
      </c>
      <c r="E63" s="1246">
        <f t="shared" si="121"/>
        <v>8.9828866352770742</v>
      </c>
      <c r="F63" s="1246">
        <f t="shared" si="121"/>
        <v>8.9523586512261577</v>
      </c>
      <c r="G63" s="1246">
        <f t="shared" si="121"/>
        <v>8.3033791866028714</v>
      </c>
      <c r="H63" s="1246">
        <f t="shared" si="121"/>
        <v>9.0919987546699872</v>
      </c>
      <c r="I63" s="1246">
        <f t="shared" si="121"/>
        <v>8.7644450800915337</v>
      </c>
      <c r="J63" s="1246">
        <f t="shared" si="121"/>
        <v>8.5018552875695725</v>
      </c>
      <c r="K63" s="1246">
        <f t="shared" si="121"/>
        <v>8.4228449359135453</v>
      </c>
      <c r="L63" s="1246">
        <f t="shared" si="121"/>
        <v>12.680689964157706</v>
      </c>
      <c r="M63" s="1246">
        <f t="shared" si="121"/>
        <v>10.209361293859649</v>
      </c>
      <c r="N63" s="1246">
        <f t="shared" si="121"/>
        <v>11.019547759932376</v>
      </c>
      <c r="O63" s="1246">
        <f t="shared" si="121"/>
        <v>10.576406814661848</v>
      </c>
      <c r="P63" s="1246">
        <f t="shared" si="121"/>
        <v>11.216653914817648</v>
      </c>
      <c r="Q63" s="1246">
        <f t="shared" ref="Q63:S63" si="122">+IFERROR(Q47/(Q59*4),"n/a")</f>
        <v>8.6074372595713502</v>
      </c>
      <c r="R63" s="1246">
        <f t="shared" si="122"/>
        <v>9.332742206458839</v>
      </c>
      <c r="S63" s="1246">
        <f t="shared" si="122"/>
        <v>9.3151142355008787</v>
      </c>
      <c r="V63" s="1246">
        <f t="shared" ref="V63:AD63" si="123">+IFERROR(V47/(V59),"n/a")</f>
        <v>5.7190332326283988</v>
      </c>
      <c r="W63" s="1246">
        <f t="shared" si="123"/>
        <v>6.1468070535867145</v>
      </c>
      <c r="X63" s="1246">
        <f t="shared" si="123"/>
        <v>6.8261956861519222</v>
      </c>
      <c r="Y63" s="1246">
        <f t="shared" si="123"/>
        <v>9.5041930515146333</v>
      </c>
      <c r="Z63" s="1246">
        <f t="shared" si="123"/>
        <v>9.2709543568464738</v>
      </c>
      <c r="AA63" s="1246">
        <f t="shared" si="123"/>
        <v>11.823966524781762</v>
      </c>
      <c r="AB63" s="1246">
        <f t="shared" si="123"/>
        <v>10.379008175454056</v>
      </c>
      <c r="AC63" s="1246">
        <f t="shared" si="123"/>
        <v>11.372390041493775</v>
      </c>
      <c r="AD63" s="1246">
        <f t="shared" si="123"/>
        <v>12.379088452531075</v>
      </c>
    </row>
    <row r="65" spans="1:30" ht="10.5">
      <c r="B65" s="45" t="s">
        <v>946</v>
      </c>
    </row>
    <row r="66" spans="1:30">
      <c r="B66" t="s">
        <v>927</v>
      </c>
      <c r="D66" s="8">
        <f t="shared" ref="D66:P66" si="124">+D47</f>
        <v>93277.5</v>
      </c>
      <c r="E66" s="8">
        <f t="shared" si="124"/>
        <v>99207</v>
      </c>
      <c r="F66" s="8">
        <f t="shared" si="124"/>
        <v>105136.5</v>
      </c>
      <c r="G66" s="8">
        <f t="shared" si="124"/>
        <v>111066</v>
      </c>
      <c r="H66" s="8">
        <f t="shared" si="124"/>
        <v>116814</v>
      </c>
      <c r="I66" s="8">
        <f t="shared" si="124"/>
        <v>122562</v>
      </c>
      <c r="J66" s="8">
        <f t="shared" si="124"/>
        <v>128310</v>
      </c>
      <c r="K66" s="8">
        <f t="shared" si="124"/>
        <v>134058</v>
      </c>
      <c r="L66" s="8">
        <f t="shared" si="124"/>
        <v>141516.5</v>
      </c>
      <c r="M66" s="8">
        <f t="shared" si="124"/>
        <v>148975</v>
      </c>
      <c r="N66" s="8">
        <f t="shared" si="124"/>
        <v>156433.5</v>
      </c>
      <c r="O66" s="8">
        <f t="shared" si="124"/>
        <v>163892</v>
      </c>
      <c r="P66" s="8">
        <f t="shared" si="124"/>
        <v>175922</v>
      </c>
      <c r="Q66" s="8">
        <f t="shared" ref="Q66:R66" si="125">+Q47</f>
        <v>187952</v>
      </c>
      <c r="R66" s="8">
        <f t="shared" si="125"/>
        <v>199982</v>
      </c>
      <c r="S66" s="8">
        <f t="shared" ref="S66" si="126">+S47</f>
        <v>212012</v>
      </c>
      <c r="V66" s="8">
        <f t="shared" ref="V66:AD66" si="127">+V47</f>
        <v>58683</v>
      </c>
      <c r="W66" s="8">
        <f t="shared" si="127"/>
        <v>71807</v>
      </c>
      <c r="X66" s="8">
        <f t="shared" si="127"/>
        <v>87348</v>
      </c>
      <c r="Y66" s="8">
        <f t="shared" si="127"/>
        <v>111066</v>
      </c>
      <c r="Z66" s="8">
        <f t="shared" si="127"/>
        <v>134058</v>
      </c>
      <c r="AA66" s="8">
        <f t="shared" si="127"/>
        <v>163892</v>
      </c>
      <c r="AB66" s="8">
        <f t="shared" si="127"/>
        <v>212012</v>
      </c>
      <c r="AC66" s="8">
        <f t="shared" si="127"/>
        <v>274074.59999999998</v>
      </c>
      <c r="AD66" s="8">
        <f t="shared" si="127"/>
        <v>343581.6</v>
      </c>
    </row>
    <row r="67" spans="1:30" ht="11.45">
      <c r="B67" t="s">
        <v>937</v>
      </c>
      <c r="D67" s="34">
        <f t="shared" ref="D67:P67" si="128">+D35</f>
        <v>-45235.5</v>
      </c>
      <c r="E67" s="34">
        <f t="shared" si="128"/>
        <v>-47274</v>
      </c>
      <c r="F67" s="34">
        <f t="shared" si="128"/>
        <v>-49312.5</v>
      </c>
      <c r="G67" s="34">
        <f t="shared" si="128"/>
        <v>-51351</v>
      </c>
      <c r="H67" s="34">
        <f t="shared" si="128"/>
        <v>-53428.25</v>
      </c>
      <c r="I67" s="34">
        <f t="shared" si="128"/>
        <v>-55505.5</v>
      </c>
      <c r="J67" s="34">
        <f t="shared" si="128"/>
        <v>-57582.75</v>
      </c>
      <c r="K67" s="34">
        <f t="shared" si="128"/>
        <v>-59660</v>
      </c>
      <c r="L67" s="34">
        <f t="shared" si="128"/>
        <v>-61807.75</v>
      </c>
      <c r="M67" s="34">
        <f t="shared" si="128"/>
        <v>-63955.5</v>
      </c>
      <c r="N67" s="34">
        <f t="shared" si="128"/>
        <v>-66103.25</v>
      </c>
      <c r="O67" s="34">
        <f t="shared" si="128"/>
        <v>-68251</v>
      </c>
      <c r="P67" s="34">
        <f t="shared" si="128"/>
        <v>-70293.5</v>
      </c>
      <c r="Q67" s="34">
        <f t="shared" ref="Q67:R67" si="129">+Q35</f>
        <v>-72336</v>
      </c>
      <c r="R67" s="34">
        <f t="shared" si="129"/>
        <v>-74378.5</v>
      </c>
      <c r="S67" s="34">
        <f t="shared" ref="S67" si="130">+S35</f>
        <v>-76421</v>
      </c>
      <c r="U67" s="34"/>
      <c r="V67" s="34">
        <f t="shared" ref="V67:AA67" si="131">+V35</f>
        <v>-29223</v>
      </c>
      <c r="W67" s="34">
        <f t="shared" si="131"/>
        <v>-35330</v>
      </c>
      <c r="X67" s="34">
        <f t="shared" si="131"/>
        <v>-43197</v>
      </c>
      <c r="Y67" s="34">
        <f t="shared" si="131"/>
        <v>-51351</v>
      </c>
      <c r="Z67" s="34">
        <f t="shared" si="131"/>
        <v>-59660</v>
      </c>
      <c r="AA67" s="34">
        <f t="shared" si="131"/>
        <v>-68251</v>
      </c>
      <c r="AB67" s="10">
        <f>+S67</f>
        <v>-76421</v>
      </c>
      <c r="AC67" s="10">
        <f t="shared" ref="AC67:AD67" si="132">-AC75</f>
        <v>-88521</v>
      </c>
      <c r="AD67" s="10">
        <f t="shared" si="132"/>
        <v>-104276</v>
      </c>
    </row>
    <row r="68" spans="1:30" s="1" customFormat="1" ht="10.5">
      <c r="A68" s="1243"/>
      <c r="B68" s="837" t="s">
        <v>946</v>
      </c>
      <c r="D68" s="838">
        <f>SUM(D66:D67)</f>
        <v>48042</v>
      </c>
      <c r="E68" s="838">
        <f t="shared" ref="E68:P68" si="133">SUM(E66:E67)</f>
        <v>51933</v>
      </c>
      <c r="F68" s="838">
        <f t="shared" si="133"/>
        <v>55824</v>
      </c>
      <c r="G68" s="838">
        <f t="shared" si="133"/>
        <v>59715</v>
      </c>
      <c r="H68" s="838">
        <f t="shared" si="133"/>
        <v>63385.75</v>
      </c>
      <c r="I68" s="838">
        <f t="shared" si="133"/>
        <v>67056.5</v>
      </c>
      <c r="J68" s="838">
        <f t="shared" si="133"/>
        <v>70727.25</v>
      </c>
      <c r="K68" s="838">
        <f t="shared" si="133"/>
        <v>74398</v>
      </c>
      <c r="L68" s="838">
        <f t="shared" si="133"/>
        <v>79708.75</v>
      </c>
      <c r="M68" s="838">
        <f t="shared" si="133"/>
        <v>85019.5</v>
      </c>
      <c r="N68" s="838">
        <f t="shared" si="133"/>
        <v>90330.25</v>
      </c>
      <c r="O68" s="838">
        <f t="shared" si="133"/>
        <v>95641</v>
      </c>
      <c r="P68" s="838">
        <f t="shared" si="133"/>
        <v>105628.5</v>
      </c>
      <c r="Q68" s="838">
        <f t="shared" ref="Q68:R68" si="134">SUM(Q66:Q67)</f>
        <v>115616</v>
      </c>
      <c r="R68" s="838">
        <f t="shared" si="134"/>
        <v>125603.5</v>
      </c>
      <c r="S68" s="838">
        <f t="shared" ref="S68" si="135">SUM(S66:S67)</f>
        <v>135591</v>
      </c>
      <c r="V68" s="838">
        <f>SUM(V66:V67)</f>
        <v>29460</v>
      </c>
      <c r="W68" s="838">
        <f t="shared" ref="W68:AD68" si="136">SUM(W66:W67)</f>
        <v>36477</v>
      </c>
      <c r="X68" s="838">
        <f t="shared" si="136"/>
        <v>44151</v>
      </c>
      <c r="Y68" s="838">
        <f t="shared" si="136"/>
        <v>59715</v>
      </c>
      <c r="Z68" s="838">
        <f t="shared" si="136"/>
        <v>74398</v>
      </c>
      <c r="AA68" s="838">
        <f t="shared" si="136"/>
        <v>95641</v>
      </c>
      <c r="AB68" s="838">
        <f t="shared" si="136"/>
        <v>135591</v>
      </c>
      <c r="AC68" s="838">
        <f t="shared" si="136"/>
        <v>185553.59999999998</v>
      </c>
      <c r="AD68" s="838">
        <f t="shared" si="136"/>
        <v>239305.59999999998</v>
      </c>
    </row>
    <row r="69" spans="1:30">
      <c r="B69" s="13" t="s">
        <v>968</v>
      </c>
      <c r="D69" s="1246">
        <f t="shared" ref="D69:P69" si="137">+IFERROR(D68/(D59*4),"n/a")</f>
        <v>4.5408317580340265</v>
      </c>
      <c r="E69" s="1246">
        <f t="shared" si="137"/>
        <v>4.7023723288663524</v>
      </c>
      <c r="F69" s="1246">
        <f t="shared" si="137"/>
        <v>4.753405994550409</v>
      </c>
      <c r="G69" s="1246">
        <f t="shared" si="137"/>
        <v>4.4643391148325362</v>
      </c>
      <c r="H69" s="1246">
        <f t="shared" si="137"/>
        <v>4.9335110523038601</v>
      </c>
      <c r="I69" s="1246">
        <f t="shared" si="137"/>
        <v>4.7952302631578947</v>
      </c>
      <c r="J69" s="1246">
        <f t="shared" si="137"/>
        <v>4.6864067055393583</v>
      </c>
      <c r="K69" s="1246">
        <f t="shared" si="137"/>
        <v>4.6744156823322447</v>
      </c>
      <c r="L69" s="1246">
        <f t="shared" si="137"/>
        <v>7.1423611111111107</v>
      </c>
      <c r="M69" s="1246">
        <f t="shared" si="137"/>
        <v>5.8264459978070171</v>
      </c>
      <c r="N69" s="1246">
        <f t="shared" si="137"/>
        <v>6.3630776275007044</v>
      </c>
      <c r="O69" s="1246">
        <f t="shared" si="137"/>
        <v>6.1719798657718119</v>
      </c>
      <c r="P69" s="1246">
        <f t="shared" si="137"/>
        <v>6.7347934200459063</v>
      </c>
      <c r="Q69" s="1246">
        <f t="shared" ref="Q69:R69" si="138">+IFERROR(Q68/(Q59*4),"n/a")</f>
        <v>5.2947426268547355</v>
      </c>
      <c r="R69" s="1246">
        <f t="shared" si="138"/>
        <v>5.8616529774127306</v>
      </c>
      <c r="S69" s="1246">
        <f t="shared" ref="S69" si="139">+IFERROR(S68/(S59*4),"n/a")</f>
        <v>5.9574253075571182</v>
      </c>
      <c r="V69" s="1246">
        <f t="shared" ref="V69:AD69" si="140">+IFERROR(V68/(V59),"n/a")</f>
        <v>2.8710651983237501</v>
      </c>
      <c r="W69" s="1246">
        <f t="shared" si="140"/>
        <v>3.1224961479198767</v>
      </c>
      <c r="X69" s="1246">
        <f t="shared" si="140"/>
        <v>3.4503751172241324</v>
      </c>
      <c r="Y69" s="1246">
        <f t="shared" si="140"/>
        <v>5.1099606366592507</v>
      </c>
      <c r="Z69" s="1246">
        <f t="shared" si="140"/>
        <v>5.1450899031811899</v>
      </c>
      <c r="AA69" s="1246">
        <f t="shared" si="140"/>
        <v>6.9000072144866893</v>
      </c>
      <c r="AB69" s="1246">
        <f t="shared" si="140"/>
        <v>6.6378322808048171</v>
      </c>
      <c r="AC69" s="1246">
        <f t="shared" si="140"/>
        <v>7.6993195020746876</v>
      </c>
      <c r="AD69" s="1246">
        <f t="shared" si="140"/>
        <v>8.6220716987930093</v>
      </c>
    </row>
    <row r="70" spans="1:30">
      <c r="B70" s="13"/>
      <c r="V70" s="8"/>
      <c r="W70" s="8"/>
      <c r="X70" s="8"/>
      <c r="Y70" s="8"/>
      <c r="Z70" s="8"/>
      <c r="AA70" s="8"/>
    </row>
    <row r="71" spans="1:30">
      <c r="B71" s="24" t="s">
        <v>126</v>
      </c>
      <c r="V71" s="8"/>
      <c r="W71" s="8"/>
      <c r="X71" s="8"/>
      <c r="Y71" s="8"/>
      <c r="Z71" s="8"/>
      <c r="AA71" s="8"/>
    </row>
    <row r="72" spans="1:30">
      <c r="B72" s="13" t="s">
        <v>938</v>
      </c>
      <c r="D72" s="92">
        <f>-X67</f>
        <v>43197</v>
      </c>
      <c r="E72" s="92">
        <f>+D75</f>
        <v>45235.5</v>
      </c>
      <c r="F72" s="92">
        <f t="shared" ref="F72:P72" si="141">+E75</f>
        <v>47274</v>
      </c>
      <c r="G72" s="92">
        <f t="shared" si="141"/>
        <v>49312.5</v>
      </c>
      <c r="H72" s="92">
        <f t="shared" si="141"/>
        <v>51351</v>
      </c>
      <c r="I72" s="92">
        <f t="shared" si="141"/>
        <v>53428.25</v>
      </c>
      <c r="J72" s="92">
        <f t="shared" si="141"/>
        <v>55505.5</v>
      </c>
      <c r="K72" s="92">
        <f t="shared" si="141"/>
        <v>57582.75</v>
      </c>
      <c r="L72" s="92">
        <f t="shared" si="141"/>
        <v>59660</v>
      </c>
      <c r="M72" s="92">
        <f t="shared" si="141"/>
        <v>61807.75</v>
      </c>
      <c r="N72" s="92">
        <f t="shared" si="141"/>
        <v>63955.5</v>
      </c>
      <c r="O72" s="92">
        <f t="shared" si="141"/>
        <v>66103.25</v>
      </c>
      <c r="P72" s="92">
        <f t="shared" si="141"/>
        <v>68251</v>
      </c>
      <c r="Q72" s="92">
        <f t="shared" ref="Q72" si="142">+P75</f>
        <v>70293.5</v>
      </c>
      <c r="R72" s="92">
        <f t="shared" ref="R72" si="143">+Q75</f>
        <v>72336</v>
      </c>
      <c r="S72" s="92">
        <f t="shared" ref="S72" si="144">+R75</f>
        <v>74378.5</v>
      </c>
      <c r="V72" s="92">
        <f>-U67</f>
        <v>0</v>
      </c>
      <c r="W72" s="92">
        <f t="shared" ref="W72:AD72" si="145">+V75</f>
        <v>29223</v>
      </c>
      <c r="X72" s="92">
        <f t="shared" si="145"/>
        <v>35330</v>
      </c>
      <c r="Y72" s="92">
        <f t="shared" si="145"/>
        <v>43197</v>
      </c>
      <c r="Z72" s="92">
        <f t="shared" si="145"/>
        <v>51351</v>
      </c>
      <c r="AA72" s="92">
        <f t="shared" si="145"/>
        <v>59660</v>
      </c>
      <c r="AB72" s="92">
        <f t="shared" si="145"/>
        <v>68251</v>
      </c>
      <c r="AC72" s="92">
        <f t="shared" ref="AC72" si="146">+AB75</f>
        <v>76421</v>
      </c>
      <c r="AD72" s="92">
        <f t="shared" si="145"/>
        <v>88521</v>
      </c>
    </row>
    <row r="73" spans="1:30">
      <c r="B73" s="13" t="s">
        <v>942</v>
      </c>
      <c r="D73" s="92">
        <f t="shared" ref="D73:P73" si="147">+D59</f>
        <v>2645</v>
      </c>
      <c r="E73" s="92">
        <f t="shared" si="147"/>
        <v>2761</v>
      </c>
      <c r="F73" s="92">
        <f t="shared" si="147"/>
        <v>2936</v>
      </c>
      <c r="G73" s="92">
        <f t="shared" si="147"/>
        <v>3344</v>
      </c>
      <c r="H73" s="92">
        <f t="shared" si="147"/>
        <v>3212</v>
      </c>
      <c r="I73" s="92">
        <f t="shared" si="147"/>
        <v>3496</v>
      </c>
      <c r="J73" s="92">
        <f t="shared" si="147"/>
        <v>3773</v>
      </c>
      <c r="K73" s="92">
        <f t="shared" si="147"/>
        <v>3979</v>
      </c>
      <c r="L73" s="92">
        <f t="shared" si="147"/>
        <v>2790</v>
      </c>
      <c r="M73" s="92">
        <f t="shared" si="147"/>
        <v>3648</v>
      </c>
      <c r="N73" s="92">
        <f t="shared" si="147"/>
        <v>3549</v>
      </c>
      <c r="O73" s="92">
        <f t="shared" si="147"/>
        <v>3874</v>
      </c>
      <c r="P73" s="92">
        <f t="shared" si="147"/>
        <v>3921</v>
      </c>
      <c r="Q73" s="92">
        <f t="shared" ref="Q73:R73" si="148">+Q59</f>
        <v>5459</v>
      </c>
      <c r="R73" s="92">
        <f t="shared" si="148"/>
        <v>5357</v>
      </c>
      <c r="S73" s="92">
        <f t="shared" ref="S73" si="149">+S59</f>
        <v>5690</v>
      </c>
      <c r="V73" s="92">
        <f t="shared" ref="V73:AD73" si="150">+V59</f>
        <v>10261</v>
      </c>
      <c r="W73" s="92">
        <f t="shared" si="150"/>
        <v>11682</v>
      </c>
      <c r="X73" s="92">
        <f t="shared" si="150"/>
        <v>12796</v>
      </c>
      <c r="Y73" s="92">
        <f t="shared" si="150"/>
        <v>11686</v>
      </c>
      <c r="Z73" s="92">
        <f t="shared" si="150"/>
        <v>14460</v>
      </c>
      <c r="AA73" s="92">
        <f t="shared" si="150"/>
        <v>13861</v>
      </c>
      <c r="AB73" s="92">
        <f t="shared" si="150"/>
        <v>20427</v>
      </c>
      <c r="AC73" s="92">
        <f t="shared" ref="AC73" si="151">+AC59</f>
        <v>24100</v>
      </c>
      <c r="AD73" s="92">
        <f t="shared" si="150"/>
        <v>27755</v>
      </c>
    </row>
    <row r="74" spans="1:30" ht="11.45">
      <c r="B74" s="13" t="s">
        <v>198</v>
      </c>
      <c r="D74" s="846">
        <f>+D75-SUM(D72:D73)</f>
        <v>-606.5</v>
      </c>
      <c r="E74" s="846">
        <f>+E75-SUM(E72:E73)</f>
        <v>-722.5</v>
      </c>
      <c r="F74" s="846">
        <f t="shared" ref="F74:P74" si="152">+F75-SUM(F72:F73)</f>
        <v>-897.5</v>
      </c>
      <c r="G74" s="846">
        <f t="shared" si="152"/>
        <v>-1305.5</v>
      </c>
      <c r="H74" s="846">
        <f t="shared" si="152"/>
        <v>-1134.75</v>
      </c>
      <c r="I74" s="846">
        <f t="shared" si="152"/>
        <v>-1418.75</v>
      </c>
      <c r="J74" s="846">
        <f t="shared" si="152"/>
        <v>-1695.75</v>
      </c>
      <c r="K74" s="846">
        <f t="shared" si="152"/>
        <v>-1901.75</v>
      </c>
      <c r="L74" s="846">
        <f t="shared" si="152"/>
        <v>-642.25</v>
      </c>
      <c r="M74" s="846">
        <f t="shared" si="152"/>
        <v>-1500.25</v>
      </c>
      <c r="N74" s="846">
        <f t="shared" si="152"/>
        <v>-1401.25</v>
      </c>
      <c r="O74" s="846">
        <f t="shared" si="152"/>
        <v>-1726.25</v>
      </c>
      <c r="P74" s="846">
        <f t="shared" si="152"/>
        <v>-1878.5</v>
      </c>
      <c r="Q74" s="846">
        <f t="shared" ref="Q74:R74" si="153">+Q75-SUM(Q72:Q73)</f>
        <v>-3416.5</v>
      </c>
      <c r="R74" s="846">
        <f t="shared" si="153"/>
        <v>-3314.5</v>
      </c>
      <c r="S74" s="846">
        <f t="shared" ref="S74" si="154">+S75-SUM(S72:S73)</f>
        <v>-3647.5</v>
      </c>
      <c r="V74" s="846">
        <f>+V75-SUM(V72:V73)</f>
        <v>18962</v>
      </c>
      <c r="W74" s="846">
        <f t="shared" ref="W74:AB74" si="155">+W75-SUM(W72:W73)</f>
        <v>-5575</v>
      </c>
      <c r="X74" s="846">
        <f t="shared" si="155"/>
        <v>-4929</v>
      </c>
      <c r="Y74" s="846">
        <f t="shared" si="155"/>
        <v>-3532</v>
      </c>
      <c r="Z74" s="846">
        <f t="shared" si="155"/>
        <v>-6151</v>
      </c>
      <c r="AA74" s="846">
        <f t="shared" si="155"/>
        <v>-5270</v>
      </c>
      <c r="AB74" s="846">
        <f t="shared" si="155"/>
        <v>-12257</v>
      </c>
      <c r="AC74" s="1236">
        <v>-12000</v>
      </c>
      <c r="AD74" s="1236">
        <v>-12000</v>
      </c>
    </row>
    <row r="75" spans="1:30">
      <c r="B75" s="15" t="s">
        <v>924</v>
      </c>
      <c r="D75" s="92">
        <f>-D67</f>
        <v>45235.5</v>
      </c>
      <c r="E75" s="92">
        <f>-E67</f>
        <v>47274</v>
      </c>
      <c r="F75" s="92">
        <f t="shared" ref="F75:P75" si="156">-F67</f>
        <v>49312.5</v>
      </c>
      <c r="G75" s="92">
        <f t="shared" si="156"/>
        <v>51351</v>
      </c>
      <c r="H75" s="92">
        <f t="shared" si="156"/>
        <v>53428.25</v>
      </c>
      <c r="I75" s="92">
        <f t="shared" si="156"/>
        <v>55505.5</v>
      </c>
      <c r="J75" s="92">
        <f t="shared" si="156"/>
        <v>57582.75</v>
      </c>
      <c r="K75" s="92">
        <f t="shared" si="156"/>
        <v>59660</v>
      </c>
      <c r="L75" s="92">
        <f t="shared" si="156"/>
        <v>61807.75</v>
      </c>
      <c r="M75" s="92">
        <f t="shared" si="156"/>
        <v>63955.5</v>
      </c>
      <c r="N75" s="92">
        <f t="shared" si="156"/>
        <v>66103.25</v>
      </c>
      <c r="O75" s="92">
        <f t="shared" si="156"/>
        <v>68251</v>
      </c>
      <c r="P75" s="92">
        <f t="shared" si="156"/>
        <v>70293.5</v>
      </c>
      <c r="Q75" s="92">
        <f t="shared" ref="Q75:R75" si="157">-Q67</f>
        <v>72336</v>
      </c>
      <c r="R75" s="92">
        <f t="shared" si="157"/>
        <v>74378.5</v>
      </c>
      <c r="S75" s="92">
        <f t="shared" ref="S75" si="158">-S67</f>
        <v>76421</v>
      </c>
      <c r="V75" s="92">
        <f>-V67</f>
        <v>29223</v>
      </c>
      <c r="W75" s="92">
        <f t="shared" ref="W75:AB75" si="159">-W67</f>
        <v>35330</v>
      </c>
      <c r="X75" s="92">
        <f t="shared" si="159"/>
        <v>43197</v>
      </c>
      <c r="Y75" s="92">
        <f t="shared" si="159"/>
        <v>51351</v>
      </c>
      <c r="Z75" s="92">
        <f t="shared" si="159"/>
        <v>59660</v>
      </c>
      <c r="AA75" s="92">
        <f t="shared" si="159"/>
        <v>68251</v>
      </c>
      <c r="AB75" s="92">
        <f t="shared" si="159"/>
        <v>76421</v>
      </c>
      <c r="AC75" s="92">
        <f t="shared" ref="AC75:AD75" si="160">SUM(AC72:AC74)</f>
        <v>88521</v>
      </c>
      <c r="AD75" s="92">
        <f t="shared" si="160"/>
        <v>104276</v>
      </c>
    </row>
  </sheetData>
  <pageMargins left="0.3" right="0.3" top="0.3" bottom="0.3" header="0.3" footer="0.3"/>
  <pageSetup scale="62" fitToHeight="0" orientation="landscape" r:id="rId1"/>
  <headerFooter>
    <oddFooter>Page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C3013-90D3-44A8-919D-7F397C219113}">
  <dimension ref="A1:R21"/>
  <sheetViews>
    <sheetView workbookViewId="0">
      <selection activeCell="D26" sqref="D26"/>
    </sheetView>
  </sheetViews>
  <sheetFormatPr defaultRowHeight="9.9499999999999993"/>
  <cols>
    <col min="8" max="8" width="11.5" bestFit="1" customWidth="1"/>
  </cols>
  <sheetData>
    <row r="1" spans="1:18" s="793" customFormat="1" ht="12.95">
      <c r="A1" s="790" t="s">
        <v>60</v>
      </c>
      <c r="B1" s="960"/>
      <c r="C1" s="960"/>
      <c r="D1" s="960"/>
      <c r="E1" s="791"/>
      <c r="F1" s="791"/>
      <c r="G1" s="791"/>
      <c r="H1" s="961">
        <f ca="1">TODAY()</f>
        <v>45797</v>
      </c>
      <c r="I1" s="791"/>
      <c r="J1" s="791"/>
      <c r="K1" s="791"/>
      <c r="L1" s="791"/>
      <c r="M1" s="791"/>
      <c r="N1" s="791"/>
      <c r="O1" s="791"/>
      <c r="P1" s="791"/>
      <c r="Q1" s="791"/>
    </row>
    <row r="2" spans="1:18" s="794" customFormat="1" ht="12.95">
      <c r="A2" s="794" t="s">
        <v>972</v>
      </c>
      <c r="B2" s="962"/>
      <c r="C2" s="962"/>
      <c r="D2" s="962"/>
      <c r="E2" s="795"/>
      <c r="F2" s="795"/>
      <c r="G2" s="795"/>
      <c r="H2" s="795"/>
      <c r="I2" s="795"/>
      <c r="J2" s="795"/>
      <c r="K2" s="795"/>
      <c r="L2" s="795"/>
      <c r="M2" s="795"/>
      <c r="N2" s="795"/>
      <c r="O2" s="795"/>
      <c r="P2" s="795"/>
      <c r="Q2" s="795"/>
      <c r="R2" s="795"/>
    </row>
    <row r="3" spans="1:18" s="793" customFormat="1" ht="12.95">
      <c r="B3" s="963"/>
      <c r="C3" s="963"/>
      <c r="D3" s="963"/>
      <c r="E3" s="964"/>
      <c r="F3" s="964"/>
      <c r="G3" s="964"/>
      <c r="H3" s="964"/>
      <c r="I3" s="964"/>
      <c r="J3" s="964"/>
      <c r="K3" s="964"/>
      <c r="L3" s="964"/>
      <c r="M3" s="964"/>
      <c r="N3" s="964"/>
      <c r="O3" s="964"/>
      <c r="P3" s="964"/>
      <c r="Q3" s="964"/>
      <c r="R3" s="964"/>
    </row>
    <row r="5" spans="1:18" ht="10.5">
      <c r="A5" s="1156" t="s">
        <v>973</v>
      </c>
      <c r="B5" s="1156">
        <v>44950</v>
      </c>
    </row>
    <row r="6" spans="1:18">
      <c r="A6" s="852" t="s">
        <v>329</v>
      </c>
    </row>
    <row r="7" spans="1:18">
      <c r="A7" t="s">
        <v>974</v>
      </c>
    </row>
    <row r="10" spans="1:18">
      <c r="A10" t="s">
        <v>975</v>
      </c>
    </row>
    <row r="12" spans="1:18">
      <c r="A12" t="s">
        <v>976</v>
      </c>
    </row>
    <row r="13" spans="1:18">
      <c r="A13" t="s">
        <v>977</v>
      </c>
    </row>
    <row r="14" spans="1:18">
      <c r="A14" t="s">
        <v>978</v>
      </c>
    </row>
    <row r="16" spans="1:18">
      <c r="A16" t="s">
        <v>979</v>
      </c>
    </row>
    <row r="18" spans="1:2">
      <c r="A18" t="s">
        <v>980</v>
      </c>
    </row>
    <row r="20" spans="1:2">
      <c r="A20" t="s">
        <v>981</v>
      </c>
    </row>
    <row r="21" spans="1:2">
      <c r="B21" t="s">
        <v>982</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A515B-31EC-4EB3-AB96-DBBCAC20AF72}">
  <dimension ref="C1:DM455"/>
  <sheetViews>
    <sheetView workbookViewId="0">
      <pane xSplit="6" ySplit="7" topLeftCell="AV131" activePane="bottomRight" state="frozen"/>
      <selection pane="bottomRight" activeCell="CK131" sqref="CK131"/>
      <selection pane="bottomLeft" activeCell="A8" sqref="A8"/>
      <selection pane="topRight" activeCell="G1" sqref="G1"/>
    </sheetView>
  </sheetViews>
  <sheetFormatPr defaultColWidth="20.83203125" defaultRowHeight="9.9499999999999993" outlineLevelRow="1"/>
  <cols>
    <col min="1" max="2" width="1.83203125" customWidth="1"/>
    <col min="3" max="3" width="10" customWidth="1"/>
    <col min="4" max="4" width="55.83203125" customWidth="1"/>
    <col min="5" max="5" width="6.5" customWidth="1"/>
    <col min="6" max="6" width="14.83203125" customWidth="1"/>
    <col min="7" max="7" width="14.1640625" customWidth="1"/>
    <col min="8" max="8" width="20.83203125" hidden="1" customWidth="1"/>
    <col min="9" max="9" width="14.1640625" customWidth="1"/>
    <col min="10" max="10" width="20.83203125" hidden="1" customWidth="1"/>
    <col min="11" max="11" width="14.1640625" customWidth="1"/>
    <col min="12" max="12" width="20.83203125" hidden="1" customWidth="1"/>
    <col min="13" max="13" width="14.1640625" customWidth="1"/>
    <col min="14" max="14" width="20.83203125" hidden="1" customWidth="1"/>
    <col min="15" max="15" width="14.1640625" customWidth="1"/>
    <col min="16" max="16" width="20.83203125" hidden="1" customWidth="1"/>
    <col min="17" max="17" width="14.1640625" customWidth="1"/>
    <col min="18" max="18" width="20.83203125" hidden="1" customWidth="1"/>
    <col min="19" max="54" width="14.1640625" customWidth="1"/>
    <col min="55" max="84" width="15.83203125" customWidth="1"/>
    <col min="85" max="88" width="20.83203125" hidden="1" customWidth="1"/>
  </cols>
  <sheetData>
    <row r="1" spans="3:88">
      <c r="D1" s="42"/>
    </row>
    <row r="2" spans="3:88">
      <c r="D2" s="42"/>
    </row>
    <row r="3" spans="3:88">
      <c r="D3" s="42"/>
    </row>
    <row r="4" spans="3:88" ht="35.1">
      <c r="C4" s="1099" t="s">
        <v>983</v>
      </c>
      <c r="D4" s="42"/>
    </row>
    <row r="5" spans="3:88">
      <c r="D5" s="42"/>
    </row>
    <row r="6" spans="3:88" ht="14.45">
      <c r="C6" s="1100"/>
      <c r="D6" s="1101"/>
      <c r="E6" s="1100"/>
      <c r="F6" s="1100"/>
      <c r="G6" s="1102" t="s">
        <v>984</v>
      </c>
      <c r="H6" s="1102" t="s">
        <v>984</v>
      </c>
      <c r="I6" s="1103" t="s">
        <v>985</v>
      </c>
      <c r="J6" s="1103" t="s">
        <v>985</v>
      </c>
      <c r="K6" s="1102" t="s">
        <v>986</v>
      </c>
      <c r="L6" s="1102" t="s">
        <v>986</v>
      </c>
      <c r="M6" s="1103" t="s">
        <v>987</v>
      </c>
      <c r="N6" s="1103" t="s">
        <v>987</v>
      </c>
      <c r="O6" s="1102" t="s">
        <v>988</v>
      </c>
      <c r="P6" s="1102" t="s">
        <v>988</v>
      </c>
      <c r="Q6" s="1103" t="s">
        <v>989</v>
      </c>
      <c r="R6" s="1103" t="s">
        <v>989</v>
      </c>
      <c r="S6" s="1102" t="s">
        <v>990</v>
      </c>
      <c r="T6" s="1103" t="s">
        <v>991</v>
      </c>
      <c r="U6" s="1102" t="s">
        <v>992</v>
      </c>
      <c r="V6" s="1103" t="s">
        <v>993</v>
      </c>
      <c r="W6" s="1102" t="s">
        <v>994</v>
      </c>
      <c r="X6" s="1103" t="s">
        <v>995</v>
      </c>
      <c r="Y6" s="1102" t="s">
        <v>996</v>
      </c>
      <c r="Z6" s="1103" t="s">
        <v>997</v>
      </c>
      <c r="AA6" s="1102" t="s">
        <v>998</v>
      </c>
      <c r="AB6" s="1103" t="s">
        <v>999</v>
      </c>
      <c r="AC6" s="1102" t="s">
        <v>1000</v>
      </c>
      <c r="AD6" s="1103" t="s">
        <v>1001</v>
      </c>
      <c r="AE6" s="1102" t="s">
        <v>1002</v>
      </c>
      <c r="AF6" s="1103" t="s">
        <v>1003</v>
      </c>
      <c r="AG6" s="1102" t="s">
        <v>1004</v>
      </c>
      <c r="AH6" s="1103" t="s">
        <v>1005</v>
      </c>
      <c r="AI6" s="1102" t="s">
        <v>1006</v>
      </c>
      <c r="AJ6" s="1103" t="s">
        <v>1007</v>
      </c>
      <c r="AK6" s="1102" t="s">
        <v>1008</v>
      </c>
      <c r="AL6" s="1103" t="s">
        <v>1009</v>
      </c>
      <c r="AM6" s="1102" t="s">
        <v>1010</v>
      </c>
      <c r="AN6" s="1103" t="s">
        <v>1011</v>
      </c>
      <c r="AO6" s="1102" t="s">
        <v>1012</v>
      </c>
      <c r="AP6" s="1103" t="s">
        <v>1013</v>
      </c>
      <c r="AQ6" s="1102" t="s">
        <v>1014</v>
      </c>
      <c r="AR6" s="1103" t="s">
        <v>1015</v>
      </c>
      <c r="AS6" s="1102" t="s">
        <v>1016</v>
      </c>
      <c r="AT6" s="1103" t="s">
        <v>1017</v>
      </c>
      <c r="AU6" s="1102" t="s">
        <v>1018</v>
      </c>
      <c r="AV6" s="1103" t="s">
        <v>1019</v>
      </c>
      <c r="AW6" s="1102" t="s">
        <v>1020</v>
      </c>
      <c r="AX6" s="1103" t="s">
        <v>1021</v>
      </c>
      <c r="AY6" s="1102" t="s">
        <v>1022</v>
      </c>
      <c r="AZ6" s="1103" t="s">
        <v>1023</v>
      </c>
      <c r="BA6" s="1102" t="s">
        <v>1024</v>
      </c>
      <c r="BB6" s="1103" t="s">
        <v>1025</v>
      </c>
      <c r="BC6" s="1102" t="s">
        <v>1026</v>
      </c>
      <c r="BD6" s="1103" t="s">
        <v>1027</v>
      </c>
      <c r="BE6" s="1102" t="s">
        <v>1028</v>
      </c>
      <c r="BF6" s="1103" t="s">
        <v>1029</v>
      </c>
      <c r="BG6" s="1102" t="s">
        <v>1030</v>
      </c>
      <c r="BH6" s="1103" t="s">
        <v>1031</v>
      </c>
      <c r="BI6" s="1102" t="s">
        <v>1032</v>
      </c>
      <c r="BJ6" s="1103" t="s">
        <v>1033</v>
      </c>
      <c r="BK6" s="1102" t="s">
        <v>1034</v>
      </c>
      <c r="BL6" s="1103" t="s">
        <v>1035</v>
      </c>
      <c r="BM6" s="1102" t="s">
        <v>1036</v>
      </c>
      <c r="BN6" s="1103" t="s">
        <v>1037</v>
      </c>
      <c r="BO6" s="1102" t="s">
        <v>1038</v>
      </c>
      <c r="BP6" s="1103" t="s">
        <v>1039</v>
      </c>
      <c r="BQ6" s="1102" t="s">
        <v>1040</v>
      </c>
      <c r="BR6" s="1103" t="s">
        <v>1041</v>
      </c>
      <c r="BS6" s="1102" t="s">
        <v>1042</v>
      </c>
      <c r="BT6" s="1103" t="s">
        <v>1043</v>
      </c>
      <c r="BU6" s="1102" t="s">
        <v>1044</v>
      </c>
      <c r="BV6" s="1103" t="s">
        <v>1045</v>
      </c>
      <c r="BW6" s="1102" t="s">
        <v>1046</v>
      </c>
      <c r="BX6" s="1103" t="s">
        <v>1047</v>
      </c>
      <c r="BY6" s="1102" t="s">
        <v>1048</v>
      </c>
      <c r="BZ6" s="1103" t="s">
        <v>1049</v>
      </c>
      <c r="CA6" s="1102" t="s">
        <v>1050</v>
      </c>
      <c r="CB6" s="1103" t="s">
        <v>1051</v>
      </c>
      <c r="CC6" s="1102" t="s">
        <v>1052</v>
      </c>
      <c r="CD6" s="1103" t="s">
        <v>1053</v>
      </c>
      <c r="CE6" s="1102" t="s">
        <v>1054</v>
      </c>
      <c r="CF6" s="1103" t="s">
        <v>1055</v>
      </c>
      <c r="CG6" s="1102" t="s">
        <v>1056</v>
      </c>
      <c r="CH6" s="1103" t="s">
        <v>1057</v>
      </c>
      <c r="CI6" s="1102" t="s">
        <v>1058</v>
      </c>
      <c r="CJ6" s="1103" t="s">
        <v>1059</v>
      </c>
    </row>
    <row r="7" spans="3:88" ht="14.45">
      <c r="C7" s="1100"/>
      <c r="D7" s="1101"/>
      <c r="E7" s="1100" t="s">
        <v>1060</v>
      </c>
      <c r="F7" s="1100"/>
      <c r="G7" s="1102" t="s">
        <v>1061</v>
      </c>
      <c r="H7" s="1102" t="s">
        <v>1062</v>
      </c>
      <c r="I7" s="1103" t="s">
        <v>1061</v>
      </c>
      <c r="J7" s="1103" t="s">
        <v>1062</v>
      </c>
      <c r="K7" s="1102" t="s">
        <v>1061</v>
      </c>
      <c r="L7" s="1102" t="s">
        <v>1062</v>
      </c>
      <c r="M7" s="1103" t="s">
        <v>1061</v>
      </c>
      <c r="N7" s="1103" t="s">
        <v>1062</v>
      </c>
      <c r="O7" s="1102" t="s">
        <v>1061</v>
      </c>
      <c r="P7" s="1102" t="s">
        <v>1062</v>
      </c>
      <c r="Q7" s="1103" t="s">
        <v>1061</v>
      </c>
      <c r="R7" s="1103" t="s">
        <v>1062</v>
      </c>
      <c r="S7" s="1102" t="s">
        <v>1061</v>
      </c>
      <c r="T7" s="1103" t="s">
        <v>1061</v>
      </c>
      <c r="U7" s="1102" t="s">
        <v>1061</v>
      </c>
      <c r="V7" s="1103" t="s">
        <v>1061</v>
      </c>
      <c r="W7" s="1102" t="s">
        <v>1061</v>
      </c>
      <c r="X7" s="1103" t="s">
        <v>1061</v>
      </c>
      <c r="Y7" s="1102" t="s">
        <v>1061</v>
      </c>
      <c r="Z7" s="1103" t="s">
        <v>1061</v>
      </c>
      <c r="AA7" s="1102" t="s">
        <v>1061</v>
      </c>
      <c r="AB7" s="1103" t="s">
        <v>1061</v>
      </c>
      <c r="AC7" s="1102" t="s">
        <v>1061</v>
      </c>
      <c r="AD7" s="1103" t="s">
        <v>1061</v>
      </c>
      <c r="AE7" s="1102" t="s">
        <v>1061</v>
      </c>
      <c r="AF7" s="1103" t="s">
        <v>1061</v>
      </c>
      <c r="AG7" s="1102" t="s">
        <v>1061</v>
      </c>
      <c r="AH7" s="1103" t="s">
        <v>1061</v>
      </c>
      <c r="AI7" s="1102" t="s">
        <v>1061</v>
      </c>
      <c r="AJ7" s="1103" t="s">
        <v>1061</v>
      </c>
      <c r="AK7" s="1102" t="s">
        <v>1061</v>
      </c>
      <c r="AL7" s="1103" t="s">
        <v>1061</v>
      </c>
      <c r="AM7" s="1102" t="s">
        <v>1061</v>
      </c>
      <c r="AN7" s="1103" t="s">
        <v>1061</v>
      </c>
      <c r="AO7" s="1102" t="s">
        <v>1061</v>
      </c>
      <c r="AP7" s="1103" t="s">
        <v>1061</v>
      </c>
      <c r="AQ7" s="1102" t="s">
        <v>1061</v>
      </c>
      <c r="AR7" s="1103" t="s">
        <v>1061</v>
      </c>
      <c r="AS7" s="1102" t="s">
        <v>1061</v>
      </c>
      <c r="AT7" s="1103" t="s">
        <v>1061</v>
      </c>
      <c r="AU7" s="1102" t="s">
        <v>1061</v>
      </c>
      <c r="AV7" s="1103" t="s">
        <v>1061</v>
      </c>
      <c r="AW7" s="1102" t="s">
        <v>1061</v>
      </c>
      <c r="AX7" s="1103" t="s">
        <v>1061</v>
      </c>
      <c r="AY7" s="1102" t="s">
        <v>1061</v>
      </c>
      <c r="AZ7" s="1103" t="s">
        <v>1061</v>
      </c>
      <c r="BA7" s="1102" t="s">
        <v>1061</v>
      </c>
      <c r="BB7" s="1103" t="s">
        <v>1061</v>
      </c>
      <c r="BC7" s="1102" t="s">
        <v>1063</v>
      </c>
      <c r="BD7" s="1103" t="s">
        <v>1063</v>
      </c>
      <c r="BE7" s="1102" t="s">
        <v>1063</v>
      </c>
      <c r="BF7" s="1103" t="s">
        <v>1063</v>
      </c>
      <c r="BG7" s="1102" t="s">
        <v>1063</v>
      </c>
      <c r="BH7" s="1103" t="s">
        <v>1063</v>
      </c>
      <c r="BI7" s="1102" t="s">
        <v>1063</v>
      </c>
      <c r="BJ7" s="1103" t="s">
        <v>1063</v>
      </c>
      <c r="BK7" s="1102" t="s">
        <v>1063</v>
      </c>
      <c r="BL7" s="1103" t="s">
        <v>1063</v>
      </c>
      <c r="BM7" s="1102" t="s">
        <v>1063</v>
      </c>
      <c r="BN7" s="1103" t="s">
        <v>1063</v>
      </c>
      <c r="BO7" s="1102" t="s">
        <v>1063</v>
      </c>
      <c r="BP7" s="1103" t="s">
        <v>1063</v>
      </c>
      <c r="BQ7" s="1102" t="s">
        <v>1063</v>
      </c>
      <c r="BR7" s="1103" t="s">
        <v>1063</v>
      </c>
      <c r="BS7" s="1102" t="s">
        <v>1063</v>
      </c>
      <c r="BT7" s="1103" t="s">
        <v>1063</v>
      </c>
      <c r="BU7" s="1102" t="s">
        <v>1063</v>
      </c>
      <c r="BV7" s="1103" t="s">
        <v>1063</v>
      </c>
      <c r="BW7" s="1102" t="s">
        <v>1063</v>
      </c>
      <c r="BX7" s="1103" t="s">
        <v>1063</v>
      </c>
      <c r="BY7" s="1102" t="s">
        <v>1063</v>
      </c>
      <c r="BZ7" s="1103" t="s">
        <v>1063</v>
      </c>
      <c r="CA7" s="1102" t="s">
        <v>1063</v>
      </c>
      <c r="CB7" s="1103" t="s">
        <v>1063</v>
      </c>
      <c r="CC7" s="1102" t="s">
        <v>1063</v>
      </c>
      <c r="CD7" s="1103" t="s">
        <v>1063</v>
      </c>
      <c r="CE7" s="1102" t="s">
        <v>1063</v>
      </c>
      <c r="CF7" s="1103" t="s">
        <v>1063</v>
      </c>
      <c r="CG7" s="1102" t="s">
        <v>1063</v>
      </c>
      <c r="CH7" s="1103" t="s">
        <v>1063</v>
      </c>
      <c r="CI7" s="1102" t="s">
        <v>1063</v>
      </c>
      <c r="CJ7" s="1103" t="s">
        <v>1063</v>
      </c>
    </row>
    <row r="8" spans="3:88" ht="21">
      <c r="D8" s="1104" t="s">
        <v>86</v>
      </c>
    </row>
    <row r="9" spans="3:88" ht="14.45">
      <c r="D9" s="1105" t="s">
        <v>1064</v>
      </c>
      <c r="F9" s="1106" t="s">
        <v>1065</v>
      </c>
    </row>
    <row r="10" spans="3:88" ht="14.45">
      <c r="D10" s="1435" t="s">
        <v>1066</v>
      </c>
      <c r="E10" s="1433" t="s">
        <v>1067</v>
      </c>
      <c r="F10" s="1107" t="s">
        <v>1068</v>
      </c>
      <c r="G10" s="1108">
        <v>5217.1693061853175</v>
      </c>
      <c r="I10" s="1108">
        <v>4613.8402337629759</v>
      </c>
      <c r="K10" s="1108">
        <v>4481.4001695970101</v>
      </c>
      <c r="M10" s="1108">
        <v>4812.5665851321955</v>
      </c>
      <c r="O10" s="1108">
        <v>5142.0892912458239</v>
      </c>
      <c r="Q10" s="1108">
        <v>5762.1226859368189</v>
      </c>
      <c r="S10" s="1108">
        <v>5595.2779333131512</v>
      </c>
      <c r="T10" s="1108">
        <v>5827.2076156620951</v>
      </c>
      <c r="U10" s="1108">
        <v>5495.1259752454116</v>
      </c>
      <c r="V10" s="1108">
        <v>5719.9719408151232</v>
      </c>
      <c r="W10" s="1108">
        <v>5380.9447421371187</v>
      </c>
      <c r="X10" s="1108">
        <v>5521.4804333524153</v>
      </c>
      <c r="Y10" s="1108">
        <v>5517.0856293251854</v>
      </c>
      <c r="Z10" s="1108">
        <v>5885.7672475261943</v>
      </c>
      <c r="AA10" s="1108">
        <v>5699.0093476298443</v>
      </c>
      <c r="AB10" s="1108">
        <v>6399.2492795696362</v>
      </c>
      <c r="AC10" s="1108">
        <v>5982</v>
      </c>
      <c r="AD10" s="1108">
        <v>6439</v>
      </c>
      <c r="AE10" s="1108">
        <v>6234</v>
      </c>
      <c r="AF10" s="1108">
        <v>6918</v>
      </c>
      <c r="AG10" s="1108">
        <v>6575</v>
      </c>
      <c r="AH10" s="1108">
        <v>7075</v>
      </c>
      <c r="AI10" s="1108">
        <v>7088</v>
      </c>
      <c r="AJ10" s="1108">
        <v>7578</v>
      </c>
      <c r="AK10" s="1108">
        <v>7622</v>
      </c>
      <c r="AL10" s="1108">
        <v>7747</v>
      </c>
      <c r="AM10" s="1108">
        <v>7889</v>
      </c>
      <c r="AN10" s="1108">
        <v>8511</v>
      </c>
      <c r="AO10" s="1108">
        <v>8466</v>
      </c>
      <c r="AP10" s="1108">
        <v>8983</v>
      </c>
      <c r="AQ10" s="1108">
        <v>8920</v>
      </c>
      <c r="AR10" s="1108">
        <v>8947</v>
      </c>
      <c r="AS10" s="1108">
        <v>9278</v>
      </c>
      <c r="AT10" s="1108">
        <v>9881</v>
      </c>
      <c r="AU10" s="1108">
        <v>10016</v>
      </c>
      <c r="AV10" s="1108">
        <v>10697</v>
      </c>
      <c r="AW10" s="1108">
        <v>10808</v>
      </c>
      <c r="AX10" s="1108">
        <v>11251</v>
      </c>
      <c r="AY10" s="1108">
        <v>11164</v>
      </c>
      <c r="AZ10" s="1108">
        <v>11639</v>
      </c>
      <c r="BA10" s="1108">
        <v>11548</v>
      </c>
      <c r="BB10" s="1108">
        <v>11837</v>
      </c>
      <c r="BC10" s="1108">
        <v>12021.299155082599</v>
      </c>
      <c r="BD10" s="1108">
        <v>12534.017736709973</v>
      </c>
      <c r="BE10" s="1108">
        <v>12505.609119931787</v>
      </c>
      <c r="BF10" s="1108">
        <v>12841.152677984976</v>
      </c>
      <c r="BG10" s="1108">
        <v>13040.375296344815</v>
      </c>
      <c r="BH10" s="1108">
        <v>13629.662319443452</v>
      </c>
      <c r="BI10" s="1108">
        <v>13600.348502205723</v>
      </c>
      <c r="BJ10" s="1108">
        <v>13919.820113880553</v>
      </c>
      <c r="BK10" s="1108">
        <v>14166.650352923887</v>
      </c>
      <c r="BL10" s="1108">
        <v>14800.234474627689</v>
      </c>
      <c r="BM10" s="1108">
        <v>15023.001425064876</v>
      </c>
      <c r="BN10" s="1108">
        <v>15416.173185465592</v>
      </c>
      <c r="BO10" s="1108">
        <v>15684.598418711623</v>
      </c>
      <c r="BP10" s="1108">
        <v>16380.89605416461</v>
      </c>
      <c r="BQ10" s="1108">
        <v>16354.162531321695</v>
      </c>
      <c r="BR10" s="1108">
        <v>16632.18269877007</v>
      </c>
      <c r="BS10" s="1108">
        <v>16913.066120948293</v>
      </c>
      <c r="BT10" s="1108">
        <v>17807.911027390193</v>
      </c>
      <c r="BU10" s="1108">
        <v>18446.1597803925</v>
      </c>
      <c r="BV10" s="1108">
        <v>19075.812138222798</v>
      </c>
      <c r="BW10" s="1108">
        <v>19472.508272937499</v>
      </c>
      <c r="BX10" s="1108">
        <v>20465.412900982501</v>
      </c>
      <c r="BY10" s="1108">
        <v>20137.532526669049</v>
      </c>
      <c r="BZ10" s="1108">
        <v>20830.01897600685</v>
      </c>
      <c r="CA10" s="1108">
        <v>21254.589652701899</v>
      </c>
      <c r="CB10" s="1108">
        <v>22311.75579180105</v>
      </c>
      <c r="CC10" s="1108">
        <v>21880.612943170701</v>
      </c>
      <c r="CD10" s="1108">
        <v>22635.961065141099</v>
      </c>
      <c r="CE10" s="1108">
        <v>23083.632262897601</v>
      </c>
      <c r="CF10" s="1108">
        <v>24202.7535269662</v>
      </c>
    </row>
    <row r="11" spans="3:88" ht="14.45" outlineLevel="1">
      <c r="D11" s="1432"/>
      <c r="E11" s="1440"/>
      <c r="F11" s="1107" t="s">
        <v>1069</v>
      </c>
      <c r="O11" s="1109">
        <v>-1.4390948526527787</v>
      </c>
      <c r="Q11" s="1109">
        <v>24.887780980602393</v>
      </c>
      <c r="S11" s="1109">
        <v>24.855574632075459</v>
      </c>
      <c r="T11" s="1109">
        <v>21.083158281165446</v>
      </c>
      <c r="U11" s="1109">
        <v>6.8656272577883231</v>
      </c>
      <c r="V11" s="1109">
        <v>-0.73151419050083621</v>
      </c>
      <c r="W11" s="1109">
        <v>-3.8306084832700806</v>
      </c>
      <c r="X11" s="1109">
        <v>-5.2465469307796875</v>
      </c>
      <c r="Y11" s="1109">
        <v>0.399620576101408</v>
      </c>
      <c r="Z11" s="1109">
        <v>2.8985335667126457</v>
      </c>
      <c r="AA11" s="1109">
        <v>5.910943537517201</v>
      </c>
      <c r="AB11" s="1109">
        <v>15.897345952999709</v>
      </c>
      <c r="AC11" s="1109">
        <v>8.4268108546953968</v>
      </c>
      <c r="AD11" s="1109">
        <v>9.3995010201317601</v>
      </c>
      <c r="AE11" s="1109">
        <v>9.3874324419673467</v>
      </c>
      <c r="AF11" s="1109">
        <v>8.1064308916131331</v>
      </c>
      <c r="AG11" s="1109">
        <v>9.9130725509862927</v>
      </c>
      <c r="AH11" s="1109">
        <v>9.8773101413262925</v>
      </c>
      <c r="AI11" s="1109">
        <v>13.699069618222651</v>
      </c>
      <c r="AJ11" s="1109">
        <v>9.5403295750216834</v>
      </c>
      <c r="AK11" s="1109">
        <v>15.923954372623575</v>
      </c>
      <c r="AL11" s="1109">
        <v>9.4982332155477032</v>
      </c>
      <c r="AM11" s="1109">
        <v>11.30079006772009</v>
      </c>
      <c r="AN11" s="1109">
        <v>12.311955661124308</v>
      </c>
      <c r="AO11" s="1109">
        <v>11.073209131461558</v>
      </c>
      <c r="AP11" s="1109">
        <v>15.954563056667098</v>
      </c>
      <c r="AQ11" s="1109">
        <v>13.068830016478641</v>
      </c>
      <c r="AR11" s="1109">
        <v>5.1227822817530262</v>
      </c>
      <c r="AS11" s="1109">
        <v>9.5913064020789047</v>
      </c>
      <c r="AT11" s="1109">
        <v>9.996660358454859</v>
      </c>
      <c r="AU11" s="1109">
        <v>12.286995515695068</v>
      </c>
      <c r="AV11" s="1109">
        <v>19.559628925896948</v>
      </c>
      <c r="AW11" s="1109">
        <v>16.490622979090322</v>
      </c>
      <c r="AX11" s="1109">
        <v>13.864993421718449</v>
      </c>
      <c r="AY11" s="1109">
        <v>11.461661341853036</v>
      </c>
      <c r="AZ11" s="1109">
        <v>8.8062073478545386</v>
      </c>
      <c r="BA11" s="1109">
        <v>6.8467801628423395</v>
      </c>
      <c r="BB11" s="1109">
        <v>5.2084259176962053</v>
      </c>
      <c r="BC11" s="1109">
        <v>7.6791396908151119</v>
      </c>
      <c r="BD11" s="1109">
        <v>7.689816450811696</v>
      </c>
      <c r="BE11" s="1109">
        <v>8.2924239689278405</v>
      </c>
      <c r="BF11" s="1109">
        <v>8.4831686912644706</v>
      </c>
      <c r="BG11" s="1109">
        <v>8.4772546470682517</v>
      </c>
      <c r="BH11" s="1109">
        <v>8.7413677381716592</v>
      </c>
      <c r="BI11" s="1109">
        <v>8.7539868852058547</v>
      </c>
      <c r="BJ11" s="1109">
        <v>8.4000826323392079</v>
      </c>
      <c r="BK11" s="1109">
        <v>8.6368300833701017</v>
      </c>
      <c r="BL11" s="1109">
        <v>8.5884164093658537</v>
      </c>
      <c r="BM11" s="1109">
        <v>10.460415206481111</v>
      </c>
      <c r="BN11" s="1109">
        <v>10.749801788694866</v>
      </c>
      <c r="BO11" s="1109">
        <v>10.714939862085625</v>
      </c>
      <c r="BP11" s="1109">
        <v>10.679976606091468</v>
      </c>
      <c r="BQ11" s="1109">
        <v>8.8608199426505116</v>
      </c>
      <c r="BR11" s="1109">
        <v>7.8878817633609284</v>
      </c>
      <c r="BS11" s="1109">
        <v>7.8323184913113018</v>
      </c>
      <c r="BT11" s="1109">
        <v>8.7114585704411738</v>
      </c>
      <c r="BU11" s="1109">
        <v>12.791833547356429</v>
      </c>
      <c r="BV11" s="1109">
        <v>14.692175306813049</v>
      </c>
      <c r="BW11" s="1109">
        <v>15.132928196970244</v>
      </c>
      <c r="BX11" s="1109">
        <v>14.923153364281902</v>
      </c>
      <c r="BY11" s="1109">
        <v>9.1692404620413637</v>
      </c>
      <c r="BZ11" s="1109">
        <v>9.195974593758411</v>
      </c>
      <c r="CA11" s="1109">
        <v>9.1517813462228776</v>
      </c>
      <c r="CB11" s="1109">
        <v>9.0217720001628194</v>
      </c>
      <c r="CC11" s="1109">
        <v>8.6558788381506613</v>
      </c>
      <c r="CD11" s="1109">
        <v>8.6699013150896853</v>
      </c>
      <c r="CE11" s="1109">
        <v>8.6054007161845743</v>
      </c>
      <c r="CF11" s="1109">
        <v>8.4753425629552641</v>
      </c>
    </row>
    <row r="12" spans="3:88" ht="14.45" outlineLevel="1">
      <c r="D12" s="1432"/>
      <c r="E12" s="1440"/>
      <c r="F12" s="1107"/>
    </row>
    <row r="13" spans="3:88" ht="14.45">
      <c r="D13" s="1435" t="s">
        <v>1070</v>
      </c>
      <c r="E13" s="1433" t="s">
        <v>1067</v>
      </c>
      <c r="F13" s="1106" t="s">
        <v>1068</v>
      </c>
      <c r="AD13" s="1108">
        <v>228</v>
      </c>
      <c r="AE13" s="1108">
        <v>976</v>
      </c>
      <c r="AF13" s="1108">
        <v>1067</v>
      </c>
      <c r="AG13" s="1108">
        <v>1148</v>
      </c>
      <c r="AH13" s="1108">
        <v>1312</v>
      </c>
      <c r="AI13" s="1108">
        <v>1335</v>
      </c>
      <c r="AJ13" s="1108">
        <v>1464</v>
      </c>
      <c r="AK13" s="1108">
        <v>1530</v>
      </c>
      <c r="AL13" s="1108">
        <v>1693</v>
      </c>
      <c r="AM13" s="1108">
        <v>1696</v>
      </c>
      <c r="AN13" s="1108">
        <v>1835</v>
      </c>
      <c r="AO13" s="1108">
        <v>1909</v>
      </c>
      <c r="AP13" s="1108">
        <v>2102</v>
      </c>
      <c r="AQ13" s="1108">
        <v>2050</v>
      </c>
      <c r="AR13" s="1108">
        <v>2016</v>
      </c>
      <c r="AS13" s="1108">
        <v>2206</v>
      </c>
      <c r="AT13" s="1108">
        <v>2577</v>
      </c>
      <c r="AU13" s="1108">
        <v>2562</v>
      </c>
      <c r="AV13" s="1108">
        <v>2944</v>
      </c>
      <c r="AW13" s="1108">
        <v>3136</v>
      </c>
      <c r="AX13" s="1108">
        <v>3531</v>
      </c>
      <c r="AY13" s="1108">
        <v>3437</v>
      </c>
      <c r="AZ13" s="1108">
        <v>3712</v>
      </c>
      <c r="BA13" s="1108">
        <v>3663</v>
      </c>
      <c r="BB13" s="1108">
        <v>3876</v>
      </c>
      <c r="BC13" s="1108">
        <v>3645.1661519646223</v>
      </c>
      <c r="BD13" s="1108">
        <v>3969.9132442627288</v>
      </c>
      <c r="BE13" s="1108">
        <v>4056.897397224257</v>
      </c>
      <c r="BF13" s="1108">
        <v>4345.6173275419287</v>
      </c>
      <c r="BG13" s="1108">
        <v>4120.8924354186356</v>
      </c>
      <c r="BH13" s="1108">
        <v>4487.6897619405527</v>
      </c>
      <c r="BI13" s="1108">
        <v>4649.0533036982233</v>
      </c>
      <c r="BJ13" s="1108">
        <v>4988.4564355406192</v>
      </c>
      <c r="BK13" s="1108">
        <v>4754.9956670471338</v>
      </c>
      <c r="BL13" s="1108">
        <v>5184.8698885043077</v>
      </c>
      <c r="BM13" s="1108">
        <v>5632.4571396531983</v>
      </c>
      <c r="BN13" s="1108">
        <v>6037.5378809199601</v>
      </c>
      <c r="BO13" s="1108">
        <v>5707.2821062054645</v>
      </c>
      <c r="BP13" s="1108">
        <v>6316.1345342800014</v>
      </c>
      <c r="BQ13" s="1108">
        <v>7152.1580908219021</v>
      </c>
      <c r="BR13" s="1108">
        <v>7606.4589398992057</v>
      </c>
      <c r="BS13" s="1108">
        <v>7230.2373607555437</v>
      </c>
      <c r="BT13" s="1108">
        <v>8037.8110525899956</v>
      </c>
      <c r="BU13" s="1108">
        <v>7758.3311166611247</v>
      </c>
      <c r="BV13" s="1108">
        <v>8125.7688622200003</v>
      </c>
      <c r="BW13" s="1108">
        <v>7849.7697914753398</v>
      </c>
      <c r="BX13" s="1108">
        <v>8700.720785816975</v>
      </c>
      <c r="BY13" s="1108">
        <v>8891.9963635304393</v>
      </c>
      <c r="BZ13" s="1108">
        <v>9285.6943649993991</v>
      </c>
      <c r="CA13" s="1108">
        <v>9047.1465499584501</v>
      </c>
      <c r="CB13" s="1108">
        <v>9996.2172733098341</v>
      </c>
      <c r="CC13" s="1108">
        <v>10097.15606128828</v>
      </c>
      <c r="CD13" s="1108">
        <v>10551.198422373351</v>
      </c>
      <c r="CE13" s="1108">
        <v>10274.483609562894</v>
      </c>
      <c r="CF13" s="1108">
        <v>11376.86049277975</v>
      </c>
    </row>
    <row r="14" spans="3:88" ht="14.45" hidden="1" outlineLevel="1">
      <c r="D14" s="1432"/>
      <c r="E14" s="1440"/>
      <c r="F14" s="1106" t="s">
        <v>1069</v>
      </c>
      <c r="AH14" s="1109">
        <v>475.43859649122805</v>
      </c>
      <c r="AI14" s="1109">
        <v>36.782786885245898</v>
      </c>
      <c r="AJ14" s="1109">
        <v>37.207122774133083</v>
      </c>
      <c r="AK14" s="1109">
        <v>33.275261324041807</v>
      </c>
      <c r="AL14" s="1109">
        <v>29.039634146341463</v>
      </c>
      <c r="AM14" s="1109">
        <v>27.04119850187266</v>
      </c>
      <c r="AN14" s="1109">
        <v>25.341530054644807</v>
      </c>
      <c r="AO14" s="1109">
        <v>24.77124183006536</v>
      </c>
      <c r="AP14" s="1109">
        <v>24.158298877731838</v>
      </c>
      <c r="AQ14" s="1109">
        <v>20.872641509433961</v>
      </c>
      <c r="AR14" s="1109">
        <v>9.8637602179836517</v>
      </c>
      <c r="AS14" s="1109">
        <v>15.557883708748035</v>
      </c>
      <c r="AT14" s="1109">
        <v>22.597526165556616</v>
      </c>
      <c r="AU14" s="1109">
        <v>24.975609756097562</v>
      </c>
      <c r="AV14" s="1109">
        <v>46.031746031746032</v>
      </c>
      <c r="AW14" s="1109">
        <v>42.157751586582052</v>
      </c>
      <c r="AX14" s="1109">
        <v>37.019790454016302</v>
      </c>
      <c r="AY14" s="1109">
        <v>34.15300546448087</v>
      </c>
      <c r="AZ14" s="1109">
        <v>26.086956521739129</v>
      </c>
      <c r="BA14" s="1109">
        <v>16.804846938775512</v>
      </c>
      <c r="BB14" s="1109">
        <v>9.770603228547154</v>
      </c>
      <c r="BC14" s="1109">
        <v>6.0566235660349799</v>
      </c>
      <c r="BD14" s="1109">
        <v>6.9480938648364434</v>
      </c>
      <c r="BE14" s="1109">
        <v>10.753409697631914</v>
      </c>
      <c r="BF14" s="1109">
        <v>12.116030122340781</v>
      </c>
      <c r="BG14" s="1109">
        <v>13.050880635375506</v>
      </c>
      <c r="BH14" s="1109">
        <v>13.042514680292028</v>
      </c>
      <c r="BI14" s="1109">
        <v>14.596275145610567</v>
      </c>
      <c r="BJ14" s="1109">
        <v>14.792814450652708</v>
      </c>
      <c r="BK14" s="1109">
        <v>15.387522037179322</v>
      </c>
      <c r="BL14" s="1109">
        <v>15.535390446916336</v>
      </c>
      <c r="BM14" s="1109">
        <v>21.152776096860368</v>
      </c>
      <c r="BN14" s="1109">
        <v>21.030181558870279</v>
      </c>
      <c r="BO14" s="1109">
        <v>20.027072700777104</v>
      </c>
      <c r="BP14" s="1109">
        <v>21.818573466691802</v>
      </c>
      <c r="BQ14" s="1109">
        <v>26.981136535772642</v>
      </c>
      <c r="BR14" s="1109">
        <v>25.986107084104681</v>
      </c>
      <c r="BS14" s="1109">
        <v>26.684422220765764</v>
      </c>
      <c r="BT14" s="1109">
        <v>27.258388955552139</v>
      </c>
      <c r="BU14" s="1109">
        <v>8.4753862839959027</v>
      </c>
      <c r="BV14" s="1109">
        <v>6.8272231063627622</v>
      </c>
      <c r="BW14" s="1109">
        <v>8.5686319799472859</v>
      </c>
      <c r="BX14" s="1109">
        <v>8.2473913468440188</v>
      </c>
      <c r="BY14" s="1109">
        <v>14.612230772604596</v>
      </c>
      <c r="BZ14" s="1109">
        <v>14.274655388887119</v>
      </c>
      <c r="CA14" s="1109">
        <v>15.253654441986725</v>
      </c>
      <c r="CB14" s="1109">
        <v>14.88953064215835</v>
      </c>
      <c r="CC14" s="1109">
        <v>13.553308486502234</v>
      </c>
      <c r="CD14" s="1109">
        <v>13.628534470658657</v>
      </c>
      <c r="CE14" s="1109">
        <v>13.566012806657596</v>
      </c>
      <c r="CF14" s="1109">
        <v>13.811656766967936</v>
      </c>
    </row>
    <row r="15" spans="3:88" ht="14.45" hidden="1" outlineLevel="1" collapsed="1">
      <c r="D15" s="1432"/>
      <c r="E15" s="1440"/>
      <c r="F15" s="1106"/>
    </row>
    <row r="16" spans="3:88" ht="14.45" collapsed="1">
      <c r="D16" s="1435" t="s">
        <v>1071</v>
      </c>
      <c r="E16" s="1433" t="s">
        <v>1067</v>
      </c>
      <c r="F16" s="1107" t="s">
        <v>1068</v>
      </c>
      <c r="G16" s="1108">
        <v>304.70653400558501</v>
      </c>
      <c r="I16" s="1108">
        <v>385.20150947283804</v>
      </c>
      <c r="K16" s="1108">
        <v>344.27921502384697</v>
      </c>
      <c r="M16" s="1108">
        <v>443.82191088222532</v>
      </c>
      <c r="O16" s="1108">
        <v>372.46673370538616</v>
      </c>
      <c r="Q16" s="1108">
        <v>446.82044610157288</v>
      </c>
      <c r="S16" s="1108">
        <v>435.38759833115898</v>
      </c>
      <c r="T16" s="1108">
        <v>494.16707304340042</v>
      </c>
      <c r="U16" s="1108">
        <v>383.93960212782071</v>
      </c>
      <c r="V16" s="1108">
        <v>457.57343288567563</v>
      </c>
      <c r="W16" s="1108">
        <v>438.9116451359979</v>
      </c>
      <c r="X16" s="1108">
        <v>474.92733890890275</v>
      </c>
      <c r="Y16" s="1108">
        <v>431.19416016688939</v>
      </c>
      <c r="Z16" s="1108">
        <v>538.47555496456926</v>
      </c>
      <c r="AA16" s="1108">
        <v>467.18399073389139</v>
      </c>
      <c r="AB16" s="1108">
        <v>567.03769532584533</v>
      </c>
      <c r="AC16" s="1108">
        <v>454</v>
      </c>
      <c r="AD16" s="1108">
        <v>512</v>
      </c>
      <c r="AE16" s="1108">
        <v>497</v>
      </c>
      <c r="AF16" s="1108">
        <v>562.999999999995</v>
      </c>
      <c r="AG16" s="1108">
        <v>515</v>
      </c>
      <c r="AH16" s="1108">
        <v>566</v>
      </c>
      <c r="AI16" s="1108">
        <v>583</v>
      </c>
      <c r="AJ16" s="1108">
        <v>626</v>
      </c>
      <c r="AK16" s="1108">
        <v>619</v>
      </c>
      <c r="AL16" s="1108">
        <v>660</v>
      </c>
      <c r="AM16" s="1108">
        <v>657</v>
      </c>
      <c r="AN16" s="1108">
        <v>701</v>
      </c>
      <c r="AO16" s="1108">
        <v>702</v>
      </c>
      <c r="AP16" s="1108">
        <v>741</v>
      </c>
      <c r="AQ16" s="1108">
        <v>773</v>
      </c>
      <c r="AR16" s="1108">
        <v>789</v>
      </c>
      <c r="AS16" s="1108">
        <v>835</v>
      </c>
      <c r="AT16" s="1108">
        <v>895</v>
      </c>
      <c r="AU16" s="1108">
        <v>974</v>
      </c>
      <c r="AV16" s="1108">
        <v>1050</v>
      </c>
      <c r="AW16" s="1108">
        <v>1095</v>
      </c>
      <c r="AX16" s="1108">
        <v>1154</v>
      </c>
      <c r="AY16" s="1108">
        <v>1188</v>
      </c>
      <c r="AZ16" s="1108">
        <v>1249</v>
      </c>
      <c r="BA16" s="1108">
        <v>1254</v>
      </c>
      <c r="BB16" s="1108">
        <v>1289</v>
      </c>
      <c r="BC16" s="1108">
        <v>1355.3209033535845</v>
      </c>
      <c r="BD16" s="1108">
        <v>1432.2554485870598</v>
      </c>
      <c r="BE16" s="1108">
        <v>1443.9412740130263</v>
      </c>
      <c r="BF16" s="1108">
        <v>1490.8789072147842</v>
      </c>
      <c r="BG16" s="1108">
        <v>1566.3794873065551</v>
      </c>
      <c r="BH16" s="1108">
        <v>1653.439382085443</v>
      </c>
      <c r="BI16" s="1108">
        <v>1665.3025671739993</v>
      </c>
      <c r="BJ16" s="1108">
        <v>1720.0835771414593</v>
      </c>
      <c r="BK16" s="1108">
        <v>1810.9074362495046</v>
      </c>
      <c r="BL16" s="1108">
        <v>1907.2947535394674</v>
      </c>
      <c r="BM16" s="1108">
        <v>1958.9464650165157</v>
      </c>
      <c r="BN16" s="1108">
        <v>2027.2661137335886</v>
      </c>
      <c r="BO16" s="1108">
        <v>2148.4743713217626</v>
      </c>
      <c r="BP16" s="1108">
        <v>2285.3090563187357</v>
      </c>
      <c r="BQ16" s="1108">
        <v>2296.9301678191</v>
      </c>
      <c r="BR16" s="1108">
        <v>2375.3090044153059</v>
      </c>
      <c r="BS16" s="1108">
        <v>2520.6472345822799</v>
      </c>
      <c r="BT16" s="1108">
        <v>2699.1645968877419</v>
      </c>
      <c r="BU16" s="1108">
        <v>2587.1714226312001</v>
      </c>
      <c r="BV16" s="1108">
        <v>2568.1057875677202</v>
      </c>
      <c r="BW16" s="1108">
        <v>2780.9226422733</v>
      </c>
      <c r="BX16" s="1108">
        <v>3099.267959808255</v>
      </c>
      <c r="BY16" s="1108">
        <v>2887.298821712975</v>
      </c>
      <c r="BZ16" s="1108">
        <v>2864.3500458451449</v>
      </c>
      <c r="CA16" s="1108">
        <v>3107.3479203609299</v>
      </c>
      <c r="CB16" s="1108">
        <v>3468.1686189182251</v>
      </c>
      <c r="CC16" s="1108">
        <v>3227.1684317982449</v>
      </c>
      <c r="CD16" s="1108">
        <v>3199.6926462727151</v>
      </c>
      <c r="CE16" s="1108">
        <v>3477.2942030664999</v>
      </c>
      <c r="CF16" s="1108">
        <v>3886.6450048030101</v>
      </c>
    </row>
    <row r="17" spans="4:84" ht="14.45" hidden="1" outlineLevel="1">
      <c r="D17" s="1432"/>
      <c r="E17" s="1440"/>
      <c r="F17" s="1107" t="s">
        <v>1069</v>
      </c>
      <c r="O17" s="1109">
        <v>22.237855817873324</v>
      </c>
      <c r="Q17" s="1109">
        <v>15.996545993047262</v>
      </c>
      <c r="S17" s="1109">
        <v>26.463515464040217</v>
      </c>
      <c r="T17" s="1109">
        <v>11.343550403155946</v>
      </c>
      <c r="U17" s="1109">
        <v>3.080239759481274</v>
      </c>
      <c r="V17" s="1109">
        <v>2.406556566048085</v>
      </c>
      <c r="W17" s="1109">
        <v>0.80940449804877113</v>
      </c>
      <c r="X17" s="1109">
        <v>-3.8933662690245505</v>
      </c>
      <c r="Y17" s="1109">
        <v>12.307810337141714</v>
      </c>
      <c r="Z17" s="1109">
        <v>17.680686041732443</v>
      </c>
      <c r="AA17" s="1109">
        <v>6.441466274865693</v>
      </c>
      <c r="AB17" s="1109">
        <v>19.394620791583982</v>
      </c>
      <c r="AC17" s="1109">
        <v>5.2889955244950073</v>
      </c>
      <c r="AD17" s="1109">
        <v>-4.9167607926624077</v>
      </c>
      <c r="AE17" s="1109">
        <v>6.3820699890146386</v>
      </c>
      <c r="AF17" s="1109">
        <v>-0.712068237990791</v>
      </c>
      <c r="AG17" s="1109">
        <v>13.43612334801762</v>
      </c>
      <c r="AH17" s="1109">
        <v>10.546875</v>
      </c>
      <c r="AI17" s="1109">
        <v>17.303822937625753</v>
      </c>
      <c r="AJ17" s="1109">
        <v>11.190053285969016</v>
      </c>
      <c r="AK17" s="1109">
        <v>20.194174757281552</v>
      </c>
      <c r="AL17" s="1109">
        <v>16.607773851590103</v>
      </c>
      <c r="AM17" s="1109">
        <v>12.69296740994854</v>
      </c>
      <c r="AN17" s="1109">
        <v>11.980830670926517</v>
      </c>
      <c r="AO17" s="1109">
        <v>13.408723747980615</v>
      </c>
      <c r="AP17" s="1109">
        <v>12.272727272727273</v>
      </c>
      <c r="AQ17" s="1109">
        <v>17.656012176560122</v>
      </c>
      <c r="AR17" s="1109">
        <v>12.553495007132668</v>
      </c>
      <c r="AS17" s="1109">
        <v>18.945868945868945</v>
      </c>
      <c r="AT17" s="1109">
        <v>20.78272604588394</v>
      </c>
      <c r="AU17" s="1109">
        <v>26.002587322121606</v>
      </c>
      <c r="AV17" s="1109">
        <v>33.079847908745244</v>
      </c>
      <c r="AW17" s="1109">
        <v>31.137724550898206</v>
      </c>
      <c r="AX17" s="1109">
        <v>28.938547486033517</v>
      </c>
      <c r="AY17" s="1109">
        <v>21.971252566735114</v>
      </c>
      <c r="AZ17" s="1109">
        <v>18.952380952380953</v>
      </c>
      <c r="BA17" s="1109">
        <v>14.520547945205479</v>
      </c>
      <c r="BB17" s="1109">
        <v>11.69844020797227</v>
      </c>
      <c r="BC17" s="1109">
        <v>14.084251124039101</v>
      </c>
      <c r="BD17" s="1109">
        <v>14.672173625865481</v>
      </c>
      <c r="BE17" s="1109">
        <v>15.146832058455045</v>
      </c>
      <c r="BF17" s="1109">
        <v>15.661668519378141</v>
      </c>
      <c r="BG17" s="1109">
        <v>15.572591216643275</v>
      </c>
      <c r="BH17" s="1109">
        <v>15.443050589654533</v>
      </c>
      <c r="BI17" s="1109">
        <v>15.3303529128828</v>
      </c>
      <c r="BJ17" s="1109">
        <v>15.373795203452733</v>
      </c>
      <c r="BK17" s="1109">
        <v>15.611028548606948</v>
      </c>
      <c r="BL17" s="1109">
        <v>15.353170742421945</v>
      </c>
      <c r="BM17" s="1109">
        <v>17.633065824237999</v>
      </c>
      <c r="BN17" s="1109">
        <v>17.858582029056063</v>
      </c>
      <c r="BO17" s="1109">
        <v>18.640761438993199</v>
      </c>
      <c r="BP17" s="1109">
        <v>19.819396140935595</v>
      </c>
      <c r="BQ17" s="1109">
        <v>17.253340447960365</v>
      </c>
      <c r="BR17" s="1109">
        <v>17.168090973549173</v>
      </c>
      <c r="BS17" s="1109">
        <v>17.322657799802045</v>
      </c>
      <c r="BT17" s="1109">
        <v>18.109390474987258</v>
      </c>
      <c r="BU17" s="1109">
        <v>12.636050450226779</v>
      </c>
      <c r="BV17" s="1109">
        <v>8.1167032497261182</v>
      </c>
      <c r="BW17" s="1109">
        <v>10.325737140847984</v>
      </c>
      <c r="BX17" s="1109">
        <v>14.823229505227292</v>
      </c>
      <c r="BY17" s="1109">
        <v>11.60059965321277</v>
      </c>
      <c r="BZ17" s="1109">
        <v>11.535516165710632</v>
      </c>
      <c r="CA17" s="1109">
        <v>11.738020796608335</v>
      </c>
      <c r="CB17" s="1109">
        <v>11.902832020139142</v>
      </c>
      <c r="CC17" s="1109">
        <v>11.771196231210741</v>
      </c>
      <c r="CD17" s="1109">
        <v>11.7074587623813</v>
      </c>
      <c r="CE17" s="1109">
        <v>11.90553141093384</v>
      </c>
      <c r="CF17" s="1109">
        <v>12.066206458419378</v>
      </c>
    </row>
    <row r="18" spans="4:84" ht="14.45" hidden="1" outlineLevel="1" collapsed="1">
      <c r="D18" s="1432"/>
      <c r="E18" s="1440"/>
      <c r="F18" s="1107"/>
    </row>
    <row r="19" spans="4:84" ht="14.45" collapsed="1">
      <c r="D19" s="1435" t="s">
        <v>1072</v>
      </c>
      <c r="E19" s="1433" t="s">
        <v>1067</v>
      </c>
      <c r="F19" s="1106" t="s">
        <v>1068</v>
      </c>
      <c r="G19" s="1108">
        <v>12.841043023089</v>
      </c>
      <c r="I19" s="1108">
        <v>-722.40026387024602</v>
      </c>
      <c r="K19" s="1108">
        <v>266.226758066819</v>
      </c>
      <c r="M19" s="1108">
        <v>889.85281894960792</v>
      </c>
      <c r="O19" s="1108">
        <v>226.02085917709056</v>
      </c>
      <c r="Q19" s="1108">
        <v>263.16015486870396</v>
      </c>
      <c r="S19" s="1108">
        <v>223.59955274300839</v>
      </c>
      <c r="T19" s="1108">
        <v>397.76076272153591</v>
      </c>
      <c r="U19" s="1108">
        <v>192.77609706373099</v>
      </c>
      <c r="V19" s="1108">
        <v>254.57679038284408</v>
      </c>
      <c r="W19" s="1108">
        <v>259.86182553117675</v>
      </c>
      <c r="X19" s="1108">
        <v>453.10130658626031</v>
      </c>
      <c r="Y19" s="1108">
        <v>-78.398872304827805</v>
      </c>
      <c r="Z19" s="1108">
        <v>211.53151046981901</v>
      </c>
      <c r="AA19" s="1108">
        <v>-168.89482044744801</v>
      </c>
      <c r="AB19" s="1108">
        <v>247.71407100593001</v>
      </c>
      <c r="AC19" s="1108">
        <v>17.689380289380995</v>
      </c>
      <c r="AD19" s="1108">
        <v>50.467888435374853</v>
      </c>
      <c r="AE19" s="1108">
        <v>-3.8720518750406501</v>
      </c>
      <c r="AF19" s="1108">
        <v>41.317402321394816</v>
      </c>
      <c r="AG19" s="1108">
        <v>414.83721202335732</v>
      </c>
      <c r="AH19" s="1108">
        <v>376.8463107334905</v>
      </c>
      <c r="AI19" s="1108">
        <v>336.46907047176711</v>
      </c>
      <c r="AJ19" s="1108">
        <v>482.19778147439467</v>
      </c>
      <c r="AK19" s="1108">
        <v>305.73591036383709</v>
      </c>
      <c r="AL19" s="1108">
        <v>249.28800451628899</v>
      </c>
      <c r="AM19" s="1108">
        <v>267.41081757709867</v>
      </c>
      <c r="AN19" s="1108">
        <v>509.52951844625744</v>
      </c>
      <c r="AO19" s="1108">
        <v>464.27319915057859</v>
      </c>
      <c r="AP19" s="1108">
        <v>225.01292561493756</v>
      </c>
      <c r="AQ19" s="1108">
        <v>167.8043283082576</v>
      </c>
      <c r="AR19" s="1108">
        <v>313.29506305062665</v>
      </c>
      <c r="AS19" s="1108">
        <v>189.71299653856659</v>
      </c>
      <c r="AT19" s="1108">
        <v>156.35797030662465</v>
      </c>
      <c r="AU19" s="1108">
        <v>128.48252695218534</v>
      </c>
      <c r="AV19" s="1108">
        <v>395.75377553895373</v>
      </c>
      <c r="AW19" s="1108">
        <v>0.11675294170674</v>
      </c>
      <c r="AX19" s="1108">
        <v>147.68119143740273</v>
      </c>
      <c r="AY19" s="1108">
        <v>147.45541129981399</v>
      </c>
      <c r="AZ19" s="1108">
        <v>-7.1801787687600003</v>
      </c>
      <c r="BA19" s="1108">
        <v>188.27513203150639</v>
      </c>
      <c r="BB19" s="1108">
        <v>83.212348342502764</v>
      </c>
      <c r="BC19" s="1108">
        <v>494.80307653449501</v>
      </c>
      <c r="BD19" s="1108">
        <v>914.02886781508096</v>
      </c>
      <c r="BE19" s="1108">
        <v>472.61832048900999</v>
      </c>
      <c r="BF19" s="1108">
        <v>233.378003140668</v>
      </c>
      <c r="BG19" s="1108">
        <v>491.72515621869098</v>
      </c>
      <c r="BH19" s="1108">
        <v>904.58602180696698</v>
      </c>
      <c r="BI19" s="1108">
        <v>528.95153456493995</v>
      </c>
      <c r="BJ19" s="1108">
        <v>511.91759928551102</v>
      </c>
      <c r="BK19" s="1108">
        <v>481.74790237512298</v>
      </c>
      <c r="BL19" s="1108">
        <v>454.66711257420297</v>
      </c>
      <c r="BN19" s="1108">
        <v>5.2000000000000001E-11</v>
      </c>
      <c r="BO19" s="1108">
        <v>-6.3999999999999999E-11</v>
      </c>
    </row>
    <row r="20" spans="4:84" ht="14.45" hidden="1" outlineLevel="1">
      <c r="D20" s="1432"/>
      <c r="E20" s="1440"/>
      <c r="F20" s="1106" t="s">
        <v>1069</v>
      </c>
      <c r="O20" s="1109">
        <v>1660.1440846408732</v>
      </c>
      <c r="Q20" s="1109">
        <v>136.42857956042656</v>
      </c>
      <c r="S20" s="1109">
        <v>-16.011615674301158</v>
      </c>
      <c r="T20" s="1109">
        <v>-55.300387406643594</v>
      </c>
      <c r="U20" s="1109">
        <v>-14.70871415779896</v>
      </c>
      <c r="V20" s="1109">
        <v>-3.2616504919379961</v>
      </c>
      <c r="W20" s="1109">
        <v>16.217506852460474</v>
      </c>
      <c r="X20" s="1109">
        <v>13.913022362003858</v>
      </c>
      <c r="Y20" s="1109">
        <v>-140.66835748775921</v>
      </c>
      <c r="Z20" s="1109">
        <v>-16.908564150051397</v>
      </c>
      <c r="AA20" s="1109">
        <v>-164.99408680063513</v>
      </c>
      <c r="AB20" s="1109">
        <v>-45.329208412077087</v>
      </c>
      <c r="AC20" s="1109">
        <v>122.56330961063031</v>
      </c>
      <c r="AD20" s="1109">
        <v>-76.141668764486255</v>
      </c>
      <c r="AE20" s="1109">
        <v>97.707418223494031</v>
      </c>
      <c r="AF20" s="1109">
        <v>-83.320526704998628</v>
      </c>
      <c r="AG20" s="1109">
        <v>2245.1200959955941</v>
      </c>
      <c r="AH20" s="1109">
        <v>646.70512759028907</v>
      </c>
      <c r="AI20" s="1109">
        <v>8789.6839538916247</v>
      </c>
      <c r="AJ20" s="1109">
        <v>1067.0573520656812</v>
      </c>
      <c r="AK20" s="1109">
        <v>-26.299786638566385</v>
      </c>
      <c r="AL20" s="1109">
        <v>-33.848893457102733</v>
      </c>
      <c r="AM20" s="1109">
        <v>-20.52439851242228</v>
      </c>
      <c r="AN20" s="1109">
        <v>5.6681590048572463</v>
      </c>
      <c r="AO20" s="1109">
        <v>51.854323752180839</v>
      </c>
      <c r="AP20" s="1109">
        <v>-9.7377645380306515</v>
      </c>
      <c r="AQ20" s="1109">
        <v>-37.248489111747688</v>
      </c>
      <c r="AR20" s="1109">
        <v>-38.512872815302572</v>
      </c>
      <c r="AS20" s="1109">
        <v>-59.137637734493339</v>
      </c>
      <c r="AT20" s="1109">
        <v>-30.511560667319827</v>
      </c>
      <c r="AU20" s="1109">
        <v>-23.433126995292913</v>
      </c>
      <c r="AV20" s="1109">
        <v>26.319825050994254</v>
      </c>
      <c r="AW20" s="1109">
        <v>-99.938458121564167</v>
      </c>
      <c r="AX20" s="1109">
        <v>-5.5493038520558864</v>
      </c>
      <c r="AY20" s="1109">
        <v>14.766898501840171</v>
      </c>
      <c r="AZ20" s="1109">
        <v>-101.81430455312315</v>
      </c>
      <c r="BA20" s="1109">
        <v>161159.43319219811</v>
      </c>
      <c r="BB20" s="1109">
        <v>-43.654064859184331</v>
      </c>
      <c r="BC20" s="1109">
        <v>235.56115179010675</v>
      </c>
      <c r="BD20" s="1109">
        <v>12829.890121843466</v>
      </c>
      <c r="BE20" s="1109">
        <v>151.02535602520305</v>
      </c>
      <c r="BF20" s="1109">
        <v>180.46078231091624</v>
      </c>
      <c r="BG20" s="1109">
        <v>-0.62204955097716452</v>
      </c>
      <c r="BH20" s="1109">
        <v>-1.0331015070329679</v>
      </c>
      <c r="BI20" s="1109">
        <v>11.919388570811847</v>
      </c>
      <c r="BJ20" s="1109">
        <v>119.35126378511087</v>
      </c>
      <c r="BK20" s="1109">
        <v>-2.0290305910504811</v>
      </c>
      <c r="BL20" s="1109">
        <v>-49.737548269209704</v>
      </c>
      <c r="BN20" s="1109">
        <v>-99.999999999989839</v>
      </c>
      <c r="BO20" s="1109">
        <v>-100.00000000001327</v>
      </c>
    </row>
    <row r="21" spans="4:84" ht="14.45" hidden="1" outlineLevel="1" collapsed="1">
      <c r="D21" s="1432"/>
      <c r="E21" s="1440"/>
      <c r="F21" s="1106"/>
    </row>
    <row r="22" spans="4:84" ht="14.45" collapsed="1">
      <c r="D22" s="1434" t="s">
        <v>1073</v>
      </c>
      <c r="E22" s="1433" t="s">
        <v>1067</v>
      </c>
      <c r="F22" s="1107" t="s">
        <v>1068</v>
      </c>
      <c r="G22" s="1108">
        <v>5601.8523867301474</v>
      </c>
      <c r="I22" s="1108">
        <v>4813.543227753451</v>
      </c>
      <c r="K22" s="1108">
        <v>4959.8599742490178</v>
      </c>
      <c r="M22" s="1108">
        <v>5402.1271967141611</v>
      </c>
      <c r="O22" s="1108">
        <v>6183</v>
      </c>
      <c r="Q22" s="1108">
        <v>6943</v>
      </c>
      <c r="S22" s="1108">
        <v>6768</v>
      </c>
      <c r="T22" s="1108">
        <v>7078</v>
      </c>
      <c r="U22" s="1108">
        <v>6490</v>
      </c>
      <c r="V22" s="1108">
        <v>6822</v>
      </c>
      <c r="W22" s="1108">
        <v>6457</v>
      </c>
      <c r="X22" s="1108">
        <v>6662</v>
      </c>
      <c r="Y22" s="1108">
        <v>5998</v>
      </c>
      <c r="Z22" s="1108">
        <v>6480</v>
      </c>
      <c r="AA22" s="1108">
        <v>6207</v>
      </c>
      <c r="AB22" s="1108">
        <v>7107</v>
      </c>
      <c r="AC22" s="1108">
        <v>6436</v>
      </c>
      <c r="AD22" s="1108">
        <v>7179</v>
      </c>
      <c r="AE22" s="1108">
        <v>7707</v>
      </c>
      <c r="AF22" s="1108">
        <v>8547.9999999999909</v>
      </c>
      <c r="AG22" s="1108">
        <v>8238</v>
      </c>
      <c r="AH22" s="1108">
        <v>8953</v>
      </c>
      <c r="AI22" s="1108">
        <v>9006</v>
      </c>
      <c r="AJ22" s="1108">
        <v>9668</v>
      </c>
      <c r="AK22" s="1108">
        <v>9771</v>
      </c>
      <c r="AL22" s="1108">
        <v>10100</v>
      </c>
      <c r="AM22" s="1108">
        <v>10242</v>
      </c>
      <c r="AN22" s="1108">
        <v>11047</v>
      </c>
      <c r="AO22" s="1108">
        <v>11077</v>
      </c>
      <c r="AP22" s="1108">
        <v>11826</v>
      </c>
      <c r="AQ22" s="1108">
        <v>11743</v>
      </c>
      <c r="AR22" s="1108">
        <v>11752</v>
      </c>
      <c r="AS22" s="1108">
        <v>12319</v>
      </c>
      <c r="AT22" s="1108">
        <v>13353</v>
      </c>
      <c r="AU22" s="1108">
        <v>13552</v>
      </c>
      <c r="AV22" s="1108">
        <v>14691</v>
      </c>
      <c r="AW22" s="1108">
        <v>15039</v>
      </c>
      <c r="AX22" s="1108">
        <v>15936</v>
      </c>
      <c r="AY22" s="1108">
        <v>15789</v>
      </c>
      <c r="AZ22" s="1108">
        <v>16600</v>
      </c>
      <c r="BA22" s="1108">
        <v>16465</v>
      </c>
      <c r="BB22" s="1108">
        <v>17002</v>
      </c>
      <c r="BC22" s="1108">
        <v>17058.668286173848</v>
      </c>
      <c r="BD22" s="1108">
        <v>17955.397590109682</v>
      </c>
      <c r="BE22" s="1108">
        <v>18072.84483668577</v>
      </c>
      <c r="BF22" s="1108">
        <v>18718.790777922561</v>
      </c>
      <c r="BG22" s="1108">
        <v>18836.18589485835</v>
      </c>
      <c r="BH22" s="1108">
        <v>19767.281822606044</v>
      </c>
      <c r="BI22" s="1108">
        <v>19830.047037687658</v>
      </c>
      <c r="BJ22" s="1108">
        <v>20544.255789753184</v>
      </c>
      <c r="BK22" s="1108">
        <v>20711.564873614167</v>
      </c>
      <c r="BL22" s="1108">
        <v>21744.143220318576</v>
      </c>
      <c r="BM22" s="1108">
        <v>22633.520371878058</v>
      </c>
      <c r="BN22" s="1108">
        <v>23494.68843030047</v>
      </c>
      <c r="BO22" s="1108">
        <v>23565.420201466899</v>
      </c>
      <c r="BP22" s="1108">
        <v>25003.457228197116</v>
      </c>
      <c r="BQ22" s="1108">
        <v>25828.384195013561</v>
      </c>
      <c r="BR22" s="1108">
        <v>26631.896605825721</v>
      </c>
      <c r="BS22" s="1108">
        <v>26696.997572239441</v>
      </c>
      <c r="BT22" s="1108">
        <v>28572.68306283484</v>
      </c>
      <c r="BU22" s="1108">
        <v>28791.662319684849</v>
      </c>
      <c r="BV22" s="1108">
        <v>29769.686788010549</v>
      </c>
      <c r="BW22" s="1108">
        <v>30103.200706686199</v>
      </c>
      <c r="BX22" s="1108">
        <v>32265.401646607748</v>
      </c>
      <c r="BY22" s="1108">
        <v>31916.827711912501</v>
      </c>
      <c r="BZ22" s="1108">
        <v>32980.063386851398</v>
      </c>
      <c r="CA22" s="1108">
        <v>33409.084123021254</v>
      </c>
      <c r="CB22" s="1108">
        <v>35776.141684029149</v>
      </c>
      <c r="CC22" s="1108">
        <v>35204.937436257249</v>
      </c>
      <c r="CD22" s="1108">
        <v>36386.852133787201</v>
      </c>
      <c r="CE22" s="1108">
        <v>36835.410075527048</v>
      </c>
      <c r="CF22" s="1108">
        <v>39466.259024548999</v>
      </c>
    </row>
    <row r="23" spans="4:84" ht="14.45" hidden="1" outlineLevel="1">
      <c r="D23" s="1432"/>
      <c r="E23" s="1440"/>
      <c r="F23" s="1107" t="s">
        <v>1069</v>
      </c>
      <c r="O23" s="1109">
        <v>10.374204337238416</v>
      </c>
      <c r="Q23" s="1109">
        <v>44.23886254866764</v>
      </c>
      <c r="S23" s="1109">
        <v>36.455465177215132</v>
      </c>
      <c r="T23" s="1109">
        <v>31.02246100952949</v>
      </c>
      <c r="U23" s="1109">
        <v>4.9652272359695946</v>
      </c>
      <c r="V23" s="1109">
        <v>-1.7427624945988767</v>
      </c>
      <c r="W23" s="1109">
        <v>-4.5951536643026003</v>
      </c>
      <c r="X23" s="1109">
        <v>-5.8773664877083922</v>
      </c>
      <c r="Y23" s="1109">
        <v>-7.5808936825885977</v>
      </c>
      <c r="Z23" s="1109">
        <v>-5.0131926121372032</v>
      </c>
      <c r="AA23" s="1109">
        <v>-3.8717670744927983</v>
      </c>
      <c r="AB23" s="1109">
        <v>6.6796757730411285</v>
      </c>
      <c r="AC23" s="1109">
        <v>7.3024341447149048</v>
      </c>
      <c r="AD23" s="1109">
        <v>10.787037037037036</v>
      </c>
      <c r="AE23" s="1109">
        <v>24.166263895601737</v>
      </c>
      <c r="AF23" s="1109">
        <v>20.27578443787802</v>
      </c>
      <c r="AG23" s="1109">
        <v>27.998756991920448</v>
      </c>
      <c r="AH23" s="1109">
        <v>24.710962529600224</v>
      </c>
      <c r="AI23" s="1109">
        <v>16.854807318022576</v>
      </c>
      <c r="AJ23" s="1109">
        <v>13.102480112307093</v>
      </c>
      <c r="AK23" s="1109">
        <v>18.608885651857246</v>
      </c>
      <c r="AL23" s="1109">
        <v>12.811348151457613</v>
      </c>
      <c r="AM23" s="1109">
        <v>13.724183877415056</v>
      </c>
      <c r="AN23" s="1109">
        <v>14.263549855192387</v>
      </c>
      <c r="AO23" s="1109">
        <v>13.366083307747415</v>
      </c>
      <c r="AP23" s="1109">
        <v>17.089108910891092</v>
      </c>
      <c r="AQ23" s="1109">
        <v>14.655340753759031</v>
      </c>
      <c r="AR23" s="1109">
        <v>6.3818231193989314</v>
      </c>
      <c r="AS23" s="1109">
        <v>11.212422135957389</v>
      </c>
      <c r="AT23" s="1109">
        <v>12.91222729578894</v>
      </c>
      <c r="AU23" s="1109">
        <v>15.404922081239889</v>
      </c>
      <c r="AV23" s="1109">
        <v>25.008509189925121</v>
      </c>
      <c r="AW23" s="1109">
        <v>22.079714262521307</v>
      </c>
      <c r="AX23" s="1109">
        <v>19.343967647719616</v>
      </c>
      <c r="AY23" s="1109">
        <v>16.506788665879572</v>
      </c>
      <c r="AZ23" s="1109">
        <v>12.994350282485875</v>
      </c>
      <c r="BA23" s="1109">
        <v>9.4820134317441322</v>
      </c>
      <c r="BB23" s="1109">
        <v>6.6892570281124497</v>
      </c>
      <c r="BC23" s="1109">
        <v>8.0414737233127376</v>
      </c>
      <c r="BD23" s="1109">
        <v>8.1650457235523017</v>
      </c>
      <c r="BE23" s="1109">
        <v>9.7652282823308241</v>
      </c>
      <c r="BF23" s="1109">
        <v>10.097581331152576</v>
      </c>
      <c r="BG23" s="1109">
        <v>10.420025636615438</v>
      </c>
      <c r="BH23" s="1109">
        <v>10.09102819028857</v>
      </c>
      <c r="BI23" s="1109">
        <v>9.7228865564926021</v>
      </c>
      <c r="BJ23" s="1109">
        <v>9.7520455967894328</v>
      </c>
      <c r="BK23" s="1109">
        <v>9.9562564800750462</v>
      </c>
      <c r="BL23" s="1109">
        <v>10.000673918918759</v>
      </c>
      <c r="BM23" s="1109">
        <v>14.137502189794638</v>
      </c>
      <c r="BN23" s="1109">
        <v>14.361350787011068</v>
      </c>
      <c r="BO23" s="1109">
        <v>13.779042507253751</v>
      </c>
      <c r="BP23" s="1109">
        <v>14.989388061208638</v>
      </c>
      <c r="BQ23" s="1109">
        <v>14.11562925538129</v>
      </c>
      <c r="BR23" s="1109">
        <v>13.352840089078507</v>
      </c>
      <c r="BS23" s="1109">
        <v>13.288867094241791</v>
      </c>
      <c r="BT23" s="1109">
        <v>14.27492927103139</v>
      </c>
      <c r="BU23" s="1109">
        <v>11.472952013945106</v>
      </c>
      <c r="BV23" s="1109">
        <v>11.782075563850144</v>
      </c>
      <c r="BW23" s="1109">
        <v>12.758749837804451</v>
      </c>
      <c r="BX23" s="1109">
        <v>12.923947588863694</v>
      </c>
      <c r="BY23" s="1109">
        <v>10.854411105297586</v>
      </c>
      <c r="BZ23" s="1109">
        <v>10.784045602165342</v>
      </c>
      <c r="CA23" s="1109">
        <v>10.981833621435436</v>
      </c>
      <c r="CB23" s="1109">
        <v>10.880819262296416</v>
      </c>
      <c r="CC23" s="1109">
        <v>10.302119477611829</v>
      </c>
      <c r="CD23" s="1109">
        <v>10.32984293260647</v>
      </c>
      <c r="CE23" s="1109">
        <v>10.255671600841074</v>
      </c>
      <c r="CF23" s="1109">
        <v>10.314464240192668</v>
      </c>
    </row>
    <row r="24" spans="4:84" ht="14.45" hidden="1" outlineLevel="1" collapsed="1">
      <c r="D24" s="1432"/>
      <c r="E24" s="1440"/>
      <c r="F24" s="1107"/>
    </row>
    <row r="25" spans="4:84" ht="14.45" collapsed="1">
      <c r="D25" s="1105" t="s">
        <v>366</v>
      </c>
      <c r="F25" s="1106" t="s">
        <v>1065</v>
      </c>
    </row>
    <row r="26" spans="4:84" ht="14.45">
      <c r="D26" s="1105" t="s">
        <v>1074</v>
      </c>
      <c r="F26" s="1106" t="s">
        <v>1065</v>
      </c>
    </row>
    <row r="27" spans="4:84" ht="14.45">
      <c r="D27" s="1435" t="s">
        <v>1075</v>
      </c>
      <c r="E27" s="1433" t="s">
        <v>1067</v>
      </c>
      <c r="F27" s="1107" t="s">
        <v>1068</v>
      </c>
      <c r="G27" s="1108">
        <v>3447.7166666666667</v>
      </c>
      <c r="I27" s="1108">
        <v>3899.335</v>
      </c>
      <c r="K27" s="1108">
        <v>3830.5768729563301</v>
      </c>
      <c r="M27" s="1108">
        <v>4521.5274390192963</v>
      </c>
      <c r="O27" s="1108">
        <v>3697.1757581914362</v>
      </c>
      <c r="Q27" s="1108">
        <v>4311.2094289993602</v>
      </c>
      <c r="S27" s="1108">
        <v>4107.7405836310263</v>
      </c>
      <c r="T27" s="1108">
        <v>4989.6357040056791</v>
      </c>
      <c r="U27" s="1108">
        <v>4121.476431937579</v>
      </c>
      <c r="V27" s="1108">
        <v>4687.6683578336197</v>
      </c>
      <c r="W27" s="1108">
        <v>4600.3687489534623</v>
      </c>
      <c r="X27" s="1108">
        <v>5225.7543084881609</v>
      </c>
      <c r="Y27" s="1108">
        <v>4178.7458262739055</v>
      </c>
      <c r="Z27" s="1108">
        <v>4760.7142857142899</v>
      </c>
      <c r="AA27" s="1108">
        <v>4488.9830508474597</v>
      </c>
      <c r="AB27" s="1108">
        <v>5652.6785714285697</v>
      </c>
      <c r="AC27" s="1108">
        <v>4689</v>
      </c>
      <c r="AD27" s="1108">
        <v>5332</v>
      </c>
      <c r="AE27" s="1108">
        <v>5297</v>
      </c>
      <c r="AF27" s="1108">
        <v>6331</v>
      </c>
      <c r="AG27" s="1108">
        <v>5496</v>
      </c>
      <c r="AH27" s="1108">
        <v>6299</v>
      </c>
      <c r="AI27" s="1108">
        <v>6343</v>
      </c>
      <c r="AJ27" s="1108">
        <v>7991</v>
      </c>
      <c r="AK27" s="1108">
        <v>7058</v>
      </c>
      <c r="AL27" s="1108">
        <v>7791</v>
      </c>
      <c r="AM27" s="1108">
        <v>8053</v>
      </c>
      <c r="AN27" s="1108">
        <v>9720</v>
      </c>
      <c r="AO27" s="1108">
        <v>9192</v>
      </c>
      <c r="AP27" s="1108">
        <v>10119</v>
      </c>
      <c r="AQ27" s="1108">
        <v>10490</v>
      </c>
      <c r="AR27" s="1108">
        <v>11578</v>
      </c>
      <c r="AS27" s="1108">
        <v>11195</v>
      </c>
      <c r="AT27" s="1108">
        <v>12729</v>
      </c>
      <c r="AU27" s="1108">
        <v>13204</v>
      </c>
      <c r="AV27" s="1108">
        <v>15461</v>
      </c>
      <c r="AW27" s="1108">
        <v>15069</v>
      </c>
      <c r="AX27" s="1108">
        <v>16382</v>
      </c>
      <c r="AY27" s="1108">
        <v>17038</v>
      </c>
      <c r="AZ27" s="1108">
        <v>18831</v>
      </c>
      <c r="BA27" s="1108">
        <v>18388</v>
      </c>
      <c r="BB27" s="1108">
        <v>19594</v>
      </c>
      <c r="BC27" s="1108">
        <v>19950.272390517395</v>
      </c>
      <c r="BD27" s="1108">
        <v>21871.757727970213</v>
      </c>
      <c r="BE27" s="1108">
        <v>21670.920589416852</v>
      </c>
      <c r="BF27" s="1108">
        <v>23050.845645004443</v>
      </c>
      <c r="BG27" s="1108">
        <v>23638.301985174414</v>
      </c>
      <c r="BH27" s="1108">
        <v>25802.72116822773</v>
      </c>
      <c r="BI27" s="1108">
        <v>25854.708075342369</v>
      </c>
      <c r="BJ27" s="1108">
        <v>27434.502050401796</v>
      </c>
      <c r="BK27" s="1108">
        <v>28137.823180808075</v>
      </c>
      <c r="BL27" s="1108">
        <v>30610.730668999251</v>
      </c>
      <c r="BM27" s="1108">
        <v>30488.904102920143</v>
      </c>
      <c r="BN27" s="1108">
        <v>32257.316187780641</v>
      </c>
      <c r="BO27" s="1108">
        <v>33023.524431729711</v>
      </c>
      <c r="BP27" s="1108">
        <v>36086.558985370946</v>
      </c>
      <c r="BQ27" s="1108">
        <v>35837.509828857779</v>
      </c>
      <c r="BR27" s="1108">
        <v>37887.700190458119</v>
      </c>
      <c r="BS27" s="1108">
        <v>38761.077570696361</v>
      </c>
      <c r="BT27" s="1108">
        <v>42317.443178727619</v>
      </c>
      <c r="BU27" s="1108">
        <v>35820.119715583649</v>
      </c>
      <c r="BV27" s="1108">
        <v>37567.552708838899</v>
      </c>
      <c r="BW27" s="1108">
        <v>39114.72783858575</v>
      </c>
      <c r="BX27" s="1108">
        <v>43315.210115747301</v>
      </c>
      <c r="BY27" s="1108">
        <v>38610.136562920998</v>
      </c>
      <c r="BZ27" s="1108">
        <v>40514.072375956952</v>
      </c>
      <c r="CA27" s="1108">
        <v>42227.112375754397</v>
      </c>
      <c r="CB27" s="1108">
        <v>46734.7808117518</v>
      </c>
      <c r="CC27" s="1108">
        <v>40791.469249702648</v>
      </c>
      <c r="CD27" s="1108">
        <v>42824.456488923148</v>
      </c>
      <c r="CE27" s="1108">
        <v>44665.073820133897</v>
      </c>
      <c r="CF27" s="1108">
        <v>49413.576961332546</v>
      </c>
    </row>
    <row r="28" spans="4:84" ht="14.45" hidden="1" outlineLevel="1">
      <c r="D28" s="1432"/>
      <c r="E28" s="1440"/>
      <c r="F28" s="1107" t="s">
        <v>1069</v>
      </c>
      <c r="O28" s="1109">
        <v>7.2354870090282795</v>
      </c>
      <c r="Q28" s="1109">
        <v>10.562683867873885</v>
      </c>
      <c r="S28" s="1109">
        <v>7.2355605922297839</v>
      </c>
      <c r="T28" s="1109">
        <v>10.352879006035932</v>
      </c>
      <c r="U28" s="1109">
        <v>11.47634577031036</v>
      </c>
      <c r="V28" s="1109">
        <v>8.7320955994855574</v>
      </c>
      <c r="W28" s="1109">
        <v>11.992679559306021</v>
      </c>
      <c r="X28" s="1109">
        <v>4.7321812350534076</v>
      </c>
      <c r="Y28" s="1109">
        <v>1.3895358928305981</v>
      </c>
      <c r="Z28" s="1109">
        <v>1.5582571612303218</v>
      </c>
      <c r="AA28" s="1109">
        <v>-2.4212341267499848</v>
      </c>
      <c r="AB28" s="1109">
        <v>8.1696198814199601</v>
      </c>
      <c r="AC28" s="1109">
        <v>12.210701366851898</v>
      </c>
      <c r="AD28" s="1109">
        <v>11.999999999999902</v>
      </c>
      <c r="AE28" s="1109">
        <v>17.999999999999947</v>
      </c>
      <c r="AF28" s="1109">
        <v>12.000000000000032</v>
      </c>
      <c r="AG28" s="1109">
        <v>17.210492642354446</v>
      </c>
      <c r="AH28" s="1109">
        <v>18.135783945986496</v>
      </c>
      <c r="AI28" s="1109">
        <v>19.747026618840856</v>
      </c>
      <c r="AJ28" s="1109">
        <v>26.220186384457435</v>
      </c>
      <c r="AK28" s="1109">
        <v>28.420669577874818</v>
      </c>
      <c r="AL28" s="1109">
        <v>23.686299412605173</v>
      </c>
      <c r="AM28" s="1109">
        <v>26.958852278101848</v>
      </c>
      <c r="AN28" s="1109">
        <v>21.636841446627457</v>
      </c>
      <c r="AO28" s="1109">
        <v>30.23519410597903</v>
      </c>
      <c r="AP28" s="1109">
        <v>29.88063149788217</v>
      </c>
      <c r="AQ28" s="1109">
        <v>30.262014156215074</v>
      </c>
      <c r="AR28" s="1109">
        <v>19.115226337448561</v>
      </c>
      <c r="AS28" s="1109">
        <v>21.790687554395127</v>
      </c>
      <c r="AT28" s="1109">
        <v>25.793062555588499</v>
      </c>
      <c r="AU28" s="1109">
        <v>25.872259294566252</v>
      </c>
      <c r="AV28" s="1109">
        <v>33.537743997236134</v>
      </c>
      <c r="AW28" s="1109">
        <v>34.604734256364452</v>
      </c>
      <c r="AX28" s="1109">
        <v>28.698248094901409</v>
      </c>
      <c r="AY28" s="1109">
        <v>29.036655558921538</v>
      </c>
      <c r="AZ28" s="1109">
        <v>21.796778992303214</v>
      </c>
      <c r="BA28" s="1109">
        <v>22.025350056407195</v>
      </c>
      <c r="BB28" s="1109">
        <v>19.606885606153096</v>
      </c>
      <c r="BC28" s="1109">
        <v>17.092806611793609</v>
      </c>
      <c r="BD28" s="1109">
        <v>16.147616844406631</v>
      </c>
      <c r="BE28" s="1109">
        <v>17.853603379469501</v>
      </c>
      <c r="BF28" s="1109">
        <v>17.642368301543552</v>
      </c>
      <c r="BG28" s="1109">
        <v>18.48611147991134</v>
      </c>
      <c r="BH28" s="1109">
        <v>17.972782476602198</v>
      </c>
      <c r="BI28" s="1109">
        <v>19.305997955475409</v>
      </c>
      <c r="BJ28" s="1109">
        <v>19.017334430623695</v>
      </c>
      <c r="BK28" s="1109">
        <v>19.034874833461778</v>
      </c>
      <c r="BL28" s="1109">
        <v>18.633730409379766</v>
      </c>
      <c r="BM28" s="1109">
        <v>17.923992852958982</v>
      </c>
      <c r="BN28" s="1109">
        <v>17.579375519623156</v>
      </c>
      <c r="BO28" s="1109">
        <v>17.363465608292046</v>
      </c>
      <c r="BP28" s="1109">
        <v>17.888590689268625</v>
      </c>
      <c r="BQ28" s="1109">
        <v>17.542794283069561</v>
      </c>
      <c r="BR28" s="1109">
        <v>17.454595323123371</v>
      </c>
      <c r="BS28" s="1109">
        <v>17.374139307353538</v>
      </c>
      <c r="BT28" s="1109">
        <v>17.266495804941108</v>
      </c>
      <c r="BU28" s="1109">
        <v>-4.8524892932508008E-2</v>
      </c>
      <c r="BV28" s="1109">
        <v>-0.8449905378523036</v>
      </c>
      <c r="BW28" s="1109">
        <v>0.91238502656270459</v>
      </c>
      <c r="BX28" s="1109">
        <v>2.357814797093519</v>
      </c>
      <c r="BY28" s="1109">
        <v>7.7889657251020958</v>
      </c>
      <c r="BZ28" s="1109">
        <v>7.84325689233623</v>
      </c>
      <c r="CA28" s="1109">
        <v>7.9570655585601546</v>
      </c>
      <c r="CB28" s="1109">
        <v>7.8946187421616809</v>
      </c>
      <c r="CC28" s="1109">
        <v>5.649637325749528</v>
      </c>
      <c r="CD28" s="1109">
        <v>5.7026706462056174</v>
      </c>
      <c r="CE28" s="1109">
        <v>5.7734505326471428</v>
      </c>
      <c r="CF28" s="1109">
        <v>5.7319112298203914</v>
      </c>
    </row>
    <row r="29" spans="4:84" ht="14.45" hidden="1" outlineLevel="1" collapsed="1">
      <c r="D29" s="1432"/>
      <c r="E29" s="1440"/>
      <c r="F29" s="1107"/>
    </row>
    <row r="30" spans="4:84" ht="14.45" collapsed="1">
      <c r="D30" s="1435" t="s">
        <v>1076</v>
      </c>
      <c r="E30" s="1433" t="s">
        <v>1067</v>
      </c>
      <c r="F30" s="1106" t="s">
        <v>1068</v>
      </c>
      <c r="G30" s="1108">
        <v>992.97333333333336</v>
      </c>
      <c r="I30" s="1108">
        <v>1103.75</v>
      </c>
      <c r="K30" s="1108">
        <v>1080.7748829810166</v>
      </c>
      <c r="M30" s="1108">
        <v>1207.0690721557032</v>
      </c>
      <c r="O30" s="1108">
        <v>1094.7145129728858</v>
      </c>
      <c r="Q30" s="1108">
        <v>1167.7402597402599</v>
      </c>
      <c r="S30" s="1108">
        <v>1182.98398403138</v>
      </c>
      <c r="T30" s="1108">
        <v>1354.4089784261071</v>
      </c>
      <c r="U30" s="1108">
        <v>1243.8738891033411</v>
      </c>
      <c r="V30" s="1108">
        <v>1287.8194444444443</v>
      </c>
      <c r="W30" s="1108">
        <v>1260.2578133265256</v>
      </c>
      <c r="X30" s="1108">
        <v>1353.3751992320799</v>
      </c>
      <c r="Y30" s="1108">
        <v>1353.720421775171</v>
      </c>
      <c r="Z30" s="1108">
        <v>1413.6735454545455</v>
      </c>
      <c r="AA30" s="1108">
        <v>1396.39000153713</v>
      </c>
      <c r="AB30" s="1108">
        <v>1499.0215382961937</v>
      </c>
      <c r="AC30" s="1108">
        <v>1355</v>
      </c>
      <c r="AD30" s="1108">
        <v>1371</v>
      </c>
      <c r="AE30" s="1108">
        <v>1383</v>
      </c>
      <c r="AF30" s="1108">
        <v>1433</v>
      </c>
      <c r="AG30" s="1108">
        <v>1371</v>
      </c>
      <c r="AH30" s="1108">
        <v>1435</v>
      </c>
      <c r="AI30" s="1108">
        <v>1489</v>
      </c>
      <c r="AJ30" s="1108">
        <v>1551</v>
      </c>
      <c r="AK30" s="1108">
        <v>1450</v>
      </c>
      <c r="AL30" s="1108">
        <v>1521</v>
      </c>
      <c r="AM30" s="1108">
        <v>1542</v>
      </c>
      <c r="AN30" s="1108">
        <v>1611</v>
      </c>
      <c r="AO30" s="1108">
        <v>1545</v>
      </c>
      <c r="AP30" s="1108">
        <v>1612</v>
      </c>
      <c r="AQ30" s="1108">
        <v>1633</v>
      </c>
      <c r="AR30" s="1108">
        <v>1619</v>
      </c>
      <c r="AS30" s="1108">
        <v>1637</v>
      </c>
      <c r="AT30" s="1108">
        <v>1695</v>
      </c>
      <c r="AU30" s="1108">
        <v>1803</v>
      </c>
      <c r="AV30" s="1108">
        <v>1808</v>
      </c>
      <c r="AW30" s="1108">
        <v>1791</v>
      </c>
      <c r="AX30" s="1108">
        <v>1823</v>
      </c>
      <c r="AY30" s="1108">
        <v>1891</v>
      </c>
      <c r="AZ30" s="1108">
        <v>1902</v>
      </c>
      <c r="BA30" s="1108">
        <v>1876</v>
      </c>
      <c r="BB30" s="1108">
        <v>1862</v>
      </c>
      <c r="BC30" s="1108">
        <v>1837.108486949486</v>
      </c>
      <c r="BD30" s="1108">
        <v>1896.8788841143371</v>
      </c>
      <c r="BE30" s="1108">
        <v>1895.7288204621605</v>
      </c>
      <c r="BF30" s="1108">
        <v>1890.7761189118862</v>
      </c>
      <c r="BG30" s="1108">
        <v>1880.9301040943417</v>
      </c>
      <c r="BH30" s="1108">
        <v>1945.2797997234843</v>
      </c>
      <c r="BI30" s="1108">
        <v>1945.9332647083918</v>
      </c>
      <c r="BJ30" s="1108">
        <v>1938.8271594167747</v>
      </c>
      <c r="BK30" s="1108">
        <v>1928.3057238018901</v>
      </c>
      <c r="BL30" s="1108">
        <v>2001.8043689257238</v>
      </c>
      <c r="BM30" s="1108">
        <v>2044.9888375314615</v>
      </c>
      <c r="BN30" s="1108">
        <v>2036.0412987648415</v>
      </c>
      <c r="BO30" s="1108">
        <v>2029.3969642570571</v>
      </c>
      <c r="BP30" s="1108">
        <v>2110.9196435989616</v>
      </c>
      <c r="BQ30" s="1108">
        <v>2122.4185556368338</v>
      </c>
      <c r="BR30" s="1108">
        <v>2105.5859734140281</v>
      </c>
      <c r="BS30" s="1108">
        <v>2113.7314142587561</v>
      </c>
      <c r="BT30" s="1108">
        <v>2185.2523415601559</v>
      </c>
      <c r="BU30" s="1108">
        <v>2307.3540845684001</v>
      </c>
      <c r="BV30" s="1108">
        <v>2267.5022978607999</v>
      </c>
      <c r="BW30" s="1108">
        <v>2318.2040141706302</v>
      </c>
      <c r="BX30" s="1108">
        <v>2392.376260191395</v>
      </c>
      <c r="BY30" s="1108">
        <v>2400.9738071629499</v>
      </c>
      <c r="BZ30" s="1108">
        <v>2359.291729490375</v>
      </c>
      <c r="CA30" s="1108">
        <v>2412.8499983165002</v>
      </c>
      <c r="CB30" s="1108">
        <v>2490.607162094575</v>
      </c>
      <c r="CC30" s="1108">
        <v>2498.6220764382201</v>
      </c>
      <c r="CD30" s="1108">
        <v>2455.0230622035251</v>
      </c>
      <c r="CE30" s="1108">
        <v>2511.5903551727852</v>
      </c>
      <c r="CF30" s="1108">
        <v>2593.1079717597249</v>
      </c>
    </row>
    <row r="31" spans="4:84" ht="14.45" hidden="1" outlineLevel="1">
      <c r="D31" s="1432"/>
      <c r="E31" s="1440"/>
      <c r="F31" s="1106" t="s">
        <v>1069</v>
      </c>
      <c r="O31" s="1109">
        <v>10.246113991602908</v>
      </c>
      <c r="Q31" s="1109">
        <v>5.7975320262976169</v>
      </c>
      <c r="S31" s="1109">
        <v>9.4570203897085445</v>
      </c>
      <c r="T31" s="1109">
        <v>12.206418809759551</v>
      </c>
      <c r="U31" s="1109">
        <v>13.625413234486796</v>
      </c>
      <c r="V31" s="1109">
        <v>10.283038860961561</v>
      </c>
      <c r="W31" s="1109">
        <v>6.5321111983115214</v>
      </c>
      <c r="X31" s="1109">
        <v>-7.632695961809495E-2</v>
      </c>
      <c r="Y31" s="1109">
        <v>8.8310023736420629</v>
      </c>
      <c r="Z31" s="1109">
        <v>9.7726510927464467</v>
      </c>
      <c r="AA31" s="1109">
        <v>10.801931697711552</v>
      </c>
      <c r="AB31" s="1109">
        <v>10.761711840645164</v>
      </c>
      <c r="AC31" s="1109">
        <v>9.4523079082392186E-2</v>
      </c>
      <c r="AD31" s="1109">
        <v>-3.0186279987876907</v>
      </c>
      <c r="AE31" s="1109">
        <v>-0.95890127560283922</v>
      </c>
      <c r="AF31" s="1109">
        <v>-4.4043088514414963</v>
      </c>
      <c r="AG31" s="1109">
        <v>1.1808118081180812</v>
      </c>
      <c r="AH31" s="1109">
        <v>4.6681254558716265</v>
      </c>
      <c r="AI31" s="1109">
        <v>7.664497469269703</v>
      </c>
      <c r="AJ31" s="1109">
        <v>8.2344731332868104</v>
      </c>
      <c r="AK31" s="1109">
        <v>5.7622173595915394</v>
      </c>
      <c r="AL31" s="1109">
        <v>5.9930313588850179</v>
      </c>
      <c r="AM31" s="1109">
        <v>3.5594358629952985</v>
      </c>
      <c r="AN31" s="1109">
        <v>3.8684719535783367</v>
      </c>
      <c r="AO31" s="1109">
        <v>6.5517241379310347</v>
      </c>
      <c r="AP31" s="1109">
        <v>5.982905982905983</v>
      </c>
      <c r="AQ31" s="1109">
        <v>5.9014267185473406</v>
      </c>
      <c r="AR31" s="1109">
        <v>0.49658597144630662</v>
      </c>
      <c r="AS31" s="1109">
        <v>5.9546925566343045</v>
      </c>
      <c r="AT31" s="1109">
        <v>5.1488833746898264</v>
      </c>
      <c r="AU31" s="1109">
        <v>10.41028781383956</v>
      </c>
      <c r="AV31" s="1109">
        <v>11.673872760963558</v>
      </c>
      <c r="AW31" s="1109">
        <v>9.4074526572999382</v>
      </c>
      <c r="AX31" s="1109">
        <v>7.5516224188790559</v>
      </c>
      <c r="AY31" s="1109">
        <v>4.8807542983915697</v>
      </c>
      <c r="AZ31" s="1109">
        <v>5.1991150442477876</v>
      </c>
      <c r="BA31" s="1109">
        <v>4.7459519821328868</v>
      </c>
      <c r="BB31" s="1109">
        <v>2.1393307734503564</v>
      </c>
      <c r="BC31" s="1109">
        <v>-2.8498949259922819</v>
      </c>
      <c r="BD31" s="1109">
        <v>-0.26924899504011057</v>
      </c>
      <c r="BE31" s="1109">
        <v>1.0516428817782759</v>
      </c>
      <c r="BF31" s="1109">
        <v>1.5454414023569396</v>
      </c>
      <c r="BG31" s="1109">
        <v>2.3853581569165478</v>
      </c>
      <c r="BH31" s="1109">
        <v>2.5516081187094795</v>
      </c>
      <c r="BI31" s="1109">
        <v>2.6482925038820673</v>
      </c>
      <c r="BJ31" s="1109">
        <v>2.5413395073204752</v>
      </c>
      <c r="BK31" s="1109">
        <v>2.5187336629055381</v>
      </c>
      <c r="BL31" s="1109">
        <v>2.9057295104937753</v>
      </c>
      <c r="BM31" s="1109">
        <v>5.0903889984075956</v>
      </c>
      <c r="BN31" s="1109">
        <v>5.0140694014885812</v>
      </c>
      <c r="BO31" s="1109">
        <v>5.2424902963962241</v>
      </c>
      <c r="BP31" s="1109">
        <v>5.4508460650325645</v>
      </c>
      <c r="BQ31" s="1109">
        <v>3.7863149511778742</v>
      </c>
      <c r="BR31" s="1109">
        <v>3.4156809437694462</v>
      </c>
      <c r="BS31" s="1109">
        <v>4.1556408867780599</v>
      </c>
      <c r="BT31" s="1109">
        <v>3.5213419035914866</v>
      </c>
      <c r="BU31" s="1109">
        <v>8.7134334761823737</v>
      </c>
      <c r="BV31" s="1109">
        <v>7.6898462704060613</v>
      </c>
      <c r="BW31" s="1109">
        <v>9.6735374481614826</v>
      </c>
      <c r="BX31" s="1109">
        <v>9.4782609171517223</v>
      </c>
      <c r="BY31" s="1109">
        <v>4.057449319143478</v>
      </c>
      <c r="BZ31" s="1109">
        <v>4.0480413941000553</v>
      </c>
      <c r="CA31" s="1109">
        <v>4.0827288524789704</v>
      </c>
      <c r="CB31" s="1109">
        <v>4.1059971852137211</v>
      </c>
      <c r="CC31" s="1109">
        <v>4.0670276778510051</v>
      </c>
      <c r="CD31" s="1109">
        <v>4.0576301572433682</v>
      </c>
      <c r="CE31" s="1109">
        <v>4.0922708384349766</v>
      </c>
      <c r="CF31" s="1109">
        <v>4.1154948570431253</v>
      </c>
    </row>
    <row r="32" spans="4:84" ht="14.45" hidden="1" outlineLevel="1" collapsed="1">
      <c r="D32" s="1432"/>
      <c r="E32" s="1440"/>
      <c r="F32" s="1106"/>
    </row>
    <row r="33" spans="4:84" ht="14.45" collapsed="1">
      <c r="D33" s="1435" t="s">
        <v>1077</v>
      </c>
      <c r="E33" s="1433" t="s">
        <v>1067</v>
      </c>
      <c r="F33" s="1107" t="s">
        <v>1068</v>
      </c>
      <c r="O33" s="1108">
        <v>72.491680331956672</v>
      </c>
      <c r="Q33" s="1108">
        <v>71.345518780821251</v>
      </c>
      <c r="S33" s="1108">
        <v>-9.5337920513563663</v>
      </c>
      <c r="T33" s="1108">
        <v>-312.40226898757123</v>
      </c>
      <c r="U33" s="1108">
        <v>98.79833355758673</v>
      </c>
      <c r="V33" s="1108">
        <v>65.499265780097502</v>
      </c>
      <c r="W33" s="1108">
        <v>33.746905171764276</v>
      </c>
      <c r="X33" s="1108">
        <v>-298.9082920932305</v>
      </c>
      <c r="Y33" s="1108">
        <v>65.580299292349082</v>
      </c>
      <c r="Z33" s="1108">
        <v>84.036376848805119</v>
      </c>
      <c r="AA33" s="1108">
        <v>39.907189031262632</v>
      </c>
      <c r="AB33" s="1108">
        <v>43.134568699826332</v>
      </c>
      <c r="AC33" s="1108">
        <v>53</v>
      </c>
      <c r="AD33" s="1108">
        <v>55</v>
      </c>
      <c r="AE33" s="1108">
        <v>50</v>
      </c>
      <c r="AF33" s="1108">
        <v>58</v>
      </c>
      <c r="AG33" s="1108">
        <v>55</v>
      </c>
      <c r="AH33" s="1108">
        <v>61</v>
      </c>
      <c r="AI33" s="1108">
        <v>64</v>
      </c>
      <c r="AJ33" s="1108">
        <v>64</v>
      </c>
      <c r="AK33" s="1108">
        <v>59</v>
      </c>
      <c r="AL33" s="1108">
        <v>66</v>
      </c>
      <c r="AM33" s="1108">
        <v>54</v>
      </c>
      <c r="AN33" s="1108">
        <v>60</v>
      </c>
      <c r="AO33" s="1108">
        <v>108</v>
      </c>
      <c r="AP33" s="1108">
        <v>138</v>
      </c>
      <c r="AQ33" s="1108">
        <v>158</v>
      </c>
      <c r="AR33" s="1108">
        <v>174</v>
      </c>
      <c r="AS33" s="1108">
        <v>154</v>
      </c>
      <c r="AT33" s="1108">
        <v>177</v>
      </c>
      <c r="AU33" s="1108">
        <v>111</v>
      </c>
      <c r="AV33" s="1108">
        <v>106</v>
      </c>
      <c r="AW33" s="1108">
        <v>104</v>
      </c>
      <c r="AX33" s="1108">
        <v>57</v>
      </c>
      <c r="AY33" s="1108">
        <v>122</v>
      </c>
      <c r="AZ33" s="1108">
        <v>175</v>
      </c>
      <c r="BA33" s="1108">
        <v>61</v>
      </c>
      <c r="BB33" s="1108">
        <v>52</v>
      </c>
      <c r="BC33" s="1108">
        <v>71.527777777777828</v>
      </c>
      <c r="BD33" s="1108">
        <v>83.507068888888838</v>
      </c>
      <c r="BE33" s="1108">
        <v>73.345882352941175</v>
      </c>
      <c r="BF33" s="1108">
        <v>63.315294117647056</v>
      </c>
      <c r="BG33" s="1108">
        <v>73.415176470588236</v>
      </c>
      <c r="BH33" s="1108">
        <v>86.392000941176349</v>
      </c>
      <c r="BI33" s="1108">
        <v>73.260666666666665</v>
      </c>
      <c r="BJ33" s="1108">
        <v>61.282666666666664</v>
      </c>
      <c r="BK33" s="1108">
        <v>73.703000000000003</v>
      </c>
      <c r="BL33" s="1108">
        <v>89.726701028571313</v>
      </c>
      <c r="BM33" s="1108">
        <v>95.769428571428577</v>
      </c>
      <c r="BN33" s="1108">
        <v>74.218285714285713</v>
      </c>
      <c r="BO33" s="1108">
        <v>80.921199999999999</v>
      </c>
      <c r="BP33" s="1108">
        <v>107.12245714285714</v>
      </c>
      <c r="BQ33" s="1108">
        <v>109.6772</v>
      </c>
      <c r="BR33" s="1108">
        <v>83.105599999999995</v>
      </c>
      <c r="BS33" s="1108">
        <v>79.909679999999994</v>
      </c>
      <c r="BT33" s="1108">
        <v>105.01143999999999</v>
      </c>
      <c r="BU33" s="1108">
        <v>30.5</v>
      </c>
      <c r="BV33" s="1108">
        <v>26</v>
      </c>
      <c r="BW33" s="1108">
        <v>61</v>
      </c>
      <c r="BX33" s="1108">
        <v>87.500000000024997</v>
      </c>
      <c r="BY33" s="1108">
        <v>30.5</v>
      </c>
      <c r="BZ33" s="1108">
        <v>26.000000000025</v>
      </c>
      <c r="CA33" s="1108">
        <v>60.999999999975003</v>
      </c>
      <c r="CB33" s="1108">
        <v>87.499999999980005</v>
      </c>
      <c r="CC33" s="1108">
        <v>30.500000000010001</v>
      </c>
      <c r="CD33" s="1108">
        <v>25.999999999980002</v>
      </c>
      <c r="CE33" s="1108">
        <v>61.000000000005002</v>
      </c>
      <c r="CF33" s="1108">
        <v>87.500000000005002</v>
      </c>
    </row>
    <row r="34" spans="4:84" ht="14.45" hidden="1" outlineLevel="1">
      <c r="D34" s="1432"/>
      <c r="E34" s="1440"/>
      <c r="F34" s="1107" t="s">
        <v>1069</v>
      </c>
      <c r="U34" s="1109">
        <v>36.289203264658269</v>
      </c>
      <c r="V34" s="1109">
        <v>-8.1942819964402727</v>
      </c>
      <c r="W34" s="1109">
        <v>453.97148364446576</v>
      </c>
      <c r="X34" s="1109">
        <v>4.3194234593979797</v>
      </c>
      <c r="Y34" s="1109">
        <v>-33.622059268718132</v>
      </c>
      <c r="Z34" s="1109">
        <v>28.301250171174093</v>
      </c>
      <c r="AA34" s="1109">
        <v>18.254366817175903</v>
      </c>
      <c r="AB34" s="1109">
        <v>114.43070327616489</v>
      </c>
      <c r="AC34" s="1109">
        <v>-19.183046475996733</v>
      </c>
      <c r="AD34" s="1109">
        <v>-34.552152219801435</v>
      </c>
      <c r="AE34" s="1109">
        <v>25.29070880144133</v>
      </c>
      <c r="AF34" s="1109">
        <v>34.462918601602986</v>
      </c>
      <c r="AG34" s="1109">
        <v>3.7735849056603774</v>
      </c>
      <c r="AH34" s="1109">
        <v>10.909090909090908</v>
      </c>
      <c r="AI34" s="1109">
        <v>28.000000000000004</v>
      </c>
      <c r="AJ34" s="1109">
        <v>10.344827586206897</v>
      </c>
      <c r="AK34" s="1109">
        <v>7.2727272727272725</v>
      </c>
      <c r="AL34" s="1109">
        <v>8.1967213114754092</v>
      </c>
      <c r="AM34" s="1109">
        <v>-15.625</v>
      </c>
      <c r="AN34" s="1109">
        <v>-6.25</v>
      </c>
      <c r="AO34" s="1109">
        <v>83.050847457627114</v>
      </c>
      <c r="AP34" s="1109">
        <v>109.09090909090908</v>
      </c>
      <c r="AQ34" s="1109">
        <v>192.59259259259258</v>
      </c>
      <c r="AR34" s="1109">
        <v>190</v>
      </c>
      <c r="AS34" s="1109">
        <v>42.592592592592595</v>
      </c>
      <c r="AT34" s="1109">
        <v>28.260869565217391</v>
      </c>
      <c r="AU34" s="1109">
        <v>-29.746835443037973</v>
      </c>
      <c r="AV34" s="1109">
        <v>-39.080459770114942</v>
      </c>
      <c r="AW34" s="1109">
        <v>-32.467532467532465</v>
      </c>
      <c r="AX34" s="1109">
        <v>-67.796610169491515</v>
      </c>
      <c r="AY34" s="1109">
        <v>9.9099099099099099</v>
      </c>
      <c r="AZ34" s="1109">
        <v>65.094339622641513</v>
      </c>
      <c r="BA34" s="1109">
        <v>-41.346153846153847</v>
      </c>
      <c r="BB34" s="1109">
        <v>-8.7719298245614024</v>
      </c>
      <c r="BC34" s="1109">
        <v>-41.370673952641127</v>
      </c>
      <c r="BD34" s="1109">
        <v>-52.281674920634948</v>
      </c>
      <c r="BE34" s="1109">
        <v>20.239151398264219</v>
      </c>
      <c r="BF34" s="1109">
        <v>21.76018099547511</v>
      </c>
      <c r="BG34" s="1109">
        <v>2.6386933181038685</v>
      </c>
      <c r="BH34" s="1109">
        <v>3.4547159787467638</v>
      </c>
      <c r="BI34" s="1109">
        <v>-0.11618332691731793</v>
      </c>
      <c r="BJ34" s="1109">
        <v>-3.2103261610118055</v>
      </c>
      <c r="BK34" s="1109">
        <v>0.39204908746228484</v>
      </c>
      <c r="BL34" s="1109">
        <v>3.8599639446544778</v>
      </c>
      <c r="BM34" s="1109">
        <v>30.724211133889824</v>
      </c>
      <c r="BN34" s="1109">
        <v>21.108120372730273</v>
      </c>
      <c r="BO34" s="1109">
        <v>9.7936311954737203</v>
      </c>
      <c r="BP34" s="1109">
        <v>19.387491030954731</v>
      </c>
      <c r="BQ34" s="1109">
        <v>14.522140975497692</v>
      </c>
      <c r="BR34" s="1109">
        <v>11.974561525076604</v>
      </c>
      <c r="BS34" s="1109">
        <v>-1.2500061788505414</v>
      </c>
      <c r="BT34" s="1109">
        <v>-1.9706578799270118</v>
      </c>
      <c r="BU34" s="1109">
        <v>-72.19112085282994</v>
      </c>
      <c r="BV34" s="1109">
        <v>-68.714502993781394</v>
      </c>
      <c r="BW34" s="1109">
        <v>-23.663816448770657</v>
      </c>
      <c r="BX34" s="1109">
        <v>-16.675745042611545</v>
      </c>
      <c r="BY34" s="1109">
        <v>0</v>
      </c>
      <c r="BZ34" s="1109">
        <v>9.6155562145073551E-11</v>
      </c>
      <c r="CA34" s="1109">
        <v>-4.0978513842689052E-11</v>
      </c>
      <c r="CB34" s="1109">
        <v>-5.1418932603790503E-11</v>
      </c>
      <c r="CC34" s="1109">
        <v>3.2789800019093149E-11</v>
      </c>
      <c r="CD34" s="1109">
        <v>-1.7307181329093799E-10</v>
      </c>
      <c r="CE34" s="1109">
        <v>4.9178875907874952E-11</v>
      </c>
      <c r="CF34" s="1109">
        <v>2.85678782217669E-11</v>
      </c>
    </row>
    <row r="35" spans="4:84" ht="14.45" hidden="1" outlineLevel="1" collapsed="1">
      <c r="D35" s="1432"/>
      <c r="E35" s="1440"/>
      <c r="F35" s="1107"/>
    </row>
    <row r="36" spans="4:84" ht="14.45" collapsed="1">
      <c r="D36" s="1434" t="s">
        <v>1078</v>
      </c>
      <c r="E36" s="1433" t="s">
        <v>1067</v>
      </c>
      <c r="F36" s="1106" t="s">
        <v>1068</v>
      </c>
      <c r="G36" s="1108">
        <v>4553.0256156321429</v>
      </c>
      <c r="I36" s="1108">
        <v>5198.7262404662997</v>
      </c>
      <c r="K36" s="1108">
        <v>4998.4664370917599</v>
      </c>
      <c r="M36" s="1108">
        <v>5724.6368131657437</v>
      </c>
      <c r="O36" s="1108">
        <v>4859</v>
      </c>
      <c r="Q36" s="1108">
        <v>5521</v>
      </c>
      <c r="S36" s="1108">
        <v>5287</v>
      </c>
      <c r="T36" s="1108">
        <v>6065</v>
      </c>
      <c r="U36" s="1108">
        <v>5475</v>
      </c>
      <c r="V36" s="1108">
        <v>6041</v>
      </c>
      <c r="W36" s="1108">
        <v>5903</v>
      </c>
      <c r="X36" s="1108">
        <v>6296</v>
      </c>
      <c r="Y36" s="1108">
        <v>5583</v>
      </c>
      <c r="Z36" s="1108">
        <v>6260</v>
      </c>
      <c r="AA36" s="1108">
        <v>5923</v>
      </c>
      <c r="AB36" s="1108">
        <v>7186</v>
      </c>
      <c r="AC36" s="1108">
        <v>6097</v>
      </c>
      <c r="AD36" s="1108">
        <v>6758</v>
      </c>
      <c r="AE36" s="1108">
        <v>6730</v>
      </c>
      <c r="AF36" s="1108">
        <v>7822</v>
      </c>
      <c r="AG36" s="1108">
        <v>6922</v>
      </c>
      <c r="AH36" s="1108">
        <v>7795</v>
      </c>
      <c r="AI36" s="1108">
        <v>7896</v>
      </c>
      <c r="AJ36" s="1108">
        <v>9606</v>
      </c>
      <c r="AK36" s="1108">
        <v>8567</v>
      </c>
      <c r="AL36" s="1108">
        <v>9378</v>
      </c>
      <c r="AM36" s="1108">
        <v>9649</v>
      </c>
      <c r="AN36" s="1108">
        <v>11391</v>
      </c>
      <c r="AO36" s="1108">
        <v>10845</v>
      </c>
      <c r="AP36" s="1108">
        <v>11869</v>
      </c>
      <c r="AQ36" s="1108">
        <v>12281</v>
      </c>
      <c r="AR36" s="1108">
        <v>13371</v>
      </c>
      <c r="AS36" s="1108">
        <v>12986</v>
      </c>
      <c r="AT36" s="1108">
        <v>14601</v>
      </c>
      <c r="AU36" s="1108">
        <v>15118</v>
      </c>
      <c r="AV36" s="1108">
        <v>17375</v>
      </c>
      <c r="AW36" s="1108">
        <v>16964</v>
      </c>
      <c r="AX36" s="1108">
        <v>18262</v>
      </c>
      <c r="AY36" s="1108">
        <v>19051</v>
      </c>
      <c r="AZ36" s="1108">
        <v>20909</v>
      </c>
      <c r="BA36" s="1108">
        <v>20325</v>
      </c>
      <c r="BB36" s="1108">
        <v>21508</v>
      </c>
      <c r="BC36" s="1108">
        <v>21869.884574423617</v>
      </c>
      <c r="BD36" s="1108">
        <v>23858.676269355645</v>
      </c>
      <c r="BE36" s="1108">
        <v>23589.362182921239</v>
      </c>
      <c r="BF36" s="1108">
        <v>24907.306935713292</v>
      </c>
      <c r="BG36" s="1108">
        <v>25510.651048384534</v>
      </c>
      <c r="BH36" s="1108">
        <v>27682.610028441948</v>
      </c>
      <c r="BI36" s="1108">
        <v>27795.210655362844</v>
      </c>
      <c r="BJ36" s="1108">
        <v>29396.356075926411</v>
      </c>
      <c r="BK36" s="1108">
        <v>30187.460822320019</v>
      </c>
      <c r="BL36" s="1108">
        <v>32814.611989653735</v>
      </c>
      <c r="BM36" s="1108">
        <v>32584.559619023028</v>
      </c>
      <c r="BN36" s="1108">
        <v>34339.360772259774</v>
      </c>
      <c r="BO36" s="1108">
        <v>35113.58125598677</v>
      </c>
      <c r="BP36" s="1108">
        <v>38275.241151112758</v>
      </c>
      <c r="BQ36" s="1108">
        <v>38006.461734494616</v>
      </c>
      <c r="BR36" s="1108">
        <v>40036.890763872179</v>
      </c>
      <c r="BS36" s="1108">
        <v>40926.352788955119</v>
      </c>
      <c r="BT36" s="1108">
        <v>44566.603051287777</v>
      </c>
      <c r="BU36" s="1108">
        <v>38157.973800152053</v>
      </c>
      <c r="BV36" s="1108">
        <v>39861.055006699702</v>
      </c>
      <c r="BW36" s="1108">
        <v>41493.931852756403</v>
      </c>
      <c r="BX36" s="1108">
        <v>45795.086375938699</v>
      </c>
      <c r="BY36" s="1108">
        <v>41041.610370083952</v>
      </c>
      <c r="BZ36" s="1108">
        <v>42899.364105447348</v>
      </c>
      <c r="CA36" s="1108">
        <v>44700.962374070848</v>
      </c>
      <c r="CB36" s="1108">
        <v>49312.887973846351</v>
      </c>
      <c r="CC36" s="1108">
        <v>43320.59132614085</v>
      </c>
      <c r="CD36" s="1108">
        <v>45305.479551126649</v>
      </c>
      <c r="CE36" s="1108">
        <v>47237.664175306702</v>
      </c>
      <c r="CF36" s="1108">
        <v>52094.1849330923</v>
      </c>
    </row>
    <row r="37" spans="4:84" ht="14.45" hidden="1" outlineLevel="1">
      <c r="D37" s="1432"/>
      <c r="E37" s="1440"/>
      <c r="F37" s="1106" t="s">
        <v>1069</v>
      </c>
      <c r="O37" s="1109">
        <v>6.7202429812241578</v>
      </c>
      <c r="Q37" s="1109">
        <v>6.1990907893006106</v>
      </c>
      <c r="S37" s="1109">
        <v>5.7724417386728835</v>
      </c>
      <c r="T37" s="1109">
        <v>5.9455856841690951</v>
      </c>
      <c r="U37" s="1109">
        <v>12.67750565960074</v>
      </c>
      <c r="V37" s="1109">
        <v>9.4185835899293604</v>
      </c>
      <c r="W37" s="1109">
        <v>11.651219973519956</v>
      </c>
      <c r="X37" s="1109">
        <v>3.8087386644682608</v>
      </c>
      <c r="Y37" s="1109">
        <v>1.9726027397260273</v>
      </c>
      <c r="Z37" s="1109">
        <v>3.6252276113226287</v>
      </c>
      <c r="AA37" s="1109">
        <v>0.33881077418261901</v>
      </c>
      <c r="AB37" s="1109">
        <v>14.135959339263025</v>
      </c>
      <c r="AC37" s="1109">
        <v>9.2065197922264019</v>
      </c>
      <c r="AD37" s="1109">
        <v>7.9552715654952078</v>
      </c>
      <c r="AE37" s="1109">
        <v>13.624852270808713</v>
      </c>
      <c r="AF37" s="1109">
        <v>8.850542721959366</v>
      </c>
      <c r="AG37" s="1109">
        <v>13.531244874528456</v>
      </c>
      <c r="AH37" s="1109">
        <v>15.344776561112756</v>
      </c>
      <c r="AI37" s="1109">
        <v>17.325408618127785</v>
      </c>
      <c r="AJ37" s="1109">
        <v>22.807466121196626</v>
      </c>
      <c r="AK37" s="1109">
        <v>23.764807859000289</v>
      </c>
      <c r="AL37" s="1109">
        <v>20.307889672867223</v>
      </c>
      <c r="AM37" s="1109">
        <v>22.20111448834853</v>
      </c>
      <c r="AN37" s="1109">
        <v>18.582136164896941</v>
      </c>
      <c r="AO37" s="1109">
        <v>26.590405042605347</v>
      </c>
      <c r="AP37" s="1109">
        <v>26.562166773299211</v>
      </c>
      <c r="AQ37" s="1109">
        <v>27.277438076484611</v>
      </c>
      <c r="AR37" s="1109">
        <v>17.382143797735054</v>
      </c>
      <c r="AS37" s="1109">
        <v>19.741816505301983</v>
      </c>
      <c r="AT37" s="1109">
        <v>23.017945909512175</v>
      </c>
      <c r="AU37" s="1109">
        <v>23.100724696685937</v>
      </c>
      <c r="AV37" s="1109">
        <v>29.945404233041657</v>
      </c>
      <c r="AW37" s="1109">
        <v>30.63298937317111</v>
      </c>
      <c r="AX37" s="1109">
        <v>25.073625094171632</v>
      </c>
      <c r="AY37" s="1109">
        <v>26.015345945230848</v>
      </c>
      <c r="AZ37" s="1109">
        <v>20.339568345323741</v>
      </c>
      <c r="BA37" s="1109">
        <v>19.812544211270929</v>
      </c>
      <c r="BB37" s="1109">
        <v>17.774613952469608</v>
      </c>
      <c r="BC37" s="1109">
        <v>14.796517633843981</v>
      </c>
      <c r="BD37" s="1109">
        <v>14.107208710869218</v>
      </c>
      <c r="BE37" s="1109">
        <v>16.060822548197979</v>
      </c>
      <c r="BF37" s="1109">
        <v>15.804849059481549</v>
      </c>
      <c r="BG37" s="1109">
        <v>16.647396841859511</v>
      </c>
      <c r="BH37" s="1109">
        <v>16.027434698872238</v>
      </c>
      <c r="BI37" s="1109">
        <v>17.829428535743329</v>
      </c>
      <c r="BJ37" s="1109">
        <v>18.023020922332254</v>
      </c>
      <c r="BK37" s="1109">
        <v>18.33277310353726</v>
      </c>
      <c r="BL37" s="1109">
        <v>18.538721442591623</v>
      </c>
      <c r="BM37" s="1109">
        <v>17.23084247514462</v>
      </c>
      <c r="BN37" s="1109">
        <v>16.815025248593116</v>
      </c>
      <c r="BO37" s="1109">
        <v>16.318432552712327</v>
      </c>
      <c r="BP37" s="1109">
        <v>16.64084634973203</v>
      </c>
      <c r="BQ37" s="1109">
        <v>16.63948256126271</v>
      </c>
      <c r="BR37" s="1109">
        <v>16.591834744387608</v>
      </c>
      <c r="BS37" s="1109">
        <v>16.554197336329192</v>
      </c>
      <c r="BT37" s="1109">
        <v>16.4371580974144</v>
      </c>
      <c r="BU37" s="1109">
        <v>0.39864817387071882</v>
      </c>
      <c r="BV37" s="1109">
        <v>-0.4391843467803575</v>
      </c>
      <c r="BW37" s="1109">
        <v>1.3868303064485574</v>
      </c>
      <c r="BX37" s="1109">
        <v>2.756511020678801</v>
      </c>
      <c r="BY37" s="1109">
        <v>7.5571008697542759</v>
      </c>
      <c r="BZ37" s="1109">
        <v>7.622249582297755</v>
      </c>
      <c r="CA37" s="1109">
        <v>7.7289145138011435</v>
      </c>
      <c r="CB37" s="1109">
        <v>7.681613632147112</v>
      </c>
      <c r="CC37" s="1109">
        <v>5.5528546163434465</v>
      </c>
      <c r="CD37" s="1109">
        <v>5.6087438493610993</v>
      </c>
      <c r="CE37" s="1109">
        <v>5.6748259243458419</v>
      </c>
      <c r="CF37" s="1109">
        <v>5.6401015505744478</v>
      </c>
    </row>
    <row r="38" spans="4:84" ht="14.45" hidden="1" outlineLevel="1" collapsed="1">
      <c r="D38" s="1432"/>
      <c r="E38" s="1440"/>
      <c r="F38" s="1106"/>
    </row>
    <row r="39" spans="4:84" ht="14.45" collapsed="1">
      <c r="D39" s="1105" t="s">
        <v>366</v>
      </c>
      <c r="F39" s="1107" t="s">
        <v>1065</v>
      </c>
    </row>
    <row r="40" spans="4:84" ht="14.45">
      <c r="D40" s="1105" t="s">
        <v>1079</v>
      </c>
      <c r="F40" s="1107" t="s">
        <v>1065</v>
      </c>
    </row>
    <row r="41" spans="4:84" ht="14.45">
      <c r="D41" s="1435" t="s">
        <v>1080</v>
      </c>
      <c r="E41" s="1433" t="s">
        <v>1067</v>
      </c>
      <c r="F41" s="1106" t="s">
        <v>1068</v>
      </c>
      <c r="G41" s="1108">
        <v>4488.3050264347603</v>
      </c>
      <c r="I41" s="1108">
        <v>4836.537891513045</v>
      </c>
      <c r="K41" s="1108">
        <v>4152.91535419091</v>
      </c>
      <c r="M41" s="1108">
        <v>4243.3439296156403</v>
      </c>
      <c r="O41" s="1108">
        <v>4292.6903237024771</v>
      </c>
      <c r="Q41" s="1108">
        <v>4887.3601567962787</v>
      </c>
      <c r="S41" s="1108">
        <v>4405.7892754661352</v>
      </c>
      <c r="T41" s="1108">
        <v>4578.8647297283615</v>
      </c>
      <c r="U41" s="1108">
        <v>4442.8084947269126</v>
      </c>
      <c r="V41" s="1108">
        <v>4672.5071928029338</v>
      </c>
      <c r="W41" s="1108">
        <v>3944.0198930919296</v>
      </c>
      <c r="X41" s="1108">
        <v>3874.9249757824459</v>
      </c>
      <c r="Y41" s="1108">
        <v>4365.5889377562262</v>
      </c>
      <c r="Z41" s="1108">
        <v>4600.4558115434384</v>
      </c>
      <c r="AA41" s="1108">
        <v>3835.1799662213862</v>
      </c>
      <c r="AB41" s="1108">
        <v>4185.8213784678383</v>
      </c>
      <c r="AC41" s="1108">
        <v>4643</v>
      </c>
      <c r="AD41" s="1108">
        <v>4805</v>
      </c>
      <c r="AE41" s="1108">
        <v>4253</v>
      </c>
      <c r="AF41" s="1108">
        <v>4892</v>
      </c>
      <c r="AG41" s="1108">
        <v>4643</v>
      </c>
      <c r="AH41" s="1108">
        <v>4839</v>
      </c>
      <c r="AI41" s="1108">
        <v>4612</v>
      </c>
      <c r="AJ41" s="1108">
        <v>5424</v>
      </c>
      <c r="AK41" s="1108">
        <v>4901</v>
      </c>
      <c r="AL41" s="1108">
        <v>4758</v>
      </c>
      <c r="AM41" s="1108">
        <v>4944</v>
      </c>
      <c r="AN41" s="1108">
        <v>5792</v>
      </c>
      <c r="AO41" s="1108">
        <v>5353</v>
      </c>
      <c r="AP41" s="1108">
        <v>5593</v>
      </c>
      <c r="AQ41" s="1108">
        <v>5220</v>
      </c>
      <c r="AR41" s="1108">
        <v>6128</v>
      </c>
      <c r="AS41" s="1108">
        <v>5151</v>
      </c>
      <c r="AT41" s="1108">
        <v>5514</v>
      </c>
      <c r="AU41" s="1108">
        <v>5463</v>
      </c>
      <c r="AV41" s="1108">
        <v>6360</v>
      </c>
      <c r="AW41" s="1108">
        <v>5676</v>
      </c>
      <c r="AX41" s="1108">
        <v>6594</v>
      </c>
      <c r="AY41" s="1108">
        <v>6077</v>
      </c>
      <c r="AZ41" s="1108">
        <v>6414</v>
      </c>
      <c r="BA41" s="1108">
        <v>5313</v>
      </c>
      <c r="BB41" s="1108">
        <v>4808</v>
      </c>
      <c r="BC41" s="1108">
        <v>4636.6124552208912</v>
      </c>
      <c r="BD41" s="1108">
        <v>5616.5732258916441</v>
      </c>
      <c r="BE41" s="1108">
        <v>5143.2113578698636</v>
      </c>
      <c r="BF41" s="1108">
        <v>4923.9839550456209</v>
      </c>
      <c r="BG41" s="1108">
        <v>4771.0355072362299</v>
      </c>
      <c r="BH41" s="1108">
        <v>5770.5702945433632</v>
      </c>
      <c r="BI41" s="1108">
        <v>5395.6259762842046</v>
      </c>
      <c r="BJ41" s="1108">
        <v>5058.2400071329466</v>
      </c>
      <c r="BK41" s="1108">
        <v>4917.9567575025922</v>
      </c>
      <c r="BL41" s="1108">
        <v>5999.7681602674047</v>
      </c>
      <c r="BM41" s="1108">
        <v>5603.3046223298015</v>
      </c>
      <c r="BN41" s="1108">
        <v>5234.0502763800596</v>
      </c>
      <c r="BO41" s="1108">
        <v>5209.6942217983815</v>
      </c>
      <c r="BP41" s="1108">
        <v>6455.1817092221054</v>
      </c>
      <c r="BQ41" s="1108">
        <v>5923.2600081218798</v>
      </c>
      <c r="BR41" s="1108">
        <v>5524.1919902237596</v>
      </c>
      <c r="BS41" s="1108">
        <v>5560.5396663376723</v>
      </c>
      <c r="BT41" s="1108">
        <v>6708.4244139089951</v>
      </c>
      <c r="BU41" s="1108">
        <v>6271.1735505825454</v>
      </c>
      <c r="BV41" s="1108">
        <v>5725.8678627262898</v>
      </c>
      <c r="BW41" s="1108">
        <v>5695.8000510318152</v>
      </c>
      <c r="BX41" s="1108">
        <v>6620.8034704012698</v>
      </c>
      <c r="BY41" s="1108">
        <v>6468.1019432188004</v>
      </c>
      <c r="BZ41" s="1108">
        <v>5892.6066363262353</v>
      </c>
      <c r="CA41" s="1108">
        <v>5878.6069567302648</v>
      </c>
      <c r="CB41" s="1108">
        <v>6828.817311458175</v>
      </c>
      <c r="CC41" s="1108">
        <v>6574.3559823041351</v>
      </c>
      <c r="CD41" s="1108">
        <v>5978.3251702527004</v>
      </c>
      <c r="CE41" s="1108">
        <v>5979.5936728460747</v>
      </c>
      <c r="CF41" s="1108">
        <v>6941.2209934060347</v>
      </c>
    </row>
    <row r="42" spans="4:84" ht="14.45" hidden="1" outlineLevel="1">
      <c r="D42" s="1432"/>
      <c r="E42" s="1440"/>
      <c r="F42" s="1106" t="s">
        <v>1069</v>
      </c>
      <c r="O42" s="1109">
        <v>-4.3583201582818383</v>
      </c>
      <c r="Q42" s="1109">
        <v>1.0507984517688678</v>
      </c>
      <c r="S42" s="1109">
        <v>6.0890699594933428</v>
      </c>
      <c r="T42" s="1109">
        <v>7.906990469733441</v>
      </c>
      <c r="U42" s="1109">
        <v>3.4970650036305768</v>
      </c>
      <c r="V42" s="1109">
        <v>-4.3960943556527976</v>
      </c>
      <c r="W42" s="1109">
        <v>-10.480968414571986</v>
      </c>
      <c r="X42" s="1109">
        <v>-15.373674382114283</v>
      </c>
      <c r="Y42" s="1109">
        <v>-1.7380797993507235</v>
      </c>
      <c r="Z42" s="1109">
        <v>-1.5420282577729623</v>
      </c>
      <c r="AA42" s="1109">
        <v>-2.7596191150348877</v>
      </c>
      <c r="AB42" s="1109">
        <v>8.0232883121205312</v>
      </c>
      <c r="AC42" s="1109">
        <v>6.3544934303034557</v>
      </c>
      <c r="AD42" s="1109">
        <v>4.4461722237027139</v>
      </c>
      <c r="AE42" s="1109">
        <v>10.894404889955434</v>
      </c>
      <c r="AF42" s="1109">
        <v>16.870729963891783</v>
      </c>
      <c r="AG42" s="1109">
        <v>0</v>
      </c>
      <c r="AH42" s="1109">
        <v>0.70759625390218517</v>
      </c>
      <c r="AI42" s="1109">
        <v>8.4411003997178469</v>
      </c>
      <c r="AJ42" s="1109">
        <v>10.874897792313982</v>
      </c>
      <c r="AK42" s="1109">
        <v>5.5567520999353865</v>
      </c>
      <c r="AL42" s="1109">
        <v>-1.6738995660260385</v>
      </c>
      <c r="AM42" s="1109">
        <v>7.1986123156981785</v>
      </c>
      <c r="AN42" s="1109">
        <v>6.7846607669616521</v>
      </c>
      <c r="AO42" s="1109">
        <v>9.2226076310956948</v>
      </c>
      <c r="AP42" s="1109">
        <v>17.549390500210173</v>
      </c>
      <c r="AQ42" s="1109">
        <v>5.5825242718446608</v>
      </c>
      <c r="AR42" s="1109">
        <v>5.8011049723756907</v>
      </c>
      <c r="AS42" s="1109">
        <v>-3.7735849056603774</v>
      </c>
      <c r="AT42" s="1109">
        <v>-1.4124798855712499</v>
      </c>
      <c r="AU42" s="1109">
        <v>4.6551724137931041</v>
      </c>
      <c r="AV42" s="1109">
        <v>3.7859007832898173</v>
      </c>
      <c r="AW42" s="1109">
        <v>10.19219569015725</v>
      </c>
      <c r="AX42" s="1109">
        <v>19.586507072905331</v>
      </c>
      <c r="AY42" s="1109">
        <v>11.239245835621453</v>
      </c>
      <c r="AZ42" s="1109">
        <v>0.84905660377358494</v>
      </c>
      <c r="BA42" s="1109">
        <v>-6.395348837209303</v>
      </c>
      <c r="BB42" s="1109">
        <v>-27.085228996057019</v>
      </c>
      <c r="BC42" s="1109">
        <v>-23.702279821936955</v>
      </c>
      <c r="BD42" s="1109">
        <v>-12.432597039419331</v>
      </c>
      <c r="BE42" s="1109">
        <v>-3.1957207252049007</v>
      </c>
      <c r="BF42" s="1109">
        <v>2.4123118769887868</v>
      </c>
      <c r="BG42" s="1109">
        <v>2.8991651407910202</v>
      </c>
      <c r="BH42" s="1109">
        <v>2.7418331865026406</v>
      </c>
      <c r="BI42" s="1109">
        <v>4.9077240045387178</v>
      </c>
      <c r="BJ42" s="1109">
        <v>2.7265737117147424</v>
      </c>
      <c r="BK42" s="1109">
        <v>3.0794415602970622</v>
      </c>
      <c r="BL42" s="1109">
        <v>3.9718408064584274</v>
      </c>
      <c r="BM42" s="1109">
        <v>3.8490185746458758</v>
      </c>
      <c r="BN42" s="1109">
        <v>3.4757201911967739</v>
      </c>
      <c r="BO42" s="1109">
        <v>5.9320868133036964</v>
      </c>
      <c r="BP42" s="1109">
        <v>7.5905191132319239</v>
      </c>
      <c r="BQ42" s="1109">
        <v>5.7101194269720743</v>
      </c>
      <c r="BR42" s="1109">
        <v>5.543349767827717</v>
      </c>
      <c r="BS42" s="1109">
        <v>6.7344728807937475</v>
      </c>
      <c r="BT42" s="1109">
        <v>3.9230918058448778</v>
      </c>
      <c r="BU42" s="1109">
        <v>5.8736834443129649</v>
      </c>
      <c r="BV42" s="1109">
        <v>3.6507759480379902</v>
      </c>
      <c r="BW42" s="1109">
        <v>2.4325046274371633</v>
      </c>
      <c r="BX42" s="1109">
        <v>-1.3061329770080639</v>
      </c>
      <c r="BY42" s="1109">
        <v>3.1402159587492493</v>
      </c>
      <c r="BZ42" s="1109">
        <v>2.9120262220049766</v>
      </c>
      <c r="CA42" s="1109">
        <v>3.2095035650932551</v>
      </c>
      <c r="CB42" s="1109">
        <v>3.1418217137367774</v>
      </c>
      <c r="CC42" s="1109">
        <v>1.642739091283681</v>
      </c>
      <c r="CD42" s="1109">
        <v>1.4546793841291716</v>
      </c>
      <c r="CE42" s="1109">
        <v>1.7178681422168032</v>
      </c>
      <c r="CF42" s="1109">
        <v>1.6460197545372295</v>
      </c>
    </row>
    <row r="43" spans="4:84" ht="14.45" hidden="1" outlineLevel="1" collapsed="1">
      <c r="D43" s="1432"/>
      <c r="E43" s="1440"/>
      <c r="F43" s="1106"/>
    </row>
    <row r="44" spans="4:84" ht="14.45" collapsed="1">
      <c r="D44" s="1436" t="s">
        <v>1081</v>
      </c>
      <c r="E44" s="1433" t="s">
        <v>1067</v>
      </c>
      <c r="F44" s="1107" t="s">
        <v>1068</v>
      </c>
      <c r="I44" s="1108">
        <v>303.66666666666669</v>
      </c>
      <c r="K44" s="1108">
        <v>348.23655913978502</v>
      </c>
      <c r="M44" s="1108">
        <v>201.09677419354833</v>
      </c>
      <c r="O44" s="1108">
        <v>400</v>
      </c>
      <c r="Q44" s="1108">
        <v>893</v>
      </c>
      <c r="S44" s="1108">
        <v>494</v>
      </c>
      <c r="T44" s="1108">
        <v>409</v>
      </c>
      <c r="U44" s="1108">
        <v>908</v>
      </c>
      <c r="V44" s="1108">
        <v>1104</v>
      </c>
      <c r="W44" s="1108">
        <v>713</v>
      </c>
      <c r="X44" s="1108">
        <v>888</v>
      </c>
      <c r="Y44" s="1108">
        <v>672</v>
      </c>
      <c r="Z44" s="1108">
        <v>1352</v>
      </c>
      <c r="AA44" s="1108">
        <v>1111</v>
      </c>
      <c r="AB44" s="1108">
        <v>965</v>
      </c>
      <c r="AC44" s="1108">
        <v>926</v>
      </c>
      <c r="AD44" s="1108">
        <v>1321</v>
      </c>
      <c r="AE44" s="1108">
        <v>831</v>
      </c>
      <c r="AF44" s="1108">
        <v>948</v>
      </c>
      <c r="AG44" s="1108">
        <v>1037</v>
      </c>
      <c r="AH44" s="1108">
        <v>1335</v>
      </c>
      <c r="AI44" s="1108">
        <v>1094</v>
      </c>
      <c r="AJ44" s="1108">
        <v>1185</v>
      </c>
      <c r="AK44" s="1108">
        <v>1180</v>
      </c>
      <c r="AL44" s="1108">
        <v>1860</v>
      </c>
      <c r="AM44" s="1108">
        <v>1329</v>
      </c>
      <c r="AN44" s="1108">
        <v>1350</v>
      </c>
      <c r="AO44" s="1108">
        <v>1136</v>
      </c>
      <c r="AP44" s="1108">
        <v>1976</v>
      </c>
      <c r="AQ44" s="1108">
        <v>1340</v>
      </c>
      <c r="AR44" s="1108">
        <v>1724</v>
      </c>
      <c r="AS44" s="1108">
        <v>1553</v>
      </c>
      <c r="AT44" s="1108">
        <v>2045</v>
      </c>
      <c r="AU44" s="1108">
        <v>1504</v>
      </c>
      <c r="AV44" s="1108">
        <v>1376</v>
      </c>
      <c r="AW44" s="1108">
        <v>1286</v>
      </c>
      <c r="AX44" s="1108">
        <v>2207</v>
      </c>
      <c r="AY44" s="1108">
        <v>1699</v>
      </c>
      <c r="AZ44" s="1108">
        <v>1512</v>
      </c>
      <c r="BA44" s="1108">
        <v>1283.3790241915385</v>
      </c>
      <c r="BB44" s="1108">
        <v>1407.1942083333333</v>
      </c>
      <c r="BC44" s="1108">
        <v>998.97390694326373</v>
      </c>
      <c r="BD44" s="1108">
        <v>1107.0289297197467</v>
      </c>
      <c r="BE44" s="1108">
        <v>1122.8532457525109</v>
      </c>
      <c r="BF44" s="1108">
        <v>1405.2700390393984</v>
      </c>
      <c r="BG44" s="1108">
        <v>1153.8504108971581</v>
      </c>
      <c r="BH44" s="1108">
        <v>1184.2903469119874</v>
      </c>
      <c r="BI44" s="1108">
        <v>1176.8594908588575</v>
      </c>
      <c r="BJ44" s="1108">
        <v>1459.6357333362573</v>
      </c>
      <c r="BK44" s="1108">
        <v>1248.1565304959588</v>
      </c>
      <c r="BL44" s="1108">
        <v>1274.61916624746</v>
      </c>
      <c r="BM44" s="1108">
        <v>1374.3153683378966</v>
      </c>
      <c r="BN44" s="1108">
        <v>1608.0687594250201</v>
      </c>
      <c r="BO44" s="1108">
        <v>1231.2515539098767</v>
      </c>
      <c r="BP44" s="1108">
        <v>1403.1186706007834</v>
      </c>
      <c r="BQ44" s="1108">
        <v>1415.0387808360899</v>
      </c>
      <c r="BR44" s="1108">
        <v>1648.4329873607567</v>
      </c>
      <c r="BS44" s="1108">
        <v>1243.35262551864</v>
      </c>
      <c r="BT44" s="1108">
        <v>1460.81203059876</v>
      </c>
    </row>
    <row r="45" spans="4:84" ht="14.45" hidden="1" outlineLevel="1">
      <c r="D45" s="1432"/>
      <c r="E45" s="1440"/>
      <c r="F45" s="1107" t="s">
        <v>1069</v>
      </c>
      <c r="Q45" s="1109">
        <v>194.07244785949501</v>
      </c>
      <c r="S45" s="1109">
        <v>41.857592787006702</v>
      </c>
      <c r="T45" s="1109">
        <v>103.3846647417389</v>
      </c>
      <c r="U45" s="1109">
        <v>127</v>
      </c>
      <c r="V45" s="1109">
        <v>23.628219484882418</v>
      </c>
      <c r="W45" s="1109">
        <v>44.331983805668017</v>
      </c>
      <c r="X45" s="1109">
        <v>117.11491442542787</v>
      </c>
      <c r="Y45" s="1109">
        <v>-25.991189427312776</v>
      </c>
      <c r="Z45" s="1109">
        <v>22.463768115942027</v>
      </c>
      <c r="AA45" s="1109">
        <v>55.820476858345025</v>
      </c>
      <c r="AB45" s="1109">
        <v>8.6711711711711708</v>
      </c>
      <c r="AC45" s="1109">
        <v>37.797619047619044</v>
      </c>
      <c r="AD45" s="1109">
        <v>-2.2928994082840237</v>
      </c>
      <c r="AE45" s="1109">
        <v>-25.202520252025202</v>
      </c>
      <c r="AF45" s="1109">
        <v>-1.7616580310880827</v>
      </c>
      <c r="AG45" s="1109">
        <v>11.987041036717063</v>
      </c>
      <c r="AH45" s="1109">
        <v>1.0598031794095382</v>
      </c>
      <c r="AI45" s="1109">
        <v>31.648616125150419</v>
      </c>
      <c r="AJ45" s="1109">
        <v>25</v>
      </c>
      <c r="AK45" s="1109">
        <v>13.789778206364515</v>
      </c>
      <c r="AL45" s="1109">
        <v>39.325842696629216</v>
      </c>
      <c r="AM45" s="1109">
        <v>21.480804387568554</v>
      </c>
      <c r="AN45" s="1109">
        <v>13.924050632911392</v>
      </c>
      <c r="AO45" s="1109">
        <v>-3.7288135593220342</v>
      </c>
      <c r="AP45" s="1109">
        <v>6.236559139784946</v>
      </c>
      <c r="AQ45" s="1109">
        <v>0.82768999247554553</v>
      </c>
      <c r="AR45" s="1109">
        <v>27.703703703703702</v>
      </c>
      <c r="AS45" s="1109">
        <v>36.70774647887324</v>
      </c>
      <c r="AT45" s="1109">
        <v>3.4919028340080973</v>
      </c>
      <c r="AU45" s="1109">
        <v>12.238805970149254</v>
      </c>
      <c r="AV45" s="1109">
        <v>-20.185614849187935</v>
      </c>
      <c r="AW45" s="1109">
        <v>-17.192530585962654</v>
      </c>
      <c r="AX45" s="1109">
        <v>7.9217603911980436</v>
      </c>
      <c r="AY45" s="1109">
        <v>12.965425531914892</v>
      </c>
      <c r="AZ45" s="1109">
        <v>9.8837209302325579</v>
      </c>
      <c r="BA45" s="1109">
        <v>-0.20380838323961745</v>
      </c>
      <c r="BB45" s="1109">
        <v>-36.2395012082767</v>
      </c>
      <c r="BC45" s="1109">
        <v>-41.20224208691797</v>
      </c>
      <c r="BD45" s="1109">
        <v>-26.783800944461198</v>
      </c>
      <c r="BE45" s="1109">
        <v>-12.508056888349911</v>
      </c>
      <c r="BF45" s="1109">
        <v>-0.13673800549633475</v>
      </c>
      <c r="BG45" s="1109">
        <v>15.503558489109817</v>
      </c>
      <c r="BH45" s="1109">
        <v>6.9791687568454153</v>
      </c>
      <c r="BI45" s="1109">
        <v>4.8097331784576003</v>
      </c>
      <c r="BJ45" s="1109">
        <v>3.8687008750305187</v>
      </c>
      <c r="BK45" s="1109">
        <v>8.1731668774528998</v>
      </c>
      <c r="BL45" s="1109">
        <v>7.6272528583048214</v>
      </c>
      <c r="BM45" s="1109">
        <v>16.7782032615413</v>
      </c>
      <c r="BN45" s="1109">
        <v>10.169182810391511</v>
      </c>
      <c r="BO45" s="1109">
        <v>-1.3543955564102856</v>
      </c>
      <c r="BP45" s="1109">
        <v>10.081403744432311</v>
      </c>
      <c r="BQ45" s="1109">
        <v>2.9631781348297346</v>
      </c>
      <c r="BR45" s="1109">
        <v>2.510105845857562</v>
      </c>
      <c r="BS45" s="1109">
        <v>0.98282691058021054</v>
      </c>
      <c r="BT45" s="1109">
        <v>4.1117947616842416</v>
      </c>
    </row>
    <row r="46" spans="4:84" ht="14.45" hidden="1" outlineLevel="1" collapsed="1">
      <c r="D46" s="1432"/>
      <c r="E46" s="1440"/>
      <c r="F46" s="1107"/>
    </row>
    <row r="47" spans="4:84" ht="14.45" collapsed="1">
      <c r="D47" s="1436" t="s">
        <v>1082</v>
      </c>
      <c r="E47" s="1433" t="s">
        <v>1067</v>
      </c>
      <c r="F47" s="1106" t="s">
        <v>1068</v>
      </c>
      <c r="G47" s="1108">
        <v>120</v>
      </c>
      <c r="I47" s="1108">
        <v>120</v>
      </c>
      <c r="K47" s="1108">
        <v>60</v>
      </c>
      <c r="M47" s="1108">
        <v>100</v>
      </c>
      <c r="O47" s="1108">
        <v>99.267516842018367</v>
      </c>
      <c r="Q47" s="1108">
        <v>394.58788297791619</v>
      </c>
      <c r="S47" s="1108">
        <v>209.50993877064269</v>
      </c>
      <c r="T47" s="1108">
        <v>191.90127904396391</v>
      </c>
      <c r="U47" s="1108">
        <v>200.48966020545916</v>
      </c>
      <c r="V47" s="1108">
        <v>441.60013284695475</v>
      </c>
      <c r="W47" s="1108">
        <v>153.92122036268702</v>
      </c>
      <c r="X47" s="1108">
        <v>111.91228070175437</v>
      </c>
      <c r="Y47" s="1108">
        <v>319.20135480436164</v>
      </c>
      <c r="Z47" s="1108">
        <v>510.5625344144616</v>
      </c>
      <c r="AA47" s="1108">
        <v>350.58</v>
      </c>
      <c r="AB47" s="1108">
        <v>209.68473684210525</v>
      </c>
      <c r="AC47" s="1108">
        <v>436</v>
      </c>
      <c r="AD47" s="1108">
        <v>376</v>
      </c>
      <c r="AE47" s="1108">
        <v>127</v>
      </c>
      <c r="AF47" s="1108">
        <v>97</v>
      </c>
      <c r="AG47" s="1108">
        <v>117</v>
      </c>
      <c r="AH47" s="1108">
        <v>143</v>
      </c>
      <c r="AI47" s="1108">
        <v>125</v>
      </c>
      <c r="AJ47" s="1108">
        <v>98</v>
      </c>
      <c r="AK47" s="1108">
        <v>81</v>
      </c>
      <c r="AL47" s="1108">
        <v>88</v>
      </c>
      <c r="AM47" s="1108">
        <v>94</v>
      </c>
      <c r="AN47" s="1108">
        <v>113</v>
      </c>
      <c r="AO47" s="1108">
        <v>66</v>
      </c>
      <c r="AP47" s="1108">
        <v>72</v>
      </c>
      <c r="AQ47" s="1108">
        <v>72</v>
      </c>
      <c r="AR47" s="1108">
        <v>71</v>
      </c>
      <c r="AS47" s="1108">
        <v>67</v>
      </c>
      <c r="AT47" s="1108">
        <v>75</v>
      </c>
      <c r="AU47" s="1108">
        <v>95</v>
      </c>
      <c r="AV47" s="1108">
        <v>76</v>
      </c>
      <c r="AW47" s="1108">
        <v>87.39917692307661</v>
      </c>
      <c r="AX47" s="1108">
        <v>150</v>
      </c>
      <c r="AY47" s="1108">
        <v>65</v>
      </c>
      <c r="AZ47" s="1108">
        <v>88.498363636363621</v>
      </c>
      <c r="BA47" s="1108">
        <v>153.8975941815776</v>
      </c>
      <c r="BB47" s="1108">
        <v>6.06923728355964</v>
      </c>
      <c r="BC47" s="1108">
        <v>81.893129229410135</v>
      </c>
      <c r="BD47" s="1108">
        <v>62.156892214659713</v>
      </c>
      <c r="BE47" s="1108">
        <v>123.01212851105404</v>
      </c>
      <c r="BF47" s="1108">
        <v>-6.9649923436046697</v>
      </c>
      <c r="BG47" s="1108">
        <v>80.888598273235857</v>
      </c>
      <c r="BH47" s="1108">
        <v>67.157360674659714</v>
      </c>
      <c r="BI47" s="1108">
        <v>118.52641260116458</v>
      </c>
      <c r="BJ47" s="1108">
        <v>-6.3337846920406999</v>
      </c>
      <c r="BK47" s="1108">
        <v>79.30050335492605</v>
      </c>
      <c r="BL47" s="1108">
        <v>63.408838549698679</v>
      </c>
      <c r="BM47" s="1108">
        <v>94.330970901587435</v>
      </c>
      <c r="BN47" s="1108">
        <v>-16.760264411537001</v>
      </c>
      <c r="BO47" s="1108">
        <v>24.334653693428066</v>
      </c>
      <c r="BP47" s="1108">
        <v>9.5355935594666992</v>
      </c>
      <c r="BQ47" s="1108">
        <v>98.654540727269961</v>
      </c>
      <c r="BR47" s="1108">
        <v>-18.029730988985701</v>
      </c>
      <c r="BS47" s="1108">
        <v>25.319623147028999</v>
      </c>
      <c r="BT47" s="1108">
        <v>9.5268394950613668</v>
      </c>
    </row>
    <row r="48" spans="4:84" ht="14.45" hidden="1" outlineLevel="1">
      <c r="D48" s="1432"/>
      <c r="E48" s="1440"/>
      <c r="F48" s="1106" t="s">
        <v>1069</v>
      </c>
      <c r="O48" s="1109">
        <v>-17.277069298318029</v>
      </c>
      <c r="Q48" s="1109">
        <v>228.82323581493017</v>
      </c>
      <c r="S48" s="1109">
        <v>249.18323128440448</v>
      </c>
      <c r="T48" s="1109">
        <v>91.90127904396391</v>
      </c>
      <c r="U48" s="1109">
        <v>101.96904947721535</v>
      </c>
      <c r="V48" s="1109">
        <v>11.914265971433714</v>
      </c>
      <c r="W48" s="1109">
        <v>-26.532735742341291</v>
      </c>
      <c r="X48" s="1109">
        <v>-41.682368528603888</v>
      </c>
      <c r="Y48" s="1109">
        <v>59.210881238088945</v>
      </c>
      <c r="Z48" s="1109">
        <v>15.616481164286045</v>
      </c>
      <c r="AA48" s="1109">
        <v>127.76586566421624</v>
      </c>
      <c r="AB48" s="1109">
        <v>87.365261012697943</v>
      </c>
      <c r="AC48" s="1109">
        <v>36.590898953804313</v>
      </c>
      <c r="AD48" s="1109">
        <v>-26.355740060085797</v>
      </c>
      <c r="AE48" s="1109">
        <v>-63.774316846368876</v>
      </c>
      <c r="AF48" s="1109">
        <v>-53.740075953624611</v>
      </c>
      <c r="AG48" s="1109">
        <v>-73.165137614678898</v>
      </c>
      <c r="AH48" s="1109">
        <v>-61.968085106382972</v>
      </c>
      <c r="AI48" s="1109">
        <v>-1.5748031496062991</v>
      </c>
      <c r="AJ48" s="1109">
        <v>1.0309278350515463</v>
      </c>
      <c r="AK48" s="1109">
        <v>-30.76923076923077</v>
      </c>
      <c r="AL48" s="1109">
        <v>-38.461538461538467</v>
      </c>
      <c r="AM48" s="1109">
        <v>-24.8</v>
      </c>
      <c r="AN48" s="1109">
        <v>15.306122448979592</v>
      </c>
      <c r="AO48" s="1109">
        <v>-18.518518518518519</v>
      </c>
      <c r="AP48" s="1109">
        <v>-18.181818181818183</v>
      </c>
      <c r="AQ48" s="1109">
        <v>-23.404255319148938</v>
      </c>
      <c r="AR48" s="1109">
        <v>-37.168141592920357</v>
      </c>
      <c r="AS48" s="1109">
        <v>1.5151515151515151</v>
      </c>
      <c r="AT48" s="1109">
        <v>4.1666666666666661</v>
      </c>
      <c r="AU48" s="1109">
        <v>31.944444444444443</v>
      </c>
      <c r="AV48" s="1109">
        <v>7.042253521126761</v>
      </c>
      <c r="AW48" s="1109">
        <v>30.446532721009866</v>
      </c>
      <c r="AX48" s="1109">
        <v>100</v>
      </c>
      <c r="AY48" s="1109">
        <v>-31.578947368421051</v>
      </c>
      <c r="AZ48" s="1109">
        <v>16.445215311004766</v>
      </c>
      <c r="BA48" s="1109">
        <v>76.0858621323503</v>
      </c>
      <c r="BB48" s="1109">
        <v>-95.953841810960256</v>
      </c>
      <c r="BC48" s="1109">
        <v>25.989429583707903</v>
      </c>
      <c r="BD48" s="1109">
        <v>-29.76492484080271</v>
      </c>
      <c r="BE48" s="1109">
        <v>-20.068842423932264</v>
      </c>
      <c r="BF48" s="1109">
        <v>-214.75893952064541</v>
      </c>
      <c r="BG48" s="1109">
        <v>-1.2266364292421286</v>
      </c>
      <c r="BH48" s="1109">
        <v>8.0449138974497174</v>
      </c>
      <c r="BI48" s="1109">
        <v>-3.6465639316909888</v>
      </c>
      <c r="BJ48" s="1109">
        <v>9.0625749523407784</v>
      </c>
      <c r="BK48" s="1109">
        <v>-1.9633112109883974</v>
      </c>
      <c r="BL48" s="1109">
        <v>-5.581699589298263</v>
      </c>
      <c r="BM48" s="1109">
        <v>-20.413544262909223</v>
      </c>
      <c r="BN48" s="1109">
        <v>-164.6168953706092</v>
      </c>
      <c r="BO48" s="1109">
        <v>-69.313367930953461</v>
      </c>
      <c r="BP48" s="1109">
        <v>-84.961728084653572</v>
      </c>
      <c r="BQ48" s="1109">
        <v>4.5834043521010424</v>
      </c>
      <c r="BR48" s="1109">
        <v>-7.5742634261477235</v>
      </c>
      <c r="BS48" s="1109">
        <v>4.0476000439937962</v>
      </c>
      <c r="BT48" s="1109">
        <v>-9.1804084881968492E-2</v>
      </c>
    </row>
    <row r="49" spans="4:84" ht="14.45" hidden="1" outlineLevel="1" collapsed="1">
      <c r="D49" s="1432"/>
      <c r="E49" s="1440"/>
      <c r="F49" s="1106"/>
    </row>
    <row r="50" spans="4:84" ht="14.45" collapsed="1">
      <c r="D50" s="1435" t="s">
        <v>1083</v>
      </c>
      <c r="E50" s="1433" t="s">
        <v>1067</v>
      </c>
      <c r="F50" s="1107" t="s">
        <v>1068</v>
      </c>
      <c r="G50" s="1108">
        <v>120</v>
      </c>
      <c r="I50" s="1108">
        <v>293.18963545432251</v>
      </c>
      <c r="K50" s="1108">
        <v>332.92453334004654</v>
      </c>
      <c r="M50" s="1108">
        <v>215.33644151221469</v>
      </c>
      <c r="O50" s="1108">
        <v>400</v>
      </c>
      <c r="Q50" s="1108">
        <v>893</v>
      </c>
      <c r="S50" s="1108">
        <v>494</v>
      </c>
      <c r="T50" s="1108">
        <v>482.11738657680093</v>
      </c>
      <c r="U50" s="1108">
        <v>908</v>
      </c>
      <c r="V50" s="1108">
        <v>1104</v>
      </c>
      <c r="W50" s="1108">
        <v>713</v>
      </c>
      <c r="X50" s="1108">
        <v>888</v>
      </c>
      <c r="Y50" s="1108">
        <v>849.4007526690898</v>
      </c>
      <c r="Z50" s="1108">
        <v>1635.5736302302564</v>
      </c>
      <c r="AA50" s="1108">
        <v>1305.8555555555556</v>
      </c>
      <c r="AB50" s="1108">
        <v>1082.0748538011696</v>
      </c>
      <c r="AC50" s="1108">
        <v>1362</v>
      </c>
      <c r="AD50" s="1108">
        <v>1697</v>
      </c>
      <c r="AE50" s="1108">
        <v>958</v>
      </c>
      <c r="AF50" s="1108">
        <v>1045</v>
      </c>
      <c r="AG50" s="1108">
        <v>1154</v>
      </c>
      <c r="AH50" s="1108">
        <v>1478</v>
      </c>
      <c r="AI50" s="1108">
        <v>1219</v>
      </c>
      <c r="AJ50" s="1108">
        <v>1283</v>
      </c>
      <c r="AK50" s="1108">
        <v>1261</v>
      </c>
      <c r="AL50" s="1108">
        <v>1948</v>
      </c>
      <c r="AM50" s="1108">
        <v>1423</v>
      </c>
      <c r="AN50" s="1108">
        <v>1463</v>
      </c>
      <c r="AO50" s="1108">
        <v>1202</v>
      </c>
      <c r="AP50" s="1108">
        <v>2048</v>
      </c>
      <c r="AQ50" s="1108">
        <v>1412</v>
      </c>
      <c r="AR50" s="1108">
        <v>1795</v>
      </c>
      <c r="AS50" s="1108">
        <v>1620</v>
      </c>
      <c r="AT50" s="1108">
        <v>2120</v>
      </c>
      <c r="AU50" s="1108">
        <v>1599</v>
      </c>
      <c r="AV50" s="1108">
        <v>1452</v>
      </c>
      <c r="AW50" s="1108">
        <v>1361</v>
      </c>
      <c r="AX50" s="1108">
        <v>2357</v>
      </c>
      <c r="AY50" s="1108">
        <v>1764</v>
      </c>
      <c r="AZ50" s="1108">
        <v>1456</v>
      </c>
      <c r="BA50" s="1108">
        <v>1448</v>
      </c>
      <c r="BB50" s="1108">
        <v>1430</v>
      </c>
      <c r="BC50" s="1108">
        <v>1019.2172133801575</v>
      </c>
      <c r="BD50" s="1108">
        <v>1153.3031602231351</v>
      </c>
      <c r="BE50" s="1108">
        <v>1223.9892056301837</v>
      </c>
      <c r="BF50" s="1108">
        <v>1437.9536476936246</v>
      </c>
      <c r="BG50" s="1108">
        <v>1143.0783124925695</v>
      </c>
      <c r="BH50" s="1108">
        <v>1228.1866723400985</v>
      </c>
      <c r="BI50" s="1108">
        <v>1266.0149805233646</v>
      </c>
      <c r="BJ50" s="1108">
        <v>1474.7744078495168</v>
      </c>
      <c r="BK50" s="1108">
        <v>1198.5899158615555</v>
      </c>
      <c r="BL50" s="1108">
        <v>1262.3407805856127</v>
      </c>
      <c r="BM50" s="1108">
        <v>1451.7404181950687</v>
      </c>
      <c r="BN50" s="1108">
        <v>1684.7984464513315</v>
      </c>
      <c r="BO50" s="1108">
        <v>1291.0759279780457</v>
      </c>
      <c r="BP50" s="1108">
        <v>1374.7242479654783</v>
      </c>
      <c r="BQ50" s="1108">
        <v>1502.2257530725199</v>
      </c>
      <c r="BR50" s="1108">
        <v>1640.9495466538281</v>
      </c>
      <c r="BS50" s="1108">
        <v>1250.6752812042519</v>
      </c>
      <c r="BT50" s="1108">
        <v>1384.757823150991</v>
      </c>
      <c r="BU50" s="1108">
        <v>1511.857739028</v>
      </c>
      <c r="BV50" s="1108">
        <v>1722.7660700250001</v>
      </c>
      <c r="BW50" s="1108">
        <v>1232.5849101845999</v>
      </c>
      <c r="BX50" s="1108">
        <v>1161.8551227921801</v>
      </c>
      <c r="BY50" s="1108">
        <v>1557.2134711988399</v>
      </c>
      <c r="BZ50" s="1108">
        <v>1774.4490521257501</v>
      </c>
      <c r="CA50" s="1108">
        <v>1269.5624574901401</v>
      </c>
      <c r="CB50" s="1108">
        <v>1196.7107764759401</v>
      </c>
      <c r="CC50" s="1108">
        <v>1603.92987533481</v>
      </c>
      <c r="CD50" s="1108">
        <v>1827.6825236895199</v>
      </c>
      <c r="CE50" s="1108">
        <v>1307.64933121484</v>
      </c>
      <c r="CF50" s="1108">
        <v>1232.6120997702201</v>
      </c>
    </row>
    <row r="51" spans="4:84" ht="14.45" hidden="1" outlineLevel="1">
      <c r="D51" s="1432"/>
      <c r="E51" s="1440"/>
      <c r="F51" s="1107" t="s">
        <v>1069</v>
      </c>
      <c r="O51" s="1109">
        <v>233.33333333333334</v>
      </c>
      <c r="Q51" s="1109">
        <v>204.58102607079539</v>
      </c>
      <c r="S51" s="1109">
        <v>48.381975651951201</v>
      </c>
      <c r="T51" s="1109">
        <v>123.89029148577875</v>
      </c>
      <c r="U51" s="1109">
        <v>127</v>
      </c>
      <c r="V51" s="1109">
        <v>23.628219484882418</v>
      </c>
      <c r="W51" s="1109">
        <v>44.331983805668017</v>
      </c>
      <c r="X51" s="1109">
        <v>84.187508006111344</v>
      </c>
      <c r="Y51" s="1109">
        <v>-6.4536616003205065</v>
      </c>
      <c r="Z51" s="1109">
        <v>48.14978534694351</v>
      </c>
      <c r="AA51" s="1109">
        <v>83.149446781985361</v>
      </c>
      <c r="AB51" s="1109">
        <v>21.855276328960546</v>
      </c>
      <c r="AC51" s="1109">
        <v>60.348339193267584</v>
      </c>
      <c r="AD51" s="1109">
        <v>3.7556468650754642</v>
      </c>
      <c r="AE51" s="1109">
        <v>-26.638134215967398</v>
      </c>
      <c r="AF51" s="1109">
        <v>-3.4262744089220019</v>
      </c>
      <c r="AG51" s="1109">
        <v>-15.27165932452276</v>
      </c>
      <c r="AH51" s="1109">
        <v>-12.905126694166174</v>
      </c>
      <c r="AI51" s="1109">
        <v>27.244258872651354</v>
      </c>
      <c r="AJ51" s="1109">
        <v>22.775119617224881</v>
      </c>
      <c r="AK51" s="1109">
        <v>9.2720970537261689</v>
      </c>
      <c r="AL51" s="1109">
        <v>31.799729364005415</v>
      </c>
      <c r="AM51" s="1109">
        <v>16.735028712059062</v>
      </c>
      <c r="AN51" s="1109">
        <v>14.02961808261886</v>
      </c>
      <c r="AO51" s="1109">
        <v>-4.6788263283108646</v>
      </c>
      <c r="AP51" s="1109">
        <v>5.1334702258726894</v>
      </c>
      <c r="AQ51" s="1109">
        <v>-0.77301475755446236</v>
      </c>
      <c r="AR51" s="1109">
        <v>22.693096377306905</v>
      </c>
      <c r="AS51" s="1109">
        <v>34.775374376039935</v>
      </c>
      <c r="AT51" s="1109">
        <v>3.515625</v>
      </c>
      <c r="AU51" s="1109">
        <v>13.243626062322948</v>
      </c>
      <c r="AV51" s="1109">
        <v>-19.108635097493039</v>
      </c>
      <c r="AW51" s="1109">
        <v>-15.987654320987655</v>
      </c>
      <c r="AX51" s="1109">
        <v>11.179245283018869</v>
      </c>
      <c r="AY51" s="1109">
        <v>10.318949343339586</v>
      </c>
      <c r="AZ51" s="1109">
        <v>0.27548209366391185</v>
      </c>
      <c r="BA51" s="1109">
        <v>6.3923585598824397</v>
      </c>
      <c r="BB51" s="1109">
        <v>-39.329656342808654</v>
      </c>
      <c r="BC51" s="1109">
        <v>-42.221246407020544</v>
      </c>
      <c r="BD51" s="1109">
        <v>-20.789618116542915</v>
      </c>
      <c r="BE51" s="1109">
        <v>-15.470358727197256</v>
      </c>
      <c r="BF51" s="1109">
        <v>0.55619913941430699</v>
      </c>
      <c r="BG51" s="1109">
        <v>12.152571354405982</v>
      </c>
      <c r="BH51" s="1109">
        <v>6.4929599345305986</v>
      </c>
      <c r="BI51" s="1109">
        <v>3.4335086208169141</v>
      </c>
      <c r="BJ51" s="1109">
        <v>2.5606360966467947</v>
      </c>
      <c r="BK51" s="1109">
        <v>4.8563254820169526</v>
      </c>
      <c r="BL51" s="1109">
        <v>2.7808564459048721</v>
      </c>
      <c r="BM51" s="1109">
        <v>14.670082149812016</v>
      </c>
      <c r="BN51" s="1109">
        <v>14.241095959080758</v>
      </c>
      <c r="BO51" s="1109">
        <v>7.7162347932829514</v>
      </c>
      <c r="BP51" s="1109">
        <v>8.9027835516594607</v>
      </c>
      <c r="BQ51" s="1109">
        <v>3.477573142188803</v>
      </c>
      <c r="BR51" s="1109">
        <v>-2.6026199092159552</v>
      </c>
      <c r="BS51" s="1109">
        <v>-3.1292231462378273</v>
      </c>
      <c r="BT51" s="1109">
        <v>0.72986093031834742</v>
      </c>
      <c r="BU51" s="1109">
        <v>0.64118098999299478</v>
      </c>
      <c r="BV51" s="1109">
        <v>4.9859255903394271</v>
      </c>
      <c r="BW51" s="1109">
        <v>-1.4464482741062117</v>
      </c>
      <c r="BX51" s="1109">
        <v>-16.096872437347926</v>
      </c>
      <c r="BY51" s="1109">
        <v>2.9999999999999956</v>
      </c>
      <c r="BZ51" s="1109">
        <v>2.9999999999999996</v>
      </c>
      <c r="CA51" s="1109">
        <v>3.000000000000175</v>
      </c>
      <c r="CB51" s="1109">
        <v>2.9999999999995359</v>
      </c>
      <c r="CC51" s="1109">
        <v>3.000000000000318</v>
      </c>
      <c r="CD51" s="1109">
        <v>2.9999999999998508</v>
      </c>
      <c r="CE51" s="1109">
        <v>2.9999999999996607</v>
      </c>
      <c r="CF51" s="1109">
        <v>3.0000000000001519</v>
      </c>
    </row>
    <row r="52" spans="4:84" ht="14.45" hidden="1" outlineLevel="1" collapsed="1">
      <c r="D52" s="1432"/>
      <c r="E52" s="1440"/>
      <c r="F52" s="1107"/>
    </row>
    <row r="53" spans="4:84" ht="14.45" collapsed="1">
      <c r="D53" s="1435" t="s">
        <v>1084</v>
      </c>
      <c r="E53" s="1433" t="s">
        <v>1067</v>
      </c>
      <c r="F53" s="1106" t="s">
        <v>1068</v>
      </c>
      <c r="G53" s="1108">
        <v>1368.0831018882666</v>
      </c>
      <c r="I53" s="1108">
        <v>2933.4713745869367</v>
      </c>
      <c r="K53" s="1108">
        <v>1556.7193851516033</v>
      </c>
      <c r="M53" s="1108">
        <v>1251.7523559466649</v>
      </c>
      <c r="O53" s="1108">
        <v>1429.5707525942439</v>
      </c>
      <c r="Q53" s="1108">
        <v>3852.7643102079078</v>
      </c>
      <c r="S53" s="1108">
        <v>1939.7326962796499</v>
      </c>
      <c r="T53" s="1108">
        <v>1498.2288680778699</v>
      </c>
      <c r="U53" s="1108">
        <v>1938.2336329998961</v>
      </c>
      <c r="V53" s="1108">
        <v>3471.0316618504462</v>
      </c>
      <c r="W53" s="1108">
        <v>1850.9717693196651</v>
      </c>
      <c r="X53" s="1108">
        <v>1777.2666595095288</v>
      </c>
      <c r="Y53" s="1108">
        <v>1995.6322938228791</v>
      </c>
      <c r="Z53" s="1108">
        <v>3667.5609523506532</v>
      </c>
      <c r="AA53" s="1108">
        <v>1832.6923076923099</v>
      </c>
      <c r="AB53" s="1108">
        <v>1686.2737764315571</v>
      </c>
      <c r="AC53" s="1108">
        <v>1885</v>
      </c>
      <c r="AD53" s="1108">
        <v>3617</v>
      </c>
      <c r="AE53" s="1108">
        <v>1906</v>
      </c>
      <c r="AF53" s="1108">
        <v>1643</v>
      </c>
      <c r="AG53" s="1108">
        <v>1896</v>
      </c>
      <c r="AH53" s="1108">
        <v>3920</v>
      </c>
      <c r="AI53" s="1108">
        <v>2251</v>
      </c>
      <c r="AJ53" s="1108">
        <v>2286</v>
      </c>
      <c r="AK53" s="1108">
        <v>2738</v>
      </c>
      <c r="AL53" s="1108">
        <v>4232</v>
      </c>
      <c r="AM53" s="1108">
        <v>2363</v>
      </c>
      <c r="AN53" s="1108">
        <v>2053</v>
      </c>
      <c r="AO53" s="1108">
        <v>2542</v>
      </c>
      <c r="AP53" s="1108">
        <v>3327</v>
      </c>
      <c r="AQ53" s="1108">
        <v>2349</v>
      </c>
      <c r="AR53" s="1108">
        <v>3357</v>
      </c>
      <c r="AS53" s="1108">
        <v>3092</v>
      </c>
      <c r="AT53" s="1108">
        <v>5031</v>
      </c>
      <c r="AU53" s="1108">
        <v>3533</v>
      </c>
      <c r="AV53" s="1108">
        <v>3714</v>
      </c>
      <c r="AW53" s="1108">
        <v>3593</v>
      </c>
      <c r="AX53" s="1108">
        <v>5442</v>
      </c>
      <c r="AY53" s="1108">
        <v>3740</v>
      </c>
      <c r="AZ53" s="1108">
        <v>3455</v>
      </c>
      <c r="BA53" s="1108">
        <v>3610</v>
      </c>
      <c r="BB53" s="1108">
        <v>4758</v>
      </c>
      <c r="BC53" s="1108">
        <v>3433.3806440241074</v>
      </c>
      <c r="BD53" s="1108">
        <v>3408.361027877314</v>
      </c>
      <c r="BE53" s="1108">
        <v>3620.5561783825524</v>
      </c>
      <c r="BF53" s="1108">
        <v>4862.2006488315019</v>
      </c>
      <c r="BG53" s="1108">
        <v>3549.2830724229975</v>
      </c>
      <c r="BH53" s="1108">
        <v>3529.9505633947906</v>
      </c>
      <c r="BI53" s="1108">
        <v>3749.5112898254247</v>
      </c>
      <c r="BJ53" s="1108">
        <v>5036.2348607449576</v>
      </c>
      <c r="BK53" s="1108">
        <v>3740.5623230243423</v>
      </c>
      <c r="BL53" s="1108">
        <v>3717.7269044181148</v>
      </c>
      <c r="BM53" s="1108">
        <v>4021.557088344543</v>
      </c>
      <c r="BN53" s="1108">
        <v>5365.8840981887515</v>
      </c>
      <c r="BO53" s="1108">
        <v>4001.2765064790569</v>
      </c>
      <c r="BP53" s="1108">
        <v>3864.8393514392901</v>
      </c>
      <c r="BQ53" s="1108">
        <v>4125.6791777772942</v>
      </c>
      <c r="BR53" s="1108">
        <v>5301.9416383676898</v>
      </c>
      <c r="BS53" s="1108">
        <v>4104.3996722643142</v>
      </c>
      <c r="BT53" s="1108">
        <v>4298.7013398342278</v>
      </c>
      <c r="BU53" s="1108">
        <v>4458.9459175009997</v>
      </c>
      <c r="BV53" s="1108">
        <v>6039.0866147235001</v>
      </c>
      <c r="BW53" s="1108">
        <v>4362.4260182002499</v>
      </c>
      <c r="BX53" s="1108">
        <v>4474.252122570565</v>
      </c>
      <c r="BY53" s="1108">
        <v>4639.2268571885297</v>
      </c>
      <c r="BZ53" s="1108">
        <v>6280.9846899089553</v>
      </c>
      <c r="CA53" s="1108">
        <v>4536.7357654443849</v>
      </c>
      <c r="CB53" s="1108">
        <v>4652.1342589522101</v>
      </c>
      <c r="CC53" s="1108">
        <v>4827.2418531748153</v>
      </c>
      <c r="CD53" s="1108">
        <v>6533.1759811871652</v>
      </c>
      <c r="CE53" s="1108">
        <v>4718.4466534407447</v>
      </c>
      <c r="CF53" s="1108">
        <v>4837.5355880605348</v>
      </c>
    </row>
    <row r="54" spans="4:84" ht="14.45" hidden="1" outlineLevel="1">
      <c r="D54" s="1432"/>
      <c r="E54" s="1440"/>
      <c r="F54" s="1106" t="s">
        <v>1069</v>
      </c>
      <c r="O54" s="1109">
        <v>4.4944382852993616</v>
      </c>
      <c r="Q54" s="1109">
        <v>31.338057142296716</v>
      </c>
      <c r="S54" s="1109">
        <v>24.603876252928288</v>
      </c>
      <c r="T54" s="1109">
        <v>19.690517134661338</v>
      </c>
      <c r="U54" s="1109">
        <v>35.581511407013686</v>
      </c>
      <c r="V54" s="1109">
        <v>-9.9080197391275675</v>
      </c>
      <c r="W54" s="1109">
        <v>-4.5759360106794924</v>
      </c>
      <c r="X54" s="1109">
        <v>18.624510405385941</v>
      </c>
      <c r="Y54" s="1109">
        <v>2.9613901980508053</v>
      </c>
      <c r="Z54" s="1109">
        <v>5.6619849556611372</v>
      </c>
      <c r="AA54" s="1109">
        <v>-0.98756026052595725</v>
      </c>
      <c r="AB54" s="1109">
        <v>-5.1198216424699616</v>
      </c>
      <c r="AC54" s="1109">
        <v>-5.5437213641672098</v>
      </c>
      <c r="AD54" s="1109">
        <v>-1.3785988292368296</v>
      </c>
      <c r="AE54" s="1109">
        <v>3.9999999999998752</v>
      </c>
      <c r="AF54" s="1109">
        <v>-2.5662366951546707</v>
      </c>
      <c r="AG54" s="1109">
        <v>0.58355437665782495</v>
      </c>
      <c r="AH54" s="1109">
        <v>8.3771081006358852</v>
      </c>
      <c r="AI54" s="1109">
        <v>18.100734522560337</v>
      </c>
      <c r="AJ54" s="1109">
        <v>39.135727328058429</v>
      </c>
      <c r="AK54" s="1109">
        <v>44.40928270042194</v>
      </c>
      <c r="AL54" s="1109">
        <v>7.9591836734693873</v>
      </c>
      <c r="AM54" s="1109">
        <v>4.9755664149266989</v>
      </c>
      <c r="AN54" s="1109">
        <v>-10.192475940507437</v>
      </c>
      <c r="AO54" s="1109">
        <v>-7.1585098612125639</v>
      </c>
      <c r="AP54" s="1109">
        <v>-21.384688090737239</v>
      </c>
      <c r="AQ54" s="1109">
        <v>-0.59246720270842146</v>
      </c>
      <c r="AR54" s="1109">
        <v>63.51680467608378</v>
      </c>
      <c r="AS54" s="1109">
        <v>21.636506687647522</v>
      </c>
      <c r="AT54" s="1109">
        <v>51.217312894499543</v>
      </c>
      <c r="AU54" s="1109">
        <v>50.404427415921674</v>
      </c>
      <c r="AV54" s="1109">
        <v>10.63449508489723</v>
      </c>
      <c r="AW54" s="1109">
        <v>16.203104786545925</v>
      </c>
      <c r="AX54" s="1109">
        <v>8.1693500298151456</v>
      </c>
      <c r="AY54" s="1109">
        <v>5.8590433059722615</v>
      </c>
      <c r="AZ54" s="1109">
        <v>-6.9736133548734518</v>
      </c>
      <c r="BA54" s="1109">
        <v>0.47314222098524911</v>
      </c>
      <c r="BB54" s="1109">
        <v>-12.56890848952591</v>
      </c>
      <c r="BC54" s="1109">
        <v>-8.1983785020292146</v>
      </c>
      <c r="BD54" s="1109">
        <v>-1.3498978906710861</v>
      </c>
      <c r="BE54" s="1109">
        <v>0.29241491364411049</v>
      </c>
      <c r="BF54" s="1109">
        <v>2.190009433196761</v>
      </c>
      <c r="BG54" s="1109">
        <v>3.3757523681687172</v>
      </c>
      <c r="BH54" s="1109">
        <v>3.5673901480208254</v>
      </c>
      <c r="BI54" s="1109">
        <v>3.5617486675895669</v>
      </c>
      <c r="BJ54" s="1109">
        <v>3.5793301116703216</v>
      </c>
      <c r="BK54" s="1109">
        <v>5.3892362682349733</v>
      </c>
      <c r="BL54" s="1109">
        <v>5.3195175867487992</v>
      </c>
      <c r="BM54" s="1109">
        <v>7.2555001836461894</v>
      </c>
      <c r="BN54" s="1109">
        <v>6.545549335144238</v>
      </c>
      <c r="BO54" s="1109">
        <v>6.9699195185156135</v>
      </c>
      <c r="BP54" s="1109">
        <v>3.9570536191442169</v>
      </c>
      <c r="BQ54" s="1109">
        <v>2.5890988775099695</v>
      </c>
      <c r="BR54" s="1109">
        <v>-1.19164817299437</v>
      </c>
      <c r="BS54" s="1109">
        <v>2.5772566734209774</v>
      </c>
      <c r="BT54" s="1109">
        <v>11.225873805941374</v>
      </c>
      <c r="BU54" s="1109">
        <v>8.0778636768177563</v>
      </c>
      <c r="BV54" s="1109">
        <v>13.903302349113661</v>
      </c>
      <c r="BW54" s="1109">
        <v>6.2865794400959949</v>
      </c>
      <c r="BX54" s="1109">
        <v>4.0838097103788789</v>
      </c>
      <c r="BY54" s="1109">
        <v>4.0431290942539135</v>
      </c>
      <c r="BZ54" s="1109">
        <v>4.0055407484254211</v>
      </c>
      <c r="CA54" s="1109">
        <v>3.9957066668158134</v>
      </c>
      <c r="CB54" s="1109">
        <v>3.9756842374686636</v>
      </c>
      <c r="CC54" s="1109">
        <v>4.0527226146519313</v>
      </c>
      <c r="CD54" s="1109">
        <v>4.0151553256192631</v>
      </c>
      <c r="CE54" s="1109">
        <v>4.0053222711453369</v>
      </c>
      <c r="CF54" s="1109">
        <v>3.9852961842524777</v>
      </c>
    </row>
    <row r="55" spans="4:84" ht="14.45" hidden="1" outlineLevel="1" collapsed="1">
      <c r="D55" s="1432"/>
      <c r="E55" s="1440"/>
      <c r="F55" s="1106"/>
    </row>
    <row r="56" spans="4:84" ht="14.45" collapsed="1">
      <c r="D56" s="1435" t="s">
        <v>1085</v>
      </c>
      <c r="E56" s="1433" t="s">
        <v>1067</v>
      </c>
      <c r="F56" s="1107" t="s">
        <v>1068</v>
      </c>
      <c r="G56" s="1108">
        <v>567.19570458032001</v>
      </c>
      <c r="I56" s="1108">
        <v>719.59695547019464</v>
      </c>
      <c r="K56" s="1108">
        <v>687.21505376344101</v>
      </c>
      <c r="M56" s="1108">
        <v>583.06299325675104</v>
      </c>
      <c r="O56" s="1108">
        <v>839.85773294126875</v>
      </c>
      <c r="Q56" s="1108">
        <v>988.68773697562813</v>
      </c>
      <c r="S56" s="1108">
        <v>965.72433179723498</v>
      </c>
      <c r="T56" s="1108">
        <v>946.31461387028401</v>
      </c>
      <c r="U56" s="1108">
        <v>926.93697502906332</v>
      </c>
      <c r="V56" s="1108">
        <v>1219.509804940308</v>
      </c>
      <c r="W56" s="1108">
        <v>1102.5002498999345</v>
      </c>
      <c r="X56" s="1108">
        <v>976.96390581223386</v>
      </c>
      <c r="Y56" s="1108">
        <v>1113.9996396554659</v>
      </c>
      <c r="Z56" s="1108">
        <v>1458.846483264211</v>
      </c>
      <c r="AA56" s="1108">
        <v>1487.0497640776418</v>
      </c>
      <c r="AB56" s="1108">
        <v>1441.7666961424113</v>
      </c>
      <c r="AC56" s="1108">
        <v>1429</v>
      </c>
      <c r="AD56" s="1108">
        <v>1605</v>
      </c>
      <c r="AE56" s="1108">
        <v>1599</v>
      </c>
      <c r="AF56" s="1108">
        <v>1586</v>
      </c>
      <c r="AG56" s="1108">
        <v>1639</v>
      </c>
      <c r="AH56" s="1108">
        <v>1820</v>
      </c>
      <c r="AI56" s="1108">
        <v>1784</v>
      </c>
      <c r="AJ56" s="1108">
        <v>1769</v>
      </c>
      <c r="AK56" s="1108">
        <v>1788</v>
      </c>
      <c r="AL56" s="1108">
        <v>1976</v>
      </c>
      <c r="AM56" s="1108">
        <v>1911</v>
      </c>
      <c r="AN56" s="1108">
        <v>1953</v>
      </c>
      <c r="AO56" s="1108">
        <v>1991</v>
      </c>
      <c r="AP56" s="1108">
        <v>2163</v>
      </c>
      <c r="AQ56" s="1108">
        <v>1986</v>
      </c>
      <c r="AR56" s="1108">
        <v>1600</v>
      </c>
      <c r="AS56" s="1108">
        <v>1943</v>
      </c>
      <c r="AT56" s="1108">
        <v>2386</v>
      </c>
      <c r="AU56" s="1108">
        <v>2401</v>
      </c>
      <c r="AV56" s="1108">
        <v>2537</v>
      </c>
      <c r="AW56" s="1108">
        <v>2656</v>
      </c>
      <c r="AX56" s="1108">
        <v>3064</v>
      </c>
      <c r="AY56" s="1108">
        <v>2945</v>
      </c>
      <c r="AZ56" s="1108">
        <v>2926</v>
      </c>
      <c r="BA56" s="1108">
        <v>2928</v>
      </c>
      <c r="BB56" s="1108">
        <v>3223</v>
      </c>
      <c r="BC56" s="1108">
        <v>3052.3548347184351</v>
      </c>
      <c r="BD56" s="1108">
        <v>3048.2713445647969</v>
      </c>
      <c r="BE56" s="1108">
        <v>3094.510401979378</v>
      </c>
      <c r="BF56" s="1108">
        <v>3424.2264761238039</v>
      </c>
      <c r="BG56" s="1108">
        <v>3258.62245776485</v>
      </c>
      <c r="BH56" s="1108">
        <v>3248.1146828998835</v>
      </c>
      <c r="BI56" s="1108">
        <v>3319.8449963627381</v>
      </c>
      <c r="BJ56" s="1108">
        <v>3673.5654806489379</v>
      </c>
      <c r="BK56" s="1108">
        <v>3504.9708432467169</v>
      </c>
      <c r="BL56" s="1108">
        <v>3492.0681537955975</v>
      </c>
      <c r="BM56" s="1108">
        <v>3580.3587153756666</v>
      </c>
      <c r="BN56" s="1108">
        <v>3972.6887448845232</v>
      </c>
      <c r="BO56" s="1108">
        <v>3787.8347887205559</v>
      </c>
      <c r="BP56" s="1108">
        <v>3749.1003194816822</v>
      </c>
      <c r="BQ56" s="1108">
        <v>4043.6740286309901</v>
      </c>
      <c r="BR56" s="1108">
        <v>4526.0714561852101</v>
      </c>
      <c r="BS56" s="1108">
        <v>4270.0018003642126</v>
      </c>
      <c r="BT56" s="1108">
        <v>4176.7494263697954</v>
      </c>
      <c r="BU56" s="1108">
        <v>5186.6380644359697</v>
      </c>
      <c r="BV56" s="1108">
        <v>5839.5470527450198</v>
      </c>
      <c r="BW56" s="1108">
        <v>5572.3959688120403</v>
      </c>
      <c r="BX56" s="1108">
        <v>5371.6149506104748</v>
      </c>
      <c r="BY56" s="1108">
        <v>5851.5931949214701</v>
      </c>
      <c r="BZ56" s="1108">
        <v>6594.9599822298596</v>
      </c>
      <c r="CA56" s="1108">
        <v>6286.3138356896097</v>
      </c>
      <c r="CB56" s="1108">
        <v>6088.9826094172249</v>
      </c>
      <c r="CC56" s="1108">
        <v>6598.8389460488497</v>
      </c>
      <c r="CD56" s="1108">
        <v>7444.4086499254199</v>
      </c>
      <c r="CE56" s="1108">
        <v>7088.5413890507753</v>
      </c>
      <c r="CF56" s="1108">
        <v>6897.4676854202453</v>
      </c>
    </row>
    <row r="57" spans="4:84" ht="14.45" hidden="1" outlineLevel="1">
      <c r="D57" s="1432"/>
      <c r="E57" s="1440"/>
      <c r="F57" s="1107" t="s">
        <v>1069</v>
      </c>
      <c r="O57" s="1109">
        <v>48.071948739932211</v>
      </c>
      <c r="Q57" s="1109">
        <v>37.394652584321427</v>
      </c>
      <c r="S57" s="1109">
        <v>40.527237654148479</v>
      </c>
      <c r="T57" s="1109">
        <v>62.30057897939264</v>
      </c>
      <c r="U57" s="1109">
        <v>10.368332477315418</v>
      </c>
      <c r="V57" s="1109">
        <v>23.34630635459877</v>
      </c>
      <c r="W57" s="1109">
        <v>14.163039451243442</v>
      </c>
      <c r="X57" s="1109">
        <v>3.238805730432385</v>
      </c>
      <c r="Y57" s="1109">
        <v>20.180731772032008</v>
      </c>
      <c r="Z57" s="1109">
        <v>19.625646087824443</v>
      </c>
      <c r="AA57" s="1109">
        <v>34.879766622511873</v>
      </c>
      <c r="AB57" s="1109">
        <v>47.576250009333457</v>
      </c>
      <c r="AC57" s="1109">
        <v>28.276522642498914</v>
      </c>
      <c r="AD57" s="1109">
        <v>10.018430205813454</v>
      </c>
      <c r="AE57" s="1109">
        <v>7.5283449570227718</v>
      </c>
      <c r="AF57" s="1109">
        <v>10.003928114271128</v>
      </c>
      <c r="AG57" s="1109">
        <v>14.695591322603219</v>
      </c>
      <c r="AH57" s="1109">
        <v>13.395638629283487</v>
      </c>
      <c r="AI57" s="1109">
        <v>11.569731081926204</v>
      </c>
      <c r="AJ57" s="1109">
        <v>11.538461538461538</v>
      </c>
      <c r="AK57" s="1109">
        <v>9.0909090909090917</v>
      </c>
      <c r="AL57" s="1109">
        <v>8.5714285714285712</v>
      </c>
      <c r="AM57" s="1109">
        <v>7.1188340807174884</v>
      </c>
      <c r="AN57" s="1109">
        <v>10.40135669869983</v>
      </c>
      <c r="AO57" s="1109">
        <v>11.353467561521253</v>
      </c>
      <c r="AP57" s="1109">
        <v>9.4635627530364381</v>
      </c>
      <c r="AQ57" s="1109">
        <v>3.9246467817896389</v>
      </c>
      <c r="AR57" s="1109">
        <v>-18.074756784434204</v>
      </c>
      <c r="AS57" s="1109">
        <v>-2.4108488196885989</v>
      </c>
      <c r="AT57" s="1109">
        <v>10.309754969949145</v>
      </c>
      <c r="AU57" s="1109">
        <v>20.896273917421954</v>
      </c>
      <c r="AV57" s="1109">
        <v>58.562499999999993</v>
      </c>
      <c r="AW57" s="1109">
        <v>36.695831188883169</v>
      </c>
      <c r="AX57" s="1109">
        <v>28.415758591785416</v>
      </c>
      <c r="AY57" s="1109">
        <v>22.657226155768427</v>
      </c>
      <c r="AZ57" s="1109">
        <v>15.333070555774537</v>
      </c>
      <c r="BA57" s="1109">
        <v>10.240963855421686</v>
      </c>
      <c r="BB57" s="1109">
        <v>5.1892950391644908</v>
      </c>
      <c r="BC57" s="1109">
        <v>3.6453254573322611</v>
      </c>
      <c r="BD57" s="1109">
        <v>4.1787882626383084</v>
      </c>
      <c r="BE57" s="1109">
        <v>5.6868306686946042</v>
      </c>
      <c r="BF57" s="1109">
        <v>6.2434525635682245</v>
      </c>
      <c r="BG57" s="1109">
        <v>6.757655456707151</v>
      </c>
      <c r="BH57" s="1109">
        <v>6.5559563354297898</v>
      </c>
      <c r="BI57" s="1109">
        <v>7.2817526882193295</v>
      </c>
      <c r="BJ57" s="1109">
        <v>7.2816154615854636</v>
      </c>
      <c r="BK57" s="1109">
        <v>7.5598934419313455</v>
      </c>
      <c r="BL57" s="1109">
        <v>7.510617533920164</v>
      </c>
      <c r="BM57" s="1109">
        <v>7.8471651326598213</v>
      </c>
      <c r="BN57" s="1109">
        <v>8.1425869720102284</v>
      </c>
      <c r="BO57" s="1109">
        <v>8.0703651506503586</v>
      </c>
      <c r="BP57" s="1109">
        <v>7.3604567369829645</v>
      </c>
      <c r="BQ57" s="1109">
        <v>12.940471893658017</v>
      </c>
      <c r="BR57" s="1109">
        <v>13.929677023231591</v>
      </c>
      <c r="BS57" s="1109">
        <v>12.729356968774283</v>
      </c>
      <c r="BT57" s="1109">
        <v>11.406712822964318</v>
      </c>
      <c r="BU57" s="1109">
        <v>28.265484005691157</v>
      </c>
      <c r="BV57" s="1109">
        <v>29.02021342957033</v>
      </c>
      <c r="BW57" s="1109">
        <v>30.501021529703788</v>
      </c>
      <c r="BX57" s="1109">
        <v>28.607546258267924</v>
      </c>
      <c r="BY57" s="1109">
        <v>12.82054236722246</v>
      </c>
      <c r="BZ57" s="1109">
        <v>12.936156223447842</v>
      </c>
      <c r="CA57" s="1109">
        <v>12.811685868579204</v>
      </c>
      <c r="CB57" s="1109">
        <v>13.354785579432168</v>
      </c>
      <c r="CC57" s="1109">
        <v>12.769953861042588</v>
      </c>
      <c r="CD57" s="1109">
        <v>12.880270236429068</v>
      </c>
      <c r="CE57" s="1109">
        <v>12.761493847262892</v>
      </c>
      <c r="CF57" s="1109">
        <v>13.277835196188882</v>
      </c>
    </row>
    <row r="58" spans="4:84" ht="14.45" hidden="1" outlineLevel="1" collapsed="1">
      <c r="D58" s="1432"/>
      <c r="E58" s="1440"/>
      <c r="F58" s="1107"/>
    </row>
    <row r="59" spans="4:84" ht="14.45" collapsed="1">
      <c r="D59" s="1435" t="s">
        <v>1086</v>
      </c>
      <c r="E59" s="1433" t="s">
        <v>1067</v>
      </c>
      <c r="F59" s="1106" t="s">
        <v>1068</v>
      </c>
      <c r="G59" s="1108">
        <v>376.83577301218497</v>
      </c>
      <c r="I59" s="1108">
        <v>821.26114866514001</v>
      </c>
      <c r="K59" s="1108">
        <v>656.37818181818</v>
      </c>
      <c r="M59" s="1108">
        <v>554.14895127190505</v>
      </c>
      <c r="O59" s="1108">
        <v>985.75759678646648</v>
      </c>
      <c r="Q59" s="1108">
        <v>2238.7063177536224</v>
      </c>
      <c r="S59" s="1108">
        <v>1088.7320727272729</v>
      </c>
      <c r="T59" s="1108">
        <v>1670.9272876489374</v>
      </c>
      <c r="U59" s="1108">
        <v>906.75186144893598</v>
      </c>
      <c r="V59" s="1108">
        <v>1151.9818064560304</v>
      </c>
      <c r="W59" s="1108">
        <v>647.62168928243671</v>
      </c>
      <c r="X59" s="1108">
        <v>628.41244555065998</v>
      </c>
      <c r="Y59" s="1108">
        <v>305.63514318674652</v>
      </c>
      <c r="Z59" s="1108">
        <v>699.47008814439846</v>
      </c>
      <c r="AA59" s="1108">
        <v>530.6309027726503</v>
      </c>
      <c r="AB59" s="1108">
        <v>542.70391907602857</v>
      </c>
      <c r="AC59" s="1108">
        <v>76</v>
      </c>
      <c r="AD59" s="1108">
        <v>165</v>
      </c>
      <c r="AE59" s="1108">
        <v>59</v>
      </c>
      <c r="AF59" s="1108">
        <v>69</v>
      </c>
      <c r="AG59" s="1108">
        <v>46</v>
      </c>
      <c r="AH59" s="1108">
        <v>113</v>
      </c>
      <c r="AI59" s="1108">
        <v>51</v>
      </c>
      <c r="AJ59" s="1108">
        <v>49</v>
      </c>
      <c r="AK59" s="1108">
        <v>58</v>
      </c>
      <c r="AL59" s="1108">
        <v>79</v>
      </c>
      <c r="AM59" s="1108">
        <v>39</v>
      </c>
      <c r="AN59" s="1108">
        <v>18</v>
      </c>
      <c r="AO59" s="1108">
        <v>45</v>
      </c>
      <c r="AP59" s="1108">
        <v>80</v>
      </c>
      <c r="AQ59" s="1108">
        <v>30</v>
      </c>
      <c r="AR59" s="1108">
        <v>30</v>
      </c>
      <c r="AS59" s="1108">
        <v>43</v>
      </c>
      <c r="AT59" s="1108">
        <v>71</v>
      </c>
      <c r="AU59" s="1108">
        <v>40</v>
      </c>
      <c r="AV59" s="1108">
        <v>23</v>
      </c>
      <c r="AW59" s="1108">
        <v>28</v>
      </c>
      <c r="AX59" s="1108">
        <v>73</v>
      </c>
      <c r="AY59" s="1108">
        <v>-6</v>
      </c>
      <c r="AZ59" s="1108">
        <v>-14</v>
      </c>
      <c r="BA59" s="1108">
        <v>33</v>
      </c>
      <c r="BB59" s="1108">
        <v>18</v>
      </c>
      <c r="BC59" s="1108">
        <v>22.566666666666727</v>
      </c>
      <c r="BD59" s="1108">
        <v>128.44324222874158</v>
      </c>
      <c r="BE59" s="1108">
        <v>42.723874999994997</v>
      </c>
      <c r="BF59" s="1108">
        <v>27.042812499998764</v>
      </c>
      <c r="BG59" s="1108">
        <v>25.143000000000072</v>
      </c>
      <c r="BH59" s="1108">
        <v>164.56866802098833</v>
      </c>
      <c r="BI59" s="1108">
        <v>44.033577142859997</v>
      </c>
      <c r="BJ59" s="1108">
        <v>24.171564285718585</v>
      </c>
      <c r="BK59" s="1108">
        <v>18.681916666666787</v>
      </c>
      <c r="BL59" s="1108">
        <v>219.87734690959351</v>
      </c>
      <c r="BM59" s="1108">
        <v>34.733874999999998</v>
      </c>
      <c r="BN59" s="1108">
        <v>18.94575</v>
      </c>
      <c r="BO59" s="1108">
        <v>3.1965187500001822</v>
      </c>
      <c r="BP59" s="1108">
        <v>158.0150875000005</v>
      </c>
      <c r="BQ59" s="1108">
        <v>35.370568749999997</v>
      </c>
      <c r="BR59" s="1108">
        <v>19.293037500000001</v>
      </c>
      <c r="BS59" s="1108">
        <v>3.3788446875001821</v>
      </c>
      <c r="BT59" s="1108">
        <v>157.9398418750005</v>
      </c>
      <c r="BU59" s="1108">
        <v>33</v>
      </c>
      <c r="BV59" s="1108">
        <v>18</v>
      </c>
      <c r="BW59" s="1108">
        <v>-0.89999999999963598</v>
      </c>
      <c r="BX59" s="1108">
        <v>319.04000000000099</v>
      </c>
      <c r="BY59" s="1108">
        <v>33</v>
      </c>
      <c r="BZ59" s="1108">
        <v>18</v>
      </c>
      <c r="CA59" s="1108">
        <v>-0.89999999999963598</v>
      </c>
      <c r="CB59" s="1108">
        <v>319.04000000000099</v>
      </c>
      <c r="CC59" s="1108">
        <v>33</v>
      </c>
      <c r="CD59" s="1108">
        <v>18</v>
      </c>
      <c r="CE59" s="1108">
        <v>-0.89999999999963598</v>
      </c>
      <c r="CF59" s="1108">
        <v>319.04000000000099</v>
      </c>
    </row>
    <row r="60" spans="4:84" ht="14.45" hidden="1" outlineLevel="1">
      <c r="D60" s="1432"/>
      <c r="E60" s="1440"/>
      <c r="F60" s="1106" t="s">
        <v>1069</v>
      </c>
      <c r="O60" s="1109">
        <v>161.58811540288454</v>
      </c>
      <c r="Q60" s="1109">
        <v>172.59372020609609</v>
      </c>
      <c r="S60" s="1109">
        <v>65.869631697913007</v>
      </c>
      <c r="T60" s="1109">
        <v>201.53035277135461</v>
      </c>
      <c r="U60" s="1109">
        <v>-8.0147224424225882</v>
      </c>
      <c r="V60" s="1109">
        <v>-48.54252220041262</v>
      </c>
      <c r="W60" s="1109">
        <v>-40.515972156478782</v>
      </c>
      <c r="X60" s="1109">
        <v>-62.391394874228077</v>
      </c>
      <c r="Y60" s="1109">
        <v>-66.293408794511919</v>
      </c>
      <c r="Z60" s="1109">
        <v>-39.281151470937203</v>
      </c>
      <c r="AA60" s="1109">
        <v>-18.064680112769526</v>
      </c>
      <c r="AB60" s="1109">
        <v>-13.638897046274675</v>
      </c>
      <c r="AC60" s="1109">
        <v>-75.133749604978135</v>
      </c>
      <c r="AD60" s="1109">
        <v>-76.410713939501946</v>
      </c>
      <c r="AE60" s="1109">
        <v>-88.881160201617831</v>
      </c>
      <c r="AF60" s="1109">
        <v>-87.285885070173293</v>
      </c>
      <c r="AG60" s="1109">
        <v>-39.473684210526315</v>
      </c>
      <c r="AH60" s="1109">
        <v>-31.515151515151512</v>
      </c>
      <c r="AI60" s="1109">
        <v>-13.559322033898304</v>
      </c>
      <c r="AJ60" s="1109">
        <v>-28.985507246376812</v>
      </c>
      <c r="AK60" s="1109">
        <v>26.086956521739129</v>
      </c>
      <c r="AL60" s="1109">
        <v>-30.088495575221241</v>
      </c>
      <c r="AM60" s="1109">
        <v>-23.52941176470588</v>
      </c>
      <c r="AN60" s="1109">
        <v>-63.265306122448983</v>
      </c>
      <c r="AO60" s="1109">
        <v>-22.413793103448278</v>
      </c>
      <c r="AP60" s="1109">
        <v>1.2658227848101267</v>
      </c>
      <c r="AQ60" s="1109">
        <v>-23.076923076923077</v>
      </c>
      <c r="AR60" s="1109">
        <v>66.666666666666657</v>
      </c>
      <c r="AS60" s="1109">
        <v>-4.4444444444444446</v>
      </c>
      <c r="AT60" s="1109">
        <v>-11.25</v>
      </c>
      <c r="AU60" s="1109">
        <v>33.333333333333329</v>
      </c>
      <c r="AV60" s="1109">
        <v>-23.333333333333332</v>
      </c>
      <c r="AW60" s="1109">
        <v>-34.883720930232556</v>
      </c>
      <c r="AX60" s="1109">
        <v>2.8169014084507045</v>
      </c>
      <c r="AY60" s="1109">
        <v>-114.99999999999999</v>
      </c>
      <c r="AZ60" s="1109">
        <v>-160.86956521739131</v>
      </c>
      <c r="BA60" s="1109">
        <v>17.857142857142858</v>
      </c>
      <c r="BB60" s="1109">
        <v>-75.342465753424662</v>
      </c>
      <c r="BC60" s="1109">
        <v>476.11111111111211</v>
      </c>
      <c r="BD60" s="1109">
        <v>1017.4517302052971</v>
      </c>
      <c r="BE60" s="1109">
        <v>29.466287878772718</v>
      </c>
      <c r="BF60" s="1109">
        <v>50.237847222215358</v>
      </c>
      <c r="BG60" s="1109">
        <v>11.416543574593817</v>
      </c>
      <c r="BH60" s="1109">
        <v>28.125594749400527</v>
      </c>
      <c r="BI60" s="1109">
        <v>3.0655041071652627</v>
      </c>
      <c r="BJ60" s="1109">
        <v>-10.61741715762852</v>
      </c>
      <c r="BK60" s="1109">
        <v>-25.697344522663428</v>
      </c>
      <c r="BL60" s="1109">
        <v>33.6082679368538</v>
      </c>
      <c r="BM60" s="1109">
        <v>-21.119569987894877</v>
      </c>
      <c r="BN60" s="1109">
        <v>-21.619677667308359</v>
      </c>
      <c r="BO60" s="1109">
        <v>-82.889770856843768</v>
      </c>
      <c r="BP60" s="1109">
        <v>-28.134894421401572</v>
      </c>
      <c r="BQ60" s="1109">
        <v>1.8330628241162246</v>
      </c>
      <c r="BR60" s="1109">
        <v>1.8330628241162277</v>
      </c>
      <c r="BS60" s="1109">
        <v>5.7038907561543173</v>
      </c>
      <c r="BT60" s="1109">
        <v>-4.7619266103312914E-2</v>
      </c>
      <c r="BU60" s="1109">
        <v>-6.7020939548787917</v>
      </c>
      <c r="BV60" s="1109">
        <v>-6.7020939548788032</v>
      </c>
      <c r="BW60" s="1109">
        <v>-126.63632345485215</v>
      </c>
      <c r="BX60" s="1109">
        <v>102.00096201976774</v>
      </c>
      <c r="BY60" s="1109">
        <v>0</v>
      </c>
      <c r="BZ60" s="1109">
        <v>0</v>
      </c>
      <c r="CA60" s="1109">
        <v>0</v>
      </c>
      <c r="CB60" s="1109">
        <v>0</v>
      </c>
      <c r="CC60" s="1109">
        <v>0</v>
      </c>
      <c r="CD60" s="1109">
        <v>0</v>
      </c>
      <c r="CE60" s="1109">
        <v>0</v>
      </c>
      <c r="CF60" s="1109">
        <v>0</v>
      </c>
    </row>
    <row r="61" spans="4:84" ht="14.45" hidden="1" outlineLevel="1" collapsed="1">
      <c r="D61" s="1432"/>
      <c r="E61" s="1440"/>
      <c r="F61" s="1106"/>
    </row>
    <row r="62" spans="4:84" ht="14.45" collapsed="1">
      <c r="D62" s="1434" t="s">
        <v>1087</v>
      </c>
      <c r="E62" s="1433" t="s">
        <v>1067</v>
      </c>
      <c r="F62" s="1107" t="s">
        <v>1068</v>
      </c>
      <c r="G62" s="1108">
        <v>6945.4799670223501</v>
      </c>
      <c r="I62" s="1108">
        <v>10033.065178241841</v>
      </c>
      <c r="K62" s="1108">
        <v>7410.5009967643264</v>
      </c>
      <c r="M62" s="1108">
        <v>6996.1428416501567</v>
      </c>
      <c r="O62" s="1108">
        <v>7594</v>
      </c>
      <c r="Q62" s="1108">
        <v>12070</v>
      </c>
      <c r="S62" s="1108">
        <v>8451</v>
      </c>
      <c r="T62" s="1108">
        <v>10292</v>
      </c>
      <c r="U62" s="1108">
        <v>11236</v>
      </c>
      <c r="V62" s="1108">
        <v>13282</v>
      </c>
      <c r="W62" s="1108">
        <v>9369</v>
      </c>
      <c r="X62" s="1108">
        <v>9243</v>
      </c>
      <c r="Y62" s="1108">
        <v>9329</v>
      </c>
      <c r="Z62" s="1108">
        <v>12513</v>
      </c>
      <c r="AA62" s="1108">
        <v>9387</v>
      </c>
      <c r="AB62" s="1108">
        <v>9181</v>
      </c>
      <c r="AC62" s="1108">
        <v>9395</v>
      </c>
      <c r="AD62" s="1108">
        <v>11889</v>
      </c>
      <c r="AE62" s="1108">
        <v>8775</v>
      </c>
      <c r="AF62" s="1108">
        <v>9235</v>
      </c>
      <c r="AG62" s="1108">
        <v>9378</v>
      </c>
      <c r="AH62" s="1108">
        <v>12170</v>
      </c>
      <c r="AI62" s="1108">
        <v>9917</v>
      </c>
      <c r="AJ62" s="1108">
        <v>10811</v>
      </c>
      <c r="AK62" s="1108">
        <v>10746</v>
      </c>
      <c r="AL62" s="1108">
        <v>12993</v>
      </c>
      <c r="AM62" s="1108">
        <v>10680</v>
      </c>
      <c r="AN62" s="1108">
        <v>11279</v>
      </c>
      <c r="AO62" s="1108">
        <v>11133</v>
      </c>
      <c r="AP62" s="1108">
        <v>13211</v>
      </c>
      <c r="AQ62" s="1108">
        <v>10997</v>
      </c>
      <c r="AR62" s="1108">
        <v>12910</v>
      </c>
      <c r="AS62" s="1108">
        <v>11849</v>
      </c>
      <c r="AT62" s="1108">
        <v>15122</v>
      </c>
      <c r="AU62" s="1108">
        <v>13036</v>
      </c>
      <c r="AV62" s="1108">
        <v>14086</v>
      </c>
      <c r="AW62" s="1108">
        <v>13314</v>
      </c>
      <c r="AX62" s="1108">
        <v>17530</v>
      </c>
      <c r="AY62" s="1108">
        <v>14520</v>
      </c>
      <c r="AZ62" s="1108">
        <v>14356</v>
      </c>
      <c r="BA62" s="1108">
        <v>13332</v>
      </c>
      <c r="BB62" s="1108">
        <v>14237</v>
      </c>
      <c r="BC62" s="1108">
        <v>12139.085552348244</v>
      </c>
      <c r="BD62" s="1108">
        <v>13347.268646323468</v>
      </c>
      <c r="BE62" s="1108">
        <v>13157.958063705901</v>
      </c>
      <c r="BF62" s="1108">
        <v>14701.063939982472</v>
      </c>
      <c r="BG62" s="1108">
        <v>12750.813651473662</v>
      </c>
      <c r="BH62" s="1108">
        <v>13917.969271454467</v>
      </c>
      <c r="BI62" s="1108">
        <v>13702.662280293369</v>
      </c>
      <c r="BJ62" s="1108">
        <v>15277.004733872556</v>
      </c>
      <c r="BK62" s="1108">
        <v>13376.391086026806</v>
      </c>
      <c r="BL62" s="1108">
        <v>14540.136298186013</v>
      </c>
      <c r="BM62" s="1108">
        <v>14724.527543528742</v>
      </c>
      <c r="BN62" s="1108">
        <v>16300.440314964229</v>
      </c>
      <c r="BO62" s="1108">
        <v>14277.639596694415</v>
      </c>
      <c r="BP62" s="1108">
        <v>15525.972681843943</v>
      </c>
      <c r="BQ62" s="1108">
        <v>15573.56550514662</v>
      </c>
      <c r="BR62" s="1108">
        <v>16937.098455879459</v>
      </c>
      <c r="BS62" s="1108">
        <v>15044.603749485899</v>
      </c>
      <c r="BT62" s="1108">
        <v>16578.27585029004</v>
      </c>
      <c r="BU62" s="1108">
        <v>17558.727584867302</v>
      </c>
      <c r="BV62" s="1108">
        <v>19421.775510207299</v>
      </c>
      <c r="BW62" s="1108">
        <v>16886.8244581812</v>
      </c>
      <c r="BX62" s="1108">
        <v>17992.717103162398</v>
      </c>
      <c r="BY62" s="1108">
        <v>18658.351561075349</v>
      </c>
      <c r="BZ62" s="1108">
        <v>20649.54241732795</v>
      </c>
      <c r="CA62" s="1108">
        <v>18001.962150255898</v>
      </c>
      <c r="CB62" s="1108">
        <v>19144.83252617695</v>
      </c>
      <c r="CC62" s="1108">
        <v>19750.354234246752</v>
      </c>
      <c r="CD62" s="1108">
        <v>21893.060643493998</v>
      </c>
      <c r="CE62" s="1108">
        <v>19125.909975500999</v>
      </c>
      <c r="CF62" s="1108">
        <v>20293.58396362665</v>
      </c>
    </row>
    <row r="63" spans="4:84" ht="14.45" hidden="1" outlineLevel="1">
      <c r="D63" s="1432"/>
      <c r="E63" s="1440"/>
      <c r="F63" s="1107" t="s">
        <v>1069</v>
      </c>
      <c r="O63" s="1109">
        <v>9.3372961416182996</v>
      </c>
      <c r="Q63" s="1109">
        <v>20.302218570009376</v>
      </c>
      <c r="S63" s="1109">
        <v>14.04087258999075</v>
      </c>
      <c r="T63" s="1109">
        <v>47.109632163720384</v>
      </c>
      <c r="U63" s="1109">
        <v>47.958914932841715</v>
      </c>
      <c r="V63" s="1109">
        <v>10.041425020712511</v>
      </c>
      <c r="W63" s="1109">
        <v>10.862619808306709</v>
      </c>
      <c r="X63" s="1109">
        <v>-10.192382432957638</v>
      </c>
      <c r="Y63" s="1109">
        <v>-16.972232111071555</v>
      </c>
      <c r="Z63" s="1109">
        <v>-5.7897906941725639</v>
      </c>
      <c r="AA63" s="1109">
        <v>0.19212295869356388</v>
      </c>
      <c r="AB63" s="1109">
        <v>-0.67077788596775945</v>
      </c>
      <c r="AC63" s="1109">
        <v>0.70747132597277307</v>
      </c>
      <c r="AD63" s="1109">
        <v>-4.9868137137377131</v>
      </c>
      <c r="AE63" s="1109">
        <v>-6.5196548418024927</v>
      </c>
      <c r="AF63" s="1109">
        <v>0.58817122317830306</v>
      </c>
      <c r="AG63" s="1109">
        <v>-0.18094731240021286</v>
      </c>
      <c r="AH63" s="1109">
        <v>2.3635293128101607</v>
      </c>
      <c r="AI63" s="1109">
        <v>13.014245014245015</v>
      </c>
      <c r="AJ63" s="1109">
        <v>17.065511640498105</v>
      </c>
      <c r="AK63" s="1109">
        <v>14.587332053742802</v>
      </c>
      <c r="AL63" s="1109">
        <v>6.7625308134757605</v>
      </c>
      <c r="AM63" s="1109">
        <v>7.6938590299485732</v>
      </c>
      <c r="AN63" s="1109">
        <v>4.3289242438257336</v>
      </c>
      <c r="AO63" s="1109">
        <v>3.6013400335008376</v>
      </c>
      <c r="AP63" s="1109">
        <v>1.6778265219733703</v>
      </c>
      <c r="AQ63" s="1109">
        <v>2.9681647940074907</v>
      </c>
      <c r="AR63" s="1109">
        <v>14.460501817537017</v>
      </c>
      <c r="AS63" s="1109">
        <v>6.4313302793496812</v>
      </c>
      <c r="AT63" s="1109">
        <v>14.465218378623874</v>
      </c>
      <c r="AU63" s="1109">
        <v>18.541420387378377</v>
      </c>
      <c r="AV63" s="1109">
        <v>9.1092176607281186</v>
      </c>
      <c r="AW63" s="1109">
        <v>12.363912566461305</v>
      </c>
      <c r="AX63" s="1109">
        <v>15.923819600581934</v>
      </c>
      <c r="AY63" s="1109">
        <v>11.383860079779073</v>
      </c>
      <c r="AZ63" s="1109">
        <v>1.916796819537129</v>
      </c>
      <c r="BA63" s="1109">
        <v>0.13519603424966201</v>
      </c>
      <c r="BB63" s="1109">
        <v>-18.784940102681119</v>
      </c>
      <c r="BC63" s="1109">
        <v>-16.39748242184405</v>
      </c>
      <c r="BD63" s="1109">
        <v>-7.0265488553673192</v>
      </c>
      <c r="BE63" s="1109">
        <v>-1.3054450667124158</v>
      </c>
      <c r="BF63" s="1109">
        <v>3.2595626886455871</v>
      </c>
      <c r="BG63" s="1109">
        <v>5.0393260389130532</v>
      </c>
      <c r="BH63" s="1109">
        <v>4.275785857417354</v>
      </c>
      <c r="BI63" s="1109">
        <v>4.1397321221895869</v>
      </c>
      <c r="BJ63" s="1109">
        <v>3.9176810347970688</v>
      </c>
      <c r="BK63" s="1109">
        <v>4.906176591176548</v>
      </c>
      <c r="BL63" s="1109">
        <v>4.4702428536582595</v>
      </c>
      <c r="BM63" s="1109">
        <v>7.4574213560307898</v>
      </c>
      <c r="BN63" s="1109">
        <v>6.6991900501443604</v>
      </c>
      <c r="BO63" s="1109">
        <v>6.7376058674679999</v>
      </c>
      <c r="BP63" s="1109">
        <v>6.7801041437343361</v>
      </c>
      <c r="BQ63" s="1109">
        <v>5.766147396634266</v>
      </c>
      <c r="BR63" s="1109">
        <v>3.9057726577530594</v>
      </c>
      <c r="BS63" s="1109">
        <v>5.3717853542756009</v>
      </c>
      <c r="BT63" s="1109">
        <v>6.7776956072881607</v>
      </c>
      <c r="BU63" s="1109">
        <v>12.746997975926849</v>
      </c>
      <c r="BV63" s="1109">
        <v>14.670027813797834</v>
      </c>
      <c r="BW63" s="1109">
        <v>12.245059686322762</v>
      </c>
      <c r="BX63" s="1109">
        <v>8.5318959923544337</v>
      </c>
      <c r="BY63" s="1109">
        <v>6.2625493270693511</v>
      </c>
      <c r="BZ63" s="1109">
        <v>6.3215997243680748</v>
      </c>
      <c r="CA63" s="1109">
        <v>6.6035961636022416</v>
      </c>
      <c r="CB63" s="1109">
        <v>6.4032320210939995</v>
      </c>
      <c r="CC63" s="1109">
        <v>5.8526213829602973</v>
      </c>
      <c r="CD63" s="1109">
        <v>6.0220134714586075</v>
      </c>
      <c r="CE63" s="1109">
        <v>6.2434739939119579</v>
      </c>
      <c r="CF63" s="1109">
        <v>6.0003211617495191</v>
      </c>
    </row>
    <row r="64" spans="4:84" ht="14.45" hidden="1" outlineLevel="1" collapsed="1">
      <c r="D64" s="1432"/>
      <c r="E64" s="1440"/>
      <c r="F64" s="1107"/>
    </row>
    <row r="65" spans="4:84" ht="14.45" collapsed="1">
      <c r="D65" s="1105" t="s">
        <v>366</v>
      </c>
      <c r="F65" s="1106" t="s">
        <v>1065</v>
      </c>
    </row>
    <row r="66" spans="4:84" ht="14.45">
      <c r="D66" s="1434" t="s">
        <v>1088</v>
      </c>
      <c r="E66" s="1433" t="s">
        <v>1067</v>
      </c>
      <c r="F66" s="1107" t="s">
        <v>1068</v>
      </c>
      <c r="G66" s="1108">
        <v>-1112.548437655787</v>
      </c>
      <c r="I66" s="1108">
        <v>-46.532596750666002</v>
      </c>
      <c r="K66" s="1108">
        <v>2093.029052792695</v>
      </c>
      <c r="M66" s="1108">
        <v>926.04560153318505</v>
      </c>
      <c r="O66" s="1108">
        <v>-107</v>
      </c>
      <c r="Q66" s="1108">
        <v>-15</v>
      </c>
      <c r="S66" s="1108">
        <v>-103</v>
      </c>
      <c r="T66" s="1108">
        <v>-53</v>
      </c>
      <c r="U66" s="1108">
        <v>-29.75</v>
      </c>
      <c r="V66" s="1108">
        <v>325</v>
      </c>
      <c r="W66" s="1108">
        <v>60</v>
      </c>
      <c r="X66" s="1108">
        <v>17</v>
      </c>
      <c r="Z66" s="1108">
        <v>-3161</v>
      </c>
      <c r="AA66" s="1108">
        <v>-1545</v>
      </c>
    </row>
    <row r="67" spans="4:84" ht="14.45" hidden="1" outlineLevel="1">
      <c r="D67" s="1432"/>
      <c r="E67" s="1440"/>
      <c r="F67" s="1107" t="s">
        <v>1069</v>
      </c>
      <c r="O67" s="1109">
        <v>90.382441215282626</v>
      </c>
      <c r="Q67" s="1109">
        <v>67.764532720204755</v>
      </c>
      <c r="S67" s="1109">
        <v>-104.92109748130676</v>
      </c>
      <c r="T67" s="1109">
        <v>-105.72326027057974</v>
      </c>
      <c r="U67" s="1109">
        <v>72.196261682242991</v>
      </c>
      <c r="V67" s="1109">
        <v>2266.666666666667</v>
      </c>
      <c r="W67" s="1109">
        <v>158.25242718446603</v>
      </c>
      <c r="X67" s="1109">
        <v>132.0754716981132</v>
      </c>
      <c r="Z67" s="1109">
        <v>-1072.6153846153845</v>
      </c>
      <c r="AA67" s="1109">
        <v>-2675</v>
      </c>
    </row>
    <row r="68" spans="4:84" ht="14.45" hidden="1" outlineLevel="1" collapsed="1">
      <c r="D68" s="1432"/>
      <c r="E68" s="1440"/>
      <c r="F68" s="1107"/>
    </row>
    <row r="69" spans="4:84" ht="14.45" collapsed="1">
      <c r="D69" s="1431" t="s">
        <v>477</v>
      </c>
      <c r="E69" s="1433" t="s">
        <v>1067</v>
      </c>
      <c r="F69" s="1106" t="s">
        <v>1068</v>
      </c>
      <c r="G69" s="1108">
        <v>16008</v>
      </c>
      <c r="I69" s="1108">
        <v>21456</v>
      </c>
      <c r="K69" s="1108">
        <v>20489</v>
      </c>
      <c r="M69" s="1108">
        <v>19896</v>
      </c>
      <c r="O69" s="1108">
        <v>18529</v>
      </c>
      <c r="Q69" s="1108">
        <v>24519</v>
      </c>
      <c r="S69" s="1108">
        <v>20403</v>
      </c>
      <c r="T69" s="1108">
        <v>23382</v>
      </c>
      <c r="U69" s="1108">
        <v>23201</v>
      </c>
      <c r="V69" s="1108">
        <v>26470</v>
      </c>
      <c r="W69" s="1108">
        <v>21729</v>
      </c>
      <c r="X69" s="1108">
        <v>22180</v>
      </c>
      <c r="Y69" s="1108">
        <v>20910</v>
      </c>
      <c r="Z69" s="1108">
        <v>25253</v>
      </c>
      <c r="AA69" s="1108">
        <v>21517</v>
      </c>
      <c r="AB69" s="1108">
        <v>23474</v>
      </c>
      <c r="AC69" s="1108">
        <v>21928</v>
      </c>
      <c r="AD69" s="1108">
        <v>25826</v>
      </c>
      <c r="AE69" s="1108">
        <v>23212</v>
      </c>
      <c r="AF69" s="1108">
        <v>25604.999999999989</v>
      </c>
      <c r="AG69" s="1108">
        <v>24538</v>
      </c>
      <c r="AH69" s="1108">
        <v>28918</v>
      </c>
      <c r="AI69" s="1108">
        <v>26819</v>
      </c>
      <c r="AJ69" s="1108">
        <v>30085</v>
      </c>
      <c r="AK69" s="1108">
        <v>29084</v>
      </c>
      <c r="AL69" s="1108">
        <v>32471</v>
      </c>
      <c r="AM69" s="1108">
        <v>30571</v>
      </c>
      <c r="AN69" s="1108">
        <v>33717</v>
      </c>
      <c r="AO69" s="1108">
        <v>33055</v>
      </c>
      <c r="AP69" s="1108">
        <v>36906</v>
      </c>
      <c r="AQ69" s="1108">
        <v>35021</v>
      </c>
      <c r="AR69" s="1108">
        <v>38033</v>
      </c>
      <c r="AS69" s="1108">
        <v>37154</v>
      </c>
      <c r="AT69" s="1108">
        <v>43076</v>
      </c>
      <c r="AU69" s="1108">
        <v>41706</v>
      </c>
      <c r="AV69" s="1108">
        <v>46152</v>
      </c>
      <c r="AW69" s="1108">
        <v>45317</v>
      </c>
      <c r="AX69" s="1108">
        <v>51728</v>
      </c>
      <c r="AY69" s="1108">
        <v>49360</v>
      </c>
      <c r="AZ69" s="1108">
        <v>51865</v>
      </c>
      <c r="BA69" s="1108">
        <v>50122</v>
      </c>
      <c r="BB69" s="1108">
        <v>52747</v>
      </c>
      <c r="BC69" s="1108">
        <v>51069.394719016753</v>
      </c>
      <c r="BD69" s="1108">
        <v>55182.846858397024</v>
      </c>
      <c r="BE69" s="1108">
        <v>54914.211366179072</v>
      </c>
      <c r="BF69" s="1108">
        <v>58389.644867760551</v>
      </c>
      <c r="BG69" s="1108">
        <v>57107.983432296263</v>
      </c>
      <c r="BH69" s="1108">
        <v>61383.18781743951</v>
      </c>
      <c r="BI69" s="1108">
        <v>61470.657884956941</v>
      </c>
      <c r="BJ69" s="1108">
        <v>65290.926705492187</v>
      </c>
      <c r="BK69" s="1108">
        <v>64217.921622161892</v>
      </c>
      <c r="BL69" s="1108">
        <v>69005.19666134617</v>
      </c>
      <c r="BM69" s="1108">
        <v>69942.607534429859</v>
      </c>
      <c r="BN69" s="1108">
        <v>74134.489517524446</v>
      </c>
      <c r="BO69" s="1108">
        <v>72956.641054148087</v>
      </c>
      <c r="BP69" s="1108">
        <v>78804.671061153829</v>
      </c>
      <c r="BQ69" s="1108">
        <v>79408.411434654758</v>
      </c>
      <c r="BR69" s="1108">
        <v>83605.885825577338</v>
      </c>
      <c r="BS69" s="1108">
        <v>82667.954110680439</v>
      </c>
      <c r="BT69" s="1108">
        <v>89717.561964412642</v>
      </c>
      <c r="BU69" s="1108">
        <v>84508.363704704199</v>
      </c>
      <c r="BV69" s="1108">
        <v>89052.51730491755</v>
      </c>
      <c r="BW69" s="1108">
        <v>88483.957017623747</v>
      </c>
      <c r="BX69" s="1108">
        <v>96053.205125708948</v>
      </c>
      <c r="BY69" s="1108">
        <v>91616.789643071796</v>
      </c>
      <c r="BZ69" s="1108">
        <v>96528.969909626598</v>
      </c>
      <c r="CA69" s="1108">
        <v>96112.008647347844</v>
      </c>
      <c r="CB69" s="1108">
        <v>104233.8621840526</v>
      </c>
      <c r="CC69" s="1108">
        <v>98275.882996644854</v>
      </c>
      <c r="CD69" s="1108">
        <v>103585.39232840795</v>
      </c>
      <c r="CE69" s="1108">
        <v>103198.9842263348</v>
      </c>
      <c r="CF69" s="1108">
        <v>111854.027921268</v>
      </c>
    </row>
    <row r="70" spans="4:84" ht="14.45" hidden="1" outlineLevel="1">
      <c r="D70" s="1432"/>
      <c r="E70" s="1440"/>
      <c r="F70" s="1106" t="s">
        <v>1069</v>
      </c>
      <c r="O70" s="1109">
        <v>15.748375812093954</v>
      </c>
      <c r="Q70" s="1109">
        <v>14.27572706935123</v>
      </c>
      <c r="S70" s="1109">
        <v>-0.41973742007906684</v>
      </c>
      <c r="T70" s="1109">
        <v>17.521109770808202</v>
      </c>
      <c r="U70" s="1109">
        <v>25.214528576825519</v>
      </c>
      <c r="V70" s="1109">
        <v>7.9570944981442961</v>
      </c>
      <c r="W70" s="1109">
        <v>6.4990442581973245</v>
      </c>
      <c r="X70" s="1109">
        <v>-5.1407065263878202</v>
      </c>
      <c r="Y70" s="1109">
        <v>-9.8745743717943188</v>
      </c>
      <c r="Z70" s="1109">
        <v>-4.5976577257272382</v>
      </c>
      <c r="AA70" s="1109">
        <v>-0.9756546550692623</v>
      </c>
      <c r="AB70" s="1109">
        <v>5.8340847610459869</v>
      </c>
      <c r="AC70" s="1109">
        <v>4.8684839789574363</v>
      </c>
      <c r="AD70" s="1109">
        <v>2.2690373420979686</v>
      </c>
      <c r="AE70" s="1109">
        <v>7.8774922154575444</v>
      </c>
      <c r="AF70" s="1109">
        <v>9.0781289937803056</v>
      </c>
      <c r="AG70" s="1109">
        <v>11.902590295512587</v>
      </c>
      <c r="AH70" s="1109">
        <v>11.972430883605668</v>
      </c>
      <c r="AI70" s="1109">
        <v>15.539376184732035</v>
      </c>
      <c r="AJ70" s="1109">
        <v>17.496582698691711</v>
      </c>
      <c r="AK70" s="1109">
        <v>18.526367267095935</v>
      </c>
      <c r="AL70" s="1109">
        <v>12.28646517739816</v>
      </c>
      <c r="AM70" s="1109">
        <v>13.990081658525671</v>
      </c>
      <c r="AN70" s="1109">
        <v>12.072461359481469</v>
      </c>
      <c r="AO70" s="1109">
        <v>13.653555219364598</v>
      </c>
      <c r="AP70" s="1109">
        <v>13.65834128915032</v>
      </c>
      <c r="AQ70" s="1109">
        <v>14.556278826338687</v>
      </c>
      <c r="AR70" s="1109">
        <v>12.800664353293593</v>
      </c>
      <c r="AS70" s="1109">
        <v>12.400544546967177</v>
      </c>
      <c r="AT70" s="1109">
        <v>16.718148810491517</v>
      </c>
      <c r="AU70" s="1109">
        <v>19.088546871876876</v>
      </c>
      <c r="AV70" s="1109">
        <v>21.347251071437963</v>
      </c>
      <c r="AW70" s="1109">
        <v>21.970716477364483</v>
      </c>
      <c r="AX70" s="1109">
        <v>20.085430402080046</v>
      </c>
      <c r="AY70" s="1109">
        <v>18.352275451973338</v>
      </c>
      <c r="AZ70" s="1109">
        <v>12.378661813139193</v>
      </c>
      <c r="BA70" s="1109">
        <v>10.603084935013349</v>
      </c>
      <c r="BB70" s="1109">
        <v>1.9699195793380759</v>
      </c>
      <c r="BC70" s="1109">
        <v>3.4631173399853181</v>
      </c>
      <c r="BD70" s="1109">
        <v>6.3970825381220937</v>
      </c>
      <c r="BE70" s="1109">
        <v>9.5610936638184256</v>
      </c>
      <c r="BF70" s="1109">
        <v>10.697565487630674</v>
      </c>
      <c r="BG70" s="1109">
        <v>11.824280954383266</v>
      </c>
      <c r="BH70" s="1109">
        <v>11.235993269707498</v>
      </c>
      <c r="BI70" s="1109">
        <v>11.93943490339533</v>
      </c>
      <c r="BJ70" s="1109">
        <v>11.819359157538107</v>
      </c>
      <c r="BK70" s="1109">
        <v>12.449989935811228</v>
      </c>
      <c r="BL70" s="1109">
        <v>12.417095160608749</v>
      </c>
      <c r="BM70" s="1109">
        <v>13.782103431084586</v>
      </c>
      <c r="BN70" s="1109">
        <v>13.544857238622024</v>
      </c>
      <c r="BO70" s="1109">
        <v>13.60791382100791</v>
      </c>
      <c r="BP70" s="1109">
        <v>14.20106727309266</v>
      </c>
      <c r="BQ70" s="1109">
        <v>13.533673155615872</v>
      </c>
      <c r="BR70" s="1109">
        <v>12.775964830531375</v>
      </c>
      <c r="BS70" s="1109">
        <v>13.311074792114757</v>
      </c>
      <c r="BT70" s="1109">
        <v>13.848025448631358</v>
      </c>
      <c r="BU70" s="1109">
        <v>6.4224333139395391</v>
      </c>
      <c r="BV70" s="1109">
        <v>6.5146507635876736</v>
      </c>
      <c r="BW70" s="1109">
        <v>7.0353778190234637</v>
      </c>
      <c r="BX70" s="1109">
        <v>7.0617647454680075</v>
      </c>
      <c r="BY70" s="1109">
        <v>8.4115058282354394</v>
      </c>
      <c r="BZ70" s="1109">
        <v>8.3955544783866447</v>
      </c>
      <c r="CA70" s="1109">
        <v>8.6208301333142057</v>
      </c>
      <c r="CB70" s="1109">
        <v>8.5167975890416976</v>
      </c>
      <c r="CC70" s="1109">
        <v>7.2684203184984986</v>
      </c>
      <c r="CD70" s="1109">
        <v>7.3101602818177724</v>
      </c>
      <c r="CE70" s="1109">
        <v>7.3736629571340391</v>
      </c>
      <c r="CF70" s="1109">
        <v>7.3106431801979772</v>
      </c>
    </row>
    <row r="71" spans="4:84" ht="14.45" hidden="1" outlineLevel="1" collapsed="1">
      <c r="D71" s="1432"/>
      <c r="E71" s="1440"/>
      <c r="F71" s="1106"/>
    </row>
    <row r="72" spans="4:84" ht="14.45" collapsed="1">
      <c r="D72" s="1434" t="s">
        <v>1089</v>
      </c>
      <c r="E72" s="1433" t="s">
        <v>1067</v>
      </c>
      <c r="F72" s="1107" t="s">
        <v>1068</v>
      </c>
      <c r="O72" s="1108">
        <v>113</v>
      </c>
      <c r="Q72" s="1108">
        <v>-97</v>
      </c>
      <c r="T72" s="1108">
        <v>-382</v>
      </c>
      <c r="V72" s="1108">
        <v>-326</v>
      </c>
      <c r="W72" s="1108">
        <v>190</v>
      </c>
    </row>
    <row r="73" spans="4:84" ht="14.45" hidden="1" outlineLevel="1">
      <c r="D73" s="1432"/>
      <c r="E73" s="1440"/>
      <c r="F73" s="1107" t="s">
        <v>1069</v>
      </c>
      <c r="V73" s="1109">
        <v>-236.08247422680412</v>
      </c>
    </row>
    <row r="74" spans="4:84" ht="14.45" hidden="1" outlineLevel="1" collapsed="1">
      <c r="D74" s="1432"/>
      <c r="E74" s="1440"/>
      <c r="F74" s="1107"/>
    </row>
    <row r="75" spans="4:84" ht="14.45" collapsed="1">
      <c r="D75" s="1431" t="s">
        <v>1090</v>
      </c>
      <c r="E75" s="1433" t="s">
        <v>1067</v>
      </c>
      <c r="F75" s="1106" t="s">
        <v>1068</v>
      </c>
      <c r="G75" s="1108">
        <v>16008</v>
      </c>
      <c r="I75" s="1108">
        <v>21456</v>
      </c>
      <c r="K75" s="1108">
        <v>20489</v>
      </c>
      <c r="M75" s="1108">
        <v>19896</v>
      </c>
      <c r="O75" s="1108">
        <v>18529</v>
      </c>
      <c r="Q75" s="1108">
        <v>24519</v>
      </c>
      <c r="S75" s="1108">
        <v>20403</v>
      </c>
      <c r="T75" s="1108">
        <v>23382</v>
      </c>
      <c r="U75" s="1108">
        <v>23201</v>
      </c>
      <c r="V75" s="1108">
        <v>26470</v>
      </c>
      <c r="W75" s="1108">
        <v>21729</v>
      </c>
      <c r="X75" s="1108">
        <v>22180</v>
      </c>
      <c r="Y75" s="1108">
        <v>20910</v>
      </c>
      <c r="Z75" s="1108">
        <v>25253</v>
      </c>
      <c r="AA75" s="1108">
        <v>21517</v>
      </c>
      <c r="AB75" s="1108">
        <v>23474</v>
      </c>
      <c r="AC75" s="1108">
        <v>21928</v>
      </c>
      <c r="AD75" s="1108">
        <v>25826</v>
      </c>
      <c r="AE75" s="1108">
        <v>23212</v>
      </c>
      <c r="AF75" s="1108">
        <v>25605</v>
      </c>
      <c r="AG75" s="1108">
        <v>24538</v>
      </c>
      <c r="AH75" s="1108">
        <v>28918</v>
      </c>
      <c r="AI75" s="1108">
        <v>26819</v>
      </c>
      <c r="AJ75" s="1108">
        <v>30085</v>
      </c>
      <c r="AK75" s="1108">
        <v>29084</v>
      </c>
      <c r="AL75" s="1108">
        <v>32471</v>
      </c>
      <c r="AM75" s="1108">
        <v>30571</v>
      </c>
      <c r="AN75" s="1108">
        <v>33717</v>
      </c>
      <c r="AO75" s="1108">
        <v>33055</v>
      </c>
      <c r="AP75" s="1108">
        <v>36906</v>
      </c>
      <c r="AQ75" s="1108">
        <v>35021</v>
      </c>
      <c r="AR75" s="1108">
        <v>38033</v>
      </c>
      <c r="AS75" s="1108">
        <v>37154</v>
      </c>
      <c r="AT75" s="1108">
        <v>43076</v>
      </c>
      <c r="AU75" s="1108">
        <v>41706</v>
      </c>
      <c r="AV75" s="1108">
        <v>46152</v>
      </c>
      <c r="AW75" s="1108">
        <v>45317</v>
      </c>
      <c r="AX75" s="1108">
        <v>51728</v>
      </c>
      <c r="AY75" s="1108">
        <v>49360</v>
      </c>
      <c r="AZ75" s="1108">
        <v>51865</v>
      </c>
      <c r="BA75" s="1108">
        <v>50122</v>
      </c>
      <c r="BB75" s="1108">
        <v>52747</v>
      </c>
      <c r="BC75" s="1108">
        <v>51076.577915034126</v>
      </c>
      <c r="BD75" s="1108">
        <v>55191.824256487896</v>
      </c>
      <c r="BE75" s="1108">
        <v>54920.81806291244</v>
      </c>
      <c r="BF75" s="1108">
        <v>58383.464793233274</v>
      </c>
      <c r="BG75" s="1108">
        <v>57115.072412156434</v>
      </c>
      <c r="BH75" s="1108">
        <v>61379.830485384817</v>
      </c>
      <c r="BI75" s="1108">
        <v>61464.631018257249</v>
      </c>
      <c r="BJ75" s="1108">
        <v>65262.852191484169</v>
      </c>
      <c r="BK75" s="1108">
        <v>64217.554603593555</v>
      </c>
      <c r="BL75" s="1108">
        <v>68990.496639553428</v>
      </c>
      <c r="BM75" s="1108">
        <v>69942.607534429873</v>
      </c>
      <c r="BN75" s="1108">
        <v>74134.489517524431</v>
      </c>
      <c r="BO75" s="1108">
        <v>72956.641054148102</v>
      </c>
      <c r="BP75" s="1108">
        <v>78804.671061153844</v>
      </c>
      <c r="BQ75" s="1108">
        <v>79408.411434654758</v>
      </c>
      <c r="BR75" s="1108">
        <v>83605.885825577367</v>
      </c>
      <c r="BS75" s="1108">
        <v>82667.954110680454</v>
      </c>
      <c r="BT75" s="1108">
        <v>89717.561964412642</v>
      </c>
      <c r="BU75" s="1108">
        <v>84508.363704704199</v>
      </c>
      <c r="BV75" s="1108">
        <v>89052.51730491755</v>
      </c>
      <c r="BW75" s="1108">
        <v>88483.957017623747</v>
      </c>
      <c r="BX75" s="1108">
        <v>96053.205125708948</v>
      </c>
      <c r="BY75" s="1108">
        <v>91616.789643071796</v>
      </c>
      <c r="BZ75" s="1108">
        <v>96528.969909626598</v>
      </c>
      <c r="CA75" s="1108">
        <v>96112.008647347844</v>
      </c>
      <c r="CB75" s="1108">
        <v>104233.8621840526</v>
      </c>
      <c r="CC75" s="1108">
        <v>98275.882996644854</v>
      </c>
      <c r="CD75" s="1108">
        <v>103585.39232840795</v>
      </c>
      <c r="CE75" s="1108">
        <v>103198.9842263348</v>
      </c>
      <c r="CF75" s="1108">
        <v>111854.027921268</v>
      </c>
    </row>
    <row r="76" spans="4:84" ht="14.45" hidden="1" outlineLevel="1">
      <c r="D76" s="1432"/>
      <c r="E76" s="1440"/>
      <c r="F76" s="1106" t="s">
        <v>1069</v>
      </c>
      <c r="O76" s="1109">
        <v>15.748375812093954</v>
      </c>
      <c r="Q76" s="1109">
        <v>14.27572706935123</v>
      </c>
      <c r="S76" s="1109">
        <v>-0.41973742007906684</v>
      </c>
      <c r="T76" s="1109">
        <v>17.521109770808202</v>
      </c>
      <c r="U76" s="1109">
        <v>25.214528576825519</v>
      </c>
      <c r="V76" s="1109">
        <v>7.9570944981442961</v>
      </c>
      <c r="W76" s="1109">
        <v>6.4990442581973245</v>
      </c>
      <c r="X76" s="1109">
        <v>-5.1407065263878202</v>
      </c>
      <c r="Y76" s="1109">
        <v>-9.8745743717943188</v>
      </c>
      <c r="Z76" s="1109">
        <v>-4.5976577257272382</v>
      </c>
      <c r="AA76" s="1109">
        <v>-0.9756546550692623</v>
      </c>
      <c r="AB76" s="1109">
        <v>5.8340847610459869</v>
      </c>
      <c r="AC76" s="1109">
        <v>4.8684839789574363</v>
      </c>
      <c r="AD76" s="1109">
        <v>2.2690373420979686</v>
      </c>
      <c r="AE76" s="1109">
        <v>7.8774922154575444</v>
      </c>
      <c r="AF76" s="1109">
        <v>9.0781289937803535</v>
      </c>
      <c r="AG76" s="1109">
        <v>11.902590295512587</v>
      </c>
      <c r="AH76" s="1109">
        <v>11.972430883605668</v>
      </c>
      <c r="AI76" s="1109">
        <v>15.539376184732035</v>
      </c>
      <c r="AJ76" s="1109">
        <v>17.496582698691661</v>
      </c>
      <c r="AK76" s="1109">
        <v>18.526367267095935</v>
      </c>
      <c r="AL76" s="1109">
        <v>12.28646517739816</v>
      </c>
      <c r="AM76" s="1109">
        <v>13.990081658525671</v>
      </c>
      <c r="AN76" s="1109">
        <v>12.072461359481469</v>
      </c>
      <c r="AO76" s="1109">
        <v>13.653555219364598</v>
      </c>
      <c r="AP76" s="1109">
        <v>13.65834128915032</v>
      </c>
      <c r="AQ76" s="1109">
        <v>14.556278826338687</v>
      </c>
      <c r="AR76" s="1109">
        <v>12.800664353293593</v>
      </c>
      <c r="AS76" s="1109">
        <v>12.400544546967177</v>
      </c>
      <c r="AT76" s="1109">
        <v>16.718148810491517</v>
      </c>
      <c r="AU76" s="1109">
        <v>19.088546871876876</v>
      </c>
      <c r="AV76" s="1109">
        <v>21.347251071437963</v>
      </c>
      <c r="AW76" s="1109">
        <v>21.970716477364483</v>
      </c>
      <c r="AX76" s="1109">
        <v>20.085430402080046</v>
      </c>
      <c r="AY76" s="1109">
        <v>18.352275451973338</v>
      </c>
      <c r="AZ76" s="1109">
        <v>12.378661813139193</v>
      </c>
      <c r="BA76" s="1109">
        <v>10.603084935013349</v>
      </c>
      <c r="BB76" s="1109">
        <v>1.9699195793380759</v>
      </c>
      <c r="BC76" s="1109">
        <v>3.4776700061469326</v>
      </c>
      <c r="BD76" s="1109">
        <v>6.4143917024735302</v>
      </c>
      <c r="BE76" s="1109">
        <v>9.5742748950808831</v>
      </c>
      <c r="BF76" s="1109">
        <v>10.685849040198066</v>
      </c>
      <c r="BG76" s="1109">
        <v>11.822433576437605</v>
      </c>
      <c r="BH76" s="1109">
        <v>11.211816808482299</v>
      </c>
      <c r="BI76" s="1109">
        <v>11.914995417309324</v>
      </c>
      <c r="BJ76" s="1109">
        <v>11.783109177597535</v>
      </c>
      <c r="BK76" s="1109">
        <v>12.435390329515577</v>
      </c>
      <c r="BL76" s="1109">
        <v>12.399294839989484</v>
      </c>
      <c r="BM76" s="1109">
        <v>13.793260246944872</v>
      </c>
      <c r="BN76" s="1109">
        <v>13.59370151339766</v>
      </c>
      <c r="BO76" s="1109">
        <v>13.608563117203337</v>
      </c>
      <c r="BP76" s="1109">
        <v>14.22540045316007</v>
      </c>
      <c r="BQ76" s="1109">
        <v>13.533673155615849</v>
      </c>
      <c r="BR76" s="1109">
        <v>12.775964830531436</v>
      </c>
      <c r="BS76" s="1109">
        <v>13.311074792114756</v>
      </c>
      <c r="BT76" s="1109">
        <v>13.848025448631335</v>
      </c>
      <c r="BU76" s="1109">
        <v>6.4224333139395391</v>
      </c>
      <c r="BV76" s="1109">
        <v>6.5146507635876354</v>
      </c>
      <c r="BW76" s="1109">
        <v>7.0353778190234459</v>
      </c>
      <c r="BX76" s="1109">
        <v>7.0617647454680075</v>
      </c>
      <c r="BY76" s="1109">
        <v>8.4115058282354394</v>
      </c>
      <c r="BZ76" s="1109">
        <v>8.3955544783866447</v>
      </c>
      <c r="CA76" s="1109">
        <v>8.6208301333142057</v>
      </c>
      <c r="CB76" s="1109">
        <v>8.5167975890416976</v>
      </c>
      <c r="CC76" s="1109">
        <v>7.2684203184984986</v>
      </c>
      <c r="CD76" s="1109">
        <v>7.3101602818177724</v>
      </c>
      <c r="CE76" s="1109">
        <v>7.3736629571340391</v>
      </c>
      <c r="CF76" s="1109">
        <v>7.3106431801979772</v>
      </c>
    </row>
    <row r="77" spans="4:84" ht="14.45" hidden="1" outlineLevel="1" collapsed="1">
      <c r="D77" s="1432"/>
      <c r="E77" s="1440"/>
      <c r="F77" s="1106"/>
    </row>
    <row r="78" spans="4:84" ht="14.45" collapsed="1">
      <c r="D78" s="1105" t="s">
        <v>366</v>
      </c>
      <c r="F78" s="1107" t="s">
        <v>1065</v>
      </c>
    </row>
    <row r="79" spans="4:84" ht="14.45">
      <c r="D79" s="1105" t="s">
        <v>1091</v>
      </c>
      <c r="F79" s="1107" t="s">
        <v>1065</v>
      </c>
    </row>
    <row r="80" spans="4:84" ht="14.45">
      <c r="D80" s="1431" t="s">
        <v>1092</v>
      </c>
      <c r="E80" s="1433" t="s">
        <v>1067</v>
      </c>
      <c r="F80" s="1106" t="s">
        <v>1068</v>
      </c>
      <c r="G80" s="1108">
        <v>12081.660153395038</v>
      </c>
      <c r="I80" s="1108">
        <v>13529.464979575378</v>
      </c>
      <c r="K80" s="1108">
        <v>12709.691072544276</v>
      </c>
      <c r="M80" s="1108">
        <v>14011.066661174595</v>
      </c>
      <c r="O80" s="1108">
        <v>13452.615501533648</v>
      </c>
      <c r="Q80" s="1108">
        <v>15208.132983304335</v>
      </c>
      <c r="S80" s="1108">
        <v>14290.072343362493</v>
      </c>
      <c r="T80" s="1108">
        <v>15422.004115493091</v>
      </c>
      <c r="U80" s="1108">
        <v>13657.75316083486</v>
      </c>
      <c r="V80" s="1108">
        <v>14550.486678036305</v>
      </c>
      <c r="W80" s="1108">
        <v>13174.60545782884</v>
      </c>
      <c r="X80" s="1108">
        <v>13565.807011216124</v>
      </c>
      <c r="Y80" s="1108">
        <v>12276.576113371741</v>
      </c>
      <c r="Z80" s="1108">
        <v>13325.33222198462</v>
      </c>
      <c r="AA80" s="1108">
        <v>11753.988261830264</v>
      </c>
      <c r="AB80" s="1108">
        <v>13690.881870911991</v>
      </c>
      <c r="AC80" s="1108">
        <v>12244.138732819645</v>
      </c>
      <c r="AD80" s="1108">
        <v>13378.6327262995</v>
      </c>
      <c r="AE80" s="1108">
        <v>12197.744946995545</v>
      </c>
      <c r="AF80" s="1108">
        <v>13944.665531956802</v>
      </c>
      <c r="AG80" s="1108">
        <v>11930.373948090572</v>
      </c>
      <c r="AH80" s="1108">
        <v>13152.938112523074</v>
      </c>
      <c r="AI80" s="1108">
        <v>12415.710499268058</v>
      </c>
      <c r="AJ80" s="1108">
        <v>14464.89086683912</v>
      </c>
      <c r="AK80" s="1108">
        <v>12461.581953886131</v>
      </c>
      <c r="AL80" s="1108">
        <v>12767.160426873515</v>
      </c>
      <c r="AM80" s="1108">
        <v>12708.698526979924</v>
      </c>
      <c r="AN80" s="1108">
        <v>14665.66414682247</v>
      </c>
      <c r="AO80" s="1108">
        <v>13191.13198324336</v>
      </c>
      <c r="AP80" s="1108">
        <v>14063.593226095029</v>
      </c>
      <c r="AQ80" s="1108">
        <v>13315.048591144683</v>
      </c>
      <c r="AR80" s="1108">
        <v>14157.080145130667</v>
      </c>
      <c r="AS80" s="1108">
        <v>12607.799939460179</v>
      </c>
      <c r="AT80" s="1108">
        <v>13893.604408559391</v>
      </c>
      <c r="AU80" s="1108">
        <v>13509.457259202209</v>
      </c>
      <c r="AV80" s="1108">
        <v>15779.400026676571</v>
      </c>
      <c r="AW80" s="1108">
        <v>13859.480708994093</v>
      </c>
      <c r="AX80" s="1108">
        <v>15312.052472969963</v>
      </c>
      <c r="AY80" s="1108">
        <v>14271.29893501215</v>
      </c>
      <c r="AZ80" s="1108">
        <v>15385.043567751582</v>
      </c>
      <c r="BA80" s="1108">
        <v>13322.321763723652</v>
      </c>
      <c r="BB80" s="1108">
        <v>13085.126904385364</v>
      </c>
      <c r="BC80" s="1108">
        <v>12589.210989995046</v>
      </c>
      <c r="BD80" s="1108">
        <v>14501.666247743053</v>
      </c>
      <c r="BE80" s="1108">
        <v>13113.021556395332</v>
      </c>
      <c r="BF80" s="1108">
        <v>13141.146196121692</v>
      </c>
      <c r="BG80" s="1108">
        <v>12762.315390140653</v>
      </c>
      <c r="BH80" s="1108">
        <v>14770.340044932398</v>
      </c>
      <c r="BI80" s="1108">
        <v>13393.957993821443</v>
      </c>
      <c r="BJ80" s="1108">
        <v>13283.21687251179</v>
      </c>
      <c r="BK80" s="1108">
        <v>12997.848317038035</v>
      </c>
      <c r="BL80" s="1108">
        <v>15032.077160040501</v>
      </c>
      <c r="BM80" s="1108">
        <v>13712.828054947342</v>
      </c>
      <c r="BN80" s="1108">
        <v>13667.063760777301</v>
      </c>
      <c r="BO80" s="1108">
        <v>13600.002021230315</v>
      </c>
      <c r="BP80" s="1108">
        <v>15783.069833892003</v>
      </c>
      <c r="BQ80" s="1108">
        <v>14188.279473114662</v>
      </c>
      <c r="BR80" s="1108">
        <v>14050.896627101187</v>
      </c>
      <c r="BS80" s="1108">
        <v>14177.439067174373</v>
      </c>
      <c r="BT80" s="1108">
        <v>16226.787105445981</v>
      </c>
      <c r="BU80" s="1108">
        <v>11148.575346176709</v>
      </c>
      <c r="BV80" s="1108">
        <v>10719.386383868368</v>
      </c>
      <c r="BW80" s="1108">
        <v>10853.814906218009</v>
      </c>
      <c r="BX80" s="1108">
        <v>11996.690102525148</v>
      </c>
      <c r="BY80" s="1108">
        <v>10962.497653395418</v>
      </c>
      <c r="BZ80" s="1108">
        <v>10489.951620440592</v>
      </c>
      <c r="CA80" s="1108">
        <v>10690.207986195663</v>
      </c>
      <c r="CB80" s="1108">
        <v>11808.384486792398</v>
      </c>
      <c r="CC80" s="1108">
        <v>10809.867009304933</v>
      </c>
      <c r="CD80" s="1108">
        <v>10301.703242951398</v>
      </c>
      <c r="CE80" s="1108">
        <v>10555.567741333751</v>
      </c>
      <c r="CF80" s="1108">
        <v>11650.172593251031</v>
      </c>
    </row>
    <row r="81" spans="4:84" ht="14.45" hidden="1" outlineLevel="1">
      <c r="D81" s="1432"/>
      <c r="E81" s="1440"/>
      <c r="F81" s="1106" t="s">
        <v>1069</v>
      </c>
      <c r="O81" s="1109">
        <v>11.347408640304796</v>
      </c>
      <c r="Q81" s="1109">
        <v>12.407497312444663</v>
      </c>
      <c r="S81" s="1109">
        <v>12.43445857021803</v>
      </c>
      <c r="T81" s="1109">
        <v>10.070164452420164</v>
      </c>
      <c r="U81" s="1109">
        <v>1.5248905261421131</v>
      </c>
      <c r="V81" s="1109">
        <v>-4.324306645595497</v>
      </c>
      <c r="W81" s="1109">
        <v>-7.8058869033771501</v>
      </c>
      <c r="X81" s="1109">
        <v>-12.036030404195095</v>
      </c>
      <c r="Y81" s="1109">
        <v>-10.112769144369951</v>
      </c>
      <c r="Z81" s="1109">
        <v>-8.4200239013381815</v>
      </c>
      <c r="AA81" s="1109">
        <v>-10.782996124976124</v>
      </c>
      <c r="AB81" s="1109">
        <v>0.92198613464319745</v>
      </c>
      <c r="AC81" s="1109">
        <v>-0.26422171990417082</v>
      </c>
      <c r="AD81" s="1109">
        <v>0.3999938119887429</v>
      </c>
      <c r="AE81" s="1109">
        <v>3.7753711785329083</v>
      </c>
      <c r="AF81" s="1109">
        <v>1.8536692043483756</v>
      </c>
      <c r="AG81" s="1109">
        <v>-2.5625712969753178</v>
      </c>
      <c r="AH81" s="1109">
        <v>-1.6869781717885071</v>
      </c>
      <c r="AI81" s="1109">
        <v>1.7869331849425247</v>
      </c>
      <c r="AJ81" s="1109">
        <v>3.7306404638399142</v>
      </c>
      <c r="AK81" s="1109">
        <v>4.4525679421857323</v>
      </c>
      <c r="AL81" s="1109">
        <v>-2.9330152879093587</v>
      </c>
      <c r="AM81" s="1109">
        <v>2.3598168443854974</v>
      </c>
      <c r="AN81" s="1109">
        <v>1.3880041116910504</v>
      </c>
      <c r="AO81" s="1109">
        <v>5.8543933832551662</v>
      </c>
      <c r="AP81" s="1109">
        <v>10.154433373396483</v>
      </c>
      <c r="AQ81" s="1109">
        <v>4.771142087268089</v>
      </c>
      <c r="AR81" s="1109">
        <v>-3.467855233831977</v>
      </c>
      <c r="AS81" s="1109">
        <v>-4.4221530383001628</v>
      </c>
      <c r="AT81" s="1109">
        <v>-1.2087154029755542</v>
      </c>
      <c r="AU81" s="1109">
        <v>1.4600672819686078</v>
      </c>
      <c r="AV81" s="1109">
        <v>11.459424294520936</v>
      </c>
      <c r="AW81" s="1109">
        <v>9.9278286104173894</v>
      </c>
      <c r="AX81" s="1109">
        <v>10.20935980829217</v>
      </c>
      <c r="AY81" s="1109">
        <v>5.63932111551705</v>
      </c>
      <c r="AZ81" s="1109">
        <v>-2.4991853825766004</v>
      </c>
      <c r="BA81" s="1109">
        <v>-3.8757508780386876</v>
      </c>
      <c r="BB81" s="1109">
        <v>-14.543612442001111</v>
      </c>
      <c r="BC81" s="1109">
        <v>-11.786509081457142</v>
      </c>
      <c r="BD81" s="1109">
        <v>-5.7417927750309801</v>
      </c>
      <c r="BE81" s="1109">
        <v>-1.5710490336469711</v>
      </c>
      <c r="BF81" s="1109">
        <v>0.42811424104379958</v>
      </c>
      <c r="BG81" s="1109">
        <v>1.3750218364214957</v>
      </c>
      <c r="BH81" s="1109">
        <v>1.8527098376102817</v>
      </c>
      <c r="BI81" s="1109">
        <v>2.1424233630508769</v>
      </c>
      <c r="BJ81" s="1109">
        <v>1.0811132778663319</v>
      </c>
      <c r="BK81" s="1109">
        <v>1.8455344480778118</v>
      </c>
      <c r="BL81" s="1109">
        <v>1.7720452901685404</v>
      </c>
      <c r="BM81" s="1109">
        <v>2.3807007702502285</v>
      </c>
      <c r="BN81" s="1109">
        <v>2.8897133273479945</v>
      </c>
      <c r="BO81" s="1109">
        <v>4.6327183507977701</v>
      </c>
      <c r="BP81" s="1109">
        <v>4.9959341337593219</v>
      </c>
      <c r="BQ81" s="1109">
        <v>3.4672017782341107</v>
      </c>
      <c r="BR81" s="1109">
        <v>2.8084515667910819</v>
      </c>
      <c r="BS81" s="1109">
        <v>4.2458600009224146</v>
      </c>
      <c r="BT81" s="1109">
        <v>2.8113496057728611</v>
      </c>
      <c r="BU81" s="1109">
        <v>-21.424050271196599</v>
      </c>
      <c r="BV81" s="1109">
        <v>-23.710303560322586</v>
      </c>
      <c r="BW81" s="1109">
        <v>-23.443050223729703</v>
      </c>
      <c r="BX81" s="1109">
        <v>-26.06860480409669</v>
      </c>
      <c r="BY81" s="1109">
        <v>-1.6690714912296369</v>
      </c>
      <c r="BZ81" s="1109">
        <v>-2.1403721744096607</v>
      </c>
      <c r="CA81" s="1109">
        <v>-1.5073678834215072</v>
      </c>
      <c r="CB81" s="1109">
        <v>-1.569646411830828</v>
      </c>
      <c r="CC81" s="1109">
        <v>-1.3922980776484839</v>
      </c>
      <c r="CD81" s="1109">
        <v>-1.7945590628118335</v>
      </c>
      <c r="CE81" s="1109">
        <v>-1.2594726410914903</v>
      </c>
      <c r="CF81" s="1109">
        <v>-1.3398267452954831</v>
      </c>
    </row>
    <row r="82" spans="4:84" ht="14.45" hidden="1" outlineLevel="1" collapsed="1">
      <c r="D82" s="1432"/>
      <c r="E82" s="1440"/>
      <c r="F82" s="1106"/>
    </row>
    <row r="83" spans="4:84" ht="14.45" collapsed="1">
      <c r="D83" s="1431" t="s">
        <v>1093</v>
      </c>
      <c r="E83" s="1433" t="s">
        <v>1067</v>
      </c>
      <c r="F83" s="1107" t="s">
        <v>1068</v>
      </c>
      <c r="G83" s="1108">
        <v>240.7721674876845</v>
      </c>
      <c r="I83" s="1108">
        <v>278.94024917365857</v>
      </c>
      <c r="K83" s="1108">
        <v>349.43322351685015</v>
      </c>
      <c r="M83" s="1108">
        <v>390.34411961722532</v>
      </c>
      <c r="O83" s="1108">
        <v>548.80635155106006</v>
      </c>
      <c r="Q83" s="1108">
        <v>657.85623054426276</v>
      </c>
      <c r="S83" s="1108">
        <v>784.80883734860504</v>
      </c>
      <c r="T83" s="1108">
        <v>1015.0362636046079</v>
      </c>
      <c r="U83" s="1108">
        <v>1245.113208384251</v>
      </c>
      <c r="V83" s="1108">
        <v>1341.5725861396779</v>
      </c>
      <c r="W83" s="1108">
        <v>1604.795574902201</v>
      </c>
      <c r="X83" s="1108">
        <v>1849.8592943985698</v>
      </c>
      <c r="Y83" s="1108">
        <v>2172.4102321880946</v>
      </c>
      <c r="Z83" s="1108">
        <v>2396.7000032885221</v>
      </c>
      <c r="AA83" s="1108">
        <v>2742.8853225962489</v>
      </c>
      <c r="AB83" s="1108">
        <v>3123.0810045477701</v>
      </c>
      <c r="AC83" s="1108">
        <v>3465.6679855103171</v>
      </c>
      <c r="AD83" s="1108">
        <v>3913.8145634300545</v>
      </c>
      <c r="AE83" s="1108">
        <v>5028.6828991630982</v>
      </c>
      <c r="AF83" s="1108">
        <v>5781.7427989278331</v>
      </c>
      <c r="AG83" s="1108">
        <v>6415.9902130690471</v>
      </c>
      <c r="AH83" s="1108">
        <v>6937.9854283840987</v>
      </c>
      <c r="AI83" s="1108">
        <v>7532.7189500586319</v>
      </c>
      <c r="AJ83" s="1108">
        <v>8608.1023724748047</v>
      </c>
      <c r="AK83" s="1108">
        <v>9283.8575242307106</v>
      </c>
      <c r="AL83" s="1108">
        <v>9897.2435993788222</v>
      </c>
      <c r="AM83" s="1108">
        <v>10521.840074740579</v>
      </c>
      <c r="AN83" s="1108">
        <v>11920.747015874498</v>
      </c>
      <c r="AO83" s="1108">
        <v>12439.409090030525</v>
      </c>
      <c r="AP83" s="1108">
        <v>13513.036615045421</v>
      </c>
      <c r="AQ83" s="1108">
        <v>14131.043013964914</v>
      </c>
      <c r="AR83" s="1108">
        <v>15163.502179224624</v>
      </c>
      <c r="AS83" s="1108">
        <v>16141.793181579071</v>
      </c>
      <c r="AT83" s="1108">
        <v>17805.98425692234</v>
      </c>
      <c r="AU83" s="1108">
        <v>18724.422740379468</v>
      </c>
      <c r="AV83" s="1108">
        <v>20879.875183652683</v>
      </c>
      <c r="AW83" s="1108">
        <v>21963.654702773223</v>
      </c>
      <c r="AX83" s="1108">
        <v>23634.381117448316</v>
      </c>
      <c r="AY83" s="1108">
        <v>24618.560474257305</v>
      </c>
      <c r="AZ83" s="1108">
        <v>26519.73988778596</v>
      </c>
      <c r="BA83" s="1108">
        <v>26907.172258684655</v>
      </c>
      <c r="BB83" s="1108">
        <v>28377.04601054954</v>
      </c>
      <c r="BC83" s="1108">
        <v>29095.54900953377</v>
      </c>
      <c r="BD83" s="1108">
        <v>31140.951147654316</v>
      </c>
      <c r="BE83" s="1108">
        <v>31816.06801236438</v>
      </c>
      <c r="BF83" s="1108">
        <v>33576.718967352761</v>
      </c>
      <c r="BG83" s="1108">
        <v>34410.358923225336</v>
      </c>
      <c r="BH83" s="1108">
        <v>36804.476713873213</v>
      </c>
      <c r="BI83" s="1108">
        <v>37799.433924101242</v>
      </c>
      <c r="BJ83" s="1108">
        <v>39949.721788660885</v>
      </c>
      <c r="BK83" s="1108">
        <v>40925.472396825789</v>
      </c>
      <c r="BL83" s="1108">
        <v>43799.684837842149</v>
      </c>
      <c r="BM83" s="1108">
        <v>44808.083233926613</v>
      </c>
      <c r="BN83" s="1108">
        <v>47278.87566388947</v>
      </c>
      <c r="BO83" s="1108">
        <v>48135.79947607861</v>
      </c>
      <c r="BP83" s="1108">
        <v>51445.060668238984</v>
      </c>
      <c r="BQ83" s="1108">
        <v>53519.33205420585</v>
      </c>
      <c r="BR83" s="1108">
        <v>56314.657498299799</v>
      </c>
      <c r="BS83" s="1108">
        <v>57138.545304364619</v>
      </c>
      <c r="BT83" s="1108">
        <v>61279.074891290576</v>
      </c>
      <c r="BU83" s="1108">
        <v>55257.690257439812</v>
      </c>
      <c r="BV83" s="1108">
        <v>58292.233453186527</v>
      </c>
      <c r="BW83" s="1108">
        <v>59738.587292230237</v>
      </c>
      <c r="BX83" s="1108">
        <v>63942.992571362192</v>
      </c>
      <c r="BY83" s="1108">
        <v>60968.213792000031</v>
      </c>
      <c r="BZ83" s="1108">
        <v>64189.613118421839</v>
      </c>
      <c r="CA83" s="1108">
        <v>65902.277068430558</v>
      </c>
      <c r="CB83" s="1108">
        <v>70396.64515636905</v>
      </c>
      <c r="CC83" s="1108">
        <v>66712.002089518923</v>
      </c>
      <c r="CD83" s="1108">
        <v>70169.235707271378</v>
      </c>
      <c r="CE83" s="1108">
        <v>71996.571095146734</v>
      </c>
      <c r="CF83" s="1108">
        <v>76858.293091734275</v>
      </c>
    </row>
    <row r="84" spans="4:84" ht="14.45" hidden="1" outlineLevel="1">
      <c r="D84" s="1432"/>
      <c r="E84" s="1440"/>
      <c r="F84" s="1107" t="s">
        <v>1069</v>
      </c>
      <c r="O84" s="1109">
        <v>127.93596007276527</v>
      </c>
      <c r="Q84" s="1109">
        <v>135.84127156016993</v>
      </c>
      <c r="S84" s="1109">
        <v>124.59479652505352</v>
      </c>
      <c r="T84" s="1109">
        <v>160.03626354099069</v>
      </c>
      <c r="U84" s="1109">
        <v>126.87660317072837</v>
      </c>
      <c r="V84" s="1109">
        <v>103.93096908571613</v>
      </c>
      <c r="W84" s="1109">
        <v>104.48235271201021</v>
      </c>
      <c r="X84" s="1109">
        <v>82.245636015931993</v>
      </c>
      <c r="Y84" s="1109">
        <v>74.474916622816266</v>
      </c>
      <c r="Z84" s="1109">
        <v>78.648552307179415</v>
      </c>
      <c r="AA84" s="1109">
        <v>70.918051214305294</v>
      </c>
      <c r="AB84" s="1109">
        <v>68.828030002311763</v>
      </c>
      <c r="AC84" s="1109">
        <v>59.53101003486011</v>
      </c>
      <c r="AD84" s="1109">
        <v>63.300144284219684</v>
      </c>
      <c r="AE84" s="1109">
        <v>83.33551380132991</v>
      </c>
      <c r="AF84" s="1109">
        <v>85.129453591135515</v>
      </c>
      <c r="AG84" s="1109">
        <v>85.129973208449087</v>
      </c>
      <c r="AH84" s="1109">
        <v>77.269140270755969</v>
      </c>
      <c r="AI84" s="1109">
        <v>49.795067637139532</v>
      </c>
      <c r="AJ84" s="1109">
        <v>48.884214878446201</v>
      </c>
      <c r="AK84" s="1109">
        <v>44.698748220032556</v>
      </c>
      <c r="AL84" s="1109">
        <v>42.652989135550165</v>
      </c>
      <c r="AM84" s="1109">
        <v>39.68183526425981</v>
      </c>
      <c r="AN84" s="1109">
        <v>38.482867652598763</v>
      </c>
      <c r="AO84" s="1109">
        <v>33.989659552226847</v>
      </c>
      <c r="AP84" s="1109">
        <v>36.533333542417161</v>
      </c>
      <c r="AQ84" s="1109">
        <v>34.302012894957642</v>
      </c>
      <c r="AR84" s="1109">
        <v>27.20261707619369</v>
      </c>
      <c r="AS84" s="1109">
        <v>29.763343779052931</v>
      </c>
      <c r="AT84" s="1109">
        <v>31.768933691019154</v>
      </c>
      <c r="AU84" s="1109">
        <v>32.505595813947885</v>
      </c>
      <c r="AV84" s="1109">
        <v>37.698237101584674</v>
      </c>
      <c r="AW84" s="1109">
        <v>36.067006036467063</v>
      </c>
      <c r="AX84" s="1109">
        <v>32.73279801008529</v>
      </c>
      <c r="AY84" s="1109">
        <v>31.478341498705053</v>
      </c>
      <c r="AZ84" s="1109">
        <v>27.01100775041439</v>
      </c>
      <c r="BA84" s="1109">
        <v>22.507718423051166</v>
      </c>
      <c r="BB84" s="1109">
        <v>20.066803820811305</v>
      </c>
      <c r="BC84" s="1109">
        <v>18.185419655052058</v>
      </c>
      <c r="BD84" s="1109">
        <v>17.425552737026354</v>
      </c>
      <c r="BE84" s="1109">
        <v>18.243818809668159</v>
      </c>
      <c r="BF84" s="1109">
        <v>18.323517376932656</v>
      </c>
      <c r="BG84" s="1109">
        <v>18.266745583491335</v>
      </c>
      <c r="BH84" s="1109">
        <v>18.186745611479182</v>
      </c>
      <c r="BI84" s="1109">
        <v>18.806113657450076</v>
      </c>
      <c r="BJ84" s="1109">
        <v>18.98042160553182</v>
      </c>
      <c r="BK84" s="1109">
        <v>18.933581855791296</v>
      </c>
      <c r="BL84" s="1109">
        <v>19.006405602099314</v>
      </c>
      <c r="BM84" s="1109">
        <v>18.541677962422064</v>
      </c>
      <c r="BN84" s="1109">
        <v>18.345944720217933</v>
      </c>
      <c r="BO84" s="1109">
        <v>17.618189007910043</v>
      </c>
      <c r="BP84" s="1109">
        <v>17.455321559280641</v>
      </c>
      <c r="BQ84" s="1109">
        <v>19.441244060365165</v>
      </c>
      <c r="BR84" s="1109">
        <v>19.111668176389511</v>
      </c>
      <c r="BS84" s="1109">
        <v>18.702807320692745</v>
      </c>
      <c r="BT84" s="1109">
        <v>19.115565411555419</v>
      </c>
      <c r="BU84" s="1109">
        <v>3.2480939812053427</v>
      </c>
      <c r="BV84" s="1109">
        <v>3.51165405728772</v>
      </c>
      <c r="BW84" s="1109">
        <v>4.5504168403583938</v>
      </c>
      <c r="BX84" s="1109">
        <v>4.3471897785621287</v>
      </c>
      <c r="BY84" s="1109">
        <v>10.334350762682057</v>
      </c>
      <c r="BZ84" s="1109">
        <v>10.116921785080331</v>
      </c>
      <c r="CA84" s="1109">
        <v>10.317769561654812</v>
      </c>
      <c r="CB84" s="1109">
        <v>10.092822255393189</v>
      </c>
      <c r="CC84" s="1109">
        <v>9.4209555115301153</v>
      </c>
      <c r="CD84" s="1109">
        <v>9.3155610360478107</v>
      </c>
      <c r="CE84" s="1109">
        <v>9.2474711008666368</v>
      </c>
      <c r="CF84" s="1109">
        <v>9.1789145931773355</v>
      </c>
    </row>
    <row r="85" spans="4:84" ht="14.45" hidden="1" outlineLevel="1" collapsed="1">
      <c r="D85" s="1432"/>
      <c r="E85" s="1440"/>
      <c r="F85" s="1107"/>
    </row>
    <row r="86" spans="4:84" ht="14.45" collapsed="1">
      <c r="D86" s="1431" t="s">
        <v>1094</v>
      </c>
      <c r="E86" s="1433" t="s">
        <v>1067</v>
      </c>
      <c r="F86" s="1106" t="s">
        <v>1068</v>
      </c>
      <c r="G86" s="1108">
        <v>992.97333333333336</v>
      </c>
      <c r="I86" s="1108">
        <v>1103.75</v>
      </c>
      <c r="K86" s="1108">
        <v>1080.7748829810166</v>
      </c>
      <c r="M86" s="1108">
        <v>1207.0690721557032</v>
      </c>
      <c r="O86" s="1108">
        <v>1094.7145129728858</v>
      </c>
      <c r="Q86" s="1108">
        <v>1167.7402597402599</v>
      </c>
      <c r="S86" s="1108">
        <v>1182.98398403138</v>
      </c>
      <c r="T86" s="1108">
        <v>1354.4089784261071</v>
      </c>
      <c r="U86" s="1108">
        <v>1243.8738891033411</v>
      </c>
      <c r="V86" s="1108">
        <v>1287.8194444444443</v>
      </c>
      <c r="W86" s="1108">
        <v>1260.2578133265256</v>
      </c>
      <c r="X86" s="1108">
        <v>1353.3751992320799</v>
      </c>
      <c r="Y86" s="1108">
        <v>1353.720421775171</v>
      </c>
      <c r="Z86" s="1108">
        <v>1413.6735454545455</v>
      </c>
      <c r="AA86" s="1108">
        <v>1396.39000153713</v>
      </c>
      <c r="AB86" s="1108">
        <v>1499.0215382961937</v>
      </c>
      <c r="AC86" s="1108">
        <v>1355</v>
      </c>
      <c r="AD86" s="1108">
        <v>1371</v>
      </c>
      <c r="AE86" s="1108">
        <v>1383</v>
      </c>
      <c r="AF86" s="1108">
        <v>1433</v>
      </c>
      <c r="AG86" s="1108">
        <v>1371</v>
      </c>
      <c r="AH86" s="1108">
        <v>1435</v>
      </c>
      <c r="AI86" s="1108">
        <v>1489</v>
      </c>
      <c r="AJ86" s="1108">
        <v>1551</v>
      </c>
      <c r="AK86" s="1108">
        <v>1450</v>
      </c>
      <c r="AL86" s="1108">
        <v>1521</v>
      </c>
      <c r="AM86" s="1108">
        <v>1542</v>
      </c>
      <c r="AN86" s="1108">
        <v>1611</v>
      </c>
      <c r="AO86" s="1108">
        <v>1545</v>
      </c>
      <c r="AP86" s="1108">
        <v>1612</v>
      </c>
      <c r="AQ86" s="1108">
        <v>1633</v>
      </c>
      <c r="AR86" s="1108">
        <v>1619</v>
      </c>
      <c r="AS86" s="1108">
        <v>1637</v>
      </c>
      <c r="AT86" s="1108">
        <v>1695</v>
      </c>
      <c r="AU86" s="1108">
        <v>1803</v>
      </c>
      <c r="AV86" s="1108">
        <v>1808</v>
      </c>
      <c r="AW86" s="1108">
        <v>1791</v>
      </c>
      <c r="AX86" s="1108">
        <v>1823</v>
      </c>
      <c r="AY86" s="1108">
        <v>1891</v>
      </c>
      <c r="AZ86" s="1108">
        <v>1902</v>
      </c>
      <c r="BA86" s="1108">
        <v>1876</v>
      </c>
      <c r="BB86" s="1108">
        <v>1862</v>
      </c>
      <c r="BC86" s="1108">
        <v>1837.108486949486</v>
      </c>
      <c r="BD86" s="1108">
        <v>1896.8788841143371</v>
      </c>
      <c r="BE86" s="1108">
        <v>1895.7288204621605</v>
      </c>
      <c r="BF86" s="1108">
        <v>1890.7761189118862</v>
      </c>
      <c r="BG86" s="1108">
        <v>1880.9301040943417</v>
      </c>
      <c r="BH86" s="1108">
        <v>1945.2797997234843</v>
      </c>
      <c r="BI86" s="1108">
        <v>1945.9332647083918</v>
      </c>
      <c r="BJ86" s="1108">
        <v>1938.8271594167747</v>
      </c>
      <c r="BK86" s="1108">
        <v>1928.3057238018901</v>
      </c>
      <c r="BL86" s="1108">
        <v>2001.8043689257238</v>
      </c>
      <c r="BM86" s="1108">
        <v>2044.9888375314615</v>
      </c>
      <c r="BN86" s="1108">
        <v>2036.0412987648415</v>
      </c>
      <c r="BO86" s="1108">
        <v>2029.3969642570571</v>
      </c>
      <c r="BP86" s="1108">
        <v>2110.9196435989616</v>
      </c>
      <c r="BQ86" s="1108">
        <v>2122.4185556368338</v>
      </c>
      <c r="BR86" s="1108">
        <v>2105.5859734140281</v>
      </c>
      <c r="BS86" s="1108">
        <v>2113.7314142587561</v>
      </c>
      <c r="BT86" s="1108">
        <v>2185.2523415601559</v>
      </c>
      <c r="BU86" s="1108">
        <v>2307.3540845684001</v>
      </c>
      <c r="BV86" s="1108">
        <v>2267.5022978607999</v>
      </c>
      <c r="BW86" s="1108">
        <v>2318.2040141706302</v>
      </c>
      <c r="BX86" s="1108">
        <v>2392.376260191395</v>
      </c>
      <c r="BY86" s="1108">
        <v>2400.9738071629499</v>
      </c>
      <c r="BZ86" s="1108">
        <v>2359.291729490375</v>
      </c>
      <c r="CA86" s="1108">
        <v>2412.8499983165002</v>
      </c>
      <c r="CB86" s="1108">
        <v>2490.607162094575</v>
      </c>
      <c r="CC86" s="1108">
        <v>2498.6220764382201</v>
      </c>
      <c r="CD86" s="1108">
        <v>2455.0230622035251</v>
      </c>
      <c r="CE86" s="1108">
        <v>2511.5903551727852</v>
      </c>
      <c r="CF86" s="1108">
        <v>2593.1079717597249</v>
      </c>
    </row>
    <row r="87" spans="4:84" ht="14.45" hidden="1" outlineLevel="1">
      <c r="D87" s="1432"/>
      <c r="E87" s="1440"/>
      <c r="F87" s="1106" t="s">
        <v>1069</v>
      </c>
      <c r="O87" s="1109">
        <v>10.246113991602908</v>
      </c>
      <c r="Q87" s="1109">
        <v>5.7975320262976169</v>
      </c>
      <c r="S87" s="1109">
        <v>9.4570203897085445</v>
      </c>
      <c r="T87" s="1109">
        <v>12.206418809759551</v>
      </c>
      <c r="U87" s="1109">
        <v>13.625413234486796</v>
      </c>
      <c r="V87" s="1109">
        <v>10.283038860961561</v>
      </c>
      <c r="W87" s="1109">
        <v>6.5321111983115214</v>
      </c>
      <c r="X87" s="1109">
        <v>-7.632695961809495E-2</v>
      </c>
      <c r="Y87" s="1109">
        <v>8.8310023736420629</v>
      </c>
      <c r="Z87" s="1109">
        <v>9.7726510927464467</v>
      </c>
      <c r="AA87" s="1109">
        <v>10.801931697711552</v>
      </c>
      <c r="AB87" s="1109">
        <v>10.761711840645164</v>
      </c>
      <c r="AC87" s="1109">
        <v>9.4523079082392186E-2</v>
      </c>
      <c r="AD87" s="1109">
        <v>-3.0186279987876907</v>
      </c>
      <c r="AE87" s="1109">
        <v>-0.95890127560283922</v>
      </c>
      <c r="AF87" s="1109">
        <v>-4.4043088514414963</v>
      </c>
      <c r="AG87" s="1109">
        <v>1.1808118081180812</v>
      </c>
      <c r="AH87" s="1109">
        <v>4.6681254558716265</v>
      </c>
      <c r="AI87" s="1109">
        <v>7.664497469269703</v>
      </c>
      <c r="AJ87" s="1109">
        <v>8.2344731332868104</v>
      </c>
      <c r="AK87" s="1109">
        <v>5.7622173595915394</v>
      </c>
      <c r="AL87" s="1109">
        <v>5.9930313588850179</v>
      </c>
      <c r="AM87" s="1109">
        <v>3.5594358629952985</v>
      </c>
      <c r="AN87" s="1109">
        <v>3.8684719535783367</v>
      </c>
      <c r="AO87" s="1109">
        <v>6.5517241379310347</v>
      </c>
      <c r="AP87" s="1109">
        <v>5.982905982905983</v>
      </c>
      <c r="AQ87" s="1109">
        <v>5.9014267185473406</v>
      </c>
      <c r="AR87" s="1109">
        <v>0.49658597144630662</v>
      </c>
      <c r="AS87" s="1109">
        <v>5.9546925566343045</v>
      </c>
      <c r="AT87" s="1109">
        <v>5.1488833746898264</v>
      </c>
      <c r="AU87" s="1109">
        <v>10.41028781383956</v>
      </c>
      <c r="AV87" s="1109">
        <v>11.673872760963558</v>
      </c>
      <c r="AW87" s="1109">
        <v>9.4074526572999382</v>
      </c>
      <c r="AX87" s="1109">
        <v>7.5516224188790559</v>
      </c>
      <c r="AY87" s="1109">
        <v>4.8807542983915697</v>
      </c>
      <c r="AZ87" s="1109">
        <v>5.1991150442477876</v>
      </c>
      <c r="BA87" s="1109">
        <v>4.7459519821328868</v>
      </c>
      <c r="BB87" s="1109">
        <v>2.1393307734503564</v>
      </c>
      <c r="BC87" s="1109">
        <v>-2.8498949259922819</v>
      </c>
      <c r="BD87" s="1109">
        <v>-0.26924899504011057</v>
      </c>
      <c r="BE87" s="1109">
        <v>1.0516428817782759</v>
      </c>
      <c r="BF87" s="1109">
        <v>1.5454414023569396</v>
      </c>
      <c r="BG87" s="1109">
        <v>2.3853581569165478</v>
      </c>
      <c r="BH87" s="1109">
        <v>2.5516081187094795</v>
      </c>
      <c r="BI87" s="1109">
        <v>2.6482925038820673</v>
      </c>
      <c r="BJ87" s="1109">
        <v>2.5413395073204752</v>
      </c>
      <c r="BK87" s="1109">
        <v>2.5187336629055381</v>
      </c>
      <c r="BL87" s="1109">
        <v>2.9057295104937753</v>
      </c>
      <c r="BM87" s="1109">
        <v>5.0903889984075956</v>
      </c>
      <c r="BN87" s="1109">
        <v>5.0140694014885812</v>
      </c>
      <c r="BO87" s="1109">
        <v>5.2424902963962241</v>
      </c>
      <c r="BP87" s="1109">
        <v>5.4508460650325645</v>
      </c>
      <c r="BQ87" s="1109">
        <v>3.7863149511778742</v>
      </c>
      <c r="BR87" s="1109">
        <v>3.4156809437694462</v>
      </c>
      <c r="BS87" s="1109">
        <v>4.1556408867780599</v>
      </c>
      <c r="BT87" s="1109">
        <v>3.5213419035914866</v>
      </c>
      <c r="BU87" s="1109">
        <v>8.7134334761823737</v>
      </c>
      <c r="BV87" s="1109">
        <v>7.6898462704060613</v>
      </c>
      <c r="BW87" s="1109">
        <v>9.6735374481614826</v>
      </c>
      <c r="BX87" s="1109">
        <v>9.4782609171517223</v>
      </c>
      <c r="BY87" s="1109">
        <v>4.057449319143478</v>
      </c>
      <c r="BZ87" s="1109">
        <v>4.0480413941000553</v>
      </c>
      <c r="CA87" s="1109">
        <v>4.0827288524789704</v>
      </c>
      <c r="CB87" s="1109">
        <v>4.1059971852137211</v>
      </c>
      <c r="CC87" s="1109">
        <v>4.0670276778510051</v>
      </c>
      <c r="CD87" s="1109">
        <v>4.0576301572433682</v>
      </c>
      <c r="CE87" s="1109">
        <v>4.0922708384349766</v>
      </c>
      <c r="CF87" s="1109">
        <v>4.1154948570431253</v>
      </c>
    </row>
    <row r="88" spans="4:84" ht="14.45" hidden="1" outlineLevel="1" collapsed="1">
      <c r="D88" s="1432"/>
      <c r="E88" s="1440"/>
      <c r="F88" s="1106"/>
    </row>
    <row r="89" spans="4:84" ht="14.45" collapsed="1">
      <c r="D89" s="1105" t="s">
        <v>366</v>
      </c>
      <c r="F89" s="1107" t="s">
        <v>1065</v>
      </c>
    </row>
    <row r="90" spans="4:84" ht="14.45">
      <c r="D90" s="1105" t="s">
        <v>1095</v>
      </c>
      <c r="F90" s="1107" t="s">
        <v>1065</v>
      </c>
    </row>
    <row r="91" spans="4:84" ht="14.45">
      <c r="D91" s="1434" t="s">
        <v>1096</v>
      </c>
      <c r="E91" s="1433" t="s">
        <v>1067</v>
      </c>
      <c r="F91" s="1106" t="s">
        <v>1068</v>
      </c>
      <c r="AB91" s="1108">
        <v>13450</v>
      </c>
      <c r="AC91" s="1108">
        <v>11215</v>
      </c>
      <c r="AD91" s="1108">
        <v>14115</v>
      </c>
      <c r="AE91" s="1108">
        <v>12298</v>
      </c>
      <c r="AF91" s="1108">
        <v>13450</v>
      </c>
      <c r="AG91" s="1108">
        <v>12527</v>
      </c>
      <c r="AH91" s="1108">
        <v>15110</v>
      </c>
      <c r="AI91" s="1108">
        <v>13457</v>
      </c>
      <c r="AJ91" s="1108">
        <v>14832</v>
      </c>
      <c r="AK91" s="1108">
        <v>14740</v>
      </c>
      <c r="AL91" s="1108">
        <v>16787</v>
      </c>
      <c r="AM91" s="1108">
        <v>15372</v>
      </c>
      <c r="AN91" s="1108">
        <v>17300</v>
      </c>
      <c r="AO91" s="1108">
        <v>17270</v>
      </c>
      <c r="AP91" s="1108">
        <v>19149</v>
      </c>
      <c r="AQ91" s="1108">
        <v>17428</v>
      </c>
      <c r="AR91" s="1108">
        <v>19313</v>
      </c>
      <c r="AS91" s="1108">
        <v>19025</v>
      </c>
      <c r="AT91" s="1108">
        <v>21836</v>
      </c>
      <c r="AU91" s="1108">
        <v>20373</v>
      </c>
      <c r="AV91" s="1108">
        <v>22719</v>
      </c>
      <c r="AW91" s="1108">
        <v>22830</v>
      </c>
      <c r="AX91" s="1108">
        <v>26463</v>
      </c>
      <c r="AY91" s="1108">
        <v>24771</v>
      </c>
      <c r="AZ91" s="1108">
        <v>26154</v>
      </c>
      <c r="BA91" s="1108">
        <v>25867</v>
      </c>
      <c r="BB91" s="1108">
        <v>26976</v>
      </c>
      <c r="BC91" s="1108">
        <v>26025.739134091265</v>
      </c>
      <c r="BD91" s="1108">
        <v>28865.90079336915</v>
      </c>
      <c r="BE91" s="1108">
        <v>28935.2826075419</v>
      </c>
      <c r="BF91" s="1108">
        <v>33491.572800000002</v>
      </c>
      <c r="BG91" s="1108">
        <v>29781.746828149098</v>
      </c>
      <c r="BH91" s="1108">
        <v>32425.851527606799</v>
      </c>
      <c r="BI91" s="1108">
        <v>31312.652496195798</v>
      </c>
      <c r="BK91" s="1108">
        <v>31613.840959274901</v>
      </c>
      <c r="BL91" s="1108">
        <v>34377.639147926602</v>
      </c>
      <c r="BM91" s="1108">
        <v>34328.770081007497</v>
      </c>
      <c r="BO91" s="1108">
        <v>34371.357438406201</v>
      </c>
      <c r="BP91" s="1108">
        <v>37099.678572996199</v>
      </c>
    </row>
    <row r="92" spans="4:84" ht="14.45" hidden="1" outlineLevel="1">
      <c r="D92" s="1432"/>
      <c r="E92" s="1440"/>
      <c r="F92" s="1106" t="s">
        <v>1069</v>
      </c>
      <c r="AF92" s="1109">
        <v>0</v>
      </c>
      <c r="AG92" s="1109">
        <v>11.698617922425324</v>
      </c>
      <c r="AH92" s="1109">
        <v>7.0492383988664544</v>
      </c>
      <c r="AI92" s="1109">
        <v>9.42429663359896</v>
      </c>
      <c r="AJ92" s="1109">
        <v>10.275092936802974</v>
      </c>
      <c r="AK92" s="1109">
        <v>17.665841781751418</v>
      </c>
      <c r="AL92" s="1109">
        <v>11.098610191925877</v>
      </c>
      <c r="AM92" s="1109">
        <v>14.230512001188972</v>
      </c>
      <c r="AN92" s="1109">
        <v>16.639697950377563</v>
      </c>
      <c r="AO92" s="1109">
        <v>17.164179104477611</v>
      </c>
      <c r="AP92" s="1109">
        <v>14.070411628045512</v>
      </c>
      <c r="AQ92" s="1109">
        <v>13.374967473328129</v>
      </c>
      <c r="AR92" s="1109">
        <v>11.635838150289016</v>
      </c>
      <c r="AS92" s="1109">
        <v>10.162130862767805</v>
      </c>
      <c r="AT92" s="1109">
        <v>14.032064337563318</v>
      </c>
      <c r="AU92" s="1109">
        <v>16.898095019508837</v>
      </c>
      <c r="AV92" s="1109">
        <v>17.635789364676643</v>
      </c>
      <c r="AW92" s="1109">
        <v>20</v>
      </c>
      <c r="AX92" s="1109">
        <v>21.189778347682726</v>
      </c>
      <c r="AY92" s="1109">
        <v>21.587395081725813</v>
      </c>
      <c r="AZ92" s="1109">
        <v>15.119503499273733</v>
      </c>
      <c r="BA92" s="1109">
        <v>13.302671922908454</v>
      </c>
      <c r="BB92" s="1109">
        <v>1.9385557193062013</v>
      </c>
      <c r="BC92" s="1109">
        <v>5.0653551899045874</v>
      </c>
      <c r="BD92" s="1109">
        <v>10.368971451285272</v>
      </c>
      <c r="BE92" s="1109">
        <v>11.861764439408899</v>
      </c>
      <c r="BF92" s="1109">
        <v>24.153220640569401</v>
      </c>
      <c r="BG92" s="1109">
        <v>14.431896341947947</v>
      </c>
      <c r="BH92" s="1109">
        <v>12.332720048201001</v>
      </c>
      <c r="BI92" s="1109">
        <v>8.2161626720529899</v>
      </c>
      <c r="BK92" s="1109">
        <v>6.1517349593279906</v>
      </c>
      <c r="BL92" s="1109">
        <v>6.0192331993443116</v>
      </c>
      <c r="BM92" s="1109">
        <v>9.6322647376428066</v>
      </c>
      <c r="BO92" s="1109">
        <v>8.7224974740764516</v>
      </c>
      <c r="BP92" s="1109">
        <v>7.9180522355147529</v>
      </c>
    </row>
    <row r="93" spans="4:84" ht="14.45" hidden="1" outlineLevel="1" collapsed="1">
      <c r="D93" s="1432"/>
      <c r="E93" s="1440"/>
      <c r="F93" s="1106"/>
    </row>
    <row r="94" spans="4:84" ht="14.45" collapsed="1">
      <c r="D94" s="1434" t="s">
        <v>1097</v>
      </c>
      <c r="E94" s="1433" t="s">
        <v>1067</v>
      </c>
      <c r="F94" s="1107" t="s">
        <v>1068</v>
      </c>
      <c r="AB94" s="1108">
        <v>12155</v>
      </c>
      <c r="AC94" s="1108">
        <v>10713</v>
      </c>
      <c r="AD94" s="1108">
        <v>11711</v>
      </c>
      <c r="AE94" s="1108">
        <v>10914</v>
      </c>
      <c r="AF94" s="1108">
        <v>12155</v>
      </c>
      <c r="AG94" s="1108">
        <v>12011</v>
      </c>
      <c r="AH94" s="1108">
        <v>13808</v>
      </c>
      <c r="AI94" s="1108">
        <v>13362</v>
      </c>
      <c r="AJ94" s="1108">
        <v>15253</v>
      </c>
      <c r="AK94" s="1108">
        <v>14344</v>
      </c>
      <c r="AL94" s="1108">
        <v>15684</v>
      </c>
      <c r="AM94" s="1108">
        <v>15199</v>
      </c>
      <c r="AN94" s="1108">
        <v>16417</v>
      </c>
      <c r="AO94" s="1108">
        <v>15785</v>
      </c>
      <c r="AP94" s="1108">
        <v>17757</v>
      </c>
      <c r="AQ94" s="1108">
        <v>17593</v>
      </c>
      <c r="AR94" s="1108">
        <v>18720</v>
      </c>
      <c r="AS94" s="1108">
        <v>18129</v>
      </c>
      <c r="AT94" s="1108">
        <v>21240</v>
      </c>
      <c r="AU94" s="1108">
        <v>21333</v>
      </c>
      <c r="AV94" s="1108">
        <v>23433</v>
      </c>
      <c r="AW94" s="1108">
        <v>22487</v>
      </c>
      <c r="AX94" s="1108">
        <v>25265</v>
      </c>
      <c r="AY94" s="1108">
        <v>24589</v>
      </c>
      <c r="AZ94" s="1108">
        <v>25711</v>
      </c>
      <c r="BA94" s="1108">
        <v>24255</v>
      </c>
      <c r="BB94" s="1108">
        <v>25771</v>
      </c>
      <c r="BC94" s="1108">
        <v>24533.515358745732</v>
      </c>
      <c r="BD94" s="1108">
        <v>26833.831544885601</v>
      </c>
      <c r="BE94" s="1108">
        <v>26160.020420410201</v>
      </c>
      <c r="BF94" s="1108">
        <v>41887.234962492148</v>
      </c>
      <c r="BG94" s="1108">
        <v>27579.662863539601</v>
      </c>
      <c r="BH94" s="1108">
        <v>29681.4892662438</v>
      </c>
      <c r="BI94" s="1108">
        <v>29361.286051541701</v>
      </c>
      <c r="BJ94" s="1108">
        <v>64056.789985359501</v>
      </c>
      <c r="BK94" s="1108">
        <v>31381.5645451378</v>
      </c>
      <c r="BL94" s="1108">
        <v>33795.346032436399</v>
      </c>
      <c r="BM94" s="1108">
        <v>32189.442854402801</v>
      </c>
      <c r="BN94" s="1108">
        <v>69857.501958028195</v>
      </c>
      <c r="BO94" s="1108">
        <v>34118.820719913201</v>
      </c>
      <c r="BP94" s="1108">
        <v>36471.2791844577</v>
      </c>
    </row>
    <row r="95" spans="4:84" ht="14.45" hidden="1" outlineLevel="1">
      <c r="D95" s="1432"/>
      <c r="E95" s="1440"/>
      <c r="F95" s="1107" t="s">
        <v>1069</v>
      </c>
      <c r="AF95" s="1109">
        <v>0</v>
      </c>
      <c r="AG95" s="1109">
        <v>12.116120601138803</v>
      </c>
      <c r="AH95" s="1109">
        <v>17.906241994705834</v>
      </c>
      <c r="AI95" s="1109">
        <v>22.429906542056074</v>
      </c>
      <c r="AJ95" s="1109">
        <v>25.487453722747837</v>
      </c>
      <c r="AK95" s="1109">
        <v>19.42386146032803</v>
      </c>
      <c r="AL95" s="1109">
        <v>13.586326767091542</v>
      </c>
      <c r="AM95" s="1109">
        <v>13.747941924861548</v>
      </c>
      <c r="AN95" s="1109">
        <v>7.6312856487248411</v>
      </c>
      <c r="AO95" s="1109">
        <v>10.04601226993865</v>
      </c>
      <c r="AP95" s="1109">
        <v>13.217291507268552</v>
      </c>
      <c r="AQ95" s="1109">
        <v>15.751036252385026</v>
      </c>
      <c r="AR95" s="1109">
        <v>14.028141560577451</v>
      </c>
      <c r="AS95" s="1109">
        <v>14.84954070319924</v>
      </c>
      <c r="AT95" s="1109">
        <v>19.614799797263053</v>
      </c>
      <c r="AU95" s="1109">
        <v>21.258455067356337</v>
      </c>
      <c r="AV95" s="1109">
        <v>25.176282051282051</v>
      </c>
      <c r="AW95" s="1109">
        <v>24.038832809311046</v>
      </c>
      <c r="AX95" s="1109">
        <v>18.950094161958571</v>
      </c>
      <c r="AY95" s="1109">
        <v>15.262738480288753</v>
      </c>
      <c r="AZ95" s="1109">
        <v>9.7213331626338917</v>
      </c>
      <c r="BA95" s="1109">
        <v>7.862320451816605</v>
      </c>
      <c r="BB95" s="1109">
        <v>2.0027706313081337</v>
      </c>
      <c r="BC95" s="1109">
        <v>-0.22564822178318902</v>
      </c>
      <c r="BD95" s="1109">
        <v>4.367125140545296</v>
      </c>
      <c r="BE95" s="1109">
        <v>7.8541349017118165</v>
      </c>
      <c r="BF95" s="1109">
        <v>62.536319748912142</v>
      </c>
      <c r="BG95" s="1109">
        <v>12.416269989241373</v>
      </c>
      <c r="BH95" s="1109">
        <v>10.612191988292288</v>
      </c>
      <c r="BI95" s="1109">
        <v>12.23724438928134</v>
      </c>
      <c r="BJ95" s="1109">
        <v>52.926756905102579</v>
      </c>
      <c r="BK95" s="1109">
        <v>13.785163728829787</v>
      </c>
      <c r="BL95" s="1109">
        <v>13.860007930502366</v>
      </c>
      <c r="BM95" s="1109">
        <v>9.6322647376428492</v>
      </c>
      <c r="BN95" s="1109">
        <v>9.0555770496687025</v>
      </c>
      <c r="BO95" s="1109">
        <v>8.7224974740767216</v>
      </c>
      <c r="BP95" s="1109">
        <v>7.9180522355148275</v>
      </c>
    </row>
    <row r="96" spans="4:84" ht="14.45" hidden="1" outlineLevel="1" collapsed="1">
      <c r="D96" s="1432"/>
      <c r="E96" s="1440"/>
      <c r="F96" s="1107"/>
    </row>
    <row r="97" spans="4:84" ht="14.45" collapsed="1">
      <c r="D97" s="1431" t="s">
        <v>477</v>
      </c>
      <c r="E97" s="1433" t="s">
        <v>1067</v>
      </c>
      <c r="F97" s="1106" t="s">
        <v>1068</v>
      </c>
      <c r="G97" s="1108">
        <v>16008</v>
      </c>
      <c r="I97" s="1108">
        <v>21456</v>
      </c>
      <c r="K97" s="1108">
        <v>20489</v>
      </c>
      <c r="M97" s="1108">
        <v>19896</v>
      </c>
      <c r="O97" s="1108">
        <v>18529</v>
      </c>
      <c r="Q97" s="1108">
        <v>24519</v>
      </c>
      <c r="S97" s="1108">
        <v>20403</v>
      </c>
      <c r="T97" s="1108">
        <v>23382</v>
      </c>
      <c r="U97" s="1108">
        <v>23201</v>
      </c>
      <c r="V97" s="1108">
        <v>26470</v>
      </c>
      <c r="W97" s="1108">
        <v>21729</v>
      </c>
      <c r="X97" s="1108">
        <v>22180</v>
      </c>
      <c r="Y97" s="1108">
        <v>20910</v>
      </c>
      <c r="Z97" s="1108">
        <v>25253</v>
      </c>
      <c r="AA97" s="1108">
        <v>21517</v>
      </c>
      <c r="AB97" s="1108">
        <v>23474</v>
      </c>
      <c r="AC97" s="1108">
        <v>21928</v>
      </c>
      <c r="AD97" s="1108">
        <v>25826</v>
      </c>
      <c r="AE97" s="1108">
        <v>23212</v>
      </c>
      <c r="AF97" s="1108">
        <v>25604.999999999989</v>
      </c>
      <c r="AG97" s="1108">
        <v>24538</v>
      </c>
      <c r="AH97" s="1108">
        <v>28918</v>
      </c>
      <c r="AI97" s="1108">
        <v>26819</v>
      </c>
      <c r="AJ97" s="1108">
        <v>30085</v>
      </c>
      <c r="AK97" s="1108">
        <v>29084</v>
      </c>
      <c r="AL97" s="1108">
        <v>32471</v>
      </c>
      <c r="AM97" s="1108">
        <v>30571</v>
      </c>
      <c r="AN97" s="1108">
        <v>33717</v>
      </c>
      <c r="AO97" s="1108">
        <v>33055</v>
      </c>
      <c r="AP97" s="1108">
        <v>36906</v>
      </c>
      <c r="AQ97" s="1108">
        <v>35021</v>
      </c>
      <c r="AR97" s="1108">
        <v>38033</v>
      </c>
      <c r="AS97" s="1108">
        <v>37154</v>
      </c>
      <c r="AT97" s="1108">
        <v>43076</v>
      </c>
      <c r="AU97" s="1108">
        <v>41706</v>
      </c>
      <c r="AV97" s="1108">
        <v>46152</v>
      </c>
      <c r="AW97" s="1108">
        <v>45317</v>
      </c>
      <c r="AX97" s="1108">
        <v>51728</v>
      </c>
      <c r="AY97" s="1108">
        <v>49360</v>
      </c>
      <c r="AZ97" s="1108">
        <v>51865</v>
      </c>
      <c r="BA97" s="1108">
        <v>50122</v>
      </c>
      <c r="BB97" s="1108">
        <v>52747</v>
      </c>
      <c r="BC97" s="1108">
        <v>51069.394719016753</v>
      </c>
      <c r="BD97" s="1108">
        <v>55182.846858397024</v>
      </c>
      <c r="BE97" s="1108">
        <v>54914.211366179072</v>
      </c>
      <c r="BF97" s="1108">
        <v>58389.644867760551</v>
      </c>
      <c r="BG97" s="1108">
        <v>57107.983432296263</v>
      </c>
      <c r="BH97" s="1108">
        <v>61383.18781743951</v>
      </c>
      <c r="BI97" s="1108">
        <v>61470.657884956941</v>
      </c>
      <c r="BJ97" s="1108">
        <v>65290.926705492187</v>
      </c>
      <c r="BK97" s="1108">
        <v>64217.921622161892</v>
      </c>
      <c r="BL97" s="1108">
        <v>69005.19666134617</v>
      </c>
      <c r="BM97" s="1108">
        <v>69942.607534429859</v>
      </c>
      <c r="BN97" s="1108">
        <v>74134.489517524446</v>
      </c>
      <c r="BO97" s="1108">
        <v>72956.641054148087</v>
      </c>
      <c r="BP97" s="1108">
        <v>78804.671061153829</v>
      </c>
      <c r="BQ97" s="1108">
        <v>79408.411434654758</v>
      </c>
      <c r="BR97" s="1108">
        <v>83605.885825577338</v>
      </c>
      <c r="BS97" s="1108">
        <v>82667.954110680439</v>
      </c>
      <c r="BT97" s="1108">
        <v>89717.561964412642</v>
      </c>
      <c r="BU97" s="1108">
        <v>84508.363704704199</v>
      </c>
      <c r="BV97" s="1108">
        <v>89052.51730491755</v>
      </c>
      <c r="BW97" s="1108">
        <v>88483.957017623747</v>
      </c>
      <c r="BX97" s="1108">
        <v>96053.205125708948</v>
      </c>
      <c r="BY97" s="1108">
        <v>91616.789643071796</v>
      </c>
      <c r="BZ97" s="1108">
        <v>96528.969909626598</v>
      </c>
      <c r="CA97" s="1108">
        <v>96112.008647347844</v>
      </c>
      <c r="CB97" s="1108">
        <v>104233.8621840526</v>
      </c>
      <c r="CC97" s="1108">
        <v>98275.882996644854</v>
      </c>
      <c r="CD97" s="1108">
        <v>103585.39232840795</v>
      </c>
      <c r="CE97" s="1108">
        <v>103198.9842263348</v>
      </c>
      <c r="CF97" s="1108">
        <v>111854.027921268</v>
      </c>
    </row>
    <row r="98" spans="4:84" ht="14.45" hidden="1" outlineLevel="1">
      <c r="D98" s="1432"/>
      <c r="E98" s="1440"/>
      <c r="F98" s="1106" t="s">
        <v>1069</v>
      </c>
      <c r="O98" s="1109">
        <v>15.748375812093954</v>
      </c>
      <c r="Q98" s="1109">
        <v>14.27572706935123</v>
      </c>
      <c r="S98" s="1109">
        <v>-0.41973742007906684</v>
      </c>
      <c r="T98" s="1109">
        <v>17.521109770808202</v>
      </c>
      <c r="U98" s="1109">
        <v>25.214528576825519</v>
      </c>
      <c r="V98" s="1109">
        <v>7.9570944981442961</v>
      </c>
      <c r="W98" s="1109">
        <v>6.4990442581973245</v>
      </c>
      <c r="X98" s="1109">
        <v>-5.1407065263878202</v>
      </c>
      <c r="Y98" s="1109">
        <v>-9.8745743717943188</v>
      </c>
      <c r="Z98" s="1109">
        <v>-4.5976577257272382</v>
      </c>
      <c r="AA98" s="1109">
        <v>-0.9756546550692623</v>
      </c>
      <c r="AB98" s="1109">
        <v>5.8340847610459869</v>
      </c>
      <c r="AC98" s="1109">
        <v>4.8684839789574363</v>
      </c>
      <c r="AD98" s="1109">
        <v>2.2690373420979686</v>
      </c>
      <c r="AE98" s="1109">
        <v>7.8774922154575444</v>
      </c>
      <c r="AF98" s="1109">
        <v>9.0781289937803056</v>
      </c>
      <c r="AG98" s="1109">
        <v>11.902590295512587</v>
      </c>
      <c r="AH98" s="1109">
        <v>11.972430883605668</v>
      </c>
      <c r="AI98" s="1109">
        <v>15.539376184732035</v>
      </c>
      <c r="AJ98" s="1109">
        <v>17.496582698691711</v>
      </c>
      <c r="AK98" s="1109">
        <v>18.526367267095935</v>
      </c>
      <c r="AL98" s="1109">
        <v>12.28646517739816</v>
      </c>
      <c r="AM98" s="1109">
        <v>13.990081658525671</v>
      </c>
      <c r="AN98" s="1109">
        <v>12.072461359481469</v>
      </c>
      <c r="AO98" s="1109">
        <v>13.653555219364598</v>
      </c>
      <c r="AP98" s="1109">
        <v>13.65834128915032</v>
      </c>
      <c r="AQ98" s="1109">
        <v>14.556278826338687</v>
      </c>
      <c r="AR98" s="1109">
        <v>12.800664353293593</v>
      </c>
      <c r="AS98" s="1109">
        <v>12.400544546967177</v>
      </c>
      <c r="AT98" s="1109">
        <v>16.718148810491517</v>
      </c>
      <c r="AU98" s="1109">
        <v>19.088546871876876</v>
      </c>
      <c r="AV98" s="1109">
        <v>21.347251071437963</v>
      </c>
      <c r="AW98" s="1109">
        <v>21.970716477364483</v>
      </c>
      <c r="AX98" s="1109">
        <v>20.085430402080046</v>
      </c>
      <c r="AY98" s="1109">
        <v>18.352275451973338</v>
      </c>
      <c r="AZ98" s="1109">
        <v>12.378661813139193</v>
      </c>
      <c r="BA98" s="1109">
        <v>10.603084935013349</v>
      </c>
      <c r="BB98" s="1109">
        <v>1.9699195793380759</v>
      </c>
      <c r="BC98" s="1109">
        <v>3.4631173399853181</v>
      </c>
      <c r="BD98" s="1109">
        <v>6.3970825381220937</v>
      </c>
      <c r="BE98" s="1109">
        <v>9.5610936638184256</v>
      </c>
      <c r="BF98" s="1109">
        <v>10.697565487630674</v>
      </c>
      <c r="BG98" s="1109">
        <v>11.824280954383266</v>
      </c>
      <c r="BH98" s="1109">
        <v>11.235993269707498</v>
      </c>
      <c r="BI98" s="1109">
        <v>11.93943490339533</v>
      </c>
      <c r="BJ98" s="1109">
        <v>11.819359157538107</v>
      </c>
      <c r="BK98" s="1109">
        <v>12.449989935811228</v>
      </c>
      <c r="BL98" s="1109">
        <v>12.417095160608749</v>
      </c>
      <c r="BM98" s="1109">
        <v>13.782103431084586</v>
      </c>
      <c r="BN98" s="1109">
        <v>13.544857238622024</v>
      </c>
      <c r="BO98" s="1109">
        <v>13.60791382100791</v>
      </c>
      <c r="BP98" s="1109">
        <v>14.20106727309266</v>
      </c>
      <c r="BQ98" s="1109">
        <v>13.533673155615872</v>
      </c>
      <c r="BR98" s="1109">
        <v>12.775964830531375</v>
      </c>
      <c r="BS98" s="1109">
        <v>13.311074792114757</v>
      </c>
      <c r="BT98" s="1109">
        <v>13.848025448631358</v>
      </c>
      <c r="BU98" s="1109">
        <v>6.4224333139395391</v>
      </c>
      <c r="BV98" s="1109">
        <v>6.5146507635876736</v>
      </c>
      <c r="BW98" s="1109">
        <v>7.0353778190234637</v>
      </c>
      <c r="BX98" s="1109">
        <v>7.0617647454680075</v>
      </c>
      <c r="BY98" s="1109">
        <v>8.4115058282354394</v>
      </c>
      <c r="BZ98" s="1109">
        <v>8.3955544783866447</v>
      </c>
      <c r="CA98" s="1109">
        <v>8.6208301333142057</v>
      </c>
      <c r="CB98" s="1109">
        <v>8.5167975890416976</v>
      </c>
      <c r="CC98" s="1109">
        <v>7.2684203184984986</v>
      </c>
      <c r="CD98" s="1109">
        <v>7.3101602818177724</v>
      </c>
      <c r="CE98" s="1109">
        <v>7.3736629571340391</v>
      </c>
      <c r="CF98" s="1109">
        <v>7.3106431801979772</v>
      </c>
    </row>
    <row r="99" spans="4:84" ht="14.45" hidden="1" outlineLevel="1" collapsed="1">
      <c r="D99" s="1432"/>
      <c r="E99" s="1440"/>
      <c r="F99" s="1106"/>
    </row>
    <row r="100" spans="4:84" ht="14.45" collapsed="1">
      <c r="D100" s="1105" t="s">
        <v>366</v>
      </c>
      <c r="F100" s="1107" t="s">
        <v>1065</v>
      </c>
    </row>
    <row r="101" spans="4:84" ht="14.45">
      <c r="D101" s="1105" t="s">
        <v>1098</v>
      </c>
      <c r="F101" s="1107" t="s">
        <v>1065</v>
      </c>
    </row>
    <row r="102" spans="4:84" ht="14.45">
      <c r="D102" s="1431" t="s">
        <v>1099</v>
      </c>
      <c r="E102" s="1433" t="s">
        <v>1100</v>
      </c>
      <c r="F102" s="1106" t="s">
        <v>1068</v>
      </c>
      <c r="M102" s="1108">
        <v>58000</v>
      </c>
      <c r="T102" s="1108">
        <v>62000</v>
      </c>
      <c r="X102" s="1108">
        <v>60000</v>
      </c>
      <c r="AA102" s="1108">
        <v>62437</v>
      </c>
      <c r="AB102" s="1108">
        <v>63000</v>
      </c>
      <c r="AC102" s="1108">
        <v>64336</v>
      </c>
      <c r="AD102" s="1108">
        <v>71361</v>
      </c>
      <c r="AE102" s="1108">
        <v>71594</v>
      </c>
      <c r="AF102" s="1108">
        <v>73000</v>
      </c>
      <c r="AG102" s="1108">
        <v>74191</v>
      </c>
      <c r="AH102" s="1108">
        <v>74530</v>
      </c>
      <c r="AI102" s="1108">
        <v>75910</v>
      </c>
      <c r="AJ102" s="1108">
        <v>78000</v>
      </c>
      <c r="AK102" s="1108">
        <v>74191</v>
      </c>
      <c r="AL102" s="1108">
        <v>74530</v>
      </c>
      <c r="AM102" s="1108">
        <v>75910</v>
      </c>
      <c r="AN102" s="1108">
        <v>85000</v>
      </c>
      <c r="AR102" s="1108">
        <v>96000</v>
      </c>
      <c r="AU102" s="1108">
        <v>101277</v>
      </c>
      <c r="AV102" s="1108">
        <v>103000</v>
      </c>
      <c r="AZ102" s="1108">
        <v>122000</v>
      </c>
      <c r="BD102" s="1108">
        <v>77829</v>
      </c>
    </row>
    <row r="103" spans="4:84" ht="14.45" hidden="1" outlineLevel="1">
      <c r="D103" s="1432"/>
      <c r="E103" s="1440"/>
      <c r="F103" s="1106" t="s">
        <v>1069</v>
      </c>
      <c r="T103" s="1109">
        <v>6.8965517241379306</v>
      </c>
      <c r="X103" s="1109">
        <v>-3.225806451612903</v>
      </c>
      <c r="AB103" s="1109">
        <v>5</v>
      </c>
      <c r="AE103" s="1109">
        <v>14.665983311177666</v>
      </c>
      <c r="AF103" s="1109">
        <v>15.873015873015872</v>
      </c>
      <c r="AG103" s="1109">
        <v>15.318017905993534</v>
      </c>
      <c r="AH103" s="1109">
        <v>4.4408009977438656</v>
      </c>
      <c r="AI103" s="1109">
        <v>6.0284381372740734</v>
      </c>
      <c r="AJ103" s="1109">
        <v>6.8493150684931505</v>
      </c>
      <c r="AK103" s="1109">
        <v>0</v>
      </c>
      <c r="AL103" s="1109">
        <v>0</v>
      </c>
      <c r="AM103" s="1109">
        <v>0</v>
      </c>
      <c r="AN103" s="1109">
        <v>8.9743589743589745</v>
      </c>
      <c r="AR103" s="1109">
        <v>12.941176470588237</v>
      </c>
      <c r="AV103" s="1109">
        <v>7.291666666666667</v>
      </c>
      <c r="AZ103" s="1109">
        <v>18.446601941747574</v>
      </c>
      <c r="BD103" s="1109">
        <v>-36.205737704918036</v>
      </c>
    </row>
    <row r="104" spans="4:84" ht="14.45" hidden="1" outlineLevel="1" collapsed="1">
      <c r="D104" s="1432"/>
      <c r="E104" s="1440"/>
      <c r="F104" s="1106"/>
    </row>
    <row r="105" spans="4:84" ht="14.45" collapsed="1">
      <c r="D105" s="1431" t="s">
        <v>1101</v>
      </c>
      <c r="E105" s="1433" t="s">
        <v>1100</v>
      </c>
      <c r="F105" s="1107" t="s">
        <v>1068</v>
      </c>
      <c r="M105" s="1108">
        <v>41000</v>
      </c>
      <c r="T105" s="1108">
        <v>66000</v>
      </c>
      <c r="X105" s="1108">
        <v>58000</v>
      </c>
      <c r="AA105" s="1108">
        <v>50252</v>
      </c>
      <c r="AB105" s="1108">
        <v>51000</v>
      </c>
      <c r="AC105" s="1108">
        <v>49280</v>
      </c>
      <c r="AD105" s="1108">
        <v>45431</v>
      </c>
      <c r="AE105" s="1108">
        <v>49973</v>
      </c>
      <c r="AF105" s="1108">
        <v>51000</v>
      </c>
      <c r="AG105" s="1108">
        <v>51225</v>
      </c>
      <c r="AH105" s="1108">
        <v>51549</v>
      </c>
      <c r="AI105" s="1108">
        <v>52380</v>
      </c>
      <c r="AJ105" s="1108">
        <v>53000</v>
      </c>
      <c r="AK105" s="1108">
        <v>51225</v>
      </c>
      <c r="AL105" s="1108">
        <v>51549</v>
      </c>
      <c r="AM105" s="1108">
        <v>52380</v>
      </c>
      <c r="AN105" s="1108">
        <v>59000</v>
      </c>
      <c r="AR105" s="1108">
        <v>67000</v>
      </c>
      <c r="AU105" s="1108">
        <v>74231</v>
      </c>
      <c r="AV105" s="1108">
        <v>78000</v>
      </c>
      <c r="AZ105" s="1108">
        <v>99000</v>
      </c>
      <c r="BD105" s="1108">
        <v>53471</v>
      </c>
    </row>
    <row r="106" spans="4:84" ht="14.45" hidden="1" outlineLevel="1">
      <c r="D106" s="1432"/>
      <c r="E106" s="1440"/>
      <c r="F106" s="1107" t="s">
        <v>1069</v>
      </c>
      <c r="T106" s="1109">
        <v>60.975609756097562</v>
      </c>
      <c r="X106" s="1109">
        <v>-12.121212121212121</v>
      </c>
      <c r="AB106" s="1109">
        <v>-12.068965517241379</v>
      </c>
      <c r="AE106" s="1109">
        <v>-0.55520178301361134</v>
      </c>
      <c r="AF106" s="1109">
        <v>0</v>
      </c>
      <c r="AG106" s="1109">
        <v>3.9468344155844153</v>
      </c>
      <c r="AH106" s="1109">
        <v>13.466575686205454</v>
      </c>
      <c r="AI106" s="1109">
        <v>4.8166009645208412</v>
      </c>
      <c r="AJ106" s="1109">
        <v>3.9215686274509802</v>
      </c>
      <c r="AK106" s="1109">
        <v>0</v>
      </c>
      <c r="AL106" s="1109">
        <v>0</v>
      </c>
      <c r="AM106" s="1109">
        <v>0</v>
      </c>
      <c r="AN106" s="1109">
        <v>11.320754716981133</v>
      </c>
      <c r="AR106" s="1109">
        <v>13.559322033898304</v>
      </c>
      <c r="AV106" s="1109">
        <v>16.417910447761194</v>
      </c>
      <c r="AZ106" s="1109">
        <v>26.923076923076923</v>
      </c>
      <c r="BD106" s="1109">
        <v>-45.988888888888887</v>
      </c>
    </row>
    <row r="107" spans="4:84" ht="14.45" hidden="1" outlineLevel="1" collapsed="1">
      <c r="D107" s="1432"/>
      <c r="E107" s="1440"/>
      <c r="F107" s="1107"/>
    </row>
    <row r="108" spans="4:84" ht="14.45" collapsed="1">
      <c r="D108" s="1431" t="s">
        <v>1098</v>
      </c>
      <c r="E108" s="1433" t="s">
        <v>1100</v>
      </c>
      <c r="F108" s="1106" t="s">
        <v>1068</v>
      </c>
      <c r="M108" s="1108">
        <v>99000</v>
      </c>
      <c r="T108" s="1108">
        <v>128000</v>
      </c>
      <c r="X108" s="1108">
        <v>118000</v>
      </c>
      <c r="AA108" s="1108">
        <v>112689</v>
      </c>
      <c r="AB108" s="1108">
        <v>114000</v>
      </c>
      <c r="AC108" s="1108">
        <v>113616</v>
      </c>
      <c r="AD108" s="1108">
        <v>120849</v>
      </c>
      <c r="AE108" s="1108">
        <v>121567</v>
      </c>
      <c r="AF108" s="1108">
        <v>124000</v>
      </c>
      <c r="AG108" s="1108">
        <v>125416</v>
      </c>
      <c r="AH108" s="1108">
        <v>126079</v>
      </c>
      <c r="AI108" s="1108">
        <v>128290</v>
      </c>
      <c r="AJ108" s="1108">
        <v>131000</v>
      </c>
      <c r="AK108" s="1108">
        <v>125416</v>
      </c>
      <c r="AL108" s="1108">
        <v>126079</v>
      </c>
      <c r="AM108" s="1108">
        <v>128290</v>
      </c>
      <c r="AN108" s="1108">
        <v>144000</v>
      </c>
      <c r="AR108" s="1108">
        <v>163000</v>
      </c>
      <c r="AU108" s="1108">
        <v>175508</v>
      </c>
      <c r="AV108" s="1108">
        <v>181000</v>
      </c>
      <c r="AZ108" s="1108">
        <v>221000</v>
      </c>
      <c r="BD108" s="1108">
        <v>180630.25</v>
      </c>
    </row>
    <row r="109" spans="4:84" ht="14.45" hidden="1" outlineLevel="1">
      <c r="D109" s="1432"/>
      <c r="E109" s="1440"/>
      <c r="F109" s="1106" t="s">
        <v>1069</v>
      </c>
      <c r="T109" s="1109">
        <v>29.292929292929294</v>
      </c>
      <c r="X109" s="1109">
        <v>-7.8125</v>
      </c>
      <c r="AB109" s="1109">
        <v>-3.3898305084745761</v>
      </c>
      <c r="AE109" s="1109">
        <v>7.8783199779925273</v>
      </c>
      <c r="AF109" s="1109">
        <v>8.7719298245614024</v>
      </c>
      <c r="AG109" s="1109">
        <v>10.385861146317419</v>
      </c>
      <c r="AH109" s="1109">
        <v>4.327714751466706</v>
      </c>
      <c r="AI109" s="1109">
        <v>5.5302837118625945</v>
      </c>
      <c r="AJ109" s="1109">
        <v>5.6451612903225801</v>
      </c>
      <c r="AK109" s="1109">
        <v>0</v>
      </c>
      <c r="AL109" s="1109">
        <v>0</v>
      </c>
      <c r="AM109" s="1109">
        <v>0</v>
      </c>
      <c r="AN109" s="1109">
        <v>9.9236641221374047</v>
      </c>
      <c r="AR109" s="1109">
        <v>13.194444444444445</v>
      </c>
      <c r="AV109" s="1109">
        <v>11.042944785276074</v>
      </c>
      <c r="AZ109" s="1109">
        <v>22.099447513812155</v>
      </c>
      <c r="BD109" s="1109">
        <v>-18.266855203619908</v>
      </c>
    </row>
    <row r="110" spans="4:84" ht="14.45" hidden="1" outlineLevel="1" collapsed="1">
      <c r="D110" s="1432"/>
      <c r="E110" s="1440"/>
      <c r="F110" s="1106"/>
    </row>
    <row r="111" spans="4:84" ht="14.45" collapsed="1">
      <c r="D111" s="1105" t="s">
        <v>366</v>
      </c>
      <c r="F111" s="1107" t="s">
        <v>1065</v>
      </c>
    </row>
    <row r="112" spans="4:84" ht="14.45">
      <c r="D112" s="1434" t="s">
        <v>1102</v>
      </c>
      <c r="E112" s="1433" t="s">
        <v>1100</v>
      </c>
      <c r="F112" s="1106" t="s">
        <v>1068</v>
      </c>
      <c r="M112" s="1108">
        <v>27000</v>
      </c>
      <c r="T112" s="1108">
        <v>43000</v>
      </c>
      <c r="X112" s="1108">
        <v>40000</v>
      </c>
      <c r="AB112" s="1108">
        <v>38000</v>
      </c>
      <c r="AF112" s="1108">
        <v>39000</v>
      </c>
      <c r="AJ112" s="1108">
        <v>42000</v>
      </c>
      <c r="AN112" s="1108">
        <v>47000</v>
      </c>
      <c r="AR112" s="1108">
        <v>56000</v>
      </c>
      <c r="AV112" s="1108">
        <v>67000</v>
      </c>
      <c r="AZ112" s="1108">
        <v>85000</v>
      </c>
      <c r="BD112" s="1108">
        <v>58034.6</v>
      </c>
    </row>
    <row r="113" spans="4:56" ht="14.45" hidden="1" outlineLevel="1">
      <c r="D113" s="1432"/>
      <c r="E113" s="1440"/>
      <c r="F113" s="1106" t="s">
        <v>1069</v>
      </c>
      <c r="T113" s="1109">
        <v>59.259259259259252</v>
      </c>
      <c r="X113" s="1109">
        <v>-6.9767441860465116</v>
      </c>
      <c r="AB113" s="1109">
        <v>-5</v>
      </c>
      <c r="AF113" s="1109">
        <v>2.6315789473684208</v>
      </c>
      <c r="AJ113" s="1109">
        <v>7.6923076923076925</v>
      </c>
      <c r="AN113" s="1109">
        <v>11.904761904761903</v>
      </c>
      <c r="AR113" s="1109">
        <v>19.148936170212767</v>
      </c>
      <c r="AV113" s="1109">
        <v>19.642857142857142</v>
      </c>
      <c r="AZ113" s="1109">
        <v>26.865671641791046</v>
      </c>
      <c r="BD113" s="1109">
        <v>-31.724000000000004</v>
      </c>
    </row>
    <row r="114" spans="4:56" ht="14.45" hidden="1" outlineLevel="1" collapsed="1">
      <c r="D114" s="1432"/>
      <c r="E114" s="1440"/>
      <c r="F114" s="1106"/>
    </row>
    <row r="115" spans="4:56" ht="14.45" collapsed="1">
      <c r="D115" s="1434" t="s">
        <v>1103</v>
      </c>
      <c r="E115" s="1433" t="s">
        <v>1100</v>
      </c>
      <c r="F115" s="1107" t="s">
        <v>1068</v>
      </c>
      <c r="M115" s="1108">
        <v>37000</v>
      </c>
      <c r="T115" s="1108">
        <v>44000</v>
      </c>
      <c r="X115" s="1108">
        <v>37250</v>
      </c>
      <c r="AB115" s="1108">
        <v>37000</v>
      </c>
      <c r="AF115" s="1108">
        <v>40000</v>
      </c>
      <c r="AJ115" s="1108">
        <v>42000</v>
      </c>
      <c r="AN115" s="1108">
        <v>47000</v>
      </c>
      <c r="AR115" s="1108">
        <v>55000</v>
      </c>
      <c r="AV115" s="1108">
        <v>60000</v>
      </c>
      <c r="AZ115" s="1108">
        <v>73000</v>
      </c>
    </row>
    <row r="116" spans="4:56" ht="14.45" hidden="1" outlineLevel="1">
      <c r="D116" s="1432"/>
      <c r="E116" s="1440"/>
      <c r="F116" s="1107" t="s">
        <v>1069</v>
      </c>
      <c r="T116" s="1109">
        <v>18.918918918918919</v>
      </c>
      <c r="X116" s="1109">
        <v>-15.340909090909092</v>
      </c>
      <c r="AB116" s="1109">
        <v>-0.67114093959731547</v>
      </c>
      <c r="AF116" s="1109">
        <v>8.1081081081081088</v>
      </c>
      <c r="AJ116" s="1109">
        <v>5</v>
      </c>
      <c r="AN116" s="1109">
        <v>11.904761904761903</v>
      </c>
      <c r="AR116" s="1109">
        <v>17.021276595744681</v>
      </c>
      <c r="AV116" s="1109">
        <v>9.0909090909090917</v>
      </c>
      <c r="AZ116" s="1109">
        <v>21.666666666666668</v>
      </c>
    </row>
    <row r="117" spans="4:56" ht="14.45" hidden="1" outlineLevel="1" collapsed="1">
      <c r="D117" s="1432"/>
      <c r="E117" s="1440"/>
      <c r="F117" s="1107"/>
    </row>
    <row r="118" spans="4:56" ht="14.45" collapsed="1">
      <c r="D118" s="1434" t="s">
        <v>1104</v>
      </c>
      <c r="E118" s="1433" t="s">
        <v>1100</v>
      </c>
      <c r="F118" s="1106" t="s">
        <v>1068</v>
      </c>
      <c r="M118" s="1108">
        <v>26000</v>
      </c>
      <c r="T118" s="1108">
        <v>30000</v>
      </c>
      <c r="X118" s="1108">
        <v>29000</v>
      </c>
      <c r="AB118" s="1108">
        <v>29000</v>
      </c>
      <c r="AF118" s="1108">
        <v>34000</v>
      </c>
      <c r="AJ118" s="1108">
        <v>36000</v>
      </c>
      <c r="AN118" s="1108">
        <v>38000</v>
      </c>
      <c r="AR118" s="1108">
        <v>40000</v>
      </c>
      <c r="AV118" s="1108">
        <v>40000</v>
      </c>
      <c r="AZ118" s="1108">
        <v>47000</v>
      </c>
    </row>
    <row r="119" spans="4:56" ht="14.45" hidden="1" outlineLevel="1">
      <c r="D119" s="1432"/>
      <c r="E119" s="1440"/>
      <c r="F119" s="1106" t="s">
        <v>1069</v>
      </c>
      <c r="T119" s="1109">
        <v>15.384615384615385</v>
      </c>
      <c r="X119" s="1109">
        <v>-3.3333333333333335</v>
      </c>
      <c r="AB119" s="1109">
        <v>0</v>
      </c>
      <c r="AF119" s="1109">
        <v>17.241379310344829</v>
      </c>
      <c r="AJ119" s="1109">
        <v>5.8823529411764701</v>
      </c>
      <c r="AN119" s="1109">
        <v>5.5555555555555554</v>
      </c>
      <c r="AR119" s="1109">
        <v>5.2631578947368416</v>
      </c>
      <c r="AV119" s="1109">
        <v>0</v>
      </c>
      <c r="AZ119" s="1109">
        <v>17.5</v>
      </c>
    </row>
    <row r="120" spans="4:56" ht="14.45" hidden="1" outlineLevel="1" collapsed="1">
      <c r="D120" s="1432"/>
      <c r="E120" s="1440"/>
      <c r="F120" s="1106"/>
    </row>
    <row r="121" spans="4:56" ht="14.45" collapsed="1">
      <c r="D121" s="1434" t="s">
        <v>1105</v>
      </c>
      <c r="E121" s="1433" t="s">
        <v>1100</v>
      </c>
      <c r="F121" s="1107" t="s">
        <v>1068</v>
      </c>
      <c r="M121" s="1108">
        <v>9000</v>
      </c>
      <c r="T121" s="1108">
        <v>11000</v>
      </c>
      <c r="X121" s="1108">
        <v>10000</v>
      </c>
      <c r="AB121" s="1108">
        <v>10000</v>
      </c>
      <c r="AF121" s="1108">
        <v>11000</v>
      </c>
      <c r="AJ121" s="1108">
        <v>11000</v>
      </c>
      <c r="AN121" s="1108">
        <v>12000</v>
      </c>
      <c r="AR121" s="1108">
        <v>12000</v>
      </c>
      <c r="AV121" s="1108">
        <v>14000</v>
      </c>
      <c r="AZ121" s="1108">
        <v>16000</v>
      </c>
      <c r="BD121" s="1108">
        <v>45955</v>
      </c>
    </row>
    <row r="122" spans="4:56" ht="14.45" hidden="1" outlineLevel="1">
      <c r="D122" s="1432"/>
      <c r="E122" s="1440"/>
      <c r="F122" s="1107" t="s">
        <v>1069</v>
      </c>
      <c r="T122" s="1109">
        <v>22.222222222222221</v>
      </c>
      <c r="X122" s="1109">
        <v>-9.0909090909090917</v>
      </c>
      <c r="AB122" s="1109">
        <v>0</v>
      </c>
      <c r="AF122" s="1109">
        <v>10</v>
      </c>
      <c r="AJ122" s="1109">
        <v>0</v>
      </c>
      <c r="AN122" s="1109">
        <v>9.0909090909090917</v>
      </c>
      <c r="AR122" s="1109">
        <v>0</v>
      </c>
      <c r="AV122" s="1109">
        <v>16.666666666666664</v>
      </c>
      <c r="AZ122" s="1109">
        <v>14.285714285714285</v>
      </c>
      <c r="BD122" s="1109">
        <v>187.21875</v>
      </c>
    </row>
    <row r="123" spans="4:56" ht="14.45" hidden="1" outlineLevel="1" collapsed="1">
      <c r="D123" s="1432"/>
      <c r="E123" s="1440"/>
      <c r="F123" s="1107"/>
    </row>
    <row r="124" spans="4:56" ht="14.45" collapsed="1">
      <c r="D124" s="1431" t="s">
        <v>1098</v>
      </c>
      <c r="E124" s="1433" t="s">
        <v>1100</v>
      </c>
      <c r="F124" s="1106" t="s">
        <v>1068</v>
      </c>
      <c r="M124" s="1108">
        <v>99000</v>
      </c>
      <c r="T124" s="1108">
        <v>128000</v>
      </c>
      <c r="X124" s="1108">
        <v>118000</v>
      </c>
      <c r="AA124" s="1108">
        <v>112689</v>
      </c>
      <c r="AB124" s="1108">
        <v>114000</v>
      </c>
      <c r="AC124" s="1108">
        <v>113616</v>
      </c>
      <c r="AD124" s="1108">
        <v>120849</v>
      </c>
      <c r="AE124" s="1108">
        <v>121567</v>
      </c>
      <c r="AF124" s="1108">
        <v>124000</v>
      </c>
      <c r="AG124" s="1108">
        <v>125416</v>
      </c>
      <c r="AH124" s="1108">
        <v>126079</v>
      </c>
      <c r="AI124" s="1108">
        <v>128290</v>
      </c>
      <c r="AJ124" s="1108">
        <v>131000</v>
      </c>
      <c r="AK124" s="1108">
        <v>125416</v>
      </c>
      <c r="AL124" s="1108">
        <v>126079</v>
      </c>
      <c r="AM124" s="1108">
        <v>128290</v>
      </c>
      <c r="AN124" s="1108">
        <v>144000</v>
      </c>
      <c r="AR124" s="1108">
        <v>163000</v>
      </c>
      <c r="AU124" s="1108">
        <v>175508</v>
      </c>
      <c r="AV124" s="1108">
        <v>181000</v>
      </c>
      <c r="AZ124" s="1108">
        <v>221000</v>
      </c>
      <c r="BD124" s="1108">
        <v>180630.25</v>
      </c>
    </row>
    <row r="125" spans="4:56" ht="14.45" hidden="1" outlineLevel="1">
      <c r="D125" s="1432"/>
      <c r="E125" s="1440"/>
      <c r="F125" s="1106" t="s">
        <v>1069</v>
      </c>
      <c r="T125" s="1109">
        <v>29.292929292929294</v>
      </c>
      <c r="X125" s="1109">
        <v>-7.8125</v>
      </c>
      <c r="AB125" s="1109">
        <v>-3.3898305084745761</v>
      </c>
      <c r="AE125" s="1109">
        <v>7.8783199779925273</v>
      </c>
      <c r="AF125" s="1109">
        <v>8.7719298245614024</v>
      </c>
      <c r="AG125" s="1109">
        <v>10.385861146317419</v>
      </c>
      <c r="AH125" s="1109">
        <v>4.327714751466706</v>
      </c>
      <c r="AI125" s="1109">
        <v>5.5302837118625945</v>
      </c>
      <c r="AJ125" s="1109">
        <v>5.6451612903225801</v>
      </c>
      <c r="AK125" s="1109">
        <v>0</v>
      </c>
      <c r="AL125" s="1109">
        <v>0</v>
      </c>
      <c r="AM125" s="1109">
        <v>0</v>
      </c>
      <c r="AN125" s="1109">
        <v>9.9236641221374047</v>
      </c>
      <c r="AR125" s="1109">
        <v>13.194444444444445</v>
      </c>
      <c r="AV125" s="1109">
        <v>11.042944785276074</v>
      </c>
      <c r="AZ125" s="1109">
        <v>22.099447513812155</v>
      </c>
      <c r="BD125" s="1109">
        <v>-18.266855203619908</v>
      </c>
    </row>
    <row r="126" spans="4:56" ht="14.45" hidden="1" outlineLevel="1" collapsed="1">
      <c r="D126" s="1432"/>
      <c r="E126" s="1440"/>
      <c r="F126" s="1106"/>
    </row>
    <row r="127" spans="4:56" collapsed="1">
      <c r="D127" s="42"/>
    </row>
    <row r="128" spans="4:56">
      <c r="D128" s="42"/>
    </row>
    <row r="129" spans="3:88" ht="12.95">
      <c r="C129" s="1110" t="s">
        <v>1106</v>
      </c>
    </row>
    <row r="130" spans="3:88" ht="12.95">
      <c r="C130" s="1110"/>
    </row>
    <row r="132" spans="3:88" ht="35.1">
      <c r="C132" s="1099" t="s">
        <v>983</v>
      </c>
      <c r="D132" s="42"/>
    </row>
    <row r="133" spans="3:88">
      <c r="D133" s="42"/>
    </row>
    <row r="134" spans="3:88" ht="14.45">
      <c r="C134" s="1100"/>
      <c r="D134" s="1101"/>
      <c r="E134" s="1100"/>
      <c r="F134" s="1100"/>
      <c r="G134" s="1102" t="s">
        <v>984</v>
      </c>
      <c r="H134" s="1102" t="s">
        <v>984</v>
      </c>
      <c r="I134" s="1103" t="s">
        <v>985</v>
      </c>
      <c r="J134" s="1103" t="s">
        <v>985</v>
      </c>
      <c r="K134" s="1102" t="s">
        <v>986</v>
      </c>
      <c r="L134" s="1102" t="s">
        <v>986</v>
      </c>
      <c r="M134" s="1103" t="s">
        <v>987</v>
      </c>
      <c r="N134" s="1103" t="s">
        <v>987</v>
      </c>
      <c r="O134" s="1102" t="s">
        <v>988</v>
      </c>
      <c r="P134" s="1102" t="s">
        <v>988</v>
      </c>
      <c r="Q134" s="1103" t="s">
        <v>989</v>
      </c>
      <c r="R134" s="1103" t="s">
        <v>989</v>
      </c>
      <c r="S134" s="1102" t="s">
        <v>990</v>
      </c>
      <c r="T134" s="1103" t="s">
        <v>991</v>
      </c>
      <c r="U134" s="1102" t="s">
        <v>992</v>
      </c>
      <c r="V134" s="1103" t="s">
        <v>993</v>
      </c>
      <c r="W134" s="1102" t="s">
        <v>994</v>
      </c>
      <c r="X134" s="1103" t="s">
        <v>995</v>
      </c>
      <c r="Y134" s="1102" t="s">
        <v>996</v>
      </c>
      <c r="Z134" s="1103" t="s">
        <v>997</v>
      </c>
      <c r="AA134" s="1102" t="s">
        <v>998</v>
      </c>
      <c r="AB134" s="1103" t="s">
        <v>999</v>
      </c>
      <c r="AC134" s="1102" t="s">
        <v>1000</v>
      </c>
      <c r="AD134" s="1103" t="s">
        <v>1001</v>
      </c>
      <c r="AE134" s="1102" t="s">
        <v>1002</v>
      </c>
      <c r="AF134" s="1103" t="s">
        <v>1003</v>
      </c>
      <c r="AG134" s="1102" t="s">
        <v>1004</v>
      </c>
      <c r="AH134" s="1103" t="s">
        <v>1005</v>
      </c>
      <c r="AI134" s="1102" t="s">
        <v>1006</v>
      </c>
      <c r="AJ134" s="1103" t="s">
        <v>1007</v>
      </c>
      <c r="AK134" s="1102" t="s">
        <v>1008</v>
      </c>
      <c r="AL134" s="1103" t="s">
        <v>1009</v>
      </c>
      <c r="AM134" s="1102" t="s">
        <v>1010</v>
      </c>
      <c r="AN134" s="1103" t="s">
        <v>1011</v>
      </c>
      <c r="AO134" s="1102" t="s">
        <v>1012</v>
      </c>
      <c r="AP134" s="1103" t="s">
        <v>1013</v>
      </c>
      <c r="AQ134" s="1102" t="s">
        <v>1014</v>
      </c>
      <c r="AR134" s="1103" t="s">
        <v>1015</v>
      </c>
      <c r="AS134" s="1102" t="s">
        <v>1016</v>
      </c>
      <c r="AT134" s="1103" t="s">
        <v>1017</v>
      </c>
      <c r="AU134" s="1102" t="s">
        <v>1018</v>
      </c>
      <c r="AV134" s="1103" t="s">
        <v>1019</v>
      </c>
      <c r="AW134" s="1102" t="s">
        <v>1020</v>
      </c>
      <c r="AX134" s="1103" t="s">
        <v>1021</v>
      </c>
      <c r="AY134" s="1102" t="s">
        <v>1022</v>
      </c>
      <c r="AZ134" s="1103" t="s">
        <v>1023</v>
      </c>
      <c r="BA134" s="1102" t="s">
        <v>1024</v>
      </c>
      <c r="BB134" s="1103" t="s">
        <v>1025</v>
      </c>
      <c r="BC134" s="1102" t="s">
        <v>1026</v>
      </c>
      <c r="BD134" s="1103" t="s">
        <v>1027</v>
      </c>
      <c r="BE134" s="1102" t="s">
        <v>1028</v>
      </c>
      <c r="BF134" s="1103" t="s">
        <v>1029</v>
      </c>
      <c r="BG134" s="1102" t="s">
        <v>1030</v>
      </c>
      <c r="BH134" s="1103" t="s">
        <v>1031</v>
      </c>
      <c r="BI134" s="1102" t="s">
        <v>1032</v>
      </c>
      <c r="BJ134" s="1103" t="s">
        <v>1033</v>
      </c>
      <c r="BK134" s="1102" t="s">
        <v>1034</v>
      </c>
      <c r="BL134" s="1103" t="s">
        <v>1035</v>
      </c>
      <c r="BM134" s="1102" t="s">
        <v>1036</v>
      </c>
      <c r="BN134" s="1103" t="s">
        <v>1037</v>
      </c>
      <c r="BO134" s="1102" t="s">
        <v>1038</v>
      </c>
      <c r="BP134" s="1103" t="s">
        <v>1039</v>
      </c>
      <c r="BQ134" s="1102" t="s">
        <v>1040</v>
      </c>
      <c r="BR134" s="1103" t="s">
        <v>1041</v>
      </c>
      <c r="BS134" s="1102" t="s">
        <v>1042</v>
      </c>
      <c r="BT134" s="1103" t="s">
        <v>1043</v>
      </c>
      <c r="BU134" s="1102" t="s">
        <v>1044</v>
      </c>
      <c r="BV134" s="1103" t="s">
        <v>1045</v>
      </c>
      <c r="BW134" s="1102" t="s">
        <v>1046</v>
      </c>
      <c r="BX134" s="1103" t="s">
        <v>1047</v>
      </c>
      <c r="BY134" s="1102" t="s">
        <v>1048</v>
      </c>
      <c r="BZ134" s="1103" t="s">
        <v>1049</v>
      </c>
      <c r="CA134" s="1102" t="s">
        <v>1050</v>
      </c>
      <c r="CB134" s="1103" t="s">
        <v>1051</v>
      </c>
      <c r="CC134" s="1102" t="s">
        <v>1052</v>
      </c>
      <c r="CD134" s="1103" t="s">
        <v>1053</v>
      </c>
      <c r="CE134" s="1102" t="s">
        <v>1054</v>
      </c>
      <c r="CF134" s="1103" t="s">
        <v>1055</v>
      </c>
      <c r="CG134" s="1102" t="s">
        <v>1056</v>
      </c>
      <c r="CH134" s="1103" t="s">
        <v>1057</v>
      </c>
      <c r="CI134" s="1102" t="s">
        <v>1058</v>
      </c>
      <c r="CJ134" s="1103" t="s">
        <v>1059</v>
      </c>
    </row>
    <row r="135" spans="3:88" ht="14.45">
      <c r="C135" s="1100"/>
      <c r="D135" s="1101"/>
      <c r="E135" s="1100" t="s">
        <v>1060</v>
      </c>
      <c r="F135" s="1100"/>
      <c r="G135" s="1102" t="s">
        <v>1061</v>
      </c>
      <c r="H135" s="1102" t="s">
        <v>1062</v>
      </c>
      <c r="I135" s="1103" t="s">
        <v>1061</v>
      </c>
      <c r="J135" s="1103" t="s">
        <v>1062</v>
      </c>
      <c r="K135" s="1102" t="s">
        <v>1061</v>
      </c>
      <c r="L135" s="1102" t="s">
        <v>1062</v>
      </c>
      <c r="M135" s="1103" t="s">
        <v>1061</v>
      </c>
      <c r="N135" s="1103" t="s">
        <v>1062</v>
      </c>
      <c r="O135" s="1102" t="s">
        <v>1061</v>
      </c>
      <c r="P135" s="1102" t="s">
        <v>1062</v>
      </c>
      <c r="Q135" s="1103" t="s">
        <v>1061</v>
      </c>
      <c r="R135" s="1103" t="s">
        <v>1062</v>
      </c>
      <c r="S135" s="1102" t="s">
        <v>1061</v>
      </c>
      <c r="T135" s="1103" t="s">
        <v>1061</v>
      </c>
      <c r="U135" s="1102" t="s">
        <v>1061</v>
      </c>
      <c r="V135" s="1103" t="s">
        <v>1061</v>
      </c>
      <c r="W135" s="1102" t="s">
        <v>1061</v>
      </c>
      <c r="X135" s="1103" t="s">
        <v>1061</v>
      </c>
      <c r="Y135" s="1102" t="s">
        <v>1061</v>
      </c>
      <c r="Z135" s="1103" t="s">
        <v>1061</v>
      </c>
      <c r="AA135" s="1102" t="s">
        <v>1061</v>
      </c>
      <c r="AB135" s="1103" t="s">
        <v>1061</v>
      </c>
      <c r="AC135" s="1102" t="s">
        <v>1061</v>
      </c>
      <c r="AD135" s="1103" t="s">
        <v>1061</v>
      </c>
      <c r="AE135" s="1102" t="s">
        <v>1061</v>
      </c>
      <c r="AF135" s="1103" t="s">
        <v>1061</v>
      </c>
      <c r="AG135" s="1102" t="s">
        <v>1061</v>
      </c>
      <c r="AH135" s="1103" t="s">
        <v>1061</v>
      </c>
      <c r="AI135" s="1102" t="s">
        <v>1061</v>
      </c>
      <c r="AJ135" s="1103" t="s">
        <v>1061</v>
      </c>
      <c r="AK135" s="1102" t="s">
        <v>1061</v>
      </c>
      <c r="AL135" s="1103" t="s">
        <v>1061</v>
      </c>
      <c r="AM135" s="1102" t="s">
        <v>1061</v>
      </c>
      <c r="AN135" s="1103" t="s">
        <v>1061</v>
      </c>
      <c r="AO135" s="1102" t="s">
        <v>1061</v>
      </c>
      <c r="AP135" s="1103" t="s">
        <v>1061</v>
      </c>
      <c r="AQ135" s="1102" t="s">
        <v>1061</v>
      </c>
      <c r="AR135" s="1103" t="s">
        <v>1061</v>
      </c>
      <c r="AS135" s="1102" t="s">
        <v>1061</v>
      </c>
      <c r="AT135" s="1103" t="s">
        <v>1061</v>
      </c>
      <c r="AU135" s="1102" t="s">
        <v>1061</v>
      </c>
      <c r="AV135" s="1103" t="s">
        <v>1061</v>
      </c>
      <c r="AW135" s="1102" t="s">
        <v>1061</v>
      </c>
      <c r="AX135" s="1103" t="s">
        <v>1061</v>
      </c>
      <c r="AY135" s="1102" t="s">
        <v>1061</v>
      </c>
      <c r="AZ135" s="1103" t="s">
        <v>1061</v>
      </c>
      <c r="BA135" s="1102" t="s">
        <v>1061</v>
      </c>
      <c r="BB135" s="1103" t="s">
        <v>1061</v>
      </c>
      <c r="BC135" s="1102" t="s">
        <v>1063</v>
      </c>
      <c r="BD135" s="1103" t="s">
        <v>1063</v>
      </c>
      <c r="BE135" s="1102" t="s">
        <v>1063</v>
      </c>
      <c r="BF135" s="1103" t="s">
        <v>1063</v>
      </c>
      <c r="BG135" s="1102" t="s">
        <v>1063</v>
      </c>
      <c r="BH135" s="1103" t="s">
        <v>1063</v>
      </c>
      <c r="BI135" s="1102" t="s">
        <v>1063</v>
      </c>
      <c r="BJ135" s="1103" t="s">
        <v>1063</v>
      </c>
      <c r="BK135" s="1102" t="s">
        <v>1063</v>
      </c>
      <c r="BL135" s="1103" t="s">
        <v>1063</v>
      </c>
      <c r="BM135" s="1102" t="s">
        <v>1063</v>
      </c>
      <c r="BN135" s="1103" t="s">
        <v>1063</v>
      </c>
      <c r="BO135" s="1102" t="s">
        <v>1063</v>
      </c>
      <c r="BP135" s="1103" t="s">
        <v>1063</v>
      </c>
      <c r="BQ135" s="1102" t="s">
        <v>1063</v>
      </c>
      <c r="BR135" s="1103" t="s">
        <v>1063</v>
      </c>
      <c r="BS135" s="1102" t="s">
        <v>1063</v>
      </c>
      <c r="BT135" s="1103" t="s">
        <v>1063</v>
      </c>
      <c r="BU135" s="1102" t="s">
        <v>1063</v>
      </c>
      <c r="BV135" s="1103" t="s">
        <v>1063</v>
      </c>
      <c r="BW135" s="1102" t="s">
        <v>1063</v>
      </c>
      <c r="BX135" s="1103" t="s">
        <v>1063</v>
      </c>
      <c r="BY135" s="1102" t="s">
        <v>1063</v>
      </c>
      <c r="BZ135" s="1103" t="s">
        <v>1063</v>
      </c>
      <c r="CA135" s="1102" t="s">
        <v>1063</v>
      </c>
      <c r="CB135" s="1103" t="s">
        <v>1063</v>
      </c>
      <c r="CC135" s="1102" t="s">
        <v>1063</v>
      </c>
      <c r="CD135" s="1103" t="s">
        <v>1063</v>
      </c>
      <c r="CE135" s="1102" t="s">
        <v>1063</v>
      </c>
      <c r="CF135" s="1103" t="s">
        <v>1063</v>
      </c>
      <c r="CG135" s="1102" t="s">
        <v>1063</v>
      </c>
      <c r="CH135" s="1103" t="s">
        <v>1063</v>
      </c>
      <c r="CI135" s="1102" t="s">
        <v>1063</v>
      </c>
      <c r="CJ135" s="1103" t="s">
        <v>1063</v>
      </c>
    </row>
    <row r="136" spans="3:88" ht="21">
      <c r="D136" s="1104" t="s">
        <v>1074</v>
      </c>
    </row>
    <row r="137" spans="3:88" ht="14.45">
      <c r="D137" s="1105" t="s">
        <v>1074</v>
      </c>
      <c r="F137" s="1106" t="s">
        <v>1065</v>
      </c>
    </row>
    <row r="138" spans="3:88" ht="14.45">
      <c r="D138" s="1435" t="s">
        <v>1107</v>
      </c>
      <c r="E138" s="1433" t="s">
        <v>1067</v>
      </c>
      <c r="F138" s="1107" t="s">
        <v>1068</v>
      </c>
      <c r="G138" s="1108">
        <v>3418.1879321336232</v>
      </c>
      <c r="I138" s="1108">
        <v>3856.61463764879</v>
      </c>
      <c r="K138" s="1108">
        <v>3778.9360486778232</v>
      </c>
      <c r="M138" s="1108">
        <v>4456.1622055858297</v>
      </c>
      <c r="O138" s="1108">
        <v>3620.7307501283526</v>
      </c>
      <c r="Q138" s="1108">
        <v>4224.9154316614149</v>
      </c>
      <c r="S138" s="1108">
        <v>3989.0589988244474</v>
      </c>
      <c r="T138" s="1108">
        <v>4846.3717765921119</v>
      </c>
      <c r="U138" s="1108">
        <v>3970.1847155315177</v>
      </c>
      <c r="V138" s="1108">
        <v>4496.7659089094541</v>
      </c>
      <c r="W138" s="1108">
        <v>4368.6054948552646</v>
      </c>
      <c r="X138" s="1108">
        <v>4904.2281340295349</v>
      </c>
      <c r="Y138" s="1108">
        <v>3804.15630322178</v>
      </c>
      <c r="Z138" s="1108">
        <v>4334.3092517069645</v>
      </c>
      <c r="AA138" s="1108">
        <v>3975.8939650984776</v>
      </c>
      <c r="AB138" s="1108">
        <v>4990.6214697519545</v>
      </c>
      <c r="AC138" s="1108">
        <v>3881.3684779700161</v>
      </c>
      <c r="AD138" s="1108">
        <v>4494.1567144382843</v>
      </c>
      <c r="AE138" s="1108">
        <v>4307.8041759753569</v>
      </c>
      <c r="AF138" s="1108">
        <v>5052.5215886531842</v>
      </c>
      <c r="AG138" s="1108">
        <v>3960.4919742021075</v>
      </c>
      <c r="AH138" s="1108">
        <v>4634.5840946880471</v>
      </c>
      <c r="AI138" s="1108">
        <v>4437.4766594186985</v>
      </c>
      <c r="AJ138" s="1108">
        <v>5516.0476603730867</v>
      </c>
      <c r="AK138" s="1108">
        <v>4352.0992075780041</v>
      </c>
      <c r="AL138" s="1108">
        <v>4820.2320569527501</v>
      </c>
      <c r="AM138" s="1108">
        <v>4751.5481411165147</v>
      </c>
      <c r="AN138" s="1108">
        <v>5698.829045294503</v>
      </c>
      <c r="AO138" s="1108">
        <v>4876.3726831245003</v>
      </c>
      <c r="AP138" s="1108">
        <v>5303.7654481615136</v>
      </c>
      <c r="AQ138" s="1108">
        <v>5253.1171156791879</v>
      </c>
      <c r="AR138" s="1108">
        <v>5674.1054611439677</v>
      </c>
      <c r="AS138" s="1108">
        <v>4814.859021268333</v>
      </c>
      <c r="AT138" s="1108">
        <v>5508.6798533266019</v>
      </c>
      <c r="AU138" s="1108">
        <v>5364.939422210964</v>
      </c>
      <c r="AV138" s="1108">
        <v>6532.2129947406611</v>
      </c>
      <c r="AW138" s="1108">
        <v>5490.8042252519826</v>
      </c>
      <c r="AX138" s="1108">
        <v>5831.2536164310277</v>
      </c>
      <c r="AY138" s="1108">
        <v>5667.6482413089734</v>
      </c>
      <c r="AZ138" s="1108">
        <v>6398.8970833648282</v>
      </c>
      <c r="BA138" s="1108">
        <v>5439.0251762803791</v>
      </c>
      <c r="BB138" s="1108">
        <v>5726.2729887714604</v>
      </c>
      <c r="BC138" s="1108">
        <v>5433.2092834899886</v>
      </c>
      <c r="BD138" s="1108">
        <v>6180.8391541879892</v>
      </c>
      <c r="BE138" s="1108">
        <v>5331.960496400895</v>
      </c>
      <c r="BF138" s="1108">
        <v>5666.8252461160364</v>
      </c>
      <c r="BG138" s="1108">
        <v>5448.2285919022079</v>
      </c>
      <c r="BH138" s="1108">
        <v>6183.4809664445056</v>
      </c>
      <c r="BI138" s="1108">
        <v>5335.2079504798321</v>
      </c>
      <c r="BJ138" s="1108">
        <v>5578.4395870964372</v>
      </c>
      <c r="BK138" s="1108">
        <v>5403.0956399758934</v>
      </c>
      <c r="BL138" s="1108">
        <v>6219.3299994364852</v>
      </c>
      <c r="BM138" s="1108">
        <v>5323.6765516704754</v>
      </c>
      <c r="BN138" s="1108">
        <v>5535.7545072822959</v>
      </c>
      <c r="BO138" s="1108">
        <v>5402.0149412133997</v>
      </c>
      <c r="BP138" s="1108">
        <v>6229.7345399184869</v>
      </c>
      <c r="BQ138" s="1108">
        <v>5221.4463958105762</v>
      </c>
      <c r="BR138" s="1108">
        <v>5376.8506793853639</v>
      </c>
      <c r="BS138" s="1108">
        <v>5324.499205087368</v>
      </c>
      <c r="BT138" s="1108">
        <v>6106.4641670398496</v>
      </c>
      <c r="BU138" s="1108">
        <v>4081.6362611951699</v>
      </c>
      <c r="BV138" s="1108">
        <v>4135.4136435820801</v>
      </c>
      <c r="BW138" s="1108">
        <v>4200.5972114712449</v>
      </c>
      <c r="BX138" s="1108">
        <v>4927.2175738719952</v>
      </c>
      <c r="BY138" s="1108">
        <v>3866.4605255136048</v>
      </c>
      <c r="BZ138" s="1108">
        <v>3914.9971757251001</v>
      </c>
      <c r="CA138" s="1108">
        <v>4007.8751490129198</v>
      </c>
      <c r="CB138" s="1108">
        <v>4712.0623649939353</v>
      </c>
      <c r="CC138" s="1108">
        <v>3656.2014930795049</v>
      </c>
      <c r="CD138" s="1108">
        <v>3700.035604631405</v>
      </c>
      <c r="CE138" s="1108">
        <v>3818.4014220342101</v>
      </c>
      <c r="CF138" s="1108">
        <v>4498.5736573363347</v>
      </c>
    </row>
    <row r="139" spans="3:88" ht="14.45" outlineLevel="1">
      <c r="D139" s="1432"/>
      <c r="E139" s="1440"/>
      <c r="F139" s="1107" t="s">
        <v>1069</v>
      </c>
      <c r="O139" s="1109">
        <v>5.9254441831787377</v>
      </c>
      <c r="Q139" s="1109">
        <v>9.5498469154066647</v>
      </c>
      <c r="S139" s="1109">
        <v>5.5603732754393151</v>
      </c>
      <c r="T139" s="1109">
        <v>8.7566285293015547</v>
      </c>
      <c r="U139" s="1109">
        <v>9.6514761665384015</v>
      </c>
      <c r="V139" s="1109">
        <v>6.4344596157072926</v>
      </c>
      <c r="W139" s="1109">
        <v>9.5146874524209188</v>
      </c>
      <c r="X139" s="1109">
        <v>1.1938076586874353</v>
      </c>
      <c r="Y139" s="1109">
        <v>-4.1818813029083506</v>
      </c>
      <c r="Z139" s="1109">
        <v>-3.6127443699173623</v>
      </c>
      <c r="AA139" s="1109">
        <v>-8.9894024585023313</v>
      </c>
      <c r="AB139" s="1109">
        <v>1.7616092351608228</v>
      </c>
      <c r="AC139" s="1109">
        <v>2.0296793452688644</v>
      </c>
      <c r="AD139" s="1109">
        <v>3.6879570295628481</v>
      </c>
      <c r="AE139" s="1109">
        <v>8.3480649582328184</v>
      </c>
      <c r="AF139" s="1109">
        <v>1.2403288703902897</v>
      </c>
      <c r="AG139" s="1109">
        <v>2.0385463704665718</v>
      </c>
      <c r="AH139" s="1109">
        <v>3.1246658532982319</v>
      </c>
      <c r="AI139" s="1109">
        <v>3.0101759074037227</v>
      </c>
      <c r="AJ139" s="1109">
        <v>9.1741532141273154</v>
      </c>
      <c r="AK139" s="1109">
        <v>9.887843124711571</v>
      </c>
      <c r="AL139" s="1109">
        <v>4.0057092173056992</v>
      </c>
      <c r="AM139" s="1109">
        <v>7.0777044208489182</v>
      </c>
      <c r="AN139" s="1109">
        <v>3.3136295437493288</v>
      </c>
      <c r="AO139" s="1109">
        <v>12.046450472305773</v>
      </c>
      <c r="AP139" s="1109">
        <v>10.031330141280444</v>
      </c>
      <c r="AQ139" s="1109">
        <v>10.555906404955733</v>
      </c>
      <c r="AR139" s="1109">
        <v>-0.4338362136156631</v>
      </c>
      <c r="AS139" s="1109">
        <v>-1.2614635068612703</v>
      </c>
      <c r="AT139" s="1109">
        <v>3.8635646158922698</v>
      </c>
      <c r="AU139" s="1109">
        <v>2.1286848183531952</v>
      </c>
      <c r="AV139" s="1109">
        <v>15.123221439449393</v>
      </c>
      <c r="AW139" s="1109">
        <v>14.038733034505169</v>
      </c>
      <c r="AX139" s="1109">
        <v>5.8557362506668227</v>
      </c>
      <c r="AY139" s="1109">
        <v>5.6423529750361832</v>
      </c>
      <c r="AZ139" s="1109">
        <v>-2.0408996381956732</v>
      </c>
      <c r="BA139" s="1109">
        <v>-0.94301393470693795</v>
      </c>
      <c r="BB139" s="1109">
        <v>-1.8003097543855391</v>
      </c>
      <c r="BC139" s="1109">
        <v>-4.1364415686609357</v>
      </c>
      <c r="BD139" s="1109">
        <v>-3.4077424021043066</v>
      </c>
      <c r="BE139" s="1109">
        <v>-1.9684534711549759</v>
      </c>
      <c r="BF139" s="1109">
        <v>-1.0381576772884205</v>
      </c>
      <c r="BG139" s="1109">
        <v>0.276435300548035</v>
      </c>
      <c r="BH139" s="1109">
        <v>4.2741967403025369E-2</v>
      </c>
      <c r="BI139" s="1109">
        <v>6.0905441462464023E-2</v>
      </c>
      <c r="BJ139" s="1109">
        <v>-1.5597032761893883</v>
      </c>
      <c r="BK139" s="1109">
        <v>-0.82839681127543618</v>
      </c>
      <c r="BL139" s="1109">
        <v>0.57975488542002807</v>
      </c>
      <c r="BM139" s="1109">
        <v>-0.21613775726060666</v>
      </c>
      <c r="BN139" s="1109">
        <v>-0.76517956585703184</v>
      </c>
      <c r="BO139" s="1109">
        <v>-2.0001473868016907E-2</v>
      </c>
      <c r="BP139" s="1109">
        <v>0.16729359083606185</v>
      </c>
      <c r="BQ139" s="1109">
        <v>-1.9202923931924682</v>
      </c>
      <c r="BR139" s="1109">
        <v>-2.870499905440056</v>
      </c>
      <c r="BS139" s="1109">
        <v>-1.4349411649094796</v>
      </c>
      <c r="BT139" s="1109">
        <v>-1.9787419847307048</v>
      </c>
      <c r="BU139" s="1109">
        <v>-21.82939454343402</v>
      </c>
      <c r="BV139" s="1109">
        <v>-23.088553315473405</v>
      </c>
      <c r="BW139" s="1109">
        <v>-21.108125859841898</v>
      </c>
      <c r="BX139" s="1109">
        <v>-19.311447032358537</v>
      </c>
      <c r="BY139" s="1109">
        <v>-5.2718008639642511</v>
      </c>
      <c r="BZ139" s="1109">
        <v>-5.3299738999278468</v>
      </c>
      <c r="CA139" s="1109">
        <v>-4.5879681568141804</v>
      </c>
      <c r="CB139" s="1109">
        <v>-4.3666675086357669</v>
      </c>
      <c r="CC139" s="1109">
        <v>-5.4380235113397406</v>
      </c>
      <c r="CD139" s="1109">
        <v>-5.4907209748850416</v>
      </c>
      <c r="CE139" s="1109">
        <v>-4.7275356625161908</v>
      </c>
      <c r="CF139" s="1109">
        <v>-4.5306851039072642</v>
      </c>
    </row>
    <row r="140" spans="3:88" ht="14.45" outlineLevel="1">
      <c r="D140" s="1432"/>
      <c r="E140" s="1440"/>
      <c r="F140" s="1107"/>
    </row>
    <row r="141" spans="3:88" ht="14.45">
      <c r="D141" s="1435" t="s">
        <v>1108</v>
      </c>
      <c r="E141" s="1433" t="s">
        <v>1067</v>
      </c>
      <c r="F141" s="1106" t="s">
        <v>1068</v>
      </c>
      <c r="G141" s="1108">
        <v>29.528734533042165</v>
      </c>
      <c r="I141" s="1108">
        <v>42.720362351209197</v>
      </c>
      <c r="K141" s="1108">
        <v>51.640824278505399</v>
      </c>
      <c r="M141" s="1108">
        <v>65.365233433468632</v>
      </c>
      <c r="O141" s="1108">
        <v>76.002648068956759</v>
      </c>
      <c r="Q141" s="1108">
        <v>86.906654256452171</v>
      </c>
      <c r="S141" s="1108">
        <v>120.09332854663077</v>
      </c>
      <c r="T141" s="1108">
        <v>143.06793547872522</v>
      </c>
      <c r="U141" s="1108">
        <v>166.96081660332311</v>
      </c>
      <c r="V141" s="1108">
        <v>191.62924314105771</v>
      </c>
      <c r="W141" s="1108">
        <v>245.4033851155221</v>
      </c>
      <c r="X141" s="1108">
        <v>319.6959359988029</v>
      </c>
      <c r="Y141" s="1108">
        <v>378.24738541403508</v>
      </c>
      <c r="Z141" s="1108">
        <v>442.45710829132207</v>
      </c>
      <c r="AA141" s="1108">
        <v>519.21108254435933</v>
      </c>
      <c r="AB141" s="1108">
        <v>658.70801574620089</v>
      </c>
      <c r="AC141" s="1108">
        <v>811.41105774531002</v>
      </c>
      <c r="AD141" s="1108">
        <v>842.61233252092336</v>
      </c>
      <c r="AE141" s="1108">
        <v>989.48344752810476</v>
      </c>
      <c r="AF141" s="1108">
        <v>1295.745337170302</v>
      </c>
      <c r="AG141" s="1108">
        <v>1542.8557865160546</v>
      </c>
      <c r="AH141" s="1108">
        <v>1678.1076319210672</v>
      </c>
      <c r="AI141" s="1108">
        <v>1908.3643867994663</v>
      </c>
      <c r="AJ141" s="1108">
        <v>2473.4224949490526</v>
      </c>
      <c r="AK141" s="1108">
        <v>2714.5637181541724</v>
      </c>
      <c r="AL141" s="1108">
        <v>2980.0382221601849</v>
      </c>
      <c r="AM141" s="1108">
        <v>3303.4116490372553</v>
      </c>
      <c r="AN141" s="1108">
        <v>4023.4569447866184</v>
      </c>
      <c r="AO141" s="1108">
        <v>4318.4699362640222</v>
      </c>
      <c r="AP141" s="1108">
        <v>4827.9539634351177</v>
      </c>
      <c r="AQ141" s="1108">
        <v>5246.5172272705677</v>
      </c>
      <c r="AR141" s="1108">
        <v>5907.4284904647411</v>
      </c>
      <c r="AS141" s="1108">
        <v>6387.7208123885985</v>
      </c>
      <c r="AT141" s="1108">
        <v>7239.6495255537848</v>
      </c>
      <c r="AU141" s="1108">
        <v>7858.0017297963759</v>
      </c>
      <c r="AV141" s="1108">
        <v>8927.7595417011344</v>
      </c>
      <c r="AW141" s="1108">
        <v>9578.9385462084992</v>
      </c>
      <c r="AX141" s="1108">
        <v>10560.788326958758</v>
      </c>
      <c r="AY141" s="1108">
        <v>11429.030011195948</v>
      </c>
      <c r="AZ141" s="1108">
        <v>12451.041900270982</v>
      </c>
      <c r="BA141" s="1108">
        <v>12933.9797018963</v>
      </c>
      <c r="BB141" s="1108">
        <v>13844.071671288053</v>
      </c>
      <c r="BC141" s="1108">
        <v>14517.063107027399</v>
      </c>
      <c r="BD141" s="1108">
        <v>15690.918573782228</v>
      </c>
      <c r="BE141" s="1108">
        <v>16338.960093015945</v>
      </c>
      <c r="BF141" s="1108">
        <v>17384.020398888399</v>
      </c>
      <c r="BG141" s="1108">
        <v>18190.0733932722</v>
      </c>
      <c r="BH141" s="1108">
        <v>19619.240201783221</v>
      </c>
      <c r="BI141" s="1108">
        <v>20519.500124862534</v>
      </c>
      <c r="BJ141" s="1108">
        <v>21856.062463305349</v>
      </c>
      <c r="BK141" s="1108">
        <v>22734.727540832188</v>
      </c>
      <c r="BL141" s="1108">
        <v>24391.400669562761</v>
      </c>
      <c r="BM141" s="1108">
        <v>25165.227551249685</v>
      </c>
      <c r="BN141" s="1108">
        <v>26721.561680498329</v>
      </c>
      <c r="BO141" s="1108">
        <v>27621.509490516284</v>
      </c>
      <c r="BP141" s="1108">
        <v>29856.824445452457</v>
      </c>
      <c r="BQ141" s="1108">
        <v>30616.06343304722</v>
      </c>
      <c r="BR141" s="1108">
        <v>32510.84951107276</v>
      </c>
      <c r="BS141" s="1108">
        <v>33436.578365609021</v>
      </c>
      <c r="BT141" s="1108">
        <v>36210.979011687778</v>
      </c>
      <c r="BU141" s="1108">
        <v>31738.48345438845</v>
      </c>
      <c r="BV141" s="1108">
        <v>33432.139065256852</v>
      </c>
      <c r="BW141" s="1108">
        <v>34914.1306271145</v>
      </c>
      <c r="BX141" s="1108">
        <v>38387.992541875348</v>
      </c>
      <c r="BY141" s="1108">
        <v>34743.6760374074</v>
      </c>
      <c r="BZ141" s="1108">
        <v>36599.075200231797</v>
      </c>
      <c r="CA141" s="1108">
        <v>38219.237226741447</v>
      </c>
      <c r="CB141" s="1108">
        <v>42022.718446757797</v>
      </c>
      <c r="CC141" s="1108">
        <v>37135.2677566231</v>
      </c>
      <c r="CD141" s="1108">
        <v>39124.4208842917</v>
      </c>
      <c r="CE141" s="1108">
        <v>40846.672398099749</v>
      </c>
      <c r="CF141" s="1108">
        <v>44915.003303996251</v>
      </c>
    </row>
    <row r="142" spans="3:88" ht="14.45" hidden="1" outlineLevel="1">
      <c r="D142" s="1432"/>
      <c r="E142" s="1440"/>
      <c r="F142" s="1106" t="s">
        <v>1069</v>
      </c>
      <c r="O142" s="1109">
        <v>157.3853884050163</v>
      </c>
      <c r="Q142" s="1109">
        <v>103.43145393286272</v>
      </c>
      <c r="S142" s="1109">
        <v>132.55501867854102</v>
      </c>
      <c r="T142" s="1109">
        <v>118.87466465540206</v>
      </c>
      <c r="U142" s="1109">
        <v>119.67763077391795</v>
      </c>
      <c r="V142" s="1109">
        <v>120.50008112794271</v>
      </c>
      <c r="W142" s="1109">
        <v>104.34389494020475</v>
      </c>
      <c r="X142" s="1109">
        <v>123.45743295243328</v>
      </c>
      <c r="Y142" s="1109">
        <v>126.54859571794081</v>
      </c>
      <c r="Z142" s="1109">
        <v>130.89226938376558</v>
      </c>
      <c r="AA142" s="1109">
        <v>111.57453973177427</v>
      </c>
      <c r="AB142" s="1109">
        <v>106.04203606412671</v>
      </c>
      <c r="AC142" s="1109">
        <v>114.51861639628459</v>
      </c>
      <c r="AD142" s="1109">
        <v>90.439325469290822</v>
      </c>
      <c r="AE142" s="1109">
        <v>90.574408134588921</v>
      </c>
      <c r="AF142" s="1109">
        <v>96.71012135816342</v>
      </c>
      <c r="AG142" s="1109">
        <v>90.144781955921331</v>
      </c>
      <c r="AH142" s="1109">
        <v>99.155360912000091</v>
      </c>
      <c r="AI142" s="1109">
        <v>92.864710528193257</v>
      </c>
      <c r="AJ142" s="1109">
        <v>90.888010475160712</v>
      </c>
      <c r="AK142" s="1109">
        <v>75.944099369388809</v>
      </c>
      <c r="AL142" s="1109">
        <v>77.583258992076168</v>
      </c>
      <c r="AM142" s="1109">
        <v>73.10172375294816</v>
      </c>
      <c r="AN142" s="1109">
        <v>62.66759734751637</v>
      </c>
      <c r="AO142" s="1109">
        <v>59.085230064168883</v>
      </c>
      <c r="AP142" s="1109">
        <v>62.009799992947954</v>
      </c>
      <c r="AQ142" s="1109">
        <v>58.821175943955097</v>
      </c>
      <c r="AR142" s="1109">
        <v>46.824697555649827</v>
      </c>
      <c r="AS142" s="1109">
        <v>47.916296898311131</v>
      </c>
      <c r="AT142" s="1109">
        <v>49.952745622344992</v>
      </c>
      <c r="AU142" s="1109">
        <v>49.775582341590805</v>
      </c>
      <c r="AV142" s="1109">
        <v>51.127678584879192</v>
      </c>
      <c r="AW142" s="1109">
        <v>49.958628868543016</v>
      </c>
      <c r="AX142" s="1109">
        <v>45.874303578955761</v>
      </c>
      <c r="AY142" s="1109">
        <v>45.44448326931213</v>
      </c>
      <c r="AZ142" s="1109">
        <v>39.464350961882047</v>
      </c>
      <c r="BA142" s="1109">
        <v>35.025187180220307</v>
      </c>
      <c r="BB142" s="1109">
        <v>31.089377446833062</v>
      </c>
      <c r="BC142" s="1109">
        <v>27.019205416438624</v>
      </c>
      <c r="BD142" s="1109">
        <v>26.020928203933952</v>
      </c>
      <c r="BE142" s="1109">
        <v>26.325852286751523</v>
      </c>
      <c r="BF142" s="1109">
        <v>25.570141585889296</v>
      </c>
      <c r="BG142" s="1109">
        <v>25.301331675459721</v>
      </c>
      <c r="BH142" s="1109">
        <v>25.035638350483698</v>
      </c>
      <c r="BI142" s="1109">
        <v>25.58632867726724</v>
      </c>
      <c r="BJ142" s="1109">
        <v>25.72501620340315</v>
      </c>
      <c r="BK142" s="1109">
        <v>24.984254045070969</v>
      </c>
      <c r="BL142" s="1109">
        <v>24.323880123277107</v>
      </c>
      <c r="BM142" s="1109">
        <v>22.640548737140712</v>
      </c>
      <c r="BN142" s="1109">
        <v>22.261554318678307</v>
      </c>
      <c r="BO142" s="1109">
        <v>21.494790033913112</v>
      </c>
      <c r="BP142" s="1109">
        <v>22.407174765940447</v>
      </c>
      <c r="BQ142" s="1109">
        <v>21.6601891268289</v>
      </c>
      <c r="BR142" s="1109">
        <v>21.665230123131284</v>
      </c>
      <c r="BS142" s="1109">
        <v>21.052683152922231</v>
      </c>
      <c r="BT142" s="1109">
        <v>21.28208436179867</v>
      </c>
      <c r="BU142" s="1109">
        <v>3.6661147629112913</v>
      </c>
      <c r="BV142" s="1109">
        <v>2.8337910821749297</v>
      </c>
      <c r="BW142" s="1109">
        <v>4.4189696844854396</v>
      </c>
      <c r="BX142" s="1109">
        <v>6.0120261578260514</v>
      </c>
      <c r="BY142" s="1109">
        <v>9.4686079986705387</v>
      </c>
      <c r="BZ142" s="1109">
        <v>9.4727296054653873</v>
      </c>
      <c r="CA142" s="1109">
        <v>9.4663866470734419</v>
      </c>
      <c r="CB142" s="1109">
        <v>9.4683927556709993</v>
      </c>
      <c r="CC142" s="1109">
        <v>6.8835310248712585</v>
      </c>
      <c r="CD142" s="1109">
        <v>6.9000259439449136</v>
      </c>
      <c r="CE142" s="1109">
        <v>6.8746405266296717</v>
      </c>
      <c r="CF142" s="1109">
        <v>6.882669575274952</v>
      </c>
    </row>
    <row r="143" spans="3:88" ht="14.45" hidden="1" outlineLevel="1" collapsed="1">
      <c r="D143" s="1432"/>
      <c r="E143" s="1440"/>
      <c r="F143" s="1106"/>
    </row>
    <row r="144" spans="3:88" ht="14.45" collapsed="1">
      <c r="D144" s="1434" t="s">
        <v>1075</v>
      </c>
      <c r="E144" s="1433" t="s">
        <v>1067</v>
      </c>
      <c r="F144" s="1107" t="s">
        <v>1068</v>
      </c>
      <c r="G144" s="1108">
        <v>3447.7166666666667</v>
      </c>
      <c r="I144" s="1108">
        <v>3899.335</v>
      </c>
      <c r="K144" s="1108">
        <v>3830.5768729563301</v>
      </c>
      <c r="M144" s="1108">
        <v>4521.5274390192963</v>
      </c>
      <c r="O144" s="1108">
        <v>3697.1757581914362</v>
      </c>
      <c r="Q144" s="1108">
        <v>4311.2094289993602</v>
      </c>
      <c r="S144" s="1108">
        <v>4107.7405836310263</v>
      </c>
      <c r="T144" s="1108">
        <v>4989.6357040056791</v>
      </c>
      <c r="U144" s="1108">
        <v>4121.476431937579</v>
      </c>
      <c r="V144" s="1108">
        <v>4687.6683578336197</v>
      </c>
      <c r="W144" s="1108">
        <v>4600.3687489534623</v>
      </c>
      <c r="X144" s="1108">
        <v>5225.7543084881609</v>
      </c>
      <c r="Y144" s="1108">
        <v>4178.7458262739055</v>
      </c>
      <c r="Z144" s="1108">
        <v>4760.7142857142899</v>
      </c>
      <c r="AA144" s="1108">
        <v>4488.9830508474597</v>
      </c>
      <c r="AB144" s="1108">
        <v>5652.6785714285697</v>
      </c>
      <c r="AC144" s="1108">
        <v>4689</v>
      </c>
      <c r="AD144" s="1108">
        <v>5332</v>
      </c>
      <c r="AE144" s="1108">
        <v>5297</v>
      </c>
      <c r="AF144" s="1108">
        <v>6331</v>
      </c>
      <c r="AG144" s="1108">
        <v>5496</v>
      </c>
      <c r="AH144" s="1108">
        <v>6299</v>
      </c>
      <c r="AI144" s="1108">
        <v>6343</v>
      </c>
      <c r="AJ144" s="1108">
        <v>7991</v>
      </c>
      <c r="AK144" s="1108">
        <v>7058</v>
      </c>
      <c r="AL144" s="1108">
        <v>7791</v>
      </c>
      <c r="AM144" s="1108">
        <v>8053</v>
      </c>
      <c r="AN144" s="1108">
        <v>9720</v>
      </c>
      <c r="AO144" s="1108">
        <v>9192</v>
      </c>
      <c r="AP144" s="1108">
        <v>10119</v>
      </c>
      <c r="AQ144" s="1108">
        <v>10490</v>
      </c>
      <c r="AR144" s="1108">
        <v>11578</v>
      </c>
      <c r="AS144" s="1108">
        <v>11195</v>
      </c>
      <c r="AT144" s="1108">
        <v>12729</v>
      </c>
      <c r="AU144" s="1108">
        <v>13204</v>
      </c>
      <c r="AV144" s="1108">
        <v>15461</v>
      </c>
      <c r="AW144" s="1108">
        <v>15069</v>
      </c>
      <c r="AX144" s="1108">
        <v>16382</v>
      </c>
      <c r="AY144" s="1108">
        <v>17038</v>
      </c>
      <c r="AZ144" s="1108">
        <v>18831</v>
      </c>
      <c r="BA144" s="1108">
        <v>18388</v>
      </c>
      <c r="BB144" s="1108">
        <v>19594</v>
      </c>
      <c r="BC144" s="1108">
        <v>19950.272390517395</v>
      </c>
      <c r="BD144" s="1108">
        <v>21871.757727970213</v>
      </c>
      <c r="BE144" s="1108">
        <v>21670.920589416852</v>
      </c>
      <c r="BF144" s="1108">
        <v>23050.845645004443</v>
      </c>
      <c r="BG144" s="1108">
        <v>23638.301985174414</v>
      </c>
      <c r="BH144" s="1108">
        <v>25802.72116822773</v>
      </c>
      <c r="BI144" s="1108">
        <v>25854.708075342369</v>
      </c>
      <c r="BJ144" s="1108">
        <v>27434.502050401796</v>
      </c>
      <c r="BK144" s="1108">
        <v>28137.823180808075</v>
      </c>
      <c r="BL144" s="1108">
        <v>30610.730668999251</v>
      </c>
      <c r="BM144" s="1108">
        <v>30488.904102920143</v>
      </c>
      <c r="BN144" s="1108">
        <v>32257.316187780641</v>
      </c>
      <c r="BO144" s="1108">
        <v>33023.524431729711</v>
      </c>
      <c r="BP144" s="1108">
        <v>36086.558985370946</v>
      </c>
      <c r="BQ144" s="1108">
        <v>35837.509828857779</v>
      </c>
      <c r="BR144" s="1108">
        <v>37887.700190458119</v>
      </c>
      <c r="BS144" s="1108">
        <v>38761.077570696361</v>
      </c>
      <c r="BT144" s="1108">
        <v>42317.443178727619</v>
      </c>
      <c r="BU144" s="1108">
        <v>35820.119715583649</v>
      </c>
      <c r="BV144" s="1108">
        <v>37567.552708838899</v>
      </c>
      <c r="BW144" s="1108">
        <v>39114.72783858575</v>
      </c>
      <c r="BX144" s="1108">
        <v>43315.210115747301</v>
      </c>
      <c r="BY144" s="1108">
        <v>38610.136562920998</v>
      </c>
      <c r="BZ144" s="1108">
        <v>40514.072375956952</v>
      </c>
      <c r="CA144" s="1108">
        <v>42227.112375754397</v>
      </c>
      <c r="CB144" s="1108">
        <v>46734.7808117518</v>
      </c>
      <c r="CC144" s="1108">
        <v>40791.469249702648</v>
      </c>
      <c r="CD144" s="1108">
        <v>42824.456488923148</v>
      </c>
      <c r="CE144" s="1108">
        <v>44665.073820133897</v>
      </c>
      <c r="CF144" s="1108">
        <v>49413.576961332546</v>
      </c>
    </row>
    <row r="145" spans="4:84" ht="14.45" hidden="1" outlineLevel="1">
      <c r="D145" s="1432"/>
      <c r="E145" s="1440"/>
      <c r="F145" s="1107" t="s">
        <v>1069</v>
      </c>
      <c r="O145" s="1109">
        <v>7.2354870090282795</v>
      </c>
      <c r="Q145" s="1109">
        <v>10.562683867873885</v>
      </c>
      <c r="S145" s="1109">
        <v>7.2355605922297839</v>
      </c>
      <c r="T145" s="1109">
        <v>10.352879006035932</v>
      </c>
      <c r="U145" s="1109">
        <v>11.47634577031036</v>
      </c>
      <c r="V145" s="1109">
        <v>8.7320955994855574</v>
      </c>
      <c r="W145" s="1109">
        <v>11.992679559306021</v>
      </c>
      <c r="X145" s="1109">
        <v>4.7321812350534076</v>
      </c>
      <c r="Y145" s="1109">
        <v>1.3895358928305981</v>
      </c>
      <c r="Z145" s="1109">
        <v>1.5582571612303218</v>
      </c>
      <c r="AA145" s="1109">
        <v>-2.4212341267499848</v>
      </c>
      <c r="AB145" s="1109">
        <v>8.1696198814199601</v>
      </c>
      <c r="AC145" s="1109">
        <v>12.210701366851898</v>
      </c>
      <c r="AD145" s="1109">
        <v>11.999999999999902</v>
      </c>
      <c r="AE145" s="1109">
        <v>17.999999999999947</v>
      </c>
      <c r="AF145" s="1109">
        <v>12.000000000000032</v>
      </c>
      <c r="AG145" s="1109">
        <v>17.210492642354446</v>
      </c>
      <c r="AH145" s="1109">
        <v>18.135783945986496</v>
      </c>
      <c r="AI145" s="1109">
        <v>19.747026618840856</v>
      </c>
      <c r="AJ145" s="1109">
        <v>26.220186384457435</v>
      </c>
      <c r="AK145" s="1109">
        <v>28.420669577874818</v>
      </c>
      <c r="AL145" s="1109">
        <v>23.686299412605173</v>
      </c>
      <c r="AM145" s="1109">
        <v>26.958852278101848</v>
      </c>
      <c r="AN145" s="1109">
        <v>21.636841446627457</v>
      </c>
      <c r="AO145" s="1109">
        <v>30.23519410597903</v>
      </c>
      <c r="AP145" s="1109">
        <v>29.88063149788217</v>
      </c>
      <c r="AQ145" s="1109">
        <v>30.262014156215074</v>
      </c>
      <c r="AR145" s="1109">
        <v>19.115226337448561</v>
      </c>
      <c r="AS145" s="1109">
        <v>21.790687554395127</v>
      </c>
      <c r="AT145" s="1109">
        <v>25.793062555588499</v>
      </c>
      <c r="AU145" s="1109">
        <v>25.872259294566252</v>
      </c>
      <c r="AV145" s="1109">
        <v>33.537743997236134</v>
      </c>
      <c r="AW145" s="1109">
        <v>34.604734256364452</v>
      </c>
      <c r="AX145" s="1109">
        <v>28.698248094901409</v>
      </c>
      <c r="AY145" s="1109">
        <v>29.036655558921538</v>
      </c>
      <c r="AZ145" s="1109">
        <v>21.796778992303214</v>
      </c>
      <c r="BA145" s="1109">
        <v>22.025350056407195</v>
      </c>
      <c r="BB145" s="1109">
        <v>19.606885606153096</v>
      </c>
      <c r="BC145" s="1109">
        <v>17.092806611793609</v>
      </c>
      <c r="BD145" s="1109">
        <v>16.147616844406631</v>
      </c>
      <c r="BE145" s="1109">
        <v>17.853603379469501</v>
      </c>
      <c r="BF145" s="1109">
        <v>17.642368301543552</v>
      </c>
      <c r="BG145" s="1109">
        <v>18.48611147991134</v>
      </c>
      <c r="BH145" s="1109">
        <v>17.972782476602198</v>
      </c>
      <c r="BI145" s="1109">
        <v>19.305997955475409</v>
      </c>
      <c r="BJ145" s="1109">
        <v>19.017334430623695</v>
      </c>
      <c r="BK145" s="1109">
        <v>19.034874833461778</v>
      </c>
      <c r="BL145" s="1109">
        <v>18.633730409379766</v>
      </c>
      <c r="BM145" s="1109">
        <v>17.923992852958982</v>
      </c>
      <c r="BN145" s="1109">
        <v>17.579375519623156</v>
      </c>
      <c r="BO145" s="1109">
        <v>17.363465608292046</v>
      </c>
      <c r="BP145" s="1109">
        <v>17.888590689268625</v>
      </c>
      <c r="BQ145" s="1109">
        <v>17.542794283069561</v>
      </c>
      <c r="BR145" s="1109">
        <v>17.454595323123371</v>
      </c>
      <c r="BS145" s="1109">
        <v>17.374139307353538</v>
      </c>
      <c r="BT145" s="1109">
        <v>17.266495804941108</v>
      </c>
      <c r="BU145" s="1109">
        <v>-4.8524892932508008E-2</v>
      </c>
      <c r="BV145" s="1109">
        <v>-0.8449905378523036</v>
      </c>
      <c r="BW145" s="1109">
        <v>0.91238502656270459</v>
      </c>
      <c r="BX145" s="1109">
        <v>2.357814797093519</v>
      </c>
      <c r="BY145" s="1109">
        <v>7.7889657251020958</v>
      </c>
      <c r="BZ145" s="1109">
        <v>7.84325689233623</v>
      </c>
      <c r="CA145" s="1109">
        <v>7.9570655585601546</v>
      </c>
      <c r="CB145" s="1109">
        <v>7.8946187421616809</v>
      </c>
      <c r="CC145" s="1109">
        <v>5.649637325749528</v>
      </c>
      <c r="CD145" s="1109">
        <v>5.7026706462056174</v>
      </c>
      <c r="CE145" s="1109">
        <v>5.7734505326471428</v>
      </c>
      <c r="CF145" s="1109">
        <v>5.7319112298203914</v>
      </c>
    </row>
    <row r="146" spans="4:84" ht="14.45" hidden="1" outlineLevel="1" collapsed="1">
      <c r="D146" s="1432"/>
      <c r="E146" s="1440"/>
      <c r="F146" s="1107"/>
    </row>
    <row r="147" spans="4:84" ht="14.45" collapsed="1">
      <c r="D147" s="1434" t="s">
        <v>1076</v>
      </c>
      <c r="E147" s="1433" t="s">
        <v>1067</v>
      </c>
      <c r="F147" s="1106" t="s">
        <v>1068</v>
      </c>
      <c r="G147" s="1108">
        <v>992.97333333333336</v>
      </c>
      <c r="I147" s="1108">
        <v>1103.75</v>
      </c>
      <c r="K147" s="1108">
        <v>1080.7748829810166</v>
      </c>
      <c r="M147" s="1108">
        <v>1207.0690721557032</v>
      </c>
      <c r="O147" s="1108">
        <v>1094.7145129728858</v>
      </c>
      <c r="Q147" s="1108">
        <v>1167.7402597402599</v>
      </c>
      <c r="S147" s="1108">
        <v>1182.98398403138</v>
      </c>
      <c r="T147" s="1108">
        <v>1354.4089784261071</v>
      </c>
      <c r="U147" s="1108">
        <v>1243.8738891033411</v>
      </c>
      <c r="V147" s="1108">
        <v>1287.8194444444443</v>
      </c>
      <c r="W147" s="1108">
        <v>1260.2578133265256</v>
      </c>
      <c r="X147" s="1108">
        <v>1353.3751992320799</v>
      </c>
      <c r="Y147" s="1108">
        <v>1353.720421775171</v>
      </c>
      <c r="Z147" s="1108">
        <v>1413.6735454545455</v>
      </c>
      <c r="AA147" s="1108">
        <v>1396.39000153713</v>
      </c>
      <c r="AB147" s="1108">
        <v>1499.0215382961937</v>
      </c>
      <c r="AC147" s="1108">
        <v>1355</v>
      </c>
      <c r="AD147" s="1108">
        <v>1371</v>
      </c>
      <c r="AE147" s="1108">
        <v>1383</v>
      </c>
      <c r="AF147" s="1108">
        <v>1433</v>
      </c>
      <c r="AG147" s="1108">
        <v>1371</v>
      </c>
      <c r="AH147" s="1108">
        <v>1435</v>
      </c>
      <c r="AI147" s="1108">
        <v>1489</v>
      </c>
      <c r="AJ147" s="1108">
        <v>1551</v>
      </c>
      <c r="AK147" s="1108">
        <v>1450</v>
      </c>
      <c r="AL147" s="1108">
        <v>1521</v>
      </c>
      <c r="AM147" s="1108">
        <v>1542</v>
      </c>
      <c r="AN147" s="1108">
        <v>1611</v>
      </c>
      <c r="AO147" s="1108">
        <v>1545</v>
      </c>
      <c r="AP147" s="1108">
        <v>1612</v>
      </c>
      <c r="AQ147" s="1108">
        <v>1633</v>
      </c>
      <c r="AR147" s="1108">
        <v>1619</v>
      </c>
      <c r="AS147" s="1108">
        <v>1637</v>
      </c>
      <c r="AT147" s="1108">
        <v>1695</v>
      </c>
      <c r="AU147" s="1108">
        <v>1803</v>
      </c>
      <c r="AV147" s="1108">
        <v>1808</v>
      </c>
      <c r="AW147" s="1108">
        <v>1791</v>
      </c>
      <c r="AX147" s="1108">
        <v>1823</v>
      </c>
      <c r="AY147" s="1108">
        <v>1891</v>
      </c>
      <c r="AZ147" s="1108">
        <v>1902</v>
      </c>
      <c r="BA147" s="1108">
        <v>1876</v>
      </c>
      <c r="BB147" s="1108">
        <v>1862</v>
      </c>
      <c r="BC147" s="1108">
        <v>1837.108486949486</v>
      </c>
      <c r="BD147" s="1108">
        <v>1896.8788841143371</v>
      </c>
      <c r="BE147" s="1108">
        <v>1895.7288204621605</v>
      </c>
      <c r="BF147" s="1108">
        <v>1890.7761189118862</v>
      </c>
      <c r="BG147" s="1108">
        <v>1880.9301040943417</v>
      </c>
      <c r="BH147" s="1108">
        <v>1945.2797997234843</v>
      </c>
      <c r="BI147" s="1108">
        <v>1945.9332647083918</v>
      </c>
      <c r="BJ147" s="1108">
        <v>1938.8271594167747</v>
      </c>
      <c r="BK147" s="1108">
        <v>1928.3057238018901</v>
      </c>
      <c r="BL147" s="1108">
        <v>2001.8043689257238</v>
      </c>
      <c r="BM147" s="1108">
        <v>2044.9888375314615</v>
      </c>
      <c r="BN147" s="1108">
        <v>2036.0412987648415</v>
      </c>
      <c r="BO147" s="1108">
        <v>2029.3969642570571</v>
      </c>
      <c r="BP147" s="1108">
        <v>2110.9196435989616</v>
      </c>
      <c r="BQ147" s="1108">
        <v>2122.4185556368338</v>
      </c>
      <c r="BR147" s="1108">
        <v>2105.5859734140281</v>
      </c>
      <c r="BS147" s="1108">
        <v>2113.7314142587561</v>
      </c>
      <c r="BT147" s="1108">
        <v>2185.2523415601559</v>
      </c>
      <c r="BU147" s="1108">
        <v>2307.3540845684001</v>
      </c>
      <c r="BV147" s="1108">
        <v>2267.5022978607999</v>
      </c>
      <c r="BW147" s="1108">
        <v>2318.2040141706302</v>
      </c>
      <c r="BX147" s="1108">
        <v>2392.376260191395</v>
      </c>
      <c r="BY147" s="1108">
        <v>2400.9738071629499</v>
      </c>
      <c r="BZ147" s="1108">
        <v>2359.291729490375</v>
      </c>
      <c r="CA147" s="1108">
        <v>2412.8499983165002</v>
      </c>
      <c r="CB147" s="1108">
        <v>2490.607162094575</v>
      </c>
      <c r="CC147" s="1108">
        <v>2498.6220764382201</v>
      </c>
      <c r="CD147" s="1108">
        <v>2455.0230622035251</v>
      </c>
      <c r="CE147" s="1108">
        <v>2511.5903551727852</v>
      </c>
      <c r="CF147" s="1108">
        <v>2593.1079717597249</v>
      </c>
    </row>
    <row r="148" spans="4:84" ht="14.45" hidden="1" outlineLevel="1">
      <c r="D148" s="1432"/>
      <c r="E148" s="1440"/>
      <c r="F148" s="1106" t="s">
        <v>1069</v>
      </c>
      <c r="O148" s="1109">
        <v>10.246113991602908</v>
      </c>
      <c r="Q148" s="1109">
        <v>5.7975320262976169</v>
      </c>
      <c r="S148" s="1109">
        <v>9.4570203897085445</v>
      </c>
      <c r="T148" s="1109">
        <v>12.206418809759551</v>
      </c>
      <c r="U148" s="1109">
        <v>13.625413234486796</v>
      </c>
      <c r="V148" s="1109">
        <v>10.283038860961561</v>
      </c>
      <c r="W148" s="1109">
        <v>6.5321111983115214</v>
      </c>
      <c r="X148" s="1109">
        <v>-7.632695961809495E-2</v>
      </c>
      <c r="Y148" s="1109">
        <v>8.8310023736420629</v>
      </c>
      <c r="Z148" s="1109">
        <v>9.7726510927464467</v>
      </c>
      <c r="AA148" s="1109">
        <v>10.801931697711552</v>
      </c>
      <c r="AB148" s="1109">
        <v>10.761711840645164</v>
      </c>
      <c r="AC148" s="1109">
        <v>9.4523079082392186E-2</v>
      </c>
      <c r="AD148" s="1109">
        <v>-3.0186279987876907</v>
      </c>
      <c r="AE148" s="1109">
        <v>-0.95890127560283922</v>
      </c>
      <c r="AF148" s="1109">
        <v>-4.4043088514414963</v>
      </c>
      <c r="AG148" s="1109">
        <v>1.1808118081180812</v>
      </c>
      <c r="AH148" s="1109">
        <v>4.6681254558716265</v>
      </c>
      <c r="AI148" s="1109">
        <v>7.664497469269703</v>
      </c>
      <c r="AJ148" s="1109">
        <v>8.2344731332868104</v>
      </c>
      <c r="AK148" s="1109">
        <v>5.7622173595915394</v>
      </c>
      <c r="AL148" s="1109">
        <v>5.9930313588850179</v>
      </c>
      <c r="AM148" s="1109">
        <v>3.5594358629952985</v>
      </c>
      <c r="AN148" s="1109">
        <v>3.8684719535783367</v>
      </c>
      <c r="AO148" s="1109">
        <v>6.5517241379310347</v>
      </c>
      <c r="AP148" s="1109">
        <v>5.982905982905983</v>
      </c>
      <c r="AQ148" s="1109">
        <v>5.9014267185473406</v>
      </c>
      <c r="AR148" s="1109">
        <v>0.49658597144630662</v>
      </c>
      <c r="AS148" s="1109">
        <v>5.9546925566343045</v>
      </c>
      <c r="AT148" s="1109">
        <v>5.1488833746898264</v>
      </c>
      <c r="AU148" s="1109">
        <v>10.41028781383956</v>
      </c>
      <c r="AV148" s="1109">
        <v>11.673872760963558</v>
      </c>
      <c r="AW148" s="1109">
        <v>9.4074526572999382</v>
      </c>
      <c r="AX148" s="1109">
        <v>7.5516224188790559</v>
      </c>
      <c r="AY148" s="1109">
        <v>4.8807542983915697</v>
      </c>
      <c r="AZ148" s="1109">
        <v>5.1991150442477876</v>
      </c>
      <c r="BA148" s="1109">
        <v>4.7459519821328868</v>
      </c>
      <c r="BB148" s="1109">
        <v>2.1393307734503564</v>
      </c>
      <c r="BC148" s="1109">
        <v>-2.8498949259922819</v>
      </c>
      <c r="BD148" s="1109">
        <v>-0.26924899504011057</v>
      </c>
      <c r="BE148" s="1109">
        <v>1.0516428817782759</v>
      </c>
      <c r="BF148" s="1109">
        <v>1.5454414023569396</v>
      </c>
      <c r="BG148" s="1109">
        <v>2.3853581569165478</v>
      </c>
      <c r="BH148" s="1109">
        <v>2.5516081187094795</v>
      </c>
      <c r="BI148" s="1109">
        <v>2.6482925038820673</v>
      </c>
      <c r="BJ148" s="1109">
        <v>2.5413395073204752</v>
      </c>
      <c r="BK148" s="1109">
        <v>2.5187336629055381</v>
      </c>
      <c r="BL148" s="1109">
        <v>2.9057295104937753</v>
      </c>
      <c r="BM148" s="1109">
        <v>5.0903889984075956</v>
      </c>
      <c r="BN148" s="1109">
        <v>5.0140694014885812</v>
      </c>
      <c r="BO148" s="1109">
        <v>5.2424902963962241</v>
      </c>
      <c r="BP148" s="1109">
        <v>5.4508460650325645</v>
      </c>
      <c r="BQ148" s="1109">
        <v>3.7863149511778742</v>
      </c>
      <c r="BR148" s="1109">
        <v>3.4156809437694462</v>
      </c>
      <c r="BS148" s="1109">
        <v>4.1556408867780599</v>
      </c>
      <c r="BT148" s="1109">
        <v>3.5213419035914866</v>
      </c>
      <c r="BU148" s="1109">
        <v>8.7134334761823737</v>
      </c>
      <c r="BV148" s="1109">
        <v>7.6898462704060613</v>
      </c>
      <c r="BW148" s="1109">
        <v>9.6735374481614826</v>
      </c>
      <c r="BX148" s="1109">
        <v>9.4782609171517223</v>
      </c>
      <c r="BY148" s="1109">
        <v>4.057449319143478</v>
      </c>
      <c r="BZ148" s="1109">
        <v>4.0480413941000553</v>
      </c>
      <c r="CA148" s="1109">
        <v>4.0827288524789704</v>
      </c>
      <c r="CB148" s="1109">
        <v>4.1059971852137211</v>
      </c>
      <c r="CC148" s="1109">
        <v>4.0670276778510051</v>
      </c>
      <c r="CD148" s="1109">
        <v>4.0576301572433682</v>
      </c>
      <c r="CE148" s="1109">
        <v>4.0922708384349766</v>
      </c>
      <c r="CF148" s="1109">
        <v>4.1154948570431253</v>
      </c>
    </row>
    <row r="149" spans="4:84" ht="14.45" hidden="1" outlineLevel="1" collapsed="1">
      <c r="D149" s="1432"/>
      <c r="E149" s="1440"/>
      <c r="F149" s="1106"/>
    </row>
    <row r="150" spans="4:84" ht="14.45" collapsed="1">
      <c r="D150" s="1434" t="s">
        <v>1109</v>
      </c>
      <c r="E150" s="1433" t="s">
        <v>1067</v>
      </c>
      <c r="F150" s="1107" t="s">
        <v>1068</v>
      </c>
      <c r="G150" s="1108">
        <v>-1</v>
      </c>
      <c r="I150" s="1108">
        <v>-1</v>
      </c>
      <c r="AK150" s="1108">
        <v>-59</v>
      </c>
      <c r="AL150" s="1108">
        <v>57</v>
      </c>
      <c r="AM150" s="1108">
        <v>72.5</v>
      </c>
      <c r="AN150" s="1108">
        <v>81.25</v>
      </c>
      <c r="AO150" s="1108">
        <v>95</v>
      </c>
      <c r="AP150" s="1108">
        <v>100</v>
      </c>
      <c r="AQ150" s="1108">
        <v>110</v>
      </c>
      <c r="AR150" s="1108">
        <v>119</v>
      </c>
      <c r="AS150" s="1108">
        <v>112.5</v>
      </c>
      <c r="AT150" s="1108">
        <v>130</v>
      </c>
      <c r="AU150" s="1108">
        <v>145</v>
      </c>
      <c r="AV150" s="1108">
        <v>155</v>
      </c>
      <c r="AW150" s="1108">
        <v>167.5</v>
      </c>
      <c r="AX150" s="1108">
        <v>185</v>
      </c>
      <c r="AY150" s="1108">
        <v>197.5</v>
      </c>
      <c r="AZ150" s="1108">
        <v>215</v>
      </c>
      <c r="BA150" s="1108">
        <v>237.5</v>
      </c>
      <c r="BB150" s="1108">
        <v>254</v>
      </c>
      <c r="BC150" s="1108">
        <v>272</v>
      </c>
      <c r="BD150" s="1108">
        <v>295.2</v>
      </c>
      <c r="BE150" s="1108">
        <v>324.3</v>
      </c>
      <c r="BF150" s="1108">
        <v>346.98</v>
      </c>
      <c r="BG150" s="1108">
        <v>373.34</v>
      </c>
      <c r="BH150" s="1108">
        <v>405.28399999999999</v>
      </c>
      <c r="BI150" s="1108">
        <v>441.61200000000002</v>
      </c>
      <c r="BJ150" s="1108">
        <v>472.67759999999998</v>
      </c>
      <c r="BK150" s="1108">
        <v>511.08420000000001</v>
      </c>
      <c r="BL150" s="1108">
        <v>554.93723999999997</v>
      </c>
    </row>
    <row r="151" spans="4:84" ht="14.45" hidden="1" outlineLevel="1">
      <c r="D151" s="1432"/>
      <c r="E151" s="1440"/>
      <c r="F151" s="1107" t="s">
        <v>1069</v>
      </c>
      <c r="AO151" s="1109">
        <v>261.0169491525424</v>
      </c>
      <c r="AP151" s="1109">
        <v>75.438596491228068</v>
      </c>
      <c r="AQ151" s="1109">
        <v>51.724137931034484</v>
      </c>
      <c r="AR151" s="1109">
        <v>46.46153846153846</v>
      </c>
      <c r="AS151" s="1109">
        <v>18.421052631578945</v>
      </c>
      <c r="AT151" s="1109">
        <v>30</v>
      </c>
      <c r="AU151" s="1109">
        <v>31.818181818181817</v>
      </c>
      <c r="AV151" s="1109">
        <v>30.252100840336134</v>
      </c>
      <c r="AW151" s="1109">
        <v>48.888888888888886</v>
      </c>
      <c r="AX151" s="1109">
        <v>42.307692307692307</v>
      </c>
      <c r="AY151" s="1109">
        <v>36.206896551724135</v>
      </c>
      <c r="AZ151" s="1109">
        <v>38.70967741935484</v>
      </c>
      <c r="BA151" s="1109">
        <v>41.791044776119399</v>
      </c>
      <c r="BB151" s="1109">
        <v>37.297297297297298</v>
      </c>
      <c r="BC151" s="1109">
        <v>37.721518987341774</v>
      </c>
      <c r="BD151" s="1109">
        <v>37.302325581395344</v>
      </c>
      <c r="BE151" s="1109">
        <v>36.547368421052632</v>
      </c>
      <c r="BF151" s="1109">
        <v>36.606299212598429</v>
      </c>
      <c r="BG151" s="1109">
        <v>37.257352941176464</v>
      </c>
      <c r="BH151" s="1109">
        <v>37.29132791327914</v>
      </c>
      <c r="BI151" s="1109">
        <v>36.173913043478265</v>
      </c>
      <c r="BJ151" s="1109">
        <v>36.226180183295853</v>
      </c>
      <c r="BK151" s="1109">
        <v>36.895109015910442</v>
      </c>
      <c r="BL151" s="1109">
        <v>36.925523830203019</v>
      </c>
    </row>
    <row r="152" spans="4:84" ht="14.45" hidden="1" outlineLevel="1" collapsed="1">
      <c r="D152" s="1432"/>
      <c r="E152" s="1440"/>
      <c r="F152" s="1107"/>
    </row>
    <row r="153" spans="4:84" ht="14.45" collapsed="1">
      <c r="D153" s="1434" t="s">
        <v>1110</v>
      </c>
      <c r="E153" s="1433" t="s">
        <v>1067</v>
      </c>
      <c r="F153" s="1106" t="s">
        <v>1068</v>
      </c>
      <c r="AL153" s="1108">
        <v>-48</v>
      </c>
      <c r="AM153" s="1108">
        <v>-72</v>
      </c>
      <c r="AN153" s="1108">
        <v>-82.5</v>
      </c>
      <c r="AO153" s="1108">
        <v>-100</v>
      </c>
      <c r="AP153" s="1108">
        <v>-100</v>
      </c>
      <c r="AQ153" s="1108">
        <v>-110</v>
      </c>
      <c r="AR153" s="1108">
        <v>-118</v>
      </c>
      <c r="AS153" s="1108">
        <v>-109.99999999999901</v>
      </c>
      <c r="AT153" s="1108">
        <v>-130.00000000000099</v>
      </c>
      <c r="AU153" s="1108">
        <v>-145.00000000000099</v>
      </c>
      <c r="AV153" s="1108">
        <v>-155</v>
      </c>
      <c r="AW153" s="1108">
        <v>-165</v>
      </c>
      <c r="AX153" s="1108">
        <v>-185</v>
      </c>
      <c r="AY153" s="1108">
        <v>66</v>
      </c>
      <c r="AZ153" s="1108">
        <v>135</v>
      </c>
      <c r="BA153" s="1108">
        <v>135</v>
      </c>
      <c r="BB153" s="1108">
        <v>135</v>
      </c>
      <c r="BC153" s="1108">
        <v>138</v>
      </c>
      <c r="BD153" s="1108">
        <v>140</v>
      </c>
      <c r="BE153" s="1108">
        <v>141.4</v>
      </c>
      <c r="BF153" s="1108">
        <v>142.81399999999999</v>
      </c>
      <c r="BG153" s="1108">
        <v>144.24214000000001</v>
      </c>
      <c r="BH153" s="1108">
        <v>146.40577210000001</v>
      </c>
      <c r="BI153" s="1108">
        <v>147.869829821</v>
      </c>
      <c r="BJ153" s="1108">
        <v>149.34852811920999</v>
      </c>
      <c r="BK153" s="1108">
        <v>150.84201340040201</v>
      </c>
      <c r="BL153" s="1108">
        <v>152.35043353440599</v>
      </c>
    </row>
    <row r="154" spans="4:84" ht="14.45" hidden="1" outlineLevel="1">
      <c r="D154" s="1432"/>
      <c r="E154" s="1440"/>
      <c r="F154" s="1106" t="s">
        <v>1069</v>
      </c>
      <c r="AP154" s="1109">
        <v>-108.33333333333333</v>
      </c>
      <c r="AQ154" s="1109">
        <v>-52.777777777777779</v>
      </c>
      <c r="AR154" s="1109">
        <v>-43.030303030303031</v>
      </c>
      <c r="AS154" s="1109">
        <v>-9.9999999999990052</v>
      </c>
      <c r="AT154" s="1109">
        <v>-30.000000000000991</v>
      </c>
      <c r="AU154" s="1109">
        <v>-31.818181818182723</v>
      </c>
      <c r="AV154" s="1109">
        <v>-31.35593220338983</v>
      </c>
      <c r="AW154" s="1109">
        <v>-50.000000000001357</v>
      </c>
      <c r="AX154" s="1109">
        <v>-42.307692307691219</v>
      </c>
      <c r="AY154" s="1109">
        <v>145.51724137931004</v>
      </c>
      <c r="AZ154" s="1109">
        <v>187.09677419354838</v>
      </c>
      <c r="BA154" s="1109">
        <v>181.81818181818181</v>
      </c>
      <c r="BB154" s="1109">
        <v>172.97297297297297</v>
      </c>
      <c r="BC154" s="1109">
        <v>109.09090909090908</v>
      </c>
      <c r="BD154" s="1109">
        <v>3.7037037037037033</v>
      </c>
      <c r="BE154" s="1109">
        <v>4.7407407407407449</v>
      </c>
      <c r="BF154" s="1109">
        <v>5.7881481481481432</v>
      </c>
      <c r="BG154" s="1109">
        <v>4.5232898550724681</v>
      </c>
      <c r="BH154" s="1109">
        <v>4.5755515000000049</v>
      </c>
      <c r="BI154" s="1109">
        <v>4.5755514999999933</v>
      </c>
      <c r="BJ154" s="1109">
        <v>4.575551499999996</v>
      </c>
      <c r="BK154" s="1109">
        <v>4.5755514999999329</v>
      </c>
      <c r="BL154" s="1109">
        <v>4.0604009999999082</v>
      </c>
    </row>
    <row r="155" spans="4:84" ht="14.45" hidden="1" outlineLevel="1" collapsed="1">
      <c r="D155" s="1432"/>
      <c r="E155" s="1440"/>
      <c r="F155" s="1106"/>
    </row>
    <row r="156" spans="4:84" ht="14.45" collapsed="1">
      <c r="D156" s="1434" t="s">
        <v>1077</v>
      </c>
      <c r="E156" s="1433" t="s">
        <v>1067</v>
      </c>
      <c r="F156" s="1107" t="s">
        <v>1068</v>
      </c>
      <c r="O156" s="1108">
        <v>72.491680331956672</v>
      </c>
      <c r="Q156" s="1108">
        <v>71.345518780821251</v>
      </c>
      <c r="S156" s="1108">
        <v>-9.5337920513563663</v>
      </c>
      <c r="T156" s="1108">
        <v>-312.40226898757123</v>
      </c>
      <c r="U156" s="1108">
        <v>98.79833355758673</v>
      </c>
      <c r="V156" s="1108">
        <v>65.499265780097502</v>
      </c>
      <c r="W156" s="1108">
        <v>33.746905171764276</v>
      </c>
      <c r="X156" s="1108">
        <v>-298.9082920932305</v>
      </c>
      <c r="Y156" s="1108">
        <v>65.580299292349082</v>
      </c>
      <c r="Z156" s="1108">
        <v>84.036376848805119</v>
      </c>
      <c r="AA156" s="1108">
        <v>39.907189031262632</v>
      </c>
      <c r="AB156" s="1108">
        <v>43.134568699826332</v>
      </c>
      <c r="AC156" s="1108">
        <v>53</v>
      </c>
      <c r="AD156" s="1108">
        <v>55</v>
      </c>
      <c r="AE156" s="1108">
        <v>50</v>
      </c>
      <c r="AF156" s="1108">
        <v>58</v>
      </c>
      <c r="AG156" s="1108">
        <v>55</v>
      </c>
      <c r="AH156" s="1108">
        <v>61</v>
      </c>
      <c r="AI156" s="1108">
        <v>64</v>
      </c>
      <c r="AJ156" s="1108">
        <v>64</v>
      </c>
      <c r="AK156" s="1108">
        <v>59</v>
      </c>
      <c r="AL156" s="1108">
        <v>66</v>
      </c>
      <c r="AM156" s="1108">
        <v>54</v>
      </c>
      <c r="AN156" s="1108">
        <v>60</v>
      </c>
      <c r="AO156" s="1108">
        <v>108</v>
      </c>
      <c r="AP156" s="1108">
        <v>138</v>
      </c>
      <c r="AQ156" s="1108">
        <v>158</v>
      </c>
      <c r="AR156" s="1108">
        <v>174</v>
      </c>
      <c r="AS156" s="1108">
        <v>154</v>
      </c>
      <c r="AT156" s="1108">
        <v>177</v>
      </c>
      <c r="AU156" s="1108">
        <v>111</v>
      </c>
      <c r="AV156" s="1108">
        <v>106</v>
      </c>
      <c r="AW156" s="1108">
        <v>104</v>
      </c>
      <c r="AX156" s="1108">
        <v>57</v>
      </c>
      <c r="AY156" s="1108">
        <v>122</v>
      </c>
      <c r="AZ156" s="1108">
        <v>175</v>
      </c>
      <c r="BA156" s="1108">
        <v>61</v>
      </c>
      <c r="BB156" s="1108">
        <v>52</v>
      </c>
      <c r="BC156" s="1108">
        <v>71.527777777777828</v>
      </c>
      <c r="BD156" s="1108">
        <v>83.507068888888838</v>
      </c>
      <c r="BE156" s="1108">
        <v>73.345882352941175</v>
      </c>
      <c r="BF156" s="1108">
        <v>63.315294117647056</v>
      </c>
      <c r="BG156" s="1108">
        <v>73.415176470588236</v>
      </c>
      <c r="BH156" s="1108">
        <v>86.392000941176349</v>
      </c>
      <c r="BI156" s="1108">
        <v>73.260666666666665</v>
      </c>
      <c r="BJ156" s="1108">
        <v>61.282666666666664</v>
      </c>
      <c r="BK156" s="1108">
        <v>73.703000000000003</v>
      </c>
      <c r="BL156" s="1108">
        <v>89.726701028571313</v>
      </c>
      <c r="BM156" s="1108">
        <v>95.769428571428577</v>
      </c>
      <c r="BN156" s="1108">
        <v>74.218285714285713</v>
      </c>
      <c r="BO156" s="1108">
        <v>80.921199999999999</v>
      </c>
      <c r="BP156" s="1108">
        <v>107.12245714285714</v>
      </c>
      <c r="BQ156" s="1108">
        <v>109.6772</v>
      </c>
      <c r="BR156" s="1108">
        <v>83.105599999999995</v>
      </c>
      <c r="BS156" s="1108">
        <v>79.909679999999994</v>
      </c>
      <c r="BT156" s="1108">
        <v>105.01143999999999</v>
      </c>
      <c r="BU156" s="1108">
        <v>30.5</v>
      </c>
      <c r="BV156" s="1108">
        <v>26</v>
      </c>
      <c r="BW156" s="1108">
        <v>61</v>
      </c>
      <c r="BX156" s="1108">
        <v>87.500000000024997</v>
      </c>
      <c r="BY156" s="1108">
        <v>30.5</v>
      </c>
      <c r="BZ156" s="1108">
        <v>26.000000000025</v>
      </c>
      <c r="CA156" s="1108">
        <v>60.999999999975003</v>
      </c>
      <c r="CB156" s="1108">
        <v>87.499999999980005</v>
      </c>
      <c r="CC156" s="1108">
        <v>30.500000000010001</v>
      </c>
      <c r="CD156" s="1108">
        <v>25.999999999980002</v>
      </c>
      <c r="CE156" s="1108">
        <v>61.000000000005002</v>
      </c>
      <c r="CF156" s="1108">
        <v>87.500000000005002</v>
      </c>
    </row>
    <row r="157" spans="4:84" ht="14.45" hidden="1" outlineLevel="1">
      <c r="D157" s="1432"/>
      <c r="E157" s="1440"/>
      <c r="F157" s="1107" t="s">
        <v>1069</v>
      </c>
      <c r="U157" s="1109">
        <v>36.289203264658269</v>
      </c>
      <c r="V157" s="1109">
        <v>-8.1942819964402727</v>
      </c>
      <c r="W157" s="1109">
        <v>453.97148364446576</v>
      </c>
      <c r="X157" s="1109">
        <v>4.3194234593979797</v>
      </c>
      <c r="Y157" s="1109">
        <v>-33.622059268718132</v>
      </c>
      <c r="Z157" s="1109">
        <v>28.301250171174093</v>
      </c>
      <c r="AA157" s="1109">
        <v>18.254366817175903</v>
      </c>
      <c r="AB157" s="1109">
        <v>114.43070327616489</v>
      </c>
      <c r="AC157" s="1109">
        <v>-19.183046475996733</v>
      </c>
      <c r="AD157" s="1109">
        <v>-34.552152219801435</v>
      </c>
      <c r="AE157" s="1109">
        <v>25.29070880144133</v>
      </c>
      <c r="AF157" s="1109">
        <v>34.462918601602986</v>
      </c>
      <c r="AG157" s="1109">
        <v>3.7735849056603774</v>
      </c>
      <c r="AH157" s="1109">
        <v>10.909090909090908</v>
      </c>
      <c r="AI157" s="1109">
        <v>28.000000000000004</v>
      </c>
      <c r="AJ157" s="1109">
        <v>10.344827586206897</v>
      </c>
      <c r="AK157" s="1109">
        <v>7.2727272727272725</v>
      </c>
      <c r="AL157" s="1109">
        <v>8.1967213114754092</v>
      </c>
      <c r="AM157" s="1109">
        <v>-15.625</v>
      </c>
      <c r="AN157" s="1109">
        <v>-6.25</v>
      </c>
      <c r="AO157" s="1109">
        <v>83.050847457627114</v>
      </c>
      <c r="AP157" s="1109">
        <v>109.09090909090908</v>
      </c>
      <c r="AQ157" s="1109">
        <v>192.59259259259258</v>
      </c>
      <c r="AR157" s="1109">
        <v>190</v>
      </c>
      <c r="AS157" s="1109">
        <v>42.592592592592595</v>
      </c>
      <c r="AT157" s="1109">
        <v>28.260869565217391</v>
      </c>
      <c r="AU157" s="1109">
        <v>-29.746835443037973</v>
      </c>
      <c r="AV157" s="1109">
        <v>-39.080459770114942</v>
      </c>
      <c r="AW157" s="1109">
        <v>-32.467532467532465</v>
      </c>
      <c r="AX157" s="1109">
        <v>-67.796610169491515</v>
      </c>
      <c r="AY157" s="1109">
        <v>9.9099099099099099</v>
      </c>
      <c r="AZ157" s="1109">
        <v>65.094339622641513</v>
      </c>
      <c r="BA157" s="1109">
        <v>-41.346153846153847</v>
      </c>
      <c r="BB157" s="1109">
        <v>-8.7719298245614024</v>
      </c>
      <c r="BC157" s="1109">
        <v>-41.370673952641127</v>
      </c>
      <c r="BD157" s="1109">
        <v>-52.281674920634948</v>
      </c>
      <c r="BE157" s="1109">
        <v>20.239151398264219</v>
      </c>
      <c r="BF157" s="1109">
        <v>21.76018099547511</v>
      </c>
      <c r="BG157" s="1109">
        <v>2.6386933181038685</v>
      </c>
      <c r="BH157" s="1109">
        <v>3.4547159787467638</v>
      </c>
      <c r="BI157" s="1109">
        <v>-0.11618332691731793</v>
      </c>
      <c r="BJ157" s="1109">
        <v>-3.2103261610118055</v>
      </c>
      <c r="BK157" s="1109">
        <v>0.39204908746228484</v>
      </c>
      <c r="BL157" s="1109">
        <v>3.8599639446544778</v>
      </c>
      <c r="BM157" s="1109">
        <v>30.724211133889824</v>
      </c>
      <c r="BN157" s="1109">
        <v>21.108120372730273</v>
      </c>
      <c r="BO157" s="1109">
        <v>9.7936311954737203</v>
      </c>
      <c r="BP157" s="1109">
        <v>19.387491030954731</v>
      </c>
      <c r="BQ157" s="1109">
        <v>14.522140975497692</v>
      </c>
      <c r="BR157" s="1109">
        <v>11.974561525076604</v>
      </c>
      <c r="BS157" s="1109">
        <v>-1.2500061788505414</v>
      </c>
      <c r="BT157" s="1109">
        <v>-1.9706578799270118</v>
      </c>
      <c r="BU157" s="1109">
        <v>-72.19112085282994</v>
      </c>
      <c r="BV157" s="1109">
        <v>-68.714502993781394</v>
      </c>
      <c r="BW157" s="1109">
        <v>-23.663816448770657</v>
      </c>
      <c r="BX157" s="1109">
        <v>-16.675745042611545</v>
      </c>
      <c r="BY157" s="1109">
        <v>0</v>
      </c>
      <c r="BZ157" s="1109">
        <v>9.6155562145073551E-11</v>
      </c>
      <c r="CA157" s="1109">
        <v>-4.0978513842689052E-11</v>
      </c>
      <c r="CB157" s="1109">
        <v>-5.1418932603790503E-11</v>
      </c>
      <c r="CC157" s="1109">
        <v>3.2789800019093149E-11</v>
      </c>
      <c r="CD157" s="1109">
        <v>-1.7307181329093799E-10</v>
      </c>
      <c r="CE157" s="1109">
        <v>4.9178875907874952E-11</v>
      </c>
      <c r="CF157" s="1109">
        <v>2.85678782217669E-11</v>
      </c>
    </row>
    <row r="158" spans="4:84" ht="14.45" hidden="1" outlineLevel="1" collapsed="1">
      <c r="D158" s="1432"/>
      <c r="E158" s="1440"/>
      <c r="F158" s="1107"/>
    </row>
    <row r="159" spans="4:84" ht="14.45" collapsed="1">
      <c r="D159" s="1431" t="s">
        <v>1078</v>
      </c>
      <c r="E159" s="1433" t="s">
        <v>1067</v>
      </c>
      <c r="F159" s="1106" t="s">
        <v>1068</v>
      </c>
      <c r="G159" s="1108">
        <v>4553.0256156321429</v>
      </c>
      <c r="I159" s="1108">
        <v>5198.7262404662997</v>
      </c>
      <c r="K159" s="1108">
        <v>4998.4664370917599</v>
      </c>
      <c r="M159" s="1108">
        <v>5724.6368131657437</v>
      </c>
      <c r="O159" s="1108">
        <v>4859</v>
      </c>
      <c r="Q159" s="1108">
        <v>5521</v>
      </c>
      <c r="S159" s="1108">
        <v>5287</v>
      </c>
      <c r="T159" s="1108">
        <v>6065</v>
      </c>
      <c r="U159" s="1108">
        <v>5475</v>
      </c>
      <c r="V159" s="1108">
        <v>6041</v>
      </c>
      <c r="W159" s="1108">
        <v>5903</v>
      </c>
      <c r="X159" s="1108">
        <v>6296</v>
      </c>
      <c r="Y159" s="1108">
        <v>5583</v>
      </c>
      <c r="Z159" s="1108">
        <v>6260</v>
      </c>
      <c r="AA159" s="1108">
        <v>5923</v>
      </c>
      <c r="AB159" s="1108">
        <v>7186</v>
      </c>
      <c r="AC159" s="1108">
        <v>6097</v>
      </c>
      <c r="AD159" s="1108">
        <v>6758</v>
      </c>
      <c r="AE159" s="1108">
        <v>6730</v>
      </c>
      <c r="AF159" s="1108">
        <v>7822</v>
      </c>
      <c r="AG159" s="1108">
        <v>6922</v>
      </c>
      <c r="AH159" s="1108">
        <v>7795</v>
      </c>
      <c r="AI159" s="1108">
        <v>7896</v>
      </c>
      <c r="AJ159" s="1108">
        <v>9606</v>
      </c>
      <c r="AK159" s="1108">
        <v>8567</v>
      </c>
      <c r="AL159" s="1108">
        <v>9378</v>
      </c>
      <c r="AM159" s="1108">
        <v>9649</v>
      </c>
      <c r="AN159" s="1108">
        <v>11391</v>
      </c>
      <c r="AO159" s="1108">
        <v>10845</v>
      </c>
      <c r="AP159" s="1108">
        <v>11869</v>
      </c>
      <c r="AQ159" s="1108">
        <v>12281</v>
      </c>
      <c r="AR159" s="1108">
        <v>13371</v>
      </c>
      <c r="AS159" s="1108">
        <v>12986</v>
      </c>
      <c r="AT159" s="1108">
        <v>14601</v>
      </c>
      <c r="AU159" s="1108">
        <v>15118</v>
      </c>
      <c r="AV159" s="1108">
        <v>17375</v>
      </c>
      <c r="AW159" s="1108">
        <v>16964</v>
      </c>
      <c r="AX159" s="1108">
        <v>18262</v>
      </c>
      <c r="AY159" s="1108">
        <v>19051</v>
      </c>
      <c r="AZ159" s="1108">
        <v>20909</v>
      </c>
      <c r="BA159" s="1108">
        <v>20325</v>
      </c>
      <c r="BB159" s="1108">
        <v>21508</v>
      </c>
      <c r="BC159" s="1108">
        <v>21869.884574423617</v>
      </c>
      <c r="BD159" s="1108">
        <v>23858.676269355645</v>
      </c>
      <c r="BE159" s="1108">
        <v>23589.362182921239</v>
      </c>
      <c r="BF159" s="1108">
        <v>24907.306935713292</v>
      </c>
      <c r="BG159" s="1108">
        <v>25510.651048384534</v>
      </c>
      <c r="BH159" s="1108">
        <v>27682.610028441948</v>
      </c>
      <c r="BI159" s="1108">
        <v>27795.210655362844</v>
      </c>
      <c r="BJ159" s="1108">
        <v>29396.356075926411</v>
      </c>
      <c r="BK159" s="1108">
        <v>30187.460822320019</v>
      </c>
      <c r="BL159" s="1108">
        <v>32814.611989653735</v>
      </c>
      <c r="BM159" s="1108">
        <v>32584.559619023028</v>
      </c>
      <c r="BN159" s="1108">
        <v>34339.360772259774</v>
      </c>
      <c r="BO159" s="1108">
        <v>35113.58125598677</v>
      </c>
      <c r="BP159" s="1108">
        <v>38275.241151112758</v>
      </c>
      <c r="BQ159" s="1108">
        <v>38006.461734494616</v>
      </c>
      <c r="BR159" s="1108">
        <v>40036.890763872179</v>
      </c>
      <c r="BS159" s="1108">
        <v>40926.352788955119</v>
      </c>
      <c r="BT159" s="1108">
        <v>44566.603051287777</v>
      </c>
      <c r="BU159" s="1108">
        <v>38157.973800152053</v>
      </c>
      <c r="BV159" s="1108">
        <v>39861.055006699702</v>
      </c>
      <c r="BW159" s="1108">
        <v>41493.931852756403</v>
      </c>
      <c r="BX159" s="1108">
        <v>45795.086375938699</v>
      </c>
      <c r="BY159" s="1108">
        <v>41041.610370083952</v>
      </c>
      <c r="BZ159" s="1108">
        <v>42899.364105447348</v>
      </c>
      <c r="CA159" s="1108">
        <v>44700.962374070848</v>
      </c>
      <c r="CB159" s="1108">
        <v>49312.887973846351</v>
      </c>
      <c r="CC159" s="1108">
        <v>43320.59132614085</v>
      </c>
      <c r="CD159" s="1108">
        <v>45305.479551126649</v>
      </c>
      <c r="CE159" s="1108">
        <v>47237.664175306702</v>
      </c>
      <c r="CF159" s="1108">
        <v>52094.1849330923</v>
      </c>
    </row>
    <row r="160" spans="4:84" ht="14.45" hidden="1" outlineLevel="1">
      <c r="D160" s="1432"/>
      <c r="E160" s="1440"/>
      <c r="F160" s="1106" t="s">
        <v>1069</v>
      </c>
      <c r="O160" s="1109">
        <v>6.7202429812241578</v>
      </c>
      <c r="Q160" s="1109">
        <v>6.1990907893006106</v>
      </c>
      <c r="S160" s="1109">
        <v>5.7724417386728835</v>
      </c>
      <c r="T160" s="1109">
        <v>5.9455856841690951</v>
      </c>
      <c r="U160" s="1109">
        <v>12.67750565960074</v>
      </c>
      <c r="V160" s="1109">
        <v>9.4185835899293604</v>
      </c>
      <c r="W160" s="1109">
        <v>11.651219973519956</v>
      </c>
      <c r="X160" s="1109">
        <v>3.8087386644682608</v>
      </c>
      <c r="Y160" s="1109">
        <v>1.9726027397260273</v>
      </c>
      <c r="Z160" s="1109">
        <v>3.6252276113226287</v>
      </c>
      <c r="AA160" s="1109">
        <v>0.33881077418261901</v>
      </c>
      <c r="AB160" s="1109">
        <v>14.135959339263025</v>
      </c>
      <c r="AC160" s="1109">
        <v>9.2065197922264019</v>
      </c>
      <c r="AD160" s="1109">
        <v>7.9552715654952078</v>
      </c>
      <c r="AE160" s="1109">
        <v>13.624852270808713</v>
      </c>
      <c r="AF160" s="1109">
        <v>8.850542721959366</v>
      </c>
      <c r="AG160" s="1109">
        <v>13.531244874528456</v>
      </c>
      <c r="AH160" s="1109">
        <v>15.344776561112756</v>
      </c>
      <c r="AI160" s="1109">
        <v>17.325408618127785</v>
      </c>
      <c r="AJ160" s="1109">
        <v>22.807466121196626</v>
      </c>
      <c r="AK160" s="1109">
        <v>23.764807859000289</v>
      </c>
      <c r="AL160" s="1109">
        <v>20.307889672867223</v>
      </c>
      <c r="AM160" s="1109">
        <v>22.20111448834853</v>
      </c>
      <c r="AN160" s="1109">
        <v>18.582136164896941</v>
      </c>
      <c r="AO160" s="1109">
        <v>26.590405042605347</v>
      </c>
      <c r="AP160" s="1109">
        <v>26.562166773299211</v>
      </c>
      <c r="AQ160" s="1109">
        <v>27.277438076484611</v>
      </c>
      <c r="AR160" s="1109">
        <v>17.382143797735054</v>
      </c>
      <c r="AS160" s="1109">
        <v>19.741816505301983</v>
      </c>
      <c r="AT160" s="1109">
        <v>23.017945909512175</v>
      </c>
      <c r="AU160" s="1109">
        <v>23.100724696685937</v>
      </c>
      <c r="AV160" s="1109">
        <v>29.945404233041657</v>
      </c>
      <c r="AW160" s="1109">
        <v>30.63298937317111</v>
      </c>
      <c r="AX160" s="1109">
        <v>25.073625094171632</v>
      </c>
      <c r="AY160" s="1109">
        <v>26.015345945230848</v>
      </c>
      <c r="AZ160" s="1109">
        <v>20.339568345323741</v>
      </c>
      <c r="BA160" s="1109">
        <v>19.812544211270929</v>
      </c>
      <c r="BB160" s="1109">
        <v>17.774613952469608</v>
      </c>
      <c r="BC160" s="1109">
        <v>14.796517633843981</v>
      </c>
      <c r="BD160" s="1109">
        <v>14.107208710869218</v>
      </c>
      <c r="BE160" s="1109">
        <v>16.060822548197979</v>
      </c>
      <c r="BF160" s="1109">
        <v>15.804849059481549</v>
      </c>
      <c r="BG160" s="1109">
        <v>16.647396841859511</v>
      </c>
      <c r="BH160" s="1109">
        <v>16.027434698872238</v>
      </c>
      <c r="BI160" s="1109">
        <v>17.829428535743329</v>
      </c>
      <c r="BJ160" s="1109">
        <v>18.023020922332254</v>
      </c>
      <c r="BK160" s="1109">
        <v>18.33277310353726</v>
      </c>
      <c r="BL160" s="1109">
        <v>18.538721442591623</v>
      </c>
      <c r="BM160" s="1109">
        <v>17.23084247514462</v>
      </c>
      <c r="BN160" s="1109">
        <v>16.815025248593116</v>
      </c>
      <c r="BO160" s="1109">
        <v>16.318432552712327</v>
      </c>
      <c r="BP160" s="1109">
        <v>16.64084634973203</v>
      </c>
      <c r="BQ160" s="1109">
        <v>16.63948256126271</v>
      </c>
      <c r="BR160" s="1109">
        <v>16.591834744387608</v>
      </c>
      <c r="BS160" s="1109">
        <v>16.554197336329192</v>
      </c>
      <c r="BT160" s="1109">
        <v>16.4371580974144</v>
      </c>
      <c r="BU160" s="1109">
        <v>0.39864817387071882</v>
      </c>
      <c r="BV160" s="1109">
        <v>-0.4391843467803575</v>
      </c>
      <c r="BW160" s="1109">
        <v>1.3868303064485574</v>
      </c>
      <c r="BX160" s="1109">
        <v>2.756511020678801</v>
      </c>
      <c r="BY160" s="1109">
        <v>7.5571008697542759</v>
      </c>
      <c r="BZ160" s="1109">
        <v>7.622249582297755</v>
      </c>
      <c r="CA160" s="1109">
        <v>7.7289145138011435</v>
      </c>
      <c r="CB160" s="1109">
        <v>7.681613632147112</v>
      </c>
      <c r="CC160" s="1109">
        <v>5.5528546163434465</v>
      </c>
      <c r="CD160" s="1109">
        <v>5.6087438493610993</v>
      </c>
      <c r="CE160" s="1109">
        <v>5.6748259243458419</v>
      </c>
      <c r="CF160" s="1109">
        <v>5.6401015505744478</v>
      </c>
    </row>
    <row r="161" spans="4:84" ht="14.45" hidden="1" outlineLevel="1" collapsed="1">
      <c r="D161" s="1432"/>
      <c r="E161" s="1440"/>
      <c r="F161" s="1106"/>
    </row>
    <row r="162" spans="4:84" ht="14.45" collapsed="1">
      <c r="D162" s="1431" t="s">
        <v>1111</v>
      </c>
      <c r="E162" s="1433" t="s">
        <v>1067</v>
      </c>
      <c r="F162" s="1107" t="s">
        <v>1068</v>
      </c>
      <c r="G162" s="1108">
        <v>1111.1576020836894</v>
      </c>
      <c r="I162" s="1108">
        <v>1240.7625022852999</v>
      </c>
      <c r="K162" s="1108">
        <v>1274.66924293273</v>
      </c>
      <c r="M162" s="1108">
        <v>1430.045011086155</v>
      </c>
      <c r="O162" s="1108">
        <v>1291.72209990437</v>
      </c>
      <c r="Q162" s="1108">
        <v>1429.7307057750099</v>
      </c>
      <c r="S162" s="1108">
        <v>1394.5562937392867</v>
      </c>
      <c r="T162" s="1108">
        <v>1368.0369406250809</v>
      </c>
      <c r="U162" s="1108">
        <v>1417.6892538333325</v>
      </c>
      <c r="V162" s="1108">
        <v>1527.5813228571426</v>
      </c>
      <c r="W162" s="1108">
        <v>1561.3203277777777</v>
      </c>
      <c r="X162" s="1108">
        <v>1596.00010315962</v>
      </c>
      <c r="Y162" s="1108">
        <v>1456.6192973990187</v>
      </c>
      <c r="Z162" s="1108">
        <v>1639.4031665616521</v>
      </c>
      <c r="AA162" s="1108">
        <v>1758.1192498477933</v>
      </c>
      <c r="AB162" s="1108">
        <v>2180.3718306752644</v>
      </c>
      <c r="AC162" s="1108">
        <v>1983.0704126169001</v>
      </c>
      <c r="AD162" s="1108">
        <v>2132.6602162022737</v>
      </c>
      <c r="AE162" s="1108">
        <v>2164.2830319619593</v>
      </c>
      <c r="AF162" s="1108">
        <v>2526.4205703100611</v>
      </c>
      <c r="AG162" s="1108">
        <v>2319.5699491601599</v>
      </c>
      <c r="AH162" s="1108">
        <v>2508.4054758936318</v>
      </c>
      <c r="AI162" s="1108">
        <v>2559.3532894158952</v>
      </c>
      <c r="AJ162" s="1108">
        <v>3058.3719852377662</v>
      </c>
      <c r="AK162" s="1108">
        <v>2682.1433978896116</v>
      </c>
      <c r="AL162" s="1108">
        <v>2989.9306239237294</v>
      </c>
      <c r="AM162" s="1108">
        <v>3143.1421655109771</v>
      </c>
      <c r="AN162" s="1108">
        <v>3579.3767916291608</v>
      </c>
      <c r="AO162" s="1108">
        <v>3339.9079486650026</v>
      </c>
      <c r="AP162" s="1108">
        <v>3660.1339983878102</v>
      </c>
      <c r="AQ162" s="1108">
        <v>3790.4801697658554</v>
      </c>
      <c r="AR162" s="1108">
        <v>4116.8682001051693</v>
      </c>
      <c r="AS162" s="1108">
        <v>3560.8172576381735</v>
      </c>
      <c r="AT162" s="1108">
        <v>4018.2821670555454</v>
      </c>
      <c r="AU162" s="1108">
        <v>4343.9135534111683</v>
      </c>
      <c r="AV162" s="1108">
        <v>5073.6121383683239</v>
      </c>
      <c r="AW162" s="1108">
        <v>4873.797732969324</v>
      </c>
      <c r="AX162" s="1108">
        <v>5478.9746596436398</v>
      </c>
      <c r="AY162" s="1108">
        <v>5700.9241303960043</v>
      </c>
      <c r="AZ162" s="1108">
        <v>6453.0591059416383</v>
      </c>
      <c r="BA162" s="1108">
        <v>5820.54296243114</v>
      </c>
      <c r="BB162" s="1108">
        <v>6432.3653288304567</v>
      </c>
      <c r="BC162" s="1108">
        <v>6561.2344065653597</v>
      </c>
      <c r="BD162" s="1108">
        <v>7212.3588011780876</v>
      </c>
      <c r="BE162" s="1108">
        <v>7063.3605829805438</v>
      </c>
      <c r="BF162" s="1108">
        <v>7528.0393290417587</v>
      </c>
      <c r="BG162" s="1108">
        <v>7734.0797256949591</v>
      </c>
      <c r="BH162" s="1108">
        <v>8507.5026733390332</v>
      </c>
      <c r="BI162" s="1108">
        <v>8401.8661370146892</v>
      </c>
      <c r="BJ162" s="1108">
        <v>8918.0193763896677</v>
      </c>
      <c r="BK162" s="1108">
        <v>9079.8824175225982</v>
      </c>
      <c r="BL162" s="1108">
        <v>10095.384143451214</v>
      </c>
      <c r="BM162" s="1108">
        <v>9721.5892355862707</v>
      </c>
      <c r="BN162" s="1108">
        <v>10420.921778685874</v>
      </c>
      <c r="BO162" s="1108">
        <v>10472.843618361279</v>
      </c>
      <c r="BP162" s="1108">
        <v>11561.392730462583</v>
      </c>
      <c r="BQ162" s="1108">
        <v>11388.931203512793</v>
      </c>
      <c r="BR162" s="1108">
        <v>12329.100148292942</v>
      </c>
      <c r="BS162" s="1108">
        <v>12131.562980225703</v>
      </c>
      <c r="BT162" s="1108">
        <v>19410.73749587885</v>
      </c>
      <c r="BU162" s="1108">
        <v>9803.3743561184692</v>
      </c>
      <c r="BV162" s="1108">
        <v>10301.3204220179</v>
      </c>
      <c r="BW162" s="1108">
        <v>10612.742200128299</v>
      </c>
      <c r="BX162" s="1108">
        <v>11605.528111158501</v>
      </c>
      <c r="BY162" s="1108">
        <v>10616.3783470669</v>
      </c>
      <c r="BZ162" s="1108">
        <v>11162.690256842199</v>
      </c>
      <c r="CA162" s="1108">
        <v>11499.0525675342</v>
      </c>
      <c r="CB162" s="1108">
        <v>12582.010266998401</v>
      </c>
      <c r="CC162" s="1108">
        <v>11418.188131384901</v>
      </c>
      <c r="CD162" s="1108">
        <v>12012.0303756551</v>
      </c>
      <c r="CE162" s="1108">
        <v>12372.795249603199</v>
      </c>
      <c r="CF162" s="1108">
        <v>13544.2706537799</v>
      </c>
    </row>
    <row r="163" spans="4:84" ht="14.45" hidden="1" outlineLevel="1">
      <c r="D163" s="1432"/>
      <c r="E163" s="1440"/>
      <c r="F163" s="1107" t="s">
        <v>1069</v>
      </c>
      <c r="O163" s="1109">
        <v>16.250124868162573</v>
      </c>
      <c r="Q163" s="1109">
        <v>15.230005995640482</v>
      </c>
      <c r="S163" s="1109">
        <v>9.4053458551116655</v>
      </c>
      <c r="T163" s="1109">
        <v>-4.3360922195013591</v>
      </c>
      <c r="U163" s="1109">
        <v>9.7518772759472192</v>
      </c>
      <c r="V163" s="1109">
        <v>6.8439893391735662</v>
      </c>
      <c r="W163" s="1109">
        <v>11.958214579587825</v>
      </c>
      <c r="X163" s="1109">
        <v>16.663523898000783</v>
      </c>
      <c r="Y163" s="1109">
        <v>2.7460209252783785</v>
      </c>
      <c r="Z163" s="1109">
        <v>7.3201892450060395</v>
      </c>
      <c r="AA163" s="1109">
        <v>12.604647398021063</v>
      </c>
      <c r="AB163" s="1109">
        <v>36.614767527818877</v>
      </c>
      <c r="AC163" s="1109">
        <v>36.141984124330058</v>
      </c>
      <c r="AD163" s="1109">
        <v>30.08759893242965</v>
      </c>
      <c r="AE163" s="1109">
        <v>23.102174789868723</v>
      </c>
      <c r="AF163" s="1109">
        <v>15.871088351367337</v>
      </c>
      <c r="AG163" s="1109">
        <v>16.968612632327474</v>
      </c>
      <c r="AH163" s="1109">
        <v>17.618618138826868</v>
      </c>
      <c r="AI163" s="1109">
        <v>18.254093924850395</v>
      </c>
      <c r="AJ163" s="1109">
        <v>21.055536880085651</v>
      </c>
      <c r="AK163" s="1109">
        <v>15.631063372791479</v>
      </c>
      <c r="AL163" s="1109">
        <v>19.196463755866738</v>
      </c>
      <c r="AM163" s="1109">
        <v>22.810015268674231</v>
      </c>
      <c r="AN163" s="1109">
        <v>17.035364203772296</v>
      </c>
      <c r="AO163" s="1109">
        <v>24.523839825004853</v>
      </c>
      <c r="AP163" s="1109">
        <v>22.415348674029204</v>
      </c>
      <c r="AQ163" s="1109">
        <v>20.595250553983178</v>
      </c>
      <c r="AR163" s="1109">
        <v>15.016340546572302</v>
      </c>
      <c r="AS163" s="1109">
        <v>6.6142334569870647</v>
      </c>
      <c r="AT163" s="1109">
        <v>9.7851108409006287</v>
      </c>
      <c r="AU163" s="1109">
        <v>14.600614140120918</v>
      </c>
      <c r="AV163" s="1109">
        <v>23.239605733278363</v>
      </c>
      <c r="AW163" s="1109">
        <v>36.873009209184382</v>
      </c>
      <c r="AX163" s="1109">
        <v>36.351167784178735</v>
      </c>
      <c r="AY163" s="1109">
        <v>31.239355026280602</v>
      </c>
      <c r="AZ163" s="1109">
        <v>27.188656325174776</v>
      </c>
      <c r="BA163" s="1109">
        <v>19.425205585727472</v>
      </c>
      <c r="BB163" s="1109">
        <v>17.400895759003689</v>
      </c>
      <c r="BC163" s="1109">
        <v>15.09071611008434</v>
      </c>
      <c r="BD163" s="1109">
        <v>11.766507679083954</v>
      </c>
      <c r="BE163" s="1109">
        <v>21.352262642354937</v>
      </c>
      <c r="BF163" s="1109">
        <v>17.033765095716653</v>
      </c>
      <c r="BG163" s="1109">
        <v>17.875375980410283</v>
      </c>
      <c r="BH163" s="1109">
        <v>17.95728565180913</v>
      </c>
      <c r="BI163" s="1109">
        <v>18.949981928705853</v>
      </c>
      <c r="BJ163" s="1109">
        <v>18.46403806613533</v>
      </c>
      <c r="BK163" s="1109">
        <v>17.400941541324876</v>
      </c>
      <c r="BL163" s="1109">
        <v>18.664483939432813</v>
      </c>
      <c r="BM163" s="1109">
        <v>15.707499703637257</v>
      </c>
      <c r="BN163" s="1109">
        <v>16.852423602881139</v>
      </c>
      <c r="BO163" s="1109">
        <v>15.341181050434175</v>
      </c>
      <c r="BP163" s="1109">
        <v>14.52157308904739</v>
      </c>
      <c r="BQ163" s="1109">
        <v>17.150919746980769</v>
      </c>
      <c r="BR163" s="1109">
        <v>18.3110324607743</v>
      </c>
      <c r="BS163" s="1109">
        <v>15.838290175137443</v>
      </c>
      <c r="BT163" s="1109">
        <v>67.892726667215342</v>
      </c>
      <c r="BU163" s="1109">
        <v>-13.921910836596116</v>
      </c>
      <c r="BV163" s="1109">
        <v>-16.447102399081448</v>
      </c>
      <c r="BW163" s="1109">
        <v>-12.519580391851093</v>
      </c>
      <c r="BX163" s="1109">
        <v>-40.210782235231896</v>
      </c>
      <c r="BY163" s="1109">
        <v>8.2931035928564771</v>
      </c>
      <c r="BZ163" s="1109">
        <v>8.3617419858450344</v>
      </c>
      <c r="CA163" s="1109">
        <v>8.3513794144098359</v>
      </c>
      <c r="CB163" s="1109">
        <v>8.4139398611341978</v>
      </c>
      <c r="CC163" s="1109">
        <v>7.5525735623346995</v>
      </c>
      <c r="CD163" s="1109">
        <v>7.6087403598097323</v>
      </c>
      <c r="CE163" s="1109">
        <v>7.5983884492873566</v>
      </c>
      <c r="CF163" s="1109">
        <v>7.6479065456291284</v>
      </c>
    </row>
    <row r="164" spans="4:84" ht="14.45" hidden="1" outlineLevel="1" collapsed="1">
      <c r="D164" s="1432"/>
      <c r="E164" s="1440"/>
      <c r="F164" s="1107"/>
    </row>
    <row r="165" spans="4:84" ht="14.45" collapsed="1">
      <c r="D165" s="1431" t="s">
        <v>1112</v>
      </c>
      <c r="E165" s="1433" t="s">
        <v>1067</v>
      </c>
      <c r="F165" s="1106" t="s">
        <v>1068</v>
      </c>
      <c r="G165" s="1108">
        <v>3347.7548979163098</v>
      </c>
      <c r="I165" s="1108">
        <v>3739.7649977146998</v>
      </c>
      <c r="K165" s="1108">
        <v>3635.9233909732852</v>
      </c>
      <c r="M165" s="1108">
        <v>4277.8965748799401</v>
      </c>
      <c r="O165" s="1108">
        <v>3548.3410365717227</v>
      </c>
      <c r="Q165" s="1108">
        <v>4116.4026706687428</v>
      </c>
      <c r="S165" s="1108">
        <v>3877.0102015705352</v>
      </c>
      <c r="T165" s="1108">
        <v>4694.2075083089676</v>
      </c>
      <c r="U165" s="1108">
        <v>4071.2288527619057</v>
      </c>
      <c r="V165" s="1108">
        <v>4508.6862024489801</v>
      </c>
      <c r="W165" s="1108">
        <v>4324.1036562500003</v>
      </c>
      <c r="X165" s="1108">
        <v>4699.4539621032918</v>
      </c>
      <c r="Y165" s="1108">
        <v>4157.1619526009808</v>
      </c>
      <c r="Z165" s="1108">
        <v>4637.3739445494593</v>
      </c>
      <c r="AA165" s="1108">
        <v>4172.3874168188731</v>
      </c>
      <c r="AB165" s="1108">
        <v>5005.6281693247356</v>
      </c>
      <c r="AC165" s="1108">
        <v>4113.9295873830997</v>
      </c>
      <c r="AD165" s="1108">
        <v>4625.3397837977263</v>
      </c>
      <c r="AE165" s="1108">
        <v>4565.7169680380412</v>
      </c>
      <c r="AF165" s="1108">
        <v>5295.5794296899394</v>
      </c>
      <c r="AG165" s="1108">
        <v>4602.4300508398401</v>
      </c>
      <c r="AH165" s="1108">
        <v>5286.5945241063682</v>
      </c>
      <c r="AI165" s="1108">
        <v>5336.6467105841048</v>
      </c>
      <c r="AJ165" s="1108">
        <v>6547.6280147622338</v>
      </c>
      <c r="AK165" s="1108">
        <v>5884.8566021103879</v>
      </c>
      <c r="AL165" s="1108">
        <v>6388.0693760762706</v>
      </c>
      <c r="AM165" s="1108">
        <v>6505.8578344890229</v>
      </c>
      <c r="AN165" s="1108">
        <v>7811.6232083708392</v>
      </c>
      <c r="AO165" s="1108">
        <v>7505.0920513349974</v>
      </c>
      <c r="AP165" s="1108">
        <v>8208.8660016121903</v>
      </c>
      <c r="AQ165" s="1108">
        <v>8490.519830234145</v>
      </c>
      <c r="AR165" s="1108">
        <v>9254.1317998948307</v>
      </c>
      <c r="AS165" s="1108">
        <v>9425.182742361827</v>
      </c>
      <c r="AT165" s="1108">
        <v>10582.717832944454</v>
      </c>
      <c r="AU165" s="1108">
        <v>10774.086446588837</v>
      </c>
      <c r="AV165" s="1108">
        <v>12301.387861631672</v>
      </c>
      <c r="AW165" s="1108">
        <v>12084.747721576136</v>
      </c>
      <c r="AX165" s="1108">
        <v>12833.979885810901</v>
      </c>
      <c r="AY165" s="1108">
        <v>13349.484960513082</v>
      </c>
      <c r="AZ165" s="1108">
        <v>14454.49089405837</v>
      </c>
      <c r="BA165" s="1108">
        <v>14504.457037568855</v>
      </c>
      <c r="BB165" s="1108">
        <v>15075.634671169555</v>
      </c>
      <c r="BC165" s="1108">
        <v>15301.514371558669</v>
      </c>
      <c r="BD165" s="1108">
        <v>16651.151341058659</v>
      </c>
      <c r="BE165" s="1108">
        <v>16473.789546787972</v>
      </c>
      <c r="BF165" s="1108">
        <v>17412.041898301261</v>
      </c>
      <c r="BG165" s="1108">
        <v>17738.82877230948</v>
      </c>
      <c r="BH165" s="1108">
        <v>19200.827464187249</v>
      </c>
      <c r="BI165" s="1108">
        <v>19336.365310481768</v>
      </c>
      <c r="BJ165" s="1108">
        <v>20466.126001618668</v>
      </c>
      <c r="BK165" s="1108">
        <v>21032.956712706688</v>
      </c>
      <c r="BL165" s="1108">
        <v>22619.055666857799</v>
      </c>
      <c r="BM165" s="1108">
        <v>22767.270254291449</v>
      </c>
      <c r="BN165" s="1108">
        <v>23931.421159518617</v>
      </c>
      <c r="BO165" s="1108">
        <v>24501.485367889232</v>
      </c>
      <c r="BP165" s="1108">
        <v>26435.902057417585</v>
      </c>
      <c r="BQ165" s="1108">
        <v>26737.848051174074</v>
      </c>
      <c r="BR165" s="1108">
        <v>28011.782286014</v>
      </c>
      <c r="BS165" s="1108">
        <v>28819.712576531751</v>
      </c>
      <c r="BT165" s="1108">
        <v>33304.140493217965</v>
      </c>
      <c r="BU165" s="1108">
        <v>25097.638143565699</v>
      </c>
      <c r="BV165" s="1108">
        <v>26537.914068637499</v>
      </c>
      <c r="BW165" s="1108">
        <v>27196.8552790586</v>
      </c>
      <c r="BX165" s="1108">
        <v>29951.894728999399</v>
      </c>
      <c r="BY165" s="1108">
        <v>27025.204883906699</v>
      </c>
      <c r="BZ165" s="1108">
        <v>28592.612853508199</v>
      </c>
      <c r="CA165" s="1108">
        <v>29326.695108716998</v>
      </c>
      <c r="CB165" s="1108">
        <v>32303.979190612099</v>
      </c>
      <c r="CC165" s="1108">
        <v>28968.297199891502</v>
      </c>
      <c r="CD165" s="1108">
        <v>30662.9013965991</v>
      </c>
      <c r="CE165" s="1108">
        <v>31470.3589455404</v>
      </c>
      <c r="CF165" s="1108">
        <v>34670.470978113401</v>
      </c>
    </row>
    <row r="166" spans="4:84" ht="14.45" hidden="1" outlineLevel="1">
      <c r="D166" s="1432"/>
      <c r="E166" s="1440"/>
      <c r="F166" s="1106" t="s">
        <v>1069</v>
      </c>
      <c r="O166" s="1109">
        <v>5.9916614200239273</v>
      </c>
      <c r="Q166" s="1109">
        <v>10.071158834424065</v>
      </c>
      <c r="S166" s="1109">
        <v>6.6306900523752352</v>
      </c>
      <c r="T166" s="1109">
        <v>9.7316736424538579</v>
      </c>
      <c r="U166" s="1109">
        <v>14.736120649084455</v>
      </c>
      <c r="V166" s="1109">
        <v>9.5297657485123466</v>
      </c>
      <c r="W166" s="1109">
        <v>11.531913289739409</v>
      </c>
      <c r="X166" s="1109">
        <v>0.11176441998010857</v>
      </c>
      <c r="Y166" s="1109">
        <v>2.1107410795828496</v>
      </c>
      <c r="Z166" s="1109">
        <v>2.8542181984317292</v>
      </c>
      <c r="AA166" s="1109">
        <v>-3.5086170797926779</v>
      </c>
      <c r="AB166" s="1109">
        <v>6.5151017477871438</v>
      </c>
      <c r="AC166" s="1109">
        <v>-1.0399490255805948</v>
      </c>
      <c r="AD166" s="1109">
        <v>-0.2595037815718389</v>
      </c>
      <c r="AE166" s="1109">
        <v>9.4269661928721806</v>
      </c>
      <c r="AF166" s="1109">
        <v>5.7925049675497267</v>
      </c>
      <c r="AG166" s="1109">
        <v>11.874302976767257</v>
      </c>
      <c r="AH166" s="1109">
        <v>14.296349483879553</v>
      </c>
      <c r="AI166" s="1109">
        <v>16.885184691536935</v>
      </c>
      <c r="AJ166" s="1109">
        <v>23.64327835501096</v>
      </c>
      <c r="AK166" s="1109">
        <v>27.864118239809727</v>
      </c>
      <c r="AL166" s="1109">
        <v>20.835243689435266</v>
      </c>
      <c r="AM166" s="1109">
        <v>21.909097366067655</v>
      </c>
      <c r="AN166" s="1109">
        <v>19.304627427807613</v>
      </c>
      <c r="AO166" s="1109">
        <v>27.532284281040454</v>
      </c>
      <c r="AP166" s="1109">
        <v>28.503081578213909</v>
      </c>
      <c r="AQ166" s="1109">
        <v>30.505769511654258</v>
      </c>
      <c r="AR166" s="1109">
        <v>18.466182418760511</v>
      </c>
      <c r="AS166" s="1109">
        <v>25.583839317271078</v>
      </c>
      <c r="AT166" s="1109">
        <v>28.918145708141029</v>
      </c>
      <c r="AU166" s="1109">
        <v>26.895486519247875</v>
      </c>
      <c r="AV166" s="1109">
        <v>32.928600193175036</v>
      </c>
      <c r="AW166" s="1109">
        <v>28.217648950834629</v>
      </c>
      <c r="AX166" s="1109">
        <v>21.273004613788068</v>
      </c>
      <c r="AY166" s="1109">
        <v>23.903636996894871</v>
      </c>
      <c r="AZ166" s="1109">
        <v>17.502927772420527</v>
      </c>
      <c r="BA166" s="1109">
        <v>20.022836816630971</v>
      </c>
      <c r="BB166" s="1109">
        <v>17.466559908177835</v>
      </c>
      <c r="BC166" s="1109">
        <v>14.622507286382691</v>
      </c>
      <c r="BD166" s="1109">
        <v>15.19707932365327</v>
      </c>
      <c r="BE166" s="1109">
        <v>13.577430055590719</v>
      </c>
      <c r="BF166" s="1109">
        <v>15.497902928092438</v>
      </c>
      <c r="BG166" s="1109">
        <v>15.928582894259877</v>
      </c>
      <c r="BH166" s="1109">
        <v>15.312311268480034</v>
      </c>
      <c r="BI166" s="1109">
        <v>17.37654688111477</v>
      </c>
      <c r="BJ166" s="1109">
        <v>17.5400686556777</v>
      </c>
      <c r="BK166" s="1109">
        <v>18.570154674131473</v>
      </c>
      <c r="BL166" s="1109">
        <v>17.80250465270894</v>
      </c>
      <c r="BM166" s="1109">
        <v>17.743277439787878</v>
      </c>
      <c r="BN166" s="1109">
        <v>16.931856852761872</v>
      </c>
      <c r="BO166" s="1109">
        <v>16.490922805385203</v>
      </c>
      <c r="BP166" s="1109">
        <v>16.874472775414567</v>
      </c>
      <c r="BQ166" s="1109">
        <v>17.439850067814799</v>
      </c>
      <c r="BR166" s="1109">
        <v>17.050224887594851</v>
      </c>
      <c r="BS166" s="1109">
        <v>17.624348662150222</v>
      </c>
      <c r="BT166" s="1109">
        <v>25.980722809771638</v>
      </c>
      <c r="BU166" s="1109">
        <v>-6.1344125543280335</v>
      </c>
      <c r="BV166" s="1109">
        <v>-5.2616010017769863</v>
      </c>
      <c r="BW166" s="1109">
        <v>-5.63106690659595</v>
      </c>
      <c r="BX166" s="1109">
        <v>-10.065552554647716</v>
      </c>
      <c r="BY166" s="1109">
        <v>7.6802714634531162</v>
      </c>
      <c r="BZ166" s="1109">
        <v>7.7425029697377079</v>
      </c>
      <c r="CA166" s="1109">
        <v>7.8311988934189793</v>
      </c>
      <c r="CB166" s="1109">
        <v>7.8528736926128868</v>
      </c>
      <c r="CC166" s="1109">
        <v>7.1899263089098691</v>
      </c>
      <c r="CD166" s="1109">
        <v>7.2406413282264435</v>
      </c>
      <c r="CE166" s="1109">
        <v>7.3095990832810349</v>
      </c>
      <c r="CF166" s="1109">
        <v>7.3256974737930456</v>
      </c>
    </row>
    <row r="167" spans="4:84" ht="14.45" hidden="1" outlineLevel="1" collapsed="1">
      <c r="D167" s="1432"/>
      <c r="E167" s="1440"/>
      <c r="F167" s="1106"/>
    </row>
    <row r="168" spans="4:84" ht="14.45" collapsed="1">
      <c r="D168" s="1431" t="s">
        <v>1113</v>
      </c>
      <c r="E168" s="1433" t="s">
        <v>1067</v>
      </c>
      <c r="F168" s="1107" t="s">
        <v>1068</v>
      </c>
      <c r="G168" s="1108">
        <v>1334.54372813593</v>
      </c>
      <c r="I168" s="1108">
        <v>1738.86605145414</v>
      </c>
      <c r="K168" s="1108">
        <v>1468.6810483674201</v>
      </c>
      <c r="M168" s="1108">
        <v>1830.1125714858999</v>
      </c>
      <c r="O168" s="1108">
        <v>1827</v>
      </c>
      <c r="Q168" s="1108">
        <v>2248</v>
      </c>
      <c r="S168" s="1108">
        <v>1966</v>
      </c>
      <c r="T168" s="1108">
        <v>2402</v>
      </c>
      <c r="U168" s="1108">
        <v>2105</v>
      </c>
      <c r="V168" s="1108">
        <v>2600</v>
      </c>
      <c r="W168" s="1108">
        <v>2533</v>
      </c>
      <c r="X168" s="1108">
        <v>2633</v>
      </c>
      <c r="Y168" s="1108">
        <v>2079</v>
      </c>
      <c r="Z168" s="1108">
        <v>2488</v>
      </c>
      <c r="AA168" s="1108">
        <v>2005</v>
      </c>
      <c r="AB168" s="1108">
        <v>2677</v>
      </c>
      <c r="AC168" s="1108">
        <v>1777</v>
      </c>
      <c r="AD168" s="1108">
        <v>2291</v>
      </c>
      <c r="AE168" s="1108">
        <v>2148</v>
      </c>
      <c r="AF168" s="1108">
        <v>2911</v>
      </c>
      <c r="AG168" s="1108">
        <v>2137</v>
      </c>
      <c r="AH168" s="1108">
        <v>2832</v>
      </c>
      <c r="AI168" s="1108">
        <v>2654</v>
      </c>
      <c r="AJ168" s="1108">
        <v>3901</v>
      </c>
      <c r="AK168" s="1108">
        <v>2931</v>
      </c>
      <c r="AL168" s="1108">
        <v>3279</v>
      </c>
      <c r="AM168" s="1108">
        <v>3208</v>
      </c>
      <c r="AN168" s="1108">
        <v>4502</v>
      </c>
      <c r="AO168" s="1108">
        <v>3889</v>
      </c>
      <c r="AP168" s="1108">
        <v>4531</v>
      </c>
      <c r="AQ168" s="1108">
        <v>4560</v>
      </c>
      <c r="AR168" s="1108">
        <v>5344</v>
      </c>
      <c r="AS168" s="1108">
        <v>5422</v>
      </c>
      <c r="AT168" s="1108">
        <v>6492</v>
      </c>
      <c r="AU168" s="1108">
        <v>6425</v>
      </c>
      <c r="AV168" s="1108">
        <v>7787</v>
      </c>
      <c r="AW168" s="1108">
        <v>7681</v>
      </c>
      <c r="AX168" s="1108">
        <v>8197</v>
      </c>
      <c r="AY168" s="1108">
        <v>8281</v>
      </c>
      <c r="AZ168" s="1108">
        <v>8681</v>
      </c>
      <c r="BA168" s="1108">
        <v>8978</v>
      </c>
      <c r="BB168" s="1108">
        <v>8904</v>
      </c>
      <c r="BC168" s="1108">
        <v>9208.8970447249867</v>
      </c>
      <c r="BD168" s="1108">
        <v>10078.759503694426</v>
      </c>
      <c r="BE168" s="1108">
        <v>10272.124471379871</v>
      </c>
      <c r="BF168" s="1108">
        <v>10762.204954467212</v>
      </c>
      <c r="BG168" s="1108">
        <v>10821.501178259758</v>
      </c>
      <c r="BH168" s="1108">
        <v>11713.844313239555</v>
      </c>
      <c r="BI168" s="1108">
        <v>12199.076355622399</v>
      </c>
      <c r="BJ168" s="1108">
        <v>12705.8133204513</v>
      </c>
      <c r="BK168" s="1108">
        <v>12938.563771287985</v>
      </c>
      <c r="BL168" s="1108">
        <v>13932.552067811301</v>
      </c>
      <c r="BM168" s="1108">
        <v>14995.86413429164</v>
      </c>
      <c r="BN168" s="1108">
        <v>15785.72779726382</v>
      </c>
      <c r="BO168" s="1108">
        <v>15603.27397570778</v>
      </c>
      <c r="BP168" s="1108">
        <v>17088.662557716001</v>
      </c>
      <c r="BQ168" s="1108">
        <v>17398.399960598566</v>
      </c>
      <c r="BR168" s="1108">
        <v>18054.326187981067</v>
      </c>
      <c r="BS168" s="1108">
        <v>18261.898999225399</v>
      </c>
      <c r="BT168" s="1108">
        <v>12137.62188826557</v>
      </c>
      <c r="BU168" s="1108">
        <v>16545.654013682499</v>
      </c>
      <c r="BV168" s="1108">
        <v>17815.037742541801</v>
      </c>
      <c r="BW168" s="1108">
        <v>17909.904120966901</v>
      </c>
      <c r="BX168" s="1108">
        <v>21138.965957644301</v>
      </c>
      <c r="BY168" s="1108">
        <v>17827.021964758598</v>
      </c>
      <c r="BZ168" s="1108">
        <v>19190.1589169904</v>
      </c>
      <c r="CA168" s="1108">
        <v>19329.730127283001</v>
      </c>
      <c r="CB168" s="1108">
        <v>22835.918034815099</v>
      </c>
      <c r="CC168" s="1108">
        <v>19071.3458702643</v>
      </c>
      <c r="CD168" s="1108">
        <v>20524.796335079998</v>
      </c>
      <c r="CE168" s="1108">
        <v>20705.1260532753</v>
      </c>
      <c r="CF168" s="1108">
        <v>24494.454784134799</v>
      </c>
    </row>
    <row r="169" spans="4:84" ht="14.45" hidden="1" outlineLevel="1">
      <c r="D169" s="1432"/>
      <c r="E169" s="1440"/>
      <c r="F169" s="1107" t="s">
        <v>1069</v>
      </c>
      <c r="O169" s="1109">
        <v>36.900722058161804</v>
      </c>
      <c r="Q169" s="1109">
        <v>29.279653146376216</v>
      </c>
      <c r="S169" s="1109">
        <v>33.861603387978462</v>
      </c>
      <c r="T169" s="1109">
        <v>31.248756902957876</v>
      </c>
      <c r="U169" s="1109">
        <v>15.216201423097974</v>
      </c>
      <c r="V169" s="1109">
        <v>15.658362989323843</v>
      </c>
      <c r="W169" s="1109">
        <v>28.840284842319431</v>
      </c>
      <c r="X169" s="1109">
        <v>9.616985845129058</v>
      </c>
      <c r="Y169" s="1109">
        <v>-1.2351543942992875</v>
      </c>
      <c r="Z169" s="1109">
        <v>-4.3076923076923075</v>
      </c>
      <c r="AA169" s="1109">
        <v>-20.844848006316621</v>
      </c>
      <c r="AB169" s="1109">
        <v>1.6710976072920622</v>
      </c>
      <c r="AC169" s="1109">
        <v>-14.526214526214526</v>
      </c>
      <c r="AD169" s="1109">
        <v>-7.918006430868167</v>
      </c>
      <c r="AE169" s="1109">
        <v>7.1321695760598507</v>
      </c>
      <c r="AF169" s="1109">
        <v>8.741128128502055</v>
      </c>
      <c r="AG169" s="1109">
        <v>20.258863252673045</v>
      </c>
      <c r="AH169" s="1109">
        <v>23.614142295940638</v>
      </c>
      <c r="AI169" s="1109">
        <v>23.556797020484172</v>
      </c>
      <c r="AJ169" s="1109">
        <v>34.008931638612161</v>
      </c>
      <c r="AK169" s="1109">
        <v>37.1548900327562</v>
      </c>
      <c r="AL169" s="1109">
        <v>15.783898305084746</v>
      </c>
      <c r="AM169" s="1109">
        <v>20.874152223059532</v>
      </c>
      <c r="AN169" s="1109">
        <v>15.406306075365292</v>
      </c>
      <c r="AO169" s="1109">
        <v>32.685090412828387</v>
      </c>
      <c r="AP169" s="1109">
        <v>38.182372674595918</v>
      </c>
      <c r="AQ169" s="1109">
        <v>42.144638403990022</v>
      </c>
      <c r="AR169" s="1109">
        <v>18.702798756108397</v>
      </c>
      <c r="AS169" s="1109">
        <v>39.418873746464392</v>
      </c>
      <c r="AT169" s="1109">
        <v>43.27962922092253</v>
      </c>
      <c r="AU169" s="1109">
        <v>40.899122807017548</v>
      </c>
      <c r="AV169" s="1109">
        <v>45.71482035928144</v>
      </c>
      <c r="AW169" s="1109">
        <v>41.6635927701955</v>
      </c>
      <c r="AX169" s="1109">
        <v>26.263093037584717</v>
      </c>
      <c r="AY169" s="1109">
        <v>28.88715953307393</v>
      </c>
      <c r="AZ169" s="1109">
        <v>11.480672916399126</v>
      </c>
      <c r="BA169" s="1109">
        <v>16.885822158573102</v>
      </c>
      <c r="BB169" s="1109">
        <v>8.6251067463706246</v>
      </c>
      <c r="BC169" s="1109">
        <v>11.205132770498572</v>
      </c>
      <c r="BD169" s="1109">
        <v>16.101365092667042</v>
      </c>
      <c r="BE169" s="1109">
        <v>14.414395983291062</v>
      </c>
      <c r="BF169" s="1109">
        <v>20.869327880359524</v>
      </c>
      <c r="BG169" s="1109">
        <v>17.511371076284298</v>
      </c>
      <c r="BH169" s="1109">
        <v>16.22307595439478</v>
      </c>
      <c r="BI169" s="1109">
        <v>18.759039472422565</v>
      </c>
      <c r="BJ169" s="1109">
        <v>18.059573983278661</v>
      </c>
      <c r="BK169" s="1109">
        <v>19.563483459035947</v>
      </c>
      <c r="BL169" s="1109">
        <v>18.940901852896015</v>
      </c>
      <c r="BM169" s="1109">
        <v>22.926225700523929</v>
      </c>
      <c r="BN169" s="1109">
        <v>24.240199341313197</v>
      </c>
      <c r="BO169" s="1109">
        <v>20.595100441774402</v>
      </c>
      <c r="BP169" s="1109">
        <v>22.652780872761539</v>
      </c>
      <c r="BQ169" s="1109">
        <v>16.021322978066678</v>
      </c>
      <c r="BR169" s="1109">
        <v>14.371199224089423</v>
      </c>
      <c r="BS169" s="1109">
        <v>17.038892143128066</v>
      </c>
      <c r="BT169" s="1109">
        <v>-28.972663324169272</v>
      </c>
      <c r="BU169" s="1109">
        <v>-4.9012894797639204</v>
      </c>
      <c r="BV169" s="1109">
        <v>-1.3253800942101213</v>
      </c>
      <c r="BW169" s="1109">
        <v>-1.9274823405464472</v>
      </c>
      <c r="BX169" s="1109">
        <v>74.160689402271331</v>
      </c>
      <c r="BY169" s="1109">
        <v>7.744438207256521</v>
      </c>
      <c r="BZ169" s="1109">
        <v>7.7188788164329791</v>
      </c>
      <c r="CA169" s="1109">
        <v>7.9276024970671237</v>
      </c>
      <c r="CB169" s="1109">
        <v>8.0276021096346177</v>
      </c>
      <c r="CC169" s="1109">
        <v>6.9799875041694994</v>
      </c>
      <c r="CD169" s="1109">
        <v>6.954801280503986</v>
      </c>
      <c r="CE169" s="1109">
        <v>7.1154429830915911</v>
      </c>
      <c r="CF169" s="1109">
        <v>7.2628424519265451</v>
      </c>
    </row>
    <row r="170" spans="4:84" ht="14.45" hidden="1" outlineLevel="1" collapsed="1">
      <c r="D170" s="1432"/>
      <c r="E170" s="1440"/>
      <c r="F170" s="1107"/>
    </row>
    <row r="171" spans="4:84" ht="14.45" collapsed="1">
      <c r="D171" s="1105" t="s">
        <v>366</v>
      </c>
      <c r="F171" s="1106" t="s">
        <v>1065</v>
      </c>
    </row>
    <row r="172" spans="4:84" ht="14.45">
      <c r="D172" s="1105" t="s">
        <v>413</v>
      </c>
      <c r="F172" s="1106" t="s">
        <v>1065</v>
      </c>
    </row>
    <row r="173" spans="4:84" ht="14.45">
      <c r="D173" s="1435" t="s">
        <v>1114</v>
      </c>
      <c r="E173" s="1433" t="s">
        <v>1067</v>
      </c>
      <c r="F173" s="1107" t="s">
        <v>1068</v>
      </c>
      <c r="AC173" s="1108">
        <v>250.544642857143</v>
      </c>
      <c r="AD173" s="1108">
        <v>260.41463414634148</v>
      </c>
      <c r="AE173" s="1108">
        <v>319.98387096774201</v>
      </c>
      <c r="AF173" s="1108">
        <v>418.22580645161298</v>
      </c>
      <c r="AG173" s="1108">
        <v>435.41666666666669</v>
      </c>
      <c r="AH173" s="1108">
        <v>485</v>
      </c>
      <c r="AI173" s="1108">
        <v>530.83333333333337</v>
      </c>
      <c r="AJ173" s="1108">
        <v>669.66666666666663</v>
      </c>
      <c r="AK173" s="1108">
        <v>726</v>
      </c>
      <c r="AL173" s="1108">
        <v>791.7</v>
      </c>
      <c r="AM173" s="1108">
        <v>851.94333333333338</v>
      </c>
      <c r="AN173" s="1108">
        <v>1000.49</v>
      </c>
      <c r="AO173" s="1108">
        <v>1014.062</v>
      </c>
      <c r="AP173" s="1108">
        <v>1089.0535749999999</v>
      </c>
      <c r="AQ173" s="1108">
        <v>1159.8379882500001</v>
      </c>
      <c r="AR173" s="1108">
        <v>1284.1695695456251</v>
      </c>
      <c r="AS173" s="1108">
        <v>1313.4693006380251</v>
      </c>
      <c r="AT173" s="1108">
        <v>1417.992365026435</v>
      </c>
      <c r="AU173" s="1108">
        <v>1514.1856508262124</v>
      </c>
      <c r="AV173" s="1108">
        <v>1659.2300935360074</v>
      </c>
      <c r="AW173" s="1108">
        <v>1761.0948516651999</v>
      </c>
      <c r="AX173" s="1108">
        <v>1892.5075287397799</v>
      </c>
      <c r="AY173" s="1108">
        <v>1986.0573017787151</v>
      </c>
      <c r="AZ173" s="1108">
        <v>2065.0691880609475</v>
      </c>
      <c r="BA173" s="1108">
        <v>2136.7280745497451</v>
      </c>
      <c r="BB173" s="1108">
        <v>2180.2774761033852</v>
      </c>
      <c r="BC173" s="1108">
        <v>2277.2002332785801</v>
      </c>
      <c r="BD173" s="1108">
        <v>2366.0126738847976</v>
      </c>
      <c r="BE173" s="1108">
        <v>2439.817198964065</v>
      </c>
      <c r="BF173" s="1108">
        <v>2450.6006637004075</v>
      </c>
      <c r="BG173" s="1108">
        <v>2573.6872423239452</v>
      </c>
      <c r="BH173" s="1108">
        <v>2667.2700119439651</v>
      </c>
      <c r="BI173" s="1108">
        <v>2723.8341358037451</v>
      </c>
      <c r="BJ173" s="1108">
        <v>2737.9556227470025</v>
      </c>
      <c r="BK173" s="1108">
        <v>2947.7647335121965</v>
      </c>
      <c r="BL173" s="1108">
        <v>3054.0035578080301</v>
      </c>
      <c r="BM173" s="1108">
        <v>2980.9824767999999</v>
      </c>
      <c r="BN173" s="1108">
        <v>2705.2000272</v>
      </c>
      <c r="BO173" s="1108">
        <v>3069.6712404479999</v>
      </c>
      <c r="BP173" s="1108">
        <v>3262.1124038399998</v>
      </c>
    </row>
    <row r="174" spans="4:84" ht="14.45" hidden="1" outlineLevel="1">
      <c r="D174" s="1432"/>
      <c r="E174" s="1440"/>
      <c r="F174" s="1107" t="s">
        <v>1069</v>
      </c>
      <c r="AG174" s="1109">
        <v>73.788056971122344</v>
      </c>
      <c r="AH174" s="1109">
        <v>86.241453591832894</v>
      </c>
      <c r="AI174" s="1109">
        <v>65.89377824823157</v>
      </c>
      <c r="AJ174" s="1109">
        <v>60.120838154004332</v>
      </c>
      <c r="AK174" s="1109">
        <v>66.73684210526315</v>
      </c>
      <c r="AL174" s="1109">
        <v>63.237113402061865</v>
      </c>
      <c r="AM174" s="1109">
        <v>60.491679748822605</v>
      </c>
      <c r="AN174" s="1109">
        <v>49.401194624191149</v>
      </c>
      <c r="AO174" s="1109">
        <v>39.677961432506883</v>
      </c>
      <c r="AP174" s="1109">
        <v>37.558870152835652</v>
      </c>
      <c r="AQ174" s="1109">
        <v>36.1402739912279</v>
      </c>
      <c r="AR174" s="1109">
        <v>28.354063463465412</v>
      </c>
      <c r="AS174" s="1109">
        <v>29.525541893693386</v>
      </c>
      <c r="AT174" s="1109">
        <v>30.204096251778534</v>
      </c>
      <c r="AU174" s="1109">
        <v>30.55147927262351</v>
      </c>
      <c r="AV174" s="1109">
        <v>29.206464074918792</v>
      </c>
      <c r="AW174" s="1109">
        <v>34.079635573495196</v>
      </c>
      <c r="AX174" s="1109">
        <v>33.463872966939334</v>
      </c>
      <c r="AY174" s="1109">
        <v>31.163394706258568</v>
      </c>
      <c r="AZ174" s="1109">
        <v>24.459482509749503</v>
      </c>
      <c r="BA174" s="1109">
        <v>21.329528192610741</v>
      </c>
      <c r="BB174" s="1109">
        <v>15.205749144640453</v>
      </c>
      <c r="BC174" s="1109">
        <v>14.65934196556751</v>
      </c>
      <c r="BD174" s="1109">
        <v>14.573046150886068</v>
      </c>
      <c r="BE174" s="1109">
        <v>14.184730758413766</v>
      </c>
      <c r="BF174" s="1109">
        <v>12.398568097861871</v>
      </c>
      <c r="BG174" s="1109">
        <v>13.019804087166301</v>
      </c>
      <c r="BH174" s="1109">
        <v>12.732701789146711</v>
      </c>
      <c r="BI174" s="1109">
        <v>11.640910514126727</v>
      </c>
      <c r="BJ174" s="1109">
        <v>11.7258990133745</v>
      </c>
      <c r="BK174" s="1109">
        <v>14.534691124725516</v>
      </c>
      <c r="BL174" s="1109">
        <v>14.499227454748953</v>
      </c>
      <c r="BM174" s="1109">
        <v>9.4406754661063754</v>
      </c>
      <c r="BN174" s="1109">
        <v>-1.1963523175784221</v>
      </c>
      <c r="BO174" s="1109">
        <v>4.1355575480596301</v>
      </c>
      <c r="BP174" s="1109">
        <v>6.8142961228682077</v>
      </c>
    </row>
    <row r="175" spans="4:84" ht="14.45" hidden="1" outlineLevel="1" collapsed="1">
      <c r="D175" s="1432"/>
      <c r="E175" s="1440"/>
      <c r="F175" s="1107"/>
    </row>
    <row r="176" spans="4:84" ht="14.45" collapsed="1">
      <c r="D176" s="1435" t="s">
        <v>1115</v>
      </c>
      <c r="E176" s="1433" t="s">
        <v>1067</v>
      </c>
      <c r="F176" s="1106" t="s">
        <v>1068</v>
      </c>
      <c r="AC176" s="1108">
        <v>9.0847474348855499</v>
      </c>
      <c r="AD176" s="1108">
        <v>14.223164956590351</v>
      </c>
      <c r="AE176" s="1108">
        <v>20.675022510755149</v>
      </c>
      <c r="AF176" s="1108">
        <v>27.785319652722951</v>
      </c>
      <c r="AG176" s="1108">
        <v>60.559326493028166</v>
      </c>
      <c r="AH176" s="1108">
        <v>76.26177321757433</v>
      </c>
      <c r="AI176" s="1108">
        <v>91.964219942120494</v>
      </c>
      <c r="AJ176" s="1108">
        <v>108</v>
      </c>
      <c r="AK176" s="1108">
        <v>126.02853196527234</v>
      </c>
      <c r="AL176" s="1108">
        <v>148.26423835832668</v>
      </c>
      <c r="AM176" s="1108">
        <v>169.71120599842132</v>
      </c>
      <c r="AN176" s="1108">
        <v>198.26026666666667</v>
      </c>
      <c r="AO176" s="1108">
        <v>192.71758411194625</v>
      </c>
      <c r="AP176" s="1108">
        <v>216.68774387829725</v>
      </c>
      <c r="AQ176" s="1108">
        <v>239.0770261954485</v>
      </c>
      <c r="AR176" s="1108">
        <v>260.38488668773402</v>
      </c>
      <c r="AS176" s="1108">
        <v>276.26090083580652</v>
      </c>
      <c r="AT176" s="1108">
        <v>303.24627831947299</v>
      </c>
      <c r="AU176" s="1108">
        <v>322.08682087743728</v>
      </c>
      <c r="AV176" s="1108">
        <v>352.62731301991153</v>
      </c>
      <c r="AW176" s="1108">
        <v>367.96372111485124</v>
      </c>
      <c r="AX176" s="1108">
        <v>400.88306041246051</v>
      </c>
      <c r="AY176" s="1108">
        <v>423.17222765790751</v>
      </c>
      <c r="AZ176" s="1108">
        <v>436.1419304159885</v>
      </c>
      <c r="BA176" s="1108">
        <v>463.25220230055777</v>
      </c>
      <c r="BB176" s="1108">
        <v>491.46809369326274</v>
      </c>
      <c r="BC176" s="1108">
        <v>499.84835447646026</v>
      </c>
      <c r="BD176" s="1108">
        <v>503.05939739197999</v>
      </c>
      <c r="BE176" s="1108">
        <v>538.03592412771695</v>
      </c>
      <c r="BF176" s="1108">
        <v>560.7989423776105</v>
      </c>
      <c r="BG176" s="1108">
        <v>568.58652863892826</v>
      </c>
      <c r="BH176" s="1108">
        <v>578.90565510072724</v>
      </c>
      <c r="BI176" s="1108">
        <v>609.50698205800802</v>
      </c>
      <c r="BJ176" s="1108">
        <v>633.21179872107473</v>
      </c>
      <c r="BK176" s="1108">
        <v>622.69684528039602</v>
      </c>
      <c r="BL176" s="1108">
        <v>628.20278143617031</v>
      </c>
      <c r="BM176" s="1108">
        <v>824.47334334674599</v>
      </c>
      <c r="BN176" s="1108">
        <v>840.35776968387199</v>
      </c>
      <c r="BO176" s="1108">
        <v>816.65033342453796</v>
      </c>
      <c r="BP176" s="1108">
        <v>776.81791248492095</v>
      </c>
    </row>
    <row r="177" spans="4:84" ht="14.45" hidden="1" outlineLevel="1">
      <c r="D177" s="1432"/>
      <c r="E177" s="1440"/>
      <c r="F177" s="1106" t="s">
        <v>1069</v>
      </c>
      <c r="AG177" s="1109">
        <v>566.60440399784318</v>
      </c>
      <c r="AH177" s="1109">
        <v>436.18005169966187</v>
      </c>
      <c r="AI177" s="1109">
        <v>344.80831831878635</v>
      </c>
      <c r="AJ177" s="1109">
        <v>288.69446653789367</v>
      </c>
      <c r="AK177" s="1109">
        <v>108.10755215347589</v>
      </c>
      <c r="AL177" s="1109">
        <v>94.414884552093753</v>
      </c>
      <c r="AM177" s="1109">
        <v>84.540472485095222</v>
      </c>
      <c r="AN177" s="1109">
        <v>83.574320987654318</v>
      </c>
      <c r="AO177" s="1109">
        <v>52.915836681371765</v>
      </c>
      <c r="AP177" s="1109">
        <v>46.14970290718648</v>
      </c>
      <c r="AQ177" s="1109">
        <v>40.872857975962077</v>
      </c>
      <c r="AR177" s="1109">
        <v>31.33488170149441</v>
      </c>
      <c r="AS177" s="1109">
        <v>43.350126616018301</v>
      </c>
      <c r="AT177" s="1109">
        <v>39.946206874437422</v>
      </c>
      <c r="AU177" s="1109">
        <v>34.720941615748231</v>
      </c>
      <c r="AV177" s="1109">
        <v>35.425414856277357</v>
      </c>
      <c r="AW177" s="1109">
        <v>33.194281203603097</v>
      </c>
      <c r="AX177" s="1109">
        <v>32.197190558799271</v>
      </c>
      <c r="AY177" s="1109">
        <v>31.384521262028276</v>
      </c>
      <c r="AZ177" s="1109">
        <v>23.68353621869365</v>
      </c>
      <c r="BA177" s="1109">
        <v>25.896161963196494</v>
      </c>
      <c r="BB177" s="1109">
        <v>22.596373413134774</v>
      </c>
      <c r="BC177" s="1109">
        <v>18.119366491257015</v>
      </c>
      <c r="BD177" s="1109">
        <v>15.3430482852603</v>
      </c>
      <c r="BE177" s="1109">
        <v>16.14319833899884</v>
      </c>
      <c r="BF177" s="1109">
        <v>14.106887013426112</v>
      </c>
      <c r="BG177" s="1109">
        <v>13.75180563202297</v>
      </c>
      <c r="BH177" s="1109">
        <v>15.076998482079532</v>
      </c>
      <c r="BI177" s="1109">
        <v>13.283696259903554</v>
      </c>
      <c r="BJ177" s="1109">
        <v>12.912445240437966</v>
      </c>
      <c r="BK177" s="1109">
        <v>9.5166371195947992</v>
      </c>
      <c r="BL177" s="1109">
        <v>8.5155717345455137</v>
      </c>
      <c r="BM177" s="1109">
        <v>35.268892337033016</v>
      </c>
      <c r="BN177" s="1109">
        <v>32.713536194552745</v>
      </c>
      <c r="BO177" s="1109">
        <v>31.147337522933178</v>
      </c>
      <c r="BP177" s="1109">
        <v>23.657190869004605</v>
      </c>
    </row>
    <row r="178" spans="4:84" ht="14.45" hidden="1" outlineLevel="1" collapsed="1">
      <c r="D178" s="1432"/>
      <c r="E178" s="1440"/>
      <c r="F178" s="1106"/>
    </row>
    <row r="179" spans="4:84" ht="14.45" collapsed="1">
      <c r="D179" s="1434" t="s">
        <v>1116</v>
      </c>
      <c r="E179" s="1433" t="s">
        <v>1067</v>
      </c>
      <c r="F179" s="1107" t="s">
        <v>1068</v>
      </c>
      <c r="T179" s="1108">
        <v>19.6026305683564</v>
      </c>
      <c r="U179" s="1108">
        <v>23.898809523809501</v>
      </c>
      <c r="V179" s="1108">
        <v>62.164938556067597</v>
      </c>
      <c r="W179" s="1108">
        <v>114.79838709677399</v>
      </c>
      <c r="X179" s="1108">
        <v>117.61578341013799</v>
      </c>
      <c r="Y179" s="1108">
        <v>143.392857142857</v>
      </c>
      <c r="Z179" s="1108">
        <v>186.49481566820299</v>
      </c>
      <c r="AA179" s="1108">
        <v>229.59677419354799</v>
      </c>
      <c r="AB179" s="1108">
        <v>294.03945852534599</v>
      </c>
      <c r="AC179" s="1108">
        <v>297.39432057353332</v>
      </c>
      <c r="AD179" s="1108">
        <v>327.79390051398548</v>
      </c>
      <c r="AE179" s="1108">
        <v>387.35403976164969</v>
      </c>
      <c r="AF179" s="1108">
        <v>491.62198827133767</v>
      </c>
      <c r="AG179" s="1108">
        <v>529.61399706844054</v>
      </c>
      <c r="AH179" s="1108">
        <v>589.33016566467472</v>
      </c>
      <c r="AI179" s="1108">
        <v>649.22663711805171</v>
      </c>
      <c r="AJ179" s="1108">
        <v>809.56013214285713</v>
      </c>
      <c r="AK179" s="1108">
        <v>941.58374020170072</v>
      </c>
      <c r="AL179" s="1108">
        <v>1017.3873083722762</v>
      </c>
      <c r="AM179" s="1108">
        <v>1099.8904251271247</v>
      </c>
      <c r="AN179" s="1108">
        <v>1270.9315279140512</v>
      </c>
      <c r="AO179" s="1108">
        <v>1304.1181897542958</v>
      </c>
      <c r="AP179" s="1108">
        <v>1398.4651366655705</v>
      </c>
      <c r="AQ179" s="1108">
        <v>1497.5965235985182</v>
      </c>
      <c r="AR179" s="1108">
        <v>1634.3804866407331</v>
      </c>
      <c r="AS179" s="1108">
        <v>1702.4503429682557</v>
      </c>
      <c r="AT179" s="1108">
        <v>1841.742196406321</v>
      </c>
      <c r="AU179" s="1108">
        <v>1984.2492656675468</v>
      </c>
      <c r="AV179" s="1108">
        <v>2155.5672637142288</v>
      </c>
      <c r="AW179" s="1108">
        <v>2264.2212472775568</v>
      </c>
      <c r="AX179" s="1108">
        <v>2431.2484762501335</v>
      </c>
      <c r="AY179" s="1108">
        <v>2570.5542193303745</v>
      </c>
      <c r="AZ179" s="1108">
        <v>2494.0895563215445</v>
      </c>
      <c r="BA179" s="1108">
        <v>2735.9000240252258</v>
      </c>
      <c r="BB179" s="1108">
        <v>2839.2794870213675</v>
      </c>
      <c r="BC179" s="1108">
        <v>2966.2918131841493</v>
      </c>
      <c r="BD179" s="1108">
        <v>3066.0283565399818</v>
      </c>
      <c r="BE179" s="1108">
        <v>3126.3649103832263</v>
      </c>
      <c r="BF179" s="1108">
        <v>3209.6711687500679</v>
      </c>
      <c r="BG179" s="1108">
        <v>3332.582282690717</v>
      </c>
      <c r="BH179" s="1108">
        <v>3440.1038019014595</v>
      </c>
      <c r="BI179" s="1108">
        <v>3474.3400668382692</v>
      </c>
      <c r="BJ179" s="1108">
        <v>3556.4305026714119</v>
      </c>
      <c r="BK179" s="1108">
        <v>3735.7716008210159</v>
      </c>
      <c r="BL179" s="1108">
        <v>3833.090624870169</v>
      </c>
      <c r="BM179" s="1108">
        <v>3696.115249883846</v>
      </c>
      <c r="BN179" s="1108">
        <v>3737.0387532958721</v>
      </c>
      <c r="BO179" s="1108">
        <v>3898.6539816232439</v>
      </c>
      <c r="BP179" s="1108">
        <v>3968.4883046877858</v>
      </c>
      <c r="BQ179" s="1108">
        <v>3981.4611225706299</v>
      </c>
      <c r="BR179" s="1108">
        <v>4105.9236663150232</v>
      </c>
      <c r="BS179" s="1108">
        <v>4237.8816418501865</v>
      </c>
      <c r="BT179" s="1108">
        <v>4271.8030616382666</v>
      </c>
    </row>
    <row r="180" spans="4:84" ht="14.45" hidden="1" outlineLevel="1">
      <c r="D180" s="1432"/>
      <c r="E180" s="1440"/>
      <c r="F180" s="1107" t="s">
        <v>1069</v>
      </c>
      <c r="X180" s="1109">
        <v>499.99999999999795</v>
      </c>
      <c r="Y180" s="1109">
        <v>499.99999999999989</v>
      </c>
      <c r="Z180" s="1109">
        <v>200.00000000000031</v>
      </c>
      <c r="AA180" s="1109">
        <v>100</v>
      </c>
      <c r="AB180" s="1109">
        <v>150.00000000000085</v>
      </c>
      <c r="AC180" s="1109">
        <v>107.39828084829244</v>
      </c>
      <c r="AD180" s="1109">
        <v>75.765690504325207</v>
      </c>
      <c r="AE180" s="1109">
        <v>68.71057580064857</v>
      </c>
      <c r="AF180" s="1109">
        <v>67.195923546077481</v>
      </c>
      <c r="AG180" s="1109">
        <v>78.084771776093447</v>
      </c>
      <c r="AH180" s="1109">
        <v>79.786800407389109</v>
      </c>
      <c r="AI180" s="1109">
        <v>67.605490191231752</v>
      </c>
      <c r="AJ180" s="1109">
        <v>64.671261956664551</v>
      </c>
      <c r="AK180" s="1109">
        <v>77.786792912125861</v>
      </c>
      <c r="AL180" s="1109">
        <v>72.63452096072804</v>
      </c>
      <c r="AM180" s="1109">
        <v>69.415480241166819</v>
      </c>
      <c r="AN180" s="1109">
        <v>56.990380016611212</v>
      </c>
      <c r="AO180" s="1109">
        <v>38.502624256758622</v>
      </c>
      <c r="AP180" s="1109">
        <v>37.4565148549949</v>
      </c>
      <c r="AQ180" s="1109">
        <v>36.158701756625149</v>
      </c>
      <c r="AR180" s="1109">
        <v>28.597052692775808</v>
      </c>
      <c r="AS180" s="1109">
        <v>30.544175853341031</v>
      </c>
      <c r="AT180" s="1109">
        <v>31.697397962860759</v>
      </c>
      <c r="AU180" s="1109">
        <v>32.495584384749307</v>
      </c>
      <c r="AV180" s="1109">
        <v>31.888950053774241</v>
      </c>
      <c r="AW180" s="1109">
        <v>32.997785023781809</v>
      </c>
      <c r="AX180" s="1109">
        <v>32.008078057508818</v>
      </c>
      <c r="AY180" s="1109">
        <v>29.547948627592479</v>
      </c>
      <c r="AZ180" s="1109">
        <v>15.704557139358874</v>
      </c>
      <c r="BA180" s="1109">
        <v>20.831832459606311</v>
      </c>
      <c r="BB180" s="1109">
        <v>16.782777028227311</v>
      </c>
      <c r="BC180" s="1109">
        <v>15.395030024181471</v>
      </c>
      <c r="BD180" s="1109">
        <v>22.931766775126238</v>
      </c>
      <c r="BE180" s="1109">
        <v>14.271898933774793</v>
      </c>
      <c r="BF180" s="1109">
        <v>13.045270232176792</v>
      </c>
      <c r="BG180" s="1109">
        <v>12.348430045841486</v>
      </c>
      <c r="BH180" s="1109">
        <v>12.20065184862225</v>
      </c>
      <c r="BI180" s="1109">
        <v>11.130343591669487</v>
      </c>
      <c r="BJ180" s="1109">
        <v>10.803578176401835</v>
      </c>
      <c r="BK180" s="1109">
        <v>12.098405498476247</v>
      </c>
      <c r="BL180" s="1109">
        <v>11.423690841872057</v>
      </c>
      <c r="BM180" s="1109">
        <v>6.3832318880459331</v>
      </c>
      <c r="BN180" s="1109">
        <v>5.0783573723371322</v>
      </c>
      <c r="BO180" s="1109">
        <v>4.3600733183589462</v>
      </c>
      <c r="BP180" s="1109">
        <v>3.5323370373535807</v>
      </c>
      <c r="BQ180" s="1109">
        <v>7.7201562558351267</v>
      </c>
      <c r="BR180" s="1109">
        <v>9.8710486396164345</v>
      </c>
      <c r="BS180" s="1109">
        <v>8.7011481866801041</v>
      </c>
      <c r="BT180" s="1109">
        <v>7.6430805299889535</v>
      </c>
    </row>
    <row r="181" spans="4:84" ht="14.45" hidden="1" outlineLevel="1" collapsed="1">
      <c r="D181" s="1432"/>
      <c r="E181" s="1440"/>
      <c r="F181" s="1107"/>
    </row>
    <row r="182" spans="4:84" ht="14.45" collapsed="1">
      <c r="D182" s="1434" t="s">
        <v>1117</v>
      </c>
      <c r="E182" s="1433" t="s">
        <v>1067</v>
      </c>
      <c r="F182" s="1106" t="s">
        <v>1068</v>
      </c>
      <c r="G182" s="1108">
        <v>35.7491303991265</v>
      </c>
      <c r="I182" s="1108">
        <v>46.887522979627597</v>
      </c>
      <c r="K182" s="1108">
        <v>52.865667228196202</v>
      </c>
      <c r="M182" s="1108">
        <v>53.973568281938299</v>
      </c>
      <c r="O182" s="1108">
        <v>102.973564350054</v>
      </c>
      <c r="Q182" s="1108">
        <v>70.684666231784803</v>
      </c>
      <c r="S182" s="1108">
        <v>132.16416807049001</v>
      </c>
      <c r="T182" s="1108">
        <v>115.331290136489</v>
      </c>
      <c r="U182" s="1108">
        <v>147.074754826244</v>
      </c>
      <c r="V182" s="1108">
        <v>107.51972767571699</v>
      </c>
      <c r="W182" s="1108">
        <v>144.243382321387</v>
      </c>
      <c r="X182" s="1108">
        <v>188.68421658986199</v>
      </c>
      <c r="Y182" s="1108">
        <v>234.45872007076201</v>
      </c>
      <c r="Z182" s="1108">
        <v>198.68937667794901</v>
      </c>
      <c r="AA182" s="1108">
        <v>314.39094158459</v>
      </c>
      <c r="AB182" s="1108">
        <v>324.68654147465401</v>
      </c>
      <c r="AC182" s="1108">
        <v>522.04788437948616</v>
      </c>
      <c r="AD182" s="1108">
        <v>507.59685294667099</v>
      </c>
      <c r="AE182" s="1108">
        <v>611.11414166706095</v>
      </c>
      <c r="AF182" s="1108">
        <v>760.32764238295044</v>
      </c>
      <c r="AG182" s="1108">
        <v>1018.714451317544</v>
      </c>
      <c r="AH182" s="1108">
        <v>1083.7417549067543</v>
      </c>
      <c r="AI182" s="1108">
        <v>1266.9040528635271</v>
      </c>
      <c r="AJ182" s="1108">
        <v>1647.0351908285713</v>
      </c>
      <c r="AK182" s="1108">
        <v>1778.5350179698075</v>
      </c>
      <c r="AL182" s="1108">
        <v>1960.8605743077251</v>
      </c>
      <c r="AM182" s="1108">
        <v>2228.5197558181276</v>
      </c>
      <c r="AN182" s="1108">
        <v>2736.100344102199</v>
      </c>
      <c r="AO182" s="1108">
        <v>3030.1873856605957</v>
      </c>
      <c r="AP182" s="1108">
        <v>3423.0461894580744</v>
      </c>
      <c r="AQ182" s="1108">
        <v>3768.1561380145768</v>
      </c>
      <c r="AR182" s="1108">
        <v>4242.8778465162313</v>
      </c>
      <c r="AS182" s="1108">
        <v>4692.9680131200284</v>
      </c>
      <c r="AT182" s="1108">
        <v>5371.25385655025</v>
      </c>
      <c r="AU182" s="1108">
        <v>5882.1854091760224</v>
      </c>
      <c r="AV182" s="1108">
        <v>6704.675445024789</v>
      </c>
      <c r="AW182" s="1108">
        <v>7332.5646785834115</v>
      </c>
      <c r="AX182" s="1108">
        <v>8107.4661548806052</v>
      </c>
      <c r="AY182" s="1108">
        <v>8895.3587191167207</v>
      </c>
      <c r="AZ182" s="1108">
        <v>9719.4648900184748</v>
      </c>
      <c r="BA182" s="1108">
        <v>10175.241565877624</v>
      </c>
      <c r="BB182" s="1108">
        <v>10968.8112158441</v>
      </c>
      <c r="BC182" s="1108">
        <v>11571.7442140454</v>
      </c>
      <c r="BD182" s="1108">
        <v>12475.174090542367</v>
      </c>
      <c r="BE182" s="1108">
        <v>13106.486537579711</v>
      </c>
      <c r="BF182" s="1108">
        <v>14119.144598755722</v>
      </c>
      <c r="BG182" s="1108">
        <v>14907.794074572912</v>
      </c>
      <c r="BH182" s="1108">
        <v>16100.120481610689</v>
      </c>
      <c r="BI182" s="1108">
        <v>16867.073095850345</v>
      </c>
      <c r="BJ182" s="1108">
        <v>18090.892467488444</v>
      </c>
      <c r="BK182" s="1108">
        <v>19042.794503085461</v>
      </c>
      <c r="BL182" s="1108">
        <v>20557.663260576814</v>
      </c>
      <c r="BM182" s="1108">
        <v>21647.954498786799</v>
      </c>
      <c r="BN182" s="1108">
        <v>23253.596792185519</v>
      </c>
      <c r="BO182" s="1108">
        <v>23892.652998925761</v>
      </c>
      <c r="BP182" s="1108">
        <v>25875.31263579342</v>
      </c>
      <c r="BQ182" s="1108">
        <v>27921.255265236501</v>
      </c>
      <c r="BR182" s="1108">
        <v>29926.369936142866</v>
      </c>
      <c r="BS182" s="1108">
        <v>30446.643774184133</v>
      </c>
      <c r="BT182" s="1108">
        <v>32954.470928602699</v>
      </c>
    </row>
    <row r="183" spans="4:84" ht="14.45" hidden="1" outlineLevel="1">
      <c r="D183" s="1432"/>
      <c r="E183" s="1440"/>
      <c r="F183" s="1106" t="s">
        <v>1069</v>
      </c>
      <c r="O183" s="1109">
        <v>188.04494878725799</v>
      </c>
      <c r="Q183" s="1109">
        <v>50.753679742256693</v>
      </c>
      <c r="S183" s="1109">
        <v>149.99999999999906</v>
      </c>
      <c r="T183" s="1109">
        <v>113.68105501945003</v>
      </c>
      <c r="U183" s="1109">
        <v>42.827681798281724</v>
      </c>
      <c r="V183" s="1109">
        <v>52.111813505838633</v>
      </c>
      <c r="W183" s="1109">
        <v>9.1395530477326687</v>
      </c>
      <c r="X183" s="1109">
        <v>63.601930028323928</v>
      </c>
      <c r="Y183" s="1109">
        <v>59.414659808717374</v>
      </c>
      <c r="Z183" s="1109">
        <v>84.793415099787694</v>
      </c>
      <c r="AA183" s="1109">
        <v>117.95865884793189</v>
      </c>
      <c r="AB183" s="1109">
        <v>72.079333047987134</v>
      </c>
      <c r="AC183" s="1109">
        <v>122.66089494215733</v>
      </c>
      <c r="AD183" s="1109">
        <v>155.47256800217502</v>
      </c>
      <c r="AE183" s="1109">
        <v>94.380327431486961</v>
      </c>
      <c r="AF183" s="1109">
        <v>134.17282371166709</v>
      </c>
      <c r="AG183" s="1109">
        <v>95.13812464318346</v>
      </c>
      <c r="AH183" s="1109">
        <v>113.50442750294476</v>
      </c>
      <c r="AI183" s="1109">
        <v>107.31054421479004</v>
      </c>
      <c r="AJ183" s="1109">
        <v>116.62176922393377</v>
      </c>
      <c r="AK183" s="1109">
        <v>74.586216546703284</v>
      </c>
      <c r="AL183" s="1109">
        <v>80.934301500308862</v>
      </c>
      <c r="AM183" s="1109">
        <v>75.902804224290151</v>
      </c>
      <c r="AN183" s="1109">
        <v>66.122761634847237</v>
      </c>
      <c r="AO183" s="1109">
        <v>70.375469419744434</v>
      </c>
      <c r="AP183" s="1109">
        <v>74.568566185108239</v>
      </c>
      <c r="AQ183" s="1109">
        <v>69.087849823939408</v>
      </c>
      <c r="AR183" s="1109">
        <v>55.07025740711471</v>
      </c>
      <c r="AS183" s="1109">
        <v>54.873854842377625</v>
      </c>
      <c r="AT183" s="1109">
        <v>56.914442846025679</v>
      </c>
      <c r="AU183" s="1109">
        <v>56.102486036454891</v>
      </c>
      <c r="AV183" s="1109">
        <v>58.021882494918067</v>
      </c>
      <c r="AW183" s="1109">
        <v>56.245784290110656</v>
      </c>
      <c r="AX183" s="1109">
        <v>50.941779543589085</v>
      </c>
      <c r="AY183" s="1109">
        <v>51.225405191074792</v>
      </c>
      <c r="AZ183" s="1109">
        <v>44.965479234804917</v>
      </c>
      <c r="BA183" s="1109">
        <v>38.76783924725494</v>
      </c>
      <c r="BB183" s="1109">
        <v>35.292716692267611</v>
      </c>
      <c r="BC183" s="1109">
        <v>30.087437499029107</v>
      </c>
      <c r="BD183" s="1109">
        <v>28.352478574760859</v>
      </c>
      <c r="BE183" s="1109">
        <v>28.807620465070144</v>
      </c>
      <c r="BF183" s="1109">
        <v>28.720827817339632</v>
      </c>
      <c r="BG183" s="1109">
        <v>28.829274125142902</v>
      </c>
      <c r="BH183" s="1109">
        <v>29.057281002727276</v>
      </c>
      <c r="BI183" s="1109">
        <v>28.692560340164793</v>
      </c>
      <c r="BJ183" s="1109">
        <v>28.130230135065975</v>
      </c>
      <c r="BK183" s="1109">
        <v>27.737171628667074</v>
      </c>
      <c r="BL183" s="1109">
        <v>27.68639392517256</v>
      </c>
      <c r="BM183" s="1109">
        <v>28.34446365275225</v>
      </c>
      <c r="BN183" s="1109">
        <v>28.537587816494341</v>
      </c>
      <c r="BO183" s="1109">
        <v>25.468207909582226</v>
      </c>
      <c r="BP183" s="1109">
        <v>25.866993285244629</v>
      </c>
      <c r="BQ183" s="1109">
        <v>28.978722986512523</v>
      </c>
      <c r="BR183" s="1109">
        <v>28.695660304042786</v>
      </c>
      <c r="BS183" s="1109">
        <v>27.430987992639601</v>
      </c>
      <c r="BT183" s="1109">
        <v>27.358735302840948</v>
      </c>
    </row>
    <row r="184" spans="4:84" ht="14.45" hidden="1" outlineLevel="1" collapsed="1">
      <c r="D184" s="1432"/>
      <c r="E184" s="1440"/>
      <c r="F184" s="1106"/>
    </row>
    <row r="185" spans="4:84" ht="14.45" collapsed="1">
      <c r="D185" s="1431" t="s">
        <v>1108</v>
      </c>
      <c r="E185" s="1433" t="s">
        <v>1067</v>
      </c>
      <c r="F185" s="1107" t="s">
        <v>1068</v>
      </c>
      <c r="G185" s="1108">
        <v>29.528734533042165</v>
      </c>
      <c r="I185" s="1108">
        <v>42.720362351209197</v>
      </c>
      <c r="K185" s="1108">
        <v>51.640824278505399</v>
      </c>
      <c r="M185" s="1108">
        <v>65.365233433468632</v>
      </c>
      <c r="O185" s="1108">
        <v>76.002648068956759</v>
      </c>
      <c r="Q185" s="1108">
        <v>86.906654256452171</v>
      </c>
      <c r="S185" s="1108">
        <v>120.09332854663077</v>
      </c>
      <c r="T185" s="1108">
        <v>143.06793547872522</v>
      </c>
      <c r="U185" s="1108">
        <v>166.96081660332311</v>
      </c>
      <c r="V185" s="1108">
        <v>191.62924314105771</v>
      </c>
      <c r="W185" s="1108">
        <v>245.4033851155221</v>
      </c>
      <c r="X185" s="1108">
        <v>319.6959359988029</v>
      </c>
      <c r="Y185" s="1108">
        <v>378.24738541403508</v>
      </c>
      <c r="Z185" s="1108">
        <v>442.45710829132207</v>
      </c>
      <c r="AA185" s="1108">
        <v>519.21108254435933</v>
      </c>
      <c r="AB185" s="1108">
        <v>658.70801574620089</v>
      </c>
      <c r="AC185" s="1108">
        <v>811.41105774531002</v>
      </c>
      <c r="AD185" s="1108">
        <v>842.61233252092336</v>
      </c>
      <c r="AE185" s="1108">
        <v>989.48344752810476</v>
      </c>
      <c r="AF185" s="1108">
        <v>1295.745337170302</v>
      </c>
      <c r="AG185" s="1108">
        <v>1542.8557865160546</v>
      </c>
      <c r="AH185" s="1108">
        <v>1678.1076319210672</v>
      </c>
      <c r="AI185" s="1108">
        <v>1908.3643867994663</v>
      </c>
      <c r="AJ185" s="1108">
        <v>2473.4224949490526</v>
      </c>
      <c r="AK185" s="1108">
        <v>2714.5637181541724</v>
      </c>
      <c r="AL185" s="1108">
        <v>2980.0382221601849</v>
      </c>
      <c r="AM185" s="1108">
        <v>3303.4116490372553</v>
      </c>
      <c r="AN185" s="1108">
        <v>4023.4569447866184</v>
      </c>
      <c r="AO185" s="1108">
        <v>4318.4699362640222</v>
      </c>
      <c r="AP185" s="1108">
        <v>4827.9539634351177</v>
      </c>
      <c r="AQ185" s="1108">
        <v>5246.5172272705677</v>
      </c>
      <c r="AR185" s="1108">
        <v>5907.4284904647411</v>
      </c>
      <c r="AS185" s="1108">
        <v>6387.7208123885985</v>
      </c>
      <c r="AT185" s="1108">
        <v>7239.6495255537848</v>
      </c>
      <c r="AU185" s="1108">
        <v>7858.0017297963759</v>
      </c>
      <c r="AV185" s="1108">
        <v>8927.7595417011344</v>
      </c>
      <c r="AW185" s="1108">
        <v>9578.9385462084992</v>
      </c>
      <c r="AX185" s="1108">
        <v>10560.788326958758</v>
      </c>
      <c r="AY185" s="1108">
        <v>11429.030011195948</v>
      </c>
      <c r="AZ185" s="1108">
        <v>12451.041900270982</v>
      </c>
      <c r="BA185" s="1108">
        <v>12933.9797018963</v>
      </c>
      <c r="BB185" s="1108">
        <v>13844.071671288053</v>
      </c>
      <c r="BC185" s="1108">
        <v>14517.063107027399</v>
      </c>
      <c r="BD185" s="1108">
        <v>15690.918573782228</v>
      </c>
      <c r="BE185" s="1108">
        <v>16338.960093015945</v>
      </c>
      <c r="BF185" s="1108">
        <v>17384.020398888399</v>
      </c>
      <c r="BG185" s="1108">
        <v>18190.0733932722</v>
      </c>
      <c r="BH185" s="1108">
        <v>19619.240201783221</v>
      </c>
      <c r="BI185" s="1108">
        <v>20519.500124862534</v>
      </c>
      <c r="BJ185" s="1108">
        <v>21856.062463305349</v>
      </c>
      <c r="BK185" s="1108">
        <v>22734.727540832188</v>
      </c>
      <c r="BL185" s="1108">
        <v>24391.400669562761</v>
      </c>
      <c r="BM185" s="1108">
        <v>25165.227551249685</v>
      </c>
      <c r="BN185" s="1108">
        <v>26721.561680498329</v>
      </c>
      <c r="BO185" s="1108">
        <v>27621.509490516284</v>
      </c>
      <c r="BP185" s="1108">
        <v>29856.824445452457</v>
      </c>
      <c r="BQ185" s="1108">
        <v>30616.06343304722</v>
      </c>
      <c r="BR185" s="1108">
        <v>32510.84951107276</v>
      </c>
      <c r="BS185" s="1108">
        <v>33436.578365609021</v>
      </c>
      <c r="BT185" s="1108">
        <v>36210.979011687778</v>
      </c>
      <c r="BU185" s="1108">
        <v>31738.48345438845</v>
      </c>
      <c r="BV185" s="1108">
        <v>33432.139065256852</v>
      </c>
      <c r="BW185" s="1108">
        <v>34914.1306271145</v>
      </c>
      <c r="BX185" s="1108">
        <v>38387.992541875348</v>
      </c>
      <c r="BY185" s="1108">
        <v>34743.6760374074</v>
      </c>
      <c r="BZ185" s="1108">
        <v>36599.075200231797</v>
      </c>
      <c r="CA185" s="1108">
        <v>38219.237226741447</v>
      </c>
      <c r="CB185" s="1108">
        <v>42022.718446757797</v>
      </c>
      <c r="CC185" s="1108">
        <v>37135.2677566231</v>
      </c>
      <c r="CD185" s="1108">
        <v>39124.4208842917</v>
      </c>
      <c r="CE185" s="1108">
        <v>40846.672398099749</v>
      </c>
      <c r="CF185" s="1108">
        <v>44915.003303996251</v>
      </c>
    </row>
    <row r="186" spans="4:84" ht="14.45" hidden="1" outlineLevel="1">
      <c r="D186" s="1432"/>
      <c r="E186" s="1440"/>
      <c r="F186" s="1107" t="s">
        <v>1069</v>
      </c>
      <c r="O186" s="1109">
        <v>157.3853884050163</v>
      </c>
      <c r="Q186" s="1109">
        <v>103.43145393286272</v>
      </c>
      <c r="S186" s="1109">
        <v>132.55501867854102</v>
      </c>
      <c r="T186" s="1109">
        <v>118.87466465540206</v>
      </c>
      <c r="U186" s="1109">
        <v>119.67763077391795</v>
      </c>
      <c r="V186" s="1109">
        <v>120.50008112794271</v>
      </c>
      <c r="W186" s="1109">
        <v>104.34389494020475</v>
      </c>
      <c r="X186" s="1109">
        <v>123.45743295243328</v>
      </c>
      <c r="Y186" s="1109">
        <v>126.54859571794081</v>
      </c>
      <c r="Z186" s="1109">
        <v>130.89226938376558</v>
      </c>
      <c r="AA186" s="1109">
        <v>111.57453973177427</v>
      </c>
      <c r="AB186" s="1109">
        <v>106.04203606412671</v>
      </c>
      <c r="AC186" s="1109">
        <v>114.51861639628459</v>
      </c>
      <c r="AD186" s="1109">
        <v>90.439325469290822</v>
      </c>
      <c r="AE186" s="1109">
        <v>90.574408134588921</v>
      </c>
      <c r="AF186" s="1109">
        <v>96.71012135816342</v>
      </c>
      <c r="AG186" s="1109">
        <v>90.144781955921331</v>
      </c>
      <c r="AH186" s="1109">
        <v>99.155360912000091</v>
      </c>
      <c r="AI186" s="1109">
        <v>92.864710528193257</v>
      </c>
      <c r="AJ186" s="1109">
        <v>90.888010475160712</v>
      </c>
      <c r="AK186" s="1109">
        <v>75.944099369388809</v>
      </c>
      <c r="AL186" s="1109">
        <v>77.583258992076168</v>
      </c>
      <c r="AM186" s="1109">
        <v>73.10172375294816</v>
      </c>
      <c r="AN186" s="1109">
        <v>62.66759734751637</v>
      </c>
      <c r="AO186" s="1109">
        <v>59.085230064168883</v>
      </c>
      <c r="AP186" s="1109">
        <v>62.009799992947954</v>
      </c>
      <c r="AQ186" s="1109">
        <v>58.821175943955097</v>
      </c>
      <c r="AR186" s="1109">
        <v>46.824697555649827</v>
      </c>
      <c r="AS186" s="1109">
        <v>47.916296898311131</v>
      </c>
      <c r="AT186" s="1109">
        <v>49.952745622344992</v>
      </c>
      <c r="AU186" s="1109">
        <v>49.775582341590805</v>
      </c>
      <c r="AV186" s="1109">
        <v>51.127678584879192</v>
      </c>
      <c r="AW186" s="1109">
        <v>49.958628868543016</v>
      </c>
      <c r="AX186" s="1109">
        <v>45.874303578955761</v>
      </c>
      <c r="AY186" s="1109">
        <v>45.44448326931213</v>
      </c>
      <c r="AZ186" s="1109">
        <v>39.464350961882047</v>
      </c>
      <c r="BA186" s="1109">
        <v>35.025187180220307</v>
      </c>
      <c r="BB186" s="1109">
        <v>31.089377446833062</v>
      </c>
      <c r="BC186" s="1109">
        <v>27.019205416438624</v>
      </c>
      <c r="BD186" s="1109">
        <v>26.020928203933952</v>
      </c>
      <c r="BE186" s="1109">
        <v>26.325852286751523</v>
      </c>
      <c r="BF186" s="1109">
        <v>25.570141585889296</v>
      </c>
      <c r="BG186" s="1109">
        <v>25.301331675459721</v>
      </c>
      <c r="BH186" s="1109">
        <v>25.035638350483698</v>
      </c>
      <c r="BI186" s="1109">
        <v>25.58632867726724</v>
      </c>
      <c r="BJ186" s="1109">
        <v>25.72501620340315</v>
      </c>
      <c r="BK186" s="1109">
        <v>24.984254045070969</v>
      </c>
      <c r="BL186" s="1109">
        <v>24.323880123277107</v>
      </c>
      <c r="BM186" s="1109">
        <v>22.640548737140712</v>
      </c>
      <c r="BN186" s="1109">
        <v>22.261554318678307</v>
      </c>
      <c r="BO186" s="1109">
        <v>21.494790033913112</v>
      </c>
      <c r="BP186" s="1109">
        <v>22.407174765940447</v>
      </c>
      <c r="BQ186" s="1109">
        <v>21.6601891268289</v>
      </c>
      <c r="BR186" s="1109">
        <v>21.665230123131284</v>
      </c>
      <c r="BS186" s="1109">
        <v>21.052683152922231</v>
      </c>
      <c r="BT186" s="1109">
        <v>21.28208436179867</v>
      </c>
      <c r="BU186" s="1109">
        <v>3.6661147629112913</v>
      </c>
      <c r="BV186" s="1109">
        <v>2.8337910821749297</v>
      </c>
      <c r="BW186" s="1109">
        <v>4.4189696844854396</v>
      </c>
      <c r="BX186" s="1109">
        <v>6.0120261578260514</v>
      </c>
      <c r="BY186" s="1109">
        <v>9.4686079986705387</v>
      </c>
      <c r="BZ186" s="1109">
        <v>9.4727296054653873</v>
      </c>
      <c r="CA186" s="1109">
        <v>9.4663866470734419</v>
      </c>
      <c r="CB186" s="1109">
        <v>9.4683927556709993</v>
      </c>
      <c r="CC186" s="1109">
        <v>6.8835310248712585</v>
      </c>
      <c r="CD186" s="1109">
        <v>6.9000259439449136</v>
      </c>
      <c r="CE186" s="1109">
        <v>6.8746405266296717</v>
      </c>
      <c r="CF186" s="1109">
        <v>6.882669575274952</v>
      </c>
    </row>
    <row r="187" spans="4:84" ht="14.45" hidden="1" outlineLevel="1" collapsed="1">
      <c r="D187" s="1432"/>
      <c r="E187" s="1440"/>
      <c r="F187" s="1107"/>
    </row>
    <row r="188" spans="4:84" ht="14.45" collapsed="1">
      <c r="D188" s="1105" t="s">
        <v>366</v>
      </c>
      <c r="F188" s="1106" t="s">
        <v>1065</v>
      </c>
    </row>
    <row r="189" spans="4:84" ht="14.45">
      <c r="D189" s="1431" t="s">
        <v>1118</v>
      </c>
      <c r="E189" s="1433" t="s">
        <v>1119</v>
      </c>
      <c r="F189" s="1107" t="s">
        <v>1068</v>
      </c>
      <c r="AC189" s="1108">
        <v>33.1788004</v>
      </c>
      <c r="AD189" s="1108">
        <v>37.077861200000001</v>
      </c>
      <c r="AE189" s="1108">
        <v>42.5</v>
      </c>
      <c r="AF189" s="1108">
        <v>53.615384599999999</v>
      </c>
      <c r="AG189" s="1108">
        <v>60.620192299999999</v>
      </c>
      <c r="AH189" s="1108">
        <v>66.653846150000007</v>
      </c>
      <c r="AI189" s="1108">
        <v>72.6875</v>
      </c>
      <c r="AJ189" s="1108">
        <v>84.801923099999996</v>
      </c>
      <c r="AK189" s="1108">
        <v>90.342307700000006</v>
      </c>
      <c r="AL189" s="1108">
        <v>95.882692300000002</v>
      </c>
      <c r="AM189" s="1108">
        <v>101.42307692307701</v>
      </c>
      <c r="AN189" s="1108">
        <v>112.030769230769</v>
      </c>
      <c r="AO189" s="1108">
        <v>116.55769230769251</v>
      </c>
      <c r="AP189" s="1108">
        <v>122.6048076923075</v>
      </c>
      <c r="AQ189" s="1108">
        <v>128.651923076923</v>
      </c>
      <c r="AR189" s="1108">
        <v>137.739423076923</v>
      </c>
      <c r="AS189" s="1108">
        <v>142.77307692307701</v>
      </c>
      <c r="AT189" s="1108">
        <v>148.34711538461551</v>
      </c>
      <c r="AU189" s="1108">
        <v>156.421153846154</v>
      </c>
      <c r="AV189" s="1108">
        <v>164.52884615384602</v>
      </c>
      <c r="AW189" s="1108">
        <v>170.50501923076951</v>
      </c>
      <c r="AX189" s="1108">
        <v>176.65673076923099</v>
      </c>
      <c r="AY189" s="1108">
        <v>183.71730769230749</v>
      </c>
      <c r="AZ189" s="1108">
        <v>192.29807692307699</v>
      </c>
      <c r="BA189" s="1108">
        <v>195.8115384615385</v>
      </c>
      <c r="BB189" s="1108">
        <v>186.65673076923099</v>
      </c>
      <c r="BC189" s="1108">
        <v>202.55469230769251</v>
      </c>
      <c r="BD189" s="1108">
        <v>211.621923076923</v>
      </c>
      <c r="BE189" s="1108">
        <v>215.21646153846149</v>
      </c>
      <c r="BF189" s="1108">
        <v>205.12926923076949</v>
      </c>
      <c r="BG189" s="1108">
        <v>222.0990676923075</v>
      </c>
      <c r="BH189" s="1108">
        <v>231.69167692307701</v>
      </c>
      <c r="BI189" s="1108">
        <v>235.37377846153851</v>
      </c>
      <c r="BJ189" s="1108">
        <v>224.279610769231</v>
      </c>
      <c r="BK189" s="1108">
        <v>242.4069931076925</v>
      </c>
      <c r="BL189" s="1108">
        <v>252.567011076923</v>
      </c>
      <c r="BM189" s="1108">
        <v>296.187361476923</v>
      </c>
      <c r="BN189" s="1108">
        <v>266.82395926153902</v>
      </c>
      <c r="BO189" s="1108">
        <v>300.57910511261599</v>
      </c>
      <c r="BP189" s="1108">
        <v>317.124743926154</v>
      </c>
    </row>
    <row r="190" spans="4:84" ht="14.45" hidden="1" outlineLevel="1">
      <c r="D190" s="1432"/>
      <c r="E190" s="1440"/>
      <c r="F190" s="1107" t="s">
        <v>1069</v>
      </c>
      <c r="AG190" s="1109">
        <v>82.707607174369087</v>
      </c>
      <c r="AH190" s="1109">
        <v>79.767235737966473</v>
      </c>
      <c r="AI190" s="1109">
        <v>71.029411764705884</v>
      </c>
      <c r="AJ190" s="1109">
        <v>58.167144995169906</v>
      </c>
      <c r="AK190" s="1109">
        <v>49.030057926754559</v>
      </c>
      <c r="AL190" s="1109">
        <v>43.851702247192812</v>
      </c>
      <c r="AM190" s="1109">
        <v>39.533037899332079</v>
      </c>
      <c r="AN190" s="1109">
        <v>32.108760197171755</v>
      </c>
      <c r="AO190" s="1109">
        <v>29.017838126015121</v>
      </c>
      <c r="AP190" s="1109">
        <v>27.869592260403707</v>
      </c>
      <c r="AQ190" s="1109">
        <v>26.846795601061629</v>
      </c>
      <c r="AR190" s="1109">
        <v>22.947850865147128</v>
      </c>
      <c r="AS190" s="1109">
        <v>22.491338063025772</v>
      </c>
      <c r="AT190" s="1109">
        <v>20.996164976590173</v>
      </c>
      <c r="AU190" s="1109">
        <v>21.584777051974065</v>
      </c>
      <c r="AV190" s="1109">
        <v>19.449350431765634</v>
      </c>
      <c r="AW190" s="1109">
        <v>19.423789768594713</v>
      </c>
      <c r="AX190" s="1109">
        <v>19.083360880471396</v>
      </c>
      <c r="AY190" s="1109">
        <v>17.450423536064864</v>
      </c>
      <c r="AZ190" s="1109">
        <v>16.878031675530497</v>
      </c>
      <c r="BA190" s="1109">
        <v>14.842096347039476</v>
      </c>
      <c r="BB190" s="1109">
        <v>5.6606957212760438</v>
      </c>
      <c r="BC190" s="1109">
        <v>10.253462154439012</v>
      </c>
      <c r="BD190" s="1109">
        <v>10.048902445122176</v>
      </c>
      <c r="BE190" s="1109">
        <v>9.9099998035787458</v>
      </c>
      <c r="BF190" s="1109">
        <v>9.8965295199435523</v>
      </c>
      <c r="BG190" s="1109">
        <v>9.6489373620266168</v>
      </c>
      <c r="BH190" s="1109">
        <v>9.4837782184120929</v>
      </c>
      <c r="BI190" s="1109">
        <v>9.3660665076377949</v>
      </c>
      <c r="BJ190" s="1109">
        <v>9.3357430708327911</v>
      </c>
      <c r="BK190" s="1109">
        <v>9.1436337965719314</v>
      </c>
      <c r="BL190" s="1109">
        <v>9.0099629089294897</v>
      </c>
      <c r="BM190" s="1109">
        <v>25.837025437955401</v>
      </c>
      <c r="BN190" s="1109">
        <v>18.969334014086265</v>
      </c>
      <c r="BO190" s="1109">
        <v>23.997703720981253</v>
      </c>
      <c r="BP190" s="1109">
        <v>25.560635402843246</v>
      </c>
    </row>
    <row r="191" spans="4:84" ht="14.45" hidden="1" outlineLevel="1" collapsed="1">
      <c r="D191" s="1432"/>
      <c r="E191" s="1440"/>
      <c r="F191" s="1107"/>
    </row>
    <row r="192" spans="4:84" ht="14.45" collapsed="1">
      <c r="D192" s="1431" t="s">
        <v>1120</v>
      </c>
      <c r="E192" s="1433" t="s">
        <v>1100</v>
      </c>
      <c r="F192" s="1106" t="s">
        <v>1068</v>
      </c>
      <c r="AC192" s="1108">
        <v>986.71726755218197</v>
      </c>
      <c r="AD192" s="1108">
        <v>986.71726755218197</v>
      </c>
      <c r="AE192" s="1108">
        <v>986.71726755218197</v>
      </c>
      <c r="AF192" s="1108">
        <v>986.71726755218197</v>
      </c>
      <c r="AG192" s="1108">
        <v>913.20596202036597</v>
      </c>
      <c r="AH192" s="1108">
        <v>907.15173722436703</v>
      </c>
      <c r="AI192" s="1108">
        <v>902.16366522263195</v>
      </c>
      <c r="AJ192" s="1108">
        <v>967.34707308244947</v>
      </c>
      <c r="AK192" s="1108">
        <v>974.23295071598147</v>
      </c>
      <c r="AL192" s="1108">
        <v>981.44153533049496</v>
      </c>
      <c r="AM192" s="1108">
        <v>986.46208205195296</v>
      </c>
      <c r="AN192" s="1108">
        <v>1036.1755351845411</v>
      </c>
      <c r="AO192" s="1108">
        <v>1031.6187234621909</v>
      </c>
      <c r="AP192" s="1108">
        <v>1038.4230114584959</v>
      </c>
      <c r="AQ192" s="1108">
        <v>1044.7989629941958</v>
      </c>
      <c r="AR192" s="1108">
        <v>1074.386301760281</v>
      </c>
      <c r="AS192" s="1108">
        <v>1071.305401836926</v>
      </c>
      <c r="AT192" s="1108">
        <v>1113.130496893961</v>
      </c>
      <c r="AU192" s="1108">
        <v>1130.721271138726</v>
      </c>
      <c r="AV192" s="1108">
        <v>1189.329329746786</v>
      </c>
      <c r="AW192" s="1108">
        <v>1185.9381390764461</v>
      </c>
      <c r="AX192" s="1108">
        <v>1231.874534836161</v>
      </c>
      <c r="AY192" s="1108">
        <v>1237.3859375303559</v>
      </c>
      <c r="AZ192" s="1108">
        <v>1252.4345413668509</v>
      </c>
      <c r="BA192" s="1108">
        <v>1234.572691284076</v>
      </c>
      <c r="BB192" s="1108">
        <v>1239.488664735841</v>
      </c>
      <c r="BC192" s="1108">
        <v>1226.5718469893061</v>
      </c>
      <c r="BD192" s="1108">
        <v>1210.8513451463509</v>
      </c>
      <c r="BE192" s="1108">
        <v>1222.8770473738259</v>
      </c>
      <c r="BF192" s="1108">
        <v>1210.383427164521</v>
      </c>
      <c r="BG192" s="1108">
        <v>1213.4015292184511</v>
      </c>
      <c r="BH192" s="1108">
        <v>1200.1732551860109</v>
      </c>
      <c r="BI192" s="1108">
        <v>1194.4945116386859</v>
      </c>
      <c r="BJ192" s="1108">
        <v>1190.883199532916</v>
      </c>
      <c r="BK192" s="1108">
        <v>1202.191176148971</v>
      </c>
      <c r="BL192" s="1108">
        <v>1197.3326290479611</v>
      </c>
      <c r="BM192" s="1108">
        <v>986.71726755218197</v>
      </c>
      <c r="BN192" s="1108">
        <v>986.71726755218197</v>
      </c>
      <c r="BO192" s="1108">
        <v>986.71726755218197</v>
      </c>
      <c r="BP192" s="1108">
        <v>986.71726755218197</v>
      </c>
    </row>
    <row r="193" spans="4:84" ht="14.45" hidden="1" outlineLevel="1">
      <c r="D193" s="1432"/>
      <c r="E193" s="1440"/>
      <c r="F193" s="1106" t="s">
        <v>1069</v>
      </c>
      <c r="AG193" s="1109">
        <v>-7.4500880798590448</v>
      </c>
      <c r="AH193" s="1109">
        <v>-8.0636604774535545</v>
      </c>
      <c r="AI193" s="1109">
        <v>-8.5691823899370902</v>
      </c>
      <c r="AJ193" s="1109">
        <v>-1.9630947087594286</v>
      </c>
      <c r="AK193" s="1109">
        <v>6.682719039700542</v>
      </c>
      <c r="AL193" s="1109">
        <v>8.1893463968259752</v>
      </c>
      <c r="AM193" s="1109">
        <v>9.3440270406499053</v>
      </c>
      <c r="AN193" s="1109">
        <v>7.1151775838603495</v>
      </c>
      <c r="AO193" s="1109">
        <v>5.8903543248086203</v>
      </c>
      <c r="AP193" s="1109">
        <v>5.8058961310224939</v>
      </c>
      <c r="AQ193" s="1109">
        <v>5.9137479284450043</v>
      </c>
      <c r="AR193" s="1109">
        <v>3.6876731092608339</v>
      </c>
      <c r="AS193" s="1109">
        <v>3.8470296701812003</v>
      </c>
      <c r="AT193" s="1109">
        <v>7.1943210629102081</v>
      </c>
      <c r="AU193" s="1109">
        <v>8.2238125407679572</v>
      </c>
      <c r="AV193" s="1109">
        <v>10.698482268266238</v>
      </c>
      <c r="AW193" s="1109">
        <v>10.700285562171514</v>
      </c>
      <c r="AX193" s="1109">
        <v>10.667575659236642</v>
      </c>
      <c r="AY193" s="1109">
        <v>9.4333297793372299</v>
      </c>
      <c r="AZ193" s="1109">
        <v>5.3059493314185993</v>
      </c>
      <c r="BA193" s="1109">
        <v>4.1009349986420238</v>
      </c>
      <c r="BB193" s="1109">
        <v>0.61809297005174435</v>
      </c>
      <c r="BC193" s="1109">
        <v>-0.87394645543113281</v>
      </c>
      <c r="BD193" s="1109">
        <v>-3.3201891873021925</v>
      </c>
      <c r="BE193" s="1109">
        <v>-0.94734348109429234</v>
      </c>
      <c r="BF193" s="1109">
        <v>-2.3481648843898784</v>
      </c>
      <c r="BG193" s="1109">
        <v>-1.073750209022192</v>
      </c>
      <c r="BH193" s="1109">
        <v>-0.88186630036318647</v>
      </c>
      <c r="BI193" s="1109">
        <v>-2.3209639755764928</v>
      </c>
      <c r="BJ193" s="1109">
        <v>-1.6110785387475728</v>
      </c>
      <c r="BK193" s="1109">
        <v>-0.92387827108646114</v>
      </c>
      <c r="BL193" s="1109">
        <v>-0.23668467246502647</v>
      </c>
      <c r="BM193" s="1109">
        <v>-17.39457503253502</v>
      </c>
      <c r="BN193" s="1109">
        <v>-17.144076938931651</v>
      </c>
      <c r="BO193" s="1109">
        <v>-17.923431220567227</v>
      </c>
      <c r="BP193" s="1109">
        <v>-17.590380182259491</v>
      </c>
    </row>
    <row r="194" spans="4:84" ht="14.45" hidden="1" outlineLevel="1" collapsed="1">
      <c r="D194" s="1432"/>
      <c r="E194" s="1440"/>
      <c r="F194" s="1106"/>
    </row>
    <row r="195" spans="4:84" ht="14.45" collapsed="1">
      <c r="D195" s="1431" t="s">
        <v>1121</v>
      </c>
      <c r="E195" s="1433" t="s">
        <v>1122</v>
      </c>
      <c r="F195" s="1107" t="s">
        <v>1068</v>
      </c>
      <c r="T195" s="1108">
        <v>1.79019457245264</v>
      </c>
      <c r="U195" s="1108">
        <v>2.1825396825396801</v>
      </c>
      <c r="V195" s="1108">
        <v>5.6771633384536599</v>
      </c>
      <c r="W195" s="1108">
        <v>10.4838709677419</v>
      </c>
      <c r="X195" s="1108">
        <v>10.7411674347158</v>
      </c>
      <c r="Y195" s="1108">
        <v>14.797619047619049</v>
      </c>
      <c r="Z195" s="1108">
        <v>17.7157450076805</v>
      </c>
      <c r="AA195" s="1108">
        <v>20.98387096774195</v>
      </c>
      <c r="AB195" s="1108">
        <v>27.926459293394799</v>
      </c>
      <c r="AC195" s="1108">
        <v>32.738095238095198</v>
      </c>
      <c r="AD195" s="1108">
        <v>36.585365853658502</v>
      </c>
      <c r="AE195" s="1108">
        <v>41.935483870967701</v>
      </c>
      <c r="AF195" s="1108">
        <v>52.903225806451601</v>
      </c>
      <c r="AG195" s="1108">
        <v>55</v>
      </c>
      <c r="AH195" s="1108">
        <v>60</v>
      </c>
      <c r="AI195" s="1108">
        <v>65</v>
      </c>
      <c r="AJ195" s="1108">
        <v>82</v>
      </c>
      <c r="AK195" s="1108">
        <v>88</v>
      </c>
      <c r="AL195" s="1108">
        <v>94</v>
      </c>
      <c r="AM195" s="1108">
        <v>100</v>
      </c>
      <c r="AN195" s="1108">
        <v>116</v>
      </c>
      <c r="AO195" s="1108">
        <v>120</v>
      </c>
      <c r="AP195" s="1108">
        <v>127</v>
      </c>
      <c r="AQ195" s="1108">
        <v>134</v>
      </c>
      <c r="AR195" s="1108">
        <v>147</v>
      </c>
      <c r="AS195" s="1108">
        <v>152</v>
      </c>
      <c r="AT195" s="1108">
        <v>163</v>
      </c>
      <c r="AU195" s="1108">
        <v>174</v>
      </c>
      <c r="AV195" s="1108">
        <v>190</v>
      </c>
      <c r="AW195" s="1108">
        <v>196</v>
      </c>
      <c r="AX195" s="1108">
        <v>209</v>
      </c>
      <c r="AY195" s="1108">
        <v>218</v>
      </c>
      <c r="AZ195" s="1108">
        <v>230</v>
      </c>
      <c r="BA195" s="1108">
        <v>232</v>
      </c>
      <c r="BB195" s="1108">
        <v>241</v>
      </c>
      <c r="BC195" s="1108">
        <v>245.83439691451355</v>
      </c>
      <c r="BD195" s="1108">
        <v>254.83196801055388</v>
      </c>
      <c r="BE195" s="1108">
        <v>257.67558302769112</v>
      </c>
      <c r="BF195" s="1108">
        <v>261.0124904292278</v>
      </c>
      <c r="BG195" s="1108">
        <v>270.76895205064022</v>
      </c>
      <c r="BH195" s="1108">
        <v>278.91766798357031</v>
      </c>
      <c r="BI195" s="1108">
        <v>280.85867154120569</v>
      </c>
      <c r="BJ195" s="1108">
        <v>283.53712044609131</v>
      </c>
      <c r="BK195" s="1108">
        <v>291.9229236209041</v>
      </c>
      <c r="BL195" s="1108">
        <v>298.52372868782686</v>
      </c>
      <c r="BM195" s="1108">
        <v>303.83041421989441</v>
      </c>
      <c r="BN195" s="1108">
        <v>302.26072843177059</v>
      </c>
      <c r="BO195" s="1108">
        <v>312.80320157746741</v>
      </c>
      <c r="BP195" s="1108">
        <v>320.27413501989281</v>
      </c>
      <c r="BQ195" s="1108">
        <v>318.57146089975765</v>
      </c>
      <c r="BR195" s="1108">
        <v>323.00909469870402</v>
      </c>
      <c r="BS195" s="1108">
        <v>326.54170093544036</v>
      </c>
      <c r="BT195" s="1108">
        <v>331.47066136190602</v>
      </c>
    </row>
    <row r="196" spans="4:84" ht="14.45" hidden="1" outlineLevel="1">
      <c r="D196" s="1432"/>
      <c r="E196" s="1440"/>
      <c r="F196" s="1107" t="s">
        <v>1069</v>
      </c>
      <c r="X196" s="1109">
        <v>499.99999999999778</v>
      </c>
      <c r="Y196" s="1109">
        <v>578.0000000000008</v>
      </c>
      <c r="Z196" s="1109">
        <v>212.05276211950417</v>
      </c>
      <c r="AA196" s="1109">
        <v>100.15384615384697</v>
      </c>
      <c r="AB196" s="1109">
        <v>159.99463711119131</v>
      </c>
      <c r="AC196" s="1109">
        <v>121.23893805309704</v>
      </c>
      <c r="AD196" s="1109">
        <v>106.51327865577909</v>
      </c>
      <c r="AE196" s="1109">
        <v>99.846272098385526</v>
      </c>
      <c r="AF196" s="1109">
        <v>89.437641380353355</v>
      </c>
      <c r="AG196" s="1109">
        <v>68.000000000000199</v>
      </c>
      <c r="AH196" s="1109">
        <v>64.000000000000156</v>
      </c>
      <c r="AI196" s="1109">
        <v>55.000000000000149</v>
      </c>
      <c r="AJ196" s="1109">
        <v>55.000000000000036</v>
      </c>
      <c r="AK196" s="1109">
        <v>60</v>
      </c>
      <c r="AL196" s="1109">
        <v>56.666666666666664</v>
      </c>
      <c r="AM196" s="1109">
        <v>53.846153846153847</v>
      </c>
      <c r="AN196" s="1109">
        <v>41.463414634146339</v>
      </c>
      <c r="AO196" s="1109">
        <v>36.363636363636367</v>
      </c>
      <c r="AP196" s="1109">
        <v>35.106382978723403</v>
      </c>
      <c r="AQ196" s="1109">
        <v>34</v>
      </c>
      <c r="AR196" s="1109">
        <v>26.72413793103448</v>
      </c>
      <c r="AS196" s="1109">
        <v>26.666666666666668</v>
      </c>
      <c r="AT196" s="1109">
        <v>28.346456692913385</v>
      </c>
      <c r="AU196" s="1109">
        <v>29.850746268656714</v>
      </c>
      <c r="AV196" s="1109">
        <v>29.251700680272108</v>
      </c>
      <c r="AW196" s="1109">
        <v>28.947368421052634</v>
      </c>
      <c r="AX196" s="1109">
        <v>28.220858895705518</v>
      </c>
      <c r="AY196" s="1109">
        <v>25.287356321839084</v>
      </c>
      <c r="AZ196" s="1109">
        <v>21.052631578947366</v>
      </c>
      <c r="BA196" s="1109">
        <v>18.367346938775512</v>
      </c>
      <c r="BB196" s="1109">
        <v>15.311004784688995</v>
      </c>
      <c r="BC196" s="1109">
        <v>12.768071979134653</v>
      </c>
      <c r="BD196" s="1109">
        <v>10.796507830675599</v>
      </c>
      <c r="BE196" s="1109">
        <v>11.067061649866861</v>
      </c>
      <c r="BF196" s="1109">
        <v>8.3039379374389188</v>
      </c>
      <c r="BG196" s="1109">
        <v>10.142826003635861</v>
      </c>
      <c r="BH196" s="1109">
        <v>9.4516006610359504</v>
      </c>
      <c r="BI196" s="1109">
        <v>8.9970063290875348</v>
      </c>
      <c r="BJ196" s="1109">
        <v>8.6297134592380544</v>
      </c>
      <c r="BK196" s="1109">
        <v>7.8125543604820633</v>
      </c>
      <c r="BL196" s="1109">
        <v>7.0293362360291383</v>
      </c>
      <c r="BM196" s="1109">
        <v>8.1791110641632638</v>
      </c>
      <c r="BN196" s="1109">
        <v>6.6035826124710848</v>
      </c>
      <c r="BO196" s="1109">
        <v>7.1526681418410201</v>
      </c>
      <c r="BP196" s="1109">
        <v>7.2859890996507177</v>
      </c>
      <c r="BQ196" s="1109">
        <v>4.8517350436136892</v>
      </c>
      <c r="BR196" s="1109">
        <v>6.864393655961484</v>
      </c>
      <c r="BS196" s="1109">
        <v>4.392058421617703</v>
      </c>
      <c r="BT196" s="1109">
        <v>3.4959196256412586</v>
      </c>
    </row>
    <row r="197" spans="4:84" ht="14.45" hidden="1" outlineLevel="1" collapsed="1">
      <c r="D197" s="1432"/>
      <c r="E197" s="1440"/>
      <c r="F197" s="1107"/>
    </row>
    <row r="198" spans="4:84" ht="14.45" collapsed="1">
      <c r="D198" s="1105" t="s">
        <v>366</v>
      </c>
      <c r="F198" s="1106" t="s">
        <v>1065</v>
      </c>
    </row>
    <row r="199" spans="4:84" ht="14.45">
      <c r="D199" s="1105" t="s">
        <v>1123</v>
      </c>
      <c r="F199" s="1106" t="s">
        <v>1065</v>
      </c>
    </row>
    <row r="200" spans="4:84" ht="14.45">
      <c r="D200" s="1434" t="s">
        <v>1124</v>
      </c>
      <c r="E200" s="1433" t="s">
        <v>1067</v>
      </c>
      <c r="F200" s="1107" t="s">
        <v>1068</v>
      </c>
      <c r="G200" s="1108">
        <v>316.38355998701934</v>
      </c>
      <c r="I200" s="1108">
        <v>344.49771997796501</v>
      </c>
      <c r="K200" s="1108">
        <v>376.23663886178667</v>
      </c>
      <c r="M200" s="1108">
        <v>471.67874337963434</v>
      </c>
      <c r="O200" s="1108">
        <v>464.54700875969036</v>
      </c>
      <c r="Q200" s="1108">
        <v>561.9682283191629</v>
      </c>
      <c r="S200" s="1108">
        <v>633.8944801791356</v>
      </c>
      <c r="T200" s="1108">
        <v>844.61286075260477</v>
      </c>
      <c r="U200" s="1108">
        <v>1018.1098099911391</v>
      </c>
      <c r="V200" s="1108">
        <v>1200.1563653613493</v>
      </c>
      <c r="W200" s="1108">
        <v>1320.3308314088943</v>
      </c>
      <c r="X200" s="1108">
        <v>1551.5591247971433</v>
      </c>
      <c r="Y200" s="1108">
        <v>1580.691691395883</v>
      </c>
      <c r="Z200" s="1108">
        <v>1738.0812309203793</v>
      </c>
      <c r="AA200" s="1108">
        <v>1912.2464152294103</v>
      </c>
      <c r="AB200" s="1108">
        <v>2190.2964708873433</v>
      </c>
      <c r="AC200" s="1108">
        <v>2389.0473801389198</v>
      </c>
      <c r="AD200" s="1108">
        <v>2569.460572374026</v>
      </c>
      <c r="AE200" s="1108">
        <v>2776.5462059806828</v>
      </c>
      <c r="AF200" s="1108">
        <v>3120.7961883158305</v>
      </c>
      <c r="AG200" s="1108">
        <v>3387.3262131202659</v>
      </c>
      <c r="AH200" s="1108">
        <v>3590.9443065514124</v>
      </c>
      <c r="AI200" s="1108">
        <v>3937.5120672679641</v>
      </c>
      <c r="AJ200" s="1108">
        <v>4323.5249441235901</v>
      </c>
      <c r="AK200" s="1108">
        <v>4634.9235902344681</v>
      </c>
      <c r="AL200" s="1108">
        <v>4824.5550505355468</v>
      </c>
      <c r="AM200" s="1108">
        <v>5123.4525150483005</v>
      </c>
      <c r="AN200" s="1108">
        <v>5667.7748165869298</v>
      </c>
      <c r="AO200" s="1108">
        <v>5840.5091200181569</v>
      </c>
      <c r="AP200" s="1108">
        <v>6176.7834905091859</v>
      </c>
      <c r="AQ200" s="1108">
        <v>6464.068673158702</v>
      </c>
      <c r="AR200" s="1108">
        <v>6818.9603551252221</v>
      </c>
      <c r="AS200" s="1108">
        <v>7121.391240318776</v>
      </c>
      <c r="AT200" s="1108">
        <v>7540.3602116133834</v>
      </c>
      <c r="AU200" s="1108">
        <v>7968.6319162768395</v>
      </c>
      <c r="AV200" s="1108">
        <v>8602.5896298711141</v>
      </c>
      <c r="AW200" s="1108">
        <v>8850.7500979921388</v>
      </c>
      <c r="AX200" s="1108">
        <v>9100.2593022134042</v>
      </c>
      <c r="AY200" s="1108">
        <v>9433.4671982439631</v>
      </c>
      <c r="AZ200" s="1108">
        <v>9959.3816321453269</v>
      </c>
      <c r="BA200" s="1108">
        <v>9946.6848424548734</v>
      </c>
      <c r="BB200" s="1108">
        <v>10267.282494701984</v>
      </c>
      <c r="BC200" s="1108">
        <v>10739.850513204932</v>
      </c>
      <c r="BD200" s="1108">
        <v>11272.207970582946</v>
      </c>
      <c r="BE200" s="1108">
        <v>11249.987909681025</v>
      </c>
      <c r="BF200" s="1108">
        <v>11578.57076211282</v>
      </c>
      <c r="BG200" s="1108">
        <v>12029.122851956492</v>
      </c>
      <c r="BH200" s="1108">
        <v>12596.929800831407</v>
      </c>
      <c r="BI200" s="1108">
        <v>12721.034405817823</v>
      </c>
      <c r="BJ200" s="1108">
        <v>13116.751017161494</v>
      </c>
      <c r="BK200" s="1108">
        <v>13601.946272769603</v>
      </c>
      <c r="BL200" s="1108">
        <v>14191.037077304785</v>
      </c>
      <c r="BM200" s="1108">
        <v>14778.861531277871</v>
      </c>
      <c r="BN200" s="1108">
        <v>15292.044790606369</v>
      </c>
      <c r="BO200" s="1108">
        <v>15835.080300706568</v>
      </c>
      <c r="BP200" s="1108">
        <v>16504.357603346602</v>
      </c>
      <c r="BQ200" s="1108">
        <v>16499.140429959483</v>
      </c>
      <c r="BR200" s="1108">
        <v>16909.925664571485</v>
      </c>
      <c r="BS200" s="1108">
        <v>17522.871861380103</v>
      </c>
      <c r="BT200" s="1108">
        <v>18332.83772294367</v>
      </c>
      <c r="BU200" s="1108">
        <v>20304.585122120388</v>
      </c>
      <c r="BV200" s="1108">
        <v>21313.341790050719</v>
      </c>
      <c r="BW200" s="1108">
        <v>22049.102423095232</v>
      </c>
      <c r="BX200" s="1108">
        <v>22596.205004515701</v>
      </c>
      <c r="BY200" s="1108">
        <v>22695.134815989259</v>
      </c>
      <c r="BZ200" s="1108">
        <v>23757.93998054757</v>
      </c>
      <c r="CA200" s="1108">
        <v>24531.4250968995</v>
      </c>
      <c r="CB200" s="1108">
        <v>25104.988394936299</v>
      </c>
      <c r="CC200" s="1108">
        <v>25201.272948414258</v>
      </c>
      <c r="CD200" s="1108">
        <v>26310.27392109139</v>
      </c>
      <c r="CE200" s="1108">
        <v>27115.562794523012</v>
      </c>
      <c r="CF200" s="1108">
        <v>27711.007871162172</v>
      </c>
    </row>
    <row r="201" spans="4:84" ht="14.45" hidden="1" outlineLevel="1">
      <c r="D201" s="1432"/>
      <c r="E201" s="1440"/>
      <c r="F201" s="1107" t="s">
        <v>1069</v>
      </c>
      <c r="O201" s="1109">
        <v>46.830324805356483</v>
      </c>
      <c r="Q201" s="1109">
        <v>63.126835311161969</v>
      </c>
      <c r="S201" s="1109">
        <v>68.482921306343442</v>
      </c>
      <c r="T201" s="1109">
        <v>79.065279622493293</v>
      </c>
      <c r="U201" s="1109">
        <v>119.16184816460762</v>
      </c>
      <c r="V201" s="1109">
        <v>113.56302810053798</v>
      </c>
      <c r="W201" s="1109">
        <v>108.28874090144703</v>
      </c>
      <c r="X201" s="1109">
        <v>83.700627458431512</v>
      </c>
      <c r="Y201" s="1109">
        <v>55.257485576103058</v>
      </c>
      <c r="Z201" s="1109">
        <v>44.821231723173732</v>
      </c>
      <c r="AA201" s="1109">
        <v>44.830853732991812</v>
      </c>
      <c r="AB201" s="1109">
        <v>41.167451235460383</v>
      </c>
      <c r="AC201" s="1109">
        <v>51.139364693515354</v>
      </c>
      <c r="AD201" s="1109">
        <v>47.833169512647004</v>
      </c>
      <c r="AE201" s="1109">
        <v>45.198138894018172</v>
      </c>
      <c r="AF201" s="1109">
        <v>42.48282046729129</v>
      </c>
      <c r="AG201" s="1109">
        <v>41.785643988496268</v>
      </c>
      <c r="AH201" s="1109">
        <v>39.754793093929329</v>
      </c>
      <c r="AI201" s="1109">
        <v>41.813309599766782</v>
      </c>
      <c r="AJ201" s="1109">
        <v>38.539163829754116</v>
      </c>
      <c r="AK201" s="1109">
        <v>36.831332402584472</v>
      </c>
      <c r="AL201" s="1109">
        <v>34.353380021335973</v>
      </c>
      <c r="AM201" s="1109">
        <v>30.119030177428741</v>
      </c>
      <c r="AN201" s="1109">
        <v>31.09152577667917</v>
      </c>
      <c r="AO201" s="1109">
        <v>26.010904091791115</v>
      </c>
      <c r="AP201" s="1109">
        <v>28.028044572183617</v>
      </c>
      <c r="AQ201" s="1109">
        <v>26.166264919462478</v>
      </c>
      <c r="AR201" s="1109">
        <v>20.311066967045161</v>
      </c>
      <c r="AS201" s="1109">
        <v>21.931001116160182</v>
      </c>
      <c r="AT201" s="1109">
        <v>22.075838066841332</v>
      </c>
      <c r="AU201" s="1109">
        <v>23.275792990344648</v>
      </c>
      <c r="AV201" s="1109">
        <v>26.156909291975751</v>
      </c>
      <c r="AW201" s="1109">
        <v>24.284002933055412</v>
      </c>
      <c r="AX201" s="1109">
        <v>20.687328546950877</v>
      </c>
      <c r="AY201" s="1109">
        <v>18.382519074259541</v>
      </c>
      <c r="AZ201" s="1109">
        <v>15.771901958021687</v>
      </c>
      <c r="BA201" s="1109">
        <v>12.382393947732814</v>
      </c>
      <c r="BB201" s="1109">
        <v>12.824065268170227</v>
      </c>
      <c r="BC201" s="1109">
        <v>13.848389860349034</v>
      </c>
      <c r="BD201" s="1109">
        <v>13.181805727780169</v>
      </c>
      <c r="BE201" s="1109">
        <v>13.102888931026921</v>
      </c>
      <c r="BF201" s="1109">
        <v>12.771522241522762</v>
      </c>
      <c r="BG201" s="1109">
        <v>12.004565027849923</v>
      </c>
      <c r="BH201" s="1109">
        <v>11.752106008916666</v>
      </c>
      <c r="BI201" s="1109">
        <v>13.075982907243027</v>
      </c>
      <c r="BJ201" s="1109">
        <v>13.284716107465336</v>
      </c>
      <c r="BK201" s="1109">
        <v>13.075129751104811</v>
      </c>
      <c r="BL201" s="1109">
        <v>12.654728586073139</v>
      </c>
      <c r="BM201" s="1109">
        <v>16.176570708109423</v>
      </c>
      <c r="BN201" s="1109">
        <v>16.58408984510568</v>
      </c>
      <c r="BO201" s="1109">
        <v>16.417753629916806</v>
      </c>
      <c r="BP201" s="1109">
        <v>16.301278852561289</v>
      </c>
      <c r="BQ201" s="1109">
        <v>11.640131379814521</v>
      </c>
      <c r="BR201" s="1109">
        <v>10.579885791067989</v>
      </c>
      <c r="BS201" s="1109">
        <v>10.658560162768643</v>
      </c>
      <c r="BT201" s="1109">
        <v>11.078771822214433</v>
      </c>
      <c r="BU201" s="1109">
        <v>23.064502713431658</v>
      </c>
      <c r="BV201" s="1109">
        <v>26.040422724654373</v>
      </c>
      <c r="BW201" s="1109">
        <v>25.830415228286913</v>
      </c>
      <c r="BX201" s="1109">
        <v>23.255359295721021</v>
      </c>
      <c r="BY201" s="1109">
        <v>11.773447620284237</v>
      </c>
      <c r="BZ201" s="1109">
        <v>11.469802410985654</v>
      </c>
      <c r="CA201" s="1109">
        <v>11.25815748038873</v>
      </c>
      <c r="CB201" s="1109">
        <v>11.10267582507432</v>
      </c>
      <c r="CC201" s="1109">
        <v>11.042622803277494</v>
      </c>
      <c r="CD201" s="1109">
        <v>10.743077651655025</v>
      </c>
      <c r="CE201" s="1109">
        <v>10.53398931132671</v>
      </c>
      <c r="CF201" s="1109">
        <v>10.380484687861911</v>
      </c>
    </row>
    <row r="202" spans="4:84" ht="14.45" hidden="1" outlineLevel="1" collapsed="1">
      <c r="D202" s="1432"/>
      <c r="E202" s="1440"/>
      <c r="F202" s="1107"/>
    </row>
    <row r="203" spans="4:84" ht="14.45" collapsed="1">
      <c r="D203" s="1434" t="s">
        <v>1108</v>
      </c>
      <c r="E203" s="1433" t="s">
        <v>1067</v>
      </c>
      <c r="F203" s="1106" t="s">
        <v>1068</v>
      </c>
      <c r="G203" s="1108">
        <v>29.528734533042165</v>
      </c>
      <c r="I203" s="1108">
        <v>42.720362351209197</v>
      </c>
      <c r="K203" s="1108">
        <v>51.640824278505399</v>
      </c>
      <c r="M203" s="1108">
        <v>65.365233433468632</v>
      </c>
      <c r="O203" s="1108">
        <v>76.002648068956759</v>
      </c>
      <c r="Q203" s="1108">
        <v>86.906654256452171</v>
      </c>
      <c r="S203" s="1108">
        <v>120.09332854663077</v>
      </c>
      <c r="T203" s="1108">
        <v>143.06793547872522</v>
      </c>
      <c r="U203" s="1108">
        <v>166.96081660332311</v>
      </c>
      <c r="V203" s="1108">
        <v>191.62924314105771</v>
      </c>
      <c r="W203" s="1108">
        <v>245.4033851155221</v>
      </c>
      <c r="X203" s="1108">
        <v>319.6959359988029</v>
      </c>
      <c r="Y203" s="1108">
        <v>378.24738541403508</v>
      </c>
      <c r="Z203" s="1108">
        <v>442.45710829132207</v>
      </c>
      <c r="AA203" s="1108">
        <v>519.21108254435933</v>
      </c>
      <c r="AB203" s="1108">
        <v>658.70801574620089</v>
      </c>
      <c r="AC203" s="1108">
        <v>811.41105774531002</v>
      </c>
      <c r="AD203" s="1108">
        <v>842.61233252092336</v>
      </c>
      <c r="AE203" s="1108">
        <v>989.48344752810476</v>
      </c>
      <c r="AF203" s="1108">
        <v>1295.745337170302</v>
      </c>
      <c r="AG203" s="1108">
        <v>1542.8557865160546</v>
      </c>
      <c r="AH203" s="1108">
        <v>1678.1076319210672</v>
      </c>
      <c r="AI203" s="1108">
        <v>1908.3643867994663</v>
      </c>
      <c r="AJ203" s="1108">
        <v>2473.4224949490526</v>
      </c>
      <c r="AK203" s="1108">
        <v>2714.5637181541724</v>
      </c>
      <c r="AL203" s="1108">
        <v>2980.0382221601849</v>
      </c>
      <c r="AM203" s="1108">
        <v>3303.4116490372553</v>
      </c>
      <c r="AN203" s="1108">
        <v>4023.4569447866184</v>
      </c>
      <c r="AO203" s="1108">
        <v>4318.4699362640222</v>
      </c>
      <c r="AP203" s="1108">
        <v>4827.9539634351177</v>
      </c>
      <c r="AQ203" s="1108">
        <v>5246.5172272705677</v>
      </c>
      <c r="AR203" s="1108">
        <v>5907.4284904647411</v>
      </c>
      <c r="AS203" s="1108">
        <v>6387.7208123885985</v>
      </c>
      <c r="AT203" s="1108">
        <v>7239.6495255537848</v>
      </c>
      <c r="AU203" s="1108">
        <v>7858.0017297963759</v>
      </c>
      <c r="AV203" s="1108">
        <v>8927.7595417011344</v>
      </c>
      <c r="AW203" s="1108">
        <v>9578.9385462084992</v>
      </c>
      <c r="AX203" s="1108">
        <v>10560.788326958758</v>
      </c>
      <c r="AY203" s="1108">
        <v>11429.030011195948</v>
      </c>
      <c r="AZ203" s="1108">
        <v>12451.041900270982</v>
      </c>
      <c r="BA203" s="1108">
        <v>12933.9797018963</v>
      </c>
      <c r="BB203" s="1108">
        <v>13844.071671288053</v>
      </c>
      <c r="BC203" s="1108">
        <v>14517.063107027399</v>
      </c>
      <c r="BD203" s="1108">
        <v>15690.918573782228</v>
      </c>
      <c r="BE203" s="1108">
        <v>16338.960093015945</v>
      </c>
      <c r="BF203" s="1108">
        <v>17384.020398888399</v>
      </c>
      <c r="BG203" s="1108">
        <v>18190.0733932722</v>
      </c>
      <c r="BH203" s="1108">
        <v>19619.240201783221</v>
      </c>
      <c r="BI203" s="1108">
        <v>20519.500124862534</v>
      </c>
      <c r="BJ203" s="1108">
        <v>21856.062463305349</v>
      </c>
      <c r="BK203" s="1108">
        <v>22734.727540832188</v>
      </c>
      <c r="BL203" s="1108">
        <v>24391.400669562761</v>
      </c>
      <c r="BM203" s="1108">
        <v>25165.227551249685</v>
      </c>
      <c r="BN203" s="1108">
        <v>26721.561680498329</v>
      </c>
      <c r="BO203" s="1108">
        <v>27621.509490516284</v>
      </c>
      <c r="BP203" s="1108">
        <v>29856.824445452457</v>
      </c>
      <c r="BQ203" s="1108">
        <v>30616.06343304722</v>
      </c>
      <c r="BR203" s="1108">
        <v>32510.84951107276</v>
      </c>
      <c r="BS203" s="1108">
        <v>33436.578365609021</v>
      </c>
      <c r="BT203" s="1108">
        <v>36210.979011687778</v>
      </c>
      <c r="BU203" s="1108">
        <v>31738.48345438845</v>
      </c>
      <c r="BV203" s="1108">
        <v>33432.139065256852</v>
      </c>
      <c r="BW203" s="1108">
        <v>34914.1306271145</v>
      </c>
      <c r="BX203" s="1108">
        <v>38387.992541875348</v>
      </c>
      <c r="BY203" s="1108">
        <v>34743.6760374074</v>
      </c>
      <c r="BZ203" s="1108">
        <v>36599.075200231797</v>
      </c>
      <c r="CA203" s="1108">
        <v>38219.237226741447</v>
      </c>
      <c r="CB203" s="1108">
        <v>42022.718446757797</v>
      </c>
      <c r="CC203" s="1108">
        <v>37135.2677566231</v>
      </c>
      <c r="CD203" s="1108">
        <v>39124.4208842917</v>
      </c>
      <c r="CE203" s="1108">
        <v>40846.672398099749</v>
      </c>
      <c r="CF203" s="1108">
        <v>44915.003303996251</v>
      </c>
    </row>
    <row r="204" spans="4:84" ht="14.45" hidden="1" outlineLevel="1">
      <c r="D204" s="1432"/>
      <c r="E204" s="1440"/>
      <c r="F204" s="1106" t="s">
        <v>1069</v>
      </c>
      <c r="O204" s="1109">
        <v>157.3853884050163</v>
      </c>
      <c r="Q204" s="1109">
        <v>103.43145393286272</v>
      </c>
      <c r="S204" s="1109">
        <v>132.55501867854102</v>
      </c>
      <c r="T204" s="1109">
        <v>118.87466465540206</v>
      </c>
      <c r="U204" s="1109">
        <v>119.67763077391795</v>
      </c>
      <c r="V204" s="1109">
        <v>120.50008112794271</v>
      </c>
      <c r="W204" s="1109">
        <v>104.34389494020475</v>
      </c>
      <c r="X204" s="1109">
        <v>123.45743295243328</v>
      </c>
      <c r="Y204" s="1109">
        <v>126.54859571794081</v>
      </c>
      <c r="Z204" s="1109">
        <v>130.89226938376558</v>
      </c>
      <c r="AA204" s="1109">
        <v>111.57453973177427</v>
      </c>
      <c r="AB204" s="1109">
        <v>106.04203606412671</v>
      </c>
      <c r="AC204" s="1109">
        <v>114.51861639628459</v>
      </c>
      <c r="AD204" s="1109">
        <v>90.439325469290822</v>
      </c>
      <c r="AE204" s="1109">
        <v>90.574408134588921</v>
      </c>
      <c r="AF204" s="1109">
        <v>96.71012135816342</v>
      </c>
      <c r="AG204" s="1109">
        <v>90.144781955921331</v>
      </c>
      <c r="AH204" s="1109">
        <v>99.155360912000091</v>
      </c>
      <c r="AI204" s="1109">
        <v>92.864710528193257</v>
      </c>
      <c r="AJ204" s="1109">
        <v>90.888010475160712</v>
      </c>
      <c r="AK204" s="1109">
        <v>75.944099369388809</v>
      </c>
      <c r="AL204" s="1109">
        <v>77.583258992076168</v>
      </c>
      <c r="AM204" s="1109">
        <v>73.10172375294816</v>
      </c>
      <c r="AN204" s="1109">
        <v>62.66759734751637</v>
      </c>
      <c r="AO204" s="1109">
        <v>59.085230064168883</v>
      </c>
      <c r="AP204" s="1109">
        <v>62.009799992947954</v>
      </c>
      <c r="AQ204" s="1109">
        <v>58.821175943955097</v>
      </c>
      <c r="AR204" s="1109">
        <v>46.824697555649827</v>
      </c>
      <c r="AS204" s="1109">
        <v>47.916296898311131</v>
      </c>
      <c r="AT204" s="1109">
        <v>49.952745622344992</v>
      </c>
      <c r="AU204" s="1109">
        <v>49.775582341590805</v>
      </c>
      <c r="AV204" s="1109">
        <v>51.127678584879192</v>
      </c>
      <c r="AW204" s="1109">
        <v>49.958628868543016</v>
      </c>
      <c r="AX204" s="1109">
        <v>45.874303578955761</v>
      </c>
      <c r="AY204" s="1109">
        <v>45.44448326931213</v>
      </c>
      <c r="AZ204" s="1109">
        <v>39.464350961882047</v>
      </c>
      <c r="BA204" s="1109">
        <v>35.025187180220307</v>
      </c>
      <c r="BB204" s="1109">
        <v>31.089377446833062</v>
      </c>
      <c r="BC204" s="1109">
        <v>27.019205416438624</v>
      </c>
      <c r="BD204" s="1109">
        <v>26.020928203933952</v>
      </c>
      <c r="BE204" s="1109">
        <v>26.325852286751523</v>
      </c>
      <c r="BF204" s="1109">
        <v>25.570141585889296</v>
      </c>
      <c r="BG204" s="1109">
        <v>25.301331675459721</v>
      </c>
      <c r="BH204" s="1109">
        <v>25.035638350483698</v>
      </c>
      <c r="BI204" s="1109">
        <v>25.58632867726724</v>
      </c>
      <c r="BJ204" s="1109">
        <v>25.72501620340315</v>
      </c>
      <c r="BK204" s="1109">
        <v>24.984254045070969</v>
      </c>
      <c r="BL204" s="1109">
        <v>24.323880123277107</v>
      </c>
      <c r="BM204" s="1109">
        <v>22.640548737140712</v>
      </c>
      <c r="BN204" s="1109">
        <v>22.261554318678307</v>
      </c>
      <c r="BO204" s="1109">
        <v>21.494790033913112</v>
      </c>
      <c r="BP204" s="1109">
        <v>22.407174765940447</v>
      </c>
      <c r="BQ204" s="1109">
        <v>21.6601891268289</v>
      </c>
      <c r="BR204" s="1109">
        <v>21.665230123131284</v>
      </c>
      <c r="BS204" s="1109">
        <v>21.052683152922231</v>
      </c>
      <c r="BT204" s="1109">
        <v>21.28208436179867</v>
      </c>
      <c r="BU204" s="1109">
        <v>3.6661147629112913</v>
      </c>
      <c r="BV204" s="1109">
        <v>2.8337910821749297</v>
      </c>
      <c r="BW204" s="1109">
        <v>4.4189696844854396</v>
      </c>
      <c r="BX204" s="1109">
        <v>6.0120261578260514</v>
      </c>
      <c r="BY204" s="1109">
        <v>9.4686079986705387</v>
      </c>
      <c r="BZ204" s="1109">
        <v>9.4727296054653873</v>
      </c>
      <c r="CA204" s="1109">
        <v>9.4663866470734419</v>
      </c>
      <c r="CB204" s="1109">
        <v>9.4683927556709993</v>
      </c>
      <c r="CC204" s="1109">
        <v>6.8835310248712585</v>
      </c>
      <c r="CD204" s="1109">
        <v>6.9000259439449136</v>
      </c>
      <c r="CE204" s="1109">
        <v>6.8746405266296717</v>
      </c>
      <c r="CF204" s="1109">
        <v>6.882669575274952</v>
      </c>
    </row>
    <row r="205" spans="4:84" ht="14.45" hidden="1" outlineLevel="1" collapsed="1">
      <c r="D205" s="1432"/>
      <c r="E205" s="1440"/>
      <c r="F205" s="1106"/>
    </row>
    <row r="206" spans="4:84" ht="14.45" collapsed="1">
      <c r="D206" s="1434" t="s">
        <v>1125</v>
      </c>
      <c r="E206" s="1433" t="s">
        <v>1067</v>
      </c>
      <c r="F206" s="1107" t="s">
        <v>1068</v>
      </c>
      <c r="AD206" s="1108">
        <v>94</v>
      </c>
      <c r="AE206" s="1108">
        <v>568.85546588407897</v>
      </c>
      <c r="AF206" s="1108">
        <v>642.16117216117198</v>
      </c>
      <c r="AG206" s="1108">
        <v>758</v>
      </c>
      <c r="AH206" s="1108">
        <v>824</v>
      </c>
      <c r="AI206" s="1108">
        <v>865</v>
      </c>
      <c r="AJ206" s="1108">
        <v>927</v>
      </c>
      <c r="AK206" s="1108">
        <v>1034.8788748277329</v>
      </c>
      <c r="AL206" s="1108">
        <v>1021.593279954681</v>
      </c>
      <c r="AM206" s="1108">
        <v>1048.7372444022999</v>
      </c>
      <c r="AN206" s="1108">
        <v>1159.945990978111</v>
      </c>
      <c r="AO206" s="1108">
        <v>1312.9685300408401</v>
      </c>
      <c r="AP206" s="1108">
        <v>1300.359817592552</v>
      </c>
      <c r="AQ206" s="1108">
        <v>1354.3384719973069</v>
      </c>
      <c r="AR206" s="1108">
        <v>1362.3319324057391</v>
      </c>
      <c r="AS206" s="1108">
        <v>1531.8124282236979</v>
      </c>
      <c r="AT206" s="1108">
        <v>1672.709256244591</v>
      </c>
      <c r="AU206" s="1108">
        <v>1631.3610315356621</v>
      </c>
      <c r="AV206" s="1108">
        <v>1789.8044835774911</v>
      </c>
      <c r="AW206" s="1108">
        <v>2061.1893283280292</v>
      </c>
      <c r="AX206" s="1108">
        <v>2189.7945550532081</v>
      </c>
      <c r="AY206" s="1108">
        <v>2203.741276259233</v>
      </c>
      <c r="AZ206" s="1108">
        <v>2272.3951995640241</v>
      </c>
      <c r="BA206" s="1108">
        <v>2522.421852426814</v>
      </c>
      <c r="BB206" s="1108">
        <v>2597.8300200471372</v>
      </c>
      <c r="BC206" s="1108">
        <v>2558.4503263660808</v>
      </c>
      <c r="BD206" s="1108">
        <v>2654.0293231052751</v>
      </c>
      <c r="BE206" s="1108">
        <v>2858.3992249511848</v>
      </c>
      <c r="BF206" s="1108">
        <v>2961.9399172520302</v>
      </c>
      <c r="BG206" s="1108">
        <v>2939.7424024357638</v>
      </c>
      <c r="BH206" s="1108">
        <v>3050.6250135642058</v>
      </c>
      <c r="BI206" s="1108">
        <v>3150.8184670702653</v>
      </c>
      <c r="BJ206" s="1108">
        <v>3278.5272958221544</v>
      </c>
      <c r="BK206" s="1108">
        <v>3179.3312290002591</v>
      </c>
      <c r="BL206" s="1108">
        <v>3374.8811597140857</v>
      </c>
      <c r="BM206" s="1108">
        <v>3637.6327389195499</v>
      </c>
      <c r="BN206" s="1108">
        <v>3733.3042126583618</v>
      </c>
      <c r="BO206" s="1108">
        <v>3704.83398956163</v>
      </c>
      <c r="BP206" s="1108">
        <v>3943.0489376688638</v>
      </c>
      <c r="BQ206" s="1108">
        <v>4619.3155054593535</v>
      </c>
      <c r="BR206" s="1108">
        <v>4710.5064310137468</v>
      </c>
      <c r="BS206" s="1108">
        <v>4818.9999444344903</v>
      </c>
      <c r="BT206" s="1108">
        <v>5059.2838730801332</v>
      </c>
      <c r="BU206" s="1108">
        <v>5231.9706350786601</v>
      </c>
      <c r="BV206" s="1108">
        <v>5441.2494604818003</v>
      </c>
      <c r="BW206" s="1108">
        <v>5604.4869442962599</v>
      </c>
      <c r="BX206" s="1108">
        <v>5828.6664220681096</v>
      </c>
      <c r="BY206" s="1108">
        <v>6003.5264147301496</v>
      </c>
      <c r="BZ206" s="1108">
        <v>6243.6674713193597</v>
      </c>
      <c r="CA206" s="1108">
        <v>6430.9774954589402</v>
      </c>
      <c r="CB206" s="1108">
        <v>6688.2165952773003</v>
      </c>
      <c r="CC206" s="1108">
        <v>6888.8630931356201</v>
      </c>
      <c r="CD206" s="1108">
        <v>7164.4176168610402</v>
      </c>
      <c r="CE206" s="1108">
        <v>7379.3501453668696</v>
      </c>
      <c r="CF206" s="1108">
        <v>7674.5241511815502</v>
      </c>
    </row>
    <row r="207" spans="4:84" ht="14.45" hidden="1" outlineLevel="1">
      <c r="D207" s="1432"/>
      <c r="E207" s="1440"/>
      <c r="F207" s="1107" t="s">
        <v>1069</v>
      </c>
      <c r="AH207" s="1109">
        <v>776.595744680851</v>
      </c>
      <c r="AI207" s="1109">
        <v>52.059714967434132</v>
      </c>
      <c r="AJ207" s="1109">
        <v>44.356283155553058</v>
      </c>
      <c r="AK207" s="1109">
        <v>36.527556045875059</v>
      </c>
      <c r="AL207" s="1109">
        <v>23.979766984791379</v>
      </c>
      <c r="AM207" s="1109">
        <v>21.241299930901722</v>
      </c>
      <c r="AN207" s="1109">
        <v>25.129017365492018</v>
      </c>
      <c r="AO207" s="1109">
        <v>26.871710494563743</v>
      </c>
      <c r="AP207" s="1109">
        <v>27.287428677118687</v>
      </c>
      <c r="AQ207" s="1109">
        <v>29.139923200608397</v>
      </c>
      <c r="AR207" s="1109">
        <v>17.44787628059893</v>
      </c>
      <c r="AS207" s="1109">
        <v>16.667870796267348</v>
      </c>
      <c r="AT207" s="1109">
        <v>28.634339020210252</v>
      </c>
      <c r="AU207" s="1109">
        <v>20.454455460444603</v>
      </c>
      <c r="AV207" s="1109">
        <v>31.378002746869416</v>
      </c>
      <c r="AW207" s="1109">
        <v>34.558859188667178</v>
      </c>
      <c r="AX207" s="1109">
        <v>30.913041036762618</v>
      </c>
      <c r="AY207" s="1109">
        <v>35.086055977735825</v>
      </c>
      <c r="AZ207" s="1109">
        <v>26.963320318760331</v>
      </c>
      <c r="BA207" s="1109">
        <v>22.37700912574207</v>
      </c>
      <c r="BB207" s="1109">
        <v>18.633504410372165</v>
      </c>
      <c r="BC207" s="1109">
        <v>16.095766500727933</v>
      </c>
      <c r="BD207" s="1109">
        <v>16.79435529587769</v>
      </c>
      <c r="BE207" s="1109">
        <v>13.31963454888119</v>
      </c>
      <c r="BF207" s="1109">
        <v>14.015924613816203</v>
      </c>
      <c r="BG207" s="1109">
        <v>14.903243269579313</v>
      </c>
      <c r="BH207" s="1109">
        <v>14.943154056598917</v>
      </c>
      <c r="BI207" s="1109">
        <v>10.230174972289758</v>
      </c>
      <c r="BJ207" s="1109">
        <v>10.688514534887709</v>
      </c>
      <c r="BK207" s="1109">
        <v>8.1499939030705786</v>
      </c>
      <c r="BL207" s="1109">
        <v>10.629170898032937</v>
      </c>
      <c r="BM207" s="1109">
        <v>15.450406836733455</v>
      </c>
      <c r="BN207" s="1109">
        <v>13.871378085390113</v>
      </c>
      <c r="BO207" s="1109">
        <v>16.528720121011588</v>
      </c>
      <c r="BP207" s="1109">
        <v>16.835193628059848</v>
      </c>
      <c r="BQ207" s="1109">
        <v>26.986857580113575</v>
      </c>
      <c r="BR207" s="1109">
        <v>26.175263592021924</v>
      </c>
      <c r="BS207" s="1109">
        <v>30.073303095685876</v>
      </c>
      <c r="BT207" s="1109">
        <v>28.308929284331658</v>
      </c>
      <c r="BU207" s="1109">
        <v>13.262898559218092</v>
      </c>
      <c r="BV207" s="1109">
        <v>15.513045999828737</v>
      </c>
      <c r="BW207" s="1109">
        <v>16.299792673144481</v>
      </c>
      <c r="BX207" s="1109">
        <v>15.207340965423432</v>
      </c>
      <c r="BY207" s="1109">
        <v>14.746943999999907</v>
      </c>
      <c r="BZ207" s="1109">
        <v>14.746944000000115</v>
      </c>
      <c r="CA207" s="1109">
        <v>14.746943999999992</v>
      </c>
      <c r="CB207" s="1109">
        <v>14.746944000000051</v>
      </c>
      <c r="CC207" s="1109">
        <v>14.746944000000129</v>
      </c>
      <c r="CD207" s="1109">
        <v>14.746943999999976</v>
      </c>
      <c r="CE207" s="1109">
        <v>14.746943999999951</v>
      </c>
      <c r="CF207" s="1109">
        <v>14.746943999999997</v>
      </c>
    </row>
    <row r="208" spans="4:84" ht="14.45" hidden="1" outlineLevel="1" collapsed="1">
      <c r="D208" s="1432"/>
      <c r="E208" s="1440"/>
      <c r="F208" s="1107"/>
    </row>
    <row r="209" spans="4:84" ht="14.45" collapsed="1">
      <c r="D209" s="1434" t="s">
        <v>1126</v>
      </c>
      <c r="E209" s="1433" t="s">
        <v>1067</v>
      </c>
      <c r="F209" s="1106" t="s">
        <v>1068</v>
      </c>
      <c r="Y209" s="1108">
        <v>1.5</v>
      </c>
      <c r="Z209" s="1108">
        <v>1.5</v>
      </c>
      <c r="AA209" s="1108">
        <v>1.5</v>
      </c>
      <c r="AB209" s="1108">
        <v>1.5</v>
      </c>
      <c r="AC209" s="1108">
        <v>35</v>
      </c>
      <c r="AD209" s="1108">
        <v>-38.1965</v>
      </c>
      <c r="AE209" s="1108">
        <v>-16.308500000000102</v>
      </c>
      <c r="AF209" s="1108">
        <v>74.753874999999496</v>
      </c>
      <c r="AG209" s="1108">
        <v>91.806874999999494</v>
      </c>
      <c r="AH209" s="1108">
        <v>-35.539650000000151</v>
      </c>
      <c r="AI209" s="1108">
        <v>39.657956250000552</v>
      </c>
      <c r="AJ209" s="1108">
        <v>79.387187499999996</v>
      </c>
      <c r="AK209" s="1108">
        <v>84.560687500000498</v>
      </c>
      <c r="AL209" s="1108">
        <v>26.232519375000251</v>
      </c>
      <c r="AM209" s="1108">
        <v>12.241309375000583</v>
      </c>
      <c r="AN209" s="1108">
        <v>135.05036000000101</v>
      </c>
      <c r="AO209" s="1108">
        <v>70.611175000000443</v>
      </c>
      <c r="AP209" s="1108">
        <v>35.792012000000341</v>
      </c>
      <c r="AQ209" s="1108">
        <v>69.661703850000293</v>
      </c>
      <c r="AR209" s="1108">
        <v>116.5139292000005</v>
      </c>
      <c r="AS209" s="1108">
        <v>92.908687750000794</v>
      </c>
      <c r="AT209" s="1108">
        <v>91.346022999999605</v>
      </c>
      <c r="AU209" s="1108">
        <v>84.549255775000347</v>
      </c>
      <c r="AV209" s="1108">
        <v>108.71763309200016</v>
      </c>
      <c r="AW209" s="1108">
        <v>39.760504812501047</v>
      </c>
      <c r="AX209" s="1108">
        <v>62.9739135299982</v>
      </c>
      <c r="AY209" s="1108">
        <v>86.423143652625754</v>
      </c>
      <c r="BA209" s="1108">
        <v>140.99662555787444</v>
      </c>
      <c r="BB209" s="1108">
        <v>156.38325</v>
      </c>
      <c r="BC209" s="1108">
        <v>156.22999999999999</v>
      </c>
      <c r="BD209" s="1108">
        <v>159.85749999999999</v>
      </c>
      <c r="BE209" s="1108">
        <v>206.52500000000001</v>
      </c>
      <c r="BF209" s="1108">
        <v>220.45139750000001</v>
      </c>
      <c r="BG209" s="1108">
        <v>219.00059999999999</v>
      </c>
      <c r="BH209" s="1108">
        <v>223.42615000000001</v>
      </c>
      <c r="BI209" s="1108">
        <v>239.07575</v>
      </c>
      <c r="BJ209" s="1108">
        <v>259.31424687499998</v>
      </c>
      <c r="BK209" s="1108">
        <v>252.88073199999999</v>
      </c>
      <c r="BL209" s="1108">
        <v>255.11138</v>
      </c>
      <c r="BM209" s="1108">
        <v>410.81876999999997</v>
      </c>
      <c r="BN209" s="1108">
        <v>454.6953376875</v>
      </c>
      <c r="BO209" s="1108">
        <v>435.88329823999999</v>
      </c>
      <c r="BP209" s="1108">
        <v>437.25617399999999</v>
      </c>
      <c r="BQ209" s="1108">
        <v>462.17111625000001</v>
      </c>
      <c r="BR209" s="1108">
        <v>500.16487145625001</v>
      </c>
      <c r="BS209" s="1108">
        <v>475.11279508159998</v>
      </c>
      <c r="BT209" s="1108">
        <v>476.60922965999998</v>
      </c>
    </row>
    <row r="210" spans="4:84" ht="14.45" hidden="1" outlineLevel="1">
      <c r="D210" s="1432"/>
      <c r="E210" s="1440"/>
      <c r="F210" s="1106" t="s">
        <v>1069</v>
      </c>
      <c r="AC210" s="1109">
        <v>2233.333333333333</v>
      </c>
      <c r="AD210" s="1109">
        <v>-2646.4333333333334</v>
      </c>
      <c r="AE210" s="1109">
        <v>-1187.2333333333402</v>
      </c>
      <c r="AF210" s="1109">
        <v>4883.5916666666326</v>
      </c>
      <c r="AG210" s="1109">
        <v>162.30535714285571</v>
      </c>
      <c r="AH210" s="1109">
        <v>6.9557420182473502</v>
      </c>
      <c r="AI210" s="1109">
        <v>343.17353680596193</v>
      </c>
      <c r="AJ210" s="1109">
        <v>6.1980900655658733</v>
      </c>
      <c r="AK210" s="1109">
        <v>-7.8928593310675659</v>
      </c>
      <c r="AL210" s="1109">
        <v>173.8119800701474</v>
      </c>
      <c r="AM210" s="1109">
        <v>-69.132778053835253</v>
      </c>
      <c r="AN210" s="1109">
        <v>70.116065643465461</v>
      </c>
      <c r="AO210" s="1109">
        <v>-16.4964511434465</v>
      </c>
      <c r="AP210" s="1109">
        <v>36.441382119440433</v>
      </c>
      <c r="AQ210" s="1109">
        <v>469.0706910182717</v>
      </c>
      <c r="AR210" s="1109">
        <v>-13.725569335765092</v>
      </c>
      <c r="AS210" s="1109">
        <v>31.577880909077365</v>
      </c>
      <c r="AT210" s="1109">
        <v>155.2134342154298</v>
      </c>
      <c r="AU210" s="1109">
        <v>21.371214171069962</v>
      </c>
      <c r="AV210" s="1109">
        <v>-6.6912996253157981</v>
      </c>
      <c r="AW210" s="1109">
        <v>-57.204750410974668</v>
      </c>
      <c r="AX210" s="1109">
        <v>-31.060038016106656</v>
      </c>
      <c r="AY210" s="1109">
        <v>2.2163268741384723</v>
      </c>
      <c r="BA210" s="1109">
        <v>254.61477720862308</v>
      </c>
      <c r="BB210" s="1109">
        <v>148.33020727782053</v>
      </c>
      <c r="BC210" s="1109">
        <v>80.773336165553062</v>
      </c>
      <c r="BE210" s="1109">
        <v>46.47513667994015</v>
      </c>
      <c r="BF210" s="1109">
        <v>40.968676312840415</v>
      </c>
      <c r="BG210" s="1109">
        <v>40.178326825833707</v>
      </c>
      <c r="BH210" s="1109">
        <v>39.765822685829583</v>
      </c>
      <c r="BI210" s="1109">
        <v>15.761166928943224</v>
      </c>
      <c r="BJ210" s="1109">
        <v>17.628760722644078</v>
      </c>
      <c r="BK210" s="1109">
        <v>15.470337524189434</v>
      </c>
      <c r="BL210" s="1109">
        <v>14.181522619442704</v>
      </c>
      <c r="BM210" s="1109">
        <v>71.836236004697241</v>
      </c>
      <c r="BN210" s="1109">
        <v>75.345297517217276</v>
      </c>
      <c r="BO210" s="1109">
        <v>72.367145093521785</v>
      </c>
      <c r="BP210" s="1109">
        <v>71.39814539045652</v>
      </c>
      <c r="BQ210" s="1109">
        <v>12.500000000000011</v>
      </c>
      <c r="BR210" s="1109">
        <v>10.000000000000002</v>
      </c>
      <c r="BS210" s="1109">
        <v>9</v>
      </c>
      <c r="BT210" s="1109">
        <v>9</v>
      </c>
    </row>
    <row r="211" spans="4:84" ht="14.45" hidden="1" outlineLevel="1" collapsed="1">
      <c r="D211" s="1432"/>
      <c r="E211" s="1440"/>
      <c r="F211" s="1106"/>
    </row>
    <row r="212" spans="4:84" ht="14.45" collapsed="1">
      <c r="D212" s="1431" t="s">
        <v>1127</v>
      </c>
      <c r="E212" s="1433" t="s">
        <v>1067</v>
      </c>
      <c r="F212" s="1107" t="s">
        <v>1068</v>
      </c>
      <c r="G212" s="1108">
        <v>245.59504381747567</v>
      </c>
      <c r="I212" s="1108">
        <v>284.46652914616197</v>
      </c>
      <c r="K212" s="1108">
        <v>327.85744574699436</v>
      </c>
      <c r="M212" s="1108">
        <v>403.87596985207432</v>
      </c>
      <c r="O212" s="1108">
        <v>500.97322970137026</v>
      </c>
      <c r="Q212" s="1108">
        <v>605.88387505979381</v>
      </c>
      <c r="S212" s="1108">
        <v>730.28306199462327</v>
      </c>
      <c r="T212" s="1108">
        <v>979.22553500110166</v>
      </c>
      <c r="U212" s="1108">
        <v>1196.70619740234</v>
      </c>
      <c r="V212" s="1108">
        <v>1314.4638786459625</v>
      </c>
      <c r="W212" s="1108">
        <v>1505.1988978257214</v>
      </c>
      <c r="X212" s="1108">
        <v>1807.3303613088674</v>
      </c>
      <c r="Y212" s="1108">
        <v>2019.827571741801</v>
      </c>
      <c r="Z212" s="1108">
        <v>2211.5173695207018</v>
      </c>
      <c r="AA212" s="1108">
        <v>2460.1292254874174</v>
      </c>
      <c r="AB212" s="1108">
        <v>2833.2077001340372</v>
      </c>
      <c r="AC212" s="1108">
        <v>3200</v>
      </c>
      <c r="AD212" s="1108">
        <v>3400</v>
      </c>
      <c r="AE212" s="1108">
        <v>3800</v>
      </c>
      <c r="AF212" s="1108">
        <v>4500</v>
      </c>
      <c r="AG212" s="1108">
        <v>5800</v>
      </c>
      <c r="AH212" s="1108">
        <v>6100</v>
      </c>
      <c r="AI212" s="1108">
        <v>6800</v>
      </c>
      <c r="AJ212" s="1108">
        <v>7900</v>
      </c>
      <c r="AK212" s="1108">
        <v>8500</v>
      </c>
      <c r="AL212" s="1108">
        <v>9000</v>
      </c>
      <c r="AM212" s="1108">
        <v>9600</v>
      </c>
      <c r="AN212" s="1108">
        <v>11000</v>
      </c>
      <c r="AO212" s="1108">
        <v>11600</v>
      </c>
      <c r="AP212" s="1108">
        <v>12500</v>
      </c>
      <c r="AQ212" s="1108">
        <v>13300</v>
      </c>
      <c r="AR212" s="1108">
        <v>14300</v>
      </c>
      <c r="AS212" s="1108">
        <v>15200</v>
      </c>
      <c r="AT212" s="1108">
        <v>16700</v>
      </c>
      <c r="AU212" s="1108">
        <v>17700</v>
      </c>
      <c r="AV212" s="1108">
        <v>19500</v>
      </c>
      <c r="AW212" s="1108">
        <v>20700</v>
      </c>
      <c r="AX212" s="1108">
        <v>22200</v>
      </c>
      <c r="AY212" s="1108">
        <v>23400</v>
      </c>
      <c r="AZ212" s="1108">
        <v>25100</v>
      </c>
      <c r="BA212" s="1108">
        <v>25700</v>
      </c>
      <c r="BB212" s="1108">
        <v>27100</v>
      </c>
      <c r="BC212" s="1108">
        <v>27966.810020514422</v>
      </c>
      <c r="BD212" s="1108">
        <v>29659.229897514979</v>
      </c>
      <c r="BE212" s="1108">
        <v>30529.720320235643</v>
      </c>
      <c r="BF212" s="1108">
        <v>32274.595875654191</v>
      </c>
      <c r="BG212" s="1108">
        <v>33398.09898697125</v>
      </c>
      <c r="BH212" s="1108">
        <v>35352.872990097501</v>
      </c>
      <c r="BI212" s="1108">
        <v>36317.417991041897</v>
      </c>
      <c r="BJ212" s="1108">
        <v>38411.652469060187</v>
      </c>
      <c r="BK212" s="1108">
        <v>39744.617696985835</v>
      </c>
      <c r="BL212" s="1108">
        <v>42049.765542181151</v>
      </c>
      <c r="BM212" s="1108">
        <v>43580.385966801441</v>
      </c>
      <c r="BN212" s="1108">
        <v>45821.478077824097</v>
      </c>
      <c r="BO212" s="1108">
        <v>47058.135758492041</v>
      </c>
      <c r="BP212" s="1108">
        <v>50105.43771688376</v>
      </c>
      <c r="BQ212" s="1108">
        <v>51907.74080174783</v>
      </c>
      <c r="BR212" s="1108">
        <v>54436.79439055737</v>
      </c>
      <c r="BS212" s="1108">
        <v>55671.778840958665</v>
      </c>
      <c r="BT212" s="1108">
        <v>59442.556476584898</v>
      </c>
      <c r="BU212" s="1108">
        <v>55282.370181987797</v>
      </c>
      <c r="BV212" s="1108">
        <v>58363.315070910103</v>
      </c>
      <c r="BW212" s="1108">
        <v>60220.558004718798</v>
      </c>
      <c r="BX212" s="1108">
        <v>64386.186649332602</v>
      </c>
      <c r="BY212" s="1108">
        <v>61419.057097987003</v>
      </c>
      <c r="BZ212" s="1108">
        <v>64771.203654282202</v>
      </c>
      <c r="CA212" s="1108">
        <v>66786.068093418493</v>
      </c>
      <c r="CB212" s="1108">
        <v>71350.651735237305</v>
      </c>
      <c r="CC212" s="1108">
        <v>67755.367536871607</v>
      </c>
      <c r="CD212" s="1108">
        <v>71373.551398585099</v>
      </c>
      <c r="CE212" s="1108">
        <v>73542.708336045296</v>
      </c>
      <c r="CF212" s="1108">
        <v>78503.148974419499</v>
      </c>
    </row>
    <row r="213" spans="4:84" ht="14.45" hidden="1" outlineLevel="1">
      <c r="D213" s="1432"/>
      <c r="E213" s="1440"/>
      <c r="F213" s="1107" t="s">
        <v>1069</v>
      </c>
      <c r="O213" s="1109">
        <v>103.98344441905336</v>
      </c>
      <c r="Q213" s="1109">
        <v>112.98951299415761</v>
      </c>
      <c r="S213" s="1109">
        <v>122.74408328007848</v>
      </c>
      <c r="T213" s="1109">
        <v>142.45699375473063</v>
      </c>
      <c r="U213" s="1109">
        <v>138.8762765059713</v>
      </c>
      <c r="V213" s="1109">
        <v>116.9498038739255</v>
      </c>
      <c r="W213" s="1109">
        <v>106.11170875503662</v>
      </c>
      <c r="X213" s="1109">
        <v>84.567323533575347</v>
      </c>
      <c r="Y213" s="1109">
        <v>68.782243806056144</v>
      </c>
      <c r="Z213" s="1109">
        <v>68.244818701203087</v>
      </c>
      <c r="AA213" s="1109">
        <v>63.442135723132999</v>
      </c>
      <c r="AB213" s="1109">
        <v>56.762026510871543</v>
      </c>
      <c r="AC213" s="1109">
        <v>58.42936519776665</v>
      </c>
      <c r="AD213" s="1109">
        <v>53.74059669885731</v>
      </c>
      <c r="AE213" s="1109">
        <v>54.463430645482383</v>
      </c>
      <c r="AF213" s="1109">
        <v>58.830572138678995</v>
      </c>
      <c r="AG213" s="1109">
        <v>81.25</v>
      </c>
      <c r="AH213" s="1109">
        <v>79.411764705882348</v>
      </c>
      <c r="AI213" s="1109">
        <v>78.94736842105263</v>
      </c>
      <c r="AJ213" s="1109">
        <v>75.555555555555557</v>
      </c>
      <c r="AK213" s="1109">
        <v>46.551724137931032</v>
      </c>
      <c r="AL213" s="1109">
        <v>47.540983606557376</v>
      </c>
      <c r="AM213" s="1109">
        <v>41.17647058823529</v>
      </c>
      <c r="AN213" s="1109">
        <v>39.24050632911392</v>
      </c>
      <c r="AO213" s="1109">
        <v>36.470588235294116</v>
      </c>
      <c r="AP213" s="1109">
        <v>38.888888888888893</v>
      </c>
      <c r="AQ213" s="1109">
        <v>38.541666666666671</v>
      </c>
      <c r="AR213" s="1109">
        <v>30</v>
      </c>
      <c r="AS213" s="1109">
        <v>31.03448275862069</v>
      </c>
      <c r="AT213" s="1109">
        <v>33.6</v>
      </c>
      <c r="AU213" s="1109">
        <v>33.082706766917291</v>
      </c>
      <c r="AV213" s="1109">
        <v>36.363636363636367</v>
      </c>
      <c r="AW213" s="1109">
        <v>36.184210526315788</v>
      </c>
      <c r="AX213" s="1109">
        <v>32.934131736526943</v>
      </c>
      <c r="AY213" s="1109">
        <v>32.20338983050847</v>
      </c>
      <c r="AZ213" s="1109">
        <v>28.717948717948715</v>
      </c>
      <c r="BA213" s="1109">
        <v>24.154589371980677</v>
      </c>
      <c r="BB213" s="1109">
        <v>22.072072072072071</v>
      </c>
      <c r="BC213" s="1109">
        <v>19.516282138950523</v>
      </c>
      <c r="BD213" s="1109">
        <v>18.164262539900314</v>
      </c>
      <c r="BE213" s="1109">
        <v>18.79268607095581</v>
      </c>
      <c r="BF213" s="1109">
        <v>19.094449725661221</v>
      </c>
      <c r="BG213" s="1109">
        <v>19.420480785877363</v>
      </c>
      <c r="BH213" s="1109">
        <v>19.196867593179043</v>
      </c>
      <c r="BI213" s="1109">
        <v>18.957584969981088</v>
      </c>
      <c r="BJ213" s="1109">
        <v>19.015130714728432</v>
      </c>
      <c r="BK213" s="1109">
        <v>19.002634588544666</v>
      </c>
      <c r="BL213" s="1109">
        <v>18.942993838038223</v>
      </c>
      <c r="BM213" s="1109">
        <v>19.998580233735332</v>
      </c>
      <c r="BN213" s="1109">
        <v>19.290567139053376</v>
      </c>
      <c r="BO213" s="1109">
        <v>18.401279180151356</v>
      </c>
      <c r="BP213" s="1109">
        <v>19.157472273232457</v>
      </c>
      <c r="BQ213" s="1109">
        <v>19.108033694997516</v>
      </c>
      <c r="BR213" s="1109">
        <v>18.801917079368003</v>
      </c>
      <c r="BS213" s="1109">
        <v>18.304259069404846</v>
      </c>
      <c r="BT213" s="1109">
        <v>18.634941006722027</v>
      </c>
      <c r="BU213" s="1109">
        <v>6.5012064253166972</v>
      </c>
      <c r="BV213" s="1109">
        <v>7.2129902657049705</v>
      </c>
      <c r="BW213" s="1109">
        <v>8.1707092147260791</v>
      </c>
      <c r="BX213" s="1109">
        <v>8.31665134505959</v>
      </c>
      <c r="BY213" s="1109">
        <v>11.100621944749165</v>
      </c>
      <c r="BZ213" s="1109">
        <v>10.979308792837864</v>
      </c>
      <c r="CA213" s="1109">
        <v>10.902439808321322</v>
      </c>
      <c r="CB213" s="1109">
        <v>10.816706887512019</v>
      </c>
      <c r="CC213" s="1109">
        <v>10.316521839102403</v>
      </c>
      <c r="CD213" s="1109">
        <v>10.193338045010064</v>
      </c>
      <c r="CE213" s="1109">
        <v>10.116840885401134</v>
      </c>
      <c r="CF213" s="1109">
        <v>10.024431543699347</v>
      </c>
    </row>
    <row r="214" spans="4:84" ht="14.45" hidden="1" outlineLevel="1" collapsed="1">
      <c r="D214" s="1432"/>
      <c r="E214" s="1440"/>
      <c r="F214" s="1107"/>
    </row>
    <row r="215" spans="4:84" ht="14.45" collapsed="1">
      <c r="D215" s="1431" t="s">
        <v>1128</v>
      </c>
      <c r="E215" s="1433" t="s">
        <v>1067</v>
      </c>
      <c r="F215" s="1106" t="s">
        <v>1068</v>
      </c>
      <c r="G215" s="1108">
        <v>309.31074164300952</v>
      </c>
      <c r="I215" s="1108">
        <v>338.93987093686599</v>
      </c>
      <c r="K215" s="1108">
        <v>377.841158515139</v>
      </c>
      <c r="M215" s="1108">
        <v>436.786660653799</v>
      </c>
      <c r="O215" s="1108">
        <v>424.018487926749</v>
      </c>
      <c r="Q215" s="1108">
        <v>473.13057986335167</v>
      </c>
      <c r="S215" s="1108">
        <v>525.31338596113301</v>
      </c>
      <c r="T215" s="1108">
        <v>632.29522885335371</v>
      </c>
      <c r="U215" s="1108">
        <v>709.18310547538601</v>
      </c>
      <c r="V215" s="1108">
        <v>798.98523306041477</v>
      </c>
      <c r="W215" s="1108">
        <v>815.1572897065987</v>
      </c>
      <c r="X215" s="1108">
        <v>997.83946507206304</v>
      </c>
      <c r="Y215" s="1108">
        <v>1147.91437578621</v>
      </c>
      <c r="Z215" s="1108">
        <v>1290.5712115228487</v>
      </c>
      <c r="AA215" s="1108">
        <v>1414.1236215686185</v>
      </c>
      <c r="AB215" s="1108">
        <v>1695.6700560735942</v>
      </c>
      <c r="AC215" s="1108">
        <v>1632</v>
      </c>
      <c r="AD215" s="1108">
        <v>1768</v>
      </c>
      <c r="AE215" s="1108">
        <v>1862</v>
      </c>
      <c r="AF215" s="1108">
        <v>2160</v>
      </c>
      <c r="AG215" s="1108">
        <v>2436</v>
      </c>
      <c r="AH215" s="1108">
        <v>2623</v>
      </c>
      <c r="AI215" s="1108">
        <v>2856</v>
      </c>
      <c r="AJ215" s="1108">
        <v>3239</v>
      </c>
      <c r="AK215" s="1108">
        <v>3230</v>
      </c>
      <c r="AL215" s="1108">
        <v>3420</v>
      </c>
      <c r="AM215" s="1108">
        <v>3552</v>
      </c>
      <c r="AN215" s="1108">
        <v>3850</v>
      </c>
      <c r="AO215" s="1108">
        <v>3944</v>
      </c>
      <c r="AP215" s="1108">
        <v>4125</v>
      </c>
      <c r="AQ215" s="1108">
        <v>4389</v>
      </c>
      <c r="AR215" s="1108">
        <v>4862</v>
      </c>
      <c r="AS215" s="1108">
        <v>4408</v>
      </c>
      <c r="AT215" s="1108">
        <v>4843</v>
      </c>
      <c r="AU215" s="1108">
        <v>5310</v>
      </c>
      <c r="AV215" s="1108">
        <v>5850</v>
      </c>
      <c r="AW215" s="1108">
        <v>6003</v>
      </c>
      <c r="AX215" s="1108">
        <v>6660</v>
      </c>
      <c r="AY215" s="1108">
        <v>7020</v>
      </c>
      <c r="AZ215" s="1108">
        <v>7781</v>
      </c>
      <c r="BA215" s="1108">
        <v>6939</v>
      </c>
      <c r="BB215" s="1108">
        <v>7588</v>
      </c>
      <c r="BC215" s="1108">
        <v>8079.5379747288089</v>
      </c>
      <c r="BD215" s="1108">
        <v>8528.5120309228205</v>
      </c>
      <c r="BE215" s="1108">
        <v>8525.1936515091329</v>
      </c>
      <c r="BF215" s="1108">
        <v>9125.0801792708735</v>
      </c>
      <c r="BG215" s="1108">
        <v>9495.1175415555535</v>
      </c>
      <c r="BH215" s="1108">
        <v>10031.332990872663</v>
      </c>
      <c r="BI215" s="1108">
        <v>9952.9539499627135</v>
      </c>
      <c r="BJ215" s="1108">
        <v>10727.601135115645</v>
      </c>
      <c r="BK215" s="1108">
        <v>11106.51062716538</v>
      </c>
      <c r="BL215" s="1108">
        <v>11718.40416953686</v>
      </c>
      <c r="BM215" s="1108">
        <v>10972.152086436199</v>
      </c>
      <c r="BN215" s="1108">
        <v>11805.558229778326</v>
      </c>
      <c r="BO215" s="1108">
        <v>12345.433269740324</v>
      </c>
      <c r="BP215" s="1108">
        <v>13122.245160858774</v>
      </c>
      <c r="BQ215" s="1108">
        <v>12468.102036134</v>
      </c>
      <c r="BR215" s="1108">
        <v>13275.42139476145</v>
      </c>
      <c r="BS215" s="1108">
        <v>13672.319553426451</v>
      </c>
      <c r="BT215" s="1108">
        <v>14598.37125184395</v>
      </c>
      <c r="BU215" s="1108">
        <v>13118.969409279</v>
      </c>
      <c r="BV215" s="1108">
        <v>13850.4931862181</v>
      </c>
      <c r="BW215" s="1108">
        <v>14272.573513257999</v>
      </c>
      <c r="BX215" s="1108">
        <v>15336.702350195899</v>
      </c>
      <c r="BY215" s="1108">
        <v>14446.053689234101</v>
      </c>
      <c r="BZ215" s="1108">
        <v>15240.211285567701</v>
      </c>
      <c r="CA215" s="1108">
        <v>15696.7793216841</v>
      </c>
      <c r="CB215" s="1108">
        <v>16858.827992818799</v>
      </c>
      <c r="CC215" s="1108">
        <v>15791.8841088729</v>
      </c>
      <c r="CD215" s="1108">
        <v>16646.7433893257</v>
      </c>
      <c r="CE215" s="1108">
        <v>17136.516155588299</v>
      </c>
      <c r="CF215" s="1108">
        <v>18394.504124896299</v>
      </c>
    </row>
    <row r="216" spans="4:84" ht="14.45" hidden="1" outlineLevel="1">
      <c r="D216" s="1432"/>
      <c r="E216" s="1440"/>
      <c r="F216" s="1106" t="s">
        <v>1069</v>
      </c>
      <c r="O216" s="1109">
        <v>37.084954009172186</v>
      </c>
      <c r="Q216" s="1109">
        <v>39.591302302549487</v>
      </c>
      <c r="S216" s="1109">
        <v>39.030217889850462</v>
      </c>
      <c r="T216" s="1109">
        <v>44.760654527981693</v>
      </c>
      <c r="U216" s="1109">
        <v>67.2528735581691</v>
      </c>
      <c r="V216" s="1109">
        <v>68.872033866670705</v>
      </c>
      <c r="W216" s="1109">
        <v>55.175426991101027</v>
      </c>
      <c r="X216" s="1109">
        <v>57.812271789811163</v>
      </c>
      <c r="Y216" s="1109">
        <v>61.864315001797699</v>
      </c>
      <c r="Z216" s="1109">
        <v>61.526290865160824</v>
      </c>
      <c r="AA216" s="1109">
        <v>73.478620558936186</v>
      </c>
      <c r="AB216" s="1109">
        <v>69.934154283137559</v>
      </c>
      <c r="AC216" s="1109">
        <v>42.170882639416227</v>
      </c>
      <c r="AD216" s="1109">
        <v>36.993602849221681</v>
      </c>
      <c r="AE216" s="1109">
        <v>31.671656678400854</v>
      </c>
      <c r="AF216" s="1109">
        <v>27.383272014697489</v>
      </c>
      <c r="AG216" s="1109">
        <v>49.264705882352942</v>
      </c>
      <c r="AH216" s="1109">
        <v>48.359728506787327</v>
      </c>
      <c r="AI216" s="1109">
        <v>53.383458646616546</v>
      </c>
      <c r="AJ216" s="1109">
        <v>49.953703703703702</v>
      </c>
      <c r="AK216" s="1109">
        <v>32.594417077175699</v>
      </c>
      <c r="AL216" s="1109">
        <v>30.385055280213496</v>
      </c>
      <c r="AM216" s="1109">
        <v>24.369747899159663</v>
      </c>
      <c r="AN216" s="1109">
        <v>18.863846866316763</v>
      </c>
      <c r="AO216" s="1109">
        <v>22.105263157894736</v>
      </c>
      <c r="AP216" s="1109">
        <v>20.614035087719298</v>
      </c>
      <c r="AQ216" s="1109">
        <v>23.564189189189189</v>
      </c>
      <c r="AR216" s="1109">
        <v>26.285714285714285</v>
      </c>
      <c r="AS216" s="1109">
        <v>11.76470588235294</v>
      </c>
      <c r="AT216" s="1109">
        <v>17.406060606060606</v>
      </c>
      <c r="AU216" s="1109">
        <v>20.984278879015722</v>
      </c>
      <c r="AV216" s="1109">
        <v>20.320855614973262</v>
      </c>
      <c r="AW216" s="1109">
        <v>36.184210526315788</v>
      </c>
      <c r="AX216" s="1109">
        <v>37.518067313648565</v>
      </c>
      <c r="AY216" s="1109">
        <v>32.20338983050847</v>
      </c>
      <c r="AZ216" s="1109">
        <v>33.008547008547005</v>
      </c>
      <c r="BA216" s="1109">
        <v>15.592203898050974</v>
      </c>
      <c r="BB216" s="1109">
        <v>13.933933933933934</v>
      </c>
      <c r="BC216" s="1109">
        <v>15.093133543145425</v>
      </c>
      <c r="BD216" s="1109">
        <v>9.6068889721478019</v>
      </c>
      <c r="BE216" s="1109">
        <v>22.859110124068785</v>
      </c>
      <c r="BF216" s="1109">
        <v>20.256723501197595</v>
      </c>
      <c r="BG216" s="1109">
        <v>17.520550943066258</v>
      </c>
      <c r="BH216" s="1109">
        <v>17.621139004094609</v>
      </c>
      <c r="BI216" s="1109">
        <v>16.747540957041345</v>
      </c>
      <c r="BJ216" s="1109">
        <v>17.56171917793295</v>
      </c>
      <c r="BK216" s="1109">
        <v>16.970754480474156</v>
      </c>
      <c r="BL216" s="1109">
        <v>16.818015912732971</v>
      </c>
      <c r="BM216" s="1109">
        <v>10.240157259818366</v>
      </c>
      <c r="BN216" s="1109">
        <v>10.048444951351748</v>
      </c>
      <c r="BO216" s="1109">
        <v>11.154922406904891</v>
      </c>
      <c r="BP216" s="1109">
        <v>11.979796660123203</v>
      </c>
      <c r="BQ216" s="1109">
        <v>13.634061375681233</v>
      </c>
      <c r="BR216" s="1109">
        <v>12.450602812457804</v>
      </c>
      <c r="BS216" s="1109">
        <v>10.747992838278378</v>
      </c>
      <c r="BT216" s="1109">
        <v>11.2490360673049</v>
      </c>
      <c r="BU216" s="1109">
        <v>5.2202602389578709</v>
      </c>
      <c r="BV216" s="1109">
        <v>4.3318533879728793</v>
      </c>
      <c r="BW216" s="1109">
        <v>4.390286209197896</v>
      </c>
      <c r="BX216" s="1109">
        <v>5.0576265366500355</v>
      </c>
      <c r="BY216" s="1109">
        <v>10.115766250788411</v>
      </c>
      <c r="BZ216" s="1109">
        <v>10.033708407816381</v>
      </c>
      <c r="CA216" s="1109">
        <v>9.9786195327922851</v>
      </c>
      <c r="CB216" s="1109">
        <v>9.9247257191729812</v>
      </c>
      <c r="CC216" s="1109">
        <v>9.3162496041516025</v>
      </c>
      <c r="CD216" s="1109">
        <v>9.2290853282983623</v>
      </c>
      <c r="CE216" s="1109">
        <v>9.1721798746020085</v>
      </c>
      <c r="CF216" s="1109">
        <v>9.1090325657966176</v>
      </c>
    </row>
    <row r="217" spans="4:84" ht="14.45" hidden="1" outlineLevel="1" collapsed="1">
      <c r="D217" s="1432"/>
      <c r="E217" s="1440"/>
      <c r="F217" s="1106"/>
    </row>
    <row r="218" spans="4:84" ht="14.45" collapsed="1">
      <c r="D218" s="1431" t="s">
        <v>1129</v>
      </c>
      <c r="E218" s="1433" t="s">
        <v>1067</v>
      </c>
      <c r="F218" s="1107" t="s">
        <v>1068</v>
      </c>
      <c r="G218" s="1108">
        <v>-55.540675916795998</v>
      </c>
      <c r="I218" s="1108">
        <v>-45.340077217622898</v>
      </c>
      <c r="K218" s="1108">
        <v>-38.489989894647358</v>
      </c>
      <c r="M218" s="1108">
        <v>-28.00520587568797</v>
      </c>
      <c r="O218" s="1108">
        <v>81.670891419672301</v>
      </c>
      <c r="Q218" s="1108">
        <v>119.82137057933376</v>
      </c>
      <c r="S218" s="1108">
        <v>169.24031536001007</v>
      </c>
      <c r="T218" s="1108">
        <v>289.12109040453731</v>
      </c>
      <c r="U218" s="1108">
        <v>461.44346018239423</v>
      </c>
      <c r="V218" s="1108">
        <v>510.3368387648465</v>
      </c>
      <c r="W218" s="1108">
        <v>671.01444698040871</v>
      </c>
      <c r="X218" s="1108">
        <v>794.81224484725828</v>
      </c>
      <c r="Y218" s="1108">
        <v>804.78138251220605</v>
      </c>
      <c r="Z218" s="1108">
        <v>936.77503064958285</v>
      </c>
      <c r="AA218" s="1108">
        <v>1031.6679000522472</v>
      </c>
      <c r="AB218" s="1108">
        <v>1116.4646155656071</v>
      </c>
      <c r="AC218" s="1108">
        <v>1568</v>
      </c>
      <c r="AD218" s="1108">
        <v>1632</v>
      </c>
      <c r="AE218" s="1108">
        <v>1938</v>
      </c>
      <c r="AF218" s="1108">
        <v>2340</v>
      </c>
      <c r="AG218" s="1108">
        <v>3364</v>
      </c>
      <c r="AH218" s="1108">
        <v>3477</v>
      </c>
      <c r="AI218" s="1108">
        <v>3944</v>
      </c>
      <c r="AJ218" s="1108">
        <v>4661</v>
      </c>
      <c r="AK218" s="1108">
        <v>5270</v>
      </c>
      <c r="AL218" s="1108">
        <v>5580</v>
      </c>
      <c r="AM218" s="1108">
        <v>6048</v>
      </c>
      <c r="AN218" s="1108">
        <v>7150</v>
      </c>
      <c r="AO218" s="1108">
        <v>7656</v>
      </c>
      <c r="AP218" s="1108">
        <v>8375</v>
      </c>
      <c r="AQ218" s="1108">
        <v>8911</v>
      </c>
      <c r="AR218" s="1108">
        <v>9438</v>
      </c>
      <c r="AS218" s="1108">
        <v>10792</v>
      </c>
      <c r="AT218" s="1108">
        <v>11857</v>
      </c>
      <c r="AU218" s="1108">
        <v>12390</v>
      </c>
      <c r="AV218" s="1108">
        <v>13650</v>
      </c>
      <c r="AW218" s="1108">
        <v>14697</v>
      </c>
      <c r="AX218" s="1108">
        <v>15540</v>
      </c>
      <c r="AY218" s="1108">
        <v>16380</v>
      </c>
      <c r="AZ218" s="1108">
        <v>17319</v>
      </c>
      <c r="BA218" s="1108">
        <v>18761</v>
      </c>
      <c r="BB218" s="1108">
        <v>19512</v>
      </c>
      <c r="BC218" s="1108">
        <v>20176.657334327272</v>
      </c>
      <c r="BD218" s="1108">
        <v>21488.115024910629</v>
      </c>
      <c r="BE218" s="1108">
        <v>22252.902852430816</v>
      </c>
      <c r="BF218" s="1108">
        <v>23515.607662181985</v>
      </c>
      <c r="BG218" s="1108">
        <v>24107.037493812357</v>
      </c>
      <c r="BH218" s="1108">
        <v>25469.313976102316</v>
      </c>
      <c r="BI218" s="1108">
        <v>26594.094098306985</v>
      </c>
      <c r="BJ218" s="1108">
        <v>28180.441500931684</v>
      </c>
      <c r="BK218" s="1108">
        <v>28948.60507830566</v>
      </c>
      <c r="BL218" s="1108">
        <v>30558.8652963922</v>
      </c>
      <c r="BM218" s="1108">
        <v>31386.921220403427</v>
      </c>
      <c r="BN218" s="1108">
        <v>32647.978092911875</v>
      </c>
      <c r="BO218" s="1108">
        <v>33261.235134292925</v>
      </c>
      <c r="BP218" s="1108">
        <v>35168.53960383415</v>
      </c>
      <c r="BQ218" s="1108">
        <v>35701.470122737897</v>
      </c>
      <c r="BR218" s="1108">
        <v>36956.703050263401</v>
      </c>
      <c r="BS218" s="1108">
        <v>37583.100934190254</v>
      </c>
      <c r="BT218" s="1108">
        <v>39629.17357450605</v>
      </c>
      <c r="BU218" s="1108">
        <v>42163.400772708803</v>
      </c>
      <c r="BV218" s="1108">
        <v>44512.821884691999</v>
      </c>
      <c r="BW218" s="1108">
        <v>45947.984491460797</v>
      </c>
      <c r="BX218" s="1108">
        <v>49049.484299136697</v>
      </c>
      <c r="BY218" s="1108">
        <v>46973.003408752898</v>
      </c>
      <c r="BZ218" s="1108">
        <v>49530.992368714498</v>
      </c>
      <c r="CA218" s="1108">
        <v>51089.288771734398</v>
      </c>
      <c r="CB218" s="1108">
        <v>54491.823742418397</v>
      </c>
      <c r="CC218" s="1108">
        <v>51963.483427998697</v>
      </c>
      <c r="CD218" s="1108">
        <v>54726.808009259497</v>
      </c>
      <c r="CE218" s="1108">
        <v>56406.192180457001</v>
      </c>
      <c r="CF218" s="1108">
        <v>60108.644849523203</v>
      </c>
    </row>
    <row r="219" spans="4:84" ht="14.45" hidden="1" outlineLevel="1">
      <c r="D219" s="1432"/>
      <c r="E219" s="1440"/>
      <c r="F219" s="1107" t="s">
        <v>1069</v>
      </c>
      <c r="O219" s="1109">
        <v>247.04698866470639</v>
      </c>
      <c r="Q219" s="1109">
        <v>364.2725331150545</v>
      </c>
      <c r="S219" s="1109">
        <v>539.69955778955818</v>
      </c>
      <c r="T219" s="1109">
        <v>1132.3833778902183</v>
      </c>
      <c r="U219" s="1109">
        <v>465.00357980817262</v>
      </c>
      <c r="V219" s="1109">
        <v>325.9147064479223</v>
      </c>
      <c r="W219" s="1109">
        <v>296.48617148521532</v>
      </c>
      <c r="X219" s="1109">
        <v>174.90635281402663</v>
      </c>
      <c r="Y219" s="1109">
        <v>74.405198460088911</v>
      </c>
      <c r="Z219" s="1109">
        <v>83.560142927724428</v>
      </c>
      <c r="AA219" s="1109">
        <v>53.747494512941287</v>
      </c>
      <c r="AB219" s="1109">
        <v>40.468975258447593</v>
      </c>
      <c r="AC219" s="1109">
        <v>94.835521058567522</v>
      </c>
      <c r="AD219" s="1109">
        <v>74.214720354825332</v>
      </c>
      <c r="AE219" s="1109">
        <v>87.851148601391301</v>
      </c>
      <c r="AF219" s="1109">
        <v>109.59016231916523</v>
      </c>
      <c r="AG219" s="1109">
        <v>114.54081632653062</v>
      </c>
      <c r="AH219" s="1109">
        <v>113.0514705882353</v>
      </c>
      <c r="AI219" s="1109">
        <v>103.50877192982458</v>
      </c>
      <c r="AJ219" s="1109">
        <v>99.188034188034194</v>
      </c>
      <c r="AK219" s="1109">
        <v>56.658739595719375</v>
      </c>
      <c r="AL219" s="1109">
        <v>60.483175150992231</v>
      </c>
      <c r="AM219" s="1109">
        <v>53.346855983772826</v>
      </c>
      <c r="AN219" s="1109">
        <v>53.40055782021026</v>
      </c>
      <c r="AO219" s="1109">
        <v>45.275142314990511</v>
      </c>
      <c r="AP219" s="1109">
        <v>50.089605734767026</v>
      </c>
      <c r="AQ219" s="1109">
        <v>47.337962962962962</v>
      </c>
      <c r="AR219" s="1109">
        <v>32</v>
      </c>
      <c r="AS219" s="1109">
        <v>40.96133751306165</v>
      </c>
      <c r="AT219" s="1109">
        <v>41.576119402985071</v>
      </c>
      <c r="AU219" s="1109">
        <v>39.041633935585232</v>
      </c>
      <c r="AV219" s="1109">
        <v>44.628099173553721</v>
      </c>
      <c r="AW219" s="1109">
        <v>36.184210526315788</v>
      </c>
      <c r="AX219" s="1109">
        <v>31.061820021927979</v>
      </c>
      <c r="AY219" s="1109">
        <v>32.20338983050847</v>
      </c>
      <c r="AZ219" s="1109">
        <v>26.879120879120876</v>
      </c>
      <c r="BA219" s="1109">
        <v>27.651901748656186</v>
      </c>
      <c r="BB219" s="1109">
        <v>25.559845559845563</v>
      </c>
      <c r="BC219" s="1109">
        <v>23.178616204684204</v>
      </c>
      <c r="BD219" s="1109">
        <v>24.072492781977182</v>
      </c>
      <c r="BE219" s="1109">
        <v>18.61256250962537</v>
      </c>
      <c r="BF219" s="1109">
        <v>20.51869445562723</v>
      </c>
      <c r="BG219" s="1109">
        <v>19.479837984848896</v>
      </c>
      <c r="BH219" s="1109">
        <v>18.52744620259331</v>
      </c>
      <c r="BI219" s="1109">
        <v>19.508426719267121</v>
      </c>
      <c r="BJ219" s="1109">
        <v>19.837181780557287</v>
      </c>
      <c r="BK219" s="1109">
        <v>20.08362738779498</v>
      </c>
      <c r="BL219" s="1109">
        <v>19.983071884328631</v>
      </c>
      <c r="BM219" s="1109">
        <v>18.022148467924534</v>
      </c>
      <c r="BN219" s="1109">
        <v>15.853323631684368</v>
      </c>
      <c r="BO219" s="1109">
        <v>14.897540120919983</v>
      </c>
      <c r="BP219" s="1109">
        <v>15.084572881657918</v>
      </c>
      <c r="BQ219" s="1109">
        <v>13.746327242602401</v>
      </c>
      <c r="BR219" s="1109">
        <v>13.197524652489836</v>
      </c>
      <c r="BS219" s="1109">
        <v>12.993702075246775</v>
      </c>
      <c r="BT219" s="1109">
        <v>12.683591701332952</v>
      </c>
      <c r="BU219" s="1109">
        <v>18.09990072609186</v>
      </c>
      <c r="BV219" s="1109">
        <v>20.445868302028483</v>
      </c>
      <c r="BW219" s="1109">
        <v>22.257034010891864</v>
      </c>
      <c r="BX219" s="1109">
        <v>23.771151086256442</v>
      </c>
      <c r="BY219" s="1109">
        <v>11.407055759025059</v>
      </c>
      <c r="BZ219" s="1109">
        <v>11.273539334400754</v>
      </c>
      <c r="CA219" s="1109">
        <v>11.189401095991681</v>
      </c>
      <c r="CB219" s="1109">
        <v>11.095609915265694</v>
      </c>
      <c r="CC219" s="1109">
        <v>10.624145055872408</v>
      </c>
      <c r="CD219" s="1109">
        <v>10.490029357511636</v>
      </c>
      <c r="CE219" s="1109">
        <v>10.40708049876832</v>
      </c>
      <c r="CF219" s="1109">
        <v>10.307640158375669</v>
      </c>
    </row>
    <row r="220" spans="4:84" ht="14.45" hidden="1" outlineLevel="1" collapsed="1">
      <c r="D220" s="1432"/>
      <c r="E220" s="1440"/>
      <c r="F220" s="1107"/>
    </row>
    <row r="221" spans="4:84" ht="14.45" collapsed="1">
      <c r="D221" s="1431" t="s">
        <v>1130</v>
      </c>
      <c r="E221" s="1433" t="s">
        <v>1131</v>
      </c>
      <c r="F221" s="1106" t="s">
        <v>1068</v>
      </c>
      <c r="G221" s="1109">
        <v>-21.920053841757991</v>
      </c>
      <c r="I221" s="1109">
        <v>-15.403405128453961</v>
      </c>
      <c r="K221" s="1109">
        <v>-10.682876749604789</v>
      </c>
      <c r="M221" s="1109">
        <v>-7.1887811546160298</v>
      </c>
      <c r="O221" s="1109">
        <v>16.987705601298799</v>
      </c>
      <c r="Q221" s="1109">
        <v>20.780099940475299</v>
      </c>
      <c r="S221" s="1109">
        <v>24.421405504728</v>
      </c>
      <c r="T221" s="1109">
        <v>30.854132510167666</v>
      </c>
      <c r="U221" s="1109">
        <v>41.552736129422236</v>
      </c>
      <c r="V221" s="1109">
        <v>39.775035692943703</v>
      </c>
      <c r="W221" s="1109">
        <v>46.400598424318098</v>
      </c>
      <c r="X221" s="1109">
        <v>45.95957256158033</v>
      </c>
      <c r="Y221" s="1109">
        <v>43.566700568580217</v>
      </c>
      <c r="Z221" s="1109">
        <v>46</v>
      </c>
      <c r="AA221" s="1109">
        <v>45</v>
      </c>
      <c r="AB221" s="1109">
        <v>42</v>
      </c>
      <c r="AC221" s="1109">
        <v>49</v>
      </c>
      <c r="AD221" s="1109">
        <v>48</v>
      </c>
      <c r="AE221" s="1109">
        <v>51</v>
      </c>
      <c r="AF221" s="1109">
        <v>52</v>
      </c>
      <c r="AG221" s="1109">
        <v>57.999999999999993</v>
      </c>
      <c r="AH221" s="1109">
        <v>56.999999999999993</v>
      </c>
      <c r="AI221" s="1109">
        <v>57.999999999999993</v>
      </c>
      <c r="AJ221" s="1109">
        <v>59</v>
      </c>
      <c r="AK221" s="1109">
        <v>62</v>
      </c>
      <c r="AL221" s="1109">
        <v>62</v>
      </c>
      <c r="AM221" s="1109">
        <v>63</v>
      </c>
      <c r="AN221" s="1109">
        <v>65</v>
      </c>
      <c r="AO221" s="1109">
        <v>66</v>
      </c>
      <c r="AP221" s="1109">
        <v>67</v>
      </c>
      <c r="AQ221" s="1109">
        <v>67</v>
      </c>
      <c r="AR221" s="1109">
        <v>66</v>
      </c>
      <c r="AS221" s="1109">
        <v>71</v>
      </c>
      <c r="AT221" s="1109">
        <v>71</v>
      </c>
      <c r="AU221" s="1109">
        <v>70</v>
      </c>
      <c r="AV221" s="1109">
        <v>70</v>
      </c>
      <c r="AW221" s="1109">
        <v>71</v>
      </c>
      <c r="AX221" s="1109">
        <v>70</v>
      </c>
      <c r="AY221" s="1109">
        <v>70</v>
      </c>
      <c r="AZ221" s="1109">
        <v>69</v>
      </c>
      <c r="BA221" s="1109">
        <v>73</v>
      </c>
      <c r="BB221" s="1109">
        <v>72</v>
      </c>
      <c r="BC221" s="1109">
        <v>71.447056025007583</v>
      </c>
      <c r="BD221" s="1109">
        <v>71.646026896417411</v>
      </c>
      <c r="BE221" s="1109">
        <v>72.556659235112647</v>
      </c>
      <c r="BF221" s="1109">
        <v>72.208892727105976</v>
      </c>
      <c r="BG221" s="1109">
        <v>71.845056684904719</v>
      </c>
      <c r="BH221" s="1109">
        <v>71.759957383007873</v>
      </c>
      <c r="BI221" s="1109">
        <v>73.08417374437991</v>
      </c>
      <c r="BJ221" s="1109">
        <v>72.695221860647223</v>
      </c>
      <c r="BK221" s="1109">
        <v>72.257021739687673</v>
      </c>
      <c r="BL221" s="1109">
        <v>72.245659414654796</v>
      </c>
      <c r="BM221" s="1109">
        <v>74.082533719997215</v>
      </c>
      <c r="BN221" s="1109">
        <v>73.402783095597414</v>
      </c>
      <c r="BO221" s="1109">
        <v>72.853496683224122</v>
      </c>
      <c r="BP221" s="1109">
        <v>72.728706386672258</v>
      </c>
      <c r="BQ221" s="1109">
        <v>74.067499736176202</v>
      </c>
      <c r="BR221" s="1109">
        <v>73.471306864738494</v>
      </c>
      <c r="BS221" s="1109">
        <v>73.174289739547447</v>
      </c>
      <c r="BT221" s="1109">
        <v>72.881353784377552</v>
      </c>
      <c r="BU221" s="1109">
        <v>76.269162544782802</v>
      </c>
      <c r="BV221" s="1109">
        <v>76.268494739563593</v>
      </c>
      <c r="BW221" s="1109">
        <v>76.299499728747705</v>
      </c>
      <c r="BX221" s="1109">
        <v>76.180135603115602</v>
      </c>
      <c r="BY221" s="1109">
        <v>76.479525457079006</v>
      </c>
      <c r="BZ221" s="1109">
        <v>76.470699283415101</v>
      </c>
      <c r="CA221" s="1109">
        <v>76.496925526851101</v>
      </c>
      <c r="CB221" s="1109">
        <v>76.371865452081195</v>
      </c>
      <c r="CC221" s="1109">
        <v>76.692792493112606</v>
      </c>
      <c r="CD221" s="1109">
        <v>76.676593691741601</v>
      </c>
      <c r="CE221" s="1109">
        <v>76.698551707825501</v>
      </c>
      <c r="CF221" s="1109">
        <v>76.568450609681705</v>
      </c>
    </row>
    <row r="222" spans="4:84" ht="14.45" hidden="1" outlineLevel="1">
      <c r="D222" s="1432"/>
      <c r="E222" s="1440"/>
      <c r="F222" s="1106" t="s">
        <v>1069</v>
      </c>
      <c r="O222" s="1111">
        <v>3890.7759443056789</v>
      </c>
      <c r="Q222" s="1111">
        <v>3618.3505068929262</v>
      </c>
      <c r="S222" s="1111">
        <v>3510.4282254332788</v>
      </c>
      <c r="T222" s="1111">
        <v>3804.2913664783696</v>
      </c>
      <c r="U222" s="1111">
        <v>2456.5030528123439</v>
      </c>
      <c r="V222" s="1111">
        <v>1899.4935752468405</v>
      </c>
      <c r="W222" s="1111">
        <v>2197.9192919590096</v>
      </c>
      <c r="X222" s="1111">
        <v>1510.5440051412663</v>
      </c>
      <c r="Y222" s="1111">
        <v>201.39644391579807</v>
      </c>
      <c r="Z222" s="1111">
        <v>622.49643070562968</v>
      </c>
      <c r="AA222" s="1111">
        <v>-140.05984243180976</v>
      </c>
      <c r="AB222" s="1111">
        <v>-395.95725615803303</v>
      </c>
      <c r="AC222" s="1111">
        <v>543.32994314197833</v>
      </c>
      <c r="AD222" s="1111">
        <v>200</v>
      </c>
      <c r="AE222" s="1111">
        <v>600</v>
      </c>
      <c r="AF222" s="1111">
        <v>1000</v>
      </c>
      <c r="AG222" s="1111">
        <v>899.99999999999932</v>
      </c>
      <c r="AH222" s="1111">
        <v>899.99999999999932</v>
      </c>
      <c r="AI222" s="1111">
        <v>699.99999999999932</v>
      </c>
      <c r="AJ222" s="1111">
        <v>700</v>
      </c>
      <c r="AK222" s="1111">
        <v>400.00000000000068</v>
      </c>
      <c r="AL222" s="1111">
        <v>500.00000000000068</v>
      </c>
      <c r="AM222" s="1111">
        <v>500.00000000000068</v>
      </c>
      <c r="AN222" s="1111">
        <v>600</v>
      </c>
      <c r="AO222" s="1111">
        <v>400</v>
      </c>
      <c r="AP222" s="1111">
        <v>500</v>
      </c>
      <c r="AQ222" s="1111">
        <v>400</v>
      </c>
      <c r="AR222" s="1111">
        <v>100</v>
      </c>
      <c r="AS222" s="1111">
        <v>500</v>
      </c>
      <c r="AT222" s="1111">
        <v>400</v>
      </c>
      <c r="AU222" s="1111">
        <v>300</v>
      </c>
      <c r="AV222" s="1111">
        <v>400</v>
      </c>
      <c r="AW222" s="1111">
        <v>0</v>
      </c>
      <c r="AX222" s="1111">
        <v>-100</v>
      </c>
      <c r="AY222" s="1111">
        <v>0</v>
      </c>
      <c r="AZ222" s="1111">
        <v>-100</v>
      </c>
      <c r="BA222" s="1111">
        <v>200</v>
      </c>
      <c r="BB222" s="1111">
        <v>200</v>
      </c>
      <c r="BC222" s="1111">
        <v>144.70560250075835</v>
      </c>
      <c r="BD222" s="1111">
        <v>264.60268964174105</v>
      </c>
      <c r="BE222" s="1111">
        <v>-44.334076488735263</v>
      </c>
      <c r="BF222" s="1111">
        <v>20.889272710597595</v>
      </c>
      <c r="BG222" s="1111">
        <v>39.800065989713573</v>
      </c>
      <c r="BH222" s="1111">
        <v>11.393048659046201</v>
      </c>
      <c r="BI222" s="1111">
        <v>52.751450926726307</v>
      </c>
      <c r="BJ222" s="1111">
        <v>48.632913354124696</v>
      </c>
      <c r="BK222" s="1111">
        <v>41.196505478295364</v>
      </c>
      <c r="BL222" s="1111">
        <v>48.570203164692316</v>
      </c>
      <c r="BM222" s="1111">
        <v>99.835997561730494</v>
      </c>
      <c r="BN222" s="1111">
        <v>70.756123495019096</v>
      </c>
      <c r="BO222" s="1111">
        <v>59.647494353644959</v>
      </c>
      <c r="BP222" s="1111">
        <v>48.304697201746194</v>
      </c>
      <c r="BQ222" s="1111">
        <v>-1.5033983821012953</v>
      </c>
      <c r="BR222" s="1111">
        <v>6.8523769141080493</v>
      </c>
      <c r="BS222" s="1111">
        <v>32.079305632332478</v>
      </c>
      <c r="BT222" s="1111">
        <v>15.264739770529445</v>
      </c>
      <c r="BU222" s="1111">
        <v>220.16628086065992</v>
      </c>
      <c r="BV222" s="1111">
        <v>279.71878748250987</v>
      </c>
      <c r="BW222" s="1111">
        <v>312.52099892002576</v>
      </c>
      <c r="BX222" s="1111">
        <v>329.87818187380498</v>
      </c>
      <c r="BY222" s="1111">
        <v>21.036291229620474</v>
      </c>
      <c r="BZ222" s="1111">
        <v>20.220454385150788</v>
      </c>
      <c r="CA222" s="1111">
        <v>19.742579810339578</v>
      </c>
      <c r="CB222" s="1111">
        <v>19.172984896559342</v>
      </c>
      <c r="CC222" s="1111">
        <v>21.326703603359931</v>
      </c>
      <c r="CD222" s="1111">
        <v>20.589440832650041</v>
      </c>
      <c r="CE222" s="1111">
        <v>20.162618097440088</v>
      </c>
      <c r="CF222" s="1111">
        <v>19.658515760050932</v>
      </c>
    </row>
    <row r="223" spans="4:84" ht="14.45" hidden="1" outlineLevel="1" collapsed="1">
      <c r="D223" s="1432"/>
      <c r="E223" s="1440"/>
      <c r="F223" s="1106"/>
    </row>
    <row r="224" spans="4:84" ht="14.45" collapsed="1">
      <c r="D224" s="1431" t="s">
        <v>1132</v>
      </c>
      <c r="E224" s="1433" t="s">
        <v>1067</v>
      </c>
      <c r="F224" s="1107" t="s">
        <v>1068</v>
      </c>
      <c r="T224" s="1108">
        <v>4400</v>
      </c>
      <c r="U224" s="1108">
        <v>4766.666666666667</v>
      </c>
      <c r="V224" s="1108">
        <v>5500</v>
      </c>
      <c r="W224" s="1108">
        <v>6300</v>
      </c>
      <c r="X224" s="1108">
        <v>8000</v>
      </c>
      <c r="Y224" s="1108">
        <v>8200</v>
      </c>
      <c r="Z224" s="1108">
        <v>9400</v>
      </c>
      <c r="AA224" s="1108">
        <v>10000</v>
      </c>
      <c r="AB224" s="1108">
        <v>12100</v>
      </c>
      <c r="AC224" s="1108">
        <v>13000</v>
      </c>
      <c r="AD224" s="1108">
        <v>14000</v>
      </c>
      <c r="AE224" s="1108">
        <v>15200</v>
      </c>
      <c r="AF224" s="1108">
        <v>18900</v>
      </c>
      <c r="AG224" s="1108">
        <v>20880</v>
      </c>
      <c r="AH224" s="1108">
        <v>22800</v>
      </c>
      <c r="AI224" s="1108">
        <v>25600</v>
      </c>
      <c r="AJ224" s="1108">
        <v>29600</v>
      </c>
      <c r="AK224" s="1108">
        <v>34000</v>
      </c>
      <c r="AL224" s="1108">
        <v>36000</v>
      </c>
      <c r="AM224" s="1108">
        <v>38400</v>
      </c>
      <c r="AN224" s="1108">
        <v>44000</v>
      </c>
      <c r="AO224" s="1108">
        <v>46400</v>
      </c>
      <c r="AP224" s="1108">
        <v>50000</v>
      </c>
      <c r="AQ224" s="1108">
        <v>53200</v>
      </c>
      <c r="AR224" s="1108">
        <v>57200</v>
      </c>
      <c r="AS224" s="1108">
        <v>60800</v>
      </c>
      <c r="AT224" s="1108">
        <v>66800</v>
      </c>
      <c r="AU224" s="1108">
        <v>70800</v>
      </c>
      <c r="AV224" s="1108">
        <v>78000</v>
      </c>
      <c r="AW224" s="1108">
        <v>82800</v>
      </c>
      <c r="AX224" s="1108">
        <v>88800</v>
      </c>
      <c r="AY224" s="1108">
        <v>93600</v>
      </c>
      <c r="AZ224" s="1108">
        <v>100400</v>
      </c>
      <c r="BA224" s="1108">
        <v>102800</v>
      </c>
      <c r="BB224" s="1108">
        <v>108400</v>
      </c>
      <c r="BC224" s="1108">
        <v>111596.1387328</v>
      </c>
      <c r="BD224" s="1108">
        <v>117079.87009919999</v>
      </c>
      <c r="BE224" s="1108">
        <v>120133.46735392101</v>
      </c>
      <c r="BF224" s="1108">
        <v>125729.790565174</v>
      </c>
      <c r="BG224" s="1108">
        <v>131413.44589999999</v>
      </c>
      <c r="BH224" s="1108">
        <v>137629.20045904</v>
      </c>
      <c r="BI224" s="1108">
        <v>139986.62881929101</v>
      </c>
      <c r="BJ224" s="1108">
        <v>146268.59579032901</v>
      </c>
      <c r="BK224" s="1108">
        <v>152727.6045355</v>
      </c>
      <c r="BL224" s="1108">
        <v>159522.395618348</v>
      </c>
    </row>
    <row r="225" spans="3:88" ht="14.45" hidden="1" outlineLevel="1">
      <c r="D225" s="1432"/>
      <c r="E225" s="1440"/>
      <c r="F225" s="1107" t="s">
        <v>1069</v>
      </c>
      <c r="X225" s="1109">
        <v>81.818181818181827</v>
      </c>
      <c r="Y225" s="1109">
        <v>72.027972027972027</v>
      </c>
      <c r="Z225" s="1109">
        <v>70.909090909090907</v>
      </c>
      <c r="AA225" s="1109">
        <v>58.730158730158735</v>
      </c>
      <c r="AB225" s="1109">
        <v>51.249999999999993</v>
      </c>
      <c r="AC225" s="1109">
        <v>58.536585365853654</v>
      </c>
      <c r="AD225" s="1109">
        <v>48.936170212765958</v>
      </c>
      <c r="AE225" s="1109">
        <v>52</v>
      </c>
      <c r="AF225" s="1109">
        <v>56.198347107438018</v>
      </c>
      <c r="AG225" s="1109">
        <v>60.615384615384613</v>
      </c>
      <c r="AH225" s="1109">
        <v>62.857142857142854</v>
      </c>
      <c r="AI225" s="1109">
        <v>68.421052631578945</v>
      </c>
      <c r="AJ225" s="1109">
        <v>56.613756613756614</v>
      </c>
      <c r="AK225" s="1109">
        <v>62.835249042145591</v>
      </c>
      <c r="AL225" s="1109">
        <v>57.894736842105267</v>
      </c>
      <c r="AM225" s="1109">
        <v>50</v>
      </c>
      <c r="AN225" s="1109">
        <v>48.648648648648653</v>
      </c>
      <c r="AO225" s="1109">
        <v>36.470588235294116</v>
      </c>
      <c r="AP225" s="1109">
        <v>38.888888888888893</v>
      </c>
      <c r="AQ225" s="1109">
        <v>38.541666666666671</v>
      </c>
      <c r="AR225" s="1109">
        <v>30</v>
      </c>
      <c r="AS225" s="1109">
        <v>31.03448275862069</v>
      </c>
      <c r="AT225" s="1109">
        <v>33.6</v>
      </c>
      <c r="AU225" s="1109">
        <v>33.082706766917291</v>
      </c>
      <c r="AV225" s="1109">
        <v>36.363636363636367</v>
      </c>
      <c r="AW225" s="1109">
        <v>36.184210526315788</v>
      </c>
      <c r="AX225" s="1109">
        <v>32.934131736526943</v>
      </c>
      <c r="AY225" s="1109">
        <v>32.20338983050847</v>
      </c>
      <c r="AZ225" s="1109">
        <v>28.717948717948715</v>
      </c>
      <c r="BA225" s="1109">
        <v>24.154589371980677</v>
      </c>
      <c r="BB225" s="1109">
        <v>22.072072072072071</v>
      </c>
      <c r="BC225" s="1109">
        <v>19.226643945299145</v>
      </c>
      <c r="BD225" s="1109">
        <v>16.613416433466131</v>
      </c>
      <c r="BE225" s="1109">
        <v>16.861349566071016</v>
      </c>
      <c r="BF225" s="1109">
        <v>15.986891665289669</v>
      </c>
      <c r="BG225" s="1109">
        <v>17.758058112252005</v>
      </c>
      <c r="BH225" s="1109">
        <v>17.551548650018891</v>
      </c>
      <c r="BI225" s="1109">
        <v>16.52592063032802</v>
      </c>
      <c r="BJ225" s="1109">
        <v>16.335671230207289</v>
      </c>
      <c r="BK225" s="1109">
        <v>16.21916120494943</v>
      </c>
      <c r="BL225" s="1109">
        <v>15.907376549661539</v>
      </c>
    </row>
    <row r="226" spans="3:88" ht="14.45" hidden="1" outlineLevel="1" collapsed="1">
      <c r="D226" s="1432"/>
      <c r="E226" s="1440"/>
      <c r="F226" s="1107"/>
    </row>
    <row r="227" spans="3:88" collapsed="1">
      <c r="D227" s="42"/>
    </row>
    <row r="228" spans="3:88" ht="35.1">
      <c r="C228" s="1099" t="s">
        <v>983</v>
      </c>
      <c r="D228" s="42"/>
    </row>
    <row r="229" spans="3:88">
      <c r="D229" s="42"/>
    </row>
    <row r="230" spans="3:88" ht="14.45">
      <c r="C230" s="1100"/>
      <c r="D230" s="1101"/>
      <c r="E230" s="1100"/>
      <c r="F230" s="1100"/>
      <c r="G230" s="1100"/>
      <c r="H230" s="1100"/>
      <c r="I230" s="1100"/>
      <c r="J230" s="1102"/>
      <c r="K230" s="1103"/>
      <c r="L230" s="1102"/>
      <c r="M230" s="1102"/>
      <c r="N230" s="1102"/>
      <c r="O230" s="1102"/>
      <c r="P230" s="1102"/>
      <c r="Q230" s="1102"/>
      <c r="R230" s="1102"/>
      <c r="S230" s="1102"/>
      <c r="T230" s="1102"/>
      <c r="U230" s="1102"/>
      <c r="V230" s="1103"/>
      <c r="W230" s="1102"/>
      <c r="X230" s="1103"/>
      <c r="Y230" s="1102" t="s">
        <v>996</v>
      </c>
      <c r="Z230" s="1103" t="s">
        <v>997</v>
      </c>
      <c r="AA230" s="1102" t="s">
        <v>998</v>
      </c>
      <c r="AB230" s="1103" t="s">
        <v>999</v>
      </c>
      <c r="AC230" s="1102" t="s">
        <v>1000</v>
      </c>
      <c r="AD230" s="1103" t="s">
        <v>1001</v>
      </c>
      <c r="AE230" s="1102" t="s">
        <v>1002</v>
      </c>
      <c r="AF230" s="1103" t="s">
        <v>1003</v>
      </c>
      <c r="AG230" s="1102" t="s">
        <v>1004</v>
      </c>
      <c r="AH230" s="1103" t="s">
        <v>1005</v>
      </c>
      <c r="AI230" s="1102" t="s">
        <v>1006</v>
      </c>
      <c r="AJ230" s="1103" t="s">
        <v>1007</v>
      </c>
      <c r="AK230" s="1102" t="s">
        <v>1008</v>
      </c>
      <c r="AL230" s="1103" t="s">
        <v>1009</v>
      </c>
      <c r="AM230" s="1102" t="s">
        <v>1010</v>
      </c>
      <c r="AN230" s="1103" t="s">
        <v>1011</v>
      </c>
      <c r="AO230" s="1102" t="s">
        <v>1012</v>
      </c>
      <c r="AP230" s="1103" t="s">
        <v>1013</v>
      </c>
      <c r="AQ230" s="1102" t="s">
        <v>1014</v>
      </c>
      <c r="AR230" s="1103" t="s">
        <v>1015</v>
      </c>
      <c r="AS230" s="1102" t="s">
        <v>1016</v>
      </c>
      <c r="AT230" s="1103" t="s">
        <v>1017</v>
      </c>
      <c r="AU230" s="1102" t="s">
        <v>1018</v>
      </c>
      <c r="AV230" s="1103" t="s">
        <v>1019</v>
      </c>
      <c r="AW230" s="1102" t="s">
        <v>1020</v>
      </c>
      <c r="AX230" s="1103" t="s">
        <v>1021</v>
      </c>
      <c r="AY230" s="1102" t="s">
        <v>1022</v>
      </c>
      <c r="AZ230" s="1103" t="s">
        <v>1023</v>
      </c>
      <c r="BA230" s="1102" t="s">
        <v>1024</v>
      </c>
      <c r="BB230" s="1103" t="s">
        <v>1025</v>
      </c>
      <c r="BC230" s="1102" t="s">
        <v>1026</v>
      </c>
      <c r="BD230" s="1103" t="s">
        <v>1027</v>
      </c>
      <c r="BE230" s="1102" t="s">
        <v>1028</v>
      </c>
      <c r="BF230" s="1103" t="s">
        <v>1029</v>
      </c>
      <c r="BG230" s="1102" t="s">
        <v>1030</v>
      </c>
      <c r="BH230" s="1103" t="s">
        <v>1031</v>
      </c>
      <c r="BI230" s="1102" t="s">
        <v>1032</v>
      </c>
      <c r="BJ230" s="1103" t="s">
        <v>1033</v>
      </c>
      <c r="BK230" s="1102" t="s">
        <v>1034</v>
      </c>
      <c r="BL230" s="1103" t="s">
        <v>1035</v>
      </c>
      <c r="BM230" s="1102" t="s">
        <v>1036</v>
      </c>
      <c r="BN230" s="1103" t="s">
        <v>1037</v>
      </c>
      <c r="BO230" s="1102" t="s">
        <v>1038</v>
      </c>
      <c r="BP230" s="1103" t="s">
        <v>1039</v>
      </c>
      <c r="BQ230" s="1102" t="s">
        <v>1040</v>
      </c>
      <c r="BR230" s="1103" t="s">
        <v>1041</v>
      </c>
      <c r="BS230" s="1102" t="s">
        <v>1042</v>
      </c>
      <c r="BT230" s="1103" t="s">
        <v>1043</v>
      </c>
      <c r="BU230" s="1102" t="s">
        <v>1044</v>
      </c>
      <c r="BV230" s="1103" t="s">
        <v>1045</v>
      </c>
      <c r="BW230" s="1102" t="s">
        <v>1046</v>
      </c>
      <c r="BX230" s="1103" t="s">
        <v>1047</v>
      </c>
      <c r="BY230" s="1102" t="s">
        <v>1048</v>
      </c>
      <c r="BZ230" s="1103" t="s">
        <v>1049</v>
      </c>
      <c r="CA230" s="1102" t="s">
        <v>1050</v>
      </c>
      <c r="CB230" s="1103" t="s">
        <v>1051</v>
      </c>
      <c r="CC230" s="1102" t="s">
        <v>1052</v>
      </c>
      <c r="CD230" s="1103" t="s">
        <v>1053</v>
      </c>
      <c r="CE230" s="1102" t="s">
        <v>1054</v>
      </c>
      <c r="CF230" s="1103" t="s">
        <v>1055</v>
      </c>
      <c r="CG230" s="1102" t="s">
        <v>1056</v>
      </c>
      <c r="CH230" s="1103" t="s">
        <v>1057</v>
      </c>
      <c r="CI230" s="1102" t="s">
        <v>1058</v>
      </c>
      <c r="CJ230" s="1103" t="s">
        <v>1059</v>
      </c>
    </row>
    <row r="231" spans="3:88" ht="14.45">
      <c r="C231" s="1100"/>
      <c r="D231" s="1101"/>
      <c r="E231" s="1100" t="s">
        <v>1060</v>
      </c>
      <c r="F231" s="1100"/>
      <c r="G231" s="1100"/>
      <c r="H231" s="1100"/>
      <c r="I231" s="1100"/>
      <c r="J231" s="1102"/>
      <c r="K231" s="1103"/>
      <c r="L231" s="1102"/>
      <c r="M231" s="1102"/>
      <c r="N231" s="1102"/>
      <c r="O231" s="1102"/>
      <c r="P231" s="1102"/>
      <c r="Q231" s="1102"/>
      <c r="R231" s="1102"/>
      <c r="S231" s="1102"/>
      <c r="T231" s="1102"/>
      <c r="U231" s="1102"/>
      <c r="V231" s="1103"/>
      <c r="W231" s="1102"/>
      <c r="X231" s="1103"/>
      <c r="Y231" s="1102" t="s">
        <v>1061</v>
      </c>
      <c r="Z231" s="1103" t="s">
        <v>1061</v>
      </c>
      <c r="AA231" s="1102" t="s">
        <v>1061</v>
      </c>
      <c r="AB231" s="1103" t="s">
        <v>1061</v>
      </c>
      <c r="AC231" s="1102" t="s">
        <v>1061</v>
      </c>
      <c r="AD231" s="1103" t="s">
        <v>1061</v>
      </c>
      <c r="AE231" s="1102" t="s">
        <v>1061</v>
      </c>
      <c r="AF231" s="1103" t="s">
        <v>1061</v>
      </c>
      <c r="AG231" s="1102" t="s">
        <v>1061</v>
      </c>
      <c r="AH231" s="1103" t="s">
        <v>1061</v>
      </c>
      <c r="AI231" s="1102" t="s">
        <v>1061</v>
      </c>
      <c r="AJ231" s="1103" t="s">
        <v>1061</v>
      </c>
      <c r="AK231" s="1102" t="s">
        <v>1061</v>
      </c>
      <c r="AL231" s="1103" t="s">
        <v>1061</v>
      </c>
      <c r="AM231" s="1102" t="s">
        <v>1061</v>
      </c>
      <c r="AN231" s="1103" t="s">
        <v>1061</v>
      </c>
      <c r="AO231" s="1102" t="s">
        <v>1061</v>
      </c>
      <c r="AP231" s="1103" t="s">
        <v>1061</v>
      </c>
      <c r="AQ231" s="1102" t="s">
        <v>1061</v>
      </c>
      <c r="AR231" s="1103" t="s">
        <v>1061</v>
      </c>
      <c r="AS231" s="1102" t="s">
        <v>1061</v>
      </c>
      <c r="AT231" s="1103" t="s">
        <v>1061</v>
      </c>
      <c r="AU231" s="1102" t="s">
        <v>1061</v>
      </c>
      <c r="AV231" s="1103" t="s">
        <v>1061</v>
      </c>
      <c r="AW231" s="1102" t="s">
        <v>1061</v>
      </c>
      <c r="AX231" s="1103" t="s">
        <v>1061</v>
      </c>
      <c r="AY231" s="1102" t="s">
        <v>1061</v>
      </c>
      <c r="AZ231" s="1103" t="s">
        <v>1061</v>
      </c>
      <c r="BA231" s="1102" t="s">
        <v>1061</v>
      </c>
      <c r="BB231" s="1103" t="s">
        <v>1061</v>
      </c>
      <c r="BC231" s="1102" t="s">
        <v>1063</v>
      </c>
      <c r="BD231" s="1103" t="s">
        <v>1063</v>
      </c>
      <c r="BE231" s="1102" t="s">
        <v>1063</v>
      </c>
      <c r="BF231" s="1103" t="s">
        <v>1063</v>
      </c>
      <c r="BG231" s="1102" t="s">
        <v>1063</v>
      </c>
      <c r="BH231" s="1103" t="s">
        <v>1063</v>
      </c>
      <c r="BI231" s="1102" t="s">
        <v>1063</v>
      </c>
      <c r="BJ231" s="1103" t="s">
        <v>1063</v>
      </c>
      <c r="BK231" s="1102" t="s">
        <v>1063</v>
      </c>
      <c r="BL231" s="1103" t="s">
        <v>1063</v>
      </c>
      <c r="BM231" s="1102" t="s">
        <v>1063</v>
      </c>
      <c r="BN231" s="1103" t="s">
        <v>1063</v>
      </c>
      <c r="BO231" s="1102" t="s">
        <v>1063</v>
      </c>
      <c r="BP231" s="1103" t="s">
        <v>1063</v>
      </c>
      <c r="BQ231" s="1102" t="s">
        <v>1063</v>
      </c>
      <c r="BR231" s="1103" t="s">
        <v>1063</v>
      </c>
      <c r="BS231" s="1102" t="s">
        <v>1063</v>
      </c>
      <c r="BT231" s="1103" t="s">
        <v>1063</v>
      </c>
      <c r="BU231" s="1102" t="s">
        <v>1063</v>
      </c>
      <c r="BV231" s="1103" t="s">
        <v>1063</v>
      </c>
      <c r="BW231" s="1102" t="s">
        <v>1063</v>
      </c>
      <c r="BX231" s="1103" t="s">
        <v>1063</v>
      </c>
      <c r="BY231" s="1102" t="s">
        <v>1063</v>
      </c>
      <c r="BZ231" s="1103" t="s">
        <v>1063</v>
      </c>
      <c r="CA231" s="1102" t="s">
        <v>1063</v>
      </c>
      <c r="CB231" s="1103" t="s">
        <v>1063</v>
      </c>
      <c r="CC231" s="1102" t="s">
        <v>1063</v>
      </c>
      <c r="CD231" s="1103" t="s">
        <v>1063</v>
      </c>
      <c r="CE231" s="1102" t="s">
        <v>1063</v>
      </c>
      <c r="CF231" s="1103" t="s">
        <v>1063</v>
      </c>
      <c r="CG231" s="1102" t="s">
        <v>1063</v>
      </c>
      <c r="CH231" s="1103" t="s">
        <v>1063</v>
      </c>
      <c r="CI231" s="1102" t="s">
        <v>1063</v>
      </c>
      <c r="CJ231" s="1103" t="s">
        <v>1063</v>
      </c>
    </row>
    <row r="232" spans="3:88" ht="21">
      <c r="D232" s="1104" t="s">
        <v>1064</v>
      </c>
    </row>
    <row r="233" spans="3:88" ht="14.45">
      <c r="D233" s="1105" t="s">
        <v>1133</v>
      </c>
      <c r="F233" s="1106" t="s">
        <v>1065</v>
      </c>
      <c r="G233" s="1106"/>
      <c r="H233" s="1106"/>
      <c r="I233" s="1106"/>
    </row>
    <row r="234" spans="3:88" ht="14.45">
      <c r="D234" s="1436" t="s">
        <v>1134</v>
      </c>
      <c r="E234" s="1433" t="s">
        <v>1067</v>
      </c>
      <c r="F234" s="1107" t="s">
        <v>1068</v>
      </c>
      <c r="G234" s="1107"/>
      <c r="H234" s="1107"/>
      <c r="I234" s="1107"/>
      <c r="J234" s="1108"/>
      <c r="K234" s="1108"/>
      <c r="L234" s="1108"/>
      <c r="M234" s="1108"/>
      <c r="N234" s="1108"/>
      <c r="O234" s="1108"/>
      <c r="P234" s="1108"/>
      <c r="Q234" s="1108"/>
      <c r="R234" s="1108"/>
      <c r="S234" s="1108"/>
      <c r="T234" s="1108"/>
      <c r="U234" s="1108"/>
      <c r="V234" s="1108"/>
      <c r="W234" s="1108"/>
      <c r="X234" s="1108"/>
      <c r="Y234" s="1108">
        <v>484.092169814643</v>
      </c>
      <c r="Z234" s="1108">
        <v>421.66740784356131</v>
      </c>
      <c r="AA234" s="1108">
        <v>411.8935694642023</v>
      </c>
      <c r="AB234" s="1108">
        <v>499.74116385100939</v>
      </c>
      <c r="AC234" s="1108">
        <v>447.35822487664547</v>
      </c>
      <c r="AD234" s="1108">
        <v>504.58216491116559</v>
      </c>
      <c r="AE234" s="1108">
        <v>448.78071874738743</v>
      </c>
      <c r="AF234" s="1108">
        <v>518.00035083995203</v>
      </c>
      <c r="AG234" s="1108">
        <v>463.41020134709476</v>
      </c>
      <c r="AH234" s="1108">
        <v>520.32508626066124</v>
      </c>
      <c r="AI234" s="1108">
        <v>466.86075844752941</v>
      </c>
      <c r="AJ234" s="1108">
        <v>509.36650277270553</v>
      </c>
      <c r="AK234" s="1108">
        <v>503.56753806947324</v>
      </c>
      <c r="AL234" s="1108">
        <v>455.41536455769972</v>
      </c>
      <c r="AM234" s="1108">
        <v>464.54005274780877</v>
      </c>
      <c r="AN234" s="1108">
        <v>497.19084884826111</v>
      </c>
      <c r="AO234" s="1108">
        <v>491.81397491696725</v>
      </c>
      <c r="AP234" s="1108">
        <v>542.34620468413095</v>
      </c>
      <c r="AQ234" s="1108">
        <v>512.50913258026458</v>
      </c>
      <c r="AR234" s="1108">
        <v>431.17702940512447</v>
      </c>
      <c r="AS234" s="1108">
        <v>467.94573878141352</v>
      </c>
      <c r="AT234" s="1108">
        <v>461.63786666466893</v>
      </c>
      <c r="AU234" s="1108">
        <v>408.85832602489808</v>
      </c>
      <c r="AV234" s="1108">
        <v>470.52591012540398</v>
      </c>
      <c r="AW234" s="1108">
        <v>466.73807009709765</v>
      </c>
      <c r="AX234" s="1108">
        <v>502.78207676699139</v>
      </c>
      <c r="AY234" s="1108">
        <v>404.82463148810393</v>
      </c>
      <c r="AZ234" s="1108">
        <v>416.27655745477017</v>
      </c>
      <c r="BA234" s="1108">
        <v>404.14162292965142</v>
      </c>
      <c r="BB234" s="1108">
        <v>402.2049800199988</v>
      </c>
      <c r="BC234" s="1108">
        <v>338.99822758619797</v>
      </c>
      <c r="BD234" s="1108">
        <v>369.05106507555013</v>
      </c>
      <c r="BE234" s="1108">
        <v>389.51857919406353</v>
      </c>
      <c r="BF234" s="1108">
        <v>376.60991053899073</v>
      </c>
      <c r="BG234" s="1108">
        <v>326.36703337204858</v>
      </c>
      <c r="BH234" s="1108">
        <v>354.05046513013417</v>
      </c>
      <c r="BI234" s="1108">
        <v>404.59578491770316</v>
      </c>
      <c r="BJ234" s="1108">
        <v>357.06025504148215</v>
      </c>
      <c r="BK234" s="1108">
        <v>283.51066640680619</v>
      </c>
      <c r="BL234" s="1108">
        <v>289.72311073227615</v>
      </c>
      <c r="BM234" s="1108">
        <v>429.27392883517717</v>
      </c>
      <c r="BN234" s="1108">
        <v>424.56204300865784</v>
      </c>
      <c r="BO234" s="1108">
        <v>377.160669272218</v>
      </c>
      <c r="BP234" s="1108">
        <v>352.6762544234</v>
      </c>
      <c r="BQ234" s="1108">
        <v>282.68842025855724</v>
      </c>
      <c r="BR234" s="1108">
        <v>264.25757093480502</v>
      </c>
      <c r="BS234" s="1108">
        <v>159.15559498375254</v>
      </c>
      <c r="BT234" s="1108">
        <v>169.00375519321204</v>
      </c>
      <c r="BU234" s="1108">
        <v>85.937570392879095</v>
      </c>
      <c r="BV234" s="1108">
        <v>77.343813353591102</v>
      </c>
      <c r="BW234" s="1108">
        <v>69.609432018231999</v>
      </c>
      <c r="BX234" s="1108">
        <v>62.648488816408801</v>
      </c>
      <c r="BY234" s="1108">
        <v>56.383639934767899</v>
      </c>
      <c r="BZ234" s="1108">
        <v>50.745275941291197</v>
      </c>
      <c r="CA234" s="1108">
        <v>45.670748347161997</v>
      </c>
      <c r="CB234" s="1108">
        <v>41.103673512445802</v>
      </c>
      <c r="CC234" s="1108">
        <v>36.993306161201303</v>
      </c>
      <c r="CD234" s="1108">
        <v>33.293975545081103</v>
      </c>
      <c r="CE234" s="1108">
        <v>29.964577990573002</v>
      </c>
      <c r="CF234" s="1108">
        <v>26.968120191515698</v>
      </c>
    </row>
    <row r="235" spans="3:88" ht="14.45" outlineLevel="1">
      <c r="D235" s="1432"/>
      <c r="E235" s="1440"/>
      <c r="F235" s="1107" t="s">
        <v>1069</v>
      </c>
      <c r="G235" s="1107"/>
      <c r="H235" s="1107"/>
      <c r="I235" s="1107"/>
      <c r="W235" s="1109"/>
      <c r="X235" s="1109"/>
      <c r="Y235" s="1109">
        <v>-31.619127290562567</v>
      </c>
      <c r="Z235" s="1109">
        <v>-37.509256776667023</v>
      </c>
      <c r="AA235" s="1109">
        <v>-26.90604754923908</v>
      </c>
      <c r="AB235" s="1109">
        <v>-4.2657251472604187</v>
      </c>
      <c r="AC235" s="1109">
        <v>-7.5882129950713351</v>
      </c>
      <c r="AD235" s="1109">
        <v>19.663544187974253</v>
      </c>
      <c r="AE235" s="1109">
        <v>8.9555050182425795</v>
      </c>
      <c r="AF235" s="1109">
        <v>3.6537288319891852</v>
      </c>
      <c r="AG235" s="1109">
        <v>3.5881706377200202</v>
      </c>
      <c r="AH235" s="1109">
        <v>3.1199916374902532</v>
      </c>
      <c r="AI235" s="1109">
        <v>4.0287024252303034</v>
      </c>
      <c r="AJ235" s="1109">
        <v>-1.6667649072527613</v>
      </c>
      <c r="AK235" s="1109">
        <v>8.6656134469298394</v>
      </c>
      <c r="AL235" s="1109">
        <v>-12.474839944665755</v>
      </c>
      <c r="AM235" s="1109">
        <v>-0.4970873344415942</v>
      </c>
      <c r="AN235" s="1109">
        <v>-2.3903523019607666</v>
      </c>
      <c r="AO235" s="1109">
        <v>-2.3340589422355582</v>
      </c>
      <c r="AP235" s="1109">
        <v>19.088253689213722</v>
      </c>
      <c r="AQ235" s="1109">
        <v>10.326145086675107</v>
      </c>
      <c r="AR235" s="1109">
        <v>-13.277360111526018</v>
      </c>
      <c r="AS235" s="1109">
        <v>-4.853102464114281</v>
      </c>
      <c r="AT235" s="1109">
        <v>-14.881331762332058</v>
      </c>
      <c r="AU235" s="1109">
        <v>-20.224187232240908</v>
      </c>
      <c r="AV235" s="1109">
        <v>9.1259223095830002</v>
      </c>
      <c r="AW235" s="1109">
        <v>-0.25807878654067667</v>
      </c>
      <c r="AX235" s="1109">
        <v>8.9126592667948046</v>
      </c>
      <c r="AY235" s="1109">
        <v>-0.9865751239583429</v>
      </c>
      <c r="AZ235" s="1109">
        <v>-11.5295144227393</v>
      </c>
      <c r="BA235" s="1109">
        <v>-13.411472339169592</v>
      </c>
      <c r="BB235" s="1109">
        <v>-20.004113391178798</v>
      </c>
      <c r="BC235" s="1109">
        <v>-16.260473988436232</v>
      </c>
      <c r="BD235" s="1109">
        <v>-11.344739821038626</v>
      </c>
      <c r="BE235" s="1109">
        <v>-3.6182968805797335</v>
      </c>
      <c r="BF235" s="1109">
        <v>-6.3636878587966281</v>
      </c>
      <c r="BG235" s="1109">
        <v>-3.7260354734266627</v>
      </c>
      <c r="BH235" s="1109">
        <v>-4.0646407407996819</v>
      </c>
      <c r="BI235" s="1109">
        <v>3.8707282602116777</v>
      </c>
      <c r="BJ235" s="1109">
        <v>-5.1909561990893467</v>
      </c>
      <c r="BK235" s="1109">
        <v>-13.131340663438706</v>
      </c>
      <c r="BL235" s="1109">
        <v>-18.168978926270853</v>
      </c>
      <c r="BM235" s="1109">
        <v>6.0994565038520303</v>
      </c>
      <c r="BN235" s="1109">
        <v>18.904873061084196</v>
      </c>
      <c r="BO235" s="1109">
        <v>33.032267904529029</v>
      </c>
      <c r="BP235" s="1109">
        <v>21.728726966933895</v>
      </c>
      <c r="BQ235" s="1109">
        <v>-34.147312177652068</v>
      </c>
      <c r="BR235" s="1109">
        <v>-37.757608037180049</v>
      </c>
      <c r="BS235" s="1109">
        <v>-57.801645836808866</v>
      </c>
      <c r="BT235" s="1109">
        <v>-52.079633070414431</v>
      </c>
      <c r="BU235" s="1109">
        <v>-69.599897189181846</v>
      </c>
      <c r="BV235" s="1109">
        <v>-70.7316565879308</v>
      </c>
      <c r="BW235" s="1109">
        <v>-56.263283093919433</v>
      </c>
      <c r="BX235" s="1109">
        <v>-62.930711956792628</v>
      </c>
      <c r="BY235" s="1109">
        <v>-34.390000000000086</v>
      </c>
      <c r="BZ235" s="1109">
        <v>-34.389999999999901</v>
      </c>
      <c r="CA235" s="1109">
        <v>-34.390000000000029</v>
      </c>
      <c r="CB235" s="1109">
        <v>-34.390000000000022</v>
      </c>
      <c r="CC235" s="1109">
        <v>-34.389999999999851</v>
      </c>
      <c r="CD235" s="1109">
        <v>-34.3900000000001</v>
      </c>
      <c r="CE235" s="1109">
        <v>-34.389999999999965</v>
      </c>
      <c r="CF235" s="1109">
        <v>-34.389999999999979</v>
      </c>
    </row>
    <row r="236" spans="3:88" ht="14.45" outlineLevel="1">
      <c r="D236" s="1432"/>
      <c r="E236" s="1440"/>
      <c r="F236" s="1107"/>
      <c r="G236" s="1107"/>
      <c r="H236" s="1107"/>
      <c r="I236" s="1107"/>
    </row>
    <row r="237" spans="3:88" ht="14.45">
      <c r="D237" s="1436" t="s">
        <v>1135</v>
      </c>
      <c r="E237" s="1433" t="s">
        <v>1067</v>
      </c>
      <c r="F237" s="1106" t="s">
        <v>1068</v>
      </c>
      <c r="G237" s="1106"/>
      <c r="H237" s="1106"/>
      <c r="I237" s="1106"/>
      <c r="J237" s="1108"/>
      <c r="K237" s="1108"/>
      <c r="L237" s="1108"/>
      <c r="M237" s="1108"/>
      <c r="N237" s="1108"/>
      <c r="O237" s="1108"/>
      <c r="P237" s="1108"/>
      <c r="Q237" s="1108"/>
      <c r="R237" s="1108"/>
      <c r="S237" s="1108"/>
      <c r="T237" s="1108"/>
      <c r="U237" s="1108"/>
      <c r="V237" s="1108"/>
      <c r="W237" s="1108"/>
      <c r="X237" s="1108"/>
      <c r="Y237" s="1108">
        <v>269.63685978969028</v>
      </c>
      <c r="Z237" s="1108">
        <v>309.3497083980057</v>
      </c>
      <c r="AA237" s="1108">
        <v>332.75094743446834</v>
      </c>
      <c r="AB237" s="1108">
        <v>366.1144227556818</v>
      </c>
      <c r="AC237" s="1108">
        <v>418.61554229257246</v>
      </c>
      <c r="AD237" s="1108">
        <v>439.16748371829715</v>
      </c>
      <c r="AE237" s="1108">
        <v>438.27769809510875</v>
      </c>
      <c r="AF237" s="1108">
        <v>469.21697218206521</v>
      </c>
      <c r="AG237" s="1108">
        <v>497.86764806612319</v>
      </c>
      <c r="AH237" s="1108">
        <v>523.97183710960144</v>
      </c>
      <c r="AI237" s="1108">
        <v>528.15148597916664</v>
      </c>
      <c r="AJ237" s="1108">
        <v>558.21927502264498</v>
      </c>
      <c r="AK237" s="1108">
        <v>598.89778782311805</v>
      </c>
      <c r="AL237" s="1108">
        <v>599.10488403713771</v>
      </c>
      <c r="AM237" s="1108">
        <v>605.70713929800729</v>
      </c>
      <c r="AN237" s="1108">
        <v>627.27533491250006</v>
      </c>
      <c r="AO237" s="1108">
        <v>626.48235778264745</v>
      </c>
      <c r="AP237" s="1108">
        <v>698.06798405699271</v>
      </c>
      <c r="AQ237" s="1108">
        <v>698.77701204056677</v>
      </c>
      <c r="AR237" s="1108">
        <v>727.21899795131219</v>
      </c>
      <c r="AS237" s="1108">
        <v>825.70182992879779</v>
      </c>
      <c r="AT237" s="1108">
        <v>836.39708291614352</v>
      </c>
      <c r="AU237" s="1108">
        <v>875.89012174198024</v>
      </c>
      <c r="AV237" s="1108">
        <v>906.89820535038825</v>
      </c>
      <c r="AW237" s="1108">
        <v>986.68783585973154</v>
      </c>
      <c r="AX237" s="1108">
        <v>1035.5856850157811</v>
      </c>
      <c r="AY237" s="1108">
        <v>1028.7146947071192</v>
      </c>
      <c r="AZ237" s="1108">
        <v>1054.3021969186507</v>
      </c>
      <c r="BA237" s="1108">
        <v>1131.2421478422498</v>
      </c>
      <c r="BB237" s="1108">
        <v>1127.2103253297332</v>
      </c>
      <c r="BC237" s="1108">
        <v>1124.4780114240896</v>
      </c>
      <c r="BD237" s="1108">
        <v>1180.8470323805327</v>
      </c>
      <c r="BE237" s="1108">
        <v>1198.9100065350158</v>
      </c>
      <c r="BF237" s="1108">
        <v>1223.9160298833776</v>
      </c>
      <c r="BG237" s="1108">
        <v>1211.9478378764961</v>
      </c>
      <c r="BH237" s="1108">
        <v>1272.5427939751862</v>
      </c>
      <c r="BI237" s="1108">
        <v>1268.1338232743497</v>
      </c>
      <c r="BJ237" s="1108">
        <v>1287.3503949858998</v>
      </c>
      <c r="BK237" s="1108">
        <v>1289.1540589361778</v>
      </c>
      <c r="BL237" s="1108">
        <v>1362.0734326458371</v>
      </c>
      <c r="BM237" s="1108">
        <v>1275.8613101854344</v>
      </c>
      <c r="BN237" s="1108">
        <v>1302.5058417417854</v>
      </c>
      <c r="BO237" s="1108">
        <v>1273.0673036485377</v>
      </c>
      <c r="BP237" s="1108">
        <v>1293.0218686928461</v>
      </c>
      <c r="BQ237" s="1108">
        <v>1434.3982552120724</v>
      </c>
      <c r="BR237" s="1108">
        <v>1453.695090783775</v>
      </c>
      <c r="BS237" s="1108">
        <v>1465.1393187921376</v>
      </c>
      <c r="BT237" s="1108">
        <v>1492.9571747944699</v>
      </c>
      <c r="BU237" s="1108">
        <v>1544.1175729461099</v>
      </c>
      <c r="BV237" s="1108">
        <v>1547.42189660383</v>
      </c>
      <c r="BW237" s="1108">
        <v>1559.66783608848</v>
      </c>
      <c r="BX237" s="1108">
        <v>1563.7834858599399</v>
      </c>
      <c r="BY237" s="1108">
        <v>1575.7916875686501</v>
      </c>
      <c r="BZ237" s="1108">
        <v>1576.42868921784</v>
      </c>
      <c r="CA237" s="1108">
        <v>1584.94371630926</v>
      </c>
      <c r="CB237" s="1108">
        <v>1584.85678833968</v>
      </c>
      <c r="CC237" s="1108">
        <v>1595.15200777013</v>
      </c>
      <c r="CD237" s="1108">
        <v>1593.48504836598</v>
      </c>
      <c r="CE237" s="1108">
        <v>1598.7404387378499</v>
      </c>
      <c r="CF237" s="1108">
        <v>1595.09014131001</v>
      </c>
    </row>
    <row r="238" spans="3:88" ht="14.45" hidden="1" outlineLevel="1">
      <c r="D238" s="1432"/>
      <c r="E238" s="1440"/>
      <c r="F238" s="1106" t="s">
        <v>1069</v>
      </c>
      <c r="G238" s="1106"/>
      <c r="H238" s="1106"/>
      <c r="I238" s="1106"/>
      <c r="W238" s="1109"/>
      <c r="X238" s="1109"/>
      <c r="Y238" s="1109">
        <v>110.3488018220088</v>
      </c>
      <c r="Z238" s="1109">
        <v>96.275420815098414</v>
      </c>
      <c r="AA238" s="1109">
        <v>66.740583227108218</v>
      </c>
      <c r="AB238" s="1109">
        <v>61.560929340325913</v>
      </c>
      <c r="AC238" s="1109">
        <v>55.251601216199319</v>
      </c>
      <c r="AD238" s="1109">
        <v>41.964731757002149</v>
      </c>
      <c r="AE238" s="1109">
        <v>31.713433567735443</v>
      </c>
      <c r="AF238" s="1109">
        <v>28.161291393643502</v>
      </c>
      <c r="AG238" s="1109">
        <v>18.931954924444984</v>
      </c>
      <c r="AH238" s="1109">
        <v>19.310253271324118</v>
      </c>
      <c r="AI238" s="1109">
        <v>20.506128483077589</v>
      </c>
      <c r="AJ238" s="1109">
        <v>18.96826161821895</v>
      </c>
      <c r="AK238" s="1109">
        <v>20.292569752107443</v>
      </c>
      <c r="AL238" s="1109">
        <v>14.339138405223173</v>
      </c>
      <c r="AM238" s="1109">
        <v>14.684357684813918</v>
      </c>
      <c r="AN238" s="1109">
        <v>12.370776678582752</v>
      </c>
      <c r="AO238" s="1109">
        <v>4.6058894389632297</v>
      </c>
      <c r="AP238" s="1109">
        <v>16.518493281673933</v>
      </c>
      <c r="AQ238" s="1109">
        <v>15.365490466304244</v>
      </c>
      <c r="AR238" s="1109">
        <v>15.932981495718062</v>
      </c>
      <c r="AS238" s="1109">
        <v>31.799693905389713</v>
      </c>
      <c r="AT238" s="1109">
        <v>19.815992427444879</v>
      </c>
      <c r="AU238" s="1109">
        <v>25.346155733458982</v>
      </c>
      <c r="AV238" s="1109">
        <v>24.707716369520053</v>
      </c>
      <c r="AW238" s="1109">
        <v>19.496869220311154</v>
      </c>
      <c r="AX238" s="1109">
        <v>23.815076136463293</v>
      </c>
      <c r="AY238" s="1109">
        <v>17.447916030974262</v>
      </c>
      <c r="AZ238" s="1109">
        <v>16.253642437335245</v>
      </c>
      <c r="BA238" s="1109">
        <v>14.650460533605708</v>
      </c>
      <c r="BB238" s="1109">
        <v>8.8476155705605244</v>
      </c>
      <c r="BC238" s="1109">
        <v>9.3090258367734062</v>
      </c>
      <c r="BD238" s="1109">
        <v>12.002710022963763</v>
      </c>
      <c r="BE238" s="1109">
        <v>5.9817306862051431</v>
      </c>
      <c r="BF238" s="1109">
        <v>8.5792067709596171</v>
      </c>
      <c r="BG238" s="1109">
        <v>7.7787049247526703</v>
      </c>
      <c r="BH238" s="1109">
        <v>7.7652531682955672</v>
      </c>
      <c r="BI238" s="1109">
        <v>5.7738959856877372</v>
      </c>
      <c r="BJ238" s="1109">
        <v>5.1829017313031356</v>
      </c>
      <c r="BK238" s="1109">
        <v>6.3704244231301113</v>
      </c>
      <c r="BL238" s="1109">
        <v>7.0355699701833903</v>
      </c>
      <c r="BM238" s="1109">
        <v>0.60935894692345494</v>
      </c>
      <c r="BN238" s="1109">
        <v>1.17725887333507</v>
      </c>
      <c r="BO238" s="1109">
        <v>-1.2478535964053017</v>
      </c>
      <c r="BP238" s="1109">
        <v>-5.0695918661931394</v>
      </c>
      <c r="BQ238" s="1109">
        <v>12.425876054161105</v>
      </c>
      <c r="BR238" s="1109">
        <v>11.607567827857928</v>
      </c>
      <c r="BS238" s="1109">
        <v>15.087341776285706</v>
      </c>
      <c r="BT238" s="1109">
        <v>15.462639182100171</v>
      </c>
      <c r="BU238" s="1109">
        <v>7.64915303928725</v>
      </c>
      <c r="BV238" s="1109">
        <v>6.4474872629253515</v>
      </c>
      <c r="BW238" s="1109">
        <v>6.4518449599913721</v>
      </c>
      <c r="BX238" s="1109">
        <v>4.7440283124812614</v>
      </c>
      <c r="BY238" s="1109">
        <v>2.0512760930573002</v>
      </c>
      <c r="BZ238" s="1109">
        <v>1.8745238565947675</v>
      </c>
      <c r="CA238" s="1109">
        <v>1.6205937979826417</v>
      </c>
      <c r="CB238" s="1109">
        <v>1.3475844111598119</v>
      </c>
      <c r="CC238" s="1109">
        <v>1.2286091083112449</v>
      </c>
      <c r="CD238" s="1109">
        <v>1.0819619856450782</v>
      </c>
      <c r="CE238" s="1109">
        <v>0.87048658489383268</v>
      </c>
      <c r="CF238" s="1109">
        <v>0.64569575280367786</v>
      </c>
    </row>
    <row r="239" spans="3:88" ht="14.45" hidden="1" outlineLevel="1" collapsed="1">
      <c r="D239" s="1432"/>
      <c r="E239" s="1440"/>
      <c r="F239" s="1106"/>
      <c r="G239" s="1106"/>
      <c r="H239" s="1106"/>
      <c r="I239" s="1106"/>
    </row>
    <row r="240" spans="3:88" ht="14.45" collapsed="1">
      <c r="D240" s="1435" t="s">
        <v>1136</v>
      </c>
      <c r="E240" s="1433" t="s">
        <v>1067</v>
      </c>
      <c r="F240" s="1107" t="s">
        <v>1068</v>
      </c>
      <c r="G240" s="1107"/>
      <c r="H240" s="1107"/>
      <c r="I240" s="1107"/>
      <c r="J240" s="1108"/>
      <c r="K240" s="1108"/>
      <c r="L240" s="1108"/>
      <c r="M240" s="1108"/>
      <c r="N240" s="1108"/>
      <c r="O240" s="1108"/>
      <c r="P240" s="1108"/>
      <c r="Q240" s="1108"/>
      <c r="R240" s="1108"/>
      <c r="S240" s="1108"/>
      <c r="T240" s="1108"/>
      <c r="U240" s="1108"/>
      <c r="V240" s="1108"/>
      <c r="W240" s="1108"/>
      <c r="X240" s="1108"/>
      <c r="Y240" s="1108">
        <v>724.94324590972349</v>
      </c>
      <c r="Z240" s="1108">
        <v>693.39988738262105</v>
      </c>
      <c r="AA240" s="1108">
        <v>720.33691471789177</v>
      </c>
      <c r="AB240" s="1108">
        <v>829.79075088303796</v>
      </c>
      <c r="AC240" s="1108">
        <v>1002.2667767125405</v>
      </c>
      <c r="AD240" s="1108">
        <v>1093.8022226022076</v>
      </c>
      <c r="AE240" s="1108">
        <v>1023.6611561538501</v>
      </c>
      <c r="AF240" s="1108">
        <v>1133.0298601985164</v>
      </c>
      <c r="AG240" s="1108">
        <v>1063.7951449853524</v>
      </c>
      <c r="AH240" s="1108">
        <v>1159.8265231291025</v>
      </c>
      <c r="AI240" s="1108">
        <v>1105.2937697952827</v>
      </c>
      <c r="AJ240" s="1108">
        <v>1163.0554752205605</v>
      </c>
      <c r="AK240" s="1108">
        <v>1183.7150006977924</v>
      </c>
      <c r="AL240" s="1108">
        <v>1144.2211571910475</v>
      </c>
      <c r="AM240" s="1108">
        <v>1159.3433266562149</v>
      </c>
      <c r="AN240" s="1108">
        <v>1196.1277465292044</v>
      </c>
      <c r="AO240" s="1108">
        <v>1211.1148436137405</v>
      </c>
      <c r="AP240" s="1108">
        <v>1318.6755793559555</v>
      </c>
      <c r="AQ240" s="1108">
        <v>1328.0267360169219</v>
      </c>
      <c r="AR240" s="1108">
        <v>1216.3125696720085</v>
      </c>
      <c r="AS240" s="1108">
        <v>1327.9657973958531</v>
      </c>
      <c r="AT240" s="1108">
        <v>1378.690062229108</v>
      </c>
      <c r="AU240" s="1108">
        <v>1373.175799006747</v>
      </c>
      <c r="AV240" s="1108">
        <v>1431.0877225073475</v>
      </c>
      <c r="AW240" s="1108">
        <v>1450.3906538844835</v>
      </c>
      <c r="AX240" s="1108">
        <v>1567.1548808033531</v>
      </c>
      <c r="AY240" s="1108">
        <v>1500.8621785946084</v>
      </c>
      <c r="AZ240" s="1108">
        <v>1558.8134430698194</v>
      </c>
      <c r="BA240" s="1108">
        <v>1533.493076745734</v>
      </c>
      <c r="BB240" s="1108">
        <v>1480.3327063255406</v>
      </c>
      <c r="BC240" s="1108">
        <v>1441.9446340053012</v>
      </c>
      <c r="BD240" s="1108">
        <v>1505.3282016599155</v>
      </c>
      <c r="BE240" s="1108">
        <v>1548.5911242481661</v>
      </c>
      <c r="BF240" s="1108">
        <v>1544.2762170900867</v>
      </c>
      <c r="BG240" s="1108">
        <v>1511.3557125325678</v>
      </c>
      <c r="BH240" s="1108">
        <v>1576.2113377376133</v>
      </c>
      <c r="BI240" s="1108">
        <v>1645.0107207170427</v>
      </c>
      <c r="BJ240" s="1108">
        <v>1609.7127268877746</v>
      </c>
      <c r="BK240" s="1108">
        <v>1562.7213034826586</v>
      </c>
      <c r="BL240" s="1108">
        <v>1618.813245644872</v>
      </c>
      <c r="BM240" s="1108">
        <v>1705.13523902061</v>
      </c>
      <c r="BN240" s="1108">
        <v>1727.067884750445</v>
      </c>
      <c r="BO240" s="1108">
        <v>1650.2279729207567</v>
      </c>
      <c r="BP240" s="1108">
        <v>1645.6981231162467</v>
      </c>
      <c r="BQ240" s="1108">
        <v>1717.0866754706326</v>
      </c>
      <c r="BR240" s="1108">
        <v>1717.95266171858</v>
      </c>
      <c r="BS240" s="1108">
        <v>1624.2949137758926</v>
      </c>
      <c r="BT240" s="1108">
        <v>1661.9609299876849</v>
      </c>
      <c r="BU240" s="1108">
        <v>1630.0551433389901</v>
      </c>
      <c r="BV240" s="1108">
        <v>1624.7657099574301</v>
      </c>
      <c r="BW240" s="1108">
        <v>1629.2772681067099</v>
      </c>
      <c r="BX240" s="1108">
        <v>1626.4319746763499</v>
      </c>
      <c r="BY240" s="1108">
        <v>1632.17532750341</v>
      </c>
      <c r="BZ240" s="1108">
        <v>1627.1739651591299</v>
      </c>
      <c r="CA240" s="1108">
        <v>1630.6144646564301</v>
      </c>
      <c r="CB240" s="1108">
        <v>1625.96046185212</v>
      </c>
      <c r="CC240" s="1108">
        <v>1632.1453139313301</v>
      </c>
      <c r="CD240" s="1108">
        <v>1626.77902391106</v>
      </c>
      <c r="CE240" s="1108">
        <v>1628.7050167284201</v>
      </c>
      <c r="CF240" s="1108">
        <v>1622.0582615015201</v>
      </c>
    </row>
    <row r="241" spans="4:84" ht="14.45" hidden="1" outlineLevel="1">
      <c r="D241" s="1432"/>
      <c r="E241" s="1440"/>
      <c r="F241" s="1107" t="s">
        <v>1069</v>
      </c>
      <c r="G241" s="1107"/>
      <c r="H241" s="1107"/>
      <c r="I241" s="1107"/>
      <c r="W241" s="1109"/>
      <c r="X241" s="1109"/>
      <c r="Y241" s="1109">
        <v>-4.9452057391632831</v>
      </c>
      <c r="Z241" s="1109">
        <v>-8.762604238400213</v>
      </c>
      <c r="AA241" s="1109">
        <v>3.4285376924823403</v>
      </c>
      <c r="AB241" s="1109">
        <v>21.69364880254583</v>
      </c>
      <c r="AC241" s="1109">
        <v>38.254516111093182</v>
      </c>
      <c r="AD241" s="1109">
        <v>57.744793805921525</v>
      </c>
      <c r="AE241" s="1109">
        <v>42.108662660270625</v>
      </c>
      <c r="AF241" s="1109">
        <v>36.544045470834746</v>
      </c>
      <c r="AG241" s="1109">
        <v>6.1389212635209232</v>
      </c>
      <c r="AH241" s="1109">
        <v>6.0362192691307497</v>
      </c>
      <c r="AI241" s="1109">
        <v>7.9745737298606372</v>
      </c>
      <c r="AJ241" s="1109">
        <v>2.6500285717786274</v>
      </c>
      <c r="AK241" s="1109">
        <v>11.272833522293546</v>
      </c>
      <c r="AL241" s="1109">
        <v>-1.3454913840005311</v>
      </c>
      <c r="AM241" s="1109">
        <v>4.8900625641763069</v>
      </c>
      <c r="AN241" s="1109">
        <v>2.843567827439363</v>
      </c>
      <c r="AO241" s="1109">
        <v>2.3147330987438717</v>
      </c>
      <c r="AP241" s="1109">
        <v>15.246564972909326</v>
      </c>
      <c r="AQ241" s="1109">
        <v>14.549909891423161</v>
      </c>
      <c r="AR241" s="1109">
        <v>1.6875139968430879</v>
      </c>
      <c r="AS241" s="1109">
        <v>9.6482141555999057</v>
      </c>
      <c r="AT241" s="1109">
        <v>4.5511180924775827</v>
      </c>
      <c r="AU241" s="1109">
        <v>3.3997103947800191</v>
      </c>
      <c r="AV241" s="1109">
        <v>17.657891416287459</v>
      </c>
      <c r="AW241" s="1109">
        <v>9.2189766279151257</v>
      </c>
      <c r="AX241" s="1109">
        <v>13.66984674347543</v>
      </c>
      <c r="AY241" s="1109">
        <v>9.2986185512605353</v>
      </c>
      <c r="AZ241" s="1109">
        <v>8.9250797525318113</v>
      </c>
      <c r="BA241" s="1109">
        <v>5.7296579124171041</v>
      </c>
      <c r="BB241" s="1109">
        <v>-5.5401144801530924</v>
      </c>
      <c r="BC241" s="1109">
        <v>-3.9255799386241441</v>
      </c>
      <c r="BD241" s="1109">
        <v>-3.4311508954255459</v>
      </c>
      <c r="BE241" s="1109">
        <v>0.98455270071854983</v>
      </c>
      <c r="BF241" s="1109">
        <v>4.3195364455106651</v>
      </c>
      <c r="BG241" s="1109">
        <v>4.813713154468557</v>
      </c>
      <c r="BH241" s="1109">
        <v>4.708816057490683</v>
      </c>
      <c r="BI241" s="1109">
        <v>6.2262785159438261</v>
      </c>
      <c r="BJ241" s="1109">
        <v>4.2373578685936986</v>
      </c>
      <c r="BK241" s="1109">
        <v>3.3986433851510602</v>
      </c>
      <c r="BL241" s="1109">
        <v>2.7028043059509126</v>
      </c>
      <c r="BM241" s="1109">
        <v>3.654962095162499</v>
      </c>
      <c r="BN241" s="1109">
        <v>7.2904410769967276</v>
      </c>
      <c r="BO241" s="1109">
        <v>5.5996337442307782</v>
      </c>
      <c r="BP241" s="1109">
        <v>1.6607769638470438</v>
      </c>
      <c r="BQ241" s="1109">
        <v>0.700908419257537</v>
      </c>
      <c r="BR241" s="1109">
        <v>-0.52778603043633032</v>
      </c>
      <c r="BS241" s="1109">
        <v>-1.5714834295872975</v>
      </c>
      <c r="BT241" s="1109">
        <v>0.98820109490332475</v>
      </c>
      <c r="BU241" s="1109">
        <v>-5.068557887899761</v>
      </c>
      <c r="BV241" s="1109">
        <v>-5.4243026503378102</v>
      </c>
      <c r="BW241" s="1109">
        <v>0.30673951439244251</v>
      </c>
      <c r="BX241" s="1109">
        <v>-2.1377731973277077</v>
      </c>
      <c r="BY241" s="1109">
        <v>0.13006824788006613</v>
      </c>
      <c r="BZ241" s="1109">
        <v>0.1482216904837885</v>
      </c>
      <c r="CA241" s="1109">
        <v>8.2072988796684496E-2</v>
      </c>
      <c r="CB241" s="1109">
        <v>-2.8990626818173829E-2</v>
      </c>
      <c r="CC241" s="1109">
        <v>-1.8388693649634277E-3</v>
      </c>
      <c r="CD241" s="1109">
        <v>-2.4271605650432293E-2</v>
      </c>
      <c r="CE241" s="1109">
        <v>-0.11709990125791554</v>
      </c>
      <c r="CF241" s="1109">
        <v>-0.23999355717143331</v>
      </c>
    </row>
    <row r="242" spans="4:84" ht="14.45" hidden="1" outlineLevel="1" collapsed="1">
      <c r="D242" s="1432"/>
      <c r="E242" s="1440"/>
      <c r="F242" s="1107"/>
      <c r="G242" s="1107"/>
      <c r="H242" s="1107"/>
      <c r="I242" s="1107"/>
    </row>
    <row r="243" spans="4:84" ht="14.45" collapsed="1">
      <c r="D243" s="1436" t="s">
        <v>1137</v>
      </c>
      <c r="E243" s="1433" t="s">
        <v>1067</v>
      </c>
      <c r="F243" s="1106" t="s">
        <v>1068</v>
      </c>
      <c r="G243" s="1106"/>
      <c r="H243" s="1106"/>
      <c r="I243" s="1106"/>
      <c r="J243" s="1108"/>
      <c r="K243" s="1108"/>
      <c r="L243" s="1108"/>
      <c r="M243" s="1108"/>
      <c r="N243" s="1108"/>
      <c r="O243" s="1108"/>
      <c r="P243" s="1108"/>
      <c r="Q243" s="1108"/>
      <c r="R243" s="1108"/>
      <c r="S243" s="1108"/>
      <c r="T243" s="1108"/>
      <c r="U243" s="1108"/>
      <c r="V243" s="1108"/>
      <c r="W243" s="1108"/>
      <c r="X243" s="1108"/>
      <c r="Y243" s="1108">
        <v>3272.4791078971598</v>
      </c>
      <c r="Z243" s="1108">
        <v>3548.3867134988582</v>
      </c>
      <c r="AA243" s="1108">
        <v>3159.4856565317782</v>
      </c>
      <c r="AB243" s="1108">
        <v>3506.7537053178812</v>
      </c>
      <c r="AC243" s="1108">
        <v>2776.8024808704508</v>
      </c>
      <c r="AD243" s="1108">
        <v>3013.6218358324654</v>
      </c>
      <c r="AE243" s="1108">
        <v>2662.9364148358814</v>
      </c>
      <c r="AF243" s="1108">
        <v>2872.7485207371888</v>
      </c>
      <c r="AG243" s="1108">
        <v>2247.7271885893133</v>
      </c>
      <c r="AH243" s="1108">
        <v>2500.7421934721792</v>
      </c>
      <c r="AI243" s="1108">
        <v>2210.0779234506072</v>
      </c>
      <c r="AJ243" s="1108">
        <v>2214.0285121645111</v>
      </c>
      <c r="AK243" s="1108">
        <v>1936.4833786981578</v>
      </c>
      <c r="AL243" s="1108">
        <v>2012.9888827389095</v>
      </c>
      <c r="AM243" s="1108">
        <v>1870.993085200116</v>
      </c>
      <c r="AN243" s="1108">
        <v>1879.0492934853557</v>
      </c>
      <c r="AO243" s="1108">
        <v>1668.4989077163782</v>
      </c>
      <c r="AP243" s="1108">
        <v>1828.8764073290165</v>
      </c>
      <c r="AQ243" s="1108">
        <v>1514.9371679329827</v>
      </c>
      <c r="AR243" s="1108">
        <v>1262.8268913469205</v>
      </c>
      <c r="AS243" s="1108">
        <v>1206.322924948151</v>
      </c>
      <c r="AT243" s="1108">
        <v>1427.1163933239648</v>
      </c>
      <c r="AU243" s="1108">
        <v>1212.5233676782807</v>
      </c>
      <c r="AV243" s="1108">
        <v>1218.8035742716754</v>
      </c>
      <c r="AW243" s="1108">
        <v>1095.4064700894535</v>
      </c>
      <c r="AX243" s="1108">
        <v>1224.0907290723128</v>
      </c>
      <c r="AY243" s="1108">
        <v>946.68695143529442</v>
      </c>
      <c r="AZ243" s="1108">
        <v>906.97038114778979</v>
      </c>
      <c r="BA243" s="1108">
        <v>762.81037978164488</v>
      </c>
      <c r="BB243" s="1108">
        <v>829.55158414586833</v>
      </c>
      <c r="BC243" s="1108">
        <v>670.93678211555755</v>
      </c>
      <c r="BD243" s="1108">
        <v>609.28059969034609</v>
      </c>
      <c r="BE243" s="1108">
        <v>592.16503539194321</v>
      </c>
      <c r="BF243" s="1108">
        <v>639.17187985751661</v>
      </c>
      <c r="BG243" s="1108">
        <v>516.25707374334036</v>
      </c>
      <c r="BH243" s="1108">
        <v>488.62319031746705</v>
      </c>
      <c r="BI243" s="1108">
        <v>481.90614091334822</v>
      </c>
      <c r="BJ243" s="1108">
        <v>499.26694402057598</v>
      </c>
      <c r="BK243" s="1108">
        <v>411.46840110257938</v>
      </c>
      <c r="BL243" s="1108">
        <v>412.57947631479044</v>
      </c>
      <c r="BM243" s="1108">
        <v>372.66709443269667</v>
      </c>
      <c r="BN243" s="1108">
        <v>395.14888363169132</v>
      </c>
      <c r="BO243" s="1108">
        <v>337.22325769464317</v>
      </c>
      <c r="BP243" s="1108">
        <v>354.53794815111286</v>
      </c>
      <c r="BQ243" s="1108">
        <v>347.93189861703701</v>
      </c>
      <c r="BR243" s="1108">
        <v>382.98573945318549</v>
      </c>
      <c r="BS243" s="1108">
        <v>308.556657637277</v>
      </c>
      <c r="BT243" s="1108">
        <v>318.72608838874623</v>
      </c>
      <c r="BU243" s="1108">
        <v>169.04833169139999</v>
      </c>
      <c r="BV243" s="1108">
        <v>183.47551665350699</v>
      </c>
      <c r="BW243" s="1108">
        <v>136.73703813958701</v>
      </c>
      <c r="BX243" s="1108">
        <v>142.98920151614999</v>
      </c>
      <c r="BY243" s="1108">
        <v>126.78624876855</v>
      </c>
      <c r="BZ243" s="1108">
        <v>137.60663749013</v>
      </c>
      <c r="CA243" s="1108">
        <v>102.552778604691</v>
      </c>
      <c r="CB243" s="1108">
        <v>107.241901137112</v>
      </c>
      <c r="CC243" s="1108">
        <v>95.089686576412205</v>
      </c>
      <c r="CD243" s="1108">
        <v>103.20497811759699</v>
      </c>
      <c r="CE243" s="1108">
        <v>76.914583953517905</v>
      </c>
      <c r="CF243" s="1108">
        <v>80.431425852834394</v>
      </c>
    </row>
    <row r="244" spans="4:84" ht="14.45" hidden="1" outlineLevel="1">
      <c r="D244" s="1432"/>
      <c r="E244" s="1440"/>
      <c r="F244" s="1106" t="s">
        <v>1069</v>
      </c>
      <c r="G244" s="1106"/>
      <c r="H244" s="1106"/>
      <c r="I244" s="1106"/>
      <c r="W244" s="1109"/>
      <c r="X244" s="1109"/>
      <c r="Y244" s="1109">
        <v>-21.315207619484699</v>
      </c>
      <c r="Z244" s="1109">
        <v>-18.16547991302555</v>
      </c>
      <c r="AA244" s="1109">
        <v>-18.587700257457502</v>
      </c>
      <c r="AB244" s="1109">
        <v>-7.9374916778647249</v>
      </c>
      <c r="AC244" s="1109">
        <v>-15.146823270178873</v>
      </c>
      <c r="AD244" s="1109">
        <v>-15.070648180256885</v>
      </c>
      <c r="AE244" s="1109">
        <v>-15.716141665949751</v>
      </c>
      <c r="AF244" s="1109">
        <v>-18.079547007229042</v>
      </c>
      <c r="AG244" s="1109">
        <v>-19.053400302180911</v>
      </c>
      <c r="AH244" s="1109">
        <v>-17.018712708477945</v>
      </c>
      <c r="AI244" s="1109">
        <v>-17.005982150466938</v>
      </c>
      <c r="AJ244" s="1109">
        <v>-22.929957280202188</v>
      </c>
      <c r="AK244" s="1109">
        <v>-13.847045649988063</v>
      </c>
      <c r="AL244" s="1109">
        <v>-19.504342031196906</v>
      </c>
      <c r="AM244" s="1109">
        <v>-15.342664376334575</v>
      </c>
      <c r="AN244" s="1109">
        <v>-15.129851166716367</v>
      </c>
      <c r="AO244" s="1109">
        <v>-13.838717849565944</v>
      </c>
      <c r="AP244" s="1109">
        <v>-9.1462241539747708</v>
      </c>
      <c r="AQ244" s="1109">
        <v>-19.030317112532277</v>
      </c>
      <c r="AR244" s="1109">
        <v>-32.794371295892653</v>
      </c>
      <c r="AS244" s="1109">
        <v>-27.700107002215113</v>
      </c>
      <c r="AT244" s="1109">
        <v>-21.967586896251913</v>
      </c>
      <c r="AU244" s="1109">
        <v>-19.962134843342895</v>
      </c>
      <c r="AV244" s="1109">
        <v>-3.4860927793745535</v>
      </c>
      <c r="AW244" s="1109">
        <v>-9.1945906493872567</v>
      </c>
      <c r="AX244" s="1109">
        <v>-14.226286321242181</v>
      </c>
      <c r="AY244" s="1109">
        <v>-21.924230355412067</v>
      </c>
      <c r="AZ244" s="1109">
        <v>-25.585188598599974</v>
      </c>
      <c r="BA244" s="1109">
        <v>-30.36280133352216</v>
      </c>
      <c r="BB244" s="1109">
        <v>-32.231201132080237</v>
      </c>
      <c r="BC244" s="1109">
        <v>-29.127914872140735</v>
      </c>
      <c r="BD244" s="1109">
        <v>-32.822436944491081</v>
      </c>
      <c r="BE244" s="1109">
        <v>-22.370611217764111</v>
      </c>
      <c r="BF244" s="1109">
        <v>-22.949712582897721</v>
      </c>
      <c r="BG244" s="1109">
        <v>-23.054289538947383</v>
      </c>
      <c r="BH244" s="1109">
        <v>-19.803258044684274</v>
      </c>
      <c r="BI244" s="1109">
        <v>-18.619622552624477</v>
      </c>
      <c r="BJ244" s="1109">
        <v>-21.888468539656042</v>
      </c>
      <c r="BK244" s="1109">
        <v>-20.297769845737196</v>
      </c>
      <c r="BL244" s="1109">
        <v>-15.562854058005243</v>
      </c>
      <c r="BM244" s="1109">
        <v>-22.668116715344759</v>
      </c>
      <c r="BN244" s="1109">
        <v>-20.854186650216864</v>
      </c>
      <c r="BO244" s="1109">
        <v>-18.043947775573375</v>
      </c>
      <c r="BP244" s="1109">
        <v>-14.067963021842846</v>
      </c>
      <c r="BQ244" s="1109">
        <v>-6.6373436735308058</v>
      </c>
      <c r="BR244" s="1109">
        <v>-3.0781168016262961</v>
      </c>
      <c r="BS244" s="1109">
        <v>-8.5007778684481696</v>
      </c>
      <c r="BT244" s="1109">
        <v>-10.100994815681261</v>
      </c>
      <c r="BU244" s="1109">
        <v>-51.413385101126138</v>
      </c>
      <c r="BV244" s="1109">
        <v>-52.093381618995181</v>
      </c>
      <c r="BW244" s="1109">
        <v>-55.684949666414951</v>
      </c>
      <c r="BX244" s="1109">
        <v>-55.137277202816279</v>
      </c>
      <c r="BY244" s="1109">
        <v>-25</v>
      </c>
      <c r="BZ244" s="1109">
        <v>-25.000000000000135</v>
      </c>
      <c r="CA244" s="1109">
        <v>-24.99999999999946</v>
      </c>
      <c r="CB244" s="1109">
        <v>-25.000000000000348</v>
      </c>
      <c r="CC244" s="1109">
        <v>-25.000000000000227</v>
      </c>
      <c r="CD244" s="1109">
        <v>-25.000000000000366</v>
      </c>
      <c r="CE244" s="1109">
        <v>-25.000000000000338</v>
      </c>
      <c r="CF244" s="1109">
        <v>-24.999999999999627</v>
      </c>
    </row>
    <row r="245" spans="4:84" ht="14.45" hidden="1" outlineLevel="1" collapsed="1">
      <c r="D245" s="1432"/>
      <c r="E245" s="1440"/>
      <c r="F245" s="1106"/>
      <c r="G245" s="1106"/>
      <c r="H245" s="1106"/>
      <c r="I245" s="1106"/>
    </row>
    <row r="246" spans="4:84" ht="14.45" collapsed="1">
      <c r="D246" s="1436" t="s">
        <v>1138</v>
      </c>
      <c r="E246" s="1433" t="s">
        <v>1067</v>
      </c>
      <c r="F246" s="1107" t="s">
        <v>1068</v>
      </c>
      <c r="G246" s="1107"/>
      <c r="H246" s="1107"/>
      <c r="I246" s="1107"/>
      <c r="J246" s="1108"/>
      <c r="K246" s="1108"/>
      <c r="L246" s="1108"/>
      <c r="M246" s="1108"/>
      <c r="N246" s="1108"/>
      <c r="O246" s="1108"/>
      <c r="P246" s="1108"/>
      <c r="Q246" s="1108"/>
      <c r="R246" s="1108"/>
      <c r="S246" s="1108"/>
      <c r="T246" s="1108"/>
      <c r="U246" s="1108"/>
      <c r="V246" s="1108"/>
      <c r="W246" s="1108"/>
      <c r="X246" s="1108"/>
      <c r="Y246" s="1108">
        <v>1510.984652201395</v>
      </c>
      <c r="Z246" s="1108">
        <v>1654.367190673428</v>
      </c>
      <c r="AA246" s="1108">
        <v>1827.249752562567</v>
      </c>
      <c r="AB246" s="1108">
        <v>2090.7183541060381</v>
      </c>
      <c r="AC246" s="1108">
        <v>2285.3392454705831</v>
      </c>
      <c r="AD246" s="1108">
        <v>2451.8753157041378</v>
      </c>
      <c r="AE246" s="1108">
        <v>2646.3686969975201</v>
      </c>
      <c r="AF246" s="1108">
        <v>2975.2357035244127</v>
      </c>
      <c r="AG246" s="1108">
        <v>3235.8644983207532</v>
      </c>
      <c r="AH246" s="1108">
        <v>3423.5220813952956</v>
      </c>
      <c r="AI246" s="1108">
        <v>3750.6286204096837</v>
      </c>
      <c r="AJ246" s="1108">
        <v>4119.6407435457268</v>
      </c>
      <c r="AK246" s="1108">
        <v>4417.1601410598305</v>
      </c>
      <c r="AL246" s="1108">
        <v>4583.9193397147174</v>
      </c>
      <c r="AM246" s="1108">
        <v>4868.2323394841424</v>
      </c>
      <c r="AN246" s="1108">
        <v>5386.9782767150409</v>
      </c>
      <c r="AO246" s="1108">
        <v>5529.5967925401173</v>
      </c>
      <c r="AP246" s="1108">
        <v>5831.8263086453671</v>
      </c>
      <c r="AQ246" s="1108">
        <v>6085.2372416589815</v>
      </c>
      <c r="AR246" s="1108">
        <v>6424.2016361840151</v>
      </c>
      <c r="AS246" s="1108">
        <v>6694.9386227380055</v>
      </c>
      <c r="AT246" s="1108">
        <v>7063.9012301063131</v>
      </c>
      <c r="AU246" s="1108">
        <v>7421.6164754291458</v>
      </c>
      <c r="AV246" s="1108">
        <v>8016.4673329722364</v>
      </c>
      <c r="AW246" s="1108">
        <v>8227.5587112677749</v>
      </c>
      <c r="AX246" s="1108">
        <v>8416.6418664524954</v>
      </c>
      <c r="AY246" s="1108">
        <v>8701.4871182841489</v>
      </c>
      <c r="AZ246" s="1108">
        <v>9198.1866375030058</v>
      </c>
      <c r="BA246" s="1108">
        <v>9176.7888825484297</v>
      </c>
      <c r="BB246" s="1108">
        <v>9458.8827885756073</v>
      </c>
      <c r="BC246" s="1108">
        <v>9873.079271903709</v>
      </c>
      <c r="BD246" s="1108">
        <v>10368.148215894378</v>
      </c>
      <c r="BE246" s="1108">
        <v>10332.419042371066</v>
      </c>
      <c r="BF246" s="1108">
        <v>10588.582226367389</v>
      </c>
      <c r="BG246" s="1108">
        <v>10978.442778253388</v>
      </c>
      <c r="BH246" s="1108">
        <v>11506.725402682652</v>
      </c>
      <c r="BI246" s="1108">
        <v>11478.3105092715</v>
      </c>
      <c r="BJ246" s="1108">
        <v>11778.1090637904</v>
      </c>
      <c r="BK246" s="1108">
        <v>12192.455257180343</v>
      </c>
      <c r="BL246" s="1108">
        <v>12745.110497621465</v>
      </c>
      <c r="BM246" s="1108">
        <v>12963.868083725367</v>
      </c>
      <c r="BN246" s="1108">
        <v>13351.660093682651</v>
      </c>
      <c r="BO246" s="1108">
        <v>13777.991662594966</v>
      </c>
      <c r="BP246" s="1108">
        <v>14365.305970740499</v>
      </c>
      <c r="BQ246" s="1108">
        <v>14351.345197834526</v>
      </c>
      <c r="BR246" s="1108">
        <v>14607.593709848825</v>
      </c>
      <c r="BS246" s="1108">
        <v>15091.687953572075</v>
      </c>
      <c r="BT246" s="1108">
        <v>15817.484264434899</v>
      </c>
      <c r="BU246" s="1108">
        <v>17778.346163409002</v>
      </c>
      <c r="BV246" s="1108">
        <v>18736.5780521651</v>
      </c>
      <c r="BW246" s="1108">
        <v>19420.803410451899</v>
      </c>
      <c r="BX246" s="1108">
        <v>19915.340011619501</v>
      </c>
      <c r="BY246" s="1108">
        <v>19987.461173164102</v>
      </c>
      <c r="BZ246" s="1108">
        <v>20996.1128648659</v>
      </c>
      <c r="CA246" s="1108">
        <v>21714.361438904201</v>
      </c>
      <c r="CB246" s="1108">
        <v>22231.583463781099</v>
      </c>
      <c r="CC246" s="1108">
        <v>22299.133967947499</v>
      </c>
      <c r="CD246" s="1108">
        <v>23350.092161015298</v>
      </c>
      <c r="CE246" s="1108">
        <v>24096.1773992454</v>
      </c>
      <c r="CF246" s="1108">
        <v>24631.234767979</v>
      </c>
    </row>
    <row r="247" spans="4:84" ht="14.45" hidden="1" outlineLevel="1">
      <c r="D247" s="1432"/>
      <c r="E247" s="1440"/>
      <c r="F247" s="1107" t="s">
        <v>1069</v>
      </c>
      <c r="G247" s="1107"/>
      <c r="H247" s="1107"/>
      <c r="I247" s="1107"/>
      <c r="W247" s="1109"/>
      <c r="X247" s="1109"/>
      <c r="Y247" s="1109">
        <v>60.214628536551999</v>
      </c>
      <c r="Z247" s="1109">
        <v>46.362522159507996</v>
      </c>
      <c r="AA247" s="1109">
        <v>46.452405387085825</v>
      </c>
      <c r="AB247" s="1109">
        <v>42.939348011695863</v>
      </c>
      <c r="AC247" s="1109">
        <v>51.248342737367302</v>
      </c>
      <c r="AD247" s="1109">
        <v>48.206234355147934</v>
      </c>
      <c r="AE247" s="1109">
        <v>44.82796855143674</v>
      </c>
      <c r="AF247" s="1109">
        <v>42.30686298234474</v>
      </c>
      <c r="AG247" s="1109">
        <v>41.592304281916086</v>
      </c>
      <c r="AH247" s="1109">
        <v>39.628718453495949</v>
      </c>
      <c r="AI247" s="1109">
        <v>41.727364923301096</v>
      </c>
      <c r="AJ247" s="1109">
        <v>38.46434884690553</v>
      </c>
      <c r="AK247" s="1109">
        <v>36.50633836342989</v>
      </c>
      <c r="AL247" s="1109">
        <v>33.894837852089701</v>
      </c>
      <c r="AM247" s="1109">
        <v>29.797770778818993</v>
      </c>
      <c r="AN247" s="1109">
        <v>30.763302240732077</v>
      </c>
      <c r="AO247" s="1109">
        <v>25.184431081400067</v>
      </c>
      <c r="AP247" s="1109">
        <v>27.223580443898342</v>
      </c>
      <c r="AQ247" s="1109">
        <v>24.998907556326657</v>
      </c>
      <c r="AR247" s="1109">
        <v>19.254270319825181</v>
      </c>
      <c r="AS247" s="1109">
        <v>21.074625762406953</v>
      </c>
      <c r="AT247" s="1109">
        <v>21.126742400308824</v>
      </c>
      <c r="AU247" s="1109">
        <v>21.961004652726331</v>
      </c>
      <c r="AV247" s="1109">
        <v>24.785425286464534</v>
      </c>
      <c r="AW247" s="1109">
        <v>22.892220151571443</v>
      </c>
      <c r="AX247" s="1109">
        <v>19.150050266569529</v>
      </c>
      <c r="AY247" s="1109">
        <v>17.2451735695625</v>
      </c>
      <c r="AZ247" s="1109">
        <v>14.741147882812214</v>
      </c>
      <c r="BA247" s="1109">
        <v>11.537203253021685</v>
      </c>
      <c r="BB247" s="1109">
        <v>12.383096948408033</v>
      </c>
      <c r="BC247" s="1109">
        <v>13.464274987636676</v>
      </c>
      <c r="BD247" s="1109">
        <v>12.719480746576556</v>
      </c>
      <c r="BE247" s="1109">
        <v>12.592968789118677</v>
      </c>
      <c r="BF247" s="1109">
        <v>11.943265003307021</v>
      </c>
      <c r="BG247" s="1109">
        <v>11.195732110601645</v>
      </c>
      <c r="BH247" s="1109">
        <v>10.981490263061966</v>
      </c>
      <c r="BI247" s="1109">
        <v>11.090253523413779</v>
      </c>
      <c r="BJ247" s="1109">
        <v>11.234052038250075</v>
      </c>
      <c r="BK247" s="1109">
        <v>11.058148258801587</v>
      </c>
      <c r="BL247" s="1109">
        <v>10.762272076555316</v>
      </c>
      <c r="BM247" s="1109">
        <v>12.942301685025178</v>
      </c>
      <c r="BN247" s="1109">
        <v>13.359963143233578</v>
      </c>
      <c r="BO247" s="1109">
        <v>13.004242147871519</v>
      </c>
      <c r="BP247" s="1109">
        <v>12.712290516597724</v>
      </c>
      <c r="BQ247" s="1109">
        <v>10.702647582869</v>
      </c>
      <c r="BR247" s="1109">
        <v>9.4065727209489101</v>
      </c>
      <c r="BS247" s="1109">
        <v>9.5347444181112593</v>
      </c>
      <c r="BT247" s="1109">
        <v>10.108926998507526</v>
      </c>
      <c r="BU247" s="1109">
        <v>23.879301336097583</v>
      </c>
      <c r="BV247" s="1109">
        <v>28.266013036304567</v>
      </c>
      <c r="BW247" s="1109">
        <v>28.685429159401348</v>
      </c>
      <c r="BX247" s="1109">
        <v>25.907127066966634</v>
      </c>
      <c r="BY247" s="1109">
        <v>12.425874653638209</v>
      </c>
      <c r="BZ247" s="1109">
        <v>12.059484962568714</v>
      </c>
      <c r="CA247" s="1109">
        <v>11.809799934527703</v>
      </c>
      <c r="CB247" s="1109">
        <v>11.630448944432773</v>
      </c>
      <c r="CC247" s="1109">
        <v>11.565614936063684</v>
      </c>
      <c r="CD247" s="1109">
        <v>11.211500487256659</v>
      </c>
      <c r="CE247" s="1109">
        <v>10.968851039173801</v>
      </c>
      <c r="CF247" s="1109">
        <v>10.793883881943577</v>
      </c>
    </row>
    <row r="248" spans="4:84" ht="14.45" hidden="1" outlineLevel="1" collapsed="1">
      <c r="D248" s="1432"/>
      <c r="E248" s="1440"/>
      <c r="F248" s="1107"/>
      <c r="G248" s="1107"/>
      <c r="H248" s="1107"/>
      <c r="I248" s="1107"/>
    </row>
    <row r="249" spans="4:84" ht="14.45" collapsed="1">
      <c r="D249" s="1435" t="s">
        <v>1139</v>
      </c>
      <c r="E249" s="1433" t="s">
        <v>1067</v>
      </c>
      <c r="F249" s="1106" t="s">
        <v>1068</v>
      </c>
      <c r="G249" s="1106"/>
      <c r="H249" s="1106"/>
      <c r="I249" s="1106"/>
      <c r="J249" s="1108"/>
      <c r="K249" s="1108"/>
      <c r="L249" s="1108"/>
      <c r="M249" s="1108"/>
      <c r="N249" s="1108"/>
      <c r="O249" s="1108"/>
      <c r="P249" s="1108"/>
      <c r="Q249" s="1108"/>
      <c r="R249" s="1108"/>
      <c r="S249" s="1108"/>
      <c r="T249" s="1108"/>
      <c r="U249" s="1108"/>
      <c r="V249" s="1108"/>
      <c r="W249" s="1108"/>
      <c r="X249" s="1108"/>
      <c r="Y249" s="1108">
        <v>4792.1423834154621</v>
      </c>
      <c r="Z249" s="1108">
        <v>5192.367360143573</v>
      </c>
      <c r="AA249" s="1108">
        <v>4978.6724329119525</v>
      </c>
      <c r="AB249" s="1108">
        <v>5583.236905572513</v>
      </c>
      <c r="AC249" s="1108">
        <v>4975.2454550060793</v>
      </c>
      <c r="AD249" s="1108">
        <v>5360.3701639288975</v>
      </c>
      <c r="AE249" s="1108">
        <v>5228.3787261364359</v>
      </c>
      <c r="AF249" s="1108">
        <v>5792.7873919872036</v>
      </c>
      <c r="AG249" s="1108">
        <v>5446.657528132946</v>
      </c>
      <c r="AH249" s="1108">
        <v>5877.344931418017</v>
      </c>
      <c r="AI249" s="1108">
        <v>5928.6667876549773</v>
      </c>
      <c r="AJ249" s="1108">
        <v>6311.4371882920987</v>
      </c>
      <c r="AK249" s="1108">
        <v>6344.8084538830535</v>
      </c>
      <c r="AL249" s="1108">
        <v>6576.3188143284569</v>
      </c>
      <c r="AM249" s="1108">
        <v>6723.7485758742387</v>
      </c>
      <c r="AN249" s="1108">
        <v>7268.7605666240033</v>
      </c>
      <c r="AO249" s="1108">
        <v>7202.2040412696506</v>
      </c>
      <c r="AP249" s="1108">
        <v>7659.0105753942144</v>
      </c>
      <c r="AQ249" s="1108">
        <v>7598.7710454668568</v>
      </c>
      <c r="AR249" s="1108">
        <v>7715.2697534873732</v>
      </c>
      <c r="AS249" s="1108">
        <v>7927.2231450082954</v>
      </c>
      <c r="AT249" s="1108">
        <v>8511.6879294890114</v>
      </c>
      <c r="AU249" s="1108">
        <v>8637.9613361376869</v>
      </c>
      <c r="AV249" s="1108">
        <v>9284.3048512501882</v>
      </c>
      <c r="AW249" s="1108">
        <v>9365.174100172364</v>
      </c>
      <c r="AX249" s="1108">
        <v>9697.6440725144585</v>
      </c>
      <c r="AY249" s="1108">
        <v>9677.4979202565755</v>
      </c>
      <c r="AZ249" s="1108">
        <v>10080.381652227628</v>
      </c>
      <c r="BA249" s="1108">
        <v>10062.602910399026</v>
      </c>
      <c r="BB249" s="1108">
        <v>10430.912246960534</v>
      </c>
      <c r="BC249" s="1108">
        <v>10663.425300987328</v>
      </c>
      <c r="BD249" s="1108">
        <v>11103.748437932003</v>
      </c>
      <c r="BE249" s="1108">
        <v>11026.810314723236</v>
      </c>
      <c r="BF249" s="1108">
        <v>11383.124550606401</v>
      </c>
      <c r="BG249" s="1108">
        <v>11618.478040594891</v>
      </c>
      <c r="BH249" s="1108">
        <v>12119.811110973082</v>
      </c>
      <c r="BI249" s="1108">
        <v>12042.059545109756</v>
      </c>
      <c r="BJ249" s="1108">
        <v>12410.372842549003</v>
      </c>
      <c r="BK249" s="1108">
        <v>12716.491181175579</v>
      </c>
      <c r="BL249" s="1108">
        <v>13260.507514594456</v>
      </c>
      <c r="BM249" s="1108">
        <v>13336.535178158067</v>
      </c>
      <c r="BN249" s="1108">
        <v>13746.808977314367</v>
      </c>
      <c r="BO249" s="1108">
        <v>14115.2149202896</v>
      </c>
      <c r="BP249" s="1108">
        <v>14719.843918891616</v>
      </c>
      <c r="BQ249" s="1108">
        <v>14699.277096451549</v>
      </c>
      <c r="BR249" s="1108">
        <v>14990.579449302049</v>
      </c>
      <c r="BS249" s="1108">
        <v>15400.244611209349</v>
      </c>
      <c r="BT249" s="1108">
        <v>16136.210352823626</v>
      </c>
      <c r="BU249" s="1108">
        <v>17947.394495100401</v>
      </c>
      <c r="BV249" s="1108">
        <v>18920.053568818599</v>
      </c>
      <c r="BW249" s="1108">
        <v>19557.540448591499</v>
      </c>
      <c r="BX249" s="1108">
        <v>20058.329213135599</v>
      </c>
      <c r="BY249" s="1108">
        <v>20114.2474219326</v>
      </c>
      <c r="BZ249" s="1108">
        <v>21133.719502356002</v>
      </c>
      <c r="CA249" s="1108">
        <v>21816.9142175089</v>
      </c>
      <c r="CB249" s="1108">
        <v>22338.825364918201</v>
      </c>
      <c r="CC249" s="1108">
        <v>22394.223654524001</v>
      </c>
      <c r="CD249" s="1108">
        <v>23453.297139132901</v>
      </c>
      <c r="CE249" s="1108">
        <v>24173.091983198901</v>
      </c>
      <c r="CF249" s="1108">
        <v>24711.666193831799</v>
      </c>
    </row>
    <row r="250" spans="4:84" ht="14.45" hidden="1" outlineLevel="1">
      <c r="D250" s="1432"/>
      <c r="E250" s="1440"/>
      <c r="F250" s="1106" t="s">
        <v>1069</v>
      </c>
      <c r="G250" s="1106"/>
      <c r="H250" s="1106"/>
      <c r="I250" s="1106"/>
      <c r="W250" s="1109"/>
      <c r="X250" s="1109"/>
      <c r="Y250" s="1109">
        <v>1.6056244390319052</v>
      </c>
      <c r="Z250" s="1109">
        <v>4.9908867236057981</v>
      </c>
      <c r="AA250" s="1109">
        <v>6.7857948689751311</v>
      </c>
      <c r="AB250" s="1109">
        <v>16.334785083212996</v>
      </c>
      <c r="AC250" s="1109">
        <v>3.8209021548336333</v>
      </c>
      <c r="AD250" s="1109">
        <v>3.2355723725348859</v>
      </c>
      <c r="AE250" s="1109">
        <v>5.0155196307710073</v>
      </c>
      <c r="AF250" s="1109">
        <v>3.7532078605789159</v>
      </c>
      <c r="AG250" s="1109">
        <v>9.475152078226273</v>
      </c>
      <c r="AH250" s="1109">
        <v>9.6443855868006239</v>
      </c>
      <c r="AI250" s="1109">
        <v>13.393981159356954</v>
      </c>
      <c r="AJ250" s="1109">
        <v>8.9533718607092414</v>
      </c>
      <c r="AK250" s="1109">
        <v>16.489946744604371</v>
      </c>
      <c r="AL250" s="1109">
        <v>11.892680982087599</v>
      </c>
      <c r="AM250" s="1109">
        <v>13.410802406281764</v>
      </c>
      <c r="AN250" s="1109">
        <v>15.168072655587347</v>
      </c>
      <c r="AO250" s="1109">
        <v>13.513340766999308</v>
      </c>
      <c r="AP250" s="1109">
        <v>16.463492595687317</v>
      </c>
      <c r="AQ250" s="1109">
        <v>13.013908234646406</v>
      </c>
      <c r="AR250" s="1109">
        <v>6.1428517664154176</v>
      </c>
      <c r="AS250" s="1109">
        <v>10.066628209700566</v>
      </c>
      <c r="AT250" s="1109">
        <v>11.132996170995744</v>
      </c>
      <c r="AU250" s="1109">
        <v>13.675767890003373</v>
      </c>
      <c r="AV250" s="1109">
        <v>20.336749691138102</v>
      </c>
      <c r="AW250" s="1109">
        <v>18.139403027522114</v>
      </c>
      <c r="AX250" s="1109">
        <v>13.933266266925326</v>
      </c>
      <c r="AY250" s="1109">
        <v>12.034513048465428</v>
      </c>
      <c r="AZ250" s="1109">
        <v>8.5744362527071001</v>
      </c>
      <c r="BA250" s="1109">
        <v>7.4470458612598112</v>
      </c>
      <c r="BB250" s="1109">
        <v>7.5613021983797077</v>
      </c>
      <c r="BC250" s="1109">
        <v>10.187833558373043</v>
      </c>
      <c r="BD250" s="1109">
        <v>10.152063890142736</v>
      </c>
      <c r="BE250" s="1109">
        <v>9.5820873874270287</v>
      </c>
      <c r="BF250" s="1109">
        <v>9.1287538529847421</v>
      </c>
      <c r="BG250" s="1109">
        <v>8.9563410691228338</v>
      </c>
      <c r="BH250" s="1109">
        <v>9.1506276346288811</v>
      </c>
      <c r="BI250" s="1109">
        <v>9.2070979858149666</v>
      </c>
      <c r="BJ250" s="1109">
        <v>9.0243086366640739</v>
      </c>
      <c r="BK250" s="1109">
        <v>9.45057637277651</v>
      </c>
      <c r="BL250" s="1109">
        <v>9.4118331810353535</v>
      </c>
      <c r="BM250" s="1109">
        <v>10.749619931700082</v>
      </c>
      <c r="BN250" s="1109">
        <v>10.768702533927017</v>
      </c>
      <c r="BO250" s="1109">
        <v>10.999289970684471</v>
      </c>
      <c r="BP250" s="1109">
        <v>11.005132365341384</v>
      </c>
      <c r="BQ250" s="1109">
        <v>10.218110626853935</v>
      </c>
      <c r="BR250" s="1109">
        <v>9.047703172716016</v>
      </c>
      <c r="BS250" s="1109">
        <v>9.1038620253143456</v>
      </c>
      <c r="BT250" s="1109">
        <v>9.6221566053035961</v>
      </c>
      <c r="BU250" s="1109">
        <v>22.097123398217708</v>
      </c>
      <c r="BV250" s="1109">
        <v>26.212956829360611</v>
      </c>
      <c r="BW250" s="1109">
        <v>26.99499873109928</v>
      </c>
      <c r="BX250" s="1109">
        <v>24.3063196038818</v>
      </c>
      <c r="BY250" s="1109">
        <v>12.073356538876682</v>
      </c>
      <c r="BZ250" s="1109">
        <v>11.700103942547281</v>
      </c>
      <c r="CA250" s="1109">
        <v>11.552443288338528</v>
      </c>
      <c r="CB250" s="1109">
        <v>11.369322576923171</v>
      </c>
      <c r="CC250" s="1109">
        <v>11.335130690026777</v>
      </c>
      <c r="CD250" s="1109">
        <v>10.975718857810673</v>
      </c>
      <c r="CE250" s="1109">
        <v>10.799775542038294</v>
      </c>
      <c r="CF250" s="1109">
        <v>10.622048340285628</v>
      </c>
    </row>
    <row r="251" spans="4:84" ht="14.45" hidden="1" outlineLevel="1" collapsed="1">
      <c r="D251" s="1432"/>
      <c r="E251" s="1440"/>
      <c r="F251" s="1106"/>
      <c r="G251" s="1106"/>
      <c r="H251" s="1106"/>
      <c r="I251" s="1106"/>
    </row>
    <row r="252" spans="4:84" ht="14.45" collapsed="1">
      <c r="D252" s="1434" t="s">
        <v>1066</v>
      </c>
      <c r="E252" s="1433" t="s">
        <v>1067</v>
      </c>
      <c r="F252" s="1107" t="s">
        <v>1068</v>
      </c>
      <c r="G252" s="1107"/>
      <c r="H252" s="1107"/>
      <c r="I252" s="1107"/>
      <c r="J252" s="1108"/>
      <c r="K252" s="1108"/>
      <c r="L252" s="1108"/>
      <c r="M252" s="1108"/>
      <c r="N252" s="1108"/>
      <c r="O252" s="1108"/>
      <c r="P252" s="1108"/>
      <c r="Q252" s="1108"/>
      <c r="R252" s="1108"/>
      <c r="S252" s="1108"/>
      <c r="T252" s="1108"/>
      <c r="U252" s="1108"/>
      <c r="V252" s="1108"/>
      <c r="W252" s="1108"/>
      <c r="X252" s="1108"/>
      <c r="Y252" s="1108">
        <v>5517.0856293251854</v>
      </c>
      <c r="Z252" s="1108">
        <v>5885.7672475261943</v>
      </c>
      <c r="AA252" s="1108">
        <v>5699.0093476298443</v>
      </c>
      <c r="AB252" s="1108">
        <v>6399.2492795696362</v>
      </c>
      <c r="AC252" s="1108">
        <v>5982</v>
      </c>
      <c r="AD252" s="1108">
        <v>6439</v>
      </c>
      <c r="AE252" s="1108">
        <v>6234</v>
      </c>
      <c r="AF252" s="1108">
        <v>6918</v>
      </c>
      <c r="AG252" s="1108">
        <v>6575</v>
      </c>
      <c r="AH252" s="1108">
        <v>7075</v>
      </c>
      <c r="AI252" s="1108">
        <v>7088</v>
      </c>
      <c r="AJ252" s="1108">
        <v>7578</v>
      </c>
      <c r="AK252" s="1108">
        <v>7622</v>
      </c>
      <c r="AL252" s="1108">
        <v>7747</v>
      </c>
      <c r="AM252" s="1108">
        <v>7889</v>
      </c>
      <c r="AN252" s="1108">
        <v>8511</v>
      </c>
      <c r="AO252" s="1108">
        <v>8466</v>
      </c>
      <c r="AP252" s="1108">
        <v>8983</v>
      </c>
      <c r="AQ252" s="1108">
        <v>8920</v>
      </c>
      <c r="AR252" s="1108">
        <v>8947</v>
      </c>
      <c r="AS252" s="1108">
        <v>9278</v>
      </c>
      <c r="AT252" s="1108">
        <v>9881</v>
      </c>
      <c r="AU252" s="1108">
        <v>10016</v>
      </c>
      <c r="AV252" s="1108">
        <v>10697</v>
      </c>
      <c r="AW252" s="1108">
        <v>10808</v>
      </c>
      <c r="AX252" s="1108">
        <v>11251</v>
      </c>
      <c r="AY252" s="1108">
        <v>11164</v>
      </c>
      <c r="AZ252" s="1108">
        <v>11639</v>
      </c>
      <c r="BA252" s="1108">
        <v>11548</v>
      </c>
      <c r="BB252" s="1108">
        <v>11837</v>
      </c>
      <c r="BC252" s="1108">
        <v>12021.299155082599</v>
      </c>
      <c r="BD252" s="1108">
        <v>12534.017736709973</v>
      </c>
      <c r="BE252" s="1108">
        <v>12505.609119931787</v>
      </c>
      <c r="BF252" s="1108">
        <v>12841.152677984976</v>
      </c>
      <c r="BG252" s="1108">
        <v>13040.375296344815</v>
      </c>
      <c r="BH252" s="1108">
        <v>13629.662319443452</v>
      </c>
      <c r="BI252" s="1108">
        <v>13600.348502205723</v>
      </c>
      <c r="BJ252" s="1108">
        <v>13919.820113880553</v>
      </c>
      <c r="BK252" s="1108">
        <v>14166.650352923887</v>
      </c>
      <c r="BL252" s="1108">
        <v>14800.234474627689</v>
      </c>
      <c r="BM252" s="1108">
        <v>15023.001425064876</v>
      </c>
      <c r="BN252" s="1108">
        <v>15416.173185465592</v>
      </c>
      <c r="BO252" s="1108">
        <v>15684.598418711623</v>
      </c>
      <c r="BP252" s="1108">
        <v>16380.89605416461</v>
      </c>
      <c r="BQ252" s="1108">
        <v>16354.162531321695</v>
      </c>
      <c r="BR252" s="1108">
        <v>16632.18269877007</v>
      </c>
      <c r="BS252" s="1108">
        <v>16913.066120948293</v>
      </c>
      <c r="BT252" s="1108">
        <v>17807.911027390193</v>
      </c>
      <c r="BU252" s="1108">
        <v>18446.1597803925</v>
      </c>
      <c r="BV252" s="1108">
        <v>19075.812138222798</v>
      </c>
      <c r="BW252" s="1108">
        <v>19472.508272937499</v>
      </c>
      <c r="BX252" s="1108">
        <v>20465.412900982501</v>
      </c>
      <c r="BY252" s="1108">
        <v>20137.532526669049</v>
      </c>
      <c r="BZ252" s="1108">
        <v>20830.01897600685</v>
      </c>
      <c r="CA252" s="1108">
        <v>21254.589652701899</v>
      </c>
      <c r="CB252" s="1108">
        <v>22311.75579180105</v>
      </c>
      <c r="CC252" s="1108">
        <v>21880.612943170701</v>
      </c>
      <c r="CD252" s="1108">
        <v>22635.961065141099</v>
      </c>
      <c r="CE252" s="1108">
        <v>23083.632262897601</v>
      </c>
      <c r="CF252" s="1108">
        <v>24202.7535269662</v>
      </c>
    </row>
    <row r="253" spans="4:84" ht="14.45" hidden="1" outlineLevel="1">
      <c r="D253" s="1432"/>
      <c r="E253" s="1440"/>
      <c r="F253" s="1107" t="s">
        <v>1069</v>
      </c>
      <c r="G253" s="1107"/>
      <c r="H253" s="1107"/>
      <c r="I253" s="1107"/>
      <c r="W253" s="1109"/>
      <c r="X253" s="1109"/>
      <c r="Y253" s="1109">
        <v>0.399620576101408</v>
      </c>
      <c r="Z253" s="1109">
        <v>2.8985335667126457</v>
      </c>
      <c r="AA253" s="1109">
        <v>5.910943537517201</v>
      </c>
      <c r="AB253" s="1109">
        <v>15.897345952999709</v>
      </c>
      <c r="AC253" s="1109">
        <v>8.4268108546953968</v>
      </c>
      <c r="AD253" s="1109">
        <v>9.3995010201317601</v>
      </c>
      <c r="AE253" s="1109">
        <v>9.3874324419673467</v>
      </c>
      <c r="AF253" s="1109">
        <v>8.1064308916131331</v>
      </c>
      <c r="AG253" s="1109">
        <v>9.9130725509862927</v>
      </c>
      <c r="AH253" s="1109">
        <v>9.8773101413262925</v>
      </c>
      <c r="AI253" s="1109">
        <v>13.699069618222651</v>
      </c>
      <c r="AJ253" s="1109">
        <v>9.5403295750216834</v>
      </c>
      <c r="AK253" s="1109">
        <v>15.923954372623575</v>
      </c>
      <c r="AL253" s="1109">
        <v>9.4982332155477032</v>
      </c>
      <c r="AM253" s="1109">
        <v>11.30079006772009</v>
      </c>
      <c r="AN253" s="1109">
        <v>12.311955661124308</v>
      </c>
      <c r="AO253" s="1109">
        <v>11.073209131461558</v>
      </c>
      <c r="AP253" s="1109">
        <v>15.954563056667098</v>
      </c>
      <c r="AQ253" s="1109">
        <v>13.068830016478641</v>
      </c>
      <c r="AR253" s="1109">
        <v>5.1227822817530262</v>
      </c>
      <c r="AS253" s="1109">
        <v>9.5913064020789047</v>
      </c>
      <c r="AT253" s="1109">
        <v>9.996660358454859</v>
      </c>
      <c r="AU253" s="1109">
        <v>12.286995515695068</v>
      </c>
      <c r="AV253" s="1109">
        <v>19.559628925896948</v>
      </c>
      <c r="AW253" s="1109">
        <v>16.490622979090322</v>
      </c>
      <c r="AX253" s="1109">
        <v>13.864993421718449</v>
      </c>
      <c r="AY253" s="1109">
        <v>11.461661341853036</v>
      </c>
      <c r="AZ253" s="1109">
        <v>8.8062073478545386</v>
      </c>
      <c r="BA253" s="1109">
        <v>6.8467801628423395</v>
      </c>
      <c r="BB253" s="1109">
        <v>5.2084259176962053</v>
      </c>
      <c r="BC253" s="1109">
        <v>7.6791396908151119</v>
      </c>
      <c r="BD253" s="1109">
        <v>7.689816450811696</v>
      </c>
      <c r="BE253" s="1109">
        <v>8.2924239689278405</v>
      </c>
      <c r="BF253" s="1109">
        <v>8.4831686912644706</v>
      </c>
      <c r="BG253" s="1109">
        <v>8.4772546470682517</v>
      </c>
      <c r="BH253" s="1109">
        <v>8.7413677381716592</v>
      </c>
      <c r="BI253" s="1109">
        <v>8.7539868852058547</v>
      </c>
      <c r="BJ253" s="1109">
        <v>8.4000826323392079</v>
      </c>
      <c r="BK253" s="1109">
        <v>8.6368300833701017</v>
      </c>
      <c r="BL253" s="1109">
        <v>8.5884164093658537</v>
      </c>
      <c r="BM253" s="1109">
        <v>10.460415206481111</v>
      </c>
      <c r="BN253" s="1109">
        <v>10.749801788694866</v>
      </c>
      <c r="BO253" s="1109">
        <v>10.714939862085625</v>
      </c>
      <c r="BP253" s="1109">
        <v>10.679976606091468</v>
      </c>
      <c r="BQ253" s="1109">
        <v>8.8608199426505116</v>
      </c>
      <c r="BR253" s="1109">
        <v>7.8878817633609284</v>
      </c>
      <c r="BS253" s="1109">
        <v>7.8323184913113018</v>
      </c>
      <c r="BT253" s="1109">
        <v>8.7114585704411738</v>
      </c>
      <c r="BU253" s="1109">
        <v>12.791833547356429</v>
      </c>
      <c r="BV253" s="1109">
        <v>14.692175306813049</v>
      </c>
      <c r="BW253" s="1109">
        <v>15.132928196970244</v>
      </c>
      <c r="BX253" s="1109">
        <v>14.923153364281902</v>
      </c>
      <c r="BY253" s="1109">
        <v>9.1692404620413637</v>
      </c>
      <c r="BZ253" s="1109">
        <v>9.195974593758411</v>
      </c>
      <c r="CA253" s="1109">
        <v>9.1517813462228776</v>
      </c>
      <c r="CB253" s="1109">
        <v>9.0217720001628194</v>
      </c>
      <c r="CC253" s="1109">
        <v>8.6558788381506613</v>
      </c>
      <c r="CD253" s="1109">
        <v>8.6699013150896853</v>
      </c>
      <c r="CE253" s="1109">
        <v>8.6054007161845743</v>
      </c>
      <c r="CF253" s="1109">
        <v>8.4753425629552641</v>
      </c>
    </row>
    <row r="254" spans="4:84" ht="14.45" hidden="1" outlineLevel="1" collapsed="1">
      <c r="D254" s="1432"/>
      <c r="E254" s="1440"/>
      <c r="F254" s="1107"/>
      <c r="G254" s="1107"/>
      <c r="H254" s="1107"/>
      <c r="I254" s="1107"/>
    </row>
    <row r="255" spans="4:84" ht="14.45" collapsed="1">
      <c r="D255" s="1435" t="s">
        <v>1140</v>
      </c>
      <c r="E255" s="1433" t="s">
        <v>1067</v>
      </c>
      <c r="F255" s="1106" t="s">
        <v>1068</v>
      </c>
      <c r="G255" s="1106"/>
      <c r="H255" s="1106"/>
      <c r="I255" s="1106"/>
      <c r="J255" s="1108"/>
      <c r="K255" s="1108"/>
      <c r="L255" s="1108"/>
      <c r="M255" s="1108"/>
      <c r="N255" s="1108"/>
      <c r="O255" s="1108"/>
      <c r="P255" s="1108"/>
      <c r="Q255" s="1108"/>
      <c r="R255" s="1108"/>
      <c r="S255" s="1108"/>
      <c r="T255" s="1108"/>
      <c r="U255" s="1108"/>
      <c r="V255" s="1108"/>
      <c r="W255" s="1108"/>
      <c r="X255" s="1108"/>
      <c r="Y255" s="1108">
        <v>356.81731374120415</v>
      </c>
      <c r="Z255" s="1108">
        <v>462.85883557356345</v>
      </c>
      <c r="AA255" s="1108">
        <v>379.67776708374157</v>
      </c>
      <c r="AB255" s="1108">
        <v>454.36028762657259</v>
      </c>
      <c r="AC255" s="1108">
        <v>324.60081353653834</v>
      </c>
      <c r="AD255" s="1108">
        <v>369.81213345205219</v>
      </c>
      <c r="AE255" s="1108">
        <v>325.21623559718557</v>
      </c>
      <c r="AF255" s="1108">
        <v>380.94856981073542</v>
      </c>
      <c r="AG255" s="1108">
        <v>331.87139413037647</v>
      </c>
      <c r="AH255" s="1108">
        <v>361.31689510984944</v>
      </c>
      <c r="AI255" s="1108">
        <v>362.91096026358395</v>
      </c>
      <c r="AJ255" s="1108">
        <v>374.08284070865693</v>
      </c>
      <c r="AK255" s="1108">
        <v>373.20270822647774</v>
      </c>
      <c r="AL255" s="1108">
        <v>373.17586037800908</v>
      </c>
      <c r="AM255" s="1108">
        <v>370.06494160176288</v>
      </c>
      <c r="AN255" s="1108">
        <v>358.07919073190209</v>
      </c>
      <c r="AO255" s="1108">
        <v>319.75181461396249</v>
      </c>
      <c r="AP255" s="1108">
        <v>305.37612229777602</v>
      </c>
      <c r="AQ255" s="1108">
        <v>294.20458569892344</v>
      </c>
      <c r="AR255" s="1108">
        <v>283.90325002432422</v>
      </c>
      <c r="AS255" s="1108">
        <v>300.93841616747119</v>
      </c>
      <c r="AT255" s="1108">
        <v>273.36763788933786</v>
      </c>
      <c r="AU255" s="1108">
        <v>272.48094864673908</v>
      </c>
      <c r="AV255" s="1108">
        <v>298.71385570397331</v>
      </c>
      <c r="AW255" s="1108">
        <v>305.40912292430932</v>
      </c>
      <c r="AX255" s="1108">
        <v>263.14442190334643</v>
      </c>
      <c r="AY255" s="1108">
        <v>246.70514831605246</v>
      </c>
      <c r="AZ255" s="1108">
        <v>251.02814684015308</v>
      </c>
      <c r="BA255" s="1108">
        <v>256.07735520084947</v>
      </c>
      <c r="BB255" s="1108">
        <v>226.21317097093856</v>
      </c>
      <c r="BC255" s="1108">
        <v>210.69761211054799</v>
      </c>
      <c r="BD255" s="1108">
        <v>215.08249143208255</v>
      </c>
      <c r="BE255" s="1108">
        <v>219.59470610066793</v>
      </c>
      <c r="BF255" s="1108">
        <v>191.3687647974831</v>
      </c>
      <c r="BG255" s="1108">
        <v>196.40098866125382</v>
      </c>
      <c r="BH255" s="1108">
        <v>180.84075531677325</v>
      </c>
      <c r="BI255" s="1108">
        <v>196.24917523125075</v>
      </c>
      <c r="BJ255" s="1108">
        <v>174.57453201532778</v>
      </c>
      <c r="BK255" s="1108">
        <v>174.30761105754115</v>
      </c>
      <c r="BL255" s="1108">
        <v>182.63647535726167</v>
      </c>
      <c r="BM255" s="1108">
        <v>183.9552418959141</v>
      </c>
      <c r="BN255" s="1108">
        <v>140.51228254848385</v>
      </c>
      <c r="BO255" s="1108">
        <v>117.80665709636246</v>
      </c>
      <c r="BP255" s="1108">
        <v>125.85791180776458</v>
      </c>
      <c r="BQ255" s="1108">
        <v>210.22155662616299</v>
      </c>
      <c r="BR255" s="1108">
        <v>158.92943999792865</v>
      </c>
      <c r="BS255" s="1108">
        <v>125.95248913294201</v>
      </c>
      <c r="BT255" s="1108">
        <v>145.79941551799467</v>
      </c>
    </row>
    <row r="256" spans="4:84" ht="14.45" hidden="1" outlineLevel="1">
      <c r="D256" s="1432"/>
      <c r="E256" s="1440"/>
      <c r="F256" s="1106" t="s">
        <v>1069</v>
      </c>
      <c r="G256" s="1106"/>
      <c r="H256" s="1106"/>
      <c r="I256" s="1106"/>
      <c r="W256" s="1109"/>
      <c r="X256" s="1109"/>
      <c r="Y256" s="1109">
        <v>15.97196075218077</v>
      </c>
      <c r="Z256" s="1109">
        <v>11.672739814861135</v>
      </c>
      <c r="AA256" s="1109">
        <v>-2.0245543192298983</v>
      </c>
      <c r="AB256" s="1109">
        <v>4.4316929219437089</v>
      </c>
      <c r="AC256" s="1109">
        <v>-9.0288500484682466</v>
      </c>
      <c r="AD256" s="1109">
        <v>-20.102609039797205</v>
      </c>
      <c r="AE256" s="1109">
        <v>-14.344145538167366</v>
      </c>
      <c r="AF256" s="1109">
        <v>-16.157159816786724</v>
      </c>
      <c r="AG256" s="1109">
        <v>2.2398528563822371</v>
      </c>
      <c r="AH256" s="1109">
        <v>-2.2971767483405734</v>
      </c>
      <c r="AI256" s="1109">
        <v>11.59066508385739</v>
      </c>
      <c r="AJ256" s="1109">
        <v>-1.8022719196687238</v>
      </c>
      <c r="AK256" s="1109">
        <v>12.454015268295212</v>
      </c>
      <c r="AL256" s="1109">
        <v>3.2821507736454478</v>
      </c>
      <c r="AM256" s="1109">
        <v>1.9712772887826167</v>
      </c>
      <c r="AN256" s="1109">
        <v>-4.2781031993976972</v>
      </c>
      <c r="AO256" s="1109">
        <v>-14.322214827036737</v>
      </c>
      <c r="AP256" s="1109">
        <v>-18.168307567256683</v>
      </c>
      <c r="AQ256" s="1109">
        <v>-20.499200917139259</v>
      </c>
      <c r="AR256" s="1109">
        <v>-20.71495429711084</v>
      </c>
      <c r="AS256" s="1109">
        <v>-5.8837503296751539</v>
      </c>
      <c r="AT256" s="1109">
        <v>-10.481659197056112</v>
      </c>
      <c r="AU256" s="1109">
        <v>-7.3838539941778514</v>
      </c>
      <c r="AV256" s="1109">
        <v>5.2167791944545003</v>
      </c>
      <c r="AW256" s="1109">
        <v>1.4855885844598162</v>
      </c>
      <c r="AX256" s="1109">
        <v>-3.7397316174381614</v>
      </c>
      <c r="AY256" s="1109">
        <v>-9.4596706517283682</v>
      </c>
      <c r="AZ256" s="1109">
        <v>-15.963674919410822</v>
      </c>
      <c r="BA256" s="1109">
        <v>-16.152683080028989</v>
      </c>
      <c r="BB256" s="1109">
        <v>-14.034593880151791</v>
      </c>
      <c r="BC256" s="1109">
        <v>-14.595372837284867</v>
      </c>
      <c r="BD256" s="1109">
        <v>-14.319372492902005</v>
      </c>
      <c r="BE256" s="1109">
        <v>-14.246729888149249</v>
      </c>
      <c r="BF256" s="1109">
        <v>-15.403349868576797</v>
      </c>
      <c r="BG256" s="1109">
        <v>-6.7853751668495788</v>
      </c>
      <c r="BH256" s="1109">
        <v>-15.920280580403237</v>
      </c>
      <c r="BI256" s="1109">
        <v>-10.631190197597473</v>
      </c>
      <c r="BJ256" s="1109">
        <v>-8.7758484515108286</v>
      </c>
      <c r="BK256" s="1109">
        <v>-11.249117305523662</v>
      </c>
      <c r="BL256" s="1109">
        <v>0.99298415190918143</v>
      </c>
      <c r="BM256" s="1109">
        <v>-6.2644509567237963</v>
      </c>
      <c r="BN256" s="1109">
        <v>-19.511579996017538</v>
      </c>
      <c r="BO256" s="1109">
        <v>-32.414507673177283</v>
      </c>
      <c r="BP256" s="1109">
        <v>-31.088293528677958</v>
      </c>
      <c r="BQ256" s="1109">
        <v>14.27864433736058</v>
      </c>
      <c r="BR256" s="1109">
        <v>13.107151286286983</v>
      </c>
      <c r="BS256" s="1109">
        <v>6.9145770174231265</v>
      </c>
      <c r="BT256" s="1109">
        <v>15.844457788787054</v>
      </c>
    </row>
    <row r="257" spans="4:84" ht="14.45" hidden="1" outlineLevel="1" collapsed="1">
      <c r="D257" s="1432"/>
      <c r="E257" s="1440"/>
      <c r="F257" s="1106"/>
      <c r="G257" s="1106"/>
      <c r="H257" s="1106"/>
      <c r="I257" s="1106"/>
    </row>
    <row r="258" spans="4:84" ht="14.45" collapsed="1">
      <c r="D258" s="1435" t="s">
        <v>1141</v>
      </c>
      <c r="E258" s="1433" t="s">
        <v>1067</v>
      </c>
      <c r="F258" s="1107" t="s">
        <v>1068</v>
      </c>
      <c r="G258" s="1107"/>
      <c r="H258" s="1107"/>
      <c r="I258" s="1107"/>
      <c r="J258" s="1108"/>
      <c r="K258" s="1108"/>
      <c r="L258" s="1108"/>
      <c r="M258" s="1108"/>
      <c r="N258" s="1108"/>
      <c r="O258" s="1108"/>
      <c r="P258" s="1108"/>
      <c r="Q258" s="1108"/>
      <c r="R258" s="1108"/>
      <c r="S258" s="1108"/>
      <c r="T258" s="1108"/>
      <c r="U258" s="1108"/>
      <c r="V258" s="1108"/>
      <c r="W258" s="1108"/>
      <c r="X258" s="1108"/>
      <c r="Y258" s="1108">
        <v>56.763302745372471</v>
      </c>
      <c r="Z258" s="1108">
        <v>67.2871013428867</v>
      </c>
      <c r="AA258" s="1108">
        <v>80.096920692892937</v>
      </c>
      <c r="AB258" s="1108">
        <v>89.940054785618386</v>
      </c>
      <c r="AC258" s="1108">
        <v>109.13352137932478</v>
      </c>
      <c r="AD258" s="1108">
        <v>122.65845381794469</v>
      </c>
      <c r="AE258" s="1108">
        <v>144.7433453219347</v>
      </c>
      <c r="AF258" s="1108">
        <v>160.66715956228816</v>
      </c>
      <c r="AG258" s="1108">
        <v>171.51947746950304</v>
      </c>
      <c r="AH258" s="1108">
        <v>189.88110351048115</v>
      </c>
      <c r="AI258" s="1108">
        <v>214.33895635025624</v>
      </c>
      <c r="AJ258" s="1108">
        <v>236.62217116313488</v>
      </c>
      <c r="AK258" s="1108">
        <v>256.76456452323526</v>
      </c>
      <c r="AL258" s="1108">
        <v>284.01272793654084</v>
      </c>
      <c r="AM258" s="1108">
        <v>303.7568503487235</v>
      </c>
      <c r="AN258" s="1108">
        <v>338.82637010083135</v>
      </c>
      <c r="AO258" s="1108">
        <v>378.38476909514145</v>
      </c>
      <c r="AP258" s="1108">
        <v>421.18545873749781</v>
      </c>
      <c r="AQ258" s="1108">
        <v>466.22119740977001</v>
      </c>
      <c r="AR258" s="1108">
        <v>489.78872227970277</v>
      </c>
      <c r="AS258" s="1108">
        <v>528.08999186099118</v>
      </c>
      <c r="AT258" s="1108">
        <v>592.04567457152882</v>
      </c>
      <c r="AU258" s="1108">
        <v>681.83234727875333</v>
      </c>
      <c r="AV258" s="1108">
        <v>735.82760822527928</v>
      </c>
      <c r="AW258" s="1108">
        <v>781.64602482503847</v>
      </c>
      <c r="AX258" s="1108">
        <v>859.41948083762873</v>
      </c>
      <c r="AY258" s="1108">
        <v>921.03978540634876</v>
      </c>
      <c r="AZ258" s="1108">
        <v>964.47271716722037</v>
      </c>
      <c r="BA258" s="1108">
        <v>972.6181956033264</v>
      </c>
      <c r="BB258" s="1108">
        <v>1039.0621267580457</v>
      </c>
      <c r="BC258" s="1108">
        <v>1114.8752677411758</v>
      </c>
      <c r="BD258" s="1108">
        <v>1169.9924876253137</v>
      </c>
      <c r="BE258" s="1108">
        <v>1183.5519160910915</v>
      </c>
      <c r="BF258" s="1108">
        <v>1278.6935564718285</v>
      </c>
      <c r="BG258" s="1108">
        <v>1357.6028112342708</v>
      </c>
      <c r="BH258" s="1108">
        <v>1415.8603058513515</v>
      </c>
      <c r="BI258" s="1108">
        <v>1433.9121883226815</v>
      </c>
      <c r="BJ258" s="1108">
        <v>1544.5868692743393</v>
      </c>
      <c r="BK258" s="1108">
        <v>1644.4061848541367</v>
      </c>
      <c r="BL258" s="1108">
        <v>1686.9143429638741</v>
      </c>
      <c r="BM258" s="1108">
        <v>1814.9934475525049</v>
      </c>
      <c r="BN258" s="1108">
        <v>1940.3846969237184</v>
      </c>
      <c r="BO258" s="1108">
        <v>2057.0886381116015</v>
      </c>
      <c r="BP258" s="1108">
        <v>2139.0516326061033</v>
      </c>
      <c r="BQ258" s="1108">
        <v>2147.79523212496</v>
      </c>
      <c r="BR258" s="1108">
        <v>2302.3319547226602</v>
      </c>
      <c r="BS258" s="1108">
        <v>2431.1839078080275</v>
      </c>
      <c r="BT258" s="1108">
        <v>2515.35345850877</v>
      </c>
      <c r="BU258" s="1108">
        <v>2526.2389587113898</v>
      </c>
      <c r="BV258" s="1108">
        <v>2576.7637378856198</v>
      </c>
      <c r="BW258" s="1108">
        <v>2628.2990126433301</v>
      </c>
      <c r="BX258" s="1108">
        <v>2680.8649928962</v>
      </c>
      <c r="BY258" s="1108">
        <v>2707.6736428251602</v>
      </c>
      <c r="BZ258" s="1108">
        <v>2761.82711568167</v>
      </c>
      <c r="CA258" s="1108">
        <v>2817.0636579953002</v>
      </c>
      <c r="CB258" s="1108">
        <v>2873.4049311551998</v>
      </c>
      <c r="CC258" s="1108">
        <v>2902.1389804667601</v>
      </c>
      <c r="CD258" s="1108">
        <v>2960.1817600760901</v>
      </c>
      <c r="CE258" s="1108">
        <v>3019.3853952776099</v>
      </c>
      <c r="CF258" s="1108">
        <v>3079.77310318317</v>
      </c>
    </row>
    <row r="259" spans="4:84" ht="14.45" hidden="1" outlineLevel="1">
      <c r="D259" s="1432"/>
      <c r="E259" s="1440"/>
      <c r="F259" s="1107" t="s">
        <v>1069</v>
      </c>
      <c r="G259" s="1107"/>
      <c r="H259" s="1107"/>
      <c r="I259" s="1107"/>
      <c r="W259" s="1109"/>
      <c r="X259" s="1109"/>
      <c r="Y259" s="1109">
        <v>28.773314997680078</v>
      </c>
      <c r="Z259" s="1109">
        <v>31.806101536851049</v>
      </c>
      <c r="AA259" s="1109">
        <v>33.320685393863378</v>
      </c>
      <c r="AB259" s="1109">
        <v>33.916809611156957</v>
      </c>
      <c r="AC259" s="1109">
        <v>92.260696790095949</v>
      </c>
      <c r="AD259" s="1109">
        <v>82.291184149681911</v>
      </c>
      <c r="AE259" s="1109">
        <v>80.710249619843239</v>
      </c>
      <c r="AF259" s="1109">
        <v>78.638049471123068</v>
      </c>
      <c r="AG259" s="1109">
        <v>57.164797123459465</v>
      </c>
      <c r="AH259" s="1109">
        <v>54.804742437330411</v>
      </c>
      <c r="AI259" s="1109">
        <v>48.082079955751091</v>
      </c>
      <c r="AJ259" s="1109">
        <v>47.274758455787683</v>
      </c>
      <c r="AK259" s="1109">
        <v>49.699945633806628</v>
      </c>
      <c r="AL259" s="1109">
        <v>49.573982184521995</v>
      </c>
      <c r="AM259" s="1109">
        <v>41.717985158212407</v>
      </c>
      <c r="AN259" s="1109">
        <v>43.192993469421609</v>
      </c>
      <c r="AO259" s="1109">
        <v>47.366428774053233</v>
      </c>
      <c r="AP259" s="1109">
        <v>48.298092764211091</v>
      </c>
      <c r="AQ259" s="1109">
        <v>53.484998568602407</v>
      </c>
      <c r="AR259" s="1109">
        <v>44.554487342276964</v>
      </c>
      <c r="AS259" s="1109">
        <v>39.564283500060142</v>
      </c>
      <c r="AT259" s="1109">
        <v>40.566503968627984</v>
      </c>
      <c r="AU259" s="1109">
        <v>46.246535135441057</v>
      </c>
      <c r="AV259" s="1109">
        <v>50.233677247691197</v>
      </c>
      <c r="AW259" s="1109">
        <v>48.013792511104938</v>
      </c>
      <c r="AX259" s="1109">
        <v>45.161009994643038</v>
      </c>
      <c r="AY259" s="1109">
        <v>35.083028706732847</v>
      </c>
      <c r="AZ259" s="1109">
        <v>31.073189750708512</v>
      </c>
      <c r="BA259" s="1109">
        <v>24.432052964260212</v>
      </c>
      <c r="BB259" s="1109">
        <v>20.902789606925033</v>
      </c>
      <c r="BC259" s="1109">
        <v>21.04528874931388</v>
      </c>
      <c r="BD259" s="1109">
        <v>21.30902894399452</v>
      </c>
      <c r="BE259" s="1109">
        <v>21.687206906192046</v>
      </c>
      <c r="BF259" s="1109">
        <v>23.062281219069302</v>
      </c>
      <c r="BG259" s="1109">
        <v>21.771721959971359</v>
      </c>
      <c r="BH259" s="1109">
        <v>21.014478368580445</v>
      </c>
      <c r="BI259" s="1109">
        <v>21.153298712780856</v>
      </c>
      <c r="BJ259" s="1109">
        <v>20.79413878772985</v>
      </c>
      <c r="BK259" s="1109">
        <v>21.125720368766565</v>
      </c>
      <c r="BL259" s="1109">
        <v>19.144122904804426</v>
      </c>
      <c r="BM259" s="1109">
        <v>26.576331684270933</v>
      </c>
      <c r="BN259" s="1109">
        <v>25.6248344151293</v>
      </c>
      <c r="BO259" s="1109">
        <v>25.096138475912568</v>
      </c>
      <c r="BP259" s="1109">
        <v>26.80262287934746</v>
      </c>
      <c r="BQ259" s="1109">
        <v>18.336252674698848</v>
      </c>
      <c r="BR259" s="1109">
        <v>18.653376228578395</v>
      </c>
      <c r="BS259" s="1109">
        <v>18.185666031379366</v>
      </c>
      <c r="BT259" s="1109">
        <v>17.591993581015206</v>
      </c>
      <c r="BU259" s="1109">
        <v>17.620102741917801</v>
      </c>
      <c r="BV259" s="1109">
        <v>11.919731322845569</v>
      </c>
      <c r="BW259" s="1109">
        <v>8.1077825582114453</v>
      </c>
      <c r="BX259" s="1109">
        <v>6.5800507609596011</v>
      </c>
      <c r="BY259" s="1109">
        <v>7.1820080000000646</v>
      </c>
      <c r="BZ259" s="1109">
        <v>7.1820080000002315</v>
      </c>
      <c r="CA259" s="1109">
        <v>7.1820080000001951</v>
      </c>
      <c r="CB259" s="1109">
        <v>7.1820079999998274</v>
      </c>
      <c r="CC259" s="1109">
        <v>7.1820080000002031</v>
      </c>
      <c r="CD259" s="1109">
        <v>7.1820079999997581</v>
      </c>
      <c r="CE259" s="1109">
        <v>7.1820079999998061</v>
      </c>
      <c r="CF259" s="1109">
        <v>7.1820080000003186</v>
      </c>
    </row>
    <row r="260" spans="4:84" ht="14.45" hidden="1" outlineLevel="1" collapsed="1">
      <c r="D260" s="1432"/>
      <c r="E260" s="1440"/>
      <c r="F260" s="1107"/>
      <c r="G260" s="1107"/>
      <c r="H260" s="1107"/>
      <c r="I260" s="1107"/>
    </row>
    <row r="261" spans="4:84" ht="14.45" collapsed="1">
      <c r="D261" s="1434" t="s">
        <v>1071</v>
      </c>
      <c r="E261" s="1433" t="s">
        <v>1067</v>
      </c>
      <c r="F261" s="1106" t="s">
        <v>1068</v>
      </c>
      <c r="G261" s="1106"/>
      <c r="H261" s="1106"/>
      <c r="I261" s="1106"/>
      <c r="J261" s="1108"/>
      <c r="K261" s="1108"/>
      <c r="L261" s="1108"/>
      <c r="M261" s="1108"/>
      <c r="N261" s="1108"/>
      <c r="O261" s="1108"/>
      <c r="P261" s="1108"/>
      <c r="Q261" s="1108"/>
      <c r="R261" s="1108"/>
      <c r="S261" s="1108"/>
      <c r="T261" s="1108"/>
      <c r="U261" s="1108"/>
      <c r="V261" s="1108"/>
      <c r="W261" s="1108"/>
      <c r="X261" s="1108"/>
      <c r="Y261" s="1108">
        <v>431.19416016688939</v>
      </c>
      <c r="Z261" s="1108">
        <v>538.47555496456926</v>
      </c>
      <c r="AA261" s="1108">
        <v>467.18399073389139</v>
      </c>
      <c r="AB261" s="1108">
        <v>567.03769532584533</v>
      </c>
      <c r="AC261" s="1108">
        <v>454</v>
      </c>
      <c r="AD261" s="1108">
        <v>512</v>
      </c>
      <c r="AE261" s="1108">
        <v>497</v>
      </c>
      <c r="AF261" s="1108">
        <v>562.999999999995</v>
      </c>
      <c r="AG261" s="1108">
        <v>515</v>
      </c>
      <c r="AH261" s="1108">
        <v>566</v>
      </c>
      <c r="AI261" s="1108">
        <v>583</v>
      </c>
      <c r="AJ261" s="1108">
        <v>626</v>
      </c>
      <c r="AK261" s="1108">
        <v>619</v>
      </c>
      <c r="AL261" s="1108">
        <v>660</v>
      </c>
      <c r="AM261" s="1108">
        <v>657</v>
      </c>
      <c r="AN261" s="1108">
        <v>701</v>
      </c>
      <c r="AO261" s="1108">
        <v>702</v>
      </c>
      <c r="AP261" s="1108">
        <v>741</v>
      </c>
      <c r="AQ261" s="1108">
        <v>773</v>
      </c>
      <c r="AR261" s="1108">
        <v>789</v>
      </c>
      <c r="AS261" s="1108">
        <v>835</v>
      </c>
      <c r="AT261" s="1108">
        <v>895</v>
      </c>
      <c r="AU261" s="1108">
        <v>974</v>
      </c>
      <c r="AV261" s="1108">
        <v>1050</v>
      </c>
      <c r="AW261" s="1108">
        <v>1095</v>
      </c>
      <c r="AX261" s="1108">
        <v>1154</v>
      </c>
      <c r="AY261" s="1108">
        <v>1188</v>
      </c>
      <c r="AZ261" s="1108">
        <v>1249</v>
      </c>
      <c r="BA261" s="1108">
        <v>1254</v>
      </c>
      <c r="BB261" s="1108">
        <v>1289</v>
      </c>
      <c r="BC261" s="1108">
        <v>1355.3209033535845</v>
      </c>
      <c r="BD261" s="1108">
        <v>1432.2554485870598</v>
      </c>
      <c r="BE261" s="1108">
        <v>1443.9412740130263</v>
      </c>
      <c r="BF261" s="1108">
        <v>1490.8789072147842</v>
      </c>
      <c r="BG261" s="1108">
        <v>1566.3794873065551</v>
      </c>
      <c r="BH261" s="1108">
        <v>1653.439382085443</v>
      </c>
      <c r="BI261" s="1108">
        <v>1665.3025671739993</v>
      </c>
      <c r="BJ261" s="1108">
        <v>1720.0835771414593</v>
      </c>
      <c r="BK261" s="1108">
        <v>1810.9074362495046</v>
      </c>
      <c r="BL261" s="1108">
        <v>1907.2947535394674</v>
      </c>
      <c r="BM261" s="1108">
        <v>1958.9464650165157</v>
      </c>
      <c r="BN261" s="1108">
        <v>2027.2661137335886</v>
      </c>
      <c r="BO261" s="1108">
        <v>2148.4743713217626</v>
      </c>
      <c r="BP261" s="1108">
        <v>2285.3090563187357</v>
      </c>
      <c r="BQ261" s="1108">
        <v>2296.9301678191</v>
      </c>
      <c r="BR261" s="1108">
        <v>2375.3090044153059</v>
      </c>
      <c r="BS261" s="1108">
        <v>2520.6472345822799</v>
      </c>
      <c r="BT261" s="1108">
        <v>2699.1645968877419</v>
      </c>
      <c r="BU261" s="1108">
        <v>2587.1714226312001</v>
      </c>
      <c r="BV261" s="1108">
        <v>2568.1057875677202</v>
      </c>
      <c r="BW261" s="1108">
        <v>2780.9226422733</v>
      </c>
      <c r="BX261" s="1108">
        <v>3099.267959808255</v>
      </c>
      <c r="BY261" s="1108">
        <v>2887.298821712975</v>
      </c>
      <c r="BZ261" s="1108">
        <v>2864.3500458451449</v>
      </c>
      <c r="CA261" s="1108">
        <v>3107.3479203609299</v>
      </c>
      <c r="CB261" s="1108">
        <v>3468.1686189182251</v>
      </c>
      <c r="CC261" s="1108">
        <v>3227.1684317982449</v>
      </c>
      <c r="CD261" s="1108">
        <v>3199.6926462727151</v>
      </c>
      <c r="CE261" s="1108">
        <v>3477.2942030664999</v>
      </c>
      <c r="CF261" s="1108">
        <v>3886.6450048030101</v>
      </c>
    </row>
    <row r="262" spans="4:84" ht="14.45" hidden="1" outlineLevel="1">
      <c r="D262" s="1432"/>
      <c r="E262" s="1440"/>
      <c r="F262" s="1106" t="s">
        <v>1069</v>
      </c>
      <c r="G262" s="1106"/>
      <c r="H262" s="1106"/>
      <c r="I262" s="1106"/>
      <c r="W262" s="1109"/>
      <c r="X262" s="1109"/>
      <c r="Y262" s="1109">
        <v>12.307810337141714</v>
      </c>
      <c r="Z262" s="1109">
        <v>17.680686041732443</v>
      </c>
      <c r="AA262" s="1109">
        <v>6.441466274865693</v>
      </c>
      <c r="AB262" s="1109">
        <v>19.394620791583982</v>
      </c>
      <c r="AC262" s="1109">
        <v>5.2889955244950073</v>
      </c>
      <c r="AD262" s="1109">
        <v>-4.9167607926624077</v>
      </c>
      <c r="AE262" s="1109">
        <v>6.3820699890146386</v>
      </c>
      <c r="AF262" s="1109">
        <v>-0.712068237990791</v>
      </c>
      <c r="AG262" s="1109">
        <v>13.43612334801762</v>
      </c>
      <c r="AH262" s="1109">
        <v>10.546875</v>
      </c>
      <c r="AI262" s="1109">
        <v>17.303822937625753</v>
      </c>
      <c r="AJ262" s="1109">
        <v>11.190053285969016</v>
      </c>
      <c r="AK262" s="1109">
        <v>20.194174757281552</v>
      </c>
      <c r="AL262" s="1109">
        <v>16.607773851590103</v>
      </c>
      <c r="AM262" s="1109">
        <v>12.69296740994854</v>
      </c>
      <c r="AN262" s="1109">
        <v>11.980830670926517</v>
      </c>
      <c r="AO262" s="1109">
        <v>13.408723747980615</v>
      </c>
      <c r="AP262" s="1109">
        <v>12.272727272727273</v>
      </c>
      <c r="AQ262" s="1109">
        <v>17.656012176560122</v>
      </c>
      <c r="AR262" s="1109">
        <v>12.553495007132668</v>
      </c>
      <c r="AS262" s="1109">
        <v>18.945868945868945</v>
      </c>
      <c r="AT262" s="1109">
        <v>20.78272604588394</v>
      </c>
      <c r="AU262" s="1109">
        <v>26.002587322121606</v>
      </c>
      <c r="AV262" s="1109">
        <v>33.079847908745244</v>
      </c>
      <c r="AW262" s="1109">
        <v>31.137724550898206</v>
      </c>
      <c r="AX262" s="1109">
        <v>28.938547486033517</v>
      </c>
      <c r="AY262" s="1109">
        <v>21.971252566735114</v>
      </c>
      <c r="AZ262" s="1109">
        <v>18.952380952380953</v>
      </c>
      <c r="BA262" s="1109">
        <v>14.520547945205479</v>
      </c>
      <c r="BB262" s="1109">
        <v>11.69844020797227</v>
      </c>
      <c r="BC262" s="1109">
        <v>14.084251124039101</v>
      </c>
      <c r="BD262" s="1109">
        <v>14.672173625865481</v>
      </c>
      <c r="BE262" s="1109">
        <v>15.146832058455045</v>
      </c>
      <c r="BF262" s="1109">
        <v>15.661668519378141</v>
      </c>
      <c r="BG262" s="1109">
        <v>15.572591216643275</v>
      </c>
      <c r="BH262" s="1109">
        <v>15.443050589654533</v>
      </c>
      <c r="BI262" s="1109">
        <v>15.3303529128828</v>
      </c>
      <c r="BJ262" s="1109">
        <v>15.373795203452733</v>
      </c>
      <c r="BK262" s="1109">
        <v>15.611028548606948</v>
      </c>
      <c r="BL262" s="1109">
        <v>15.353170742421945</v>
      </c>
      <c r="BM262" s="1109">
        <v>17.633065824237999</v>
      </c>
      <c r="BN262" s="1109">
        <v>17.858582029056063</v>
      </c>
      <c r="BO262" s="1109">
        <v>18.640761438993199</v>
      </c>
      <c r="BP262" s="1109">
        <v>19.819396140935595</v>
      </c>
      <c r="BQ262" s="1109">
        <v>17.253340447960365</v>
      </c>
      <c r="BR262" s="1109">
        <v>17.168090973549173</v>
      </c>
      <c r="BS262" s="1109">
        <v>17.322657799802045</v>
      </c>
      <c r="BT262" s="1109">
        <v>18.109390474987258</v>
      </c>
      <c r="BU262" s="1109">
        <v>12.636050450226779</v>
      </c>
      <c r="BV262" s="1109">
        <v>8.1167032497261182</v>
      </c>
      <c r="BW262" s="1109">
        <v>10.325737140847984</v>
      </c>
      <c r="BX262" s="1109">
        <v>14.823229505227292</v>
      </c>
      <c r="BY262" s="1109">
        <v>11.60059965321277</v>
      </c>
      <c r="BZ262" s="1109">
        <v>11.535516165710632</v>
      </c>
      <c r="CA262" s="1109">
        <v>11.738020796608335</v>
      </c>
      <c r="CB262" s="1109">
        <v>11.902832020139142</v>
      </c>
      <c r="CC262" s="1109">
        <v>11.771196231210741</v>
      </c>
      <c r="CD262" s="1109">
        <v>11.7074587623813</v>
      </c>
      <c r="CE262" s="1109">
        <v>11.90553141093384</v>
      </c>
      <c r="CF262" s="1109">
        <v>12.066206458419378</v>
      </c>
    </row>
    <row r="263" spans="4:84" ht="14.45" hidden="1" outlineLevel="1" collapsed="1">
      <c r="D263" s="1432"/>
      <c r="E263" s="1440"/>
      <c r="F263" s="1106"/>
      <c r="G263" s="1106"/>
      <c r="H263" s="1106"/>
      <c r="I263" s="1106"/>
    </row>
    <row r="264" spans="4:84" ht="14.45" collapsed="1">
      <c r="D264" s="1435" t="s">
        <v>1125</v>
      </c>
      <c r="E264" s="1433" t="s">
        <v>1067</v>
      </c>
      <c r="F264" s="1107" t="s">
        <v>1068</v>
      </c>
      <c r="G264" s="1107"/>
      <c r="H264" s="1107"/>
      <c r="I264" s="1107"/>
      <c r="AD264" s="1108">
        <v>94</v>
      </c>
      <c r="AE264" s="1108">
        <v>568.85546588407897</v>
      </c>
      <c r="AF264" s="1108">
        <v>642.16117216117198</v>
      </c>
      <c r="AG264" s="1108">
        <v>758</v>
      </c>
      <c r="AH264" s="1108">
        <v>824</v>
      </c>
      <c r="AI264" s="1108">
        <v>865</v>
      </c>
      <c r="AJ264" s="1108">
        <v>927</v>
      </c>
      <c r="AK264" s="1108">
        <v>1034.8788748277329</v>
      </c>
      <c r="AL264" s="1108">
        <v>1021.593279954681</v>
      </c>
      <c r="AM264" s="1108">
        <v>1048.7372444022999</v>
      </c>
      <c r="AN264" s="1108">
        <v>1159.945990978111</v>
      </c>
      <c r="AO264" s="1108">
        <v>1312.9685300408401</v>
      </c>
      <c r="AP264" s="1108">
        <v>1300.359817592552</v>
      </c>
      <c r="AQ264" s="1108">
        <v>1354.3384719973069</v>
      </c>
      <c r="AR264" s="1108">
        <v>1362.3319324057391</v>
      </c>
      <c r="AS264" s="1108">
        <v>1531.8124282236979</v>
      </c>
      <c r="AT264" s="1108">
        <v>1672.709256244591</v>
      </c>
      <c r="AU264" s="1108">
        <v>1631.3610315356621</v>
      </c>
      <c r="AV264" s="1108">
        <v>1789.8044835774911</v>
      </c>
      <c r="AW264" s="1108">
        <v>2061.1893283280292</v>
      </c>
      <c r="AX264" s="1108">
        <v>2189.7945550532081</v>
      </c>
      <c r="AY264" s="1108">
        <v>2203.741276259233</v>
      </c>
      <c r="AZ264" s="1108">
        <v>2272.3951995640241</v>
      </c>
      <c r="BA264" s="1108">
        <v>2522.421852426814</v>
      </c>
      <c r="BB264" s="1108">
        <v>2597.8300200471372</v>
      </c>
      <c r="BC264" s="1108">
        <v>2558.4503263660808</v>
      </c>
      <c r="BD264" s="1108">
        <v>2654.0293231052751</v>
      </c>
      <c r="BE264" s="1108">
        <v>2858.3992249511848</v>
      </c>
      <c r="BF264" s="1108">
        <v>2961.9399172520302</v>
      </c>
      <c r="BG264" s="1108">
        <v>2939.7424024357638</v>
      </c>
      <c r="BH264" s="1108">
        <v>3050.6250135642058</v>
      </c>
      <c r="BI264" s="1108">
        <v>3150.8184670702653</v>
      </c>
      <c r="BJ264" s="1108">
        <v>3278.5272958221544</v>
      </c>
      <c r="BK264" s="1108">
        <v>3179.3312290002591</v>
      </c>
      <c r="BL264" s="1108">
        <v>3374.8811597140857</v>
      </c>
      <c r="BM264" s="1108">
        <v>3637.6327389195499</v>
      </c>
      <c r="BN264" s="1108">
        <v>3733.3042126583618</v>
      </c>
      <c r="BO264" s="1108">
        <v>3704.83398956163</v>
      </c>
      <c r="BP264" s="1108">
        <v>3943.0489376688638</v>
      </c>
      <c r="BQ264" s="1108">
        <v>4619.3155054593535</v>
      </c>
      <c r="BR264" s="1108">
        <v>4710.5064310137468</v>
      </c>
      <c r="BS264" s="1108">
        <v>4818.9999444344903</v>
      </c>
      <c r="BT264" s="1108">
        <v>5059.2838730801332</v>
      </c>
      <c r="BU264" s="1108">
        <v>5231.9706350786601</v>
      </c>
      <c r="BV264" s="1108">
        <v>5441.2494604818003</v>
      </c>
      <c r="BW264" s="1108">
        <v>5604.4869442962599</v>
      </c>
      <c r="BX264" s="1108">
        <v>5828.6664220681096</v>
      </c>
      <c r="BY264" s="1108">
        <v>6003.5264147301496</v>
      </c>
      <c r="BZ264" s="1108">
        <v>6243.6674713193597</v>
      </c>
      <c r="CA264" s="1108">
        <v>6430.9774954589402</v>
      </c>
      <c r="CB264" s="1108">
        <v>6688.2165952773003</v>
      </c>
      <c r="CC264" s="1108">
        <v>6888.8630931356201</v>
      </c>
      <c r="CD264" s="1108">
        <v>7164.4176168610402</v>
      </c>
      <c r="CE264" s="1108">
        <v>7379.3501453668696</v>
      </c>
      <c r="CF264" s="1108">
        <v>7674.5241511815502</v>
      </c>
    </row>
    <row r="265" spans="4:84" ht="14.45" hidden="1" outlineLevel="1">
      <c r="D265" s="1432"/>
      <c r="E265" s="1440"/>
      <c r="F265" s="1107" t="s">
        <v>1069</v>
      </c>
      <c r="G265" s="1107"/>
      <c r="H265" s="1107"/>
      <c r="I265" s="1107"/>
      <c r="AH265" s="1109">
        <v>776.595744680851</v>
      </c>
      <c r="AI265" s="1109">
        <v>52.059714967434132</v>
      </c>
      <c r="AJ265" s="1109">
        <v>44.356283155553058</v>
      </c>
      <c r="AK265" s="1109">
        <v>36.527556045875059</v>
      </c>
      <c r="AL265" s="1109">
        <v>23.979766984791379</v>
      </c>
      <c r="AM265" s="1109">
        <v>21.241299930901722</v>
      </c>
      <c r="AN265" s="1109">
        <v>25.129017365492018</v>
      </c>
      <c r="AO265" s="1109">
        <v>26.871710494563743</v>
      </c>
      <c r="AP265" s="1109">
        <v>27.287428677118687</v>
      </c>
      <c r="AQ265" s="1109">
        <v>29.139923200608397</v>
      </c>
      <c r="AR265" s="1109">
        <v>17.44787628059893</v>
      </c>
      <c r="AS265" s="1109">
        <v>16.667870796267348</v>
      </c>
      <c r="AT265" s="1109">
        <v>28.634339020210252</v>
      </c>
      <c r="AU265" s="1109">
        <v>20.454455460444603</v>
      </c>
      <c r="AV265" s="1109">
        <v>31.378002746869416</v>
      </c>
      <c r="AW265" s="1109">
        <v>34.558859188667178</v>
      </c>
      <c r="AX265" s="1109">
        <v>30.913041036762618</v>
      </c>
      <c r="AY265" s="1109">
        <v>35.086055977735825</v>
      </c>
      <c r="AZ265" s="1109">
        <v>26.963320318760331</v>
      </c>
      <c r="BA265" s="1109">
        <v>22.37700912574207</v>
      </c>
      <c r="BB265" s="1109">
        <v>18.633504410372165</v>
      </c>
      <c r="BC265" s="1109">
        <v>16.095766500727933</v>
      </c>
      <c r="BD265" s="1109">
        <v>16.79435529587769</v>
      </c>
      <c r="BE265" s="1109">
        <v>13.31963454888119</v>
      </c>
      <c r="BF265" s="1109">
        <v>14.015924613816203</v>
      </c>
      <c r="BG265" s="1109">
        <v>14.903243269579313</v>
      </c>
      <c r="BH265" s="1109">
        <v>14.943154056598917</v>
      </c>
      <c r="BI265" s="1109">
        <v>10.230174972289758</v>
      </c>
      <c r="BJ265" s="1109">
        <v>10.688514534887709</v>
      </c>
      <c r="BK265" s="1109">
        <v>8.1499939030705786</v>
      </c>
      <c r="BL265" s="1109">
        <v>10.629170898032937</v>
      </c>
      <c r="BM265" s="1109">
        <v>15.450406836733455</v>
      </c>
      <c r="BN265" s="1109">
        <v>13.871378085390113</v>
      </c>
      <c r="BO265" s="1109">
        <v>16.528720121011588</v>
      </c>
      <c r="BP265" s="1109">
        <v>16.835193628059848</v>
      </c>
      <c r="BQ265" s="1109">
        <v>26.986857580113575</v>
      </c>
      <c r="BR265" s="1109">
        <v>26.175263592021924</v>
      </c>
      <c r="BS265" s="1109">
        <v>30.073303095685876</v>
      </c>
      <c r="BT265" s="1109">
        <v>28.308929284331658</v>
      </c>
      <c r="BU265" s="1109">
        <v>13.262898559218092</v>
      </c>
      <c r="BV265" s="1109">
        <v>15.513045999828737</v>
      </c>
      <c r="BW265" s="1109">
        <v>16.299792673144481</v>
      </c>
      <c r="BX265" s="1109">
        <v>15.207340965423432</v>
      </c>
      <c r="BY265" s="1109">
        <v>14.746943999999907</v>
      </c>
      <c r="BZ265" s="1109">
        <v>14.746944000000115</v>
      </c>
      <c r="CA265" s="1109">
        <v>14.746943999999992</v>
      </c>
      <c r="CB265" s="1109">
        <v>14.746944000000051</v>
      </c>
      <c r="CC265" s="1109">
        <v>14.746944000000129</v>
      </c>
      <c r="CD265" s="1109">
        <v>14.746943999999976</v>
      </c>
      <c r="CE265" s="1109">
        <v>14.746943999999951</v>
      </c>
      <c r="CF265" s="1109">
        <v>14.746943999999997</v>
      </c>
    </row>
    <row r="266" spans="4:84" ht="14.45" hidden="1" outlineLevel="1" collapsed="1">
      <c r="D266" s="1432"/>
      <c r="E266" s="1440"/>
      <c r="F266" s="1107"/>
      <c r="G266" s="1107"/>
      <c r="H266" s="1107"/>
      <c r="I266" s="1107"/>
    </row>
    <row r="267" spans="4:84" ht="14.45" collapsed="1">
      <c r="D267" s="1435" t="s">
        <v>1142</v>
      </c>
      <c r="E267" s="1433" t="s">
        <v>1067</v>
      </c>
      <c r="F267" s="1106" t="s">
        <v>1068</v>
      </c>
      <c r="G267" s="1106"/>
      <c r="H267" s="1106"/>
      <c r="I267" s="1106"/>
      <c r="AD267" s="1108">
        <v>101.2</v>
      </c>
      <c r="AE267" s="1108">
        <v>349.82226705796052</v>
      </c>
      <c r="AF267" s="1108">
        <v>372.16941391941401</v>
      </c>
      <c r="AG267" s="1108">
        <v>390</v>
      </c>
      <c r="AH267" s="1108">
        <v>488.69799999999998</v>
      </c>
      <c r="AI267" s="1108">
        <v>470</v>
      </c>
      <c r="AJ267" s="1108">
        <v>537</v>
      </c>
      <c r="AK267" s="1108">
        <v>525.29200000000003</v>
      </c>
      <c r="AL267" s="1108">
        <v>634.20899999999995</v>
      </c>
      <c r="AM267" s="1108">
        <v>622.55200000000002</v>
      </c>
      <c r="AN267" s="1108">
        <v>644.77499999999998</v>
      </c>
      <c r="AO267" s="1108">
        <v>659.81560000000002</v>
      </c>
      <c r="AP267" s="1108">
        <v>777.09673499999997</v>
      </c>
      <c r="AQ267" s="1108">
        <v>676.62707999999998</v>
      </c>
      <c r="AR267" s="1108">
        <v>620.04</v>
      </c>
      <c r="AS267" s="1108">
        <v>754.50401999999997</v>
      </c>
      <c r="AT267" s="1108">
        <v>909.36539464999998</v>
      </c>
      <c r="AU267" s="1108">
        <v>955.40916340000001</v>
      </c>
      <c r="AV267" s="1108">
        <v>1136.6189999999999</v>
      </c>
      <c r="AW267" s="1108">
        <v>1152.8187929999999</v>
      </c>
      <c r="AX267" s="1108">
        <v>1375.7444130449999</v>
      </c>
      <c r="AY267" s="1108">
        <v>1246.28714713</v>
      </c>
      <c r="AZ267" s="1108">
        <v>1384.8534578061181</v>
      </c>
      <c r="BA267" s="1108">
        <v>1221.39159166524</v>
      </c>
      <c r="BB267" s="1108">
        <v>1392.215218974274</v>
      </c>
      <c r="BC267" s="1108">
        <v>1163.1275642158837</v>
      </c>
      <c r="BD267" s="1108">
        <v>1284.7132555696412</v>
      </c>
      <c r="BE267" s="1108">
        <v>1275.2783873552314</v>
      </c>
      <c r="BF267" s="1108">
        <v>1509.3510416505319</v>
      </c>
      <c r="BG267" s="1108">
        <v>1308.0445555884646</v>
      </c>
      <c r="BH267" s="1108">
        <v>1462.0805097957921</v>
      </c>
      <c r="BI267" s="1108">
        <v>1482.4143101300931</v>
      </c>
      <c r="BJ267" s="1108">
        <v>1757.90307449955</v>
      </c>
      <c r="BK267" s="1108">
        <v>1508.404554341844</v>
      </c>
      <c r="BL267" s="1108">
        <v>1690.20833710342</v>
      </c>
      <c r="BM267" s="1108">
        <v>1923.8608093166749</v>
      </c>
      <c r="BN267" s="1108">
        <v>2242.5322329298351</v>
      </c>
      <c r="BO267" s="1108">
        <v>1890.4476905914401</v>
      </c>
      <c r="BP267" s="1108">
        <v>2180.4879953345949</v>
      </c>
      <c r="BQ267" s="1108">
        <v>2210.0736742273648</v>
      </c>
      <c r="BR267" s="1108">
        <v>2587.0138931565548</v>
      </c>
      <c r="BS267" s="1108">
        <v>2174.814182403305</v>
      </c>
      <c r="BT267" s="1108">
        <v>2508.5332355998248</v>
      </c>
    </row>
    <row r="268" spans="4:84" ht="14.45" hidden="1" outlineLevel="1">
      <c r="D268" s="1432"/>
      <c r="E268" s="1440"/>
      <c r="F268" s="1106" t="s">
        <v>1069</v>
      </c>
      <c r="G268" s="1106"/>
      <c r="H268" s="1106"/>
      <c r="I268" s="1106"/>
      <c r="AH268" s="1109">
        <v>382.90316205533594</v>
      </c>
      <c r="AI268" s="1109">
        <v>34.353940345977968</v>
      </c>
      <c r="AJ268" s="1109">
        <v>44.289127455346673</v>
      </c>
      <c r="AK268" s="1109">
        <v>34.690256410256417</v>
      </c>
      <c r="AL268" s="1109">
        <v>29.775239513973862</v>
      </c>
      <c r="AM268" s="1109">
        <v>32.457872340425538</v>
      </c>
      <c r="AN268" s="1109">
        <v>20.069832402234631</v>
      </c>
      <c r="AO268" s="1109">
        <v>25.609299208820996</v>
      </c>
      <c r="AP268" s="1109">
        <v>22.530070528800447</v>
      </c>
      <c r="AQ268" s="1109">
        <v>8.6860342589855879</v>
      </c>
      <c r="AR268" s="1109">
        <v>-3.8362219378853113</v>
      </c>
      <c r="AS268" s="1109">
        <v>14.3507398127598</v>
      </c>
      <c r="AT268" s="1109">
        <v>17.020874453937839</v>
      </c>
      <c r="AU268" s="1109">
        <v>41.201733072817603</v>
      </c>
      <c r="AV268" s="1109">
        <v>83.313818463324935</v>
      </c>
      <c r="AW268" s="1109">
        <v>52.791603814118837</v>
      </c>
      <c r="AX268" s="1109">
        <v>51.286206967937417</v>
      </c>
      <c r="AY268" s="1109">
        <v>30.445383493586871</v>
      </c>
      <c r="AZ268" s="1109">
        <v>21.839724464056836</v>
      </c>
      <c r="BA268" s="1109">
        <v>5.9482721032671479</v>
      </c>
      <c r="BB268" s="1109">
        <v>1.1972286256877092</v>
      </c>
      <c r="BC268" s="1109">
        <v>-6.6725860974831939</v>
      </c>
      <c r="BD268" s="1109">
        <v>-7.2311046105281607</v>
      </c>
      <c r="BE268" s="1109">
        <v>4.4119180169336554</v>
      </c>
      <c r="BF268" s="1109">
        <v>8.4136289475817332</v>
      </c>
      <c r="BG268" s="1109">
        <v>12.459251747702837</v>
      </c>
      <c r="BH268" s="1109">
        <v>13.805979930323542</v>
      </c>
      <c r="BI268" s="1109">
        <v>16.242408310897183</v>
      </c>
      <c r="BJ268" s="1109">
        <v>16.467476815546977</v>
      </c>
      <c r="BK268" s="1109">
        <v>15.317520943561528</v>
      </c>
      <c r="BL268" s="1109">
        <v>15.602959329475668</v>
      </c>
      <c r="BM268" s="1109">
        <v>29.778888140107174</v>
      </c>
      <c r="BN268" s="1109">
        <v>27.568593824107857</v>
      </c>
      <c r="BO268" s="1109">
        <v>25.327630783791378</v>
      </c>
      <c r="BP268" s="1109">
        <v>29.007054779494663</v>
      </c>
      <c r="BQ268" s="1109">
        <v>14.877004798093898</v>
      </c>
      <c r="BR268" s="1109">
        <v>15.361280215654224</v>
      </c>
      <c r="BS268" s="1109">
        <v>15.042283011962047</v>
      </c>
      <c r="BT268" s="1109">
        <v>15.04457905602418</v>
      </c>
    </row>
    <row r="269" spans="4:84" ht="14.45" hidden="1" outlineLevel="1" collapsed="1">
      <c r="D269" s="1432"/>
      <c r="E269" s="1440"/>
      <c r="F269" s="1106"/>
      <c r="G269" s="1106"/>
      <c r="H269" s="1106"/>
      <c r="I269" s="1106"/>
    </row>
    <row r="270" spans="4:84" ht="14.45" collapsed="1">
      <c r="D270" s="1434" t="s">
        <v>1070</v>
      </c>
      <c r="E270" s="1433" t="s">
        <v>1067</v>
      </c>
      <c r="F270" s="1107" t="s">
        <v>1068</v>
      </c>
      <c r="G270" s="1107"/>
      <c r="H270" s="1107"/>
      <c r="I270" s="1107"/>
      <c r="AD270" s="1108">
        <v>228</v>
      </c>
      <c r="AE270" s="1108">
        <v>976</v>
      </c>
      <c r="AF270" s="1108">
        <v>1067</v>
      </c>
      <c r="AG270" s="1108">
        <v>1148</v>
      </c>
      <c r="AH270" s="1108">
        <v>1312</v>
      </c>
      <c r="AI270" s="1108">
        <v>1335</v>
      </c>
      <c r="AJ270" s="1108">
        <v>1464</v>
      </c>
      <c r="AK270" s="1108">
        <v>1530</v>
      </c>
      <c r="AL270" s="1108">
        <v>1693</v>
      </c>
      <c r="AM270" s="1108">
        <v>1696</v>
      </c>
      <c r="AN270" s="1108">
        <v>1835</v>
      </c>
      <c r="AO270" s="1108">
        <v>1909</v>
      </c>
      <c r="AP270" s="1108">
        <v>2102</v>
      </c>
      <c r="AQ270" s="1108">
        <v>2050</v>
      </c>
      <c r="AR270" s="1108">
        <v>2016</v>
      </c>
      <c r="AS270" s="1108">
        <v>2206</v>
      </c>
      <c r="AT270" s="1108">
        <v>2577</v>
      </c>
      <c r="AU270" s="1108">
        <v>2562</v>
      </c>
      <c r="AV270" s="1108">
        <v>2944</v>
      </c>
      <c r="AW270" s="1108">
        <v>3136</v>
      </c>
      <c r="AX270" s="1108">
        <v>3531</v>
      </c>
      <c r="AY270" s="1108">
        <v>3437</v>
      </c>
      <c r="AZ270" s="1108">
        <v>3712</v>
      </c>
      <c r="BA270" s="1108">
        <v>3663</v>
      </c>
      <c r="BB270" s="1108">
        <v>3876</v>
      </c>
      <c r="BC270" s="1108">
        <v>3645.1661519646223</v>
      </c>
      <c r="BD270" s="1108">
        <v>3969.9132442627288</v>
      </c>
      <c r="BE270" s="1108">
        <v>4056.897397224257</v>
      </c>
      <c r="BF270" s="1108">
        <v>4345.6173275419287</v>
      </c>
      <c r="BG270" s="1108">
        <v>4120.8924354186356</v>
      </c>
      <c r="BH270" s="1108">
        <v>4487.6897619405527</v>
      </c>
      <c r="BI270" s="1108">
        <v>4649.0533036982233</v>
      </c>
      <c r="BJ270" s="1108">
        <v>4988.4564355406192</v>
      </c>
      <c r="BK270" s="1108">
        <v>4754.9956670471338</v>
      </c>
      <c r="BL270" s="1108">
        <v>5184.8698885043077</v>
      </c>
      <c r="BM270" s="1108">
        <v>5632.4571396531983</v>
      </c>
      <c r="BN270" s="1108">
        <v>6037.5378809199601</v>
      </c>
      <c r="BO270" s="1108">
        <v>5707.2821062054645</v>
      </c>
      <c r="BP270" s="1108">
        <v>6316.1345342800014</v>
      </c>
      <c r="BQ270" s="1108">
        <v>7152.1580908219021</v>
      </c>
      <c r="BR270" s="1108">
        <v>7606.4589398992057</v>
      </c>
      <c r="BS270" s="1108">
        <v>7230.2373607555437</v>
      </c>
      <c r="BT270" s="1108">
        <v>8037.8110525899956</v>
      </c>
      <c r="BU270" s="1108">
        <v>7758.3311166611247</v>
      </c>
      <c r="BV270" s="1108">
        <v>8125.7688622200003</v>
      </c>
      <c r="BW270" s="1108">
        <v>7849.7697914753398</v>
      </c>
      <c r="BX270" s="1108">
        <v>8700.720785816975</v>
      </c>
      <c r="BY270" s="1108">
        <v>8891.9963635304393</v>
      </c>
      <c r="BZ270" s="1108">
        <v>9285.6943649993991</v>
      </c>
      <c r="CA270" s="1108">
        <v>9047.1465499584501</v>
      </c>
      <c r="CB270" s="1108">
        <v>9996.2172733098341</v>
      </c>
      <c r="CC270" s="1108">
        <v>10097.15606128828</v>
      </c>
      <c r="CD270" s="1108">
        <v>10551.198422373351</v>
      </c>
      <c r="CE270" s="1108">
        <v>10274.483609562894</v>
      </c>
      <c r="CF270" s="1108">
        <v>11376.86049277975</v>
      </c>
    </row>
    <row r="271" spans="4:84" ht="14.45" hidden="1" outlineLevel="1">
      <c r="D271" s="1432"/>
      <c r="E271" s="1440"/>
      <c r="F271" s="1107" t="s">
        <v>1069</v>
      </c>
      <c r="G271" s="1107"/>
      <c r="H271" s="1107"/>
      <c r="I271" s="1107"/>
      <c r="AH271" s="1109">
        <v>475.43859649122805</v>
      </c>
      <c r="AI271" s="1109">
        <v>36.782786885245898</v>
      </c>
      <c r="AJ271" s="1109">
        <v>37.207122774133083</v>
      </c>
      <c r="AK271" s="1109">
        <v>33.275261324041807</v>
      </c>
      <c r="AL271" s="1109">
        <v>29.039634146341463</v>
      </c>
      <c r="AM271" s="1109">
        <v>27.04119850187266</v>
      </c>
      <c r="AN271" s="1109">
        <v>25.341530054644807</v>
      </c>
      <c r="AO271" s="1109">
        <v>24.77124183006536</v>
      </c>
      <c r="AP271" s="1109">
        <v>24.158298877731838</v>
      </c>
      <c r="AQ271" s="1109">
        <v>20.872641509433961</v>
      </c>
      <c r="AR271" s="1109">
        <v>9.8637602179836517</v>
      </c>
      <c r="AS271" s="1109">
        <v>15.557883708748035</v>
      </c>
      <c r="AT271" s="1109">
        <v>22.597526165556616</v>
      </c>
      <c r="AU271" s="1109">
        <v>24.975609756097562</v>
      </c>
      <c r="AV271" s="1109">
        <v>46.031746031746032</v>
      </c>
      <c r="AW271" s="1109">
        <v>42.157751586582052</v>
      </c>
      <c r="AX271" s="1109">
        <v>37.019790454016302</v>
      </c>
      <c r="AY271" s="1109">
        <v>34.15300546448087</v>
      </c>
      <c r="AZ271" s="1109">
        <v>26.086956521739129</v>
      </c>
      <c r="BA271" s="1109">
        <v>16.804846938775512</v>
      </c>
      <c r="BB271" s="1109">
        <v>9.770603228547154</v>
      </c>
      <c r="BC271" s="1109">
        <v>6.0566235660349799</v>
      </c>
      <c r="BD271" s="1109">
        <v>6.9480938648364434</v>
      </c>
      <c r="BE271" s="1109">
        <v>10.753409697631914</v>
      </c>
      <c r="BF271" s="1109">
        <v>12.116030122340781</v>
      </c>
      <c r="BG271" s="1109">
        <v>13.050880635375506</v>
      </c>
      <c r="BH271" s="1109">
        <v>13.042514680292028</v>
      </c>
      <c r="BI271" s="1109">
        <v>14.596275145610567</v>
      </c>
      <c r="BJ271" s="1109">
        <v>14.792814450652708</v>
      </c>
      <c r="BK271" s="1109">
        <v>15.387522037179322</v>
      </c>
      <c r="BL271" s="1109">
        <v>15.535390446916336</v>
      </c>
      <c r="BM271" s="1109">
        <v>21.152776096860368</v>
      </c>
      <c r="BN271" s="1109">
        <v>21.030181558870279</v>
      </c>
      <c r="BO271" s="1109">
        <v>20.027072700777104</v>
      </c>
      <c r="BP271" s="1109">
        <v>21.818573466691802</v>
      </c>
      <c r="BQ271" s="1109">
        <v>26.981136535772642</v>
      </c>
      <c r="BR271" s="1109">
        <v>25.986107084104681</v>
      </c>
      <c r="BS271" s="1109">
        <v>26.684422220765764</v>
      </c>
      <c r="BT271" s="1109">
        <v>27.258388955552139</v>
      </c>
      <c r="BU271" s="1109">
        <v>8.4753862839959027</v>
      </c>
      <c r="BV271" s="1109">
        <v>6.8272231063627622</v>
      </c>
      <c r="BW271" s="1109">
        <v>8.5686319799472859</v>
      </c>
      <c r="BX271" s="1109">
        <v>8.2473913468440188</v>
      </c>
      <c r="BY271" s="1109">
        <v>14.612230772604596</v>
      </c>
      <c r="BZ271" s="1109">
        <v>14.274655388887119</v>
      </c>
      <c r="CA271" s="1109">
        <v>15.253654441986725</v>
      </c>
      <c r="CB271" s="1109">
        <v>14.88953064215835</v>
      </c>
      <c r="CC271" s="1109">
        <v>13.553308486502234</v>
      </c>
      <c r="CD271" s="1109">
        <v>13.628534470658657</v>
      </c>
      <c r="CE271" s="1109">
        <v>13.566012806657596</v>
      </c>
      <c r="CF271" s="1109">
        <v>13.811656766967936</v>
      </c>
    </row>
    <row r="272" spans="4:84" ht="14.45" hidden="1" outlineLevel="1" collapsed="1">
      <c r="D272" s="1432"/>
      <c r="E272" s="1440"/>
      <c r="F272" s="1107"/>
      <c r="G272" s="1107"/>
      <c r="H272" s="1107"/>
      <c r="I272" s="1107"/>
    </row>
    <row r="273" spans="4:84" ht="14.45" collapsed="1">
      <c r="D273" s="1434" t="s">
        <v>1143</v>
      </c>
      <c r="E273" s="1433" t="s">
        <v>1067</v>
      </c>
      <c r="F273" s="1106" t="s">
        <v>1068</v>
      </c>
      <c r="G273" s="1106"/>
      <c r="H273" s="1106"/>
      <c r="I273" s="1106"/>
      <c r="J273" s="1108"/>
      <c r="K273" s="1108"/>
      <c r="L273" s="1108"/>
      <c r="M273" s="1108"/>
      <c r="N273" s="1108"/>
      <c r="O273" s="1108"/>
      <c r="P273" s="1108"/>
      <c r="Q273" s="1108"/>
      <c r="R273" s="1108"/>
      <c r="S273" s="1108"/>
      <c r="T273" s="1108"/>
      <c r="U273" s="1108"/>
      <c r="V273" s="1108"/>
      <c r="W273" s="1108"/>
      <c r="X273" s="1108"/>
      <c r="Y273" s="1108">
        <v>39.398400000000002</v>
      </c>
      <c r="Z273" s="1108">
        <v>71.587475999999995</v>
      </c>
      <c r="AA273" s="1108">
        <v>33.792000000000002</v>
      </c>
      <c r="AC273" s="1108">
        <v>107.8496</v>
      </c>
      <c r="AD273" s="1108">
        <v>110.779369</v>
      </c>
      <c r="AE273" s="1108">
        <v>129.13650000000001</v>
      </c>
      <c r="AF273" s="1108">
        <v>206.68600000000001</v>
      </c>
      <c r="AG273" s="1108">
        <v>90.290620000000004</v>
      </c>
      <c r="AH273" s="1108">
        <v>86.773626299999506</v>
      </c>
      <c r="AI273" s="1108">
        <v>118.2814997</v>
      </c>
      <c r="AJ273" s="1108">
        <v>194.3929148</v>
      </c>
      <c r="AK273" s="1108">
        <v>170.56306430400099</v>
      </c>
      <c r="AL273" s="1108">
        <v>155.80251579649897</v>
      </c>
      <c r="AM273" s="1108">
        <v>220.814486090841</v>
      </c>
      <c r="AN273" s="1108">
        <v>179.24810880283999</v>
      </c>
      <c r="AO273" s="1108">
        <v>156.332971890343</v>
      </c>
      <c r="AP273" s="1108">
        <v>135.787928307573</v>
      </c>
      <c r="AQ273" s="1108">
        <v>213.59032143428101</v>
      </c>
      <c r="AR273" s="1108">
        <v>163.957276261641</v>
      </c>
      <c r="AS273" s="1108">
        <v>156.18857003978397</v>
      </c>
      <c r="AT273" s="1108">
        <v>147.73406414792001</v>
      </c>
      <c r="AU273" s="1108">
        <v>231.44351380107</v>
      </c>
      <c r="AV273" s="1108">
        <v>198.916996838145</v>
      </c>
      <c r="AW273" s="1108">
        <v>176.661329457645</v>
      </c>
      <c r="AX273" s="1108">
        <v>171.89917124218101</v>
      </c>
      <c r="AY273" s="1108">
        <v>251.019727100338</v>
      </c>
      <c r="BA273" s="1108">
        <v>193.97419951076699</v>
      </c>
      <c r="BB273" s="1108">
        <v>145.769064026059</v>
      </c>
      <c r="BC273" s="1108">
        <v>238.46874074532101</v>
      </c>
      <c r="BD273" s="1108">
        <v>206.23774198739301</v>
      </c>
      <c r="BE273" s="1108">
        <v>180.396005545013</v>
      </c>
      <c r="BF273" s="1108">
        <v>138.48061082475601</v>
      </c>
      <c r="BG273" s="1108">
        <v>226.545303708055</v>
      </c>
      <c r="BH273" s="1108">
        <v>195.92585488802399</v>
      </c>
      <c r="BI273" s="1108">
        <v>171.376205267763</v>
      </c>
      <c r="BJ273" s="1108">
        <v>131.556580283518</v>
      </c>
      <c r="BK273" s="1108">
        <v>215.21803852265199</v>
      </c>
      <c r="BL273" s="1108">
        <v>186.12956214362299</v>
      </c>
      <c r="BM273" s="1108">
        <v>162.807395004374</v>
      </c>
      <c r="BN273" s="1108">
        <v>124.978751269342</v>
      </c>
      <c r="BO273" s="1108">
        <v>204.45713659652</v>
      </c>
      <c r="BP273" s="1108">
        <v>176.823084036441</v>
      </c>
      <c r="BQ273" s="1108">
        <v>154.66702525415599</v>
      </c>
      <c r="BR273" s="1108">
        <v>118.729813705875</v>
      </c>
      <c r="BS273" s="1108">
        <v>194.23427976669399</v>
      </c>
      <c r="BT273" s="1108">
        <v>167.981929834619</v>
      </c>
    </row>
    <row r="274" spans="4:84" ht="14.45" hidden="1" outlineLevel="1">
      <c r="D274" s="1432"/>
      <c r="E274" s="1440"/>
      <c r="F274" s="1106" t="s">
        <v>1069</v>
      </c>
      <c r="G274" s="1106"/>
      <c r="H274" s="1106"/>
      <c r="I274" s="1106"/>
      <c r="W274" s="1109"/>
      <c r="X274" s="1109"/>
      <c r="Y274" s="1109">
        <v>-19.999999999999989</v>
      </c>
      <c r="Z274" s="1109">
        <v>-20.000000000000011</v>
      </c>
      <c r="AA274" s="1109">
        <v>-20</v>
      </c>
      <c r="AC274" s="1109">
        <v>173.74106562703054</v>
      </c>
      <c r="AD274" s="1109">
        <v>54.746856838478294</v>
      </c>
      <c r="AE274" s="1109">
        <v>282.15110085227275</v>
      </c>
      <c r="AG274" s="1109">
        <v>-16.280987597543238</v>
      </c>
      <c r="AH274" s="1109">
        <v>-21.669867698921898</v>
      </c>
      <c r="AI274" s="1109">
        <v>-8.4058343690591073</v>
      </c>
      <c r="AJ274" s="1109">
        <v>-5.9477106335213836</v>
      </c>
      <c r="AK274" s="1109">
        <v>88.904522201753593</v>
      </c>
      <c r="AL274" s="1109">
        <v>79.550541379760048</v>
      </c>
      <c r="AM274" s="1109">
        <v>86.685565072219831</v>
      </c>
      <c r="AN274" s="1109">
        <v>-7.7908220125932317</v>
      </c>
      <c r="AO274" s="1109">
        <v>-8.3430093565246661</v>
      </c>
      <c r="AP274" s="1109">
        <v>-12.846125999061508</v>
      </c>
      <c r="AQ274" s="1109">
        <v>-3.2715990623858069</v>
      </c>
      <c r="AR274" s="1109">
        <v>-8.5305405135503047</v>
      </c>
      <c r="AS274" s="1109">
        <v>-9.2368135021653072E-2</v>
      </c>
      <c r="AT274" s="1109">
        <v>8.7976420210844086</v>
      </c>
      <c r="AU274" s="1109">
        <v>8.3586148692988349</v>
      </c>
      <c r="AV274" s="1109">
        <v>21.32245751674705</v>
      </c>
      <c r="AW274" s="1109">
        <v>13.107719350171562</v>
      </c>
      <c r="AX274" s="1109">
        <v>16.357166665411356</v>
      </c>
      <c r="AY274" s="1109">
        <v>8.4583114807417434</v>
      </c>
      <c r="BA274" s="1109">
        <v>9.8000338309877844</v>
      </c>
      <c r="BB274" s="1109">
        <v>-15.200833737184505</v>
      </c>
      <c r="BC274" s="1109">
        <v>-5.0000000000000346</v>
      </c>
      <c r="BE274" s="1109">
        <v>-7.000000000000159</v>
      </c>
      <c r="BF274" s="1109">
        <v>-5.0000000000000249</v>
      </c>
      <c r="BG274" s="1109">
        <v>-4.999999999999984</v>
      </c>
      <c r="BH274" s="1109">
        <v>-4.9999999999996927</v>
      </c>
      <c r="BI274" s="1109">
        <v>-4.9999999999996394</v>
      </c>
      <c r="BJ274" s="1109">
        <v>-5.0000000000001519</v>
      </c>
      <c r="BK274" s="1109">
        <v>-5.0000000000001137</v>
      </c>
      <c r="BL274" s="1109">
        <v>-4.9999999999998979</v>
      </c>
      <c r="BM274" s="1109">
        <v>-5.0000000000004947</v>
      </c>
      <c r="BN274" s="1109">
        <v>-5.000000000000079</v>
      </c>
      <c r="BO274" s="1109">
        <v>-4.9999999999997176</v>
      </c>
      <c r="BP274" s="1109">
        <v>-5.0000000000004503</v>
      </c>
      <c r="BQ274" s="1109">
        <v>-4.9999999999995781</v>
      </c>
      <c r="BR274" s="1109">
        <v>-4.9999999999999165</v>
      </c>
      <c r="BS274" s="1109">
        <v>-5.0000000000000071</v>
      </c>
      <c r="BT274" s="1109">
        <v>-4.999999999999976</v>
      </c>
    </row>
    <row r="275" spans="4:84" ht="14.45" hidden="1" outlineLevel="1" collapsed="1">
      <c r="D275" s="1432"/>
      <c r="E275" s="1440"/>
      <c r="F275" s="1106"/>
      <c r="G275" s="1106"/>
      <c r="H275" s="1106"/>
      <c r="I275" s="1106"/>
    </row>
    <row r="276" spans="4:84" ht="14.45" collapsed="1">
      <c r="D276" s="1434" t="s">
        <v>1072</v>
      </c>
      <c r="E276" s="1433" t="s">
        <v>1067</v>
      </c>
      <c r="F276" s="1107" t="s">
        <v>1068</v>
      </c>
      <c r="G276" s="1107"/>
      <c r="H276" s="1107"/>
      <c r="I276" s="1107"/>
      <c r="J276" s="1108"/>
      <c r="K276" s="1108"/>
      <c r="L276" s="1108"/>
      <c r="M276" s="1108"/>
      <c r="N276" s="1108"/>
      <c r="O276" s="1108"/>
      <c r="P276" s="1108"/>
      <c r="Q276" s="1108"/>
      <c r="R276" s="1108"/>
      <c r="S276" s="1108"/>
      <c r="T276" s="1108"/>
      <c r="U276" s="1108"/>
      <c r="V276" s="1108"/>
      <c r="W276" s="1108"/>
      <c r="X276" s="1108"/>
      <c r="Y276" s="1108">
        <v>-78.398872304827805</v>
      </c>
      <c r="Z276" s="1108">
        <v>211.53151046981901</v>
      </c>
      <c r="AA276" s="1108">
        <v>-168.89482044744801</v>
      </c>
      <c r="AB276" s="1108">
        <v>247.71407100593001</v>
      </c>
      <c r="AC276" s="1108">
        <v>17.689380289380995</v>
      </c>
      <c r="AD276" s="1108">
        <v>50.467888435374853</v>
      </c>
      <c r="AE276" s="1108">
        <v>-3.8720518750406501</v>
      </c>
      <c r="AF276" s="1108">
        <v>41.317402321394816</v>
      </c>
      <c r="AG276" s="1108">
        <v>414.83721202335732</v>
      </c>
      <c r="AH276" s="1108">
        <v>376.8463107334905</v>
      </c>
      <c r="AI276" s="1108">
        <v>336.46907047176711</v>
      </c>
      <c r="AJ276" s="1108">
        <v>482.19778147439467</v>
      </c>
      <c r="AK276" s="1108">
        <v>305.73591036383709</v>
      </c>
      <c r="AL276" s="1108">
        <v>249.28800451628899</v>
      </c>
      <c r="AM276" s="1108">
        <v>267.41081757709867</v>
      </c>
      <c r="AN276" s="1108">
        <v>509.52951844625744</v>
      </c>
      <c r="AO276" s="1108">
        <v>464.27319915057859</v>
      </c>
      <c r="AP276" s="1108">
        <v>225.01292561493756</v>
      </c>
      <c r="AQ276" s="1108">
        <v>167.8043283082576</v>
      </c>
      <c r="AR276" s="1108">
        <v>313.29506305062665</v>
      </c>
      <c r="AS276" s="1108">
        <v>189.71299653856659</v>
      </c>
      <c r="AT276" s="1108">
        <v>156.35797030662465</v>
      </c>
      <c r="AU276" s="1108">
        <v>128.48252695218534</v>
      </c>
      <c r="AV276" s="1108">
        <v>395.75377553895373</v>
      </c>
      <c r="AW276" s="1108">
        <v>0.11675294170674</v>
      </c>
      <c r="AX276" s="1108">
        <v>147.68119143740273</v>
      </c>
      <c r="AY276" s="1108">
        <v>147.45541129981399</v>
      </c>
      <c r="AZ276" s="1108">
        <v>-7.1801787687600003</v>
      </c>
      <c r="BA276" s="1108">
        <v>188.27513203150639</v>
      </c>
      <c r="BB276" s="1108">
        <v>83.212348342502764</v>
      </c>
      <c r="BC276" s="1108">
        <v>494.80307653449501</v>
      </c>
      <c r="BD276" s="1108">
        <v>914.02886781508096</v>
      </c>
      <c r="BE276" s="1108">
        <v>472.61832048900999</v>
      </c>
      <c r="BF276" s="1108">
        <v>233.378003140668</v>
      </c>
      <c r="BG276" s="1108">
        <v>491.72515621869098</v>
      </c>
      <c r="BH276" s="1108">
        <v>904.58602180696698</v>
      </c>
      <c r="BI276" s="1108">
        <v>528.95153456493995</v>
      </c>
      <c r="BJ276" s="1108">
        <v>511.91759928551102</v>
      </c>
      <c r="BK276" s="1108">
        <v>481.74790237512298</v>
      </c>
      <c r="BL276" s="1108">
        <v>454.66711257420297</v>
      </c>
      <c r="BN276" s="1108">
        <v>5.2000000000000001E-11</v>
      </c>
      <c r="BO276" s="1108">
        <v>-6.3999999999999999E-11</v>
      </c>
    </row>
    <row r="277" spans="4:84" ht="14.45" hidden="1" outlineLevel="1">
      <c r="D277" s="1432"/>
      <c r="E277" s="1440"/>
      <c r="F277" s="1107" t="s">
        <v>1069</v>
      </c>
      <c r="G277" s="1107"/>
      <c r="H277" s="1107"/>
      <c r="I277" s="1107"/>
      <c r="W277" s="1109"/>
      <c r="X277" s="1109"/>
      <c r="Y277" s="1109">
        <v>-140.66835748775921</v>
      </c>
      <c r="Z277" s="1109">
        <v>-16.908564150051397</v>
      </c>
      <c r="AA277" s="1109">
        <v>-164.99408680063513</v>
      </c>
      <c r="AB277" s="1109">
        <v>-45.329208412077087</v>
      </c>
      <c r="AC277" s="1109">
        <v>122.56330961063031</v>
      </c>
      <c r="AD277" s="1109">
        <v>-76.141668764486255</v>
      </c>
      <c r="AE277" s="1109">
        <v>97.707418223494031</v>
      </c>
      <c r="AF277" s="1109">
        <v>-83.320526704998628</v>
      </c>
      <c r="AG277" s="1109">
        <v>2245.1200959955941</v>
      </c>
      <c r="AH277" s="1109">
        <v>646.70512759028907</v>
      </c>
      <c r="AI277" s="1109">
        <v>8789.6839538916247</v>
      </c>
      <c r="AJ277" s="1109">
        <v>1067.0573520656812</v>
      </c>
      <c r="AK277" s="1109">
        <v>-26.299786638566385</v>
      </c>
      <c r="AL277" s="1109">
        <v>-33.848893457102733</v>
      </c>
      <c r="AM277" s="1109">
        <v>-20.52439851242228</v>
      </c>
      <c r="AN277" s="1109">
        <v>5.6681590048572463</v>
      </c>
      <c r="AO277" s="1109">
        <v>51.854323752180839</v>
      </c>
      <c r="AP277" s="1109">
        <v>-9.7377645380306515</v>
      </c>
      <c r="AQ277" s="1109">
        <v>-37.248489111747688</v>
      </c>
      <c r="AR277" s="1109">
        <v>-38.512872815302572</v>
      </c>
      <c r="AS277" s="1109">
        <v>-59.137637734493339</v>
      </c>
      <c r="AT277" s="1109">
        <v>-30.511560667319827</v>
      </c>
      <c r="AU277" s="1109">
        <v>-23.433126995292913</v>
      </c>
      <c r="AV277" s="1109">
        <v>26.319825050994254</v>
      </c>
      <c r="AW277" s="1109">
        <v>-99.938458121564167</v>
      </c>
      <c r="AX277" s="1109">
        <v>-5.5493038520558864</v>
      </c>
      <c r="AY277" s="1109">
        <v>14.766898501840171</v>
      </c>
      <c r="AZ277" s="1109">
        <v>-101.81430455312315</v>
      </c>
      <c r="BA277" s="1109">
        <v>161159.43319219811</v>
      </c>
      <c r="BB277" s="1109">
        <v>-43.654064859184331</v>
      </c>
      <c r="BC277" s="1109">
        <v>235.56115179010675</v>
      </c>
      <c r="BD277" s="1109">
        <v>12829.890121843466</v>
      </c>
      <c r="BE277" s="1109">
        <v>151.02535602520305</v>
      </c>
      <c r="BF277" s="1109">
        <v>180.46078231091624</v>
      </c>
      <c r="BG277" s="1109">
        <v>-0.62204955097716452</v>
      </c>
      <c r="BH277" s="1109">
        <v>-1.0331015070329679</v>
      </c>
      <c r="BI277" s="1109">
        <v>11.919388570811847</v>
      </c>
      <c r="BJ277" s="1109">
        <v>119.35126378511087</v>
      </c>
      <c r="BK277" s="1109">
        <v>-2.0290305910504811</v>
      </c>
      <c r="BL277" s="1109">
        <v>-49.737548269209704</v>
      </c>
      <c r="BN277" s="1109">
        <v>-99.999999999989839</v>
      </c>
      <c r="BO277" s="1109">
        <v>-100.00000000001327</v>
      </c>
    </row>
    <row r="278" spans="4:84" ht="14.45" hidden="1" outlineLevel="1" collapsed="1">
      <c r="D278" s="1432"/>
      <c r="E278" s="1440"/>
      <c r="F278" s="1107"/>
      <c r="G278" s="1107"/>
      <c r="H278" s="1107"/>
      <c r="I278" s="1107"/>
    </row>
    <row r="279" spans="4:84" ht="14.45" collapsed="1">
      <c r="D279" s="1431" t="s">
        <v>1073</v>
      </c>
      <c r="E279" s="1433" t="s">
        <v>1067</v>
      </c>
      <c r="F279" s="1106" t="s">
        <v>1068</v>
      </c>
      <c r="G279" s="1106"/>
      <c r="H279" s="1106"/>
      <c r="I279" s="1106"/>
      <c r="J279" s="1108"/>
      <c r="K279" s="1108"/>
      <c r="L279" s="1108"/>
      <c r="M279" s="1108"/>
      <c r="N279" s="1108"/>
      <c r="O279" s="1108"/>
      <c r="P279" s="1108"/>
      <c r="Q279" s="1108"/>
      <c r="R279" s="1108"/>
      <c r="S279" s="1108"/>
      <c r="T279" s="1108"/>
      <c r="U279" s="1108"/>
      <c r="V279" s="1108"/>
      <c r="W279" s="1108"/>
      <c r="X279" s="1108"/>
      <c r="Y279" s="1108">
        <v>5998</v>
      </c>
      <c r="Z279" s="1108">
        <v>6480</v>
      </c>
      <c r="AA279" s="1108">
        <v>6207</v>
      </c>
      <c r="AB279" s="1108">
        <v>7107</v>
      </c>
      <c r="AC279" s="1108">
        <v>6436</v>
      </c>
      <c r="AD279" s="1108">
        <v>7179</v>
      </c>
      <c r="AE279" s="1108">
        <v>7707</v>
      </c>
      <c r="AF279" s="1108">
        <v>8547.9999999999909</v>
      </c>
      <c r="AG279" s="1108">
        <v>8238</v>
      </c>
      <c r="AH279" s="1108">
        <v>8953</v>
      </c>
      <c r="AI279" s="1108">
        <v>9006</v>
      </c>
      <c r="AJ279" s="1108">
        <v>9668</v>
      </c>
      <c r="AK279" s="1108">
        <v>9771</v>
      </c>
      <c r="AL279" s="1108">
        <v>10100</v>
      </c>
      <c r="AM279" s="1108">
        <v>10242</v>
      </c>
      <c r="AN279" s="1108">
        <v>11047</v>
      </c>
      <c r="AO279" s="1108">
        <v>11077</v>
      </c>
      <c r="AP279" s="1108">
        <v>11826</v>
      </c>
      <c r="AQ279" s="1108">
        <v>11743</v>
      </c>
      <c r="AR279" s="1108">
        <v>11752</v>
      </c>
      <c r="AS279" s="1108">
        <v>12319</v>
      </c>
      <c r="AT279" s="1108">
        <v>13353</v>
      </c>
      <c r="AU279" s="1108">
        <v>13552</v>
      </c>
      <c r="AV279" s="1108">
        <v>14691</v>
      </c>
      <c r="AW279" s="1108">
        <v>15039</v>
      </c>
      <c r="AX279" s="1108">
        <v>15936</v>
      </c>
      <c r="AY279" s="1108">
        <v>15789</v>
      </c>
      <c r="AZ279" s="1108">
        <v>16600</v>
      </c>
      <c r="BA279" s="1108">
        <v>16465</v>
      </c>
      <c r="BB279" s="1108">
        <v>17002</v>
      </c>
      <c r="BC279" s="1108">
        <v>17058.668286173848</v>
      </c>
      <c r="BD279" s="1108">
        <v>17955.397590109682</v>
      </c>
      <c r="BE279" s="1108">
        <v>18072.84483668577</v>
      </c>
      <c r="BF279" s="1108">
        <v>18718.790777922561</v>
      </c>
      <c r="BG279" s="1108">
        <v>18836.18589485835</v>
      </c>
      <c r="BH279" s="1108">
        <v>19767.281822606044</v>
      </c>
      <c r="BI279" s="1108">
        <v>19830.047037687658</v>
      </c>
      <c r="BJ279" s="1108">
        <v>20544.255789753184</v>
      </c>
      <c r="BK279" s="1108">
        <v>20711.564873614167</v>
      </c>
      <c r="BL279" s="1108">
        <v>21744.143220318576</v>
      </c>
      <c r="BM279" s="1108">
        <v>22633.520371878058</v>
      </c>
      <c r="BN279" s="1108">
        <v>23494.68843030047</v>
      </c>
      <c r="BO279" s="1108">
        <v>23565.420201466899</v>
      </c>
      <c r="BP279" s="1108">
        <v>25003.457228197116</v>
      </c>
      <c r="BQ279" s="1108">
        <v>25828.384195013561</v>
      </c>
      <c r="BR279" s="1108">
        <v>26631.896605825721</v>
      </c>
      <c r="BS279" s="1108">
        <v>26696.997572239441</v>
      </c>
      <c r="BT279" s="1108">
        <v>28572.68306283484</v>
      </c>
      <c r="BU279" s="1108">
        <v>28791.662319684849</v>
      </c>
      <c r="BV279" s="1108">
        <v>29769.686788010549</v>
      </c>
      <c r="BW279" s="1108">
        <v>30103.200706686199</v>
      </c>
      <c r="BX279" s="1108">
        <v>32265.401646607748</v>
      </c>
      <c r="BY279" s="1108">
        <v>31916.827711912501</v>
      </c>
      <c r="BZ279" s="1108">
        <v>32980.063386851398</v>
      </c>
      <c r="CA279" s="1108">
        <v>33409.084123021254</v>
      </c>
      <c r="CB279" s="1108">
        <v>35776.141684029149</v>
      </c>
      <c r="CC279" s="1108">
        <v>35204.937436257249</v>
      </c>
      <c r="CD279" s="1108">
        <v>36386.852133787201</v>
      </c>
      <c r="CE279" s="1108">
        <v>36835.410075527048</v>
      </c>
      <c r="CF279" s="1108">
        <v>39466.259024548999</v>
      </c>
    </row>
    <row r="280" spans="4:84" ht="14.45" hidden="1" outlineLevel="1">
      <c r="D280" s="1432"/>
      <c r="E280" s="1440"/>
      <c r="F280" s="1106" t="s">
        <v>1069</v>
      </c>
      <c r="G280" s="1106"/>
      <c r="H280" s="1106"/>
      <c r="I280" s="1106"/>
      <c r="W280" s="1109"/>
      <c r="X280" s="1109"/>
      <c r="Y280" s="1109">
        <v>-7.5808936825885977</v>
      </c>
      <c r="Z280" s="1109">
        <v>-5.0131926121372032</v>
      </c>
      <c r="AA280" s="1109">
        <v>-3.8717670744927983</v>
      </c>
      <c r="AB280" s="1109">
        <v>6.6796757730411285</v>
      </c>
      <c r="AC280" s="1109">
        <v>7.3024341447149048</v>
      </c>
      <c r="AD280" s="1109">
        <v>10.787037037037036</v>
      </c>
      <c r="AE280" s="1109">
        <v>24.166263895601737</v>
      </c>
      <c r="AF280" s="1109">
        <v>20.27578443787802</v>
      </c>
      <c r="AG280" s="1109">
        <v>27.998756991920448</v>
      </c>
      <c r="AH280" s="1109">
        <v>24.710962529600224</v>
      </c>
      <c r="AI280" s="1109">
        <v>16.854807318022576</v>
      </c>
      <c r="AJ280" s="1109">
        <v>13.102480112307093</v>
      </c>
      <c r="AK280" s="1109">
        <v>18.608885651857246</v>
      </c>
      <c r="AL280" s="1109">
        <v>12.811348151457613</v>
      </c>
      <c r="AM280" s="1109">
        <v>13.724183877415056</v>
      </c>
      <c r="AN280" s="1109">
        <v>14.263549855192387</v>
      </c>
      <c r="AO280" s="1109">
        <v>13.366083307747415</v>
      </c>
      <c r="AP280" s="1109">
        <v>17.089108910891092</v>
      </c>
      <c r="AQ280" s="1109">
        <v>14.655340753759031</v>
      </c>
      <c r="AR280" s="1109">
        <v>6.3818231193989314</v>
      </c>
      <c r="AS280" s="1109">
        <v>11.212422135957389</v>
      </c>
      <c r="AT280" s="1109">
        <v>12.91222729578894</v>
      </c>
      <c r="AU280" s="1109">
        <v>15.404922081239889</v>
      </c>
      <c r="AV280" s="1109">
        <v>25.008509189925121</v>
      </c>
      <c r="AW280" s="1109">
        <v>22.079714262521307</v>
      </c>
      <c r="AX280" s="1109">
        <v>19.343967647719616</v>
      </c>
      <c r="AY280" s="1109">
        <v>16.506788665879572</v>
      </c>
      <c r="AZ280" s="1109">
        <v>12.994350282485875</v>
      </c>
      <c r="BA280" s="1109">
        <v>9.4820134317441322</v>
      </c>
      <c r="BB280" s="1109">
        <v>6.6892570281124497</v>
      </c>
      <c r="BC280" s="1109">
        <v>8.0414737233127376</v>
      </c>
      <c r="BD280" s="1109">
        <v>8.1650457235523017</v>
      </c>
      <c r="BE280" s="1109">
        <v>9.7652282823308241</v>
      </c>
      <c r="BF280" s="1109">
        <v>10.097581331152576</v>
      </c>
      <c r="BG280" s="1109">
        <v>10.420025636615438</v>
      </c>
      <c r="BH280" s="1109">
        <v>10.09102819028857</v>
      </c>
      <c r="BI280" s="1109">
        <v>9.7228865564926021</v>
      </c>
      <c r="BJ280" s="1109">
        <v>9.7520455967894328</v>
      </c>
      <c r="BK280" s="1109">
        <v>9.9562564800750462</v>
      </c>
      <c r="BL280" s="1109">
        <v>10.000673918918759</v>
      </c>
      <c r="BM280" s="1109">
        <v>14.137502189794638</v>
      </c>
      <c r="BN280" s="1109">
        <v>14.361350787011068</v>
      </c>
      <c r="BO280" s="1109">
        <v>13.779042507253751</v>
      </c>
      <c r="BP280" s="1109">
        <v>14.989388061208638</v>
      </c>
      <c r="BQ280" s="1109">
        <v>14.11562925538129</v>
      </c>
      <c r="BR280" s="1109">
        <v>13.352840089078507</v>
      </c>
      <c r="BS280" s="1109">
        <v>13.288867094241791</v>
      </c>
      <c r="BT280" s="1109">
        <v>14.27492927103139</v>
      </c>
      <c r="BU280" s="1109">
        <v>11.472952013945106</v>
      </c>
      <c r="BV280" s="1109">
        <v>11.782075563850144</v>
      </c>
      <c r="BW280" s="1109">
        <v>12.758749837804451</v>
      </c>
      <c r="BX280" s="1109">
        <v>12.923947588863694</v>
      </c>
      <c r="BY280" s="1109">
        <v>10.854411105297586</v>
      </c>
      <c r="BZ280" s="1109">
        <v>10.784045602165342</v>
      </c>
      <c r="CA280" s="1109">
        <v>10.981833621435436</v>
      </c>
      <c r="CB280" s="1109">
        <v>10.880819262296416</v>
      </c>
      <c r="CC280" s="1109">
        <v>10.302119477611829</v>
      </c>
      <c r="CD280" s="1109">
        <v>10.32984293260647</v>
      </c>
      <c r="CE280" s="1109">
        <v>10.255671600841074</v>
      </c>
      <c r="CF280" s="1109">
        <v>10.314464240192668</v>
      </c>
    </row>
    <row r="281" spans="4:84" ht="14.45" hidden="1" outlineLevel="1" collapsed="1">
      <c r="D281" s="1432"/>
      <c r="E281" s="1440"/>
      <c r="F281" s="1106"/>
      <c r="G281" s="1106"/>
      <c r="H281" s="1106"/>
      <c r="I281" s="1106"/>
    </row>
    <row r="282" spans="4:84" ht="14.45" collapsed="1">
      <c r="D282" s="1431" t="s">
        <v>1144</v>
      </c>
      <c r="E282" s="1433" t="s">
        <v>1067</v>
      </c>
      <c r="F282" s="1107" t="s">
        <v>1068</v>
      </c>
      <c r="G282" s="1107"/>
      <c r="H282" s="1107"/>
      <c r="I282" s="1107"/>
      <c r="J282" s="1108"/>
      <c r="K282" s="1108"/>
      <c r="L282" s="1108"/>
      <c r="M282" s="1108"/>
      <c r="N282" s="1108"/>
      <c r="O282" s="1108"/>
      <c r="P282" s="1108"/>
      <c r="Q282" s="1108"/>
      <c r="R282" s="1108"/>
      <c r="S282" s="1108"/>
      <c r="T282" s="1108"/>
      <c r="U282" s="1108"/>
      <c r="V282" s="1108"/>
      <c r="W282" s="1108"/>
      <c r="X282" s="1108"/>
      <c r="Y282" s="1108">
        <v>897.51207756861118</v>
      </c>
      <c r="Z282" s="1108">
        <v>1144.4789081711547</v>
      </c>
      <c r="AA282" s="1108">
        <v>1085.5066079829826</v>
      </c>
      <c r="AB282" s="1108">
        <v>1342.9640880155011</v>
      </c>
      <c r="AC282" s="1108">
        <v>1299.3337755972545</v>
      </c>
      <c r="AD282" s="1108">
        <v>1551.6732290215355</v>
      </c>
      <c r="AE282" s="1108">
        <v>1825.4243220493208</v>
      </c>
      <c r="AF282" s="1108">
        <v>1938.8726360156063</v>
      </c>
      <c r="AG282" s="1108">
        <v>1948.5175430714964</v>
      </c>
      <c r="AH282" s="1108">
        <v>2021.25134314305</v>
      </c>
      <c r="AI282" s="1108">
        <v>2100.2557646018199</v>
      </c>
      <c r="AJ282" s="1108">
        <v>2224.8811328474317</v>
      </c>
      <c r="AK282" s="1108">
        <v>2376.7591995913281</v>
      </c>
      <c r="AL282" s="1108">
        <v>2385.4666149624882</v>
      </c>
      <c r="AM282" s="1108">
        <v>2332.5108374146166</v>
      </c>
      <c r="AN282" s="1108">
        <v>2440.1398808407926</v>
      </c>
      <c r="AO282" s="1108">
        <v>2520.0685732205047</v>
      </c>
      <c r="AP282" s="1108">
        <v>2537.1764013807528</v>
      </c>
      <c r="AQ282" s="1108">
        <v>2571.1262710170026</v>
      </c>
      <c r="AR282" s="1108">
        <v>3014.4884327501554</v>
      </c>
      <c r="AS282" s="1108">
        <v>2679.2416711792889</v>
      </c>
      <c r="AT282" s="1108">
        <v>2863.3287244222938</v>
      </c>
      <c r="AU282" s="1108">
        <v>2971.7606171142002</v>
      </c>
      <c r="AV282" s="1108">
        <v>3206.7124105167136</v>
      </c>
      <c r="AW282" s="1108">
        <v>3254.3917070879957</v>
      </c>
      <c r="AX282" s="1108">
        <v>3393.8216409217762</v>
      </c>
      <c r="AY282" s="1108">
        <v>3481.6585797298508</v>
      </c>
      <c r="AZ282" s="1108">
        <v>3712.3534923995371</v>
      </c>
      <c r="BA282" s="1108">
        <v>3351.2623898923316</v>
      </c>
      <c r="BB282" s="1108">
        <v>3420.6111063482881</v>
      </c>
      <c r="BC282" s="1108">
        <v>3449.3817837979632</v>
      </c>
      <c r="BD282" s="1108">
        <v>3749.8196761650479</v>
      </c>
      <c r="BE282" s="1108">
        <v>3551.1222962220631</v>
      </c>
      <c r="BF282" s="1108">
        <v>3680.5191700150372</v>
      </c>
      <c r="BG282" s="1108">
        <v>3763.6369805589929</v>
      </c>
      <c r="BH282" s="1108">
        <v>4102.5004818267098</v>
      </c>
      <c r="BI282" s="1108">
        <v>3843.7354839209202</v>
      </c>
      <c r="BJ282" s="1108">
        <v>3951.9554687493123</v>
      </c>
      <c r="BK282" s="1108">
        <v>4101.9216595708076</v>
      </c>
      <c r="BL282" s="1108">
        <v>4505.3906321827335</v>
      </c>
      <c r="BM282" s="1108">
        <v>4133.8507495142167</v>
      </c>
      <c r="BN282" s="1108">
        <v>4283.9783455757815</v>
      </c>
      <c r="BO282" s="1108">
        <v>4448.132664511917</v>
      </c>
      <c r="BP282" s="1108">
        <v>4938.5020455823869</v>
      </c>
      <c r="BQ282" s="1108">
        <v>5034.683744242895</v>
      </c>
      <c r="BR282" s="1108">
        <v>5128.9137876013428</v>
      </c>
      <c r="BS282" s="1108">
        <v>5394.7246876108129</v>
      </c>
      <c r="BT282" s="1108">
        <v>11042.442645297022</v>
      </c>
      <c r="BU282" s="1108">
        <v>5328.5422612183302</v>
      </c>
      <c r="BV282" s="1108">
        <v>5545.9350684922401</v>
      </c>
      <c r="BW282" s="1108">
        <v>5645.4065022162704</v>
      </c>
      <c r="BX282" s="1108">
        <v>5796.0359650466698</v>
      </c>
      <c r="BY282" s="1108">
        <v>5822.3391731125002</v>
      </c>
      <c r="BZ282" s="1108">
        <v>6040.7099743287199</v>
      </c>
      <c r="CA282" s="1108">
        <v>6167.0726353011796</v>
      </c>
      <c r="CB282" s="1108">
        <v>6310.44461036968</v>
      </c>
      <c r="CC282" s="1108">
        <v>6326.5748808744802</v>
      </c>
      <c r="CD282" s="1108">
        <v>6553.0136971034799</v>
      </c>
      <c r="CE282" s="1108">
        <v>6682.9352643307902</v>
      </c>
      <c r="CF282" s="1108">
        <v>6830.7916420106503</v>
      </c>
    </row>
    <row r="283" spans="4:84" ht="14.45" hidden="1" outlineLevel="1">
      <c r="D283" s="1432"/>
      <c r="E283" s="1440"/>
      <c r="F283" s="1107" t="s">
        <v>1069</v>
      </c>
      <c r="G283" s="1107"/>
      <c r="H283" s="1107"/>
      <c r="I283" s="1107"/>
      <c r="W283" s="1109"/>
      <c r="X283" s="1109"/>
      <c r="Y283" s="1109">
        <v>26.394939349005192</v>
      </c>
      <c r="Z283" s="1109">
        <v>24.693177429816309</v>
      </c>
      <c r="AA283" s="1109">
        <v>26.707708910413331</v>
      </c>
      <c r="AB283" s="1109">
        <v>39.673603134960523</v>
      </c>
      <c r="AC283" s="1109">
        <v>44.770617362296797</v>
      </c>
      <c r="AD283" s="1109">
        <v>35.579014863722207</v>
      </c>
      <c r="AE283" s="1109">
        <v>68.163354200229591</v>
      </c>
      <c r="AF283" s="1109">
        <v>44.372634630958721</v>
      </c>
      <c r="AG283" s="1109">
        <v>49.962817843000863</v>
      </c>
      <c r="AH283" s="1109">
        <v>30.262693545188263</v>
      </c>
      <c r="AI283" s="1109">
        <v>15.055756583979244</v>
      </c>
      <c r="AJ283" s="1109">
        <v>14.751278218025417</v>
      </c>
      <c r="AK283" s="1109">
        <v>21.977818883004961</v>
      </c>
      <c r="AL283" s="1109">
        <v>18.019296464787139</v>
      </c>
      <c r="AM283" s="1109">
        <v>11.058418537745526</v>
      </c>
      <c r="AN283" s="1109">
        <v>9.675067346985406</v>
      </c>
      <c r="AO283" s="1109">
        <v>6.0296126613843759</v>
      </c>
      <c r="AP283" s="1109">
        <v>6.3597530758421588</v>
      </c>
      <c r="AQ283" s="1109">
        <v>10.22998177649928</v>
      </c>
      <c r="AR283" s="1109">
        <v>23.537525713954608</v>
      </c>
      <c r="AS283" s="1109">
        <v>6.3162209016943525</v>
      </c>
      <c r="AT283" s="1109">
        <v>12.854932864110122</v>
      </c>
      <c r="AU283" s="1109">
        <v>15.582056416806306</v>
      </c>
      <c r="AV283" s="1109">
        <v>6.3766699410151606</v>
      </c>
      <c r="AW283" s="1109">
        <v>21.466896476552265</v>
      </c>
      <c r="AX283" s="1109">
        <v>18.527139827667352</v>
      </c>
      <c r="AY283" s="1109">
        <v>17.158110235366109</v>
      </c>
      <c r="AZ283" s="1109">
        <v>15.768207969773847</v>
      </c>
      <c r="BA283" s="1109">
        <v>2.9766141117356488</v>
      </c>
      <c r="BB283" s="1109">
        <v>0.78935985036726308</v>
      </c>
      <c r="BC283" s="1109">
        <v>-0.92705229972296754</v>
      </c>
      <c r="BD283" s="1109">
        <v>1.0092299626696899</v>
      </c>
      <c r="BE283" s="1109">
        <v>5.9637200277878746</v>
      </c>
      <c r="BF283" s="1109">
        <v>7.5982932752684889</v>
      </c>
      <c r="BG283" s="1109">
        <v>9.1104788178888416</v>
      </c>
      <c r="BH283" s="1109">
        <v>9.4052737496526682</v>
      </c>
      <c r="BI283" s="1109">
        <v>8.2400200074821353</v>
      </c>
      <c r="BJ283" s="1109">
        <v>7.3749459300647029</v>
      </c>
      <c r="BK283" s="1109">
        <v>8.9882387902770322</v>
      </c>
      <c r="BL283" s="1109">
        <v>9.8205997084156316</v>
      </c>
      <c r="BM283" s="1109">
        <v>7.5477427311765872</v>
      </c>
      <c r="BN283" s="1109">
        <v>8.4014832518228122</v>
      </c>
      <c r="BO283" s="1109">
        <v>8.4402149449469057</v>
      </c>
      <c r="BP283" s="1109">
        <v>9.6131822689439765</v>
      </c>
      <c r="BQ283" s="1109">
        <v>21.791618742755492</v>
      </c>
      <c r="BR283" s="1109">
        <v>19.723149228757343</v>
      </c>
      <c r="BS283" s="1109">
        <v>21.280660773699363</v>
      </c>
      <c r="BT283" s="1109">
        <v>123.59902949062787</v>
      </c>
      <c r="BU283" s="1109">
        <v>5.8366827372515511</v>
      </c>
      <c r="BV283" s="1109">
        <v>8.1307913948369777</v>
      </c>
      <c r="BW283" s="1109">
        <v>4.6467953254622545</v>
      </c>
      <c r="BX283" s="1109">
        <v>-47.511287572635005</v>
      </c>
      <c r="BY283" s="1109">
        <v>9.2670169004396197</v>
      </c>
      <c r="BZ283" s="1109">
        <v>8.9213973789093259</v>
      </c>
      <c r="CA283" s="1109">
        <v>9.2405415425818109</v>
      </c>
      <c r="CB283" s="1109">
        <v>8.8751803547317731</v>
      </c>
      <c r="CC283" s="1109">
        <v>8.660363004795995</v>
      </c>
      <c r="CD283" s="1109">
        <v>8.4808528294174614</v>
      </c>
      <c r="CE283" s="1109">
        <v>8.364789253117296</v>
      </c>
      <c r="CF283" s="1109">
        <v>8.2458061795821251</v>
      </c>
    </row>
    <row r="284" spans="4:84" ht="14.45" hidden="1" outlineLevel="1" collapsed="1">
      <c r="D284" s="1432"/>
      <c r="E284" s="1440"/>
      <c r="F284" s="1107"/>
      <c r="G284" s="1107"/>
      <c r="H284" s="1107"/>
      <c r="I284" s="1107"/>
    </row>
    <row r="285" spans="4:84" ht="14.45" collapsed="1">
      <c r="D285" s="1431" t="s">
        <v>1145</v>
      </c>
      <c r="E285" s="1433" t="s">
        <v>1067</v>
      </c>
      <c r="F285" s="1106" t="s">
        <v>1068</v>
      </c>
      <c r="G285" s="1106"/>
      <c r="H285" s="1106"/>
      <c r="I285" s="1106"/>
      <c r="J285" s="1108"/>
      <c r="K285" s="1108"/>
      <c r="L285" s="1108"/>
      <c r="M285" s="1108"/>
      <c r="N285" s="1108"/>
      <c r="O285" s="1108"/>
      <c r="P285" s="1108"/>
      <c r="Q285" s="1108"/>
      <c r="R285" s="1108"/>
      <c r="S285" s="1108"/>
      <c r="T285" s="1108"/>
      <c r="U285" s="1108"/>
      <c r="V285" s="1108"/>
      <c r="W285" s="1108"/>
      <c r="X285" s="1108"/>
      <c r="Y285" s="1108">
        <v>5110.2877814694921</v>
      </c>
      <c r="Z285" s="1108">
        <v>5312.0175906655322</v>
      </c>
      <c r="AA285" s="1108">
        <v>5140.2594831778451</v>
      </c>
      <c r="AB285" s="1108">
        <v>5736.5121263171732</v>
      </c>
      <c r="AC285" s="1108">
        <v>5053.1028182280052</v>
      </c>
      <c r="AD285" s="1108">
        <v>5626.7985602681092</v>
      </c>
      <c r="AE285" s="1108">
        <v>5882.9764099393187</v>
      </c>
      <c r="AF285" s="1108">
        <v>6608.6758518496572</v>
      </c>
      <c r="AG285" s="1108">
        <v>6289.4685779504734</v>
      </c>
      <c r="AH285" s="1108">
        <v>6931.7359110158923</v>
      </c>
      <c r="AI285" s="1108">
        <v>6909.3872250898921</v>
      </c>
      <c r="AJ285" s="1108">
        <v>7443.1620240430702</v>
      </c>
      <c r="AK285" s="1108">
        <v>7394.1272690421874</v>
      </c>
      <c r="AL285" s="1108">
        <v>7715.4680690680789</v>
      </c>
      <c r="AM285" s="1108">
        <v>7914.2132840257718</v>
      </c>
      <c r="AN285" s="1108">
        <v>8607.2174633387167</v>
      </c>
      <c r="AO285" s="1108">
        <v>8557.767908924885</v>
      </c>
      <c r="AP285" s="1108">
        <v>9290.186833659387</v>
      </c>
      <c r="AQ285" s="1108">
        <v>9175.619587857067</v>
      </c>
      <c r="AR285" s="1108">
        <v>8739.0368383353161</v>
      </c>
      <c r="AS285" s="1108">
        <v>9640.7039661185991</v>
      </c>
      <c r="AT285" s="1108">
        <v>10490.087656077136</v>
      </c>
      <c r="AU285" s="1108">
        <v>10582.113715690992</v>
      </c>
      <c r="AV285" s="1108">
        <v>11483.769222972391</v>
      </c>
      <c r="AW285" s="1108">
        <v>11785.627684895009</v>
      </c>
      <c r="AX285" s="1108">
        <v>12540.352311118064</v>
      </c>
      <c r="AY285" s="1108">
        <v>12309.4641074433</v>
      </c>
      <c r="AZ285" s="1108">
        <v>12887.096965745019</v>
      </c>
      <c r="BA285" s="1108">
        <v>13114.8504201378</v>
      </c>
      <c r="BB285" s="1108">
        <v>13583.705874207892</v>
      </c>
      <c r="BC285" s="1108">
        <v>13628.19000980495</v>
      </c>
      <c r="BD285" s="1108">
        <v>14251.77234683371</v>
      </c>
      <c r="BE285" s="1108">
        <v>14526.930769295181</v>
      </c>
      <c r="BF285" s="1108">
        <v>15113.857637755291</v>
      </c>
      <c r="BG285" s="1108">
        <v>15100.41499870911</v>
      </c>
      <c r="BH285" s="1108">
        <v>15794.871179318159</v>
      </c>
      <c r="BI285" s="1108">
        <v>16301.295314981444</v>
      </c>
      <c r="BJ285" s="1108">
        <v>17000.234692729933</v>
      </c>
      <c r="BK285" s="1108">
        <v>17064.265230953999</v>
      </c>
      <c r="BL285" s="1108">
        <v>17797.009960525764</v>
      </c>
      <c r="BM285" s="1108">
        <v>18337.255916196518</v>
      </c>
      <c r="BN285" s="1108">
        <v>19113.247608796351</v>
      </c>
      <c r="BO285" s="1108">
        <v>19001.861808871283</v>
      </c>
      <c r="BP285" s="1108">
        <v>19756.065127463418</v>
      </c>
      <c r="BQ285" s="1108">
        <v>20595.391276901573</v>
      </c>
      <c r="BR285" s="1108">
        <v>21354.438580038874</v>
      </c>
      <c r="BS285" s="1108">
        <v>21122.809926942125</v>
      </c>
      <c r="BT285" s="1108">
        <v>22765.789719173499</v>
      </c>
      <c r="BU285" s="1108">
        <v>22392.726458248198</v>
      </c>
      <c r="BV285" s="1108">
        <v>23375.5407800512</v>
      </c>
      <c r="BW285" s="1108">
        <v>23748.4056951415</v>
      </c>
      <c r="BX285" s="1108">
        <v>24524.379848594199</v>
      </c>
      <c r="BY285" s="1108">
        <v>24680.320044138301</v>
      </c>
      <c r="BZ285" s="1108">
        <v>25663.4345539803</v>
      </c>
      <c r="CA285" s="1108">
        <v>26196.560355656002</v>
      </c>
      <c r="CB285" s="1108">
        <v>26938.186196801998</v>
      </c>
      <c r="CC285" s="1108">
        <v>27048.250394104401</v>
      </c>
      <c r="CD285" s="1108">
        <v>28075.383344001199</v>
      </c>
      <c r="CE285" s="1108">
        <v>28637.725367037401</v>
      </c>
      <c r="CF285" s="1108">
        <v>29414.036074140298</v>
      </c>
    </row>
    <row r="286" spans="4:84" ht="14.45" hidden="1" outlineLevel="1">
      <c r="D286" s="1432"/>
      <c r="E286" s="1440"/>
      <c r="F286" s="1106" t="s">
        <v>1069</v>
      </c>
      <c r="G286" s="1106"/>
      <c r="H286" s="1106"/>
      <c r="I286" s="1106"/>
      <c r="W286" s="1109"/>
      <c r="X286" s="1109"/>
      <c r="Y286" s="1109">
        <v>-11.123942851810067</v>
      </c>
      <c r="Z286" s="1109">
        <v>-8.8737503772705626</v>
      </c>
      <c r="AA286" s="1109">
        <v>-7.8417757394052563</v>
      </c>
      <c r="AB286" s="1109">
        <v>1.1870755736848551</v>
      </c>
      <c r="AC286" s="1109">
        <v>-1.1190164954867385</v>
      </c>
      <c r="AD286" s="1109">
        <v>5.9258269429627157</v>
      </c>
      <c r="AE286" s="1109">
        <v>14.449016225583735</v>
      </c>
      <c r="AF286" s="1109">
        <v>15.203728438597603</v>
      </c>
      <c r="AG286" s="1109">
        <v>24.467457010028351</v>
      </c>
      <c r="AH286" s="1109">
        <v>23.191470900739063</v>
      </c>
      <c r="AI286" s="1109">
        <v>17.44713464117325</v>
      </c>
      <c r="AJ286" s="1109">
        <v>12.627131227201202</v>
      </c>
      <c r="AK286" s="1109">
        <v>17.563625247519486</v>
      </c>
      <c r="AL286" s="1109">
        <v>11.306434176274403</v>
      </c>
      <c r="AM286" s="1109">
        <v>14.542911349462063</v>
      </c>
      <c r="AN286" s="1109">
        <v>15.639259706230876</v>
      </c>
      <c r="AO286" s="1109">
        <v>15.737362876544484</v>
      </c>
      <c r="AP286" s="1109">
        <v>20.409892834687245</v>
      </c>
      <c r="AQ286" s="1109">
        <v>15.938492665813625</v>
      </c>
      <c r="AR286" s="1109">
        <v>1.5314981358152771</v>
      </c>
      <c r="AS286" s="1109">
        <v>12.654421909062544</v>
      </c>
      <c r="AT286" s="1109">
        <v>12.915787851223548</v>
      </c>
      <c r="AU286" s="1109">
        <v>15.32860113005629</v>
      </c>
      <c r="AV286" s="1109">
        <v>31.407721873843407</v>
      </c>
      <c r="AW286" s="1109">
        <v>22.248621328012504</v>
      </c>
      <c r="AX286" s="1109">
        <v>19.544780961417089</v>
      </c>
      <c r="AY286" s="1109">
        <v>16.323302112989207</v>
      </c>
      <c r="AZ286" s="1109">
        <v>12.22009703891802</v>
      </c>
      <c r="BA286" s="1109">
        <v>11.278336383783635</v>
      </c>
      <c r="BB286" s="1109">
        <v>8.319970102951638</v>
      </c>
      <c r="BC286" s="1109">
        <v>10.71310571159829</v>
      </c>
      <c r="BD286" s="1109">
        <v>10.589470884840182</v>
      </c>
      <c r="BE286" s="1109">
        <v>10.767033583464567</v>
      </c>
      <c r="BF286" s="1109">
        <v>11.26461201175432</v>
      </c>
      <c r="BG286" s="1109">
        <v>10.80279177091713</v>
      </c>
      <c r="BH286" s="1109">
        <v>10.82741707439129</v>
      </c>
      <c r="BI286" s="1109">
        <v>12.214311294417714</v>
      </c>
      <c r="BJ286" s="1109">
        <v>12.481109060220094</v>
      </c>
      <c r="BK286" s="1109">
        <v>13.005273248535046</v>
      </c>
      <c r="BL286" s="1109">
        <v>12.675879141257004</v>
      </c>
      <c r="BM286" s="1109">
        <v>12.489563325338676</v>
      </c>
      <c r="BN286" s="1109">
        <v>12.429316149206091</v>
      </c>
      <c r="BO286" s="1109">
        <v>11.354702658996118</v>
      </c>
      <c r="BP286" s="1109">
        <v>11.007776987723727</v>
      </c>
      <c r="BQ286" s="1109">
        <v>12.314467175595995</v>
      </c>
      <c r="BR286" s="1109">
        <v>11.725851185075816</v>
      </c>
      <c r="BS286" s="1109">
        <v>11.161791088706099</v>
      </c>
      <c r="BT286" s="1109">
        <v>15.234433437487432</v>
      </c>
      <c r="BU286" s="1109">
        <v>8.7268804810831497</v>
      </c>
      <c r="BV286" s="1109">
        <v>9.4645532002024062</v>
      </c>
      <c r="BW286" s="1109">
        <v>12.430144366590309</v>
      </c>
      <c r="BX286" s="1109">
        <v>7.7247051436111764</v>
      </c>
      <c r="BY286" s="1109">
        <v>10.215788551498536</v>
      </c>
      <c r="BZ286" s="1109">
        <v>9.7875544162024237</v>
      </c>
      <c r="CA286" s="1109">
        <v>10.30871163286279</v>
      </c>
      <c r="CB286" s="1109">
        <v>9.8424766012836216</v>
      </c>
      <c r="CC286" s="1109">
        <v>9.5944069839098187</v>
      </c>
      <c r="CD286" s="1109">
        <v>9.3983865836336964</v>
      </c>
      <c r="CE286" s="1109">
        <v>9.318647098088725</v>
      </c>
      <c r="CF286" s="1109">
        <v>9.1908559071145763</v>
      </c>
    </row>
    <row r="287" spans="4:84" ht="14.45" hidden="1" outlineLevel="1" collapsed="1">
      <c r="D287" s="1432"/>
      <c r="E287" s="1440"/>
      <c r="F287" s="1106"/>
      <c r="G287" s="1106"/>
      <c r="H287" s="1106"/>
      <c r="I287" s="1106"/>
    </row>
    <row r="288" spans="4:84" ht="14.45" collapsed="1">
      <c r="D288" s="1431" t="s">
        <v>1146</v>
      </c>
      <c r="E288" s="1433" t="s">
        <v>1067</v>
      </c>
      <c r="F288" s="1107" t="s">
        <v>1068</v>
      </c>
      <c r="G288" s="1107"/>
      <c r="H288" s="1107"/>
      <c r="I288" s="1107"/>
      <c r="J288" s="1108"/>
      <c r="K288" s="1108"/>
      <c r="L288" s="1108"/>
      <c r="M288" s="1108"/>
      <c r="N288" s="1108"/>
      <c r="O288" s="1108"/>
      <c r="P288" s="1108"/>
      <c r="Q288" s="1108"/>
      <c r="R288" s="1108"/>
      <c r="S288" s="1108"/>
      <c r="T288" s="1108"/>
      <c r="U288" s="1108"/>
      <c r="V288" s="1108"/>
      <c r="W288" s="1108"/>
      <c r="X288" s="1108"/>
      <c r="Y288" s="1108">
        <v>2844</v>
      </c>
      <c r="Z288" s="1108">
        <v>3086</v>
      </c>
      <c r="AA288" s="1108">
        <v>2672</v>
      </c>
      <c r="AB288" s="1108">
        <v>3154</v>
      </c>
      <c r="AC288" s="1108">
        <v>2905</v>
      </c>
      <c r="AD288" s="1108">
        <v>3053</v>
      </c>
      <c r="AE288" s="1108">
        <v>2540</v>
      </c>
      <c r="AF288" s="1108">
        <v>2891</v>
      </c>
      <c r="AG288" s="1108">
        <v>3006</v>
      </c>
      <c r="AH288" s="1108">
        <v>3337</v>
      </c>
      <c r="AI288" s="1108">
        <v>3115</v>
      </c>
      <c r="AJ288" s="1108">
        <v>3466</v>
      </c>
      <c r="AK288" s="1108">
        <v>3881</v>
      </c>
      <c r="AL288" s="1108">
        <v>4015</v>
      </c>
      <c r="AM288" s="1108">
        <v>3979</v>
      </c>
      <c r="AN288" s="1108">
        <v>4344</v>
      </c>
      <c r="AO288" s="1108">
        <v>4782</v>
      </c>
      <c r="AP288" s="1108">
        <v>5182</v>
      </c>
      <c r="AQ288" s="1108">
        <v>4788</v>
      </c>
      <c r="AR288" s="1108">
        <v>3972</v>
      </c>
      <c r="AS288" s="1108">
        <v>5706</v>
      </c>
      <c r="AT288" s="1108">
        <v>6181</v>
      </c>
      <c r="AU288" s="1108">
        <v>6029</v>
      </c>
      <c r="AV288" s="1108">
        <v>6435</v>
      </c>
      <c r="AW288" s="1108">
        <v>7581</v>
      </c>
      <c r="AX288" s="1108">
        <v>7688</v>
      </c>
      <c r="AY288" s="1108">
        <v>7184</v>
      </c>
      <c r="AZ288" s="1108">
        <v>7234</v>
      </c>
      <c r="BA288" s="1108">
        <v>8323</v>
      </c>
      <c r="BB288" s="1108">
        <v>8175</v>
      </c>
      <c r="BC288" s="1108">
        <v>9218.1191410673291</v>
      </c>
      <c r="BD288" s="1108">
        <v>9553.4047248404058</v>
      </c>
      <c r="BE288" s="1108">
        <v>10647.274830403087</v>
      </c>
      <c r="BF288" s="1108">
        <v>10820.320328562977</v>
      </c>
      <c r="BG288" s="1108">
        <v>10595.74133659554</v>
      </c>
      <c r="BH288" s="1108">
        <v>10972.879813527479</v>
      </c>
      <c r="BI288" s="1108">
        <v>10362.491580991904</v>
      </c>
      <c r="BJ288" s="1108">
        <v>10421.76938172757</v>
      </c>
      <c r="BK288" s="1108">
        <v>10405.654065523742</v>
      </c>
      <c r="BL288" s="1108">
        <v>10603.785462926922</v>
      </c>
      <c r="BM288" s="1108">
        <v>12144.363621599619</v>
      </c>
      <c r="BN288" s="1108">
        <v>12353.294588868361</v>
      </c>
      <c r="BO288" s="1108">
        <v>12164.76601156578</v>
      </c>
      <c r="BP288" s="1108">
        <v>12479.156192213581</v>
      </c>
      <c r="BQ288" s="1108">
        <v>14140.688156021</v>
      </c>
      <c r="BR288" s="1108">
        <v>14223.904314936766</v>
      </c>
      <c r="BS288" s="1108">
        <v>13842.090020473066</v>
      </c>
      <c r="BT288" s="1108">
        <v>7808.1213034935163</v>
      </c>
      <c r="BU288" s="1108">
        <v>16979.0819753377</v>
      </c>
      <c r="BV288" s="1108">
        <v>17201.030014423901</v>
      </c>
      <c r="BW288" s="1108">
        <v>17150.990649782299</v>
      </c>
      <c r="BX288" s="1108">
        <v>17585.360355360201</v>
      </c>
      <c r="BY288" s="1108">
        <v>19120.4383400476</v>
      </c>
      <c r="BZ288" s="1108">
        <v>19316.742350492699</v>
      </c>
      <c r="CA288" s="1108">
        <v>19417.2828646087</v>
      </c>
      <c r="CB288" s="1108">
        <v>19805.327273453098</v>
      </c>
      <c r="CC288" s="1108">
        <v>21337.906073331302</v>
      </c>
      <c r="CD288" s="1108">
        <v>21551.474798368599</v>
      </c>
      <c r="CE288" s="1108">
        <v>21671.290156988201</v>
      </c>
      <c r="CF288" s="1108">
        <v>22081.665849320001</v>
      </c>
    </row>
    <row r="289" spans="4:84" ht="14.45" hidden="1" outlineLevel="1">
      <c r="D289" s="1432"/>
      <c r="E289" s="1440"/>
      <c r="F289" s="1107" t="s">
        <v>1069</v>
      </c>
      <c r="G289" s="1107"/>
      <c r="H289" s="1107"/>
      <c r="I289" s="1107"/>
      <c r="W289" s="1109"/>
      <c r="X289" s="1109"/>
      <c r="Y289" s="1109">
        <v>-16.377536018817995</v>
      </c>
      <c r="Z289" s="1109">
        <v>-13.967103429049347</v>
      </c>
      <c r="AA289" s="1109">
        <v>-16.604244694132333</v>
      </c>
      <c r="AB289" s="1109">
        <v>-0.41048310704136409</v>
      </c>
      <c r="AC289" s="1109">
        <v>2.1448663853727146</v>
      </c>
      <c r="AD289" s="1109">
        <v>-1.069345430978613</v>
      </c>
      <c r="AE289" s="1109">
        <v>-4.9401197604790417</v>
      </c>
      <c r="AF289" s="1109">
        <v>-8.33861762840837</v>
      </c>
      <c r="AG289" s="1109">
        <v>3.4767641996557659</v>
      </c>
      <c r="AH289" s="1109">
        <v>9.3023255813953494</v>
      </c>
      <c r="AI289" s="1109">
        <v>22.637795275590548</v>
      </c>
      <c r="AJ289" s="1109">
        <v>19.889311656866138</v>
      </c>
      <c r="AK289" s="1109">
        <v>29.108449767132399</v>
      </c>
      <c r="AL289" s="1109">
        <v>20.317650584357207</v>
      </c>
      <c r="AM289" s="1109">
        <v>27.736757624398074</v>
      </c>
      <c r="AN289" s="1109">
        <v>25.331794575879979</v>
      </c>
      <c r="AO289" s="1109">
        <v>23.215666065447049</v>
      </c>
      <c r="AP289" s="1109">
        <v>29.066002490660026</v>
      </c>
      <c r="AQ289" s="1109">
        <v>20.331741643629051</v>
      </c>
      <c r="AR289" s="1109">
        <v>-8.5635359116022105</v>
      </c>
      <c r="AS289" s="1109">
        <v>19.322459222082809</v>
      </c>
      <c r="AT289" s="1109">
        <v>19.27827093786183</v>
      </c>
      <c r="AU289" s="1109">
        <v>25.918964076858813</v>
      </c>
      <c r="AV289" s="1109">
        <v>62.009063444108762</v>
      </c>
      <c r="AW289" s="1109">
        <v>32.86014721345952</v>
      </c>
      <c r="AX289" s="1109">
        <v>24.381168095777383</v>
      </c>
      <c r="AY289" s="1109">
        <v>19.157405871620501</v>
      </c>
      <c r="AZ289" s="1109">
        <v>12.416472416472416</v>
      </c>
      <c r="BA289" s="1109">
        <v>9.7876269621421965</v>
      </c>
      <c r="BB289" s="1109">
        <v>6.3345473465140483</v>
      </c>
      <c r="BC289" s="1109">
        <v>28.314576017084203</v>
      </c>
      <c r="BD289" s="1109">
        <v>32.062548034841107</v>
      </c>
      <c r="BE289" s="1109">
        <v>27.925926113217425</v>
      </c>
      <c r="BF289" s="1109">
        <v>32.358658453369749</v>
      </c>
      <c r="BG289" s="1109">
        <v>14.9447210916467</v>
      </c>
      <c r="BH289" s="1109">
        <v>14.858316271226396</v>
      </c>
      <c r="BI289" s="1109">
        <v>-2.6747055368383053</v>
      </c>
      <c r="BJ289" s="1109">
        <v>-3.6833562661109993</v>
      </c>
      <c r="BK289" s="1109">
        <v>-1.7939968996343352</v>
      </c>
      <c r="BL289" s="1109">
        <v>-3.3636962845937091</v>
      </c>
      <c r="BM289" s="1109">
        <v>17.195401575777723</v>
      </c>
      <c r="BN289" s="1109">
        <v>18.533563125349161</v>
      </c>
      <c r="BO289" s="1109">
        <v>16.905347179187601</v>
      </c>
      <c r="BP289" s="1109">
        <v>17.685860731937204</v>
      </c>
      <c r="BQ289" s="1109">
        <v>16.438280313599758</v>
      </c>
      <c r="BR289" s="1109">
        <v>15.142597892500879</v>
      </c>
      <c r="BS289" s="1109">
        <v>13.788378726829208</v>
      </c>
      <c r="BT289" s="1109">
        <v>-37.430694966656283</v>
      </c>
      <c r="BU289" s="1109">
        <v>20.072529625145101</v>
      </c>
      <c r="BV289" s="1109">
        <v>20.930439586554332</v>
      </c>
      <c r="BW289" s="1109">
        <v>23.904631630160058</v>
      </c>
      <c r="BX289" s="1109">
        <v>125.21884166287404</v>
      </c>
      <c r="BY289" s="1109">
        <v>12.611732294008846</v>
      </c>
      <c r="BZ289" s="1109">
        <v>12.299916541594721</v>
      </c>
      <c r="CA289" s="1109">
        <v>13.213768586919306</v>
      </c>
      <c r="CB289" s="1109">
        <v>12.623948973648577</v>
      </c>
      <c r="CC289" s="1109">
        <v>11.597368710105531</v>
      </c>
      <c r="CD289" s="1109">
        <v>11.568888828808655</v>
      </c>
      <c r="CE289" s="1109">
        <v>11.608252854408446</v>
      </c>
      <c r="CF289" s="1109">
        <v>11.493567081408894</v>
      </c>
    </row>
    <row r="290" spans="4:84" ht="14.45" hidden="1" outlineLevel="1" collapsed="1">
      <c r="D290" s="1432"/>
      <c r="E290" s="1440"/>
      <c r="F290" s="1107"/>
      <c r="G290" s="1107"/>
      <c r="H290" s="1107"/>
      <c r="I290" s="1107"/>
    </row>
    <row r="291" spans="4:84" ht="14.45" collapsed="1">
      <c r="D291" s="1105" t="s">
        <v>366</v>
      </c>
      <c r="F291" s="1106" t="s">
        <v>1065</v>
      </c>
      <c r="G291" s="1106"/>
      <c r="H291" s="1106"/>
      <c r="I291" s="1106"/>
    </row>
    <row r="292" spans="4:84" ht="14.45">
      <c r="D292" s="1105" t="s">
        <v>1147</v>
      </c>
      <c r="F292" s="1106" t="s">
        <v>1065</v>
      </c>
      <c r="G292" s="1106"/>
      <c r="H292" s="1106"/>
      <c r="I292" s="1106"/>
    </row>
    <row r="293" spans="4:84" ht="14.45">
      <c r="D293" s="1105" t="s">
        <v>1148</v>
      </c>
      <c r="F293" s="1106" t="s">
        <v>1065</v>
      </c>
      <c r="G293" s="1106"/>
      <c r="H293" s="1106"/>
      <c r="I293" s="1106"/>
    </row>
    <row r="294" spans="4:84" ht="14.45">
      <c r="D294" s="1435" t="s">
        <v>1149</v>
      </c>
      <c r="E294" s="1433" t="s">
        <v>1122</v>
      </c>
      <c r="F294" s="1107" t="s">
        <v>1068</v>
      </c>
      <c r="G294" s="1107"/>
      <c r="H294" s="1107"/>
      <c r="I294" s="1107"/>
      <c r="J294" s="1108"/>
      <c r="K294" s="1108"/>
      <c r="L294" s="1108"/>
      <c r="M294" s="1108"/>
      <c r="N294" s="1108"/>
      <c r="O294" s="1108"/>
      <c r="P294" s="1108"/>
      <c r="Q294" s="1108"/>
      <c r="R294" s="1108"/>
      <c r="S294" s="1108"/>
      <c r="T294" s="1108"/>
      <c r="U294" s="1108"/>
      <c r="V294" s="1108"/>
      <c r="W294" s="1108"/>
      <c r="X294" s="1108"/>
      <c r="Y294" s="1108">
        <v>3</v>
      </c>
      <c r="Z294" s="1108">
        <v>2.4</v>
      </c>
      <c r="AA294" s="1108">
        <v>1.6</v>
      </c>
      <c r="AB294" s="1108">
        <v>0.90000000000000202</v>
      </c>
      <c r="AC294" s="1108">
        <v>0.89999999999999913</v>
      </c>
      <c r="AD294" s="1108">
        <v>0.89999999999999913</v>
      </c>
      <c r="AE294" s="1108">
        <v>1.3</v>
      </c>
      <c r="AF294" s="1108">
        <v>0.80000000000000104</v>
      </c>
      <c r="AG294" s="1108">
        <v>1</v>
      </c>
      <c r="AH294" s="1108">
        <v>1.2</v>
      </c>
      <c r="AI294" s="1108">
        <v>1.4</v>
      </c>
      <c r="AJ294" s="1108">
        <v>0.79999999999999705</v>
      </c>
      <c r="AK294" s="1108">
        <v>1.1000000000000001</v>
      </c>
      <c r="AL294" s="1108">
        <v>0.79999999999999705</v>
      </c>
      <c r="AM294" s="1108">
        <v>0.90000000000000602</v>
      </c>
      <c r="AN294" s="1108">
        <v>0.59999999999999398</v>
      </c>
      <c r="AO294" s="1108">
        <v>0.80000000000000415</v>
      </c>
      <c r="AP294" s="1108">
        <v>1.6</v>
      </c>
      <c r="AQ294" s="1108">
        <v>2.4</v>
      </c>
      <c r="AR294" s="1108">
        <v>3.1</v>
      </c>
      <c r="AS294" s="1108">
        <v>2.5999999999999899</v>
      </c>
      <c r="AT294" s="1108">
        <v>2.2000000000000002</v>
      </c>
      <c r="AU294" s="1108">
        <v>2.7</v>
      </c>
      <c r="AV294" s="1108">
        <v>1.7</v>
      </c>
      <c r="AW294" s="1108">
        <v>2.2000000000000002</v>
      </c>
      <c r="AX294" s="1108">
        <v>2.2999999999999998</v>
      </c>
      <c r="AY294" s="1108">
        <v>2</v>
      </c>
      <c r="AZ294" s="1108">
        <v>1.3</v>
      </c>
      <c r="BA294" s="1108">
        <v>1.5999999999999901</v>
      </c>
      <c r="BB294" s="1108">
        <v>1.9000000000000099</v>
      </c>
      <c r="BC294" s="1108">
        <v>1.2912983374130058</v>
      </c>
      <c r="BD294" s="1108">
        <v>1.1125008537534624</v>
      </c>
      <c r="BE294" s="1108">
        <v>1.0205568812337988</v>
      </c>
      <c r="BF294" s="1108">
        <v>1.4526970923842493</v>
      </c>
      <c r="BG294" s="1108">
        <v>1.3754726948688651</v>
      </c>
      <c r="BH294" s="1108">
        <v>0.95812546201972115</v>
      </c>
      <c r="BI294" s="1108">
        <v>0.92000536218561901</v>
      </c>
      <c r="BJ294" s="1108">
        <v>1.444224129444317</v>
      </c>
      <c r="BK294" s="1108">
        <v>1.3087955613757121</v>
      </c>
      <c r="BL294" s="1108">
        <v>1.0553575415073777</v>
      </c>
      <c r="BM294" s="1108">
        <v>1.127717091501891</v>
      </c>
      <c r="BN294" s="1108">
        <v>1.598631395993338</v>
      </c>
      <c r="BO294" s="1108">
        <v>1.0430420621418945</v>
      </c>
      <c r="BP294" s="1108">
        <v>1.1296572774837339</v>
      </c>
      <c r="BQ294" s="1108">
        <v>0.92074023835634866</v>
      </c>
      <c r="BR294" s="1108">
        <v>1.7590011727961199</v>
      </c>
      <c r="BS294" s="1108">
        <v>0.83044354926469999</v>
      </c>
      <c r="BT294" s="1108">
        <v>0.97811120341813229</v>
      </c>
    </row>
    <row r="295" spans="4:84" ht="14.45" hidden="1" outlineLevel="1">
      <c r="D295" s="1432"/>
      <c r="E295" s="1440"/>
      <c r="F295" s="1107" t="s">
        <v>1069</v>
      </c>
      <c r="G295" s="1107"/>
      <c r="H295" s="1107"/>
      <c r="I295" s="1107"/>
      <c r="W295" s="1109"/>
      <c r="X295" s="1109"/>
      <c r="Y295" s="1109">
        <v>100</v>
      </c>
      <c r="Z295" s="1109">
        <v>14.285714285714276</v>
      </c>
      <c r="AA295" s="1109">
        <v>-50</v>
      </c>
      <c r="AB295" s="1109">
        <v>-67.857142857142776</v>
      </c>
      <c r="AC295" s="1109">
        <v>-70.000000000000028</v>
      </c>
      <c r="AD295" s="1109">
        <v>-62.500000000000043</v>
      </c>
      <c r="AE295" s="1109">
        <v>-18.750000000000004</v>
      </c>
      <c r="AF295" s="1109">
        <v>-11.111111111111196</v>
      </c>
      <c r="AG295" s="1109">
        <v>11.111111111111217</v>
      </c>
      <c r="AH295" s="1109">
        <v>33.333333333333456</v>
      </c>
      <c r="AI295" s="1109">
        <v>7.6923076923076819</v>
      </c>
      <c r="AJ295" s="1109">
        <v>-4.9960036108131984E-13</v>
      </c>
      <c r="AK295" s="1109">
        <v>10.000000000000009</v>
      </c>
      <c r="AL295" s="1109">
        <v>-33.333333333333577</v>
      </c>
      <c r="AM295" s="1109">
        <v>-35.714285714285282</v>
      </c>
      <c r="AN295" s="1109">
        <v>-25.000000000000476</v>
      </c>
      <c r="AO295" s="1109">
        <v>-27.2727272727269</v>
      </c>
      <c r="AP295" s="1109">
        <v>100.00000000000075</v>
      </c>
      <c r="AQ295" s="1109">
        <v>166.66666666666487</v>
      </c>
      <c r="AR295" s="1109">
        <v>416.66666666667186</v>
      </c>
      <c r="AS295" s="1109">
        <v>224.99999999999702</v>
      </c>
      <c r="AT295" s="1109">
        <v>37.500000000000007</v>
      </c>
      <c r="AU295" s="1109">
        <v>12.500000000000011</v>
      </c>
      <c r="AV295" s="1109">
        <v>-45.161290322580648</v>
      </c>
      <c r="AW295" s="1109">
        <v>-15.384615384615049</v>
      </c>
      <c r="AX295" s="1109">
        <v>4.545454545454529</v>
      </c>
      <c r="AY295" s="1109">
        <v>-25.925925925925931</v>
      </c>
      <c r="AZ295" s="1109">
        <v>-23.529411764705877</v>
      </c>
      <c r="BA295" s="1109">
        <v>-27.272727272727732</v>
      </c>
      <c r="BB295" s="1109">
        <v>-17.391304347825649</v>
      </c>
      <c r="BC295" s="1109">
        <v>-35.435083129349707</v>
      </c>
      <c r="BD295" s="1109">
        <v>-14.423011249733664</v>
      </c>
      <c r="BE295" s="1109">
        <v>-36.215194922887179</v>
      </c>
      <c r="BF295" s="1109">
        <v>-23.542258295566228</v>
      </c>
      <c r="BG295" s="1109">
        <v>6.5185832752247403</v>
      </c>
      <c r="BH295" s="1109">
        <v>-13.876429057370581</v>
      </c>
      <c r="BI295" s="1109">
        <v>-9.8526129113566316</v>
      </c>
      <c r="BJ295" s="1109">
        <v>-0.58325737583916837</v>
      </c>
      <c r="BK295" s="1109">
        <v>-4.8475795805971948</v>
      </c>
      <c r="BL295" s="1109">
        <v>10.148157349110845</v>
      </c>
      <c r="BM295" s="1109">
        <v>22.577230291660452</v>
      </c>
      <c r="BN295" s="1109">
        <v>10.691364546611691</v>
      </c>
      <c r="BO295" s="1109">
        <v>-20.305195637619409</v>
      </c>
      <c r="BP295" s="1109">
        <v>7.0402430507326583</v>
      </c>
      <c r="BQ295" s="1109">
        <v>-18.353614989544148</v>
      </c>
      <c r="BR295" s="1109">
        <v>10.031691933782724</v>
      </c>
      <c r="BS295" s="1109">
        <v>-20.382544539059332</v>
      </c>
      <c r="BT295" s="1109">
        <v>-13.415225757954163</v>
      </c>
    </row>
    <row r="296" spans="4:84" ht="14.45" hidden="1" outlineLevel="1" collapsed="1">
      <c r="D296" s="1432"/>
      <c r="E296" s="1440"/>
      <c r="F296" s="1107"/>
      <c r="G296" s="1107"/>
      <c r="H296" s="1107"/>
      <c r="I296" s="1107"/>
    </row>
    <row r="297" spans="4:84" ht="14.45" collapsed="1">
      <c r="D297" s="1434" t="s">
        <v>1150</v>
      </c>
      <c r="E297" s="1433" t="s">
        <v>1122</v>
      </c>
      <c r="F297" s="1106" t="s">
        <v>1068</v>
      </c>
      <c r="G297" s="1106"/>
      <c r="H297" s="1106"/>
      <c r="I297" s="1106"/>
      <c r="J297" s="1108"/>
      <c r="K297" s="1108"/>
      <c r="L297" s="1108"/>
      <c r="M297" s="1108"/>
      <c r="N297" s="1108"/>
      <c r="O297" s="1108"/>
      <c r="P297" s="1108"/>
      <c r="Q297" s="1108"/>
      <c r="R297" s="1108"/>
      <c r="S297" s="1108"/>
      <c r="T297" s="1108"/>
      <c r="U297" s="1108"/>
      <c r="V297" s="1108"/>
      <c r="W297" s="1108"/>
      <c r="X297" s="1108"/>
      <c r="Y297" s="1108">
        <v>18.2</v>
      </c>
      <c r="Z297" s="1108">
        <v>20.6</v>
      </c>
      <c r="AA297" s="1108">
        <v>22.2</v>
      </c>
      <c r="AB297" s="1108">
        <v>23.1</v>
      </c>
      <c r="AC297" s="1108">
        <v>24</v>
      </c>
      <c r="AD297" s="1108">
        <v>24.9</v>
      </c>
      <c r="AE297" s="1108">
        <v>26.2</v>
      </c>
      <c r="AF297" s="1108">
        <v>27</v>
      </c>
      <c r="AG297" s="1108">
        <v>28</v>
      </c>
      <c r="AH297" s="1108">
        <v>29.2</v>
      </c>
      <c r="AI297" s="1108">
        <v>30.6</v>
      </c>
      <c r="AJ297" s="1108">
        <v>31.4</v>
      </c>
      <c r="AK297" s="1108">
        <v>32.5</v>
      </c>
      <c r="AL297" s="1108">
        <v>33.299999999999997</v>
      </c>
      <c r="AM297" s="1108">
        <v>34.200000000000003</v>
      </c>
      <c r="AN297" s="1108">
        <v>34.799999999999997</v>
      </c>
      <c r="AO297" s="1108">
        <v>35.6</v>
      </c>
      <c r="AP297" s="1108">
        <v>37.200000000000003</v>
      </c>
      <c r="AQ297" s="1108">
        <v>39.6</v>
      </c>
      <c r="AR297" s="1108">
        <v>42.7</v>
      </c>
      <c r="AS297" s="1108">
        <v>45.3</v>
      </c>
      <c r="AT297" s="1108">
        <v>47.5</v>
      </c>
      <c r="AU297" s="1108">
        <v>50.2</v>
      </c>
      <c r="AV297" s="1108">
        <v>51.9</v>
      </c>
      <c r="AW297" s="1108">
        <v>54.1</v>
      </c>
      <c r="AX297" s="1108">
        <v>56.4</v>
      </c>
      <c r="AY297" s="1108">
        <v>58.4</v>
      </c>
      <c r="AZ297" s="1108">
        <v>59.7</v>
      </c>
      <c r="BA297" s="1108">
        <v>61.3</v>
      </c>
      <c r="BB297" s="1108">
        <v>63.2</v>
      </c>
      <c r="BC297" s="1108">
        <v>64.266298337413005</v>
      </c>
      <c r="BD297" s="1108">
        <v>65.378799191166465</v>
      </c>
      <c r="BE297" s="1108">
        <v>66.399356072400266</v>
      </c>
      <c r="BF297" s="1108">
        <v>67.852053164784522</v>
      </c>
      <c r="BG297" s="1108">
        <v>69.227525859653383</v>
      </c>
      <c r="BH297" s="1108">
        <v>70.185651321673106</v>
      </c>
      <c r="BI297" s="1108">
        <v>71.572379948193344</v>
      </c>
      <c r="BJ297" s="1108">
        <v>73.016604077637666</v>
      </c>
      <c r="BK297" s="1108">
        <v>74.325399639013369</v>
      </c>
      <c r="BL297" s="1108">
        <v>75.38075718052076</v>
      </c>
      <c r="BM297" s="1108">
        <v>77.806586062824479</v>
      </c>
      <c r="BN297" s="1108">
        <v>79.405217458817816</v>
      </c>
      <c r="BO297" s="1108">
        <v>80.448259520959695</v>
      </c>
      <c r="BP297" s="1108">
        <v>81.577916798443439</v>
      </c>
      <c r="BQ297" s="1108">
        <v>82.08601935567107</v>
      </c>
      <c r="BR297" s="1108">
        <v>83.845020528467202</v>
      </c>
      <c r="BS297" s="1108">
        <v>84.675464077732002</v>
      </c>
      <c r="BT297" s="1108">
        <v>85.65357528115004</v>
      </c>
    </row>
    <row r="298" spans="4:84" ht="14.45" hidden="1" outlineLevel="1">
      <c r="D298" s="1432"/>
      <c r="E298" s="1440"/>
      <c r="F298" s="1106" t="s">
        <v>1069</v>
      </c>
      <c r="G298" s="1106"/>
      <c r="H298" s="1106"/>
      <c r="I298" s="1106"/>
      <c r="W298" s="1109"/>
      <c r="X298" s="1109"/>
      <c r="Y298" s="1109">
        <v>156.33802816901411</v>
      </c>
      <c r="Z298" s="1109">
        <v>123.9130434782609</v>
      </c>
      <c r="AA298" s="1109">
        <v>79.032258064516114</v>
      </c>
      <c r="AB298" s="1109">
        <v>51.973684210526329</v>
      </c>
      <c r="AC298" s="1109">
        <v>31.868131868131872</v>
      </c>
      <c r="AD298" s="1109">
        <v>20.873786407766975</v>
      </c>
      <c r="AE298" s="1109">
        <v>18.018018018018019</v>
      </c>
      <c r="AF298" s="1109">
        <v>16.883116883116873</v>
      </c>
      <c r="AG298" s="1109">
        <v>16.666666666666664</v>
      </c>
      <c r="AH298" s="1109">
        <v>17.269076305220889</v>
      </c>
      <c r="AI298" s="1109">
        <v>16.793893129771</v>
      </c>
      <c r="AJ298" s="1109">
        <v>16.296296296296291</v>
      </c>
      <c r="AK298" s="1109">
        <v>16.071428571428573</v>
      </c>
      <c r="AL298" s="1109">
        <v>14.041095890410951</v>
      </c>
      <c r="AM298" s="1109">
        <v>11.764705882352946</v>
      </c>
      <c r="AN298" s="1109">
        <v>10.828025477707003</v>
      </c>
      <c r="AO298" s="1109">
        <v>9.5384615384615437</v>
      </c>
      <c r="AP298" s="1109">
        <v>11.711711711711729</v>
      </c>
      <c r="AQ298" s="1109">
        <v>15.78947368421052</v>
      </c>
      <c r="AR298" s="1109">
        <v>22.701149425287376</v>
      </c>
      <c r="AS298" s="1109">
        <v>27.247191011235945</v>
      </c>
      <c r="AT298" s="1109">
        <v>27.688172043010745</v>
      </c>
      <c r="AU298" s="1109">
        <v>26.767676767676768</v>
      </c>
      <c r="AV298" s="1109">
        <v>21.54566744730678</v>
      </c>
      <c r="AW298" s="1109">
        <v>19.426048565121423</v>
      </c>
      <c r="AX298" s="1109">
        <v>18.736842105263154</v>
      </c>
      <c r="AY298" s="1109">
        <v>16.334661354581666</v>
      </c>
      <c r="AZ298" s="1109">
        <v>15.028901734104055</v>
      </c>
      <c r="BA298" s="1109">
        <v>13.308687615526793</v>
      </c>
      <c r="BB298" s="1109">
        <v>12.05673758865249</v>
      </c>
      <c r="BC298" s="1109">
        <v>10.045031399679806</v>
      </c>
      <c r="BD298" s="1109">
        <v>9.5122264508650947</v>
      </c>
      <c r="BE298" s="1109">
        <v>8.3186885357263769</v>
      </c>
      <c r="BF298" s="1109">
        <v>7.3608436151653773</v>
      </c>
      <c r="BG298" s="1109">
        <v>7.7197966128261823</v>
      </c>
      <c r="BH298" s="1109">
        <v>7.3523102136695568</v>
      </c>
      <c r="BI298" s="1109">
        <v>7.7907741607501979</v>
      </c>
      <c r="BJ298" s="1109">
        <v>7.611488041947073</v>
      </c>
      <c r="BK298" s="1109">
        <v>7.3639404500675463</v>
      </c>
      <c r="BL298" s="1109">
        <v>7.4019486334002602</v>
      </c>
      <c r="BM298" s="1109">
        <v>8.7103518412321588</v>
      </c>
      <c r="BN298" s="1109">
        <v>8.7495350706631267</v>
      </c>
      <c r="BO298" s="1109">
        <v>8.2379104743251723</v>
      </c>
      <c r="BP298" s="1109">
        <v>8.2211427023501642</v>
      </c>
      <c r="BQ298" s="1109">
        <v>5.5000913282471826</v>
      </c>
      <c r="BR298" s="1109">
        <v>5.5913241116076735</v>
      </c>
      <c r="BS298" s="1109">
        <v>5.2545630967578196</v>
      </c>
      <c r="BT298" s="1109">
        <v>4.9960315765067032</v>
      </c>
    </row>
    <row r="299" spans="4:84" ht="14.45" hidden="1" outlineLevel="1" collapsed="1">
      <c r="D299" s="1432"/>
      <c r="E299" s="1440"/>
      <c r="F299" s="1106"/>
      <c r="G299" s="1106"/>
      <c r="H299" s="1106"/>
      <c r="I299" s="1106"/>
    </row>
    <row r="300" spans="4:84" ht="14.45" collapsed="1">
      <c r="D300" s="1434" t="s">
        <v>1151</v>
      </c>
      <c r="E300" s="1433" t="s">
        <v>1122</v>
      </c>
      <c r="F300" s="1107" t="s">
        <v>1068</v>
      </c>
      <c r="G300" s="1107"/>
      <c r="H300" s="1107"/>
      <c r="I300" s="1107"/>
      <c r="J300" s="1108"/>
      <c r="K300" s="1108"/>
      <c r="L300" s="1108"/>
      <c r="M300" s="1108"/>
      <c r="N300" s="1108"/>
      <c r="O300" s="1108"/>
      <c r="P300" s="1108"/>
      <c r="Q300" s="1108"/>
      <c r="R300" s="1108"/>
      <c r="S300" s="1108"/>
      <c r="T300" s="1108"/>
      <c r="U300" s="1108"/>
      <c r="V300" s="1108"/>
      <c r="W300" s="1108"/>
      <c r="X300" s="1108"/>
      <c r="Y300" s="1108">
        <v>16.7</v>
      </c>
      <c r="Z300" s="1108">
        <v>19.399999999999999</v>
      </c>
      <c r="AA300" s="1108">
        <v>21.4</v>
      </c>
      <c r="AB300" s="1108">
        <v>22.65</v>
      </c>
      <c r="AC300" s="1108">
        <v>23.55</v>
      </c>
      <c r="AD300" s="1108">
        <v>24.45</v>
      </c>
      <c r="AE300" s="1108">
        <v>25.55</v>
      </c>
      <c r="AF300" s="1108">
        <v>26.6</v>
      </c>
      <c r="AG300" s="1108">
        <v>27.5</v>
      </c>
      <c r="AH300" s="1108">
        <v>28.6</v>
      </c>
      <c r="AI300" s="1108">
        <v>29.9</v>
      </c>
      <c r="AJ300" s="1108">
        <v>31</v>
      </c>
      <c r="AK300" s="1108">
        <v>31.95</v>
      </c>
      <c r="AL300" s="1108">
        <v>32.9</v>
      </c>
      <c r="AM300" s="1108">
        <v>33.75</v>
      </c>
      <c r="AN300" s="1108">
        <v>34.5</v>
      </c>
      <c r="AO300" s="1108">
        <v>35.200000000000003</v>
      </c>
      <c r="AP300" s="1108">
        <v>36.4</v>
      </c>
      <c r="AQ300" s="1108">
        <v>38.4</v>
      </c>
      <c r="AR300" s="1108">
        <v>41.15</v>
      </c>
      <c r="AS300" s="1108">
        <v>44</v>
      </c>
      <c r="AT300" s="1108">
        <v>46.4</v>
      </c>
      <c r="AU300" s="1108">
        <v>48.85</v>
      </c>
      <c r="AV300" s="1108">
        <v>51.05</v>
      </c>
      <c r="AW300" s="1108">
        <v>53</v>
      </c>
      <c r="AX300" s="1108">
        <v>55.25</v>
      </c>
      <c r="AY300" s="1108">
        <v>57.4</v>
      </c>
      <c r="AZ300" s="1108">
        <v>59.05</v>
      </c>
      <c r="BA300" s="1108">
        <v>60.5</v>
      </c>
      <c r="BB300" s="1108">
        <v>62.25</v>
      </c>
      <c r="BC300" s="1108">
        <v>63.620649168706507</v>
      </c>
      <c r="BD300" s="1108">
        <v>64.822548764289735</v>
      </c>
      <c r="BE300" s="1108">
        <v>65.889077631783366</v>
      </c>
      <c r="BF300" s="1108">
        <v>67.125704618592394</v>
      </c>
      <c r="BG300" s="1108">
        <v>68.539789512218945</v>
      </c>
      <c r="BH300" s="1108">
        <v>69.706588590663245</v>
      </c>
      <c r="BI300" s="1108">
        <v>71.112377267100541</v>
      </c>
      <c r="BJ300" s="1108">
        <v>72.294492012915498</v>
      </c>
      <c r="BK300" s="1108">
        <v>73.671001858325511</v>
      </c>
      <c r="BL300" s="1108">
        <v>74.853078409767065</v>
      </c>
      <c r="BM300" s="1108">
        <v>77.242727517073547</v>
      </c>
      <c r="BN300" s="1108">
        <v>78.605901760821155</v>
      </c>
      <c r="BO300" s="1108">
        <v>79.926738489888763</v>
      </c>
      <c r="BP300" s="1108">
        <v>81.013088159701567</v>
      </c>
      <c r="BQ300" s="1108">
        <v>81.625649236492904</v>
      </c>
      <c r="BR300" s="1108">
        <v>82.965519942069136</v>
      </c>
      <c r="BS300" s="1108">
        <v>84.260242303099602</v>
      </c>
      <c r="BT300" s="1108">
        <v>85.164519679441014</v>
      </c>
    </row>
    <row r="301" spans="4:84" ht="14.45" hidden="1" outlineLevel="1">
      <c r="D301" s="1432"/>
      <c r="E301" s="1440"/>
      <c r="F301" s="1107" t="s">
        <v>1069</v>
      </c>
      <c r="G301" s="1107"/>
      <c r="H301" s="1107"/>
      <c r="I301" s="1107"/>
      <c r="W301" s="1109"/>
      <c r="X301" s="1109"/>
      <c r="Y301" s="1109">
        <v>162.80886153131434</v>
      </c>
      <c r="Z301" s="1109">
        <v>138.0368098159509</v>
      </c>
      <c r="AA301" s="1109">
        <v>98.148148148148124</v>
      </c>
      <c r="AB301" s="1109">
        <v>64.130434782608674</v>
      </c>
      <c r="AC301" s="1109">
        <v>41.017964071856298</v>
      </c>
      <c r="AD301" s="1109">
        <v>26.030927835051553</v>
      </c>
      <c r="AE301" s="1109">
        <v>19.392523364485992</v>
      </c>
      <c r="AF301" s="1109">
        <v>17.439293598234009</v>
      </c>
      <c r="AG301" s="1109">
        <v>16.772823779193203</v>
      </c>
      <c r="AH301" s="1109">
        <v>16.973415132924345</v>
      </c>
      <c r="AI301" s="1109">
        <v>17.025440313111538</v>
      </c>
      <c r="AJ301" s="1109">
        <v>16.541353383458642</v>
      </c>
      <c r="AK301" s="1109">
        <v>16.18181818181818</v>
      </c>
      <c r="AL301" s="1109">
        <v>15.034965034965026</v>
      </c>
      <c r="AM301" s="1109">
        <v>12.876254180602013</v>
      </c>
      <c r="AN301" s="1109">
        <v>11.29032258064516</v>
      </c>
      <c r="AO301" s="1109">
        <v>10.172143974960887</v>
      </c>
      <c r="AP301" s="1109">
        <v>10.638297872340425</v>
      </c>
      <c r="AQ301" s="1109">
        <v>13.777777777777775</v>
      </c>
      <c r="AR301" s="1109">
        <v>19.275362318840575</v>
      </c>
      <c r="AS301" s="1109">
        <v>24.999999999999989</v>
      </c>
      <c r="AT301" s="1109">
        <v>27.472527472527474</v>
      </c>
      <c r="AU301" s="1109">
        <v>27.213541666666675</v>
      </c>
      <c r="AV301" s="1109">
        <v>24.058323207776425</v>
      </c>
      <c r="AW301" s="1109">
        <v>20.454545454545457</v>
      </c>
      <c r="AX301" s="1109">
        <v>19.073275862068968</v>
      </c>
      <c r="AY301" s="1109">
        <v>17.502558853633566</v>
      </c>
      <c r="AZ301" s="1109">
        <v>15.670910871694419</v>
      </c>
      <c r="BA301" s="1109">
        <v>14.150943396226415</v>
      </c>
      <c r="BB301" s="1109">
        <v>12.669683257918551</v>
      </c>
      <c r="BC301" s="1109">
        <v>10.837367889732592</v>
      </c>
      <c r="BD301" s="1109">
        <v>9.7756964678911729</v>
      </c>
      <c r="BE301" s="1109">
        <v>8.9075663335262227</v>
      </c>
      <c r="BF301" s="1109">
        <v>7.83245721862232</v>
      </c>
      <c r="BG301" s="1109">
        <v>7.731987032178929</v>
      </c>
      <c r="BH301" s="1109">
        <v>7.5344766897905302</v>
      </c>
      <c r="BI301" s="1109">
        <v>7.9274135001664927</v>
      </c>
      <c r="BJ301" s="1109">
        <v>7.7001610987804208</v>
      </c>
      <c r="BK301" s="1109">
        <v>7.4864722851122805</v>
      </c>
      <c r="BL301" s="1109">
        <v>7.3830751484991772</v>
      </c>
      <c r="BM301" s="1109">
        <v>8.6206515455772195</v>
      </c>
      <c r="BN301" s="1109">
        <v>8.7301391463932223</v>
      </c>
      <c r="BO301" s="1109">
        <v>8.4914504672998348</v>
      </c>
      <c r="BP301" s="1109">
        <v>8.2294674859100052</v>
      </c>
      <c r="BQ301" s="1109">
        <v>5.6742192570175192</v>
      </c>
      <c r="BR301" s="1109">
        <v>5.5461715769297451</v>
      </c>
      <c r="BS301" s="1109">
        <v>5.4218449233469661</v>
      </c>
      <c r="BT301" s="1109">
        <v>5.1243960871553318</v>
      </c>
    </row>
    <row r="302" spans="4:84" ht="14.45" hidden="1" outlineLevel="1" collapsed="1">
      <c r="D302" s="1432"/>
      <c r="E302" s="1440"/>
      <c r="F302" s="1107"/>
      <c r="G302" s="1107"/>
      <c r="H302" s="1107"/>
      <c r="I302" s="1107"/>
    </row>
    <row r="303" spans="4:84" ht="14.45" collapsed="1">
      <c r="D303" s="1434" t="s">
        <v>1152</v>
      </c>
      <c r="E303" s="1433" t="s">
        <v>1153</v>
      </c>
      <c r="F303" s="1106" t="s">
        <v>1068</v>
      </c>
      <c r="G303" s="1106"/>
      <c r="H303" s="1106"/>
      <c r="I303" s="1106"/>
      <c r="J303" s="1108"/>
      <c r="K303" s="1108"/>
      <c r="L303" s="1108"/>
      <c r="M303" s="1108"/>
      <c r="N303" s="1108"/>
      <c r="O303" s="1108"/>
      <c r="P303" s="1108"/>
      <c r="Q303" s="1108"/>
      <c r="R303" s="1108"/>
      <c r="S303" s="1108"/>
      <c r="T303" s="1108"/>
      <c r="U303" s="1108"/>
      <c r="V303" s="1108"/>
      <c r="W303" s="1108"/>
      <c r="X303" s="1108"/>
      <c r="Y303" s="1108">
        <v>15.783908905814796</v>
      </c>
      <c r="Z303" s="1108">
        <v>15.961936792219403</v>
      </c>
      <c r="AA303" s="1108">
        <v>15.786249963045105</v>
      </c>
      <c r="AB303" s="1108">
        <v>16.639236073399555</v>
      </c>
      <c r="AC303" s="1108">
        <v>17.310734826770894</v>
      </c>
      <c r="AD303" s="1108">
        <v>18.136141744703352</v>
      </c>
      <c r="AE303" s="1108">
        <v>17.354958881015182</v>
      </c>
      <c r="AF303" s="1108">
        <v>17.92572275253351</v>
      </c>
      <c r="AG303" s="1108">
        <v>18.402822834556748</v>
      </c>
      <c r="AH303" s="1108">
        <v>18.606086730660643</v>
      </c>
      <c r="AI303" s="1108">
        <v>17.844527854753942</v>
      </c>
      <c r="AJ303" s="1108">
        <v>18.255008515327589</v>
      </c>
      <c r="AK303" s="1108">
        <v>18.952806336375744</v>
      </c>
      <c r="AL303" s="1108">
        <v>18.725805103928714</v>
      </c>
      <c r="AM303" s="1108">
        <v>18.6839902852542</v>
      </c>
      <c r="AN303" s="1108">
        <v>18.651228683229817</v>
      </c>
      <c r="AO303" s="1108">
        <v>19.011135509881424</v>
      </c>
      <c r="AP303" s="1108">
        <v>19.57260128025391</v>
      </c>
      <c r="AQ303" s="1108">
        <v>18.48776120819398</v>
      </c>
      <c r="AR303" s="1108">
        <v>17.926143934724493</v>
      </c>
      <c r="AS303" s="1108">
        <v>18.52752058742475</v>
      </c>
      <c r="AT303" s="1108">
        <v>18.368768617427332</v>
      </c>
      <c r="AU303" s="1108">
        <v>18.180014596025075</v>
      </c>
      <c r="AV303" s="1108">
        <v>18.103788400181472</v>
      </c>
      <c r="AW303" s="1108">
        <v>18.937794089629936</v>
      </c>
      <c r="AX303" s="1108">
        <v>18.68153296623505</v>
      </c>
      <c r="AY303" s="1108">
        <v>18.26982644348157</v>
      </c>
      <c r="AZ303" s="1108">
        <v>18.347012230082008</v>
      </c>
      <c r="BA303" s="1108">
        <v>18.859356612894466</v>
      </c>
      <c r="BB303" s="1108">
        <v>18.38566754009868</v>
      </c>
      <c r="BC303" s="1108">
        <v>18.005442374347339</v>
      </c>
      <c r="BD303" s="1108">
        <v>18.867534267798828</v>
      </c>
      <c r="BE303" s="1108">
        <v>18.802318928264093</v>
      </c>
      <c r="BF303" s="1108">
        <v>18.732592566466149</v>
      </c>
      <c r="BG303" s="1108">
        <v>18.009124773123226</v>
      </c>
      <c r="BH303" s="1108">
        <v>18.897378445718676</v>
      </c>
      <c r="BI303" s="1108">
        <v>18.281177905031761</v>
      </c>
      <c r="BJ303" s="1108">
        <v>18.145231634937378</v>
      </c>
      <c r="BK303" s="1108">
        <v>17.336145998889215</v>
      </c>
      <c r="BL303" s="1108">
        <v>18.277355906347882</v>
      </c>
      <c r="BM303" s="1108">
        <v>16.174486811878733</v>
      </c>
      <c r="BN303" s="1108">
        <v>16.273255170280333</v>
      </c>
      <c r="BO303" s="1108">
        <v>15.542246326722109</v>
      </c>
      <c r="BP303" s="1108">
        <v>15.622455177337859</v>
      </c>
      <c r="BQ303" s="1108">
        <v>17.280467018011194</v>
      </c>
      <c r="BR303" s="1108">
        <v>17.280731440061846</v>
      </c>
      <c r="BS303" s="1108">
        <v>17.115748392120722</v>
      </c>
      <c r="BT303" s="1108">
        <v>17.35582434498075</v>
      </c>
    </row>
    <row r="304" spans="4:84" ht="14.45" hidden="1" outlineLevel="1">
      <c r="D304" s="1432"/>
      <c r="E304" s="1440"/>
      <c r="F304" s="1106" t="s">
        <v>1069</v>
      </c>
      <c r="G304" s="1106"/>
      <c r="H304" s="1106"/>
      <c r="I304" s="1106"/>
      <c r="W304" s="1109"/>
      <c r="X304" s="1109"/>
      <c r="Y304" s="1109">
        <v>-28.385167461320236</v>
      </c>
      <c r="Z304" s="1109">
        <v>-16.400388574077837</v>
      </c>
      <c r="AA304" s="1109">
        <v>-10.294999308606997</v>
      </c>
      <c r="AB304" s="1109">
        <v>4.0661533514603487</v>
      </c>
      <c r="AC304" s="1109">
        <v>9.6733067205780365</v>
      </c>
      <c r="AD304" s="1109">
        <v>13.621185077889535</v>
      </c>
      <c r="AE304" s="1109">
        <v>9.9371853457429999</v>
      </c>
      <c r="AF304" s="1109">
        <v>7.7316450915111803</v>
      </c>
      <c r="AG304" s="1109">
        <v>6.3087328106773946</v>
      </c>
      <c r="AH304" s="1109">
        <v>2.5912070636222171</v>
      </c>
      <c r="AI304" s="1109">
        <v>2.8209169327062198</v>
      </c>
      <c r="AJ304" s="1109">
        <v>1.8369455298394586</v>
      </c>
      <c r="AK304" s="1109">
        <v>2.9885822776397073</v>
      </c>
      <c r="AL304" s="1109">
        <v>0.6434366076064213</v>
      </c>
      <c r="AM304" s="1109">
        <v>4.7043129262544117</v>
      </c>
      <c r="AN304" s="1109">
        <v>2.170473750091912</v>
      </c>
      <c r="AO304" s="1109">
        <v>0.30776008824471368</v>
      </c>
      <c r="AP304" s="1109">
        <v>4.5220815426917795</v>
      </c>
      <c r="AQ304" s="1109">
        <v>-1.0502525106485863</v>
      </c>
      <c r="AR304" s="1109">
        <v>-3.8875977600193248</v>
      </c>
      <c r="AS304" s="1109">
        <v>-2.5438507984191965</v>
      </c>
      <c r="AT304" s="1109">
        <v>-6.1506012695465326</v>
      </c>
      <c r="AU304" s="1109">
        <v>-1.6645964251880803</v>
      </c>
      <c r="AV304" s="1109">
        <v>0.99097980080850478</v>
      </c>
      <c r="AW304" s="1109">
        <v>2.2144004658866896</v>
      </c>
      <c r="AX304" s="1109">
        <v>1.7026963283264605</v>
      </c>
      <c r="AY304" s="1109">
        <v>0.49401416584193492</v>
      </c>
      <c r="AZ304" s="1109">
        <v>1.343496866645316</v>
      </c>
      <c r="BA304" s="1109">
        <v>-0.41418486421510459</v>
      </c>
      <c r="BB304" s="1109">
        <v>-1.5837320559887464</v>
      </c>
      <c r="BC304" s="1109">
        <v>-1.4471077213136812</v>
      </c>
      <c r="BD304" s="1109">
        <v>2.8370942973666562</v>
      </c>
      <c r="BE304" s="1109">
        <v>-0.30243706506602364</v>
      </c>
      <c r="BF304" s="1109">
        <v>1.8869319028576688</v>
      </c>
      <c r="BG304" s="1109">
        <v>2.0451587355236958E-2</v>
      </c>
      <c r="BH304" s="1109">
        <v>0.15817741468626018</v>
      </c>
      <c r="BI304" s="1109">
        <v>-2.7716848396233731</v>
      </c>
      <c r="BJ304" s="1109">
        <v>-3.135502624341628</v>
      </c>
      <c r="BK304" s="1109">
        <v>-3.736876626222073</v>
      </c>
      <c r="BL304" s="1109">
        <v>-3.2809976322999659</v>
      </c>
      <c r="BM304" s="1109">
        <v>-11.523825784623959</v>
      </c>
      <c r="BN304" s="1109">
        <v>-10.316630298908311</v>
      </c>
      <c r="BO304" s="1109">
        <v>-10.347742066097315</v>
      </c>
      <c r="BP304" s="1109">
        <v>-14.525628009946196</v>
      </c>
      <c r="BQ304" s="1109">
        <v>6.8378070908575364</v>
      </c>
      <c r="BR304" s="1109">
        <v>6.1909941142043667</v>
      </c>
      <c r="BS304" s="1109">
        <v>10.124032474593182</v>
      </c>
      <c r="BT304" s="1109">
        <v>11.095369760812881</v>
      </c>
    </row>
    <row r="305" spans="4:84" ht="14.45" hidden="1" outlineLevel="1" collapsed="1">
      <c r="D305" s="1432"/>
      <c r="E305" s="1440"/>
      <c r="F305" s="1106"/>
      <c r="G305" s="1106"/>
      <c r="H305" s="1106"/>
      <c r="I305" s="1106"/>
    </row>
    <row r="306" spans="4:84" ht="14.45" collapsed="1">
      <c r="D306" s="1431" t="s">
        <v>1135</v>
      </c>
      <c r="E306" s="1433" t="s">
        <v>1067</v>
      </c>
      <c r="F306" s="1107" t="s">
        <v>1068</v>
      </c>
      <c r="G306" s="1107"/>
      <c r="H306" s="1107"/>
      <c r="I306" s="1107"/>
      <c r="J306" s="1108"/>
      <c r="K306" s="1108"/>
      <c r="L306" s="1108"/>
      <c r="M306" s="1108"/>
      <c r="N306" s="1108"/>
      <c r="O306" s="1108"/>
      <c r="P306" s="1108"/>
      <c r="Q306" s="1108"/>
      <c r="R306" s="1108"/>
      <c r="S306" s="1108"/>
      <c r="T306" s="1108"/>
      <c r="U306" s="1108"/>
      <c r="V306" s="1108"/>
      <c r="W306" s="1108"/>
      <c r="X306" s="1108"/>
      <c r="Y306" s="1108">
        <v>269.63685978969028</v>
      </c>
      <c r="Z306" s="1108">
        <v>309.3497083980057</v>
      </c>
      <c r="AA306" s="1108">
        <v>332.75094743446834</v>
      </c>
      <c r="AB306" s="1108">
        <v>366.1144227556818</v>
      </c>
      <c r="AC306" s="1108">
        <v>418.61554229257246</v>
      </c>
      <c r="AD306" s="1108">
        <v>439.16748371829715</v>
      </c>
      <c r="AE306" s="1108">
        <v>438.27769809510875</v>
      </c>
      <c r="AF306" s="1108">
        <v>469.21697218206521</v>
      </c>
      <c r="AG306" s="1108">
        <v>497.86764806612319</v>
      </c>
      <c r="AH306" s="1108">
        <v>523.97183710960144</v>
      </c>
      <c r="AI306" s="1108">
        <v>528.15148597916664</v>
      </c>
      <c r="AJ306" s="1108">
        <v>558.21927502264498</v>
      </c>
      <c r="AK306" s="1108">
        <v>598.89778782311805</v>
      </c>
      <c r="AL306" s="1108">
        <v>599.10488403713771</v>
      </c>
      <c r="AM306" s="1108">
        <v>605.70713929800729</v>
      </c>
      <c r="AN306" s="1108">
        <v>627.27533491250006</v>
      </c>
      <c r="AO306" s="1108">
        <v>626.48235778264745</v>
      </c>
      <c r="AP306" s="1108">
        <v>698.06798405699271</v>
      </c>
      <c r="AQ306" s="1108">
        <v>698.77701204056677</v>
      </c>
      <c r="AR306" s="1108">
        <v>727.21899795131219</v>
      </c>
      <c r="AS306" s="1108">
        <v>825.70182992879779</v>
      </c>
      <c r="AT306" s="1108">
        <v>836.39708291614352</v>
      </c>
      <c r="AU306" s="1108">
        <v>875.89012174198024</v>
      </c>
      <c r="AV306" s="1108">
        <v>906.89820535038825</v>
      </c>
      <c r="AW306" s="1108">
        <v>986.68783585973154</v>
      </c>
      <c r="AX306" s="1108">
        <v>1035.5856850157811</v>
      </c>
      <c r="AY306" s="1108">
        <v>1028.7146947071192</v>
      </c>
      <c r="AZ306" s="1108">
        <v>1054.3021969186507</v>
      </c>
      <c r="BA306" s="1108">
        <v>1131.2421478422498</v>
      </c>
      <c r="BB306" s="1108">
        <v>1127.2103253297332</v>
      </c>
      <c r="BC306" s="1108">
        <v>1124.4780114240896</v>
      </c>
      <c r="BD306" s="1108">
        <v>1180.8470323805327</v>
      </c>
      <c r="BE306" s="1108">
        <v>1198.9100065350158</v>
      </c>
      <c r="BF306" s="1108">
        <v>1223.9160298833776</v>
      </c>
      <c r="BG306" s="1108">
        <v>1211.9478378764961</v>
      </c>
      <c r="BH306" s="1108">
        <v>1272.5427939751862</v>
      </c>
      <c r="BI306" s="1108">
        <v>1268.1338232743497</v>
      </c>
      <c r="BJ306" s="1108">
        <v>1287.3503949858998</v>
      </c>
      <c r="BK306" s="1108">
        <v>1289.1540589361778</v>
      </c>
      <c r="BL306" s="1108">
        <v>1362.0734326458371</v>
      </c>
      <c r="BM306" s="1108">
        <v>1275.8613101854344</v>
      </c>
      <c r="BN306" s="1108">
        <v>1302.5058417417854</v>
      </c>
      <c r="BO306" s="1108">
        <v>1273.0673036485377</v>
      </c>
      <c r="BP306" s="1108">
        <v>1293.0218686928461</v>
      </c>
      <c r="BQ306" s="1108">
        <v>1434.3982552120724</v>
      </c>
      <c r="BR306" s="1108">
        <v>1453.695090783775</v>
      </c>
      <c r="BS306" s="1108">
        <v>1465.1393187921376</v>
      </c>
      <c r="BT306" s="1108">
        <v>1492.9571747944699</v>
      </c>
      <c r="BU306" s="1108">
        <v>1544.1175729461099</v>
      </c>
      <c r="BV306" s="1108">
        <v>1547.42189660383</v>
      </c>
      <c r="BW306" s="1108">
        <v>1559.66783608848</v>
      </c>
      <c r="BX306" s="1108">
        <v>1563.7834858599399</v>
      </c>
      <c r="BY306" s="1108">
        <v>1575.7916875686501</v>
      </c>
      <c r="BZ306" s="1108">
        <v>1576.42868921784</v>
      </c>
      <c r="CA306" s="1108">
        <v>1584.94371630926</v>
      </c>
      <c r="CB306" s="1108">
        <v>1584.85678833968</v>
      </c>
      <c r="CC306" s="1108">
        <v>1595.15200777013</v>
      </c>
      <c r="CD306" s="1108">
        <v>1593.48504836598</v>
      </c>
      <c r="CE306" s="1108">
        <v>1598.7404387378499</v>
      </c>
      <c r="CF306" s="1108">
        <v>1595.09014131001</v>
      </c>
    </row>
    <row r="307" spans="4:84" ht="14.45" hidden="1" outlineLevel="1">
      <c r="D307" s="1432"/>
      <c r="E307" s="1440"/>
      <c r="F307" s="1107" t="s">
        <v>1069</v>
      </c>
      <c r="G307" s="1107"/>
      <c r="H307" s="1107"/>
      <c r="I307" s="1107"/>
      <c r="W307" s="1109"/>
      <c r="X307" s="1109"/>
      <c r="Y307" s="1109">
        <v>110.3488018220088</v>
      </c>
      <c r="Z307" s="1109">
        <v>96.275420815098414</v>
      </c>
      <c r="AA307" s="1109">
        <v>66.740583227108218</v>
      </c>
      <c r="AB307" s="1109">
        <v>61.560929340325913</v>
      </c>
      <c r="AC307" s="1109">
        <v>55.251601216199319</v>
      </c>
      <c r="AD307" s="1109">
        <v>41.964731757002149</v>
      </c>
      <c r="AE307" s="1109">
        <v>31.713433567735443</v>
      </c>
      <c r="AF307" s="1109">
        <v>28.161291393643502</v>
      </c>
      <c r="AG307" s="1109">
        <v>18.931954924444984</v>
      </c>
      <c r="AH307" s="1109">
        <v>19.310253271324118</v>
      </c>
      <c r="AI307" s="1109">
        <v>20.506128483077589</v>
      </c>
      <c r="AJ307" s="1109">
        <v>18.96826161821895</v>
      </c>
      <c r="AK307" s="1109">
        <v>20.292569752107443</v>
      </c>
      <c r="AL307" s="1109">
        <v>14.339138405223173</v>
      </c>
      <c r="AM307" s="1109">
        <v>14.684357684813918</v>
      </c>
      <c r="AN307" s="1109">
        <v>12.370776678582752</v>
      </c>
      <c r="AO307" s="1109">
        <v>4.6058894389632297</v>
      </c>
      <c r="AP307" s="1109">
        <v>16.518493281673933</v>
      </c>
      <c r="AQ307" s="1109">
        <v>15.365490466304244</v>
      </c>
      <c r="AR307" s="1109">
        <v>15.932981495718062</v>
      </c>
      <c r="AS307" s="1109">
        <v>31.799693905389713</v>
      </c>
      <c r="AT307" s="1109">
        <v>19.815992427444879</v>
      </c>
      <c r="AU307" s="1109">
        <v>25.346155733458982</v>
      </c>
      <c r="AV307" s="1109">
        <v>24.707716369520053</v>
      </c>
      <c r="AW307" s="1109">
        <v>19.496869220311154</v>
      </c>
      <c r="AX307" s="1109">
        <v>23.815076136463293</v>
      </c>
      <c r="AY307" s="1109">
        <v>17.447916030974262</v>
      </c>
      <c r="AZ307" s="1109">
        <v>16.253642437335245</v>
      </c>
      <c r="BA307" s="1109">
        <v>14.650460533605708</v>
      </c>
      <c r="BB307" s="1109">
        <v>8.8476155705605244</v>
      </c>
      <c r="BC307" s="1109">
        <v>9.3090258367734062</v>
      </c>
      <c r="BD307" s="1109">
        <v>12.002710022963763</v>
      </c>
      <c r="BE307" s="1109">
        <v>5.9817306862051431</v>
      </c>
      <c r="BF307" s="1109">
        <v>8.5792067709596171</v>
      </c>
      <c r="BG307" s="1109">
        <v>7.7787049247526703</v>
      </c>
      <c r="BH307" s="1109">
        <v>7.7652531682955672</v>
      </c>
      <c r="BI307" s="1109">
        <v>5.7738959856877372</v>
      </c>
      <c r="BJ307" s="1109">
        <v>5.1829017313031356</v>
      </c>
      <c r="BK307" s="1109">
        <v>6.3704244231301113</v>
      </c>
      <c r="BL307" s="1109">
        <v>7.0355699701833903</v>
      </c>
      <c r="BM307" s="1109">
        <v>0.60935894692345494</v>
      </c>
      <c r="BN307" s="1109">
        <v>1.17725887333507</v>
      </c>
      <c r="BO307" s="1109">
        <v>-1.2478535964053017</v>
      </c>
      <c r="BP307" s="1109">
        <v>-5.0695918661931394</v>
      </c>
      <c r="BQ307" s="1109">
        <v>12.425876054161105</v>
      </c>
      <c r="BR307" s="1109">
        <v>11.607567827857928</v>
      </c>
      <c r="BS307" s="1109">
        <v>15.087341776285706</v>
      </c>
      <c r="BT307" s="1109">
        <v>15.462639182100171</v>
      </c>
      <c r="BU307" s="1109">
        <v>7.64915303928725</v>
      </c>
      <c r="BV307" s="1109">
        <v>6.4474872629253515</v>
      </c>
      <c r="BW307" s="1109">
        <v>6.4518449599913721</v>
      </c>
      <c r="BX307" s="1109">
        <v>4.7440283124812614</v>
      </c>
      <c r="BY307" s="1109">
        <v>2.0512760930573002</v>
      </c>
      <c r="BZ307" s="1109">
        <v>1.8745238565947675</v>
      </c>
      <c r="CA307" s="1109">
        <v>1.6205937979826417</v>
      </c>
      <c r="CB307" s="1109">
        <v>1.3475844111598119</v>
      </c>
      <c r="CC307" s="1109">
        <v>1.2286091083112449</v>
      </c>
      <c r="CD307" s="1109">
        <v>1.0819619856450782</v>
      </c>
      <c r="CE307" s="1109">
        <v>0.87048658489383268</v>
      </c>
      <c r="CF307" s="1109">
        <v>0.64569575280367786</v>
      </c>
    </row>
    <row r="308" spans="4:84" ht="14.45" hidden="1" outlineLevel="1" collapsed="1">
      <c r="D308" s="1432"/>
      <c r="E308" s="1440"/>
      <c r="F308" s="1107"/>
      <c r="G308" s="1107"/>
      <c r="H308" s="1107"/>
      <c r="I308" s="1107"/>
    </row>
    <row r="309" spans="4:84" ht="14.45" collapsed="1">
      <c r="D309" s="1105" t="s">
        <v>366</v>
      </c>
      <c r="F309" s="1106" t="s">
        <v>1065</v>
      </c>
      <c r="G309" s="1106"/>
      <c r="H309" s="1106"/>
      <c r="I309" s="1106"/>
    </row>
    <row r="310" spans="4:84" ht="14.45">
      <c r="D310" s="1105" t="s">
        <v>1154</v>
      </c>
      <c r="F310" s="1106" t="s">
        <v>1065</v>
      </c>
      <c r="G310" s="1106"/>
      <c r="H310" s="1106"/>
      <c r="I310" s="1106"/>
    </row>
    <row r="311" spans="4:84" ht="14.45">
      <c r="D311" s="1435" t="s">
        <v>1155</v>
      </c>
      <c r="E311" s="1433" t="s">
        <v>1122</v>
      </c>
      <c r="F311" s="1107" t="s">
        <v>1068</v>
      </c>
      <c r="G311" s="1107"/>
      <c r="H311" s="1107"/>
      <c r="I311" s="1107"/>
      <c r="J311" s="1108"/>
      <c r="K311" s="1108"/>
      <c r="L311" s="1108"/>
      <c r="M311" s="1108"/>
      <c r="N311" s="1108"/>
      <c r="O311" s="1108"/>
      <c r="P311" s="1108"/>
      <c r="Q311" s="1108"/>
      <c r="R311" s="1108"/>
      <c r="S311" s="1108"/>
      <c r="T311" s="1108"/>
      <c r="U311" s="1108"/>
      <c r="V311" s="1108"/>
      <c r="W311" s="1108"/>
      <c r="X311" s="1108"/>
      <c r="Y311" s="1108">
        <v>4.8742762937272346</v>
      </c>
      <c r="Z311" s="1108">
        <v>9.4195689195276877</v>
      </c>
      <c r="AA311" s="1108">
        <v>7.1136878923145233</v>
      </c>
      <c r="AB311" s="1108">
        <v>8.5341364959807606</v>
      </c>
      <c r="AC311" s="1108">
        <v>5.0773338216109947</v>
      </c>
      <c r="AD311" s="1108">
        <v>8.7643871683246388</v>
      </c>
      <c r="AE311" s="1108">
        <v>7.8031857586156121</v>
      </c>
      <c r="AF311" s="1108">
        <v>9.088940315654737</v>
      </c>
      <c r="AG311" s="1108">
        <v>8.4765603276716721</v>
      </c>
      <c r="AH311" s="1108">
        <v>8.3783324276349287</v>
      </c>
      <c r="AI311" s="1108">
        <v>8.5214970345917838</v>
      </c>
      <c r="AJ311" s="1108">
        <v>12.984781649201491</v>
      </c>
      <c r="AK311" s="1108">
        <v>10.377641869961842</v>
      </c>
      <c r="AL311" s="1108">
        <v>8.295432166001115</v>
      </c>
      <c r="AM311" s="1108">
        <v>11.031065190226524</v>
      </c>
      <c r="AN311" s="1108">
        <v>10.346206480912471</v>
      </c>
      <c r="AO311" s="1108">
        <v>9.0753471891162913</v>
      </c>
      <c r="AP311" s="1108">
        <v>8.8455784986847608</v>
      </c>
      <c r="AQ311" s="1108">
        <v>10.503128750584981</v>
      </c>
      <c r="AR311" s="1108">
        <v>2.8526772829562703</v>
      </c>
      <c r="AS311" s="1108">
        <v>10.462068369135327</v>
      </c>
      <c r="AT311" s="1108">
        <v>9.7985478479602843</v>
      </c>
      <c r="AU311" s="1108">
        <v>13.272262132603585</v>
      </c>
      <c r="AV311" s="1108">
        <v>7.6300069891631681</v>
      </c>
      <c r="AW311" s="1108">
        <v>12.240619991888284</v>
      </c>
      <c r="AX311" s="1108">
        <v>9.2985544549419199</v>
      </c>
      <c r="AY311" s="1108">
        <v>11.467508737195455</v>
      </c>
      <c r="AZ311" s="1108">
        <v>4.2296039487576689</v>
      </c>
      <c r="BA311" s="1108">
        <v>15.709992994603628</v>
      </c>
      <c r="BB311" s="1108">
        <v>4.7349299758395862</v>
      </c>
      <c r="BC311" s="1108">
        <v>6.6219812104006106</v>
      </c>
      <c r="BD311" s="1108">
        <v>3.3914933451421558</v>
      </c>
      <c r="BE311" s="1108">
        <v>14.214690340137029</v>
      </c>
      <c r="BF311" s="1108">
        <v>6.9023579583749326</v>
      </c>
      <c r="BG311" s="1108">
        <v>5.1091316844264592</v>
      </c>
      <c r="BH311" s="1108">
        <v>3.5513183823589611</v>
      </c>
      <c r="BI311" s="1108">
        <v>14.209127757862445</v>
      </c>
      <c r="BJ311" s="1108">
        <v>6.8445008216021055</v>
      </c>
      <c r="BK311" s="1108">
        <v>3.0096395276846502</v>
      </c>
      <c r="BL311" s="1108">
        <v>3.895429143562759</v>
      </c>
      <c r="BM311" s="1108">
        <v>9.3745659352057782</v>
      </c>
      <c r="BN311" s="1108">
        <v>3.8464385250414539</v>
      </c>
      <c r="BO311" s="1108">
        <v>11.327753504351994</v>
      </c>
      <c r="BP311" s="1108">
        <v>5.9863144411511549</v>
      </c>
      <c r="BQ311" s="1108">
        <v>8.8478129505695247</v>
      </c>
      <c r="BR311" s="1108">
        <v>1.3945405255458501</v>
      </c>
      <c r="BS311" s="1108">
        <v>10.02184472369513</v>
      </c>
      <c r="BT311" s="1108">
        <v>3.407794957815335</v>
      </c>
    </row>
    <row r="312" spans="4:84" ht="14.45" hidden="1" outlineLevel="1">
      <c r="D312" s="1432"/>
      <c r="E312" s="1440"/>
      <c r="F312" s="1107" t="s">
        <v>1069</v>
      </c>
      <c r="G312" s="1107"/>
      <c r="H312" s="1107"/>
      <c r="I312" s="1107"/>
      <c r="W312" s="1109"/>
      <c r="X312" s="1109"/>
      <c r="Y312" s="1109">
        <v>-18.43999246862009</v>
      </c>
      <c r="Z312" s="1109">
        <v>31.961705903600794</v>
      </c>
      <c r="AA312" s="1109">
        <v>35.577788136062878</v>
      </c>
      <c r="AB312" s="1109">
        <v>-13.059912704029781</v>
      </c>
      <c r="AC312" s="1109">
        <v>4.1659010619705183</v>
      </c>
      <c r="AD312" s="1109">
        <v>-6.955538589932635</v>
      </c>
      <c r="AE312" s="1109">
        <v>9.692551553266874</v>
      </c>
      <c r="AF312" s="1109">
        <v>6.5009953840703973</v>
      </c>
      <c r="AG312" s="1109">
        <v>66.949045020288452</v>
      </c>
      <c r="AH312" s="1109">
        <v>-4.4048115775276351</v>
      </c>
      <c r="AI312" s="1109">
        <v>9.2053591724773902</v>
      </c>
      <c r="AJ312" s="1109">
        <v>42.863537422911442</v>
      </c>
      <c r="AK312" s="1109">
        <v>22.427511499966588</v>
      </c>
      <c r="AL312" s="1109">
        <v>-0.98946016226781708</v>
      </c>
      <c r="AM312" s="1109">
        <v>29.449850718101665</v>
      </c>
      <c r="AN312" s="1109">
        <v>-20.320520125583172</v>
      </c>
      <c r="AO312" s="1109">
        <v>-12.549042423742254</v>
      </c>
      <c r="AP312" s="1109">
        <v>6.6319188883060765</v>
      </c>
      <c r="AQ312" s="1109">
        <v>-4.7859062614306049</v>
      </c>
      <c r="AR312" s="1109">
        <v>-72.42779478430937</v>
      </c>
      <c r="AS312" s="1109">
        <v>15.280089578083317</v>
      </c>
      <c r="AT312" s="1109">
        <v>10.773397685829361</v>
      </c>
      <c r="AU312" s="1109">
        <v>26.364842779484864</v>
      </c>
      <c r="AV312" s="1109">
        <v>167.46828443405565</v>
      </c>
      <c r="AW312" s="1109">
        <v>16.999999999999535</v>
      </c>
      <c r="AX312" s="1109">
        <v>-5.1027295143784555</v>
      </c>
      <c r="AY312" s="1109">
        <v>-13.597933625607917</v>
      </c>
      <c r="AZ312" s="1109">
        <v>-44.566185132399774</v>
      </c>
      <c r="BA312" s="1109">
        <v>28.343115013900082</v>
      </c>
      <c r="BB312" s="1109">
        <v>-49.078859528288248</v>
      </c>
      <c r="BC312" s="1109">
        <v>-42.254404490472517</v>
      </c>
      <c r="BD312" s="1109">
        <v>-19.815344740769056</v>
      </c>
      <c r="BE312" s="1109">
        <v>-9.5181624522699302</v>
      </c>
      <c r="BF312" s="1109">
        <v>45.775291157310591</v>
      </c>
      <c r="BG312" s="1109">
        <v>-22.845874639421222</v>
      </c>
      <c r="BH312" s="1109">
        <v>4.7125269299358203</v>
      </c>
      <c r="BI312" s="1109">
        <v>-3.9132630690355809E-2</v>
      </c>
      <c r="BJ312" s="1109">
        <v>-0.83822278012438511</v>
      </c>
      <c r="BK312" s="1109">
        <v>-41.092934894229366</v>
      </c>
      <c r="BL312" s="1109">
        <v>9.6896623775878563</v>
      </c>
      <c r="BM312" s="1109">
        <v>-34.024339178606667</v>
      </c>
      <c r="BN312" s="1109">
        <v>-43.80249743119893</v>
      </c>
      <c r="BO312" s="1109">
        <v>276.38240062146457</v>
      </c>
      <c r="BP312" s="1109">
        <v>53.675351816977788</v>
      </c>
      <c r="BQ312" s="1109">
        <v>-5.6189586619478069</v>
      </c>
      <c r="BR312" s="1109">
        <v>-63.744629831804708</v>
      </c>
      <c r="BS312" s="1109">
        <v>-11.528400403090947</v>
      </c>
      <c r="BT312" s="1109">
        <v>-43.073572373855725</v>
      </c>
    </row>
    <row r="313" spans="4:84" ht="14.45" hidden="1" outlineLevel="1" collapsed="1">
      <c r="D313" s="1432"/>
      <c r="E313" s="1440"/>
      <c r="F313" s="1107"/>
      <c r="G313" s="1107"/>
      <c r="H313" s="1107"/>
      <c r="I313" s="1107"/>
    </row>
    <row r="314" spans="4:84" ht="14.45" collapsed="1">
      <c r="D314" s="1434" t="s">
        <v>1156</v>
      </c>
      <c r="E314" s="1433" t="s">
        <v>1122</v>
      </c>
      <c r="F314" s="1106" t="s">
        <v>1068</v>
      </c>
      <c r="G314" s="1106"/>
      <c r="H314" s="1106"/>
      <c r="I314" s="1106"/>
      <c r="J314" s="1108"/>
      <c r="K314" s="1108"/>
      <c r="L314" s="1108"/>
      <c r="M314" s="1108"/>
      <c r="N314" s="1108"/>
      <c r="O314" s="1108"/>
      <c r="P314" s="1108"/>
      <c r="Q314" s="1108"/>
      <c r="R314" s="1108"/>
      <c r="S314" s="1108"/>
      <c r="T314" s="1108"/>
      <c r="U314" s="1108"/>
      <c r="V314" s="1108"/>
      <c r="W314" s="1108"/>
      <c r="X314" s="1108"/>
      <c r="Y314" s="1108">
        <v>71.394093359376072</v>
      </c>
      <c r="Z314" s="1108">
        <v>80.813662278903763</v>
      </c>
      <c r="AA314" s="1108">
        <v>85.686431399816001</v>
      </c>
      <c r="AB314" s="1108">
        <v>96.461486667198997</v>
      </c>
      <c r="AC314" s="1108">
        <v>103.94351442015186</v>
      </c>
      <c r="AD314" s="1108">
        <v>115.07869174732416</v>
      </c>
      <c r="AE314" s="1108">
        <v>120.46563280163754</v>
      </c>
      <c r="AF314" s="1108">
        <v>132.11003042902149</v>
      </c>
      <c r="AG314" s="1108">
        <v>140.47014678946039</v>
      </c>
      <c r="AH314" s="1108">
        <v>149.36541245985882</v>
      </c>
      <c r="AI314" s="1108">
        <v>155.41459927082701</v>
      </c>
      <c r="AJ314" s="1108">
        <v>171.1173190120314</v>
      </c>
      <c r="AK314" s="1108">
        <v>181.28903606898942</v>
      </c>
      <c r="AL314" s="1108">
        <v>190.2457504515906</v>
      </c>
      <c r="AM314" s="1108">
        <v>198.86410196439982</v>
      </c>
      <c r="AN314" s="1108">
        <v>211.90899928984359</v>
      </c>
      <c r="AO314" s="1108">
        <v>220.67081750787139</v>
      </c>
      <c r="AP314" s="1108">
        <v>230.19735804642471</v>
      </c>
      <c r="AQ314" s="1108">
        <v>241.59229742915289</v>
      </c>
      <c r="AR314" s="1108">
        <v>243.6953491833201</v>
      </c>
      <c r="AS314" s="1108">
        <v>253.7994011458689</v>
      </c>
      <c r="AT314" s="1108">
        <v>264.7559243215498</v>
      </c>
      <c r="AU314" s="1108">
        <v>283.43943256787838</v>
      </c>
      <c r="AV314" s="1108">
        <v>285.12355854448441</v>
      </c>
      <c r="AW314" s="1108">
        <v>296.94529934066651</v>
      </c>
      <c r="AX314" s="1108">
        <v>307.11687221299758</v>
      </c>
      <c r="AY314" s="1108">
        <v>317.3309023089127</v>
      </c>
      <c r="AZ314" s="1108">
        <v>322.60208145391289</v>
      </c>
      <c r="BA314" s="1108">
        <v>338.01012078579657</v>
      </c>
      <c r="BB314" s="1108">
        <v>343.6574241786405</v>
      </c>
      <c r="BC314" s="1108">
        <v>353.05674842009688</v>
      </c>
      <c r="BD314" s="1108">
        <v>357.84490471911033</v>
      </c>
      <c r="BE314" s="1108">
        <v>371.60568259764932</v>
      </c>
      <c r="BF314" s="1108">
        <v>379.82113151778901</v>
      </c>
      <c r="BG314" s="1108">
        <v>381.80929086959446</v>
      </c>
      <c r="BH314" s="1108">
        <v>386.8974101864892</v>
      </c>
      <c r="BI314" s="1108">
        <v>404.47024517424813</v>
      </c>
      <c r="BJ314" s="1108">
        <v>412.85232877032962</v>
      </c>
      <c r="BK314" s="1108">
        <v>411.63196701740026</v>
      </c>
      <c r="BL314" s="1108">
        <v>417.44065954535762</v>
      </c>
      <c r="BM314" s="1108">
        <v>445.4827818569035</v>
      </c>
      <c r="BN314" s="1108">
        <v>449.32922038194476</v>
      </c>
      <c r="BO314" s="1108">
        <v>460.65697388629673</v>
      </c>
      <c r="BP314" s="1108">
        <v>466.64328832744798</v>
      </c>
      <c r="BQ314" s="1108">
        <v>477.817344821284</v>
      </c>
      <c r="BR314" s="1108">
        <v>479.21188534683</v>
      </c>
      <c r="BS314" s="1108">
        <v>489.23373007052498</v>
      </c>
      <c r="BT314" s="1108">
        <v>492.64152502834048</v>
      </c>
    </row>
    <row r="315" spans="4:84" ht="14.45" hidden="1" outlineLevel="1">
      <c r="D315" s="1432"/>
      <c r="E315" s="1440"/>
      <c r="F315" s="1106" t="s">
        <v>1069</v>
      </c>
      <c r="G315" s="1106"/>
      <c r="H315" s="1106"/>
      <c r="I315" s="1106"/>
      <c r="W315" s="1109"/>
      <c r="X315" s="1109"/>
      <c r="Y315" s="1109">
        <v>67.436308043852833</v>
      </c>
      <c r="Z315" s="1109">
        <v>62.349256296915101</v>
      </c>
      <c r="AA315" s="1109">
        <v>55.723852416484135</v>
      </c>
      <c r="AB315" s="1109">
        <v>48.766845900171376</v>
      </c>
      <c r="AC315" s="1109">
        <v>45.591196034848345</v>
      </c>
      <c r="AD315" s="1109">
        <v>42.400045366295949</v>
      </c>
      <c r="AE315" s="1109">
        <v>40.588925030079174</v>
      </c>
      <c r="AF315" s="1109">
        <v>36.956245433800177</v>
      </c>
      <c r="AG315" s="1109">
        <v>35.14084796254204</v>
      </c>
      <c r="AH315" s="1109">
        <v>29.794152324756425</v>
      </c>
      <c r="AI315" s="1109">
        <v>29.011565918337496</v>
      </c>
      <c r="AJ315" s="1109">
        <v>29.526364089339364</v>
      </c>
      <c r="AK315" s="1109">
        <v>29.058764593383135</v>
      </c>
      <c r="AL315" s="1109">
        <v>27.369346971621127</v>
      </c>
      <c r="AM315" s="1109">
        <v>27.957156468844524</v>
      </c>
      <c r="AN315" s="1109">
        <v>23.838428812073715</v>
      </c>
      <c r="AO315" s="1109">
        <v>21.723200858045967</v>
      </c>
      <c r="AP315" s="1109">
        <v>21.000000000000046</v>
      </c>
      <c r="AQ315" s="1109">
        <v>21.486127985231931</v>
      </c>
      <c r="AR315" s="1109">
        <v>14.999999999999988</v>
      </c>
      <c r="AS315" s="1109">
        <v>15.012670915045575</v>
      </c>
      <c r="AT315" s="1109">
        <v>15.012581624918361</v>
      </c>
      <c r="AU315" s="1109">
        <v>17.321386312408073</v>
      </c>
      <c r="AV315" s="1109">
        <v>16.999999999999954</v>
      </c>
      <c r="AW315" s="1109">
        <v>16.999999999999961</v>
      </c>
      <c r="AX315" s="1109">
        <v>15.999999999999929</v>
      </c>
      <c r="AY315" s="1109">
        <v>11.95721760871009</v>
      </c>
      <c r="AZ315" s="1109">
        <v>13.144660196004518</v>
      </c>
      <c r="BA315" s="1109">
        <v>13.829086210931733</v>
      </c>
      <c r="BB315" s="1109">
        <v>11.897930485662348</v>
      </c>
      <c r="BC315" s="1109">
        <v>11.25823102989386</v>
      </c>
      <c r="BD315" s="1109">
        <v>10.924549248524379</v>
      </c>
      <c r="BE315" s="1109">
        <v>9.9392177174312764</v>
      </c>
      <c r="BF315" s="1109">
        <v>10.523185240528907</v>
      </c>
      <c r="BG315" s="1109">
        <v>8.1438869468330815</v>
      </c>
      <c r="BH315" s="1109">
        <v>8.1187422495741757</v>
      </c>
      <c r="BI315" s="1109">
        <v>8.8439343410640046</v>
      </c>
      <c r="BJ315" s="1109">
        <v>8.6965138354851081</v>
      </c>
      <c r="BK315" s="1109">
        <v>7.8108827786465831</v>
      </c>
      <c r="BL315" s="1109">
        <v>7.8944052233759363</v>
      </c>
      <c r="BM315" s="1109">
        <v>10.139815517204962</v>
      </c>
      <c r="BN315" s="1109">
        <v>8.8353362860421925</v>
      </c>
      <c r="BO315" s="1109">
        <v>11.909912445362659</v>
      </c>
      <c r="BP315" s="1109">
        <v>11.786736068230118</v>
      </c>
      <c r="BQ315" s="1109">
        <v>7.2583193517829141</v>
      </c>
      <c r="BR315" s="1109">
        <v>6.6505056002109058</v>
      </c>
      <c r="BS315" s="1109">
        <v>6.2034784675335919</v>
      </c>
      <c r="BT315" s="1109">
        <v>5.5713298254167318</v>
      </c>
    </row>
    <row r="316" spans="4:84" ht="14.45" hidden="1" outlineLevel="1" collapsed="1">
      <c r="D316" s="1432"/>
      <c r="E316" s="1440"/>
      <c r="F316" s="1106"/>
      <c r="G316" s="1106"/>
      <c r="H316" s="1106"/>
      <c r="I316" s="1106"/>
    </row>
    <row r="317" spans="4:84" ht="14.45" collapsed="1">
      <c r="D317" s="1434" t="s">
        <v>1157</v>
      </c>
      <c r="E317" s="1433" t="s">
        <v>1122</v>
      </c>
      <c r="F317" s="1107" t="s">
        <v>1068</v>
      </c>
      <c r="G317" s="1107"/>
      <c r="H317" s="1107"/>
      <c r="I317" s="1107"/>
      <c r="K317" s="1108"/>
      <c r="L317" s="1108"/>
      <c r="M317" s="1108"/>
      <c r="N317" s="1108"/>
      <c r="O317" s="1108"/>
      <c r="P317" s="1108"/>
      <c r="Q317" s="1108"/>
      <c r="R317" s="1108"/>
      <c r="S317" s="1108"/>
      <c r="T317" s="1108"/>
      <c r="U317" s="1108"/>
      <c r="V317" s="1108"/>
      <c r="W317" s="1108"/>
      <c r="X317" s="1108"/>
      <c r="Y317" s="1108">
        <v>67.277853215816947</v>
      </c>
      <c r="Z317" s="1108">
        <v>76.10387781913991</v>
      </c>
      <c r="AA317" s="1108">
        <v>84.370506225061021</v>
      </c>
      <c r="AB317" s="1108">
        <v>92.194418419208631</v>
      </c>
      <c r="AC317" s="1108">
        <v>99.000153578004543</v>
      </c>
      <c r="AD317" s="1108">
        <v>110.4582788047456</v>
      </c>
      <c r="AE317" s="1108">
        <v>118.79544391456275</v>
      </c>
      <c r="AF317" s="1108">
        <v>127.3111132554114</v>
      </c>
      <c r="AG317" s="1108">
        <v>136.29008860924091</v>
      </c>
      <c r="AH317" s="1108">
        <v>144.9177796246596</v>
      </c>
      <c r="AI317" s="1108">
        <v>153.95244293924799</v>
      </c>
      <c r="AJ317" s="1108">
        <v>164.28668910497055</v>
      </c>
      <c r="AK317" s="1108">
        <v>176.20317754051044</v>
      </c>
      <c r="AL317" s="1108">
        <v>185.76739326028999</v>
      </c>
      <c r="AM317" s="1108">
        <v>195.49813130621519</v>
      </c>
      <c r="AN317" s="1108">
        <v>206.32975572534176</v>
      </c>
      <c r="AO317" s="1108">
        <v>216.28990839885751</v>
      </c>
      <c r="AP317" s="1108">
        <v>225.43408777714805</v>
      </c>
      <c r="AQ317" s="1108">
        <v>235.0744426092464</v>
      </c>
      <c r="AR317" s="1108">
        <v>241.8234381776941</v>
      </c>
      <c r="AS317" s="1108">
        <v>248.7473751645945</v>
      </c>
      <c r="AT317" s="1108">
        <v>259.27766273370935</v>
      </c>
      <c r="AU317" s="1108">
        <v>275.37542576564061</v>
      </c>
      <c r="AV317" s="1108">
        <v>280.60048739618134</v>
      </c>
      <c r="AW317" s="1108">
        <v>291.03442894257546</v>
      </c>
      <c r="AX317" s="1108">
        <v>302.03108577683207</v>
      </c>
      <c r="AY317" s="1108">
        <v>312.22388726095517</v>
      </c>
      <c r="AZ317" s="1108">
        <v>319.96649188141276</v>
      </c>
      <c r="BA317" s="1108">
        <v>330.3061011198547</v>
      </c>
      <c r="BB317" s="1108">
        <v>340.83377248221848</v>
      </c>
      <c r="BC317" s="1108">
        <v>351.02459034080766</v>
      </c>
      <c r="BD317" s="1108">
        <v>355.45082656960363</v>
      </c>
      <c r="BE317" s="1108">
        <v>364.72529365837983</v>
      </c>
      <c r="BF317" s="1108">
        <v>375.71340705771917</v>
      </c>
      <c r="BG317" s="1108">
        <v>380.81521119369171</v>
      </c>
      <c r="BH317" s="1108">
        <v>384.35335052804186</v>
      </c>
      <c r="BI317" s="1108">
        <v>397.5580913665986</v>
      </c>
      <c r="BJ317" s="1108">
        <v>408.66128697228885</v>
      </c>
      <c r="BK317" s="1108">
        <v>412.24214789386491</v>
      </c>
      <c r="BL317" s="1108">
        <v>414.53631328137891</v>
      </c>
      <c r="BM317" s="1108">
        <v>440.79549888930052</v>
      </c>
      <c r="BN317" s="1108">
        <v>447.4060011194241</v>
      </c>
      <c r="BO317" s="1108">
        <v>454.99309713412077</v>
      </c>
      <c r="BP317" s="1108">
        <v>463.65013110687238</v>
      </c>
      <c r="BQ317" s="1108">
        <v>473.39343834599924</v>
      </c>
      <c r="BR317" s="1108">
        <v>478.51461508405703</v>
      </c>
      <c r="BS317" s="1108">
        <v>484.22280770867752</v>
      </c>
      <c r="BT317" s="1108">
        <v>490.93762754943276</v>
      </c>
    </row>
    <row r="318" spans="4:84" ht="14.45" hidden="1" outlineLevel="1">
      <c r="D318" s="1432"/>
      <c r="E318" s="1440"/>
      <c r="F318" s="1107" t="s">
        <v>1069</v>
      </c>
      <c r="G318" s="1107"/>
      <c r="H318" s="1107"/>
      <c r="I318" s="1107"/>
      <c r="X318" s="1109"/>
      <c r="Y318" s="1109">
        <v>69.673337794693182</v>
      </c>
      <c r="Z318" s="1109">
        <v>64.696325673894279</v>
      </c>
      <c r="AA318" s="1109">
        <v>61.008938489925626</v>
      </c>
      <c r="AB318" s="1109">
        <v>53.830015200022629</v>
      </c>
      <c r="AC318" s="1109">
        <v>47.151178056213183</v>
      </c>
      <c r="AD318" s="1109">
        <v>45.141459239762497</v>
      </c>
      <c r="AE318" s="1109">
        <v>40.802099252162968</v>
      </c>
      <c r="AF318" s="1109">
        <v>38.089827386867306</v>
      </c>
      <c r="AG318" s="1109">
        <v>37.666542609809945</v>
      </c>
      <c r="AH318" s="1109">
        <v>31.196847527225387</v>
      </c>
      <c r="AI318" s="1109">
        <v>29.59456850043005</v>
      </c>
      <c r="AJ318" s="1109">
        <v>29.043478533864359</v>
      </c>
      <c r="AK318" s="1109">
        <v>29.285393632478197</v>
      </c>
      <c r="AL318" s="1109">
        <v>28.188131050194006</v>
      </c>
      <c r="AM318" s="1109">
        <v>26.986053338147915</v>
      </c>
      <c r="AN318" s="1109">
        <v>25.59128000534961</v>
      </c>
      <c r="AO318" s="1109">
        <v>22.750288285312465</v>
      </c>
      <c r="AP318" s="1109">
        <v>21.35288320554654</v>
      </c>
      <c r="AQ318" s="1109">
        <v>20.243830996543664</v>
      </c>
      <c r="AR318" s="1109">
        <v>17.202406084171482</v>
      </c>
      <c r="AS318" s="1109">
        <v>15.006463780955784</v>
      </c>
      <c r="AT318" s="1109">
        <v>15.012625326661876</v>
      </c>
      <c r="AU318" s="1109">
        <v>17.143923732868192</v>
      </c>
      <c r="AV318" s="1109">
        <v>16.035273301338766</v>
      </c>
      <c r="AW318" s="1109">
        <v>16.999999999999957</v>
      </c>
      <c r="AX318" s="1109">
        <v>16.48943553114043</v>
      </c>
      <c r="AY318" s="1109">
        <v>13.381172772720317</v>
      </c>
      <c r="AZ318" s="1109">
        <v>14.029200323394434</v>
      </c>
      <c r="BA318" s="1109">
        <v>13.493823503963515</v>
      </c>
      <c r="BB318" s="1109">
        <v>12.84724935037228</v>
      </c>
      <c r="BC318" s="1109">
        <v>12.427205176464625</v>
      </c>
      <c r="BD318" s="1109">
        <v>11.090015857454915</v>
      </c>
      <c r="BE318" s="1109">
        <v>10.420392606080199</v>
      </c>
      <c r="BF318" s="1109">
        <v>10.233620430710218</v>
      </c>
      <c r="BG318" s="1109">
        <v>8.4867618032003147</v>
      </c>
      <c r="BH318" s="1109">
        <v>8.1312299193032231</v>
      </c>
      <c r="BI318" s="1109">
        <v>9.0020621764093054</v>
      </c>
      <c r="BJ318" s="1109">
        <v>8.7694182043144515</v>
      </c>
      <c r="BK318" s="1109">
        <v>8.2525423818190689</v>
      </c>
      <c r="BL318" s="1109">
        <v>7.8529204212400758</v>
      </c>
      <c r="BM318" s="1109">
        <v>10.875745824735732</v>
      </c>
      <c r="BN318" s="1109">
        <v>9.4808868327580349</v>
      </c>
      <c r="BO318" s="1109">
        <v>10.370348946285436</v>
      </c>
      <c r="BP318" s="1109">
        <v>11.847892754369145</v>
      </c>
      <c r="BQ318" s="1109">
        <v>7.3952523423759438</v>
      </c>
      <c r="BR318" s="1109">
        <v>6.9531061020187872</v>
      </c>
      <c r="BS318" s="1109">
        <v>6.4242096767328647</v>
      </c>
      <c r="BT318" s="1109">
        <v>5.8853636852030897</v>
      </c>
    </row>
    <row r="319" spans="4:84" ht="14.45" hidden="1" outlineLevel="1" collapsed="1">
      <c r="D319" s="1432"/>
      <c r="E319" s="1440"/>
      <c r="F319" s="1107"/>
      <c r="G319" s="1107"/>
      <c r="H319" s="1107"/>
      <c r="I319" s="1107"/>
    </row>
    <row r="320" spans="4:84" ht="14.45" collapsed="1">
      <c r="D320" s="1434" t="s">
        <v>1158</v>
      </c>
      <c r="E320" s="1433" t="s">
        <v>1153</v>
      </c>
      <c r="F320" s="1106" t="s">
        <v>1068</v>
      </c>
      <c r="G320" s="1106"/>
      <c r="H320" s="1106"/>
      <c r="I320" s="1106"/>
      <c r="K320" s="1108"/>
      <c r="L320" s="1108"/>
      <c r="M320" s="1108"/>
      <c r="N320" s="1108"/>
      <c r="O320" s="1108"/>
      <c r="P320" s="1108"/>
      <c r="Q320" s="1108"/>
      <c r="R320" s="1108"/>
      <c r="S320" s="1108"/>
      <c r="T320" s="1108"/>
      <c r="U320" s="1108"/>
      <c r="V320" s="1108"/>
      <c r="W320" s="1108"/>
      <c r="X320" s="1108"/>
      <c r="Y320" s="1108">
        <v>21.467160411882585</v>
      </c>
      <c r="Z320" s="1108">
        <v>21.59152705631459</v>
      </c>
      <c r="AA320" s="1108">
        <v>21.47960395869864</v>
      </c>
      <c r="AB320" s="1108">
        <v>22.073633520693864</v>
      </c>
      <c r="AC320" s="1108">
        <v>22.524738796874242</v>
      </c>
      <c r="AD320" s="1108">
        <v>22.162324024734435</v>
      </c>
      <c r="AE320" s="1108">
        <v>22.358499453020471</v>
      </c>
      <c r="AF320" s="1108">
        <v>23.287153199316833</v>
      </c>
      <c r="AG320" s="1108">
        <v>24.370386083572445</v>
      </c>
      <c r="AH320" s="1108">
        <v>24.334280987455209</v>
      </c>
      <c r="AI320" s="1108">
        <v>24.892103931247696</v>
      </c>
      <c r="AJ320" s="1108">
        <v>25.707553646987371</v>
      </c>
      <c r="AK320" s="1108">
        <v>25.629057626928471</v>
      </c>
      <c r="AL320" s="1108">
        <v>25.401017544782846</v>
      </c>
      <c r="AM320" s="1108">
        <v>25.45737311321917</v>
      </c>
      <c r="AN320" s="1108">
        <v>26.824431787095037</v>
      </c>
      <c r="AO320" s="1108">
        <v>26.089353167529573</v>
      </c>
      <c r="AP320" s="1108">
        <v>26.572083988078184</v>
      </c>
      <c r="AQ320" s="1108">
        <v>26.359602534714131</v>
      </c>
      <c r="AR320" s="1108">
        <v>27.354576623956017</v>
      </c>
      <c r="AS320" s="1108">
        <v>27.462180702982938</v>
      </c>
      <c r="AT320" s="1108">
        <v>28.02063490759101</v>
      </c>
      <c r="AU320" s="1108">
        <v>27.524403445114842</v>
      </c>
      <c r="AV320" s="1108">
        <v>29.396506153710174</v>
      </c>
      <c r="AW320" s="1108">
        <v>28.800374487273153</v>
      </c>
      <c r="AX320" s="1108">
        <v>28.600439505146227</v>
      </c>
      <c r="AY320" s="1108">
        <v>28.411159427605142</v>
      </c>
      <c r="AZ320" s="1108">
        <v>29.735825005583777</v>
      </c>
      <c r="BA320" s="1108">
        <v>28.508274370056252</v>
      </c>
      <c r="BB320" s="1108">
        <v>28.39785170951351</v>
      </c>
      <c r="BC320" s="1108">
        <v>28.51049450455325</v>
      </c>
      <c r="BD320" s="1108">
        <v>30.229822213399505</v>
      </c>
      <c r="BE320" s="1108">
        <v>28.811070336925003</v>
      </c>
      <c r="BF320" s="1108">
        <v>28.596511907404373</v>
      </c>
      <c r="BG320" s="1108">
        <v>29.276762334238803</v>
      </c>
      <c r="BH320" s="1108">
        <v>31.148664503865763</v>
      </c>
      <c r="BI320" s="1108">
        <v>29.444324309244397</v>
      </c>
      <c r="BJ320" s="1108">
        <v>29.049005439827621</v>
      </c>
      <c r="BK320" s="1108">
        <v>29.937804874762787</v>
      </c>
      <c r="BL320" s="1108">
        <v>32.124592673628811</v>
      </c>
      <c r="BM320" s="1108">
        <v>28.898077837558322</v>
      </c>
      <c r="BN320" s="1108">
        <v>29.26773581988839</v>
      </c>
      <c r="BO320" s="1108">
        <v>29.438561786635958</v>
      </c>
      <c r="BP320" s="1108">
        <v>30.041948721175668</v>
      </c>
      <c r="BQ320" s="1108">
        <v>28.437454358984692</v>
      </c>
      <c r="BR320" s="1108">
        <v>28.153728202177341</v>
      </c>
      <c r="BS320" s="1108">
        <v>28.325885771012775</v>
      </c>
      <c r="BT320" s="1108">
        <v>29.390906326731454</v>
      </c>
    </row>
    <row r="321" spans="4:84" ht="14.45" hidden="1" outlineLevel="1">
      <c r="D321" s="1432"/>
      <c r="E321" s="1440"/>
      <c r="F321" s="1106" t="s">
        <v>1069</v>
      </c>
      <c r="G321" s="1106"/>
      <c r="H321" s="1106"/>
      <c r="I321" s="1106"/>
      <c r="X321" s="1109"/>
      <c r="Y321" s="1109">
        <v>-6.9999229334260145</v>
      </c>
      <c r="Z321" s="1109">
        <v>-3.0832873330513615</v>
      </c>
      <c r="AA321" s="1109">
        <v>1.7859688108407459</v>
      </c>
      <c r="AB321" s="1109">
        <v>4.312760989841192</v>
      </c>
      <c r="AC321" s="1109">
        <v>4.9264940714108736</v>
      </c>
      <c r="AD321" s="1109">
        <v>2.6436155577653402</v>
      </c>
      <c r="AE321" s="1109">
        <v>4.0917676881370211</v>
      </c>
      <c r="AF321" s="1109">
        <v>5.4975981978014792</v>
      </c>
      <c r="AG321" s="1109">
        <v>8.1938676552126015</v>
      </c>
      <c r="AH321" s="1109">
        <v>9.8002220358151266</v>
      </c>
      <c r="AI321" s="1109">
        <v>11.331728605270753</v>
      </c>
      <c r="AJ321" s="1109">
        <v>10.393715483185572</v>
      </c>
      <c r="AK321" s="1109">
        <v>5.1647583220048778</v>
      </c>
      <c r="AL321" s="1109">
        <v>4.3836781447438709</v>
      </c>
      <c r="AM321" s="1109">
        <v>2.2708774779856045</v>
      </c>
      <c r="AN321" s="1109">
        <v>4.3445524044974659</v>
      </c>
      <c r="AO321" s="1109">
        <v>1.795990891672385</v>
      </c>
      <c r="AP321" s="1109">
        <v>4.6103131153337005</v>
      </c>
      <c r="AQ321" s="1109">
        <v>3.5440790276450951</v>
      </c>
      <c r="AR321" s="1109">
        <v>1.9763506681846206</v>
      </c>
      <c r="AS321" s="1109">
        <v>5.262022123116358</v>
      </c>
      <c r="AT321" s="1109">
        <v>5.4514012531449625</v>
      </c>
      <c r="AU321" s="1109">
        <v>4.4188864717012821</v>
      </c>
      <c r="AV321" s="1109">
        <v>7.4646723940370485</v>
      </c>
      <c r="AW321" s="1109">
        <v>4.8728606033273278</v>
      </c>
      <c r="AX321" s="1109">
        <v>2.0692057816225407</v>
      </c>
      <c r="AY321" s="1109">
        <v>3.2217082715654106</v>
      </c>
      <c r="AZ321" s="1109">
        <v>1.1542829277035609</v>
      </c>
      <c r="BA321" s="1109">
        <v>-1.0142233301375276</v>
      </c>
      <c r="BB321" s="1109">
        <v>-0.70833805052633458</v>
      </c>
      <c r="BC321" s="1109">
        <v>0.34963401335741096</v>
      </c>
      <c r="BD321" s="1109">
        <v>1.6612863699694391</v>
      </c>
      <c r="BE321" s="1109">
        <v>1.0621336210612338</v>
      </c>
      <c r="BF321" s="1109">
        <v>0.69956065664048217</v>
      </c>
      <c r="BG321" s="1109">
        <v>2.6876693757913488</v>
      </c>
      <c r="BH321" s="1109">
        <v>3.0395226408542286</v>
      </c>
      <c r="BI321" s="1109">
        <v>2.1979536508499655</v>
      </c>
      <c r="BJ321" s="1109">
        <v>1.5823382022549577</v>
      </c>
      <c r="BK321" s="1109">
        <v>2.2579086204177097</v>
      </c>
      <c r="BL321" s="1109">
        <v>3.1331300564810038</v>
      </c>
      <c r="BM321" s="1109">
        <v>-1.8551842655617485</v>
      </c>
      <c r="BN321" s="1109">
        <v>0.75297028847975378</v>
      </c>
      <c r="BO321" s="1109">
        <v>-1.6676008485434559</v>
      </c>
      <c r="BP321" s="1109">
        <v>-6.4830205743364733</v>
      </c>
      <c r="BQ321" s="1109">
        <v>-1.5939588825349702</v>
      </c>
      <c r="BR321" s="1109">
        <v>-3.8062651124315687</v>
      </c>
      <c r="BS321" s="1109">
        <v>-3.7796548068061457</v>
      </c>
      <c r="BT321" s="1109">
        <v>-2.1671110635553221</v>
      </c>
    </row>
    <row r="322" spans="4:84" ht="14.45" hidden="1" outlineLevel="1" collapsed="1">
      <c r="D322" s="1432"/>
      <c r="E322" s="1440"/>
      <c r="F322" s="1106"/>
      <c r="G322" s="1106"/>
      <c r="H322" s="1106"/>
      <c r="I322" s="1106"/>
    </row>
    <row r="323" spans="4:84" ht="14.45" collapsed="1">
      <c r="D323" s="1431" t="s">
        <v>1138</v>
      </c>
      <c r="E323" s="1433" t="s">
        <v>1067</v>
      </c>
      <c r="F323" s="1107" t="s">
        <v>1068</v>
      </c>
      <c r="G323" s="1107"/>
      <c r="H323" s="1107"/>
      <c r="I323" s="1107"/>
      <c r="J323" s="1108"/>
      <c r="K323" s="1108"/>
      <c r="L323" s="1108"/>
      <c r="M323" s="1108"/>
      <c r="N323" s="1108"/>
      <c r="O323" s="1108"/>
      <c r="P323" s="1108"/>
      <c r="Q323" s="1108"/>
      <c r="R323" s="1108"/>
      <c r="S323" s="1108"/>
      <c r="T323" s="1108"/>
      <c r="U323" s="1108"/>
      <c r="V323" s="1108"/>
      <c r="W323" s="1108"/>
      <c r="X323" s="1108"/>
      <c r="Y323" s="1108">
        <v>1510.984652201395</v>
      </c>
      <c r="Z323" s="1108">
        <v>1654.367190673428</v>
      </c>
      <c r="AA323" s="1108">
        <v>1827.249752562567</v>
      </c>
      <c r="AB323" s="1108">
        <v>2090.7183541060381</v>
      </c>
      <c r="AC323" s="1108">
        <v>2285.3392454705831</v>
      </c>
      <c r="AD323" s="1108">
        <v>2451.8753157041378</v>
      </c>
      <c r="AE323" s="1108">
        <v>2646.3686969975201</v>
      </c>
      <c r="AF323" s="1108">
        <v>2975.2357035244127</v>
      </c>
      <c r="AG323" s="1108">
        <v>3235.8644983207532</v>
      </c>
      <c r="AH323" s="1108">
        <v>3423.5220813952956</v>
      </c>
      <c r="AI323" s="1108">
        <v>3750.6286204096837</v>
      </c>
      <c r="AJ323" s="1108">
        <v>4119.6407435457268</v>
      </c>
      <c r="AK323" s="1108">
        <v>4417.1601410598305</v>
      </c>
      <c r="AL323" s="1108">
        <v>4583.9193397147174</v>
      </c>
      <c r="AM323" s="1108">
        <v>4868.2323394841424</v>
      </c>
      <c r="AN323" s="1108">
        <v>5386.9782767150409</v>
      </c>
      <c r="AO323" s="1108">
        <v>5529.5967925401173</v>
      </c>
      <c r="AP323" s="1108">
        <v>5831.8263086453671</v>
      </c>
      <c r="AQ323" s="1108">
        <v>6085.2372416589815</v>
      </c>
      <c r="AR323" s="1108">
        <v>6424.2016361840151</v>
      </c>
      <c r="AS323" s="1108">
        <v>6694.9386227380055</v>
      </c>
      <c r="AT323" s="1108">
        <v>7063.9012301063131</v>
      </c>
      <c r="AU323" s="1108">
        <v>7421.6164754291458</v>
      </c>
      <c r="AV323" s="1108">
        <v>8016.4673329722364</v>
      </c>
      <c r="AW323" s="1108">
        <v>8227.5587112677749</v>
      </c>
      <c r="AX323" s="1108">
        <v>8416.6418664524954</v>
      </c>
      <c r="AY323" s="1108">
        <v>8701.4871182841489</v>
      </c>
      <c r="AZ323" s="1108">
        <v>9198.1866375030058</v>
      </c>
      <c r="BA323" s="1108">
        <v>9176.7888825484297</v>
      </c>
      <c r="BB323" s="1108">
        <v>9458.8827885756073</v>
      </c>
      <c r="BC323" s="1108">
        <v>9873.079271903709</v>
      </c>
      <c r="BD323" s="1108">
        <v>10368.148215894378</v>
      </c>
      <c r="BE323" s="1108">
        <v>10332.419042371066</v>
      </c>
      <c r="BF323" s="1108">
        <v>10588.582226367389</v>
      </c>
      <c r="BG323" s="1108">
        <v>10978.442778253388</v>
      </c>
      <c r="BH323" s="1108">
        <v>11506.725402682652</v>
      </c>
      <c r="BI323" s="1108">
        <v>11478.3105092715</v>
      </c>
      <c r="BJ323" s="1108">
        <v>11778.1090637904</v>
      </c>
      <c r="BK323" s="1108">
        <v>12192.455257180343</v>
      </c>
      <c r="BL323" s="1108">
        <v>12745.110497621465</v>
      </c>
      <c r="BM323" s="1108">
        <v>12963.868083725367</v>
      </c>
      <c r="BN323" s="1108">
        <v>13351.660093682651</v>
      </c>
      <c r="BO323" s="1108">
        <v>13777.991662594966</v>
      </c>
      <c r="BP323" s="1108">
        <v>14365.305970740499</v>
      </c>
      <c r="BQ323" s="1108">
        <v>14351.345197834526</v>
      </c>
      <c r="BR323" s="1108">
        <v>14607.593709848825</v>
      </c>
      <c r="BS323" s="1108">
        <v>15091.687953572075</v>
      </c>
      <c r="BT323" s="1108">
        <v>15817.484264434899</v>
      </c>
      <c r="BU323" s="1108">
        <v>17778.346163409002</v>
      </c>
      <c r="BV323" s="1108">
        <v>18736.5780521651</v>
      </c>
      <c r="BW323" s="1108">
        <v>19420.803410451899</v>
      </c>
      <c r="BX323" s="1108">
        <v>19915.340011619501</v>
      </c>
      <c r="BY323" s="1108">
        <v>19987.461173164102</v>
      </c>
      <c r="BZ323" s="1108">
        <v>20996.1128648659</v>
      </c>
      <c r="CA323" s="1108">
        <v>21714.361438904201</v>
      </c>
      <c r="CB323" s="1108">
        <v>22231.583463781099</v>
      </c>
      <c r="CC323" s="1108">
        <v>22299.133967947499</v>
      </c>
      <c r="CD323" s="1108">
        <v>23350.092161015298</v>
      </c>
      <c r="CE323" s="1108">
        <v>24096.1773992454</v>
      </c>
      <c r="CF323" s="1108">
        <v>24631.234767979</v>
      </c>
    </row>
    <row r="324" spans="4:84" ht="14.45" hidden="1" outlineLevel="1">
      <c r="D324" s="1432"/>
      <c r="E324" s="1440"/>
      <c r="F324" s="1107" t="s">
        <v>1069</v>
      </c>
      <c r="G324" s="1107"/>
      <c r="H324" s="1107"/>
      <c r="I324" s="1107"/>
      <c r="W324" s="1109"/>
      <c r="X324" s="1109"/>
      <c r="Y324" s="1109">
        <v>60.214628536551999</v>
      </c>
      <c r="Z324" s="1109">
        <v>46.362522159507996</v>
      </c>
      <c r="AA324" s="1109">
        <v>46.452405387085825</v>
      </c>
      <c r="AB324" s="1109">
        <v>42.939348011695863</v>
      </c>
      <c r="AC324" s="1109">
        <v>51.248342737367302</v>
      </c>
      <c r="AD324" s="1109">
        <v>48.206234355147934</v>
      </c>
      <c r="AE324" s="1109">
        <v>44.82796855143674</v>
      </c>
      <c r="AF324" s="1109">
        <v>42.30686298234474</v>
      </c>
      <c r="AG324" s="1109">
        <v>41.592304281916086</v>
      </c>
      <c r="AH324" s="1109">
        <v>39.628718453495949</v>
      </c>
      <c r="AI324" s="1109">
        <v>41.727364923301096</v>
      </c>
      <c r="AJ324" s="1109">
        <v>38.46434884690553</v>
      </c>
      <c r="AK324" s="1109">
        <v>36.50633836342989</v>
      </c>
      <c r="AL324" s="1109">
        <v>33.894837852089701</v>
      </c>
      <c r="AM324" s="1109">
        <v>29.797770778818993</v>
      </c>
      <c r="AN324" s="1109">
        <v>30.763302240732077</v>
      </c>
      <c r="AO324" s="1109">
        <v>25.184431081400067</v>
      </c>
      <c r="AP324" s="1109">
        <v>27.223580443898342</v>
      </c>
      <c r="AQ324" s="1109">
        <v>24.998907556326657</v>
      </c>
      <c r="AR324" s="1109">
        <v>19.254270319825181</v>
      </c>
      <c r="AS324" s="1109">
        <v>21.074625762406953</v>
      </c>
      <c r="AT324" s="1109">
        <v>21.126742400308824</v>
      </c>
      <c r="AU324" s="1109">
        <v>21.961004652726331</v>
      </c>
      <c r="AV324" s="1109">
        <v>24.785425286464534</v>
      </c>
      <c r="AW324" s="1109">
        <v>22.892220151571443</v>
      </c>
      <c r="AX324" s="1109">
        <v>19.150050266569529</v>
      </c>
      <c r="AY324" s="1109">
        <v>17.2451735695625</v>
      </c>
      <c r="AZ324" s="1109">
        <v>14.741147882812214</v>
      </c>
      <c r="BA324" s="1109">
        <v>11.537203253021685</v>
      </c>
      <c r="BB324" s="1109">
        <v>12.383096948408033</v>
      </c>
      <c r="BC324" s="1109">
        <v>13.464274987636676</v>
      </c>
      <c r="BD324" s="1109">
        <v>12.719480746576556</v>
      </c>
      <c r="BE324" s="1109">
        <v>12.592968789118677</v>
      </c>
      <c r="BF324" s="1109">
        <v>11.943265003307021</v>
      </c>
      <c r="BG324" s="1109">
        <v>11.195732110601645</v>
      </c>
      <c r="BH324" s="1109">
        <v>10.981490263061966</v>
      </c>
      <c r="BI324" s="1109">
        <v>11.090253523413779</v>
      </c>
      <c r="BJ324" s="1109">
        <v>11.234052038250075</v>
      </c>
      <c r="BK324" s="1109">
        <v>11.058148258801587</v>
      </c>
      <c r="BL324" s="1109">
        <v>10.762272076555316</v>
      </c>
      <c r="BM324" s="1109">
        <v>12.942301685025178</v>
      </c>
      <c r="BN324" s="1109">
        <v>13.359963143233578</v>
      </c>
      <c r="BO324" s="1109">
        <v>13.004242147871519</v>
      </c>
      <c r="BP324" s="1109">
        <v>12.712290516597724</v>
      </c>
      <c r="BQ324" s="1109">
        <v>10.702647582869</v>
      </c>
      <c r="BR324" s="1109">
        <v>9.4065727209489101</v>
      </c>
      <c r="BS324" s="1109">
        <v>9.5347444181112593</v>
      </c>
      <c r="BT324" s="1109">
        <v>10.108926998507526</v>
      </c>
      <c r="BU324" s="1109">
        <v>23.879301336097583</v>
      </c>
      <c r="BV324" s="1109">
        <v>28.266013036304567</v>
      </c>
      <c r="BW324" s="1109">
        <v>28.685429159401348</v>
      </c>
      <c r="BX324" s="1109">
        <v>25.907127066966634</v>
      </c>
      <c r="BY324" s="1109">
        <v>12.425874653638209</v>
      </c>
      <c r="BZ324" s="1109">
        <v>12.059484962568714</v>
      </c>
      <c r="CA324" s="1109">
        <v>11.809799934527703</v>
      </c>
      <c r="CB324" s="1109">
        <v>11.630448944432773</v>
      </c>
      <c r="CC324" s="1109">
        <v>11.565614936063684</v>
      </c>
      <c r="CD324" s="1109">
        <v>11.211500487256659</v>
      </c>
      <c r="CE324" s="1109">
        <v>10.968851039173801</v>
      </c>
      <c r="CF324" s="1109">
        <v>10.793883881943577</v>
      </c>
    </row>
    <row r="325" spans="4:84" ht="14.45" hidden="1" outlineLevel="1" collapsed="1">
      <c r="D325" s="1432"/>
      <c r="E325" s="1440"/>
      <c r="F325" s="1107"/>
      <c r="G325" s="1107"/>
      <c r="H325" s="1107"/>
      <c r="I325" s="1107"/>
    </row>
    <row r="326" spans="4:84" ht="14.45" collapsed="1">
      <c r="D326" s="1105" t="s">
        <v>366</v>
      </c>
      <c r="F326" s="1106" t="s">
        <v>1065</v>
      </c>
      <c r="G326" s="1106"/>
      <c r="H326" s="1106"/>
      <c r="I326" s="1106"/>
    </row>
    <row r="327" spans="4:84" ht="14.45">
      <c r="D327" s="1105" t="s">
        <v>1159</v>
      </c>
      <c r="F327" s="1106" t="s">
        <v>1065</v>
      </c>
      <c r="G327" s="1106"/>
      <c r="H327" s="1106"/>
      <c r="I327" s="1106"/>
    </row>
    <row r="328" spans="4:84" ht="14.45">
      <c r="D328" s="1434" t="s">
        <v>1136</v>
      </c>
      <c r="E328" s="1433" t="s">
        <v>1067</v>
      </c>
      <c r="F328" s="1107" t="s">
        <v>1068</v>
      </c>
      <c r="G328" s="1107"/>
      <c r="H328" s="1107"/>
      <c r="I328" s="1107"/>
      <c r="J328" s="1108"/>
      <c r="K328" s="1108"/>
      <c r="L328" s="1108"/>
      <c r="M328" s="1108"/>
      <c r="N328" s="1108"/>
      <c r="O328" s="1108"/>
      <c r="P328" s="1108"/>
      <c r="Q328" s="1108"/>
      <c r="R328" s="1108"/>
      <c r="S328" s="1108"/>
      <c r="T328" s="1108"/>
      <c r="U328" s="1108"/>
      <c r="V328" s="1108"/>
      <c r="W328" s="1108"/>
      <c r="X328" s="1108"/>
      <c r="Y328" s="1108">
        <v>724.94324590972349</v>
      </c>
      <c r="Z328" s="1108">
        <v>693.39988738262105</v>
      </c>
      <c r="AA328" s="1108">
        <v>720.33691471789177</v>
      </c>
      <c r="AB328" s="1108">
        <v>829.79075088303796</v>
      </c>
      <c r="AC328" s="1108">
        <v>1002.2667767125405</v>
      </c>
      <c r="AD328" s="1108">
        <v>1093.8022226022076</v>
      </c>
      <c r="AE328" s="1108">
        <v>1023.6611561538501</v>
      </c>
      <c r="AF328" s="1108">
        <v>1133.0298601985164</v>
      </c>
      <c r="AG328" s="1108">
        <v>1063.7951449853524</v>
      </c>
      <c r="AH328" s="1108">
        <v>1159.8265231291025</v>
      </c>
      <c r="AI328" s="1108">
        <v>1105.2937697952827</v>
      </c>
      <c r="AJ328" s="1108">
        <v>1163.0554752205605</v>
      </c>
      <c r="AK328" s="1108">
        <v>1183.7150006977924</v>
      </c>
      <c r="AL328" s="1108">
        <v>1144.2211571910475</v>
      </c>
      <c r="AM328" s="1108">
        <v>1159.3433266562149</v>
      </c>
      <c r="AN328" s="1108">
        <v>1196.1277465292044</v>
      </c>
      <c r="AO328" s="1108">
        <v>1211.1148436137405</v>
      </c>
      <c r="AP328" s="1108">
        <v>1318.6755793559555</v>
      </c>
      <c r="AQ328" s="1108">
        <v>1328.0267360169219</v>
      </c>
      <c r="AR328" s="1108">
        <v>1216.3125696720085</v>
      </c>
      <c r="AS328" s="1108">
        <v>1327.9657973958531</v>
      </c>
      <c r="AT328" s="1108">
        <v>1378.690062229108</v>
      </c>
      <c r="AU328" s="1108">
        <v>1373.175799006747</v>
      </c>
      <c r="AV328" s="1108">
        <v>1431.0877225073475</v>
      </c>
      <c r="AW328" s="1108">
        <v>1450.3906538844835</v>
      </c>
      <c r="AX328" s="1108">
        <v>1567.1548808033531</v>
      </c>
      <c r="AY328" s="1108">
        <v>1500.8621785946084</v>
      </c>
      <c r="AZ328" s="1108">
        <v>1558.8134430698194</v>
      </c>
      <c r="BA328" s="1108">
        <v>1533.493076745734</v>
      </c>
      <c r="BB328" s="1108">
        <v>1480.3327063255406</v>
      </c>
      <c r="BC328" s="1108">
        <v>1441.9446340053012</v>
      </c>
      <c r="BD328" s="1108">
        <v>1505.3282016599155</v>
      </c>
      <c r="BE328" s="1108">
        <v>1548.5911242481661</v>
      </c>
      <c r="BF328" s="1108">
        <v>1544.2762170900867</v>
      </c>
      <c r="BG328" s="1108">
        <v>1511.3557125325678</v>
      </c>
      <c r="BH328" s="1108">
        <v>1576.2113377376133</v>
      </c>
      <c r="BI328" s="1108">
        <v>1645.0107207170427</v>
      </c>
      <c r="BJ328" s="1108">
        <v>1609.7127268877746</v>
      </c>
      <c r="BK328" s="1108">
        <v>1562.7213034826586</v>
      </c>
      <c r="BL328" s="1108">
        <v>1618.813245644872</v>
      </c>
      <c r="BM328" s="1108">
        <v>1705.13523902061</v>
      </c>
      <c r="BN328" s="1108">
        <v>1727.067884750445</v>
      </c>
      <c r="BO328" s="1108">
        <v>1650.2279729207567</v>
      </c>
      <c r="BP328" s="1108">
        <v>1645.6981231162467</v>
      </c>
      <c r="BQ328" s="1108">
        <v>1717.0866754706326</v>
      </c>
      <c r="BR328" s="1108">
        <v>1717.95266171858</v>
      </c>
      <c r="BS328" s="1108">
        <v>1624.2949137758926</v>
      </c>
      <c r="BT328" s="1108">
        <v>1661.9609299876849</v>
      </c>
      <c r="BU328" s="1108">
        <v>1630.0551433389901</v>
      </c>
      <c r="BV328" s="1108">
        <v>1624.7657099574301</v>
      </c>
      <c r="BW328" s="1108">
        <v>1629.2772681067099</v>
      </c>
      <c r="BX328" s="1108">
        <v>1626.4319746763499</v>
      </c>
      <c r="BY328" s="1108">
        <v>1632.17532750341</v>
      </c>
      <c r="BZ328" s="1108">
        <v>1627.1739651591299</v>
      </c>
      <c r="CA328" s="1108">
        <v>1630.6144646564301</v>
      </c>
      <c r="CB328" s="1108">
        <v>1625.96046185212</v>
      </c>
      <c r="CC328" s="1108">
        <v>1632.1453139313301</v>
      </c>
      <c r="CD328" s="1108">
        <v>1626.77902391106</v>
      </c>
      <c r="CE328" s="1108">
        <v>1628.7050167284201</v>
      </c>
      <c r="CF328" s="1108">
        <v>1622.0582615015201</v>
      </c>
    </row>
    <row r="329" spans="4:84" ht="14.45" hidden="1" outlineLevel="1">
      <c r="D329" s="1432"/>
      <c r="E329" s="1440"/>
      <c r="F329" s="1107" t="s">
        <v>1069</v>
      </c>
      <c r="G329" s="1107"/>
      <c r="H329" s="1107"/>
      <c r="I329" s="1107"/>
      <c r="W329" s="1109"/>
      <c r="X329" s="1109"/>
      <c r="Y329" s="1109">
        <v>-4.9452057391632831</v>
      </c>
      <c r="Z329" s="1109">
        <v>-8.762604238400213</v>
      </c>
      <c r="AA329" s="1109">
        <v>3.4285376924823403</v>
      </c>
      <c r="AB329" s="1109">
        <v>21.69364880254583</v>
      </c>
      <c r="AC329" s="1109">
        <v>38.254516111093182</v>
      </c>
      <c r="AD329" s="1109">
        <v>57.744793805921525</v>
      </c>
      <c r="AE329" s="1109">
        <v>42.108662660270625</v>
      </c>
      <c r="AF329" s="1109">
        <v>36.544045470834746</v>
      </c>
      <c r="AG329" s="1109">
        <v>6.1389212635209232</v>
      </c>
      <c r="AH329" s="1109">
        <v>6.0362192691307497</v>
      </c>
      <c r="AI329" s="1109">
        <v>7.9745737298606372</v>
      </c>
      <c r="AJ329" s="1109">
        <v>2.6500285717786274</v>
      </c>
      <c r="AK329" s="1109">
        <v>11.272833522293546</v>
      </c>
      <c r="AL329" s="1109">
        <v>-1.3454913840005311</v>
      </c>
      <c r="AM329" s="1109">
        <v>4.8900625641763069</v>
      </c>
      <c r="AN329" s="1109">
        <v>2.843567827439363</v>
      </c>
      <c r="AO329" s="1109">
        <v>2.3147330987438717</v>
      </c>
      <c r="AP329" s="1109">
        <v>15.246564972909326</v>
      </c>
      <c r="AQ329" s="1109">
        <v>14.549909891423161</v>
      </c>
      <c r="AR329" s="1109">
        <v>1.6875139968430879</v>
      </c>
      <c r="AS329" s="1109">
        <v>9.6482141555999057</v>
      </c>
      <c r="AT329" s="1109">
        <v>4.5511180924775827</v>
      </c>
      <c r="AU329" s="1109">
        <v>3.3997103947800191</v>
      </c>
      <c r="AV329" s="1109">
        <v>17.657891416287459</v>
      </c>
      <c r="AW329" s="1109">
        <v>9.2189766279151257</v>
      </c>
      <c r="AX329" s="1109">
        <v>13.66984674347543</v>
      </c>
      <c r="AY329" s="1109">
        <v>9.2986185512605353</v>
      </c>
      <c r="AZ329" s="1109">
        <v>8.9250797525318113</v>
      </c>
      <c r="BA329" s="1109">
        <v>5.7296579124171041</v>
      </c>
      <c r="BB329" s="1109">
        <v>-5.5401144801530924</v>
      </c>
      <c r="BC329" s="1109">
        <v>-3.9255799386241441</v>
      </c>
      <c r="BD329" s="1109">
        <v>-3.4311508954255459</v>
      </c>
      <c r="BE329" s="1109">
        <v>0.98455270071854983</v>
      </c>
      <c r="BF329" s="1109">
        <v>4.3195364455106651</v>
      </c>
      <c r="BG329" s="1109">
        <v>4.813713154468557</v>
      </c>
      <c r="BH329" s="1109">
        <v>4.708816057490683</v>
      </c>
      <c r="BI329" s="1109">
        <v>6.2262785159438261</v>
      </c>
      <c r="BJ329" s="1109">
        <v>4.2373578685936986</v>
      </c>
      <c r="BK329" s="1109">
        <v>3.3986433851510602</v>
      </c>
      <c r="BL329" s="1109">
        <v>2.7028043059509126</v>
      </c>
      <c r="BM329" s="1109">
        <v>3.654962095162499</v>
      </c>
      <c r="BN329" s="1109">
        <v>7.2904410769967276</v>
      </c>
      <c r="BO329" s="1109">
        <v>5.5996337442307782</v>
      </c>
      <c r="BP329" s="1109">
        <v>1.6607769638470438</v>
      </c>
      <c r="BQ329" s="1109">
        <v>0.700908419257537</v>
      </c>
      <c r="BR329" s="1109">
        <v>-0.52778603043633032</v>
      </c>
      <c r="BS329" s="1109">
        <v>-1.5714834295872975</v>
      </c>
      <c r="BT329" s="1109">
        <v>0.98820109490332475</v>
      </c>
      <c r="BU329" s="1109">
        <v>-5.068557887899761</v>
      </c>
      <c r="BV329" s="1109">
        <v>-5.4243026503378102</v>
      </c>
      <c r="BW329" s="1109">
        <v>0.30673951439244251</v>
      </c>
      <c r="BX329" s="1109">
        <v>-2.1377731973277077</v>
      </c>
      <c r="BY329" s="1109">
        <v>0.13006824788006613</v>
      </c>
      <c r="BZ329" s="1109">
        <v>0.1482216904837885</v>
      </c>
      <c r="CA329" s="1109">
        <v>8.2072988796684496E-2</v>
      </c>
      <c r="CB329" s="1109">
        <v>-2.8990626818173829E-2</v>
      </c>
      <c r="CC329" s="1109">
        <v>-1.8388693649634277E-3</v>
      </c>
      <c r="CD329" s="1109">
        <v>-2.4271605650432293E-2</v>
      </c>
      <c r="CE329" s="1109">
        <v>-0.11709990125791554</v>
      </c>
      <c r="CF329" s="1109">
        <v>-0.23999355717143331</v>
      </c>
    </row>
    <row r="330" spans="4:84" ht="14.45" hidden="1" outlineLevel="1" collapsed="1">
      <c r="D330" s="1432"/>
      <c r="E330" s="1440"/>
      <c r="F330" s="1107"/>
      <c r="G330" s="1107"/>
      <c r="H330" s="1107"/>
      <c r="I330" s="1107"/>
    </row>
    <row r="331" spans="4:84" ht="14.45" collapsed="1">
      <c r="D331" s="1434" t="s">
        <v>1160</v>
      </c>
      <c r="E331" s="1433" t="s">
        <v>1067</v>
      </c>
      <c r="F331" s="1106" t="s">
        <v>1068</v>
      </c>
      <c r="G331" s="1106"/>
      <c r="H331" s="1106"/>
      <c r="I331" s="1106"/>
      <c r="J331" s="1108"/>
      <c r="K331" s="1108"/>
      <c r="L331" s="1108"/>
      <c r="M331" s="1108"/>
      <c r="N331" s="1108"/>
      <c r="O331" s="1108"/>
      <c r="P331" s="1108"/>
      <c r="Q331" s="1108"/>
      <c r="R331" s="1108"/>
      <c r="S331" s="1108"/>
      <c r="T331" s="1108"/>
      <c r="U331" s="1108"/>
      <c r="V331" s="1108"/>
      <c r="W331" s="1108"/>
      <c r="X331" s="1108"/>
      <c r="Y331" s="1108">
        <v>3154.9497205593743</v>
      </c>
      <c r="Z331" s="1108">
        <v>3529.5514718806603</v>
      </c>
      <c r="AA331" s="1108">
        <v>3081.1789265311368</v>
      </c>
      <c r="AB331" s="1108">
        <v>3485.8257721236455</v>
      </c>
      <c r="AC331" s="1108">
        <v>3039.9270979282469</v>
      </c>
      <c r="AD331" s="1108">
        <v>3318.4341705601937</v>
      </c>
      <c r="AE331" s="1108">
        <v>2909.4636366441127</v>
      </c>
      <c r="AF331" s="1108">
        <v>3165.4576444186591</v>
      </c>
      <c r="AG331" s="1108">
        <v>2491.5199762031953</v>
      </c>
      <c r="AH331" s="1108">
        <v>2774.8744208267208</v>
      </c>
      <c r="AI331" s="1108">
        <v>2478.7112573907025</v>
      </c>
      <c r="AJ331" s="1108">
        <v>2490.8258915928031</v>
      </c>
      <c r="AK331" s="1108">
        <v>2183.2998567368431</v>
      </c>
      <c r="AL331" s="1108">
        <v>2282.6253813278045</v>
      </c>
      <c r="AM331" s="1108">
        <v>2100.5621447844378</v>
      </c>
      <c r="AN331" s="1108">
        <v>2130.727609340734</v>
      </c>
      <c r="AO331" s="1108">
        <v>1877.2408765555294</v>
      </c>
      <c r="AP331" s="1108">
        <v>2045.2546185735371</v>
      </c>
      <c r="AQ331" s="1108">
        <v>1721.2643338142527</v>
      </c>
      <c r="AR331" s="1108">
        <v>1466.0605884791551</v>
      </c>
      <c r="AS331" s="1108">
        <v>1404.18103827806</v>
      </c>
      <c r="AT331" s="1108">
        <v>1630.2646348210515</v>
      </c>
      <c r="AU331" s="1108">
        <v>1407.1460861384141</v>
      </c>
      <c r="AV331" s="1108">
        <v>1436.3918330606884</v>
      </c>
      <c r="AW331" s="1108">
        <v>1293.7712448305222</v>
      </c>
      <c r="AX331" s="1108">
        <v>1419.1138537747527</v>
      </c>
      <c r="AY331" s="1108">
        <v>1120.6233684680792</v>
      </c>
      <c r="AZ331" s="1108">
        <v>1098.7784656196357</v>
      </c>
      <c r="BA331" s="1108">
        <v>946.35133123395474</v>
      </c>
      <c r="BB331" s="1108">
        <v>994.09909750429313</v>
      </c>
      <c r="BC331" s="1108">
        <v>826.12636323163088</v>
      </c>
      <c r="BD331" s="1108">
        <v>786.56730910153033</v>
      </c>
      <c r="BE331" s="1108">
        <v>753.81275559640869</v>
      </c>
      <c r="BF331" s="1108">
        <v>776.48071595403792</v>
      </c>
      <c r="BG331" s="1108">
        <v>642.72524016497812</v>
      </c>
      <c r="BH331" s="1108">
        <v>637.80510141151012</v>
      </c>
      <c r="BI331" s="1108">
        <v>638.63688397400017</v>
      </c>
      <c r="BJ331" s="1108">
        <v>625.02620482425368</v>
      </c>
      <c r="BK331" s="1108">
        <v>516.03202314718408</v>
      </c>
      <c r="BL331" s="1108">
        <v>536.07884519309755</v>
      </c>
      <c r="BM331" s="1108">
        <v>451.04808539946208</v>
      </c>
      <c r="BN331" s="1108">
        <v>435.25662606382588</v>
      </c>
      <c r="BO331" s="1108">
        <v>354.9232207917654</v>
      </c>
      <c r="BP331" s="1108">
        <v>386.66814258353247</v>
      </c>
      <c r="BQ331" s="1108">
        <v>377.34768218595298</v>
      </c>
      <c r="BR331" s="1108">
        <v>368.95713304965551</v>
      </c>
      <c r="BS331" s="1108">
        <v>263.95804041710073</v>
      </c>
      <c r="BT331" s="1108">
        <v>301.15700854965201</v>
      </c>
      <c r="BU331" s="1108">
        <v>-402.78364228879298</v>
      </c>
      <c r="BV331" s="1108">
        <v>-416.14133550467301</v>
      </c>
      <c r="BW331" s="1108">
        <v>-475.71490220674599</v>
      </c>
      <c r="BX331" s="1108">
        <v>-404.77501668513599</v>
      </c>
      <c r="BY331" s="1108">
        <v>-509.21599024154102</v>
      </c>
      <c r="BZ331" s="1108">
        <v>-528.44477932044799</v>
      </c>
      <c r="CA331" s="1108">
        <v>-577.71298275578795</v>
      </c>
      <c r="CB331" s="1108">
        <v>-505.076208841484</v>
      </c>
      <c r="CC331" s="1108">
        <v>-611.07760584636878</v>
      </c>
      <c r="CD331" s="1108">
        <v>-635.45454115514303</v>
      </c>
      <c r="CE331" s="1108">
        <v>-677.46504089118707</v>
      </c>
      <c r="CF331" s="1108">
        <v>-602.58964688312665</v>
      </c>
    </row>
    <row r="332" spans="4:84" ht="14.45" hidden="1" outlineLevel="1">
      <c r="D332" s="1432"/>
      <c r="E332" s="1440"/>
      <c r="F332" s="1106" t="s">
        <v>1069</v>
      </c>
      <c r="G332" s="1106"/>
      <c r="H332" s="1106"/>
      <c r="I332" s="1106"/>
      <c r="W332" s="1109"/>
      <c r="X332" s="1109"/>
      <c r="Y332" s="1109">
        <v>-28.97332990264233</v>
      </c>
      <c r="Z332" s="1109">
        <v>-25.718517543585541</v>
      </c>
      <c r="AA332" s="1109">
        <v>-26.705335993010948</v>
      </c>
      <c r="AB332" s="1109">
        <v>-15.754013386580864</v>
      </c>
      <c r="AC332" s="1109">
        <v>-3.6457830653077368</v>
      </c>
      <c r="AD332" s="1109">
        <v>-5.9814201040104509</v>
      </c>
      <c r="AE332" s="1109">
        <v>-5.5730385667782398</v>
      </c>
      <c r="AF332" s="1109">
        <v>-9.1905949593634091</v>
      </c>
      <c r="AG332" s="1109">
        <v>-18.040140571094575</v>
      </c>
      <c r="AH332" s="1109">
        <v>-16.38000700920076</v>
      </c>
      <c r="AI332" s="1109">
        <v>-14.805216117093547</v>
      </c>
      <c r="AJ332" s="1109">
        <v>-21.312297576161473</v>
      </c>
      <c r="AK332" s="1109">
        <v>-12.370766536499778</v>
      </c>
      <c r="AL332" s="1109">
        <v>-17.739506905406557</v>
      </c>
      <c r="AM332" s="1109">
        <v>-15.255875870121955</v>
      </c>
      <c r="AN332" s="1109">
        <v>-14.4569832627602</v>
      </c>
      <c r="AO332" s="1109">
        <v>-14.018183495818528</v>
      </c>
      <c r="AP332" s="1109">
        <v>-10.399024066585499</v>
      </c>
      <c r="AQ332" s="1109">
        <v>-18.056966889170951</v>
      </c>
      <c r="AR332" s="1109">
        <v>-31.194368437701563</v>
      </c>
      <c r="AS332" s="1109">
        <v>-25.199740970134165</v>
      </c>
      <c r="AT332" s="1109">
        <v>-20.290382428859662</v>
      </c>
      <c r="AU332" s="1109">
        <v>-18.2492741820639</v>
      </c>
      <c r="AV332" s="1109">
        <v>-2.023705954011358</v>
      </c>
      <c r="AW332" s="1109">
        <v>-7.862931519352574</v>
      </c>
      <c r="AX332" s="1109">
        <v>-12.951932866376389</v>
      </c>
      <c r="AY332" s="1109">
        <v>-20.361973820119136</v>
      </c>
      <c r="AZ332" s="1109">
        <v>-23.504266709847577</v>
      </c>
      <c r="BA332" s="1109">
        <v>-26.853272167297071</v>
      </c>
      <c r="BB332" s="1109">
        <v>-29.949306402720776</v>
      </c>
      <c r="BC332" s="1109">
        <v>-26.279748711561606</v>
      </c>
      <c r="BD332" s="1109">
        <v>-28.414386183118328</v>
      </c>
      <c r="BE332" s="1109">
        <v>-20.345358989086382</v>
      </c>
      <c r="BF332" s="1109">
        <v>-21.891014899479416</v>
      </c>
      <c r="BG332" s="1109">
        <v>-22.200129572094337</v>
      </c>
      <c r="BH332" s="1109">
        <v>-18.912838859263847</v>
      </c>
      <c r="BI332" s="1109">
        <v>-15.279108872505425</v>
      </c>
      <c r="BJ332" s="1109">
        <v>-19.505250808926625</v>
      </c>
      <c r="BK332" s="1109">
        <v>-19.71187828025452</v>
      </c>
      <c r="BL332" s="1109">
        <v>-15.949426555743251</v>
      </c>
      <c r="BM332" s="1109">
        <v>-29.373311075809255</v>
      </c>
      <c r="BN332" s="1109">
        <v>-30.361859598156794</v>
      </c>
      <c r="BO332" s="1109">
        <v>-31.220698547513742</v>
      </c>
      <c r="BP332" s="1109">
        <v>-27.871031276331525</v>
      </c>
      <c r="BQ332" s="1109">
        <v>-16.339810676335709</v>
      </c>
      <c r="BR332" s="1109">
        <v>-15.23227655687618</v>
      </c>
      <c r="BS332" s="1109">
        <v>-25.629537614287074</v>
      </c>
      <c r="BT332" s="1109">
        <v>-22.11486404401867</v>
      </c>
      <c r="BU332" s="1109">
        <v>-206.74072249642319</v>
      </c>
      <c r="BV332" s="1109">
        <v>-212.78853238722104</v>
      </c>
      <c r="BW332" s="1109">
        <v>-280.22368307289736</v>
      </c>
      <c r="BX332" s="1109">
        <v>-234.40664012253939</v>
      </c>
      <c r="BY332" s="1109">
        <v>-26.424198199299472</v>
      </c>
      <c r="BZ332" s="1109">
        <v>-26.98685139739354</v>
      </c>
      <c r="CA332" s="1109">
        <v>-21.441010167201686</v>
      </c>
      <c r="CB332" s="1109">
        <v>-24.7794918218408</v>
      </c>
      <c r="CC332" s="1109">
        <v>-20.003616845675019</v>
      </c>
      <c r="CD332" s="1109">
        <v>-20.249942098454245</v>
      </c>
      <c r="CE332" s="1109">
        <v>-17.266715672472007</v>
      </c>
      <c r="CF332" s="1109">
        <v>-19.306678147702421</v>
      </c>
    </row>
    <row r="333" spans="4:84" ht="14.45" hidden="1" outlineLevel="1" collapsed="1">
      <c r="D333" s="1432"/>
      <c r="E333" s="1440"/>
      <c r="F333" s="1106"/>
      <c r="G333" s="1106"/>
      <c r="H333" s="1106"/>
      <c r="I333" s="1106"/>
    </row>
    <row r="334" spans="4:84" ht="14.45" collapsed="1">
      <c r="D334" s="1434" t="s">
        <v>1124</v>
      </c>
      <c r="E334" s="1433" t="s">
        <v>1067</v>
      </c>
      <c r="F334" s="1107" t="s">
        <v>1068</v>
      </c>
      <c r="G334" s="1107"/>
      <c r="H334" s="1107"/>
      <c r="I334" s="1107"/>
      <c r="J334" s="1108"/>
      <c r="K334" s="1108"/>
      <c r="L334" s="1108"/>
      <c r="M334" s="1108"/>
      <c r="N334" s="1108"/>
      <c r="O334" s="1108"/>
      <c r="P334" s="1108"/>
      <c r="Q334" s="1108"/>
      <c r="R334" s="1108"/>
      <c r="S334" s="1108"/>
      <c r="T334" s="1108"/>
      <c r="U334" s="1108"/>
      <c r="V334" s="1108"/>
      <c r="W334" s="1108"/>
      <c r="X334" s="1108"/>
      <c r="Y334" s="1108">
        <v>1580.691691395883</v>
      </c>
      <c r="Z334" s="1108">
        <v>1738.0812309203793</v>
      </c>
      <c r="AA334" s="1108">
        <v>1912.2464152294103</v>
      </c>
      <c r="AB334" s="1108">
        <v>2190.2964708873433</v>
      </c>
      <c r="AC334" s="1108">
        <v>2389.0473801389198</v>
      </c>
      <c r="AD334" s="1108">
        <v>2569.460572374026</v>
      </c>
      <c r="AE334" s="1108">
        <v>2776.5462059806828</v>
      </c>
      <c r="AF334" s="1108">
        <v>3120.7961883158305</v>
      </c>
      <c r="AG334" s="1108">
        <v>3387.3262131202659</v>
      </c>
      <c r="AH334" s="1108">
        <v>3590.9443065514124</v>
      </c>
      <c r="AI334" s="1108">
        <v>3937.5120672679641</v>
      </c>
      <c r="AJ334" s="1108">
        <v>4323.5249441235901</v>
      </c>
      <c r="AK334" s="1108">
        <v>4634.9235902344681</v>
      </c>
      <c r="AL334" s="1108">
        <v>4824.5550505355468</v>
      </c>
      <c r="AM334" s="1108">
        <v>5123.4525150483005</v>
      </c>
      <c r="AN334" s="1108">
        <v>5667.7748165869298</v>
      </c>
      <c r="AO334" s="1108">
        <v>5840.5091200181569</v>
      </c>
      <c r="AP334" s="1108">
        <v>6176.7834905091859</v>
      </c>
      <c r="AQ334" s="1108">
        <v>6464.068673158702</v>
      </c>
      <c r="AR334" s="1108">
        <v>6818.9603551252221</v>
      </c>
      <c r="AS334" s="1108">
        <v>7121.391240318776</v>
      </c>
      <c r="AT334" s="1108">
        <v>7540.3602116133834</v>
      </c>
      <c r="AU334" s="1108">
        <v>7968.6319162768395</v>
      </c>
      <c r="AV334" s="1108">
        <v>8602.5896298711141</v>
      </c>
      <c r="AW334" s="1108">
        <v>8850.7500979921388</v>
      </c>
      <c r="AX334" s="1108">
        <v>9100.2593022134042</v>
      </c>
      <c r="AY334" s="1108">
        <v>9433.4671982439631</v>
      </c>
      <c r="AZ334" s="1108">
        <v>9959.3816321453269</v>
      </c>
      <c r="BA334" s="1108">
        <v>9946.6848424548734</v>
      </c>
      <c r="BB334" s="1108">
        <v>10267.282494701984</v>
      </c>
      <c r="BC334" s="1108">
        <v>10739.850513204932</v>
      </c>
      <c r="BD334" s="1108">
        <v>11272.207970582946</v>
      </c>
      <c r="BE334" s="1108">
        <v>11249.987909681025</v>
      </c>
      <c r="BF334" s="1108">
        <v>11578.57076211282</v>
      </c>
      <c r="BG334" s="1108">
        <v>12029.122851956492</v>
      </c>
      <c r="BH334" s="1108">
        <v>12596.929800831407</v>
      </c>
      <c r="BI334" s="1108">
        <v>12721.034405817823</v>
      </c>
      <c r="BJ334" s="1108">
        <v>13116.751017161494</v>
      </c>
      <c r="BK334" s="1108">
        <v>13601.946272769603</v>
      </c>
      <c r="BL334" s="1108">
        <v>14191.037077304785</v>
      </c>
      <c r="BM334" s="1108">
        <v>14778.861531277871</v>
      </c>
      <c r="BN334" s="1108">
        <v>15292.044790606369</v>
      </c>
      <c r="BO334" s="1108">
        <v>15835.080300706568</v>
      </c>
      <c r="BP334" s="1108">
        <v>16504.357603346602</v>
      </c>
      <c r="BQ334" s="1108">
        <v>16499.140429959483</v>
      </c>
      <c r="BR334" s="1108">
        <v>16909.925664571485</v>
      </c>
      <c r="BS334" s="1108">
        <v>17522.871861380103</v>
      </c>
      <c r="BT334" s="1108">
        <v>18332.83772294367</v>
      </c>
      <c r="BU334" s="1108">
        <v>20304.585122120388</v>
      </c>
      <c r="BV334" s="1108">
        <v>21313.341790050719</v>
      </c>
      <c r="BW334" s="1108">
        <v>22049.102423095232</v>
      </c>
      <c r="BX334" s="1108">
        <v>22596.205004515701</v>
      </c>
      <c r="BY334" s="1108">
        <v>22695.134815989259</v>
      </c>
      <c r="BZ334" s="1108">
        <v>23757.93998054757</v>
      </c>
      <c r="CA334" s="1108">
        <v>24531.4250968995</v>
      </c>
      <c r="CB334" s="1108">
        <v>25104.988394936299</v>
      </c>
      <c r="CC334" s="1108">
        <v>25201.272948414258</v>
      </c>
      <c r="CD334" s="1108">
        <v>26310.27392109139</v>
      </c>
      <c r="CE334" s="1108">
        <v>27115.562794523012</v>
      </c>
      <c r="CF334" s="1108">
        <v>27711.007871162172</v>
      </c>
    </row>
    <row r="335" spans="4:84" ht="14.45" hidden="1" outlineLevel="1">
      <c r="D335" s="1432"/>
      <c r="E335" s="1440"/>
      <c r="F335" s="1107" t="s">
        <v>1069</v>
      </c>
      <c r="G335" s="1107"/>
      <c r="H335" s="1107"/>
      <c r="I335" s="1107"/>
      <c r="W335" s="1109"/>
      <c r="X335" s="1109"/>
      <c r="Y335" s="1109">
        <v>55.257485576103058</v>
      </c>
      <c r="Z335" s="1109">
        <v>44.821231723173732</v>
      </c>
      <c r="AA335" s="1109">
        <v>44.830853732991812</v>
      </c>
      <c r="AB335" s="1109">
        <v>41.167451235460383</v>
      </c>
      <c r="AC335" s="1109">
        <v>51.139364693515354</v>
      </c>
      <c r="AD335" s="1109">
        <v>47.833169512647004</v>
      </c>
      <c r="AE335" s="1109">
        <v>45.198138894018172</v>
      </c>
      <c r="AF335" s="1109">
        <v>42.48282046729129</v>
      </c>
      <c r="AG335" s="1109">
        <v>41.785643988496268</v>
      </c>
      <c r="AH335" s="1109">
        <v>39.754793093929329</v>
      </c>
      <c r="AI335" s="1109">
        <v>41.813309599766782</v>
      </c>
      <c r="AJ335" s="1109">
        <v>38.539163829754116</v>
      </c>
      <c r="AK335" s="1109">
        <v>36.831332402584472</v>
      </c>
      <c r="AL335" s="1109">
        <v>34.353380021335973</v>
      </c>
      <c r="AM335" s="1109">
        <v>30.119030177428741</v>
      </c>
      <c r="AN335" s="1109">
        <v>31.09152577667917</v>
      </c>
      <c r="AO335" s="1109">
        <v>26.010904091791115</v>
      </c>
      <c r="AP335" s="1109">
        <v>28.028044572183617</v>
      </c>
      <c r="AQ335" s="1109">
        <v>26.166264919462478</v>
      </c>
      <c r="AR335" s="1109">
        <v>20.311066967045161</v>
      </c>
      <c r="AS335" s="1109">
        <v>21.931001116160182</v>
      </c>
      <c r="AT335" s="1109">
        <v>22.075838066841332</v>
      </c>
      <c r="AU335" s="1109">
        <v>23.275792990344648</v>
      </c>
      <c r="AV335" s="1109">
        <v>26.156909291975751</v>
      </c>
      <c r="AW335" s="1109">
        <v>24.284002933055412</v>
      </c>
      <c r="AX335" s="1109">
        <v>20.687328546950877</v>
      </c>
      <c r="AY335" s="1109">
        <v>18.382519074259541</v>
      </c>
      <c r="AZ335" s="1109">
        <v>15.771901958021687</v>
      </c>
      <c r="BA335" s="1109">
        <v>12.382393947732814</v>
      </c>
      <c r="BB335" s="1109">
        <v>12.824065268170227</v>
      </c>
      <c r="BC335" s="1109">
        <v>13.848389860349034</v>
      </c>
      <c r="BD335" s="1109">
        <v>13.181805727780169</v>
      </c>
      <c r="BE335" s="1109">
        <v>13.102888931026921</v>
      </c>
      <c r="BF335" s="1109">
        <v>12.771522241522762</v>
      </c>
      <c r="BG335" s="1109">
        <v>12.004565027849923</v>
      </c>
      <c r="BH335" s="1109">
        <v>11.752106008916666</v>
      </c>
      <c r="BI335" s="1109">
        <v>13.075982907243027</v>
      </c>
      <c r="BJ335" s="1109">
        <v>13.284716107465336</v>
      </c>
      <c r="BK335" s="1109">
        <v>13.075129751104811</v>
      </c>
      <c r="BL335" s="1109">
        <v>12.654728586073139</v>
      </c>
      <c r="BM335" s="1109">
        <v>16.176570708109423</v>
      </c>
      <c r="BN335" s="1109">
        <v>16.58408984510568</v>
      </c>
      <c r="BO335" s="1109">
        <v>16.417753629916806</v>
      </c>
      <c r="BP335" s="1109">
        <v>16.301278852561289</v>
      </c>
      <c r="BQ335" s="1109">
        <v>11.640131379814521</v>
      </c>
      <c r="BR335" s="1109">
        <v>10.579885791067989</v>
      </c>
      <c r="BS335" s="1109">
        <v>10.658560162768643</v>
      </c>
      <c r="BT335" s="1109">
        <v>11.078771822214433</v>
      </c>
      <c r="BU335" s="1109">
        <v>23.064502713431658</v>
      </c>
      <c r="BV335" s="1109">
        <v>26.040422724654373</v>
      </c>
      <c r="BW335" s="1109">
        <v>25.830415228286913</v>
      </c>
      <c r="BX335" s="1109">
        <v>23.255359295721021</v>
      </c>
      <c r="BY335" s="1109">
        <v>11.773447620284237</v>
      </c>
      <c r="BZ335" s="1109">
        <v>11.469802410985654</v>
      </c>
      <c r="CA335" s="1109">
        <v>11.25815748038873</v>
      </c>
      <c r="CB335" s="1109">
        <v>11.10267582507432</v>
      </c>
      <c r="CC335" s="1109">
        <v>11.042622803277494</v>
      </c>
      <c r="CD335" s="1109">
        <v>10.743077651655025</v>
      </c>
      <c r="CE335" s="1109">
        <v>10.53398931132671</v>
      </c>
      <c r="CF335" s="1109">
        <v>10.380484687861911</v>
      </c>
    </row>
    <row r="336" spans="4:84" ht="14.45" hidden="1" outlineLevel="1" collapsed="1">
      <c r="D336" s="1432"/>
      <c r="E336" s="1440"/>
      <c r="F336" s="1107"/>
      <c r="G336" s="1107"/>
      <c r="H336" s="1107"/>
      <c r="I336" s="1107"/>
    </row>
    <row r="337" spans="3:84" ht="14.45" collapsed="1">
      <c r="D337" s="1434" t="s">
        <v>1070</v>
      </c>
      <c r="E337" s="1433" t="s">
        <v>1067</v>
      </c>
      <c r="F337" s="1106" t="s">
        <v>1068</v>
      </c>
      <c r="G337" s="1106"/>
      <c r="H337" s="1106"/>
      <c r="I337" s="1106"/>
      <c r="AD337" s="1108">
        <v>228</v>
      </c>
      <c r="AE337" s="1108">
        <v>976</v>
      </c>
      <c r="AF337" s="1108">
        <v>1067</v>
      </c>
      <c r="AG337" s="1108">
        <v>1148</v>
      </c>
      <c r="AH337" s="1108">
        <v>1312</v>
      </c>
      <c r="AI337" s="1108">
        <v>1335</v>
      </c>
      <c r="AJ337" s="1108">
        <v>1464</v>
      </c>
      <c r="AK337" s="1108">
        <v>1530</v>
      </c>
      <c r="AL337" s="1108">
        <v>1693</v>
      </c>
      <c r="AM337" s="1108">
        <v>1696</v>
      </c>
      <c r="AN337" s="1108">
        <v>1835</v>
      </c>
      <c r="AO337" s="1108">
        <v>1909</v>
      </c>
      <c r="AP337" s="1108">
        <v>2102</v>
      </c>
      <c r="AQ337" s="1108">
        <v>2050</v>
      </c>
      <c r="AR337" s="1108">
        <v>2016</v>
      </c>
      <c r="AS337" s="1108">
        <v>2206</v>
      </c>
      <c r="AT337" s="1108">
        <v>2577</v>
      </c>
      <c r="AU337" s="1108">
        <v>2562</v>
      </c>
      <c r="AV337" s="1108">
        <v>2944</v>
      </c>
      <c r="AW337" s="1108">
        <v>3136</v>
      </c>
      <c r="AX337" s="1108">
        <v>3531</v>
      </c>
      <c r="AY337" s="1108">
        <v>3437</v>
      </c>
      <c r="AZ337" s="1108">
        <v>3712</v>
      </c>
      <c r="BA337" s="1108">
        <v>3663</v>
      </c>
      <c r="BB337" s="1108">
        <v>3876</v>
      </c>
      <c r="BC337" s="1108">
        <v>3645.1661519646223</v>
      </c>
      <c r="BD337" s="1108">
        <v>3969.9132442627288</v>
      </c>
      <c r="BE337" s="1108">
        <v>4056.897397224257</v>
      </c>
      <c r="BF337" s="1108">
        <v>4345.6173275419287</v>
      </c>
      <c r="BG337" s="1108">
        <v>4120.8924354186356</v>
      </c>
      <c r="BH337" s="1108">
        <v>4487.6897619405527</v>
      </c>
      <c r="BI337" s="1108">
        <v>4649.0533036982233</v>
      </c>
      <c r="BJ337" s="1108">
        <v>4988.4564355406192</v>
      </c>
      <c r="BK337" s="1108">
        <v>4754.9956670471338</v>
      </c>
      <c r="BL337" s="1108">
        <v>5184.8698885043077</v>
      </c>
      <c r="BM337" s="1108">
        <v>5632.4571396531983</v>
      </c>
      <c r="BN337" s="1108">
        <v>6037.5378809199601</v>
      </c>
      <c r="BO337" s="1108">
        <v>5707.2821062054645</v>
      </c>
      <c r="BP337" s="1108">
        <v>6316.1345342800014</v>
      </c>
      <c r="BQ337" s="1108">
        <v>7152.1580908219021</v>
      </c>
      <c r="BR337" s="1108">
        <v>7606.4589398992057</v>
      </c>
      <c r="BS337" s="1108">
        <v>7230.2373607555437</v>
      </c>
      <c r="BT337" s="1108">
        <v>8037.8110525899956</v>
      </c>
      <c r="BU337" s="1108">
        <v>7758.3311166611247</v>
      </c>
      <c r="BV337" s="1108">
        <v>8125.7688622200003</v>
      </c>
      <c r="BW337" s="1108">
        <v>7849.7697914753398</v>
      </c>
      <c r="BX337" s="1108">
        <v>8700.720785816975</v>
      </c>
      <c r="BY337" s="1108">
        <v>8891.9963635304393</v>
      </c>
      <c r="BZ337" s="1108">
        <v>9285.6943649993991</v>
      </c>
      <c r="CA337" s="1108">
        <v>9047.1465499584501</v>
      </c>
      <c r="CB337" s="1108">
        <v>9996.2172733098341</v>
      </c>
      <c r="CC337" s="1108">
        <v>10097.15606128828</v>
      </c>
      <c r="CD337" s="1108">
        <v>10551.198422373351</v>
      </c>
      <c r="CE337" s="1108">
        <v>10274.483609562894</v>
      </c>
      <c r="CF337" s="1108">
        <v>11376.86049277975</v>
      </c>
    </row>
    <row r="338" spans="3:84" ht="14.45" hidden="1" outlineLevel="1">
      <c r="D338" s="1432"/>
      <c r="E338" s="1440"/>
      <c r="F338" s="1106" t="s">
        <v>1069</v>
      </c>
      <c r="G338" s="1106"/>
      <c r="H338" s="1106"/>
      <c r="I338" s="1106"/>
      <c r="AH338" s="1109">
        <v>475.43859649122805</v>
      </c>
      <c r="AI338" s="1109">
        <v>36.782786885245898</v>
      </c>
      <c r="AJ338" s="1109">
        <v>37.207122774133083</v>
      </c>
      <c r="AK338" s="1109">
        <v>33.275261324041807</v>
      </c>
      <c r="AL338" s="1109">
        <v>29.039634146341463</v>
      </c>
      <c r="AM338" s="1109">
        <v>27.04119850187266</v>
      </c>
      <c r="AN338" s="1109">
        <v>25.341530054644807</v>
      </c>
      <c r="AO338" s="1109">
        <v>24.77124183006536</v>
      </c>
      <c r="AP338" s="1109">
        <v>24.158298877731838</v>
      </c>
      <c r="AQ338" s="1109">
        <v>20.872641509433961</v>
      </c>
      <c r="AR338" s="1109">
        <v>9.8637602179836517</v>
      </c>
      <c r="AS338" s="1109">
        <v>15.557883708748035</v>
      </c>
      <c r="AT338" s="1109">
        <v>22.597526165556616</v>
      </c>
      <c r="AU338" s="1109">
        <v>24.975609756097562</v>
      </c>
      <c r="AV338" s="1109">
        <v>46.031746031746032</v>
      </c>
      <c r="AW338" s="1109">
        <v>42.157751586582052</v>
      </c>
      <c r="AX338" s="1109">
        <v>37.019790454016302</v>
      </c>
      <c r="AY338" s="1109">
        <v>34.15300546448087</v>
      </c>
      <c r="AZ338" s="1109">
        <v>26.086956521739129</v>
      </c>
      <c r="BA338" s="1109">
        <v>16.804846938775512</v>
      </c>
      <c r="BB338" s="1109">
        <v>9.770603228547154</v>
      </c>
      <c r="BC338" s="1109">
        <v>6.0566235660349799</v>
      </c>
      <c r="BD338" s="1109">
        <v>6.9480938648364434</v>
      </c>
      <c r="BE338" s="1109">
        <v>10.753409697631914</v>
      </c>
      <c r="BF338" s="1109">
        <v>12.116030122340781</v>
      </c>
      <c r="BG338" s="1109">
        <v>13.050880635375506</v>
      </c>
      <c r="BH338" s="1109">
        <v>13.042514680292028</v>
      </c>
      <c r="BI338" s="1109">
        <v>14.596275145610567</v>
      </c>
      <c r="BJ338" s="1109">
        <v>14.792814450652708</v>
      </c>
      <c r="BK338" s="1109">
        <v>15.387522037179322</v>
      </c>
      <c r="BL338" s="1109">
        <v>15.535390446916336</v>
      </c>
      <c r="BM338" s="1109">
        <v>21.152776096860368</v>
      </c>
      <c r="BN338" s="1109">
        <v>21.030181558870279</v>
      </c>
      <c r="BO338" s="1109">
        <v>20.027072700777104</v>
      </c>
      <c r="BP338" s="1109">
        <v>21.818573466691802</v>
      </c>
      <c r="BQ338" s="1109">
        <v>26.981136535772642</v>
      </c>
      <c r="BR338" s="1109">
        <v>25.986107084104681</v>
      </c>
      <c r="BS338" s="1109">
        <v>26.684422220765764</v>
      </c>
      <c r="BT338" s="1109">
        <v>27.258388955552139</v>
      </c>
      <c r="BU338" s="1109">
        <v>8.4753862839959027</v>
      </c>
      <c r="BV338" s="1109">
        <v>6.8272231063627622</v>
      </c>
      <c r="BW338" s="1109">
        <v>8.5686319799472859</v>
      </c>
      <c r="BX338" s="1109">
        <v>8.2473913468440188</v>
      </c>
      <c r="BY338" s="1109">
        <v>14.612230772604596</v>
      </c>
      <c r="BZ338" s="1109">
        <v>14.274655388887119</v>
      </c>
      <c r="CA338" s="1109">
        <v>15.253654441986725</v>
      </c>
      <c r="CB338" s="1109">
        <v>14.88953064215835</v>
      </c>
      <c r="CC338" s="1109">
        <v>13.553308486502234</v>
      </c>
      <c r="CD338" s="1109">
        <v>13.628534470658657</v>
      </c>
      <c r="CE338" s="1109">
        <v>13.566012806657596</v>
      </c>
      <c r="CF338" s="1109">
        <v>13.811656766967936</v>
      </c>
    </row>
    <row r="339" spans="3:84" ht="14.45" hidden="1" outlineLevel="1" collapsed="1">
      <c r="D339" s="1432"/>
      <c r="E339" s="1440"/>
      <c r="F339" s="1106"/>
      <c r="G339" s="1106"/>
      <c r="H339" s="1106"/>
      <c r="I339" s="1106"/>
    </row>
    <row r="340" spans="3:84" ht="14.45" collapsed="1">
      <c r="D340" s="1434" t="s">
        <v>1143</v>
      </c>
      <c r="E340" s="1433" t="s">
        <v>1067</v>
      </c>
      <c r="F340" s="1107" t="s">
        <v>1068</v>
      </c>
      <c r="G340" s="1107"/>
      <c r="H340" s="1107"/>
      <c r="I340" s="1107"/>
      <c r="J340" s="1108"/>
      <c r="K340" s="1108"/>
      <c r="L340" s="1108"/>
      <c r="M340" s="1108"/>
      <c r="N340" s="1108"/>
      <c r="O340" s="1108"/>
      <c r="P340" s="1108"/>
      <c r="Q340" s="1108"/>
      <c r="R340" s="1108"/>
      <c r="S340" s="1108"/>
      <c r="T340" s="1108"/>
      <c r="U340" s="1108"/>
      <c r="V340" s="1108"/>
      <c r="W340" s="1108"/>
      <c r="X340" s="1108"/>
      <c r="Y340" s="1108">
        <v>39.398400000000002</v>
      </c>
      <c r="Z340" s="1108">
        <v>71.587475999999995</v>
      </c>
      <c r="AA340" s="1108">
        <v>33.792000000000002</v>
      </c>
      <c r="AC340" s="1108">
        <v>107.8496</v>
      </c>
      <c r="AD340" s="1108">
        <v>110.779369</v>
      </c>
      <c r="AE340" s="1108">
        <v>129.13650000000001</v>
      </c>
      <c r="AF340" s="1108">
        <v>206.68600000000001</v>
      </c>
      <c r="AG340" s="1108">
        <v>90.290620000000004</v>
      </c>
      <c r="AH340" s="1108">
        <v>86.773626299999506</v>
      </c>
      <c r="AI340" s="1108">
        <v>118.2814997</v>
      </c>
      <c r="AJ340" s="1108">
        <v>194.3929148</v>
      </c>
      <c r="AK340" s="1108">
        <v>170.56306430400099</v>
      </c>
      <c r="AL340" s="1108">
        <v>155.80251579649897</v>
      </c>
      <c r="AM340" s="1108">
        <v>220.814486090841</v>
      </c>
      <c r="AN340" s="1108">
        <v>179.24810880283999</v>
      </c>
      <c r="AO340" s="1108">
        <v>156.332971890343</v>
      </c>
      <c r="AP340" s="1108">
        <v>135.787928307573</v>
      </c>
      <c r="AQ340" s="1108">
        <v>213.59032143428101</v>
      </c>
      <c r="AR340" s="1108">
        <v>163.957276261641</v>
      </c>
      <c r="AS340" s="1108">
        <v>156.18857003978397</v>
      </c>
      <c r="AT340" s="1108">
        <v>147.73406414792001</v>
      </c>
      <c r="AU340" s="1108">
        <v>231.44351380107</v>
      </c>
      <c r="AV340" s="1108">
        <v>198.916996838145</v>
      </c>
      <c r="AW340" s="1108">
        <v>176.661329457645</v>
      </c>
      <c r="AX340" s="1108">
        <v>171.89917124218101</v>
      </c>
      <c r="AY340" s="1108">
        <v>251.019727100338</v>
      </c>
      <c r="BA340" s="1108">
        <v>193.97419951076699</v>
      </c>
      <c r="BB340" s="1108">
        <v>145.769064026059</v>
      </c>
      <c r="BC340" s="1108">
        <v>238.46874074532101</v>
      </c>
      <c r="BD340" s="1108">
        <v>206.23774198739301</v>
      </c>
      <c r="BE340" s="1108">
        <v>180.396005545013</v>
      </c>
      <c r="BF340" s="1108">
        <v>138.48061082475601</v>
      </c>
      <c r="BG340" s="1108">
        <v>226.545303708055</v>
      </c>
      <c r="BH340" s="1108">
        <v>195.92585488802399</v>
      </c>
      <c r="BI340" s="1108">
        <v>171.376205267763</v>
      </c>
      <c r="BJ340" s="1108">
        <v>131.556580283518</v>
      </c>
      <c r="BK340" s="1108">
        <v>215.21803852265199</v>
      </c>
      <c r="BL340" s="1108">
        <v>186.12956214362299</v>
      </c>
      <c r="BM340" s="1108">
        <v>162.807395004374</v>
      </c>
      <c r="BN340" s="1108">
        <v>124.978751269342</v>
      </c>
      <c r="BO340" s="1108">
        <v>204.45713659652</v>
      </c>
      <c r="BP340" s="1108">
        <v>176.823084036441</v>
      </c>
      <c r="BQ340" s="1108">
        <v>154.66702525415599</v>
      </c>
      <c r="BR340" s="1108">
        <v>118.729813705875</v>
      </c>
      <c r="BS340" s="1108">
        <v>194.23427976669399</v>
      </c>
      <c r="BT340" s="1108">
        <v>167.981929834619</v>
      </c>
    </row>
    <row r="341" spans="3:84" ht="14.45" hidden="1" outlineLevel="1">
      <c r="D341" s="1432"/>
      <c r="E341" s="1440"/>
      <c r="F341" s="1107" t="s">
        <v>1069</v>
      </c>
      <c r="G341" s="1107"/>
      <c r="H341" s="1107"/>
      <c r="I341" s="1107"/>
      <c r="W341" s="1109"/>
      <c r="X341" s="1109"/>
      <c r="Y341" s="1109">
        <v>-19.999999999999989</v>
      </c>
      <c r="Z341" s="1109">
        <v>-20.000000000000011</v>
      </c>
      <c r="AA341" s="1109">
        <v>-20</v>
      </c>
      <c r="AC341" s="1109">
        <v>173.74106562703054</v>
      </c>
      <c r="AD341" s="1109">
        <v>54.746856838478294</v>
      </c>
      <c r="AE341" s="1109">
        <v>282.15110085227275</v>
      </c>
      <c r="AG341" s="1109">
        <v>-16.280987597543238</v>
      </c>
      <c r="AH341" s="1109">
        <v>-21.669867698921898</v>
      </c>
      <c r="AI341" s="1109">
        <v>-8.4058343690591073</v>
      </c>
      <c r="AJ341" s="1109">
        <v>-5.9477106335213836</v>
      </c>
      <c r="AK341" s="1109">
        <v>88.904522201753593</v>
      </c>
      <c r="AL341" s="1109">
        <v>79.550541379760048</v>
      </c>
      <c r="AM341" s="1109">
        <v>86.685565072219831</v>
      </c>
      <c r="AN341" s="1109">
        <v>-7.7908220125932317</v>
      </c>
      <c r="AO341" s="1109">
        <v>-8.3430093565246661</v>
      </c>
      <c r="AP341" s="1109">
        <v>-12.846125999061508</v>
      </c>
      <c r="AQ341" s="1109">
        <v>-3.2715990623858069</v>
      </c>
      <c r="AR341" s="1109">
        <v>-8.5305405135503047</v>
      </c>
      <c r="AS341" s="1109">
        <v>-9.2368135021653072E-2</v>
      </c>
      <c r="AT341" s="1109">
        <v>8.7976420210844086</v>
      </c>
      <c r="AU341" s="1109">
        <v>8.3586148692988349</v>
      </c>
      <c r="AV341" s="1109">
        <v>21.32245751674705</v>
      </c>
      <c r="AW341" s="1109">
        <v>13.107719350171562</v>
      </c>
      <c r="AX341" s="1109">
        <v>16.357166665411356</v>
      </c>
      <c r="AY341" s="1109">
        <v>8.4583114807417434</v>
      </c>
      <c r="BA341" s="1109">
        <v>9.8000338309877844</v>
      </c>
      <c r="BB341" s="1109">
        <v>-15.200833737184505</v>
      </c>
      <c r="BC341" s="1109">
        <v>-5.0000000000000346</v>
      </c>
      <c r="BE341" s="1109">
        <v>-7.000000000000159</v>
      </c>
      <c r="BF341" s="1109">
        <v>-5.0000000000000249</v>
      </c>
      <c r="BG341" s="1109">
        <v>-4.999999999999984</v>
      </c>
      <c r="BH341" s="1109">
        <v>-4.9999999999996927</v>
      </c>
      <c r="BI341" s="1109">
        <v>-4.9999999999996394</v>
      </c>
      <c r="BJ341" s="1109">
        <v>-5.0000000000001519</v>
      </c>
      <c r="BK341" s="1109">
        <v>-5.0000000000001137</v>
      </c>
      <c r="BL341" s="1109">
        <v>-4.9999999999998979</v>
      </c>
      <c r="BM341" s="1109">
        <v>-5.0000000000004947</v>
      </c>
      <c r="BN341" s="1109">
        <v>-5.000000000000079</v>
      </c>
      <c r="BO341" s="1109">
        <v>-4.9999999999997176</v>
      </c>
      <c r="BP341" s="1109">
        <v>-5.0000000000004503</v>
      </c>
      <c r="BQ341" s="1109">
        <v>-4.9999999999995781</v>
      </c>
      <c r="BR341" s="1109">
        <v>-4.9999999999999165</v>
      </c>
      <c r="BS341" s="1109">
        <v>-5.0000000000000071</v>
      </c>
      <c r="BT341" s="1109">
        <v>-4.999999999999976</v>
      </c>
    </row>
    <row r="342" spans="3:84" ht="14.45" hidden="1" outlineLevel="1" collapsed="1">
      <c r="D342" s="1432"/>
      <c r="E342" s="1440"/>
      <c r="F342" s="1107"/>
      <c r="G342" s="1107"/>
      <c r="H342" s="1107"/>
      <c r="I342" s="1107"/>
    </row>
    <row r="343" spans="3:84" ht="14.45" collapsed="1">
      <c r="D343" s="1434" t="s">
        <v>1072</v>
      </c>
      <c r="E343" s="1433" t="s">
        <v>1067</v>
      </c>
      <c r="F343" s="1106" t="s">
        <v>1068</v>
      </c>
      <c r="G343" s="1106"/>
      <c r="H343" s="1106"/>
      <c r="I343" s="1106"/>
      <c r="J343" s="1108"/>
      <c r="K343" s="1108"/>
      <c r="L343" s="1108"/>
      <c r="M343" s="1108"/>
      <c r="N343" s="1108"/>
      <c r="O343" s="1108"/>
      <c r="P343" s="1108"/>
      <c r="Q343" s="1108"/>
      <c r="R343" s="1108"/>
      <c r="S343" s="1108"/>
      <c r="T343" s="1108"/>
      <c r="U343" s="1108"/>
      <c r="V343" s="1108"/>
      <c r="W343" s="1108"/>
      <c r="X343" s="1108"/>
      <c r="Y343" s="1108">
        <v>-78.398872304827805</v>
      </c>
      <c r="Z343" s="1108">
        <v>211.53151046981901</v>
      </c>
      <c r="AA343" s="1108">
        <v>-168.89482044744801</v>
      </c>
      <c r="AB343" s="1108">
        <v>247.71407100593001</v>
      </c>
      <c r="AC343" s="1108">
        <v>17.689380289380995</v>
      </c>
      <c r="AD343" s="1108">
        <v>50.467888435374853</v>
      </c>
      <c r="AE343" s="1108">
        <v>-3.8720518750406501</v>
      </c>
      <c r="AF343" s="1108">
        <v>41.317402321394816</v>
      </c>
      <c r="AG343" s="1108">
        <v>414.83721202335732</v>
      </c>
      <c r="AH343" s="1108">
        <v>376.8463107334905</v>
      </c>
      <c r="AI343" s="1108">
        <v>336.46907047176711</v>
      </c>
      <c r="AJ343" s="1108">
        <v>482.19778147439467</v>
      </c>
      <c r="AK343" s="1108">
        <v>305.73591036383709</v>
      </c>
      <c r="AL343" s="1108">
        <v>249.28800451628899</v>
      </c>
      <c r="AM343" s="1108">
        <v>267.41081757709867</v>
      </c>
      <c r="AN343" s="1108">
        <v>509.52951844625744</v>
      </c>
      <c r="AO343" s="1108">
        <v>464.27319915057859</v>
      </c>
      <c r="AP343" s="1108">
        <v>225.01292561493756</v>
      </c>
      <c r="AQ343" s="1108">
        <v>167.8043283082576</v>
      </c>
      <c r="AR343" s="1108">
        <v>313.29506305062665</v>
      </c>
      <c r="AS343" s="1108">
        <v>189.71299653856659</v>
      </c>
      <c r="AT343" s="1108">
        <v>156.35797030662465</v>
      </c>
      <c r="AU343" s="1108">
        <v>128.48252695218534</v>
      </c>
      <c r="AV343" s="1108">
        <v>395.75377553895373</v>
      </c>
      <c r="AW343" s="1108">
        <v>0.11675294170674</v>
      </c>
      <c r="AX343" s="1108">
        <v>147.68119143740273</v>
      </c>
      <c r="AY343" s="1108">
        <v>147.45541129981399</v>
      </c>
      <c r="AZ343" s="1108">
        <v>-7.1801787687600003</v>
      </c>
      <c r="BA343" s="1108">
        <v>188.27513203150639</v>
      </c>
      <c r="BB343" s="1108">
        <v>83.212348342502764</v>
      </c>
      <c r="BC343" s="1108">
        <v>494.80307653449501</v>
      </c>
      <c r="BD343" s="1108">
        <v>914.02886781508096</v>
      </c>
      <c r="BE343" s="1108">
        <v>472.61832048900999</v>
      </c>
      <c r="BF343" s="1108">
        <v>233.378003140668</v>
      </c>
      <c r="BG343" s="1108">
        <v>491.72515621869098</v>
      </c>
      <c r="BH343" s="1108">
        <v>904.58602180696698</v>
      </c>
      <c r="BI343" s="1108">
        <v>528.95153456493995</v>
      </c>
      <c r="BJ343" s="1108">
        <v>511.91759928551102</v>
      </c>
      <c r="BK343" s="1108">
        <v>481.74790237512298</v>
      </c>
      <c r="BL343" s="1108">
        <v>454.66711257420297</v>
      </c>
      <c r="BN343" s="1108">
        <v>5.2000000000000001E-11</v>
      </c>
      <c r="BO343" s="1108">
        <v>-6.3999999999999999E-11</v>
      </c>
    </row>
    <row r="344" spans="3:84" ht="14.45" hidden="1" outlineLevel="1">
      <c r="D344" s="1432"/>
      <c r="E344" s="1440"/>
      <c r="F344" s="1106" t="s">
        <v>1069</v>
      </c>
      <c r="G344" s="1106"/>
      <c r="H344" s="1106"/>
      <c r="I344" s="1106"/>
      <c r="W344" s="1109"/>
      <c r="X344" s="1109"/>
      <c r="Y344" s="1109">
        <v>-140.66835748775921</v>
      </c>
      <c r="Z344" s="1109">
        <v>-16.908564150051397</v>
      </c>
      <c r="AA344" s="1109">
        <v>-164.99408680063513</v>
      </c>
      <c r="AB344" s="1109">
        <v>-45.329208412077087</v>
      </c>
      <c r="AC344" s="1109">
        <v>122.56330961063031</v>
      </c>
      <c r="AD344" s="1109">
        <v>-76.141668764486255</v>
      </c>
      <c r="AE344" s="1109">
        <v>97.707418223494031</v>
      </c>
      <c r="AF344" s="1109">
        <v>-83.320526704998628</v>
      </c>
      <c r="AG344" s="1109">
        <v>2245.1200959955941</v>
      </c>
      <c r="AH344" s="1109">
        <v>646.70512759028907</v>
      </c>
      <c r="AI344" s="1109">
        <v>8789.6839538916247</v>
      </c>
      <c r="AJ344" s="1109">
        <v>1067.0573520656812</v>
      </c>
      <c r="AK344" s="1109">
        <v>-26.299786638566385</v>
      </c>
      <c r="AL344" s="1109">
        <v>-33.848893457102733</v>
      </c>
      <c r="AM344" s="1109">
        <v>-20.52439851242228</v>
      </c>
      <c r="AN344" s="1109">
        <v>5.6681590048572463</v>
      </c>
      <c r="AO344" s="1109">
        <v>51.854323752180839</v>
      </c>
      <c r="AP344" s="1109">
        <v>-9.7377645380306515</v>
      </c>
      <c r="AQ344" s="1109">
        <v>-37.248489111747688</v>
      </c>
      <c r="AR344" s="1109">
        <v>-38.512872815302572</v>
      </c>
      <c r="AS344" s="1109">
        <v>-59.137637734493339</v>
      </c>
      <c r="AT344" s="1109">
        <v>-30.511560667319827</v>
      </c>
      <c r="AU344" s="1109">
        <v>-23.433126995292913</v>
      </c>
      <c r="AV344" s="1109">
        <v>26.319825050994254</v>
      </c>
      <c r="AW344" s="1109">
        <v>-99.938458121564167</v>
      </c>
      <c r="AX344" s="1109">
        <v>-5.5493038520558864</v>
      </c>
      <c r="AY344" s="1109">
        <v>14.766898501840171</v>
      </c>
      <c r="AZ344" s="1109">
        <v>-101.81430455312315</v>
      </c>
      <c r="BA344" s="1109">
        <v>161159.43319219811</v>
      </c>
      <c r="BB344" s="1109">
        <v>-43.654064859184331</v>
      </c>
      <c r="BC344" s="1109">
        <v>235.56115179010675</v>
      </c>
      <c r="BD344" s="1109">
        <v>12829.890121843466</v>
      </c>
      <c r="BE344" s="1109">
        <v>151.02535602520305</v>
      </c>
      <c r="BF344" s="1109">
        <v>180.46078231091624</v>
      </c>
      <c r="BG344" s="1109">
        <v>-0.62204955097716452</v>
      </c>
      <c r="BH344" s="1109">
        <v>-1.0331015070329679</v>
      </c>
      <c r="BI344" s="1109">
        <v>11.919388570811847</v>
      </c>
      <c r="BJ344" s="1109">
        <v>119.35126378511087</v>
      </c>
      <c r="BK344" s="1109">
        <v>-2.0290305910504811</v>
      </c>
      <c r="BL344" s="1109">
        <v>-49.737548269209704</v>
      </c>
      <c r="BN344" s="1109">
        <v>-99.999999999989839</v>
      </c>
      <c r="BO344" s="1109">
        <v>-100.00000000001327</v>
      </c>
    </row>
    <row r="345" spans="3:84" ht="14.45" hidden="1" outlineLevel="1" collapsed="1">
      <c r="D345" s="1432"/>
      <c r="E345" s="1440"/>
      <c r="F345" s="1106"/>
      <c r="G345" s="1106"/>
      <c r="H345" s="1106"/>
      <c r="I345" s="1106"/>
    </row>
    <row r="346" spans="3:84" ht="14.45" collapsed="1">
      <c r="D346" s="1431" t="s">
        <v>1073</v>
      </c>
      <c r="E346" s="1433" t="s">
        <v>1067</v>
      </c>
      <c r="F346" s="1107" t="s">
        <v>1068</v>
      </c>
      <c r="G346" s="1107"/>
      <c r="H346" s="1107"/>
      <c r="I346" s="1107"/>
      <c r="J346" s="1108"/>
      <c r="K346" s="1108"/>
      <c r="L346" s="1108"/>
      <c r="M346" s="1108"/>
      <c r="N346" s="1108"/>
      <c r="O346" s="1108"/>
      <c r="P346" s="1108"/>
      <c r="Q346" s="1108"/>
      <c r="R346" s="1108"/>
      <c r="S346" s="1108"/>
      <c r="T346" s="1108"/>
      <c r="U346" s="1108"/>
      <c r="V346" s="1108"/>
      <c r="W346" s="1108"/>
      <c r="X346" s="1108"/>
      <c r="Y346" s="1108">
        <v>5998</v>
      </c>
      <c r="Z346" s="1108">
        <v>6480</v>
      </c>
      <c r="AA346" s="1108">
        <v>6207</v>
      </c>
      <c r="AB346" s="1108">
        <v>7107</v>
      </c>
      <c r="AC346" s="1108">
        <v>6436</v>
      </c>
      <c r="AD346" s="1108">
        <v>7179</v>
      </c>
      <c r="AE346" s="1108">
        <v>7707</v>
      </c>
      <c r="AF346" s="1108">
        <v>8547.9999999999909</v>
      </c>
      <c r="AG346" s="1108">
        <v>8238</v>
      </c>
      <c r="AH346" s="1108">
        <v>8953</v>
      </c>
      <c r="AI346" s="1108">
        <v>9006</v>
      </c>
      <c r="AJ346" s="1108">
        <v>9668</v>
      </c>
      <c r="AK346" s="1108">
        <v>9771</v>
      </c>
      <c r="AL346" s="1108">
        <v>10100</v>
      </c>
      <c r="AM346" s="1108">
        <v>10242</v>
      </c>
      <c r="AN346" s="1108">
        <v>11047</v>
      </c>
      <c r="AO346" s="1108">
        <v>11077</v>
      </c>
      <c r="AP346" s="1108">
        <v>11826</v>
      </c>
      <c r="AQ346" s="1108">
        <v>11743</v>
      </c>
      <c r="AR346" s="1108">
        <v>11752</v>
      </c>
      <c r="AS346" s="1108">
        <v>12319</v>
      </c>
      <c r="AT346" s="1108">
        <v>13353</v>
      </c>
      <c r="AU346" s="1108">
        <v>13552</v>
      </c>
      <c r="AV346" s="1108">
        <v>14691</v>
      </c>
      <c r="AW346" s="1108">
        <v>15039</v>
      </c>
      <c r="AX346" s="1108">
        <v>15936</v>
      </c>
      <c r="AY346" s="1108">
        <v>15789</v>
      </c>
      <c r="AZ346" s="1108">
        <v>16600</v>
      </c>
      <c r="BA346" s="1108">
        <v>16465</v>
      </c>
      <c r="BB346" s="1108">
        <v>17002</v>
      </c>
      <c r="BC346" s="1108">
        <v>17058.668286173848</v>
      </c>
      <c r="BD346" s="1108">
        <v>17955.397590109682</v>
      </c>
      <c r="BE346" s="1108">
        <v>18072.84483668577</v>
      </c>
      <c r="BF346" s="1108">
        <v>18718.790777922561</v>
      </c>
      <c r="BG346" s="1108">
        <v>18836.18589485835</v>
      </c>
      <c r="BH346" s="1108">
        <v>19767.281822606044</v>
      </c>
      <c r="BI346" s="1108">
        <v>19830.047037687658</v>
      </c>
      <c r="BJ346" s="1108">
        <v>20544.255789753184</v>
      </c>
      <c r="BK346" s="1108">
        <v>20711.564873614167</v>
      </c>
      <c r="BL346" s="1108">
        <v>21744.143220318576</v>
      </c>
      <c r="BM346" s="1108">
        <v>22633.520371878058</v>
      </c>
      <c r="BN346" s="1108">
        <v>23494.68843030047</v>
      </c>
      <c r="BO346" s="1108">
        <v>23565.420201466899</v>
      </c>
      <c r="BP346" s="1108">
        <v>25003.457228197116</v>
      </c>
      <c r="BQ346" s="1108">
        <v>25828.384195013561</v>
      </c>
      <c r="BR346" s="1108">
        <v>26631.896605825721</v>
      </c>
      <c r="BS346" s="1108">
        <v>26696.997572239441</v>
      </c>
      <c r="BT346" s="1108">
        <v>28572.68306283484</v>
      </c>
      <c r="BU346" s="1108">
        <v>28791.662319684849</v>
      </c>
      <c r="BV346" s="1108">
        <v>29769.686788010549</v>
      </c>
      <c r="BW346" s="1108">
        <v>30103.200706686199</v>
      </c>
      <c r="BX346" s="1108">
        <v>32265.401646607748</v>
      </c>
      <c r="BY346" s="1108">
        <v>31916.827711912501</v>
      </c>
      <c r="BZ346" s="1108">
        <v>32980.063386851398</v>
      </c>
      <c r="CA346" s="1108">
        <v>33409.084123021254</v>
      </c>
      <c r="CB346" s="1108">
        <v>35776.141684029149</v>
      </c>
      <c r="CC346" s="1108">
        <v>35204.937436257249</v>
      </c>
      <c r="CD346" s="1108">
        <v>36386.852133787201</v>
      </c>
      <c r="CE346" s="1108">
        <v>36835.410075527048</v>
      </c>
      <c r="CF346" s="1108">
        <v>39466.259024548999</v>
      </c>
    </row>
    <row r="347" spans="3:84" ht="14.45" hidden="1" outlineLevel="1">
      <c r="D347" s="1432"/>
      <c r="E347" s="1440"/>
      <c r="F347" s="1107" t="s">
        <v>1069</v>
      </c>
      <c r="K347" s="1109">
        <v>10.374204337238416</v>
      </c>
      <c r="L347" s="1109">
        <v>44.23886254866764</v>
      </c>
      <c r="M347" s="1109"/>
      <c r="N347" s="1109"/>
      <c r="O347" s="1109"/>
      <c r="P347" s="1109"/>
      <c r="Q347" s="1109"/>
      <c r="R347" s="1109"/>
      <c r="S347" s="1109"/>
      <c r="T347" s="1109"/>
      <c r="U347" s="1109"/>
      <c r="V347" s="1109"/>
      <c r="W347" s="1109"/>
      <c r="X347" s="1109"/>
      <c r="Y347" s="1109">
        <v>6.6796757730411285</v>
      </c>
      <c r="Z347" s="1109">
        <v>7.3024341447149048</v>
      </c>
      <c r="AA347" s="1109">
        <v>10.787037037037036</v>
      </c>
      <c r="AB347" s="1109">
        <v>24.166263895601737</v>
      </c>
      <c r="AC347" s="1109">
        <v>20.27578443787802</v>
      </c>
      <c r="AD347" s="1109">
        <v>27.998756991920448</v>
      </c>
      <c r="AE347" s="1109">
        <v>24.710962529600224</v>
      </c>
      <c r="AF347" s="1109">
        <v>16.854807318022576</v>
      </c>
      <c r="AG347" s="1109">
        <v>13.102480112307093</v>
      </c>
      <c r="AH347" s="1109">
        <v>18.608885651857246</v>
      </c>
      <c r="AI347" s="1109">
        <v>12.811348151457613</v>
      </c>
      <c r="AJ347" s="1109">
        <v>13.724183877415056</v>
      </c>
      <c r="AK347" s="1109">
        <v>14.263549855192387</v>
      </c>
      <c r="AL347" s="1109">
        <v>13.366083307747415</v>
      </c>
      <c r="AM347" s="1109">
        <v>17.089108910891092</v>
      </c>
      <c r="AN347" s="1109">
        <v>14.655340753759031</v>
      </c>
      <c r="AO347" s="1109">
        <v>6.3818231193989314</v>
      </c>
      <c r="AP347" s="1109">
        <v>11.212422135957389</v>
      </c>
      <c r="AQ347" s="1109">
        <v>12.91222729578894</v>
      </c>
      <c r="AR347" s="1109">
        <v>15.404922081239889</v>
      </c>
      <c r="AS347" s="1109">
        <v>25.008509189925121</v>
      </c>
      <c r="AT347" s="1109">
        <v>22.079714262521307</v>
      </c>
      <c r="AU347" s="1109">
        <v>19.343967647719616</v>
      </c>
      <c r="AV347" s="1109">
        <v>16.506788665879572</v>
      </c>
      <c r="AW347" s="1109">
        <v>12.994350282485875</v>
      </c>
      <c r="AX347" s="1109">
        <v>9.4820134317441322</v>
      </c>
      <c r="AY347" s="1109">
        <v>6.6892570281124497</v>
      </c>
      <c r="AZ347" s="1109">
        <v>8.0414737233127376</v>
      </c>
      <c r="BA347" s="1109">
        <v>8.1650457235523017</v>
      </c>
      <c r="BB347" s="1109">
        <v>9.7652282823308241</v>
      </c>
      <c r="BC347" s="1109">
        <v>10.097581331152576</v>
      </c>
      <c r="BD347" s="1109">
        <v>10.420025636615438</v>
      </c>
      <c r="BE347" s="1109">
        <v>10.09102819028857</v>
      </c>
      <c r="BF347" s="1109">
        <v>9.7228865564926021</v>
      </c>
      <c r="BG347" s="1109">
        <v>9.7520455967894328</v>
      </c>
      <c r="BH347" s="1109">
        <v>9.9562564800750462</v>
      </c>
      <c r="BI347" s="1109">
        <v>10.000673918918759</v>
      </c>
      <c r="BJ347" s="1109">
        <v>14.137502189794638</v>
      </c>
      <c r="BK347" s="1109">
        <v>14.361350787011068</v>
      </c>
      <c r="BL347" s="1109">
        <v>13.779042507253751</v>
      </c>
      <c r="BM347" s="1109">
        <v>14.989388061208638</v>
      </c>
      <c r="BN347" s="1109">
        <v>14.11562925538129</v>
      </c>
      <c r="BO347" s="1109">
        <v>13.352840089078507</v>
      </c>
      <c r="BP347" s="1109">
        <v>13.288867094241791</v>
      </c>
      <c r="BQ347" s="1109">
        <v>14.27492927103139</v>
      </c>
      <c r="BR347" s="1109">
        <v>11.472952013945106</v>
      </c>
      <c r="BS347" s="1109">
        <v>11.782075563850144</v>
      </c>
      <c r="BT347" s="1109">
        <v>12.758749837804451</v>
      </c>
      <c r="BU347" s="1109">
        <v>12.923947588863694</v>
      </c>
      <c r="BV347" s="1109">
        <v>10.854411105297586</v>
      </c>
      <c r="BW347" s="1109">
        <v>10.784045602165342</v>
      </c>
      <c r="BX347" s="1109">
        <v>10.981833621435436</v>
      </c>
      <c r="BY347" s="1109">
        <v>10.880819262296416</v>
      </c>
      <c r="BZ347" s="1109">
        <v>10.302119477611829</v>
      </c>
      <c r="CA347" s="1109">
        <v>10.32984293260647</v>
      </c>
      <c r="CB347" s="1109">
        <v>10.255671600841074</v>
      </c>
      <c r="CC347" s="1109">
        <v>10.314464240192668</v>
      </c>
    </row>
    <row r="348" spans="3:84" ht="14.45" hidden="1" outlineLevel="1" collapsed="1">
      <c r="D348" s="1432"/>
      <c r="E348" s="1440"/>
      <c r="F348" s="1107"/>
    </row>
    <row r="349" spans="3:84" collapsed="1">
      <c r="D349" s="42"/>
    </row>
    <row r="350" spans="3:84">
      <c r="D350" s="42"/>
    </row>
    <row r="351" spans="3:84" ht="12.95">
      <c r="C351" s="1110" t="s">
        <v>1106</v>
      </c>
    </row>
    <row r="352" spans="3:84" ht="12.95">
      <c r="C352" s="1110"/>
    </row>
    <row r="356" spans="3:117" ht="35.1">
      <c r="C356" s="1099" t="s">
        <v>983</v>
      </c>
      <c r="D356" s="42"/>
    </row>
    <row r="357" spans="3:117">
      <c r="D357" s="42"/>
    </row>
    <row r="358" spans="3:117" ht="14.45">
      <c r="C358" s="1100"/>
      <c r="D358" s="1101"/>
      <c r="E358" s="1100"/>
      <c r="F358" s="1100"/>
      <c r="G358" s="1102" t="s">
        <v>984</v>
      </c>
      <c r="H358" s="1102" t="s">
        <v>984</v>
      </c>
      <c r="I358" s="1103" t="s">
        <v>985</v>
      </c>
      <c r="J358" s="1103" t="s">
        <v>985</v>
      </c>
      <c r="K358" s="1102" t="s">
        <v>986</v>
      </c>
      <c r="L358" s="1102" t="s">
        <v>986</v>
      </c>
      <c r="M358" s="1103" t="s">
        <v>987</v>
      </c>
      <c r="N358" s="1103" t="s">
        <v>987</v>
      </c>
      <c r="O358" s="1102" t="s">
        <v>988</v>
      </c>
      <c r="P358" s="1102" t="s">
        <v>988</v>
      </c>
      <c r="Q358" s="1103" t="s">
        <v>989</v>
      </c>
      <c r="R358" s="1103" t="s">
        <v>989</v>
      </c>
      <c r="S358" s="1102" t="s">
        <v>990</v>
      </c>
      <c r="T358" s="1103" t="s">
        <v>991</v>
      </c>
      <c r="U358" s="1102" t="s">
        <v>992</v>
      </c>
      <c r="V358" s="1103" t="s">
        <v>993</v>
      </c>
      <c r="W358" s="1102" t="s">
        <v>994</v>
      </c>
      <c r="X358" s="1103" t="s">
        <v>995</v>
      </c>
      <c r="Y358" s="1102" t="s">
        <v>996</v>
      </c>
      <c r="Z358" s="1103" t="s">
        <v>997</v>
      </c>
      <c r="AA358" s="1102" t="s">
        <v>998</v>
      </c>
      <c r="AB358" s="1103" t="s">
        <v>999</v>
      </c>
      <c r="AC358" s="1102" t="s">
        <v>1000</v>
      </c>
      <c r="AD358" s="1103" t="s">
        <v>1001</v>
      </c>
      <c r="AE358" s="1102" t="s">
        <v>1002</v>
      </c>
      <c r="AF358" s="1103" t="s">
        <v>1003</v>
      </c>
      <c r="AG358" s="1102" t="s">
        <v>1004</v>
      </c>
      <c r="AH358" s="1103" t="s">
        <v>1005</v>
      </c>
      <c r="AI358" s="1102" t="s">
        <v>1006</v>
      </c>
      <c r="AJ358" s="1103" t="s">
        <v>1007</v>
      </c>
      <c r="AK358" s="1102" t="s">
        <v>1008</v>
      </c>
      <c r="AL358" s="1103" t="s">
        <v>1009</v>
      </c>
      <c r="AM358" s="1102" t="s">
        <v>1010</v>
      </c>
      <c r="AN358" s="1103" t="s">
        <v>1011</v>
      </c>
      <c r="AO358" s="1102" t="s">
        <v>1012</v>
      </c>
      <c r="AP358" s="1103" t="s">
        <v>1013</v>
      </c>
      <c r="AQ358" s="1102" t="s">
        <v>1014</v>
      </c>
      <c r="AR358" s="1103" t="s">
        <v>1015</v>
      </c>
      <c r="AS358" s="1102" t="s">
        <v>1016</v>
      </c>
      <c r="AT358" s="1103" t="s">
        <v>1017</v>
      </c>
      <c r="AU358" s="1102" t="s">
        <v>1018</v>
      </c>
      <c r="AV358" s="1103" t="s">
        <v>1019</v>
      </c>
      <c r="AW358" s="1102" t="s">
        <v>1020</v>
      </c>
      <c r="AX358" s="1103" t="s">
        <v>1021</v>
      </c>
      <c r="AY358" s="1102" t="s">
        <v>1022</v>
      </c>
      <c r="AZ358" s="1103" t="s">
        <v>1023</v>
      </c>
      <c r="BA358" s="1102" t="s">
        <v>1024</v>
      </c>
      <c r="BB358" s="1103" t="s">
        <v>1025</v>
      </c>
      <c r="BC358" s="1102" t="s">
        <v>1161</v>
      </c>
      <c r="BD358" s="1103" t="s">
        <v>1027</v>
      </c>
      <c r="BE358" s="1102" t="s">
        <v>1028</v>
      </c>
      <c r="BF358" s="1103" t="s">
        <v>1029</v>
      </c>
      <c r="BG358" s="1102" t="s">
        <v>1030</v>
      </c>
      <c r="BH358" s="1103" t="s">
        <v>1031</v>
      </c>
      <c r="BI358" s="1102" t="s">
        <v>1032</v>
      </c>
      <c r="BJ358" s="1103" t="s">
        <v>1033</v>
      </c>
      <c r="BK358" s="1102" t="s">
        <v>1034</v>
      </c>
      <c r="BL358" s="1103" t="s">
        <v>1035</v>
      </c>
      <c r="BM358" s="1102" t="s">
        <v>1036</v>
      </c>
      <c r="BN358" s="1103" t="s">
        <v>1037</v>
      </c>
      <c r="BO358" s="1102" t="s">
        <v>1038</v>
      </c>
      <c r="BP358" s="1103" t="s">
        <v>1039</v>
      </c>
      <c r="BQ358" s="1102" t="s">
        <v>1040</v>
      </c>
      <c r="BR358" s="1103" t="s">
        <v>1041</v>
      </c>
      <c r="BS358" s="1102" t="s">
        <v>1042</v>
      </c>
      <c r="BT358" s="1103" t="s">
        <v>1043</v>
      </c>
      <c r="BU358" s="1102" t="s">
        <v>1044</v>
      </c>
      <c r="BV358" s="1103" t="s">
        <v>1045</v>
      </c>
      <c r="BW358" s="1102" t="s">
        <v>1046</v>
      </c>
      <c r="BX358" s="1103" t="s">
        <v>1047</v>
      </c>
      <c r="BY358" s="1102" t="s">
        <v>1048</v>
      </c>
      <c r="BZ358" s="1103" t="s">
        <v>1049</v>
      </c>
      <c r="CA358" s="1102" t="s">
        <v>1050</v>
      </c>
      <c r="CB358" s="1103" t="s">
        <v>1051</v>
      </c>
      <c r="CC358" s="1102" t="s">
        <v>1052</v>
      </c>
      <c r="CD358" s="1103" t="s">
        <v>1053</v>
      </c>
      <c r="CE358" s="1102" t="s">
        <v>1054</v>
      </c>
      <c r="CF358" s="1103" t="s">
        <v>1055</v>
      </c>
      <c r="CG358" s="1102" t="s">
        <v>1056</v>
      </c>
      <c r="CH358" s="1103" t="s">
        <v>1057</v>
      </c>
      <c r="CI358" s="1102" t="s">
        <v>1058</v>
      </c>
      <c r="CJ358" s="1103" t="s">
        <v>1059</v>
      </c>
      <c r="CK358" s="1102"/>
      <c r="CL358" s="1102"/>
      <c r="CM358" s="1103"/>
      <c r="CN358" s="1103"/>
      <c r="CO358" s="1102"/>
      <c r="CP358" s="1102"/>
      <c r="CQ358" s="1103"/>
      <c r="CR358" s="1103"/>
      <c r="CS358" s="1102"/>
      <c r="CT358" s="1102"/>
      <c r="CU358" s="1103"/>
      <c r="CV358" s="1103"/>
      <c r="CW358" s="1102"/>
      <c r="CX358" s="1102"/>
      <c r="CY358" s="1103"/>
      <c r="CZ358" s="1103"/>
      <c r="DA358" s="1102"/>
      <c r="DB358" s="1102"/>
      <c r="DC358" s="1103"/>
      <c r="DD358" s="1103"/>
      <c r="DE358" s="1102"/>
      <c r="DF358" s="1103"/>
      <c r="DG358" s="1102"/>
      <c r="DH358" s="1103"/>
      <c r="DI358" s="1102"/>
      <c r="DJ358" s="1103"/>
      <c r="DK358" s="1102"/>
      <c r="DL358" s="1103"/>
      <c r="DM358" s="1102"/>
    </row>
    <row r="359" spans="3:117" ht="14.45">
      <c r="C359" s="1100"/>
      <c r="D359" s="1101"/>
      <c r="E359" s="1100" t="s">
        <v>1060</v>
      </c>
      <c r="F359" s="1100"/>
      <c r="G359" s="1102" t="s">
        <v>1061</v>
      </c>
      <c r="H359" s="1102" t="s">
        <v>1062</v>
      </c>
      <c r="I359" s="1103" t="s">
        <v>1061</v>
      </c>
      <c r="J359" s="1103" t="s">
        <v>1062</v>
      </c>
      <c r="K359" s="1102" t="s">
        <v>1061</v>
      </c>
      <c r="L359" s="1102" t="s">
        <v>1062</v>
      </c>
      <c r="M359" s="1103" t="s">
        <v>1061</v>
      </c>
      <c r="N359" s="1103" t="s">
        <v>1062</v>
      </c>
      <c r="O359" s="1102" t="s">
        <v>1061</v>
      </c>
      <c r="P359" s="1102" t="s">
        <v>1062</v>
      </c>
      <c r="Q359" s="1103" t="s">
        <v>1061</v>
      </c>
      <c r="R359" s="1103" t="s">
        <v>1062</v>
      </c>
      <c r="S359" s="1102" t="s">
        <v>1061</v>
      </c>
      <c r="T359" s="1103" t="s">
        <v>1061</v>
      </c>
      <c r="U359" s="1102" t="s">
        <v>1061</v>
      </c>
      <c r="V359" s="1103" t="s">
        <v>1061</v>
      </c>
      <c r="W359" s="1102" t="s">
        <v>1061</v>
      </c>
      <c r="X359" s="1103" t="s">
        <v>1061</v>
      </c>
      <c r="Y359" s="1102" t="s">
        <v>1061</v>
      </c>
      <c r="Z359" s="1103" t="s">
        <v>1061</v>
      </c>
      <c r="AA359" s="1102" t="s">
        <v>1061</v>
      </c>
      <c r="AB359" s="1103" t="s">
        <v>1061</v>
      </c>
      <c r="AC359" s="1102" t="s">
        <v>1061</v>
      </c>
      <c r="AD359" s="1103" t="s">
        <v>1061</v>
      </c>
      <c r="AE359" s="1102" t="s">
        <v>1061</v>
      </c>
      <c r="AF359" s="1103" t="s">
        <v>1061</v>
      </c>
      <c r="AG359" s="1102" t="s">
        <v>1061</v>
      </c>
      <c r="AH359" s="1103" t="s">
        <v>1061</v>
      </c>
      <c r="AI359" s="1102" t="s">
        <v>1061</v>
      </c>
      <c r="AJ359" s="1103" t="s">
        <v>1061</v>
      </c>
      <c r="AK359" s="1102" t="s">
        <v>1061</v>
      </c>
      <c r="AL359" s="1103" t="s">
        <v>1061</v>
      </c>
      <c r="AM359" s="1102" t="s">
        <v>1061</v>
      </c>
      <c r="AN359" s="1103" t="s">
        <v>1061</v>
      </c>
      <c r="AO359" s="1102" t="s">
        <v>1061</v>
      </c>
      <c r="AP359" s="1103" t="s">
        <v>1061</v>
      </c>
      <c r="AQ359" s="1102" t="s">
        <v>1061</v>
      </c>
      <c r="AR359" s="1103" t="s">
        <v>1061</v>
      </c>
      <c r="AS359" s="1102" t="s">
        <v>1061</v>
      </c>
      <c r="AT359" s="1103" t="s">
        <v>1061</v>
      </c>
      <c r="AU359" s="1102" t="s">
        <v>1061</v>
      </c>
      <c r="AV359" s="1103" t="s">
        <v>1061</v>
      </c>
      <c r="AW359" s="1102" t="s">
        <v>1061</v>
      </c>
      <c r="AX359" s="1103" t="s">
        <v>1061</v>
      </c>
      <c r="AY359" s="1102" t="s">
        <v>1061</v>
      </c>
      <c r="AZ359" s="1103" t="s">
        <v>1061</v>
      </c>
      <c r="BA359" s="1102" t="s">
        <v>1061</v>
      </c>
      <c r="BB359" s="1103" t="s">
        <v>1061</v>
      </c>
      <c r="BC359" s="1102" t="s">
        <v>1061</v>
      </c>
      <c r="BD359" s="1103" t="s">
        <v>1063</v>
      </c>
      <c r="BE359" s="1102" t="s">
        <v>1063</v>
      </c>
      <c r="BF359" s="1103" t="s">
        <v>1063</v>
      </c>
      <c r="BG359" s="1102" t="s">
        <v>1063</v>
      </c>
      <c r="BH359" s="1103" t="s">
        <v>1063</v>
      </c>
      <c r="BI359" s="1102" t="s">
        <v>1063</v>
      </c>
      <c r="BJ359" s="1103" t="s">
        <v>1063</v>
      </c>
      <c r="BK359" s="1102" t="s">
        <v>1063</v>
      </c>
      <c r="BL359" s="1103" t="s">
        <v>1063</v>
      </c>
      <c r="BM359" s="1102" t="s">
        <v>1063</v>
      </c>
      <c r="BN359" s="1103" t="s">
        <v>1063</v>
      </c>
      <c r="BO359" s="1102" t="s">
        <v>1063</v>
      </c>
      <c r="BP359" s="1103" t="s">
        <v>1063</v>
      </c>
      <c r="BQ359" s="1102" t="s">
        <v>1063</v>
      </c>
      <c r="BR359" s="1103" t="s">
        <v>1063</v>
      </c>
      <c r="BS359" s="1102" t="s">
        <v>1063</v>
      </c>
      <c r="BT359" s="1103" t="s">
        <v>1063</v>
      </c>
      <c r="BU359" s="1102" t="s">
        <v>1063</v>
      </c>
      <c r="BV359" s="1103" t="s">
        <v>1063</v>
      </c>
      <c r="BW359" s="1102" t="s">
        <v>1063</v>
      </c>
      <c r="BX359" s="1103" t="s">
        <v>1063</v>
      </c>
      <c r="BY359" s="1102" t="s">
        <v>1063</v>
      </c>
      <c r="BZ359" s="1103" t="s">
        <v>1063</v>
      </c>
      <c r="CA359" s="1102" t="s">
        <v>1063</v>
      </c>
      <c r="CB359" s="1103" t="s">
        <v>1063</v>
      </c>
      <c r="CC359" s="1102" t="s">
        <v>1063</v>
      </c>
      <c r="CD359" s="1103" t="s">
        <v>1063</v>
      </c>
      <c r="CE359" s="1102" t="s">
        <v>1063</v>
      </c>
      <c r="CF359" s="1103" t="s">
        <v>1063</v>
      </c>
      <c r="CG359" s="1102" t="s">
        <v>1063</v>
      </c>
      <c r="CH359" s="1103" t="s">
        <v>1063</v>
      </c>
      <c r="CI359" s="1102" t="s">
        <v>1063</v>
      </c>
      <c r="CJ359" s="1103" t="s">
        <v>1063</v>
      </c>
      <c r="CK359" s="1102"/>
      <c r="CL359" s="1102"/>
      <c r="CM359" s="1103"/>
      <c r="CN359" s="1103"/>
      <c r="CO359" s="1102"/>
      <c r="CP359" s="1102"/>
      <c r="CQ359" s="1103"/>
      <c r="CR359" s="1103"/>
      <c r="CS359" s="1102"/>
      <c r="CT359" s="1102"/>
      <c r="CU359" s="1103"/>
      <c r="CV359" s="1103"/>
      <c r="CW359" s="1102"/>
      <c r="CX359" s="1102"/>
      <c r="CY359" s="1103"/>
      <c r="CZ359" s="1103"/>
      <c r="DA359" s="1102"/>
      <c r="DB359" s="1102"/>
      <c r="DC359" s="1103"/>
      <c r="DD359" s="1103"/>
      <c r="DE359" s="1102"/>
      <c r="DF359" s="1103"/>
      <c r="DG359" s="1102"/>
      <c r="DH359" s="1103"/>
      <c r="DI359" s="1102"/>
      <c r="DJ359" s="1103"/>
      <c r="DK359" s="1102"/>
      <c r="DL359" s="1103"/>
      <c r="DM359" s="1102"/>
    </row>
    <row r="360" spans="3:117" ht="21">
      <c r="D360" s="1104" t="s">
        <v>1079</v>
      </c>
    </row>
    <row r="361" spans="3:117" ht="14.45">
      <c r="D361" s="1105" t="s">
        <v>1079</v>
      </c>
      <c r="F361" s="1106" t="s">
        <v>1065</v>
      </c>
    </row>
    <row r="362" spans="3:117" ht="14.45">
      <c r="D362" s="1436" t="s">
        <v>1162</v>
      </c>
      <c r="E362" s="1433" t="s">
        <v>1122</v>
      </c>
      <c r="F362" s="1107" t="s">
        <v>1068</v>
      </c>
      <c r="G362" s="1108">
        <v>80.094180962392201</v>
      </c>
      <c r="I362" s="1108">
        <v>80.168040028206804</v>
      </c>
      <c r="K362" s="1108">
        <v>69.967423999999596</v>
      </c>
      <c r="M362" s="1108">
        <v>68.465703999999903</v>
      </c>
      <c r="O362" s="1108">
        <v>72.187144999999845</v>
      </c>
      <c r="Q362" s="1108">
        <v>74.719455000000096</v>
      </c>
      <c r="S362" s="1108">
        <v>69.011937499999604</v>
      </c>
      <c r="T362" s="1108">
        <v>69.146354500000143</v>
      </c>
      <c r="U362" s="1108">
        <v>71.301333499999856</v>
      </c>
      <c r="V362" s="1108">
        <v>73.481974500000049</v>
      </c>
      <c r="W362" s="1108">
        <v>64.362427500000194</v>
      </c>
      <c r="X362" s="1108">
        <v>61.993958999999556</v>
      </c>
      <c r="Y362" s="1108">
        <v>64.506381250000004</v>
      </c>
      <c r="Z362" s="1108">
        <v>68.963055500000152</v>
      </c>
      <c r="AA362" s="1108">
        <v>60.39154299999975</v>
      </c>
      <c r="AB362" s="1108">
        <v>61.241878000000199</v>
      </c>
      <c r="AC362" s="1108">
        <v>62.037725752500052</v>
      </c>
      <c r="AD362" s="1108">
        <v>67.588575000000105</v>
      </c>
      <c r="AE362" s="1108">
        <v>51.457425982084231</v>
      </c>
      <c r="AF362" s="1108">
        <v>52.190066466354402</v>
      </c>
      <c r="AG362" s="1108">
        <v>52.797431851786634</v>
      </c>
      <c r="AH362" s="1108">
        <v>57.083487426448563</v>
      </c>
      <c r="AI362" s="1108">
        <v>50.451580655092002</v>
      </c>
      <c r="AJ362" s="1108">
        <v>52.975304682429567</v>
      </c>
      <c r="AK362" s="1108">
        <v>52.442260221410635</v>
      </c>
      <c r="AL362" s="1108">
        <v>54.841626454926036</v>
      </c>
      <c r="AM362" s="1108">
        <v>48.854971752067001</v>
      </c>
      <c r="AN362" s="1108">
        <v>54.305075079796033</v>
      </c>
      <c r="AO362" s="1108">
        <v>54.126894242696139</v>
      </c>
      <c r="AP362" s="1108">
        <v>57.492731759115564</v>
      </c>
      <c r="AQ362" s="1108">
        <v>47.082025314306904</v>
      </c>
      <c r="AR362" s="1108">
        <v>58.993181060103602</v>
      </c>
      <c r="AS362" s="1108">
        <v>57.294661356319267</v>
      </c>
      <c r="AT362" s="1108">
        <v>62.265893323315701</v>
      </c>
      <c r="AU362" s="1108">
        <v>55.374121927007266</v>
      </c>
      <c r="AV362" s="1108">
        <v>58.387860323931932</v>
      </c>
      <c r="AW362" s="1108">
        <v>59.454972003555035</v>
      </c>
      <c r="AX362" s="1108">
        <v>66.208519092703867</v>
      </c>
      <c r="AY362" s="1108">
        <v>57.466815069952368</v>
      </c>
      <c r="AZ362" s="1108">
        <v>56.474350386627535</v>
      </c>
      <c r="BA362" s="1108">
        <v>52.420467599555401</v>
      </c>
      <c r="BB362" s="1108">
        <v>47.852538978592101</v>
      </c>
      <c r="BC362" s="1108">
        <v>44.570686005401036</v>
      </c>
      <c r="BD362" s="1108">
        <v>45.059591041179097</v>
      </c>
      <c r="BE362" s="1108">
        <v>46.878759367253565</v>
      </c>
      <c r="BF362" s="1108">
        <v>49.141249212296202</v>
      </c>
      <c r="BG362" s="1108">
        <v>46.040458133508068</v>
      </c>
      <c r="BH362" s="1108">
        <v>46.563368413289233</v>
      </c>
      <c r="BI362" s="1108">
        <v>47.911908570810567</v>
      </c>
      <c r="BJ362" s="1108">
        <v>50.242159271432669</v>
      </c>
      <c r="BK362" s="1108">
        <v>39.806284710176953</v>
      </c>
      <c r="BL362" s="1108">
        <v>41.016963282943152</v>
      </c>
      <c r="BM362" s="1108">
        <v>53.204265353258997</v>
      </c>
      <c r="BN362" s="1108">
        <v>57.236338359871098</v>
      </c>
      <c r="BO362" s="1108">
        <v>49.955510620725398</v>
      </c>
      <c r="BP362" s="1108">
        <v>49.619283263638202</v>
      </c>
      <c r="BQ362" s="1108">
        <v>54.603655247791899</v>
      </c>
      <c r="BR362" s="1108">
        <v>58.720498422832897</v>
      </c>
      <c r="BS362" s="1108">
        <v>51.250876046130102</v>
      </c>
      <c r="BT362" s="1108">
        <v>50.911153891270502</v>
      </c>
      <c r="CK362" s="1108"/>
      <c r="CM362" s="1108"/>
      <c r="CO362" s="1108"/>
      <c r="CQ362" s="1108"/>
      <c r="CS362" s="1108"/>
      <c r="CU362" s="1108"/>
      <c r="CW362" s="1108"/>
      <c r="CY362" s="1108"/>
      <c r="DA362" s="1108"/>
      <c r="DC362" s="1108"/>
      <c r="DE362" s="1108"/>
      <c r="DF362" s="1108"/>
      <c r="DG362" s="1108"/>
      <c r="DH362" s="1108"/>
      <c r="DI362" s="1108"/>
    </row>
    <row r="363" spans="3:117" ht="14.45" outlineLevel="1">
      <c r="D363" s="1432"/>
      <c r="E363" s="1440"/>
      <c r="F363" s="1107" t="s">
        <v>1069</v>
      </c>
      <c r="O363" s="1109">
        <v>-9.872172818778262</v>
      </c>
      <c r="Q363" s="1109">
        <v>-6.7964553284446572</v>
      </c>
      <c r="S363" s="1109">
        <v>-1.3656162330629718</v>
      </c>
      <c r="T363" s="1109">
        <v>0.9941481066202742</v>
      </c>
      <c r="U363" s="1109">
        <v>-1.2271042164086006</v>
      </c>
      <c r="V363" s="1109">
        <v>-1.6561690660083708</v>
      </c>
      <c r="W363" s="1109">
        <v>-6.7372546959711661</v>
      </c>
      <c r="X363" s="1109">
        <v>-10.343850448400099</v>
      </c>
      <c r="Y363" s="1109">
        <v>-9.5299090724577624</v>
      </c>
      <c r="Z363" s="1109">
        <v>-6.1496972975323274</v>
      </c>
      <c r="AA363" s="1109">
        <v>-6.1695691946989299</v>
      </c>
      <c r="AB363" s="1109">
        <v>-1.2131520750261535</v>
      </c>
      <c r="AC363" s="1109">
        <v>-3.826994244077135</v>
      </c>
      <c r="AD363" s="1109">
        <v>-1.9930678680558807</v>
      </c>
      <c r="AE363" s="1109">
        <v>-14.793655823490973</v>
      </c>
      <c r="AF363" s="1109">
        <v>-14.780427755082506</v>
      </c>
      <c r="AG363" s="1109">
        <v>-14.894636753090589</v>
      </c>
      <c r="AH363" s="1109">
        <v>-15.542697228860833</v>
      </c>
      <c r="AI363" s="1109">
        <v>-1.9547136449118767</v>
      </c>
      <c r="AJ363" s="1109">
        <v>1.5045740870657589</v>
      </c>
      <c r="AK363" s="1109">
        <v>-0.6727062622535116</v>
      </c>
      <c r="AL363" s="1109">
        <v>-3.9273370857222769</v>
      </c>
      <c r="AM363" s="1109">
        <v>-3.1646360377489122</v>
      </c>
      <c r="AN363" s="1109">
        <v>2.5101703620923477</v>
      </c>
      <c r="AO363" s="1109">
        <v>3.2123596774299927</v>
      </c>
      <c r="AP363" s="1109">
        <v>4.8341113777295677</v>
      </c>
      <c r="AQ363" s="1109">
        <v>-3.6289990029215118</v>
      </c>
      <c r="AR363" s="1109">
        <v>8.6329058074569502</v>
      </c>
      <c r="AS363" s="1109">
        <v>5.8524826852606369</v>
      </c>
      <c r="AT363" s="1109">
        <v>8.3021999792927659</v>
      </c>
      <c r="AU363" s="1109">
        <v>17.612021907181269</v>
      </c>
      <c r="AV363" s="1109">
        <v>-1.0260859395850439</v>
      </c>
      <c r="AW363" s="1109">
        <v>3.7705269497984362</v>
      </c>
      <c r="AX363" s="1109">
        <v>6.3319187422817143</v>
      </c>
      <c r="AY363" s="1109">
        <v>3.7791897552861164</v>
      </c>
      <c r="AZ363" s="1109">
        <v>-3.2772393553871857</v>
      </c>
      <c r="BA363" s="1109">
        <v>-11.831650351427319</v>
      </c>
      <c r="BB363" s="1109">
        <v>-27.724498849475975</v>
      </c>
      <c r="BC363" s="1109">
        <v>-22.441001904931255</v>
      </c>
      <c r="BD363" s="1109">
        <v>-20.212289769253051</v>
      </c>
      <c r="BE363" s="1109">
        <v>-10.571649750695542</v>
      </c>
      <c r="BF363" s="1109">
        <v>2.693086430127845</v>
      </c>
      <c r="BG363" s="1109">
        <v>3.297620610840331</v>
      </c>
      <c r="BH363" s="1109">
        <v>3.3373080788413341</v>
      </c>
      <c r="BI363" s="1109">
        <v>2.2038748838534592</v>
      </c>
      <c r="BJ363" s="1109">
        <v>2.2402972589898993</v>
      </c>
      <c r="BK363" s="1109">
        <v>-13.540641592343119</v>
      </c>
      <c r="BL363" s="1109">
        <v>-11.911520406163595</v>
      </c>
      <c r="BM363" s="1109">
        <v>11.046015365108412</v>
      </c>
      <c r="BN363" s="1109">
        <v>13.920936500066528</v>
      </c>
      <c r="BO363" s="1109">
        <v>25.496541524644407</v>
      </c>
      <c r="BP363" s="1109">
        <v>20.97259107495243</v>
      </c>
      <c r="BQ363" s="1109">
        <v>2.630221252452992</v>
      </c>
      <c r="BR363" s="1109">
        <v>2.5930381039230772</v>
      </c>
      <c r="BS363" s="1109">
        <v>2.5930381039229862</v>
      </c>
      <c r="BT363" s="1109">
        <v>2.6035656758045165</v>
      </c>
      <c r="CM363" s="1109"/>
      <c r="CO363" s="1109"/>
      <c r="CQ363" s="1109"/>
      <c r="CS363" s="1109"/>
      <c r="CU363" s="1109"/>
      <c r="CW363" s="1109"/>
      <c r="CY363" s="1109"/>
      <c r="DA363" s="1109"/>
      <c r="DC363" s="1109"/>
      <c r="DE363" s="1109"/>
      <c r="DF363" s="1109"/>
      <c r="DG363" s="1109"/>
      <c r="DH363" s="1109"/>
      <c r="DI363" s="1109"/>
    </row>
    <row r="364" spans="3:117" ht="14.45" outlineLevel="1">
      <c r="D364" s="1432"/>
      <c r="E364" s="1440"/>
      <c r="F364" s="1107"/>
    </row>
    <row r="365" spans="3:117" ht="14.45">
      <c r="D365" s="1436" t="s">
        <v>1163</v>
      </c>
      <c r="E365" s="1433" t="s">
        <v>1153</v>
      </c>
      <c r="F365" s="1106" t="s">
        <v>1068</v>
      </c>
      <c r="G365" s="1108">
        <v>42.271663746758698</v>
      </c>
      <c r="I365" s="1108">
        <v>45.3214689052515</v>
      </c>
      <c r="K365" s="1108">
        <v>42.877096632856102</v>
      </c>
      <c r="M365" s="1108">
        <v>43.955494846804498</v>
      </c>
      <c r="O365" s="1108">
        <v>42.541706884866649</v>
      </c>
      <c r="Q365" s="1108">
        <v>45.808229270339801</v>
      </c>
      <c r="S365" s="1108">
        <v>44.177816452760752</v>
      </c>
      <c r="T365" s="1108">
        <v>42.838233831354849</v>
      </c>
      <c r="U365" s="1108">
        <v>42.195496257450898</v>
      </c>
      <c r="V365" s="1108">
        <v>40.461213376076898</v>
      </c>
      <c r="W365" s="1108">
        <v>37.074644191021953</v>
      </c>
      <c r="X365" s="1108">
        <v>37.916028149862953</v>
      </c>
      <c r="Y365" s="1108">
        <v>45.165805121935101</v>
      </c>
      <c r="Z365" s="1108">
        <v>44.761548696028946</v>
      </c>
      <c r="AA365" s="1108">
        <v>41.0057862589465</v>
      </c>
      <c r="AB365" s="1108">
        <v>45.357933336667749</v>
      </c>
      <c r="AC365" s="1108">
        <v>47.524272858527297</v>
      </c>
      <c r="AD365" s="1108">
        <v>46.730781985147402</v>
      </c>
      <c r="AE365" s="1108">
        <v>58.067804374284535</v>
      </c>
      <c r="AF365" s="1108">
        <v>65.908962855993025</v>
      </c>
      <c r="AG365" s="1108">
        <v>62.876943846225657</v>
      </c>
      <c r="AH365" s="1108">
        <v>64.362205392861128</v>
      </c>
      <c r="AI365" s="1108">
        <v>62.395676416362633</v>
      </c>
      <c r="AJ365" s="1108">
        <v>69.799121047557563</v>
      </c>
      <c r="AK365" s="1108">
        <v>64.628015600273173</v>
      </c>
      <c r="AL365" s="1108">
        <v>62.316371929462264</v>
      </c>
      <c r="AM365" s="1108">
        <v>69.419892846228038</v>
      </c>
      <c r="AN365" s="1108">
        <v>72.574087926010634</v>
      </c>
      <c r="AO365" s="1108">
        <v>67.848022367284869</v>
      </c>
      <c r="AP365" s="1108">
        <v>70.48076415121966</v>
      </c>
      <c r="AQ365" s="1108">
        <v>71.556864848426869</v>
      </c>
      <c r="AR365" s="1108">
        <v>69.886614509480495</v>
      </c>
      <c r="AS365" s="1108">
        <v>60.638787456452597</v>
      </c>
      <c r="AT365" s="1108">
        <v>64.383653581141729</v>
      </c>
      <c r="AU365" s="1108">
        <v>65.705705247440406</v>
      </c>
      <c r="AV365" s="1108">
        <v>69.591293801351696</v>
      </c>
      <c r="AW365" s="1108">
        <v>64.957093692346135</v>
      </c>
      <c r="AX365" s="1108">
        <v>75.53359283630823</v>
      </c>
      <c r="AY365" s="1108">
        <v>70.424125216077698</v>
      </c>
      <c r="AZ365" s="1108">
        <v>68.614898261658226</v>
      </c>
      <c r="BA365" s="1108">
        <v>63.134150860918197</v>
      </c>
      <c r="BB365" s="1108">
        <v>67.777543519735701</v>
      </c>
      <c r="BC365" s="1108">
        <v>67.544281279868002</v>
      </c>
      <c r="BD365" s="1108">
        <v>67.30887500128533</v>
      </c>
      <c r="BE365" s="1108">
        <v>65.321586667871998</v>
      </c>
      <c r="BF365" s="1108">
        <v>67.922204509115033</v>
      </c>
      <c r="BG365" s="1108">
        <v>67.344281279868</v>
      </c>
      <c r="BH365" s="1108">
        <v>67.175541667952004</v>
      </c>
      <c r="BI365" s="1108">
        <v>65.308023494680839</v>
      </c>
      <c r="BJ365" s="1108">
        <v>67.921151111267037</v>
      </c>
      <c r="BK365" s="1108">
        <v>79.978692340383489</v>
      </c>
      <c r="BL365" s="1108">
        <v>79.622983951939503</v>
      </c>
      <c r="BM365" s="1108">
        <v>52.888895070795598</v>
      </c>
      <c r="BN365" s="1108">
        <v>48.859669502781102</v>
      </c>
      <c r="BO365" s="1108">
        <v>53.697808198392998</v>
      </c>
      <c r="BP365" s="1108">
        <v>53.697808198392998</v>
      </c>
      <c r="BQ365" s="1108">
        <v>52.888895070795598</v>
      </c>
      <c r="BR365" s="1108">
        <v>48.859669502781102</v>
      </c>
      <c r="BS365" s="1108">
        <v>53.697808198392998</v>
      </c>
      <c r="BT365" s="1108">
        <v>53.697808198392998</v>
      </c>
      <c r="CK365" s="1108"/>
      <c r="CM365" s="1108"/>
      <c r="CO365" s="1108"/>
      <c r="CQ365" s="1108"/>
      <c r="CS365" s="1108"/>
      <c r="CU365" s="1108"/>
      <c r="CW365" s="1108"/>
      <c r="CY365" s="1108"/>
      <c r="DA365" s="1108"/>
      <c r="DC365" s="1108"/>
      <c r="DE365" s="1108"/>
      <c r="DF365" s="1108"/>
      <c r="DG365" s="1108"/>
      <c r="DH365" s="1108"/>
      <c r="DI365" s="1108"/>
    </row>
    <row r="366" spans="3:117" ht="14.45" hidden="1" outlineLevel="1">
      <c r="D366" s="1432"/>
      <c r="E366" s="1440"/>
      <c r="F366" s="1106" t="s">
        <v>1069</v>
      </c>
      <c r="O366" s="1109">
        <v>0.63882779661980416</v>
      </c>
      <c r="Q366" s="1109">
        <v>1.0740171862167935</v>
      </c>
      <c r="S366" s="1109">
        <v>3.0336005048157273</v>
      </c>
      <c r="T366" s="1109">
        <v>-2.5418005629184104</v>
      </c>
      <c r="U366" s="1109">
        <v>-0.81381461339274097</v>
      </c>
      <c r="V366" s="1109">
        <v>-11.672609876944145</v>
      </c>
      <c r="W366" s="1109">
        <v>-16.078595168537145</v>
      </c>
      <c r="X366" s="1109">
        <v>-11.490216195349202</v>
      </c>
      <c r="Y366" s="1109">
        <v>7.0393978692920438</v>
      </c>
      <c r="Z366" s="1109">
        <v>10.628290555652649</v>
      </c>
      <c r="AA366" s="1109">
        <v>10.603317047818136</v>
      </c>
      <c r="AB366" s="1109">
        <v>19.627333214836465</v>
      </c>
      <c r="AC366" s="1109">
        <v>5.2217993905455469</v>
      </c>
      <c r="AD366" s="1109">
        <v>4.3993859606854002</v>
      </c>
      <c r="AE366" s="1109">
        <v>41.608806151389189</v>
      </c>
      <c r="AF366" s="1109">
        <v>45.308566787613415</v>
      </c>
      <c r="AG366" s="1109">
        <v>32.304904555617256</v>
      </c>
      <c r="AH366" s="1109">
        <v>37.729784648837203</v>
      </c>
      <c r="AI366" s="1109">
        <v>7.453135328110851</v>
      </c>
      <c r="AJ366" s="1109">
        <v>5.9023204477732278</v>
      </c>
      <c r="AK366" s="1109">
        <v>2.7849186791425584</v>
      </c>
      <c r="AL366" s="1109">
        <v>-3.178625485113943</v>
      </c>
      <c r="AM366" s="1109">
        <v>11.257537113618621</v>
      </c>
      <c r="AN366" s="1109">
        <v>3.9756473101750811</v>
      </c>
      <c r="AO366" s="1109">
        <v>4.9823698547818109</v>
      </c>
      <c r="AP366" s="1109">
        <v>13.101520465599172</v>
      </c>
      <c r="AQ366" s="1109">
        <v>3.0783280045280921</v>
      </c>
      <c r="AR366" s="1109">
        <v>-3.703075702818369</v>
      </c>
      <c r="AS366" s="1109">
        <v>-10.625563810550268</v>
      </c>
      <c r="AT366" s="1109">
        <v>-8.6507441335288373</v>
      </c>
      <c r="AU366" s="1109">
        <v>-8.1769367808113191</v>
      </c>
      <c r="AV366" s="1109">
        <v>-0.42257120365837253</v>
      </c>
      <c r="AW366" s="1109">
        <v>7.1213598045553006</v>
      </c>
      <c r="AX366" s="1109">
        <v>17.317966028619988</v>
      </c>
      <c r="AY366" s="1109">
        <v>7.1811419584771903</v>
      </c>
      <c r="AZ366" s="1109">
        <v>-1.4030426600209371</v>
      </c>
      <c r="BA366" s="1109">
        <v>-2.8063799160440794</v>
      </c>
      <c r="BB366" s="1109">
        <v>-10.268344223186846</v>
      </c>
      <c r="BC366" s="1109">
        <v>-4.0892860612377655</v>
      </c>
      <c r="BD366" s="1109">
        <v>-1.9034106199392233</v>
      </c>
      <c r="BE366" s="1109">
        <v>3.4647425792937754</v>
      </c>
      <c r="BF366" s="1109">
        <v>0.21343498431336533</v>
      </c>
      <c r="BG366" s="1109">
        <v>-0.29610204773859083</v>
      </c>
      <c r="BH366" s="1109">
        <v>-0.1980917573362794</v>
      </c>
      <c r="BI366" s="1109">
        <v>-2.0763692192782724E-2</v>
      </c>
      <c r="BJ366" s="1109">
        <v>-1.5508887787286083E-3</v>
      </c>
      <c r="BK366" s="1109">
        <v>18.760926422259462</v>
      </c>
      <c r="BL366" s="1109">
        <v>18.529723728191243</v>
      </c>
      <c r="BM366" s="1109">
        <v>-19.016236840939989</v>
      </c>
      <c r="BN366" s="1109">
        <v>-28.064132154150045</v>
      </c>
      <c r="BO366" s="1109">
        <v>-32.859857260657577</v>
      </c>
      <c r="BP366" s="1109">
        <v>-32.559914822075697</v>
      </c>
      <c r="BQ366" s="1109">
        <v>0</v>
      </c>
      <c r="BR366" s="1109">
        <v>0</v>
      </c>
      <c r="BS366" s="1109">
        <v>0</v>
      </c>
      <c r="BT366" s="1109">
        <v>0</v>
      </c>
      <c r="CM366" s="1109"/>
      <c r="CO366" s="1109"/>
      <c r="CQ366" s="1109"/>
      <c r="CS366" s="1109"/>
      <c r="CU366" s="1109"/>
      <c r="CW366" s="1109"/>
      <c r="CY366" s="1109"/>
      <c r="DA366" s="1109"/>
      <c r="DC366" s="1109"/>
      <c r="DE366" s="1109"/>
      <c r="DF366" s="1109"/>
      <c r="DG366" s="1109"/>
      <c r="DH366" s="1109"/>
      <c r="DI366" s="1109"/>
    </row>
    <row r="367" spans="3:117" ht="14.45" hidden="1" outlineLevel="1" collapsed="1">
      <c r="D367" s="1432"/>
      <c r="E367" s="1440"/>
      <c r="F367" s="1106"/>
    </row>
    <row r="368" spans="3:117" ht="14.45" collapsed="1">
      <c r="D368" s="1435" t="s">
        <v>1164</v>
      </c>
      <c r="E368" s="1433" t="s">
        <v>1067</v>
      </c>
      <c r="F368" s="1107" t="s">
        <v>1068</v>
      </c>
      <c r="G368" s="1108">
        <v>3401.3571428571449</v>
      </c>
      <c r="I368" s="1108">
        <v>3525.2478823536248</v>
      </c>
      <c r="K368" s="1108">
        <v>3000.55</v>
      </c>
      <c r="M368" s="1108">
        <v>2998.0219496774198</v>
      </c>
      <c r="O368" s="1108">
        <v>3198.2101164581263</v>
      </c>
      <c r="Q368" s="1108">
        <v>3372.5556971682527</v>
      </c>
      <c r="S368" s="1108">
        <v>3148.9977277056287</v>
      </c>
      <c r="T368" s="1108">
        <v>3067.9527127291376</v>
      </c>
      <c r="U368" s="1108">
        <v>3221.6420534649051</v>
      </c>
      <c r="V368" s="1108">
        <v>3026.7982391983614</v>
      </c>
      <c r="W368" s="1108">
        <v>2546.4105976364335</v>
      </c>
      <c r="X368" s="1108">
        <v>2444.52576115805</v>
      </c>
      <c r="Y368" s="1108">
        <v>2949.1493441489656</v>
      </c>
      <c r="Z368" s="1108">
        <v>2843.752925470169</v>
      </c>
      <c r="AA368" s="1108">
        <v>2500.6215883842374</v>
      </c>
      <c r="AB368" s="1108">
        <v>2799.4614057900826</v>
      </c>
      <c r="AC368" s="1108">
        <v>2953.6382092162962</v>
      </c>
      <c r="AD368" s="1108">
        <v>3000.034792655219</v>
      </c>
      <c r="AE368" s="1108">
        <v>2697.6075625008507</v>
      </c>
      <c r="AF368" s="1108">
        <v>2926.6226667480278</v>
      </c>
      <c r="AG368" s="1108">
        <v>3040.0897073895676</v>
      </c>
      <c r="AH368" s="1108">
        <v>3107.0426026212572</v>
      </c>
      <c r="AI368" s="1108">
        <v>2807.911982493049</v>
      </c>
      <c r="AJ368" s="1108">
        <v>3139.0530156384125</v>
      </c>
      <c r="AK368" s="1108">
        <v>3123.6863031714224</v>
      </c>
      <c r="AL368" s="1108">
        <v>2934.7166117146635</v>
      </c>
      <c r="AM368" s="1108">
        <v>3052.7439155119309</v>
      </c>
      <c r="AN368" s="1108">
        <v>3421.76402669565</v>
      </c>
      <c r="AO368" s="1108">
        <v>3404.5301962417748</v>
      </c>
      <c r="AP368" s="1108">
        <v>3474.577559257305</v>
      </c>
      <c r="AQ368" s="1108">
        <v>3042.1452840786915</v>
      </c>
      <c r="AR368" s="1108">
        <v>3571.5507221957587</v>
      </c>
      <c r="AS368" s="1108">
        <v>3231.1202365691388</v>
      </c>
      <c r="AT368" s="1108">
        <v>3518.1940963162615</v>
      </c>
      <c r="AU368" s="1108">
        <v>3349.6987940232352</v>
      </c>
      <c r="AV368" s="1108">
        <v>3570.6177758439785</v>
      </c>
      <c r="AW368" s="1108">
        <v>3547.5985839382311</v>
      </c>
      <c r="AX368" s="1108">
        <v>4375.135652027886</v>
      </c>
      <c r="AY368" s="1108">
        <v>3708.4217617506588</v>
      </c>
      <c r="AZ368" s="1108">
        <v>3493.314057676941</v>
      </c>
      <c r="BA368" s="1108">
        <v>3022.7261479439685</v>
      </c>
      <c r="BB368" s="1108">
        <v>2666.4643406363534</v>
      </c>
      <c r="BC368" s="1108">
        <v>2707.9176889737641</v>
      </c>
      <c r="BD368" s="1108">
        <v>2728.9315151591827</v>
      </c>
      <c r="BE368" s="1108">
        <v>2775.6765068529876</v>
      </c>
      <c r="BF368" s="1108">
        <v>2744.3840192425291</v>
      </c>
      <c r="BG368" s="1108">
        <v>2740.0801486500027</v>
      </c>
      <c r="BH368" s="1108">
        <v>2774.6374180706075</v>
      </c>
      <c r="BI368" s="1108">
        <v>2779.6515879566264</v>
      </c>
      <c r="BJ368" s="1108">
        <v>2746.8800605011556</v>
      </c>
      <c r="BK368" s="1108">
        <v>2729.1269732433839</v>
      </c>
      <c r="BL368" s="1108">
        <v>2815.4548133879639</v>
      </c>
      <c r="BM368" s="1108">
        <v>2801.4653978797273</v>
      </c>
      <c r="BN368" s="1108">
        <v>2778.9996844820375</v>
      </c>
      <c r="BO368" s="1108">
        <v>2812.6176630292725</v>
      </c>
      <c r="BP368" s="1108">
        <v>2770.6822093035848</v>
      </c>
      <c r="BQ368" s="1108">
        <v>2922.41243602955</v>
      </c>
      <c r="BR368" s="1108">
        <v>2938.2260152749732</v>
      </c>
      <c r="BS368" s="1108">
        <v>2881.8185260934001</v>
      </c>
      <c r="BT368" s="1108">
        <v>2785.2677322974369</v>
      </c>
      <c r="CK368" s="1108"/>
      <c r="CM368" s="1108"/>
      <c r="CO368" s="1108"/>
      <c r="CQ368" s="1108"/>
      <c r="CS368" s="1108"/>
      <c r="CU368" s="1108"/>
      <c r="CW368" s="1108"/>
      <c r="CY368" s="1108"/>
      <c r="DA368" s="1108"/>
      <c r="DC368" s="1108"/>
      <c r="DE368" s="1108"/>
      <c r="DF368" s="1108"/>
      <c r="DG368" s="1108"/>
      <c r="DH368" s="1108"/>
      <c r="DI368" s="1108"/>
    </row>
    <row r="369" spans="4:114" ht="14.45" hidden="1" outlineLevel="1">
      <c r="D369" s="1432"/>
      <c r="E369" s="1440"/>
      <c r="F369" s="1107" t="s">
        <v>1069</v>
      </c>
      <c r="O369" s="1109">
        <v>-5.9725285486596924</v>
      </c>
      <c r="Q369" s="1109">
        <v>-4.3313886081516495</v>
      </c>
      <c r="S369" s="1109">
        <v>4.9473505759153653</v>
      </c>
      <c r="T369" s="1109">
        <v>2.3325634109931115</v>
      </c>
      <c r="U369" s="1109">
        <v>0.73265783527470574</v>
      </c>
      <c r="V369" s="1109">
        <v>-10.252090373487516</v>
      </c>
      <c r="W369" s="1109">
        <v>-19.135838834289739</v>
      </c>
      <c r="X369" s="1109">
        <v>-20.320618012932474</v>
      </c>
      <c r="Y369" s="1109">
        <v>-8.4581932068732186</v>
      </c>
      <c r="Z369" s="1109">
        <v>-6.0474897651807638</v>
      </c>
      <c r="AA369" s="1109">
        <v>-1.7981785535568098</v>
      </c>
      <c r="AB369" s="1109">
        <v>14.519611544772113</v>
      </c>
      <c r="AC369" s="1109">
        <v>0.15220880815128596</v>
      </c>
      <c r="AD369" s="1109">
        <v>5.4956204452681598</v>
      </c>
      <c r="AE369" s="1109">
        <v>7.8774803445528399</v>
      </c>
      <c r="AF369" s="1109">
        <v>4.5423473492057971</v>
      </c>
      <c r="AG369" s="1109">
        <v>2.9269494789008026</v>
      </c>
      <c r="AH369" s="1109">
        <v>3.5668856317272755</v>
      </c>
      <c r="AI369" s="1109">
        <v>4.0889720775374458</v>
      </c>
      <c r="AJ369" s="1109">
        <v>7.258549293149251</v>
      </c>
      <c r="AK369" s="1109">
        <v>2.7498068750621401</v>
      </c>
      <c r="AL369" s="1109">
        <v>-5.5463028012944147</v>
      </c>
      <c r="AM369" s="1109">
        <v>8.7193592443558021</v>
      </c>
      <c r="AN369" s="1109">
        <v>9.0062515557654734</v>
      </c>
      <c r="AO369" s="1109">
        <v>8.9907841509314377</v>
      </c>
      <c r="AP369" s="1109">
        <v>18.395675595648655</v>
      </c>
      <c r="AQ369" s="1109">
        <v>-0.34718377061975475</v>
      </c>
      <c r="AR369" s="1109">
        <v>4.3774700514563412</v>
      </c>
      <c r="AS369" s="1109">
        <v>-5.0935062894745773</v>
      </c>
      <c r="AT369" s="1109">
        <v>1.2553047475584225</v>
      </c>
      <c r="AU369" s="1109">
        <v>10.109757464712466</v>
      </c>
      <c r="AV369" s="1109">
        <v>-2.6121604433118808E-2</v>
      </c>
      <c r="AW369" s="1109">
        <v>9.7946942297985977</v>
      </c>
      <c r="AX369" s="1109">
        <v>24.357426914248091</v>
      </c>
      <c r="AY369" s="1109">
        <v>10.709111170457533</v>
      </c>
      <c r="AZ369" s="1109">
        <v>-2.1649956119642448</v>
      </c>
      <c r="BA369" s="1109">
        <v>-14.795147296839753</v>
      </c>
      <c r="BB369" s="1109">
        <v>-39.054133340975596</v>
      </c>
      <c r="BC369" s="1109">
        <v>-26.979241765224142</v>
      </c>
      <c r="BD369" s="1109">
        <v>-21.881300389752926</v>
      </c>
      <c r="BE369" s="1109">
        <v>-8.1730738743574864</v>
      </c>
      <c r="BF369" s="1109">
        <v>2.9222096623868636</v>
      </c>
      <c r="BG369" s="1109">
        <v>1.187719250374532</v>
      </c>
      <c r="BH369" s="1109">
        <v>1.6748644169899112</v>
      </c>
      <c r="BI369" s="1109">
        <v>0.14321125296209902</v>
      </c>
      <c r="BJ369" s="1109">
        <v>9.0950874262685943E-2</v>
      </c>
      <c r="BK369" s="1109">
        <v>-0.39973923434375741</v>
      </c>
      <c r="BL369" s="1109">
        <v>1.47108934131435</v>
      </c>
      <c r="BM369" s="1109">
        <v>0.7847677751274108</v>
      </c>
      <c r="BN369" s="1109">
        <v>1.1693129395326356</v>
      </c>
      <c r="BO369" s="1109">
        <v>3.0592453412552514</v>
      </c>
      <c r="BP369" s="1109">
        <v>-1.5902441009345185</v>
      </c>
      <c r="BQ369" s="1109">
        <v>4.3172776019779047</v>
      </c>
      <c r="BR369" s="1109">
        <v>5.7296275232436011</v>
      </c>
      <c r="BS369" s="1109">
        <v>2.4603721996681274</v>
      </c>
      <c r="BT369" s="1109">
        <v>0.52642352648296331</v>
      </c>
      <c r="CM369" s="1109"/>
      <c r="CO369" s="1109"/>
      <c r="CQ369" s="1109"/>
      <c r="CS369" s="1109"/>
      <c r="CU369" s="1109"/>
      <c r="CW369" s="1109"/>
      <c r="CY369" s="1109"/>
      <c r="DA369" s="1109"/>
      <c r="DC369" s="1109"/>
      <c r="DE369" s="1109"/>
      <c r="DF369" s="1109"/>
      <c r="DG369" s="1109"/>
      <c r="DH369" s="1109"/>
      <c r="DI369" s="1109"/>
    </row>
    <row r="370" spans="4:114" ht="14.45" hidden="1" outlineLevel="1" collapsed="1">
      <c r="D370" s="1432"/>
      <c r="E370" s="1440"/>
      <c r="F370" s="1107"/>
    </row>
    <row r="371" spans="4:114" ht="14.45" collapsed="1">
      <c r="D371" s="1436" t="s">
        <v>1165</v>
      </c>
      <c r="E371" s="1433" t="s">
        <v>1067</v>
      </c>
      <c r="F371" s="1106" t="s">
        <v>1068</v>
      </c>
      <c r="G371" s="1108">
        <v>943</v>
      </c>
      <c r="I371" s="1108">
        <v>950</v>
      </c>
      <c r="K371" s="1108">
        <v>975</v>
      </c>
      <c r="M371" s="1108">
        <v>1000</v>
      </c>
      <c r="O371" s="1108">
        <v>899.52666666666664</v>
      </c>
      <c r="Q371" s="1108">
        <v>998.78787878787864</v>
      </c>
      <c r="S371" s="1108">
        <v>1003.4772727272726</v>
      </c>
      <c r="T371" s="1108">
        <v>1096.4848484848501</v>
      </c>
      <c r="U371" s="1108">
        <v>988.846</v>
      </c>
      <c r="V371" s="1108">
        <v>1030.7948484848487</v>
      </c>
      <c r="W371" s="1108">
        <v>984.87439393939405</v>
      </c>
      <c r="X371" s="1108">
        <v>1010.5660606060607</v>
      </c>
      <c r="Y371" s="1108">
        <v>1188.3288373153036</v>
      </c>
      <c r="Z371" s="1108">
        <v>1406.1064919056175</v>
      </c>
      <c r="AA371" s="1108">
        <v>1190.7384929043278</v>
      </c>
      <c r="AB371" s="1108">
        <v>1300.4590000000001</v>
      </c>
      <c r="AC371" s="1108">
        <v>1220.3318590989948</v>
      </c>
      <c r="AD371" s="1108">
        <v>1265.75609341616</v>
      </c>
      <c r="AE371" s="1108">
        <v>1179.268257340151</v>
      </c>
      <c r="AF371" s="1108">
        <v>1374.8539658536583</v>
      </c>
      <c r="AG371" s="1108">
        <v>1214.8122315959242</v>
      </c>
      <c r="AH371" s="1108">
        <v>1226.0741542198484</v>
      </c>
      <c r="AI371" s="1108">
        <v>1388.7973327815832</v>
      </c>
      <c r="AJ371" s="1108">
        <v>1643.6327040000001</v>
      </c>
      <c r="AK371" s="1108">
        <v>1354.0318166938682</v>
      </c>
      <c r="AL371" s="1108">
        <v>1337.9424691916483</v>
      </c>
      <c r="AM371" s="1108">
        <v>1531.924487315435</v>
      </c>
      <c r="AN371" s="1108">
        <v>1788.3429196891782</v>
      </c>
      <c r="AO371" s="1108">
        <v>1611.1363738416701</v>
      </c>
      <c r="AP371" s="1108">
        <v>1651.0271279898559</v>
      </c>
      <c r="AQ371" s="1108">
        <v>1819.6201365745601</v>
      </c>
      <c r="AR371" s="1108">
        <v>2065.9407805579999</v>
      </c>
      <c r="AS371" s="1108">
        <v>1737.8869745145839</v>
      </c>
      <c r="AT371" s="1108">
        <v>1755.277108767342</v>
      </c>
      <c r="AU371" s="1108">
        <v>1919.827784241626</v>
      </c>
      <c r="AV371" s="1108">
        <v>2325.532699993626</v>
      </c>
      <c r="AW371" s="1108">
        <v>1925.203627696618</v>
      </c>
      <c r="AX371" s="1108">
        <v>1931.372414664716</v>
      </c>
      <c r="AY371" s="1108">
        <v>2192.985698145988</v>
      </c>
      <c r="AZ371" s="1108">
        <v>2468.7392579406078</v>
      </c>
      <c r="BA371" s="1108">
        <v>2097.9857533519239</v>
      </c>
      <c r="BB371" s="1108">
        <v>1886.7169556337001</v>
      </c>
      <c r="BC371" s="1108">
        <v>2279.1426036732819</v>
      </c>
      <c r="BD371" s="1108">
        <v>2395.0378802416622</v>
      </c>
      <c r="BE371" s="1108">
        <v>2122.5044692114539</v>
      </c>
      <c r="BF371" s="1108">
        <v>1924.53183846039</v>
      </c>
      <c r="BG371" s="1108">
        <v>2283.064144420528</v>
      </c>
      <c r="BH371" s="1108">
        <v>2548.8472580650341</v>
      </c>
      <c r="BI371" s="1108">
        <v>2268.9257877756322</v>
      </c>
      <c r="BJ371" s="1108">
        <v>2055.2545358924281</v>
      </c>
      <c r="BK371" s="1108">
        <v>2432.6798185693142</v>
      </c>
      <c r="BL371" s="1108">
        <v>2706.1052055900618</v>
      </c>
      <c r="BM371" s="1108">
        <v>2263.4568565651298</v>
      </c>
      <c r="BN371" s="1108">
        <v>2081.51850405289</v>
      </c>
      <c r="BO371" s="1108">
        <v>2555.6867518098902</v>
      </c>
      <c r="BP371" s="1108">
        <v>2962.46120244451</v>
      </c>
      <c r="CK371" s="1108"/>
      <c r="CM371" s="1108"/>
      <c r="CO371" s="1108"/>
      <c r="CQ371" s="1108"/>
      <c r="CS371" s="1108"/>
      <c r="CU371" s="1108"/>
      <c r="CW371" s="1108"/>
      <c r="CY371" s="1108"/>
      <c r="DA371" s="1108"/>
      <c r="DC371" s="1108"/>
      <c r="DE371" s="1108"/>
      <c r="DF371" s="1108"/>
      <c r="DG371" s="1108"/>
      <c r="DH371" s="1108"/>
    </row>
    <row r="372" spans="4:114" ht="14.45" hidden="1" outlineLevel="1">
      <c r="D372" s="1432"/>
      <c r="E372" s="1440"/>
      <c r="F372" s="1106" t="s">
        <v>1069</v>
      </c>
      <c r="O372" s="1109">
        <v>-4.6101095793566662</v>
      </c>
      <c r="Q372" s="1109">
        <v>5.1355661881977515</v>
      </c>
      <c r="S372" s="1109">
        <v>2.9207459207459112</v>
      </c>
      <c r="T372" s="1109">
        <v>9.6484848484850083</v>
      </c>
      <c r="U372" s="1109">
        <v>9.9295926005528869</v>
      </c>
      <c r="V372" s="1109">
        <v>3.2045813106796452</v>
      </c>
      <c r="W372" s="1109">
        <v>-1.8538415660694803</v>
      </c>
      <c r="X372" s="1109">
        <v>-7.8358390448818458</v>
      </c>
      <c r="Y372" s="1109">
        <v>20.173296682729529</v>
      </c>
      <c r="Z372" s="1109">
        <v>36.409926181958937</v>
      </c>
      <c r="AA372" s="1109">
        <v>20.902573996415828</v>
      </c>
      <c r="AB372" s="1109">
        <v>28.686193876339335</v>
      </c>
      <c r="AC372" s="1109">
        <v>2.6931116016668399</v>
      </c>
      <c r="AD372" s="1109">
        <v>-9.9814913946701527</v>
      </c>
      <c r="AE372" s="1109">
        <v>-0.96328754235531755</v>
      </c>
      <c r="AF372" s="1109">
        <v>5.7206698445439859</v>
      </c>
      <c r="AG372" s="1109">
        <v>-0.45230544969511977</v>
      </c>
      <c r="AH372" s="1109">
        <v>-3.1350383697710358</v>
      </c>
      <c r="AI372" s="1109">
        <v>17.767719442735345</v>
      </c>
      <c r="AJ372" s="1109">
        <v>19.549620892241805</v>
      </c>
      <c r="AK372" s="1109">
        <v>11.460173142564454</v>
      </c>
      <c r="AL372" s="1109">
        <v>9.1241067750083822</v>
      </c>
      <c r="AM372" s="1109">
        <v>10.305834491141082</v>
      </c>
      <c r="AN372" s="1109">
        <v>8.8042915754235374</v>
      </c>
      <c r="AO372" s="1109">
        <v>18.988073542878229</v>
      </c>
      <c r="AP372" s="1109">
        <v>23.40045749406292</v>
      </c>
      <c r="AQ372" s="1109">
        <v>18.780015049128611</v>
      </c>
      <c r="AR372" s="1109">
        <v>15.522630353079567</v>
      </c>
      <c r="AS372" s="1109">
        <v>7.86715530297933</v>
      </c>
      <c r="AT372" s="1109">
        <v>6.3142500211012074</v>
      </c>
      <c r="AU372" s="1109">
        <v>5.5070641203007931</v>
      </c>
      <c r="AV372" s="1109">
        <v>12.565312707826584</v>
      </c>
      <c r="AW372" s="1109">
        <v>10.77841401247364</v>
      </c>
      <c r="AX372" s="1109">
        <v>10.032336490791378</v>
      </c>
      <c r="AY372" s="1109">
        <v>14.228250895549225</v>
      </c>
      <c r="AZ372" s="1109">
        <v>6.1580109343280478</v>
      </c>
      <c r="BA372" s="1109">
        <v>8.9747454850803798</v>
      </c>
      <c r="BB372" s="1109">
        <v>-2.3121102223450785</v>
      </c>
      <c r="BC372" s="1109">
        <v>3.9287490839604389</v>
      </c>
      <c r="BD372" s="1109">
        <v>-2.985385251273009</v>
      </c>
      <c r="BE372" s="1109">
        <v>1.168678854008266</v>
      </c>
      <c r="BF372" s="1109">
        <v>2.0042689876600397</v>
      </c>
      <c r="BG372" s="1109">
        <v>0.17206210532530086</v>
      </c>
      <c r="BH372" s="1109">
        <v>6.4220018853251872</v>
      </c>
      <c r="BI372" s="1109">
        <v>6.8985163842117307</v>
      </c>
      <c r="BJ372" s="1109">
        <v>6.7924414041710639</v>
      </c>
      <c r="BK372" s="1109">
        <v>6.5532838625855003</v>
      </c>
      <c r="BL372" s="1109">
        <v>6.1697674125993176</v>
      </c>
      <c r="BM372" s="1109">
        <v>-0.24103614318139346</v>
      </c>
      <c r="BN372" s="1109">
        <v>1.2778936964641032</v>
      </c>
      <c r="BO372" s="1109">
        <v>5.0564374440742368</v>
      </c>
      <c r="BP372" s="1109">
        <v>9.4732457675661657</v>
      </c>
      <c r="CM372" s="1109"/>
      <c r="CO372" s="1109"/>
      <c r="CQ372" s="1109"/>
      <c r="CS372" s="1109"/>
      <c r="CU372" s="1109"/>
      <c r="CW372" s="1109"/>
      <c r="CY372" s="1109"/>
      <c r="DA372" s="1109"/>
      <c r="DC372" s="1109"/>
      <c r="DE372" s="1109"/>
      <c r="DF372" s="1109"/>
      <c r="DG372" s="1109"/>
      <c r="DH372" s="1109"/>
    </row>
    <row r="373" spans="4:114" ht="14.45" hidden="1" outlineLevel="1" collapsed="1">
      <c r="D373" s="1432"/>
      <c r="E373" s="1440"/>
      <c r="F373" s="1106"/>
    </row>
    <row r="374" spans="4:114" ht="14.45" collapsed="1">
      <c r="D374" s="1436" t="s">
        <v>1166</v>
      </c>
      <c r="E374" s="1433" t="s">
        <v>1067</v>
      </c>
      <c r="F374" s="1107" t="s">
        <v>1068</v>
      </c>
      <c r="G374" s="1108">
        <v>300</v>
      </c>
      <c r="I374" s="1108">
        <v>320</v>
      </c>
      <c r="K374" s="1108">
        <v>290</v>
      </c>
      <c r="M374" s="1108">
        <v>314</v>
      </c>
      <c r="O374" s="1108">
        <v>180</v>
      </c>
      <c r="Q374" s="1108">
        <v>189.5</v>
      </c>
      <c r="S374" s="1108">
        <v>175.25</v>
      </c>
      <c r="T374" s="1108">
        <v>186.65</v>
      </c>
      <c r="U374" s="1108">
        <v>153.25</v>
      </c>
      <c r="V374" s="1108">
        <v>161.80000000000001</v>
      </c>
      <c r="W374" s="1108">
        <v>148.97499999999999</v>
      </c>
      <c r="X374" s="1108">
        <v>159.23500000000001</v>
      </c>
      <c r="Y374" s="1108">
        <v>127.4375</v>
      </c>
      <c r="Z374" s="1108">
        <v>133.85</v>
      </c>
      <c r="AA374" s="1108">
        <v>124.23125</v>
      </c>
      <c r="AB374" s="1108">
        <v>131.92625000000001</v>
      </c>
      <c r="AC374" s="1108">
        <v>299.06666666666666</v>
      </c>
      <c r="AD374" s="1108">
        <v>278.69733333333335</v>
      </c>
      <c r="AE374" s="1108">
        <v>250.46133333333333</v>
      </c>
      <c r="AF374" s="1108">
        <v>280.94613333333331</v>
      </c>
      <c r="AG374" s="1108">
        <v>254.13233333333332</v>
      </c>
      <c r="AH374" s="1108">
        <v>255.77709333333334</v>
      </c>
      <c r="AI374" s="1108">
        <v>221.96793333333332</v>
      </c>
      <c r="AJ374" s="1108">
        <v>261.25905333333333</v>
      </c>
      <c r="AK374" s="1108">
        <v>260.13170933333333</v>
      </c>
      <c r="AL374" s="1108">
        <v>223.90281573333365</v>
      </c>
      <c r="AM374" s="1108">
        <v>210.82754679999999</v>
      </c>
      <c r="AN374" s="1108">
        <v>208.4087352</v>
      </c>
      <c r="AO374" s="1108">
        <v>207.22845609999999</v>
      </c>
      <c r="AP374" s="1108">
        <v>212.7189541000005</v>
      </c>
      <c r="AQ374" s="1108">
        <v>248.00972415800001</v>
      </c>
      <c r="AR374" s="1108">
        <v>-218.69796759200051</v>
      </c>
      <c r="AS374" s="1108">
        <v>95.976178408600006</v>
      </c>
      <c r="AT374" s="1108">
        <v>66.544273866000353</v>
      </c>
      <c r="AU374" s="1108">
        <v>130.18569657379999</v>
      </c>
      <c r="AV374" s="1108">
        <v>160.70250174907949</v>
      </c>
      <c r="AW374" s="1108">
        <v>70.094402802611754</v>
      </c>
      <c r="AX374" s="1108">
        <v>43.418168002500799</v>
      </c>
      <c r="AY374" s="1108">
        <v>118.09818233173149</v>
      </c>
      <c r="AZ374" s="1108">
        <v>155.449255670962</v>
      </c>
      <c r="BA374" s="1108">
        <v>68.737154786817456</v>
      </c>
      <c r="BB374" s="1108">
        <v>43.624165960225596</v>
      </c>
      <c r="BC374" s="1108">
        <v>99.153855070478002</v>
      </c>
      <c r="BD374" s="1108">
        <v>155.449255670962</v>
      </c>
      <c r="BE374" s="1108">
        <v>62.364081568794802</v>
      </c>
      <c r="BF374" s="1108">
        <v>41.299291066191749</v>
      </c>
      <c r="BG374" s="1108">
        <v>88.968276809906499</v>
      </c>
      <c r="BH374" s="1108">
        <v>136.8193673203175</v>
      </c>
      <c r="BI374" s="1108">
        <v>56.9469693334756</v>
      </c>
      <c r="BJ374" s="1108">
        <v>39.323147406262997</v>
      </c>
      <c r="BK374" s="1108">
        <v>80.310535288420454</v>
      </c>
      <c r="BL374" s="1108">
        <v>120.98396222226999</v>
      </c>
      <c r="BM374" s="1108">
        <v>52.5</v>
      </c>
      <c r="BN374" s="1108">
        <v>56.25</v>
      </c>
      <c r="BO374" s="1108">
        <v>62.5</v>
      </c>
      <c r="BP374" s="1108">
        <v>62.5</v>
      </c>
      <c r="CK374" s="1108"/>
      <c r="CM374" s="1108"/>
      <c r="CO374" s="1108"/>
      <c r="CQ374" s="1108"/>
      <c r="CS374" s="1108"/>
      <c r="CU374" s="1108"/>
      <c r="CW374" s="1108"/>
      <c r="CY374" s="1108"/>
      <c r="DA374" s="1108"/>
      <c r="DC374" s="1108"/>
      <c r="DE374" s="1108"/>
      <c r="DF374" s="1108"/>
      <c r="DG374" s="1108"/>
      <c r="DH374" s="1108"/>
    </row>
    <row r="375" spans="4:114" ht="14.45" hidden="1" outlineLevel="1">
      <c r="D375" s="1432"/>
      <c r="E375" s="1440"/>
      <c r="F375" s="1107" t="s">
        <v>1069</v>
      </c>
      <c r="O375" s="1109">
        <v>-40</v>
      </c>
      <c r="Q375" s="1109">
        <v>-40.78125</v>
      </c>
      <c r="S375" s="1109">
        <v>-39.568965517241381</v>
      </c>
      <c r="T375" s="1109">
        <v>-40.557324840764331</v>
      </c>
      <c r="U375" s="1109">
        <v>-14.861111111111111</v>
      </c>
      <c r="V375" s="1109">
        <v>-14.617414248021102</v>
      </c>
      <c r="W375" s="1109">
        <v>-14.992867332382314</v>
      </c>
      <c r="X375" s="1109">
        <v>-14.68791856415751</v>
      </c>
      <c r="Y375" s="1109">
        <v>-16.843393148450243</v>
      </c>
      <c r="Z375" s="1109">
        <v>-17.274412855377019</v>
      </c>
      <c r="AA375" s="1109">
        <v>-16.609330424567876</v>
      </c>
      <c r="AB375" s="1109">
        <v>-17.149967029861525</v>
      </c>
      <c r="AC375" s="1109">
        <v>134.67712931175413</v>
      </c>
      <c r="AD375" s="1109">
        <v>108.21616237081312</v>
      </c>
      <c r="AE375" s="1109">
        <v>101.60896178162363</v>
      </c>
      <c r="AF375" s="1109">
        <v>112.95696143362923</v>
      </c>
      <c r="AG375" s="1109">
        <v>-15.024855104770399</v>
      </c>
      <c r="AH375" s="1109">
        <v>-8.2240614669199097</v>
      </c>
      <c r="AI375" s="1109">
        <v>-11.376366811111232</v>
      </c>
      <c r="AJ375" s="1109">
        <v>-7.0074215887648146</v>
      </c>
      <c r="AK375" s="1109">
        <v>2.3607291214419832</v>
      </c>
      <c r="AL375" s="1109">
        <v>-12.461740488410568</v>
      </c>
      <c r="AM375" s="1109">
        <v>-5.018917086822448</v>
      </c>
      <c r="AN375" s="1109">
        <v>-20.229085828426026</v>
      </c>
      <c r="AO375" s="1109">
        <v>-20.337102834911601</v>
      </c>
      <c r="AP375" s="1109">
        <v>-4.9949624781195405</v>
      </c>
      <c r="AQ375" s="1109">
        <v>17.63629939368057</v>
      </c>
      <c r="AR375" s="1109">
        <v>-204.93704468871061</v>
      </c>
      <c r="AS375" s="1109">
        <v>-53.68581119849398</v>
      </c>
      <c r="AT375" s="1109">
        <v>-68.717280438151533</v>
      </c>
      <c r="AU375" s="1109">
        <v>-47.50782574522669</v>
      </c>
      <c r="AV375" s="1109">
        <v>173.48147928328422</v>
      </c>
      <c r="AW375" s="1109">
        <v>-26.966874525678236</v>
      </c>
      <c r="AX375" s="1109">
        <v>-34.752961479553299</v>
      </c>
      <c r="AY375" s="1109">
        <v>-9.2848251076617281</v>
      </c>
      <c r="AZ375" s="1109">
        <v>-3.268926134280032</v>
      </c>
      <c r="BA375" s="1109">
        <v>-1.9363144010461928</v>
      </c>
      <c r="BB375" s="1109">
        <v>0.47445105862811204</v>
      </c>
      <c r="BC375" s="1109">
        <v>-16.041167516058703</v>
      </c>
      <c r="BD375" s="1109">
        <v>0</v>
      </c>
      <c r="BE375" s="1109">
        <v>-9.2716569921874257</v>
      </c>
      <c r="BF375" s="1109">
        <v>-5.3293280063017265</v>
      </c>
      <c r="BG375" s="1109">
        <v>-10.272498485642997</v>
      </c>
      <c r="BH375" s="1109">
        <v>-11.984546513415426</v>
      </c>
      <c r="BI375" s="1109">
        <v>-8.6862695626223569</v>
      </c>
      <c r="BJ375" s="1109">
        <v>-4.7849336124475377</v>
      </c>
      <c r="BK375" s="1109">
        <v>-9.7312680788283146</v>
      </c>
      <c r="BL375" s="1109">
        <v>-11.573949951817944</v>
      </c>
      <c r="BM375" s="1109">
        <v>-7.808965754498022</v>
      </c>
      <c r="BN375" s="1109">
        <v>43.045518251270657</v>
      </c>
      <c r="BO375" s="1109">
        <v>-22.177084518808403</v>
      </c>
      <c r="BP375" s="1109">
        <v>-48.34026026922816</v>
      </c>
      <c r="CM375" s="1109"/>
      <c r="CO375" s="1109"/>
      <c r="CQ375" s="1109"/>
      <c r="CS375" s="1109"/>
      <c r="CU375" s="1109"/>
      <c r="CW375" s="1109"/>
      <c r="CY375" s="1109"/>
      <c r="DA375" s="1109"/>
      <c r="DC375" s="1109"/>
      <c r="DE375" s="1109"/>
      <c r="DF375" s="1109"/>
      <c r="DG375" s="1109"/>
      <c r="DH375" s="1109"/>
    </row>
    <row r="376" spans="4:114" ht="14.45" hidden="1" outlineLevel="1" collapsed="1">
      <c r="D376" s="1432"/>
      <c r="E376" s="1440"/>
      <c r="F376" s="1107"/>
    </row>
    <row r="377" spans="4:114" ht="14.45" collapsed="1">
      <c r="D377" s="1435" t="s">
        <v>1167</v>
      </c>
      <c r="E377" s="1433" t="s">
        <v>1067</v>
      </c>
      <c r="F377" s="1106" t="s">
        <v>1068</v>
      </c>
      <c r="G377" s="1108">
        <v>963.00890199440937</v>
      </c>
      <c r="I377" s="1108">
        <v>1109.4591018215276</v>
      </c>
      <c r="K377" s="1108">
        <v>997.12121212121201</v>
      </c>
      <c r="M377" s="1108">
        <v>1103.1134227651489</v>
      </c>
      <c r="O377" s="1108">
        <v>910.48267310789038</v>
      </c>
      <c r="Q377" s="1108">
        <v>1070.812216591828</v>
      </c>
      <c r="S377" s="1108">
        <v>1046.7224675324674</v>
      </c>
      <c r="T377" s="1108">
        <v>1163.8799641164185</v>
      </c>
      <c r="U377" s="1108">
        <v>984.55177514870684</v>
      </c>
      <c r="V377" s="1108">
        <v>1102.9200906796452</v>
      </c>
      <c r="W377" s="1108">
        <v>1018.3300467532468</v>
      </c>
      <c r="X377" s="1108">
        <v>1120.2643176977574</v>
      </c>
      <c r="Y377" s="1108">
        <v>1287.4543990511086</v>
      </c>
      <c r="Z377" s="1108">
        <v>1388.2221331696619</v>
      </c>
      <c r="AA377" s="1108">
        <v>1147.2981878950586</v>
      </c>
      <c r="AB377" s="1108">
        <v>1217.738700126999</v>
      </c>
      <c r="AC377" s="1108">
        <v>1275.5983895098859</v>
      </c>
      <c r="AD377" s="1108">
        <v>1376.0980947727712</v>
      </c>
      <c r="AE377" s="1108">
        <v>1239.3634882043443</v>
      </c>
      <c r="AF377" s="1108">
        <v>1550.7338067172072</v>
      </c>
      <c r="AG377" s="1108">
        <v>1276.4714826728484</v>
      </c>
      <c r="AH377" s="1108">
        <v>1333.27941882391</v>
      </c>
      <c r="AI377" s="1108">
        <v>1448.9929755372493</v>
      </c>
      <c r="AJ377" s="1108">
        <v>1848.8819538341627</v>
      </c>
      <c r="AK377" s="1108">
        <v>1407.555249826923</v>
      </c>
      <c r="AL377" s="1108">
        <v>1445.0208605028713</v>
      </c>
      <c r="AM377" s="1108">
        <v>1612.5164160391037</v>
      </c>
      <c r="AN377" s="1108">
        <v>1991.4235555670925</v>
      </c>
      <c r="AO377" s="1108">
        <v>1666.7567634628153</v>
      </c>
      <c r="AP377" s="1108">
        <v>1748.2597521727248</v>
      </c>
      <c r="AQ377" s="1108">
        <v>1884.2640302099881</v>
      </c>
      <c r="AR377" s="1108">
        <v>2081.651753589083</v>
      </c>
      <c r="AS377" s="1108">
        <v>1802.825614557936</v>
      </c>
      <c r="AT377" s="1108">
        <v>1834.5625315380166</v>
      </c>
      <c r="AU377" s="1108">
        <v>1985.2080201248486</v>
      </c>
      <c r="AV377" s="1108">
        <v>2579.9396921871466</v>
      </c>
      <c r="AW377" s="1108">
        <v>1989.6058382546569</v>
      </c>
      <c r="AX377" s="1108">
        <v>2058.9638370117373</v>
      </c>
      <c r="AY377" s="1108">
        <v>2251.5898063464415</v>
      </c>
      <c r="AZ377" s="1108">
        <v>2686.6602206605694</v>
      </c>
      <c r="BA377" s="1108">
        <v>2156.9194238417963</v>
      </c>
      <c r="BB377" s="1108">
        <v>1989.2814599707081</v>
      </c>
      <c r="BC377" s="1108">
        <v>2468.2019737388255</v>
      </c>
      <c r="BD377" s="1108">
        <v>2684.4305669680089</v>
      </c>
      <c r="BE377" s="1108">
        <v>2193.0221277962441</v>
      </c>
      <c r="BF377" s="1108">
        <v>2068.4883511549788</v>
      </c>
      <c r="BG377" s="1108">
        <v>2507.6258946184325</v>
      </c>
      <c r="BH377" s="1108">
        <v>2836.4764457394722</v>
      </c>
      <c r="BI377" s="1108">
        <v>2332.8471235466736</v>
      </c>
      <c r="BJ377" s="1108">
        <v>2200.6125409827368</v>
      </c>
      <c r="BK377" s="1108">
        <v>2686.3243875132803</v>
      </c>
      <c r="BL377" s="1108">
        <v>2951.533254737195</v>
      </c>
      <c r="BM377" s="1108">
        <v>2528.4894881159726</v>
      </c>
      <c r="BN377" s="1108">
        <v>2420.2132815915602</v>
      </c>
      <c r="BO377" s="1108">
        <v>3023.7614322844101</v>
      </c>
      <c r="BP377" s="1108">
        <v>3439.2819181986401</v>
      </c>
      <c r="BQ377" s="1108">
        <v>2702.9208696059668</v>
      </c>
      <c r="BR377" s="1108">
        <v>2612.2061949303902</v>
      </c>
      <c r="BS377" s="1108">
        <v>3253.8594387033331</v>
      </c>
      <c r="BT377" s="1108">
        <v>3686.7611312027266</v>
      </c>
      <c r="CK377" s="1108"/>
      <c r="CM377" s="1108"/>
      <c r="CO377" s="1108"/>
      <c r="CQ377" s="1108"/>
      <c r="CS377" s="1108"/>
      <c r="CU377" s="1108"/>
      <c r="CW377" s="1108"/>
      <c r="CY377" s="1108"/>
      <c r="DA377" s="1108"/>
      <c r="DC377" s="1108"/>
      <c r="DE377" s="1108"/>
      <c r="DF377" s="1108"/>
      <c r="DG377" s="1108"/>
      <c r="DH377" s="1108"/>
      <c r="DI377" s="1108"/>
    </row>
    <row r="378" spans="4:114" ht="14.45" hidden="1" outlineLevel="1">
      <c r="D378" s="1432"/>
      <c r="E378" s="1440"/>
      <c r="F378" s="1106" t="s">
        <v>1069</v>
      </c>
      <c r="O378" s="1109">
        <v>-5.4543866393899574</v>
      </c>
      <c r="Q378" s="1109">
        <v>-3.4833988171577053</v>
      </c>
      <c r="S378" s="1109">
        <v>4.9744459157314296</v>
      </c>
      <c r="T378" s="1109">
        <v>5.5086394651011918</v>
      </c>
      <c r="U378" s="1109">
        <v>8.1351467994426532</v>
      </c>
      <c r="V378" s="1109">
        <v>2.9984598223962999</v>
      </c>
      <c r="W378" s="1109">
        <v>-2.7125070551081714</v>
      </c>
      <c r="X378" s="1109">
        <v>-3.7474351104387913</v>
      </c>
      <c r="Y378" s="1109">
        <v>30.76553529718143</v>
      </c>
      <c r="Z378" s="1109">
        <v>25.867879722293107</v>
      </c>
      <c r="AA378" s="1109">
        <v>12.664670118789321</v>
      </c>
      <c r="AB378" s="1109">
        <v>8.7010164377599821</v>
      </c>
      <c r="AC378" s="1109">
        <v>-0.92088772619526338</v>
      </c>
      <c r="AD378" s="1109">
        <v>-0.87335002858717137</v>
      </c>
      <c r="AE378" s="1109">
        <v>8.0245311359026363</v>
      </c>
      <c r="AF378" s="1109">
        <v>27.345366173833508</v>
      </c>
      <c r="AG378" s="1109">
        <v>6.8445771815215842E-2</v>
      </c>
      <c r="AH378" s="1109">
        <v>-3.1116005546052086</v>
      </c>
      <c r="AI378" s="1109">
        <v>16.914286190294934</v>
      </c>
      <c r="AJ378" s="1109">
        <v>19.226262162176873</v>
      </c>
      <c r="AK378" s="1109">
        <v>10.269228019069704</v>
      </c>
      <c r="AL378" s="1109">
        <v>8.3809470169072906</v>
      </c>
      <c r="AM378" s="1109">
        <v>11.285316303291536</v>
      </c>
      <c r="AN378" s="1109">
        <v>7.7096107427156628</v>
      </c>
      <c r="AO378" s="1109">
        <v>18.415015230682023</v>
      </c>
      <c r="AP378" s="1109">
        <v>20.985087479244108</v>
      </c>
      <c r="AQ378" s="1109">
        <v>16.852393654285407</v>
      </c>
      <c r="AR378" s="1109">
        <v>4.5308391461853743</v>
      </c>
      <c r="AS378" s="1109">
        <v>8.1636897523323757</v>
      </c>
      <c r="AT378" s="1109">
        <v>4.9364963792156944</v>
      </c>
      <c r="AU378" s="1109">
        <v>5.3572104703188064</v>
      </c>
      <c r="AV378" s="1109">
        <v>23.93714211509873</v>
      </c>
      <c r="AW378" s="1109">
        <v>10.360415460511446</v>
      </c>
      <c r="AX378" s="1109">
        <v>12.231870084340622</v>
      </c>
      <c r="AY378" s="1109">
        <v>13.418331153268273</v>
      </c>
      <c r="AZ378" s="1109">
        <v>4.1365512843810039</v>
      </c>
      <c r="BA378" s="1109">
        <v>8.4093835256289751</v>
      </c>
      <c r="BB378" s="1109">
        <v>-3.3843419582425613</v>
      </c>
      <c r="BC378" s="1109">
        <v>9.6204098447164004</v>
      </c>
      <c r="BD378" s="1109">
        <v>-8.2989790648418021E-2</v>
      </c>
      <c r="BE378" s="1109">
        <v>1.6738086529975025</v>
      </c>
      <c r="BF378" s="1109">
        <v>3.9816834760746738</v>
      </c>
      <c r="BG378" s="1109">
        <v>1.5972728852447931</v>
      </c>
      <c r="BH378" s="1109">
        <v>5.6639899963289047</v>
      </c>
      <c r="BI378" s="1109">
        <v>6.3759044643538934</v>
      </c>
      <c r="BJ378" s="1109">
        <v>6.387475653608786</v>
      </c>
      <c r="BK378" s="1109">
        <v>7.126202248842187</v>
      </c>
      <c r="BL378" s="1109">
        <v>4.0563287303352649</v>
      </c>
      <c r="BM378" s="1109">
        <v>8.3864202928076992</v>
      </c>
      <c r="BN378" s="1109">
        <v>9.9790733952081965</v>
      </c>
      <c r="BO378" s="1109">
        <v>12.561291791103976</v>
      </c>
      <c r="BP378" s="1109">
        <v>16.525264036195804</v>
      </c>
      <c r="BQ378" s="1109">
        <v>6.898639773265046</v>
      </c>
      <c r="BR378" s="1109">
        <v>7.9328923115640979</v>
      </c>
      <c r="BS378" s="1109">
        <v>7.6096613959748511</v>
      </c>
      <c r="BT378" s="1109">
        <v>7.1956652257720783</v>
      </c>
      <c r="CM378" s="1109"/>
      <c r="CO378" s="1109"/>
      <c r="CQ378" s="1109"/>
      <c r="CS378" s="1109"/>
      <c r="CU378" s="1109"/>
      <c r="CW378" s="1109"/>
      <c r="CY378" s="1109"/>
      <c r="DA378" s="1109"/>
      <c r="DC378" s="1109"/>
      <c r="DE378" s="1109"/>
      <c r="DF378" s="1109"/>
      <c r="DG378" s="1109"/>
      <c r="DH378" s="1109"/>
      <c r="DI378" s="1109"/>
    </row>
    <row r="379" spans="4:114" ht="14.45" hidden="1" outlineLevel="1" collapsed="1">
      <c r="D379" s="1432"/>
      <c r="E379" s="1440"/>
      <c r="F379" s="1106"/>
    </row>
    <row r="380" spans="4:114" ht="14.45" collapsed="1">
      <c r="D380" s="1435" t="s">
        <v>1168</v>
      </c>
      <c r="E380" s="1433" t="s">
        <v>1067</v>
      </c>
      <c r="F380" s="1107" t="s">
        <v>1068</v>
      </c>
      <c r="G380" s="1108">
        <v>177.83654662880201</v>
      </c>
      <c r="I380" s="1108">
        <v>465.01834899528399</v>
      </c>
      <c r="K380" s="1108">
        <v>181.97790174038801</v>
      </c>
      <c r="M380" s="1108">
        <v>361.44048402685053</v>
      </c>
      <c r="O380" s="1108">
        <v>434.63676628263102</v>
      </c>
      <c r="Q380" s="1108">
        <v>857.91606770443366</v>
      </c>
      <c r="S380" s="1108">
        <v>430.8232221460803</v>
      </c>
      <c r="T380" s="1108">
        <v>660.53712058255587</v>
      </c>
      <c r="U380" s="1108">
        <v>393.29026783645702</v>
      </c>
      <c r="V380" s="1108">
        <v>591.59938478361801</v>
      </c>
      <c r="W380" s="1108">
        <v>450.39597592473586</v>
      </c>
      <c r="X380" s="1108">
        <v>378.77241719886314</v>
      </c>
      <c r="Y380" s="1108">
        <v>327.97937345196061</v>
      </c>
      <c r="Z380" s="1108">
        <v>557.31445723632316</v>
      </c>
      <c r="AA380" s="1108">
        <v>343.75048092263813</v>
      </c>
      <c r="AB380" s="1108">
        <v>359.65660884485663</v>
      </c>
      <c r="AC380" s="1108">
        <v>563.05384541797662</v>
      </c>
      <c r="AD380" s="1108">
        <v>614.06166787868392</v>
      </c>
      <c r="AE380" s="1108">
        <v>454.43438824435964</v>
      </c>
      <c r="AF380" s="1108">
        <v>547.01839867242404</v>
      </c>
      <c r="AG380" s="1108">
        <v>456.38715556731012</v>
      </c>
      <c r="AH380" s="1108">
        <v>584.40749089685812</v>
      </c>
      <c r="AI380" s="1108">
        <v>471.40924502047778</v>
      </c>
      <c r="AJ380" s="1108">
        <v>563.13024004321903</v>
      </c>
      <c r="AK380" s="1108">
        <v>481.01518237090835</v>
      </c>
      <c r="AL380" s="1108">
        <v>535.9001099566741</v>
      </c>
      <c r="AM380" s="1108">
        <v>342.32490036634692</v>
      </c>
      <c r="AN380" s="1108">
        <v>440.23138768135675</v>
      </c>
      <c r="AO380" s="1108">
        <v>386.70690508668298</v>
      </c>
      <c r="AP380" s="1108">
        <v>525.24732841434206</v>
      </c>
      <c r="AQ380" s="1108">
        <v>399.99814490147378</v>
      </c>
      <c r="AR380" s="1108">
        <v>444.13102094035162</v>
      </c>
      <c r="AS380" s="1108">
        <v>274.79919681983574</v>
      </c>
      <c r="AT380" s="1108">
        <v>356.40999981924699</v>
      </c>
      <c r="AU380" s="1108">
        <v>275.71560959068393</v>
      </c>
      <c r="AV380" s="1108">
        <v>470.411928246966</v>
      </c>
      <c r="AW380" s="1108">
        <v>245.73019461446665</v>
      </c>
      <c r="AX380" s="1108">
        <v>317.03592680073734</v>
      </c>
      <c r="AY380" s="1108">
        <v>208.68055237534736</v>
      </c>
      <c r="AZ380" s="1108">
        <v>356.8708694104252</v>
      </c>
      <c r="BA380" s="1108">
        <v>239.64427255705093</v>
      </c>
      <c r="BB380" s="1108">
        <v>262.13753835055081</v>
      </c>
      <c r="BC380" s="1108">
        <v>189.49622088299341</v>
      </c>
      <c r="BD380" s="1108">
        <v>257.0078660396145</v>
      </c>
      <c r="BE380" s="1108">
        <v>197.33490927331292</v>
      </c>
      <c r="BF380" s="1108">
        <v>248.96707988562267</v>
      </c>
      <c r="BG380" s="1108">
        <v>177.13454901904416</v>
      </c>
      <c r="BH380" s="1108">
        <v>251.15654037672911</v>
      </c>
      <c r="BI380" s="1108">
        <v>191.08485748049145</v>
      </c>
      <c r="BJ380" s="1108">
        <v>234.79453698021916</v>
      </c>
      <c r="BK380" s="1108">
        <v>158.12531912196491</v>
      </c>
      <c r="BL380" s="1108">
        <v>255.78419663509976</v>
      </c>
      <c r="BM380" s="1108">
        <v>129.16667000499686</v>
      </c>
      <c r="BN380" s="1108">
        <v>185.92803612221866</v>
      </c>
      <c r="BO380" s="1108">
        <v>98.610387850694906</v>
      </c>
      <c r="BP380" s="1108">
        <v>124.2044679560087</v>
      </c>
      <c r="BQ380" s="1108">
        <v>159.340529999034</v>
      </c>
      <c r="BR380" s="1108">
        <v>85.276660904950106</v>
      </c>
      <c r="BS380" s="1108">
        <v>10.400363696911599</v>
      </c>
      <c r="BT380" s="1108">
        <v>163.04370877484999</v>
      </c>
      <c r="CK380" s="1108"/>
      <c r="CM380" s="1108"/>
      <c r="CO380" s="1108"/>
      <c r="CQ380" s="1108"/>
      <c r="CS380" s="1108"/>
      <c r="CU380" s="1108"/>
      <c r="CW380" s="1108"/>
      <c r="CY380" s="1108"/>
      <c r="DA380" s="1108"/>
      <c r="DC380" s="1108"/>
      <c r="DE380" s="1108"/>
      <c r="DF380" s="1108"/>
      <c r="DG380" s="1108"/>
      <c r="DH380" s="1108"/>
      <c r="DI380" s="1108"/>
    </row>
    <row r="381" spans="4:114" ht="14.45" hidden="1" outlineLevel="1">
      <c r="D381" s="1432"/>
      <c r="E381" s="1440"/>
      <c r="F381" s="1107" t="s">
        <v>1069</v>
      </c>
      <c r="O381" s="1109">
        <v>144.40238776669892</v>
      </c>
      <c r="Q381" s="1109">
        <v>84.490799031488166</v>
      </c>
      <c r="S381" s="1109">
        <v>136.74480144336329</v>
      </c>
      <c r="T381" s="1109">
        <v>82.751282651969376</v>
      </c>
      <c r="U381" s="1109">
        <v>-9.5128856216658928</v>
      </c>
      <c r="V381" s="1109">
        <v>-31.042277088178533</v>
      </c>
      <c r="W381" s="1109">
        <v>4.5431055645415013</v>
      </c>
      <c r="X381" s="1109">
        <v>-42.656906720880791</v>
      </c>
      <c r="Y381" s="1109">
        <v>-16.606282871879966</v>
      </c>
      <c r="Z381" s="1109">
        <v>-5.7952946587046936</v>
      </c>
      <c r="AA381" s="1109">
        <v>-23.678163372382993</v>
      </c>
      <c r="AB381" s="1109">
        <v>-5.0467794079024291</v>
      </c>
      <c r="AC381" s="1109">
        <v>71.67355358109053</v>
      </c>
      <c r="AD381" s="1109">
        <v>10.18226064397567</v>
      </c>
      <c r="AE381" s="1109">
        <v>32.198909809418183</v>
      </c>
      <c r="AF381" s="1109">
        <v>52.09463283028083</v>
      </c>
      <c r="AG381" s="1109">
        <v>-18.944314246088435</v>
      </c>
      <c r="AH381" s="1109">
        <v>-4.8291854927646085</v>
      </c>
      <c r="AI381" s="1109">
        <v>3.7353812156905657</v>
      </c>
      <c r="AJ381" s="1109">
        <v>2.9453929538562726</v>
      </c>
      <c r="AK381" s="1109">
        <v>5.396301474125508</v>
      </c>
      <c r="AL381" s="1109">
        <v>-8.3002667994112134</v>
      </c>
      <c r="AM381" s="1109">
        <v>-27.382650216909411</v>
      </c>
      <c r="AN381" s="1109">
        <v>-21.824232410681773</v>
      </c>
      <c r="AO381" s="1109">
        <v>-19.606091603883044</v>
      </c>
      <c r="AP381" s="1109">
        <v>-1.9878296989327509</v>
      </c>
      <c r="AQ381" s="1109">
        <v>16.84751663504656</v>
      </c>
      <c r="AR381" s="1109">
        <v>0.88581445306154682</v>
      </c>
      <c r="AS381" s="1109">
        <v>-28.938637193913657</v>
      </c>
      <c r="AT381" s="1109">
        <v>-32.144347902690811</v>
      </c>
      <c r="AU381" s="1109">
        <v>-31.070777926083309</v>
      </c>
      <c r="AV381" s="1109">
        <v>5.9173770953828511</v>
      </c>
      <c r="AW381" s="1109">
        <v>-10.578270439570225</v>
      </c>
      <c r="AX381" s="1109">
        <v>-11.047409735551241</v>
      </c>
      <c r="AY381" s="1109">
        <v>-24.313116444460313</v>
      </c>
      <c r="AZ381" s="1109">
        <v>-24.136517808904667</v>
      </c>
      <c r="BA381" s="1109">
        <v>-2.4766683911043619</v>
      </c>
      <c r="BB381" s="1109">
        <v>-17.316141108730285</v>
      </c>
      <c r="BC381" s="1109">
        <v>-9.1931573277837959</v>
      </c>
      <c r="BD381" s="1109">
        <v>-27.982951798725164</v>
      </c>
      <c r="BE381" s="1109">
        <v>-17.655069671513065</v>
      </c>
      <c r="BF381" s="1109">
        <v>-5.024255033369383</v>
      </c>
      <c r="BG381" s="1109">
        <v>-6.5234397848926537</v>
      </c>
      <c r="BH381" s="1109">
        <v>-2.2767107299289742</v>
      </c>
      <c r="BI381" s="1109">
        <v>-3.1672306820102545</v>
      </c>
      <c r="BJ381" s="1109">
        <v>-5.6925369056481188</v>
      </c>
      <c r="BK381" s="1109">
        <v>-10.731520193181243</v>
      </c>
      <c r="BL381" s="1109">
        <v>1.8425386220996951</v>
      </c>
      <c r="BM381" s="1109">
        <v>-32.403502973445207</v>
      </c>
      <c r="BN381" s="1109">
        <v>-20.812452234405004</v>
      </c>
      <c r="BO381" s="1109">
        <v>-37.637825239969992</v>
      </c>
      <c r="BP381" s="1109">
        <v>-51.441695933545859</v>
      </c>
      <c r="BQ381" s="1109">
        <v>23.360407133566159</v>
      </c>
      <c r="BR381" s="1109">
        <v>-54.134587400851153</v>
      </c>
      <c r="BS381" s="1109">
        <v>-89.453074951232622</v>
      </c>
      <c r="BT381" s="1109">
        <v>31.270405532108192</v>
      </c>
      <c r="CM381" s="1109"/>
      <c r="CO381" s="1109"/>
      <c r="CQ381" s="1109"/>
      <c r="CS381" s="1109"/>
      <c r="CU381" s="1109"/>
      <c r="CW381" s="1109"/>
      <c r="CY381" s="1109"/>
      <c r="DA381" s="1109"/>
      <c r="DC381" s="1109"/>
      <c r="DE381" s="1109"/>
      <c r="DF381" s="1109"/>
      <c r="DG381" s="1109"/>
      <c r="DH381" s="1109"/>
      <c r="DI381" s="1109"/>
    </row>
    <row r="382" spans="4:114" ht="14.45" hidden="1" outlineLevel="1" collapsed="1">
      <c r="D382" s="1432"/>
      <c r="E382" s="1440"/>
      <c r="F382" s="1107"/>
    </row>
    <row r="383" spans="4:114" ht="14.45" collapsed="1">
      <c r="D383" s="1434" t="s">
        <v>1080</v>
      </c>
      <c r="E383" s="1433" t="s">
        <v>1067</v>
      </c>
      <c r="F383" s="1106" t="s">
        <v>1068</v>
      </c>
      <c r="G383" s="1108">
        <v>4488.3050264347603</v>
      </c>
      <c r="I383" s="1108">
        <v>4836.537891513045</v>
      </c>
      <c r="K383" s="1108">
        <v>4152.91535419091</v>
      </c>
      <c r="M383" s="1108">
        <v>4243.3439296156403</v>
      </c>
      <c r="O383" s="1108">
        <v>4280.2626195701187</v>
      </c>
      <c r="Q383" s="1108">
        <v>4910.84043539291</v>
      </c>
      <c r="S383" s="1108">
        <v>4432.5911865298467</v>
      </c>
      <c r="T383" s="1108">
        <v>4579.9716317975171</v>
      </c>
      <c r="U383" s="1108">
        <v>4439.6895596053228</v>
      </c>
      <c r="V383" s="1108">
        <v>4686.7014454965019</v>
      </c>
      <c r="W383" s="1108">
        <v>3960.2341461507099</v>
      </c>
      <c r="X383" s="1108">
        <v>3874.850757247521</v>
      </c>
      <c r="Y383" s="1108">
        <v>4359.7665636194042</v>
      </c>
      <c r="Z383" s="1108">
        <v>4613.6870067391365</v>
      </c>
      <c r="AA383" s="1108">
        <v>3845.0089430733838</v>
      </c>
      <c r="AB383" s="1108">
        <v>4200.7000985481445</v>
      </c>
      <c r="AC383" s="1108">
        <v>4643</v>
      </c>
      <c r="AD383" s="1108">
        <v>4805</v>
      </c>
      <c r="AE383" s="1108">
        <v>4253</v>
      </c>
      <c r="AF383" s="1108">
        <v>4892</v>
      </c>
      <c r="AG383" s="1108">
        <v>4643</v>
      </c>
      <c r="AH383" s="1108">
        <v>4839</v>
      </c>
      <c r="AI383" s="1108">
        <v>4612</v>
      </c>
      <c r="AJ383" s="1108">
        <v>5424</v>
      </c>
      <c r="AK383" s="1108">
        <v>4901</v>
      </c>
      <c r="AL383" s="1108">
        <v>4758</v>
      </c>
      <c r="AM383" s="1108">
        <v>4944</v>
      </c>
      <c r="AN383" s="1108">
        <v>5792</v>
      </c>
      <c r="AO383" s="1108">
        <v>5353</v>
      </c>
      <c r="AP383" s="1108">
        <v>5593</v>
      </c>
      <c r="AQ383" s="1108">
        <v>5220</v>
      </c>
      <c r="AR383" s="1108">
        <v>6128</v>
      </c>
      <c r="AS383" s="1108">
        <v>5151</v>
      </c>
      <c r="AT383" s="1108">
        <v>5514</v>
      </c>
      <c r="AU383" s="1108">
        <v>5463</v>
      </c>
      <c r="AV383" s="1108">
        <v>6360</v>
      </c>
      <c r="AW383" s="1108">
        <v>5676</v>
      </c>
      <c r="AX383" s="1108">
        <v>6594</v>
      </c>
      <c r="AY383" s="1108">
        <v>6069</v>
      </c>
      <c r="AZ383" s="1108">
        <v>6424</v>
      </c>
      <c r="BA383" s="1108">
        <v>5313</v>
      </c>
      <c r="BB383" s="1108">
        <v>4808</v>
      </c>
      <c r="BC383" s="1108">
        <v>5328</v>
      </c>
      <c r="BD383" s="1108">
        <v>5529.2430256816269</v>
      </c>
      <c r="BE383" s="1108">
        <v>5056.1721318711161</v>
      </c>
      <c r="BF383" s="1108">
        <v>4901.2184908701238</v>
      </c>
      <c r="BG383" s="1108">
        <v>5358.3127546344613</v>
      </c>
      <c r="BH383" s="1108">
        <v>5693.6715524888232</v>
      </c>
      <c r="BI383" s="1108">
        <v>5177.1520275292078</v>
      </c>
      <c r="BJ383" s="1108">
        <v>5031.0077236361167</v>
      </c>
      <c r="BK383" s="1108">
        <v>5494.3874028138971</v>
      </c>
      <c r="BL383" s="1108">
        <v>5864.5454550103495</v>
      </c>
      <c r="BM383" s="1108">
        <v>5323.2861074664297</v>
      </c>
      <c r="BN383" s="1108">
        <v>5218.6310670121065</v>
      </c>
      <c r="BO383" s="1108">
        <v>5896.4581856693931</v>
      </c>
      <c r="BP383" s="1108">
        <v>6243.5872704113199</v>
      </c>
      <c r="BQ383" s="1108">
        <v>5697.0476877829151</v>
      </c>
      <c r="BR383" s="1108">
        <v>5607.5400905780452</v>
      </c>
      <c r="BS383" s="1108">
        <v>6291.1146380359851</v>
      </c>
      <c r="BT383" s="1108">
        <v>6632.2987915614303</v>
      </c>
      <c r="CK383" s="1108"/>
      <c r="CM383" s="1108"/>
      <c r="CO383" s="1108"/>
      <c r="CQ383" s="1108"/>
      <c r="CS383" s="1108"/>
      <c r="CT383" s="1108"/>
      <c r="CU383" s="1108"/>
      <c r="CV383" s="1108"/>
      <c r="CW383" s="1108"/>
      <c r="CX383" s="1108"/>
      <c r="CY383" s="1108"/>
      <c r="CZ383" s="1108"/>
      <c r="DA383" s="1108"/>
      <c r="DB383" s="1108"/>
      <c r="DC383" s="1108"/>
      <c r="DD383" s="1108"/>
      <c r="DE383" s="1108"/>
      <c r="DF383" s="1108"/>
      <c r="DG383" s="1108"/>
      <c r="DH383" s="1108"/>
      <c r="DI383" s="1108"/>
      <c r="DJ383" s="1108"/>
    </row>
    <row r="384" spans="4:114" ht="14.45" hidden="1" outlineLevel="1">
      <c r="D384" s="1432"/>
      <c r="E384" s="1440"/>
      <c r="F384" s="1106" t="s">
        <v>1069</v>
      </c>
      <c r="O384" s="1109">
        <v>-4.6352109680455031</v>
      </c>
      <c r="Q384" s="1109">
        <v>1.5362754421969478</v>
      </c>
      <c r="S384" s="1109">
        <v>6.734445768481705</v>
      </c>
      <c r="T384" s="1109">
        <v>7.9330760778650449</v>
      </c>
      <c r="U384" s="1109">
        <v>3.7246999589762528</v>
      </c>
      <c r="V384" s="1109">
        <v>-4.5641676378042391</v>
      </c>
      <c r="W384" s="1109">
        <v>-10.656453990491556</v>
      </c>
      <c r="X384" s="1109">
        <v>-15.395747642944569</v>
      </c>
      <c r="Y384" s="1109">
        <v>-1.8001933448928686</v>
      </c>
      <c r="Z384" s="1109">
        <v>-1.5579067624955245</v>
      </c>
      <c r="AA384" s="1109">
        <v>-2.9095553147867115</v>
      </c>
      <c r="AB384" s="1109">
        <v>8.4093391388340564</v>
      </c>
      <c r="AC384" s="1109">
        <v>6.4965275605366397</v>
      </c>
      <c r="AD384" s="1109">
        <v>4.1466400512521941</v>
      </c>
      <c r="AE384" s="1109">
        <v>10.610926085402074</v>
      </c>
      <c r="AF384" s="1109">
        <v>16.456778280620036</v>
      </c>
      <c r="AG384" s="1109">
        <v>0</v>
      </c>
      <c r="AH384" s="1109">
        <v>0.70759625390218517</v>
      </c>
      <c r="AI384" s="1109">
        <v>8.4411003997178469</v>
      </c>
      <c r="AJ384" s="1109">
        <v>10.874897792313982</v>
      </c>
      <c r="AK384" s="1109">
        <v>5.5567520999353865</v>
      </c>
      <c r="AL384" s="1109">
        <v>-1.6738995660260385</v>
      </c>
      <c r="AM384" s="1109">
        <v>7.1986123156981785</v>
      </c>
      <c r="AN384" s="1109">
        <v>6.7846607669616521</v>
      </c>
      <c r="AO384" s="1109">
        <v>9.2226076310956948</v>
      </c>
      <c r="AP384" s="1109">
        <v>17.549390500210173</v>
      </c>
      <c r="AQ384" s="1109">
        <v>5.5825242718446608</v>
      </c>
      <c r="AR384" s="1109">
        <v>5.8011049723756907</v>
      </c>
      <c r="AS384" s="1109">
        <v>-3.7735849056603774</v>
      </c>
      <c r="AT384" s="1109">
        <v>-1.4124798855712499</v>
      </c>
      <c r="AU384" s="1109">
        <v>4.6551724137931041</v>
      </c>
      <c r="AV384" s="1109">
        <v>3.7859007832898173</v>
      </c>
      <c r="AW384" s="1109">
        <v>10.19219569015725</v>
      </c>
      <c r="AX384" s="1109">
        <v>19.586507072905331</v>
      </c>
      <c r="AY384" s="1109">
        <v>11.092806150466776</v>
      </c>
      <c r="AZ384" s="1109">
        <v>1.0062893081761006</v>
      </c>
      <c r="BA384" s="1109">
        <v>-6.395348837209303</v>
      </c>
      <c r="BB384" s="1109">
        <v>-27.085228996057019</v>
      </c>
      <c r="BC384" s="1109">
        <v>-12.209589718240236</v>
      </c>
      <c r="BD384" s="1109">
        <v>-13.92834642463221</v>
      </c>
      <c r="BE384" s="1109">
        <v>-4.8339519692995276</v>
      </c>
      <c r="BF384" s="1109">
        <v>1.9388205255849376</v>
      </c>
      <c r="BG384" s="1109">
        <v>0.56893308247862739</v>
      </c>
      <c r="BH384" s="1109">
        <v>2.9737981500085366</v>
      </c>
      <c r="BI384" s="1109">
        <v>2.3927171089668016</v>
      </c>
      <c r="BJ384" s="1109">
        <v>2.6481013447525603</v>
      </c>
      <c r="BK384" s="1109">
        <v>2.5395055199371002</v>
      </c>
      <c r="BL384" s="1109">
        <v>3.0011197686110611</v>
      </c>
      <c r="BM384" s="1109">
        <v>2.8226731446200999</v>
      </c>
      <c r="BN384" s="1109">
        <v>3.7293392036454027</v>
      </c>
      <c r="BO384" s="1109">
        <v>7.3178455281398493</v>
      </c>
      <c r="BP384" s="1109">
        <v>6.4632769633857574</v>
      </c>
      <c r="BQ384" s="1109">
        <v>7.021256659345215</v>
      </c>
      <c r="BR384" s="1109">
        <v>7.4523187895826108</v>
      </c>
      <c r="BS384" s="1109">
        <v>6.6931103374184078</v>
      </c>
      <c r="BT384" s="1109">
        <v>6.2257722093872907</v>
      </c>
      <c r="CM384" s="1109"/>
      <c r="CO384" s="1109"/>
      <c r="CQ384" s="1109"/>
      <c r="CS384" s="1109"/>
      <c r="CU384" s="1109"/>
      <c r="CV384" s="1109"/>
      <c r="CW384" s="1109"/>
      <c r="CX384" s="1109"/>
      <c r="CY384" s="1109"/>
      <c r="CZ384" s="1109"/>
      <c r="DA384" s="1109"/>
      <c r="DB384" s="1109"/>
      <c r="DC384" s="1109"/>
      <c r="DD384" s="1109"/>
      <c r="DE384" s="1109"/>
      <c r="DF384" s="1109"/>
      <c r="DG384" s="1109"/>
      <c r="DH384" s="1109"/>
      <c r="DI384" s="1109"/>
      <c r="DJ384" s="1109"/>
    </row>
    <row r="385" spans="4:114" ht="14.45" hidden="1" outlineLevel="1" collapsed="1">
      <c r="D385" s="1432"/>
      <c r="E385" s="1440"/>
      <c r="F385" s="1106"/>
    </row>
    <row r="386" spans="4:114" ht="14.45" collapsed="1">
      <c r="D386" s="1436" t="s">
        <v>1169</v>
      </c>
      <c r="E386" s="1433" t="s">
        <v>1122</v>
      </c>
      <c r="F386" s="1107" t="s">
        <v>1068</v>
      </c>
      <c r="I386" s="1108">
        <v>0.47499999999999998</v>
      </c>
      <c r="K386" s="1108">
        <v>0.47499999999999998</v>
      </c>
      <c r="M386" s="1108">
        <v>0.375</v>
      </c>
      <c r="O386" s="1108">
        <v>0.88833333333333331</v>
      </c>
      <c r="Q386" s="1108">
        <v>1.59</v>
      </c>
      <c r="S386" s="1108">
        <v>0.78666666666666663</v>
      </c>
      <c r="T386" s="1108">
        <v>0.68825757575757562</v>
      </c>
      <c r="U386" s="1108">
        <v>1.1381239975958017</v>
      </c>
      <c r="V386" s="1108">
        <v>1.2634986138131274</v>
      </c>
      <c r="W386" s="1108">
        <v>0.88103416808597246</v>
      </c>
      <c r="X386" s="1108">
        <v>1.10157501803353</v>
      </c>
      <c r="Y386" s="1108">
        <v>0.90713704530791051</v>
      </c>
      <c r="Z386" s="1108">
        <v>1.5350801395478224</v>
      </c>
      <c r="AA386" s="1108">
        <v>1.186456781634478</v>
      </c>
      <c r="AB386" s="1108">
        <v>1.0820343563768715</v>
      </c>
      <c r="AC386" s="1108">
        <v>1.0601339026080769</v>
      </c>
      <c r="AD386" s="1108">
        <v>1.3339173410906899</v>
      </c>
      <c r="AE386" s="1108">
        <v>0.97997895888329623</v>
      </c>
      <c r="AF386" s="1108">
        <v>1.0731125700520205</v>
      </c>
      <c r="AG386" s="1108">
        <v>1.1429266431685665</v>
      </c>
      <c r="AH386" s="1108">
        <v>1.4022879537875599</v>
      </c>
      <c r="AI386" s="1108">
        <v>1.1157739720341797</v>
      </c>
      <c r="AJ386" s="1108">
        <v>1.1955597716267652</v>
      </c>
      <c r="AK386" s="1108">
        <v>1.3066703007682117</v>
      </c>
      <c r="AL386" s="1108">
        <v>1.8601050433918067</v>
      </c>
      <c r="AM386" s="1108">
        <v>1.3256939273523134</v>
      </c>
      <c r="AN386" s="1108">
        <v>1.3761525238912933</v>
      </c>
      <c r="AO386" s="1108">
        <v>1.2437938581381194</v>
      </c>
      <c r="AP386" s="1108">
        <v>1.9703588686200084</v>
      </c>
      <c r="AQ386" s="1108">
        <v>1.335104357806985</v>
      </c>
      <c r="AR386" s="1108">
        <v>1.71134035699877</v>
      </c>
      <c r="AS386" s="1108">
        <v>1.6097367959846201</v>
      </c>
      <c r="AT386" s="1108">
        <v>2.0770644522748367</v>
      </c>
      <c r="AU386" s="1108">
        <v>1.5348197348588417</v>
      </c>
      <c r="AV386" s="1108">
        <v>1.4549419359695666</v>
      </c>
      <c r="AW386" s="1108">
        <v>1.44413315091275</v>
      </c>
      <c r="AX386" s="1108">
        <v>2.3153114330658151</v>
      </c>
      <c r="AY386" s="1108">
        <v>1.7592512039288033</v>
      </c>
      <c r="AZ386" s="1108">
        <v>1.8853517079338125</v>
      </c>
      <c r="BA386" s="1108">
        <v>1.227568513047576</v>
      </c>
      <c r="BB386" s="1108">
        <v>1.6352358745969999</v>
      </c>
      <c r="BC386" s="1108">
        <v>1.1904670063859832</v>
      </c>
      <c r="BD386" s="1108">
        <v>1.2816439366709658</v>
      </c>
      <c r="BE386" s="1108">
        <v>1.2551701232733921</v>
      </c>
      <c r="BF386" s="1108">
        <v>1.5799451455488984</v>
      </c>
      <c r="BG386" s="1108">
        <v>1.2482624369588715</v>
      </c>
      <c r="BH386" s="1108">
        <v>1.3288030785059415</v>
      </c>
      <c r="BI386" s="1108">
        <v>1.3627299213091346</v>
      </c>
      <c r="BJ386" s="1108">
        <v>1.7606801941158461</v>
      </c>
      <c r="BK386" s="1108">
        <v>1.2305010370435197</v>
      </c>
      <c r="BL386" s="1108">
        <v>1.2229837049691099</v>
      </c>
      <c r="BM386" s="1108">
        <v>1.4721175474315951</v>
      </c>
      <c r="BN386" s="1108">
        <v>1.9575312372930549</v>
      </c>
      <c r="BO386" s="1108">
        <v>1.4864164661930199</v>
      </c>
      <c r="BP386" s="1108">
        <v>1.4763590337695649</v>
      </c>
      <c r="BQ386" s="1108">
        <v>1.8583305183480701</v>
      </c>
      <c r="BR386" s="1108">
        <v>1.86994101372038</v>
      </c>
      <c r="BS386" s="1108">
        <v>1.48705550308154</v>
      </c>
      <c r="BT386" s="1108">
        <v>1.5102583294944201</v>
      </c>
      <c r="CK386" s="1108"/>
      <c r="CM386" s="1108"/>
      <c r="CO386" s="1108"/>
      <c r="CQ386" s="1108"/>
      <c r="CS386" s="1108"/>
      <c r="CU386" s="1108"/>
      <c r="CW386" s="1108"/>
      <c r="CY386" s="1108"/>
      <c r="DA386" s="1108"/>
      <c r="DC386" s="1108"/>
      <c r="DE386" s="1108"/>
      <c r="DF386" s="1108"/>
      <c r="DG386" s="1108"/>
      <c r="DH386" s="1108"/>
      <c r="DI386" s="1108"/>
    </row>
    <row r="387" spans="4:114" ht="14.45" hidden="1" outlineLevel="1">
      <c r="D387" s="1432"/>
      <c r="E387" s="1440"/>
      <c r="F387" s="1107" t="s">
        <v>1069</v>
      </c>
      <c r="Q387" s="1109">
        <v>234.73684210526324</v>
      </c>
      <c r="S387" s="1109">
        <v>65.614035087719301</v>
      </c>
      <c r="T387" s="1109">
        <v>83.535353535353494</v>
      </c>
      <c r="U387" s="1109">
        <v>28.119024119602447</v>
      </c>
      <c r="V387" s="1109">
        <v>-20.53467837653287</v>
      </c>
      <c r="W387" s="1109">
        <v>11.99586882448803</v>
      </c>
      <c r="X387" s="1109">
        <v>60.052726890947696</v>
      </c>
      <c r="Y387" s="1109">
        <v>-20.295411815921039</v>
      </c>
      <c r="Z387" s="1109">
        <v>21.49440630687246</v>
      </c>
      <c r="AA387" s="1109">
        <v>34.66637556316681</v>
      </c>
      <c r="AB387" s="1109">
        <v>-1.7738838786977358</v>
      </c>
      <c r="AC387" s="1109">
        <v>16.865903348510539</v>
      </c>
      <c r="AD387" s="1109">
        <v>-13.104384147422268</v>
      </c>
      <c r="AE387" s="1109">
        <v>-17.402894563654925</v>
      </c>
      <c r="AF387" s="1109">
        <v>-0.82453817406732288</v>
      </c>
      <c r="AG387" s="1109">
        <v>7.8096493619162555</v>
      </c>
      <c r="AH387" s="1109">
        <v>5.1255509311368641</v>
      </c>
      <c r="AI387" s="1109">
        <v>13.856931510613693</v>
      </c>
      <c r="AJ387" s="1109">
        <v>11.410471276914485</v>
      </c>
      <c r="AK387" s="1109">
        <v>14.326698793694595</v>
      </c>
      <c r="AL387" s="1109">
        <v>32.647865822970907</v>
      </c>
      <c r="AM387" s="1109">
        <v>18.813842281642966</v>
      </c>
      <c r="AN387" s="1109">
        <v>15.105288464064035</v>
      </c>
      <c r="AO387" s="1109">
        <v>-4.8119592672402716</v>
      </c>
      <c r="AP387" s="1109">
        <v>5.9272902688957547</v>
      </c>
      <c r="AQ387" s="1109">
        <v>0.70984940494267712</v>
      </c>
      <c r="AR387" s="1109">
        <v>24.35688103522704</v>
      </c>
      <c r="AS387" s="1109">
        <v>29.421510280995765</v>
      </c>
      <c r="AT387" s="1109">
        <v>5.4155405573179829</v>
      </c>
      <c r="AU387" s="1109">
        <v>14.958783999469905</v>
      </c>
      <c r="AV387" s="1109">
        <v>-14.982316053064814</v>
      </c>
      <c r="AW387" s="1109">
        <v>-10.287622515988778</v>
      </c>
      <c r="AX387" s="1109">
        <v>11.470370143307118</v>
      </c>
      <c r="AY387" s="1109">
        <v>14.622659845496624</v>
      </c>
      <c r="AZ387" s="1109">
        <v>29.582608166244302</v>
      </c>
      <c r="BA387" s="1109">
        <v>-14.996168305415361</v>
      </c>
      <c r="BB387" s="1109">
        <v>-29.372962477375857</v>
      </c>
      <c r="BC387" s="1109">
        <v>-32.331039266740142</v>
      </c>
      <c r="BD387" s="1109">
        <v>-32.020962917548147</v>
      </c>
      <c r="BE387" s="1109">
        <v>2.2484781853268623</v>
      </c>
      <c r="BF387" s="1109">
        <v>-3.3812081735136696</v>
      </c>
      <c r="BG387" s="1109">
        <v>4.854853621550042</v>
      </c>
      <c r="BH387" s="1109">
        <v>3.6795821745523387</v>
      </c>
      <c r="BI387" s="1109">
        <v>8.5693402066673219</v>
      </c>
      <c r="BJ387" s="1109">
        <v>11.439324275030916</v>
      </c>
      <c r="BK387" s="1109">
        <v>-1.4228898819244911</v>
      </c>
      <c r="BL387" s="1109">
        <v>-7.9635105643953725</v>
      </c>
      <c r="BM387" s="1109">
        <v>8.0270950547101059</v>
      </c>
      <c r="BN387" s="1109">
        <v>11.180397430213652</v>
      </c>
      <c r="BO387" s="1109">
        <v>20.797660582585042</v>
      </c>
      <c r="BP387" s="1109">
        <v>20.717800880826516</v>
      </c>
      <c r="BQ387" s="1109">
        <v>26.235199192503423</v>
      </c>
      <c r="BR387" s="1109">
        <v>-4.4745249477498916</v>
      </c>
      <c r="BS387" s="1109">
        <v>4.2991779427522157E-2</v>
      </c>
      <c r="BT387" s="1109">
        <v>2.2961417209132811</v>
      </c>
      <c r="CM387" s="1109"/>
      <c r="CO387" s="1109"/>
      <c r="CQ387" s="1109"/>
      <c r="CS387" s="1109"/>
      <c r="CU387" s="1109"/>
      <c r="CW387" s="1109"/>
      <c r="CY387" s="1109"/>
      <c r="DA387" s="1109"/>
      <c r="DC387" s="1109"/>
      <c r="DE387" s="1109"/>
      <c r="DF387" s="1109"/>
      <c r="DG387" s="1109"/>
      <c r="DH387" s="1109"/>
      <c r="DI387" s="1109"/>
    </row>
    <row r="388" spans="4:114" ht="14.45" hidden="1" outlineLevel="1" collapsed="1">
      <c r="D388" s="1432"/>
      <c r="E388" s="1440"/>
      <c r="F388" s="1107"/>
    </row>
    <row r="389" spans="4:114" ht="14.45" collapsed="1">
      <c r="D389" s="1436" t="s">
        <v>1170</v>
      </c>
      <c r="E389" s="1433" t="s">
        <v>1153</v>
      </c>
      <c r="F389" s="1106" t="s">
        <v>1068</v>
      </c>
      <c r="I389" s="1108">
        <v>495.14295113552748</v>
      </c>
      <c r="K389" s="1108">
        <v>555.70307040640591</v>
      </c>
      <c r="M389" s="1108">
        <v>508.11589931734596</v>
      </c>
      <c r="O389" s="1108">
        <v>546.16925978312099</v>
      </c>
      <c r="Q389" s="1108">
        <v>920.68679738562003</v>
      </c>
      <c r="S389" s="1108">
        <v>666.54761904761904</v>
      </c>
      <c r="T389" s="1108">
        <v>653.88888888888903</v>
      </c>
      <c r="U389" s="1108">
        <v>849.87413444319498</v>
      </c>
      <c r="V389" s="1108">
        <v>893.50715859624529</v>
      </c>
      <c r="W389" s="1108">
        <v>815.04504676087799</v>
      </c>
      <c r="X389" s="1108">
        <v>825.5398925328393</v>
      </c>
      <c r="Y389" s="1108">
        <v>747.45292633556573</v>
      </c>
      <c r="Z389" s="1108">
        <v>942.42313436264772</v>
      </c>
      <c r="AA389" s="1108">
        <v>983.65299853080569</v>
      </c>
      <c r="AB389" s="1108">
        <v>952.02191516616176</v>
      </c>
      <c r="AC389" s="1108">
        <v>941.67872480415417</v>
      </c>
      <c r="AD389" s="1108">
        <v>1028.2948550636543</v>
      </c>
      <c r="AE389" s="1108">
        <v>919.27242286843625</v>
      </c>
      <c r="AF389" s="1108">
        <v>962.84797673732555</v>
      </c>
      <c r="AG389" s="1108">
        <v>950.17220251922129</v>
      </c>
      <c r="AH389" s="1108">
        <v>1058.7930315028107</v>
      </c>
      <c r="AI389" s="1108">
        <v>1091.482501105254</v>
      </c>
      <c r="AJ389" s="1108">
        <v>1144.3998926164259</v>
      </c>
      <c r="AK389" s="1108">
        <v>990.04232468476619</v>
      </c>
      <c r="AL389" s="1108">
        <v>1125.7575786357224</v>
      </c>
      <c r="AM389" s="1108">
        <v>1134.8939871564244</v>
      </c>
      <c r="AN389" s="1108">
        <v>1128.5517437927049</v>
      </c>
      <c r="AO389" s="1108">
        <v>1006.190997533531</v>
      </c>
      <c r="AP389" s="1108">
        <v>950.93416022079816</v>
      </c>
      <c r="AQ389" s="1108">
        <v>1148.9001430846979</v>
      </c>
      <c r="AR389" s="1108">
        <v>1181.8221064172133</v>
      </c>
      <c r="AS389" s="1108">
        <v>1095.2923547517553</v>
      </c>
      <c r="AT389" s="1108">
        <v>1112.4754620117367</v>
      </c>
      <c r="AU389" s="1108">
        <v>1146.5628626331279</v>
      </c>
      <c r="AV389" s="1108">
        <v>1102.7853279130102</v>
      </c>
      <c r="AW389" s="1108">
        <v>1030.456032391578</v>
      </c>
      <c r="AX389" s="1108">
        <v>1097.5570545696223</v>
      </c>
      <c r="AY389" s="1108">
        <v>1132.8271275906945</v>
      </c>
      <c r="AZ389" s="1108">
        <v>1028.5568369285641</v>
      </c>
      <c r="BA389" s="1108">
        <v>1028.7167093621604</v>
      </c>
      <c r="BB389" s="1108">
        <v>1023.6364134239619</v>
      </c>
      <c r="BC389" s="1108">
        <v>1057.1658958007824</v>
      </c>
      <c r="BD389" s="1108">
        <v>1003.4527195125404</v>
      </c>
      <c r="BE389" s="1108">
        <v>957.9416351816468</v>
      </c>
      <c r="BF389" s="1108">
        <v>1004.1485918941278</v>
      </c>
      <c r="BG389" s="1108">
        <v>991.91319039952464</v>
      </c>
      <c r="BH389" s="1108">
        <v>1036.7569430865719</v>
      </c>
      <c r="BI389" s="1108">
        <v>915.19645228200932</v>
      </c>
      <c r="BJ389" s="1108">
        <v>866.13100623917433</v>
      </c>
      <c r="BK389" s="1108">
        <v>917.06575196981146</v>
      </c>
      <c r="BL389" s="1108">
        <v>1043.0858429924531</v>
      </c>
      <c r="BM389" s="1108">
        <v>988.03076404656895</v>
      </c>
      <c r="BN389" s="1108">
        <v>889.99794255498205</v>
      </c>
      <c r="BO389" s="1108">
        <v>773.19624205214802</v>
      </c>
      <c r="BP389" s="1108">
        <v>955.39859527511601</v>
      </c>
      <c r="BQ389" s="1108">
        <v>1008.3007863458701</v>
      </c>
      <c r="BR389" s="1108">
        <v>1008.3007863458701</v>
      </c>
      <c r="BS389" s="1108">
        <v>1008.3007863458701</v>
      </c>
      <c r="BT389" s="1108">
        <v>1008.3007863458701</v>
      </c>
      <c r="CK389" s="1108"/>
      <c r="CM389" s="1108"/>
      <c r="CO389" s="1108"/>
      <c r="CQ389" s="1108"/>
      <c r="CS389" s="1108"/>
      <c r="CU389" s="1108"/>
      <c r="CW389" s="1108"/>
      <c r="CY389" s="1108"/>
      <c r="DA389" s="1108"/>
      <c r="DC389" s="1108"/>
      <c r="DE389" s="1108"/>
      <c r="DF389" s="1108"/>
      <c r="DG389" s="1108"/>
      <c r="DH389" s="1108"/>
      <c r="DI389" s="1108"/>
    </row>
    <row r="390" spans="4:114" ht="14.45" hidden="1" outlineLevel="1">
      <c r="D390" s="1432"/>
      <c r="E390" s="1440"/>
      <c r="F390" s="1106" t="s">
        <v>1069</v>
      </c>
      <c r="Q390" s="1109">
        <v>85.943634110952999</v>
      </c>
      <c r="S390" s="1109">
        <v>19.946722367423391</v>
      </c>
      <c r="T390" s="1109">
        <v>28.688925059693894</v>
      </c>
      <c r="U390" s="1109">
        <v>55.606365466389029</v>
      </c>
      <c r="V390" s="1109">
        <v>-2.9521047620704421</v>
      </c>
      <c r="W390" s="1109">
        <v>22.278592477074035</v>
      </c>
      <c r="X390" s="1109">
        <v>26.250790701708617</v>
      </c>
      <c r="Y390" s="1109">
        <v>-12.05133842256909</v>
      </c>
      <c r="Z390" s="1109">
        <v>5.4746036778544038</v>
      </c>
      <c r="AA390" s="1109">
        <v>20.686948830620246</v>
      </c>
      <c r="AB390" s="1109">
        <v>15.32112787975187</v>
      </c>
      <c r="AC390" s="1109">
        <v>25.985020812051996</v>
      </c>
      <c r="AD390" s="1109">
        <v>9.1118010127245892</v>
      </c>
      <c r="AE390" s="1109">
        <v>-6.5450495000298812</v>
      </c>
      <c r="AF390" s="1109">
        <v>1.1371651638160303</v>
      </c>
      <c r="AG390" s="1109">
        <v>0.90195068565805692</v>
      </c>
      <c r="AH390" s="1109">
        <v>2.965897990150741</v>
      </c>
      <c r="AI390" s="1109">
        <v>18.733301897544681</v>
      </c>
      <c r="AJ390" s="1109">
        <v>18.855719725797325</v>
      </c>
      <c r="AK390" s="1109">
        <v>4.1960943563530906</v>
      </c>
      <c r="AL390" s="1109">
        <v>6.3246116229028111</v>
      </c>
      <c r="AM390" s="1109">
        <v>3.9772956513009778</v>
      </c>
      <c r="AN390" s="1109">
        <v>-1.3848436133183804</v>
      </c>
      <c r="AO390" s="1109">
        <v>1.6311093421088461</v>
      </c>
      <c r="AP390" s="1109">
        <v>-15.529401865256675</v>
      </c>
      <c r="AQ390" s="1109">
        <v>1.234137821398382</v>
      </c>
      <c r="AR390" s="1109">
        <v>4.7202410449948502</v>
      </c>
      <c r="AS390" s="1109">
        <v>8.8553125039518168</v>
      </c>
      <c r="AT390" s="1109">
        <v>16.987643156433681</v>
      </c>
      <c r="AU390" s="1109">
        <v>-0.2034363443714611</v>
      </c>
      <c r="AV390" s="1109">
        <v>-6.6877052032652609</v>
      </c>
      <c r="AW390" s="1109">
        <v>-5.9195448666189447</v>
      </c>
      <c r="AX390" s="1109">
        <v>-1.3410100223816861</v>
      </c>
      <c r="AY390" s="1109">
        <v>-1.1979923203590157</v>
      </c>
      <c r="AZ390" s="1109">
        <v>-6.7310009578130163</v>
      </c>
      <c r="BA390" s="1109">
        <v>-0.16879158108093528</v>
      </c>
      <c r="BB390" s="1109">
        <v>-6.7350158096925909</v>
      </c>
      <c r="BC390" s="1109">
        <v>-6.6789742183195235</v>
      </c>
      <c r="BD390" s="1109">
        <v>-2.4407127068435597</v>
      </c>
      <c r="BE390" s="1109">
        <v>-6.8799382314297732</v>
      </c>
      <c r="BF390" s="1109">
        <v>-1.9037835382046762</v>
      </c>
      <c r="BG390" s="1109">
        <v>-6.1724186961054164</v>
      </c>
      <c r="BH390" s="1109">
        <v>3.3189629094044557</v>
      </c>
      <c r="BI390" s="1109">
        <v>-4.4621907358199397</v>
      </c>
      <c r="BJ390" s="1109">
        <v>-13.744737259911957</v>
      </c>
      <c r="BK390" s="1109">
        <v>-7.5457650078799734</v>
      </c>
      <c r="BL390" s="1109">
        <v>0.61045165388901224</v>
      </c>
      <c r="BM390" s="1109">
        <v>7.9583254046658407</v>
      </c>
      <c r="BN390" s="1109">
        <v>2.7555804080309163</v>
      </c>
      <c r="BO390" s="1109">
        <v>-15.688025597798076</v>
      </c>
      <c r="BP390" s="1109">
        <v>-8.4065226564455937</v>
      </c>
      <c r="BQ390" s="1109">
        <v>2.0515578094232008</v>
      </c>
      <c r="BR390" s="1109">
        <v>13.292485087242719</v>
      </c>
      <c r="BS390" s="1109">
        <v>30.4068400112407</v>
      </c>
      <c r="BT390" s="1109">
        <v>5.5371853519964995</v>
      </c>
      <c r="CM390" s="1109"/>
      <c r="CO390" s="1109"/>
      <c r="CQ390" s="1109"/>
      <c r="CS390" s="1109"/>
      <c r="CU390" s="1109"/>
      <c r="CW390" s="1109"/>
      <c r="CY390" s="1109"/>
      <c r="DA390" s="1109"/>
      <c r="DC390" s="1109"/>
      <c r="DE390" s="1109"/>
      <c r="DF390" s="1109"/>
      <c r="DG390" s="1109"/>
      <c r="DH390" s="1109"/>
      <c r="DI390" s="1109"/>
    </row>
    <row r="391" spans="4:114" ht="14.45" hidden="1" outlineLevel="1" collapsed="1">
      <c r="D391" s="1432"/>
      <c r="E391" s="1440"/>
      <c r="F391" s="1106"/>
    </row>
    <row r="392" spans="4:114" ht="14.45" collapsed="1">
      <c r="D392" s="1435" t="s">
        <v>1081</v>
      </c>
      <c r="E392" s="1433" t="s">
        <v>1067</v>
      </c>
      <c r="F392" s="1107" t="s">
        <v>1068</v>
      </c>
      <c r="I392" s="1108">
        <v>303.66666666666669</v>
      </c>
      <c r="K392" s="1108">
        <v>348.23655913978502</v>
      </c>
      <c r="M392" s="1108">
        <v>201.09677419354833</v>
      </c>
      <c r="O392" s="1108">
        <v>400</v>
      </c>
      <c r="Q392" s="1108">
        <v>893</v>
      </c>
      <c r="S392" s="1108">
        <v>494</v>
      </c>
      <c r="T392" s="1108">
        <v>409</v>
      </c>
      <c r="U392" s="1108">
        <v>908</v>
      </c>
      <c r="V392" s="1108">
        <v>1104</v>
      </c>
      <c r="W392" s="1108">
        <v>713</v>
      </c>
      <c r="X392" s="1108">
        <v>888</v>
      </c>
      <c r="Y392" s="1108">
        <v>672</v>
      </c>
      <c r="Z392" s="1108">
        <v>1352</v>
      </c>
      <c r="AA392" s="1108">
        <v>1111</v>
      </c>
      <c r="AB392" s="1108">
        <v>965</v>
      </c>
      <c r="AC392" s="1108">
        <v>926</v>
      </c>
      <c r="AD392" s="1108">
        <v>1321</v>
      </c>
      <c r="AE392" s="1108">
        <v>831</v>
      </c>
      <c r="AF392" s="1108">
        <v>948</v>
      </c>
      <c r="AG392" s="1108">
        <v>1037</v>
      </c>
      <c r="AH392" s="1108">
        <v>1335</v>
      </c>
      <c r="AI392" s="1108">
        <v>1094</v>
      </c>
      <c r="AJ392" s="1108">
        <v>1185</v>
      </c>
      <c r="AK392" s="1108">
        <v>1180</v>
      </c>
      <c r="AL392" s="1108">
        <v>1860</v>
      </c>
      <c r="AM392" s="1108">
        <v>1329</v>
      </c>
      <c r="AN392" s="1108">
        <v>1350</v>
      </c>
      <c r="AO392" s="1108">
        <v>1136</v>
      </c>
      <c r="AP392" s="1108">
        <v>1976</v>
      </c>
      <c r="AQ392" s="1108">
        <v>1340</v>
      </c>
      <c r="AR392" s="1108">
        <v>1724</v>
      </c>
      <c r="AS392" s="1108">
        <v>1553</v>
      </c>
      <c r="AT392" s="1108">
        <v>2045</v>
      </c>
      <c r="AU392" s="1108">
        <v>1504</v>
      </c>
      <c r="AV392" s="1108">
        <v>1376</v>
      </c>
      <c r="AW392" s="1108">
        <v>1286</v>
      </c>
      <c r="AX392" s="1108">
        <v>2207</v>
      </c>
      <c r="AY392" s="1108">
        <v>1699</v>
      </c>
      <c r="AZ392" s="1108">
        <v>1512</v>
      </c>
      <c r="BA392" s="1108">
        <v>1293.8886575231156</v>
      </c>
      <c r="BB392" s="1108">
        <v>1477.5277226459229</v>
      </c>
      <c r="BC392" s="1108">
        <v>1282.5241135658428</v>
      </c>
      <c r="BD392" s="1108">
        <v>1161.9682990556173</v>
      </c>
      <c r="BE392" s="1108">
        <v>1141.6113570613963</v>
      </c>
      <c r="BF392" s="1108">
        <v>1373.0592133532928</v>
      </c>
      <c r="BG392" s="1108">
        <v>1276.0020598075921</v>
      </c>
      <c r="BH392" s="1108">
        <v>1217.9612646329335</v>
      </c>
      <c r="BI392" s="1108">
        <v>1207.8643119673411</v>
      </c>
      <c r="BJ392" s="1108">
        <v>1436.2835570948091</v>
      </c>
      <c r="BK392" s="1108">
        <v>1389.8855503429813</v>
      </c>
      <c r="BL392" s="1108">
        <v>1284.8257946677911</v>
      </c>
      <c r="BM392" s="1108">
        <v>1434.6081597408199</v>
      </c>
      <c r="BN392" s="1108">
        <v>1588.6565519574999</v>
      </c>
      <c r="BO392" s="1108">
        <v>1686.3129409253268</v>
      </c>
      <c r="BP392" s="1108">
        <v>1454.2064721576101</v>
      </c>
      <c r="BQ392" s="1108">
        <v>1478.5012055781967</v>
      </c>
      <c r="BR392" s="1108">
        <v>1629.3237982903599</v>
      </c>
      <c r="BS392" s="1108">
        <v>1708.2520517212299</v>
      </c>
      <c r="BT392" s="1108">
        <v>1510.9282249727432</v>
      </c>
      <c r="CK392" s="1108"/>
      <c r="CM392" s="1108"/>
      <c r="CO392" s="1108"/>
      <c r="CQ392" s="1108"/>
      <c r="CS392" s="1108"/>
      <c r="CU392" s="1108"/>
      <c r="CW392" s="1108"/>
      <c r="CY392" s="1108"/>
      <c r="DA392" s="1108"/>
      <c r="DC392" s="1108"/>
      <c r="DE392" s="1108"/>
      <c r="DF392" s="1108"/>
      <c r="DG392" s="1108"/>
      <c r="DH392" s="1108"/>
      <c r="DI392" s="1108"/>
    </row>
    <row r="393" spans="4:114" ht="14.45" hidden="1" outlineLevel="1">
      <c r="D393" s="1432"/>
      <c r="E393" s="1440"/>
      <c r="F393" s="1107" t="s">
        <v>1069</v>
      </c>
      <c r="Q393" s="1109">
        <v>194.07244785949501</v>
      </c>
      <c r="S393" s="1109">
        <v>41.857592787006702</v>
      </c>
      <c r="T393" s="1109">
        <v>103.3846647417389</v>
      </c>
      <c r="U393" s="1109">
        <v>127</v>
      </c>
      <c r="V393" s="1109">
        <v>23.628219484882418</v>
      </c>
      <c r="W393" s="1109">
        <v>44.331983805668017</v>
      </c>
      <c r="X393" s="1109">
        <v>117.11491442542787</v>
      </c>
      <c r="Y393" s="1109">
        <v>-25.991189427312776</v>
      </c>
      <c r="Z393" s="1109">
        <v>22.463768115942027</v>
      </c>
      <c r="AA393" s="1109">
        <v>55.820476858345025</v>
      </c>
      <c r="AB393" s="1109">
        <v>8.6711711711711708</v>
      </c>
      <c r="AC393" s="1109">
        <v>37.797619047619044</v>
      </c>
      <c r="AD393" s="1109">
        <v>-2.2928994082840237</v>
      </c>
      <c r="AE393" s="1109">
        <v>-25.202520252025202</v>
      </c>
      <c r="AF393" s="1109">
        <v>-1.7616580310880827</v>
      </c>
      <c r="AG393" s="1109">
        <v>11.987041036717063</v>
      </c>
      <c r="AH393" s="1109">
        <v>1.0598031794095382</v>
      </c>
      <c r="AI393" s="1109">
        <v>31.648616125150419</v>
      </c>
      <c r="AJ393" s="1109">
        <v>25</v>
      </c>
      <c r="AK393" s="1109">
        <v>13.789778206364515</v>
      </c>
      <c r="AL393" s="1109">
        <v>39.325842696629216</v>
      </c>
      <c r="AM393" s="1109">
        <v>21.480804387568554</v>
      </c>
      <c r="AN393" s="1109">
        <v>13.924050632911392</v>
      </c>
      <c r="AO393" s="1109">
        <v>-3.7288135593220342</v>
      </c>
      <c r="AP393" s="1109">
        <v>6.236559139784946</v>
      </c>
      <c r="AQ393" s="1109">
        <v>0.82768999247554553</v>
      </c>
      <c r="AR393" s="1109">
        <v>27.703703703703702</v>
      </c>
      <c r="AS393" s="1109">
        <v>36.70774647887324</v>
      </c>
      <c r="AT393" s="1109">
        <v>3.4919028340080973</v>
      </c>
      <c r="AU393" s="1109">
        <v>12.238805970149254</v>
      </c>
      <c r="AV393" s="1109">
        <v>-20.185614849187935</v>
      </c>
      <c r="AW393" s="1109">
        <v>-17.192530585962654</v>
      </c>
      <c r="AX393" s="1109">
        <v>7.9217603911980436</v>
      </c>
      <c r="AY393" s="1109">
        <v>12.965425531914892</v>
      </c>
      <c r="AZ393" s="1109">
        <v>9.8837209302325579</v>
      </c>
      <c r="BA393" s="1109">
        <v>0.61342593492345454</v>
      </c>
      <c r="BB393" s="1109">
        <v>-33.052663224017991</v>
      </c>
      <c r="BC393" s="1109">
        <v>-24.513000967284125</v>
      </c>
      <c r="BD393" s="1109">
        <v>-23.150244771453881</v>
      </c>
      <c r="BE393" s="1109">
        <v>-11.768964785055225</v>
      </c>
      <c r="BF393" s="1109">
        <v>-7.0704940212932428</v>
      </c>
      <c r="BG393" s="1109">
        <v>-0.50853264194130232</v>
      </c>
      <c r="BH393" s="1109">
        <v>4.8188031999516827</v>
      </c>
      <c r="BI393" s="1109">
        <v>5.803459688460479</v>
      </c>
      <c r="BJ393" s="1109">
        <v>4.6046334438199148</v>
      </c>
      <c r="BK393" s="1109">
        <v>8.925024035820261</v>
      </c>
      <c r="BL393" s="1109">
        <v>5.4898732805767079</v>
      </c>
      <c r="BM393" s="1109">
        <v>18.772294663145047</v>
      </c>
      <c r="BN393" s="1109">
        <v>10.608837935240155</v>
      </c>
      <c r="BO393" s="1109">
        <v>21.327467611214189</v>
      </c>
      <c r="BP393" s="1109">
        <v>13.183162899808886</v>
      </c>
      <c r="BQ393" s="1109">
        <v>3.0595842871343097</v>
      </c>
      <c r="BR393" s="1109">
        <v>2.5598513588573275</v>
      </c>
      <c r="BS393" s="1109">
        <v>1.301010640638538</v>
      </c>
      <c r="BT393" s="1109">
        <v>3.9005295259740502</v>
      </c>
      <c r="CM393" s="1109"/>
      <c r="CO393" s="1109"/>
      <c r="CQ393" s="1109"/>
      <c r="CS393" s="1109"/>
      <c r="CU393" s="1109"/>
      <c r="CW393" s="1109"/>
      <c r="CY393" s="1109"/>
      <c r="DA393" s="1109"/>
      <c r="DC393" s="1109"/>
      <c r="DE393" s="1109"/>
      <c r="DF393" s="1109"/>
      <c r="DG393" s="1109"/>
      <c r="DH393" s="1109"/>
      <c r="DI393" s="1109"/>
    </row>
    <row r="394" spans="4:114" ht="14.45" hidden="1" outlineLevel="1" collapsed="1">
      <c r="D394" s="1432"/>
      <c r="E394" s="1440"/>
      <c r="F394" s="1107"/>
    </row>
    <row r="395" spans="4:114" ht="14.45" collapsed="1">
      <c r="D395" s="1435" t="s">
        <v>1082</v>
      </c>
      <c r="E395" s="1433" t="s">
        <v>1067</v>
      </c>
      <c r="F395" s="1106" t="s">
        <v>1068</v>
      </c>
      <c r="G395" s="1108">
        <v>120</v>
      </c>
      <c r="I395" s="1108">
        <v>120</v>
      </c>
      <c r="K395" s="1108">
        <v>60</v>
      </c>
      <c r="M395" s="1108">
        <v>100</v>
      </c>
      <c r="O395" s="1108">
        <v>99.267516842018367</v>
      </c>
      <c r="Q395" s="1108">
        <v>394.58788297791619</v>
      </c>
      <c r="S395" s="1108">
        <v>209.50993877064269</v>
      </c>
      <c r="T395" s="1108">
        <v>191.90127904396391</v>
      </c>
      <c r="U395" s="1108">
        <v>200.48966020545916</v>
      </c>
      <c r="V395" s="1108">
        <v>441.60013284695475</v>
      </c>
      <c r="W395" s="1108">
        <v>153.92122036268702</v>
      </c>
      <c r="X395" s="1108">
        <v>111.91228070175437</v>
      </c>
      <c r="Y395" s="1108">
        <v>319.20135480436164</v>
      </c>
      <c r="Z395" s="1108">
        <v>510.5625344144616</v>
      </c>
      <c r="AA395" s="1108">
        <v>350.58</v>
      </c>
      <c r="AB395" s="1108">
        <v>209.68473684210525</v>
      </c>
      <c r="AC395" s="1108">
        <v>436</v>
      </c>
      <c r="AD395" s="1108">
        <v>376</v>
      </c>
      <c r="AE395" s="1108">
        <v>127</v>
      </c>
      <c r="AF395" s="1108">
        <v>97</v>
      </c>
      <c r="AG395" s="1108">
        <v>117</v>
      </c>
      <c r="AH395" s="1108">
        <v>143</v>
      </c>
      <c r="AI395" s="1108">
        <v>125</v>
      </c>
      <c r="AJ395" s="1108">
        <v>98</v>
      </c>
      <c r="AK395" s="1108">
        <v>81</v>
      </c>
      <c r="AL395" s="1108">
        <v>88</v>
      </c>
      <c r="AM395" s="1108">
        <v>94</v>
      </c>
      <c r="AN395" s="1108">
        <v>113</v>
      </c>
      <c r="AO395" s="1108">
        <v>66</v>
      </c>
      <c r="AP395" s="1108">
        <v>72</v>
      </c>
      <c r="AQ395" s="1108">
        <v>72</v>
      </c>
      <c r="AR395" s="1108">
        <v>71</v>
      </c>
      <c r="AS395" s="1108">
        <v>67</v>
      </c>
      <c r="AT395" s="1108">
        <v>75</v>
      </c>
      <c r="AU395" s="1108">
        <v>95</v>
      </c>
      <c r="AV395" s="1108">
        <v>76</v>
      </c>
      <c r="AW395" s="1108">
        <v>90.299235714285416</v>
      </c>
      <c r="AX395" s="1108">
        <v>150</v>
      </c>
      <c r="AY395" s="1108">
        <v>65</v>
      </c>
      <c r="AZ395" s="1108">
        <v>90.225636363636355</v>
      </c>
      <c r="BA395" s="1108">
        <v>140.25644568005774</v>
      </c>
      <c r="BB395" s="1108">
        <v>26.56273728355962</v>
      </c>
      <c r="BC395" s="1108">
        <v>122.8590110727699</v>
      </c>
      <c r="BD395" s="1108">
        <v>79.986433622828756</v>
      </c>
      <c r="BE395" s="1108">
        <v>106.37717274835983</v>
      </c>
      <c r="BF395" s="1108">
        <v>93.65349707049414</v>
      </c>
      <c r="BG395" s="1108">
        <v>111.53119262267703</v>
      </c>
      <c r="BH395" s="1108">
        <v>80.329545622828761</v>
      </c>
      <c r="BI395" s="1108">
        <v>102.14072722973098</v>
      </c>
      <c r="BJ395" s="1108">
        <v>90.360677384949085</v>
      </c>
      <c r="BK395" s="1108">
        <v>113.15833301162574</v>
      </c>
      <c r="BL395" s="1108">
        <v>76.664561274101374</v>
      </c>
      <c r="BM395" s="1108">
        <v>77.795798276163765</v>
      </c>
      <c r="BN395" s="1108">
        <v>50.026875882694348</v>
      </c>
      <c r="BO395" s="1108">
        <v>143.51224060650901</v>
      </c>
      <c r="BP395" s="1108">
        <v>48.826265339200049</v>
      </c>
      <c r="BQ395" s="1108">
        <v>80.083609470575297</v>
      </c>
      <c r="BR395" s="1108">
        <v>50.170514641521301</v>
      </c>
      <c r="BS395" s="1108">
        <v>144.62658801257399</v>
      </c>
      <c r="BT395" s="1108">
        <v>48.986777992592053</v>
      </c>
      <c r="CK395" s="1108"/>
      <c r="CM395" s="1108"/>
      <c r="CO395" s="1108"/>
      <c r="CQ395" s="1108"/>
      <c r="CS395" s="1108"/>
      <c r="CU395" s="1108"/>
      <c r="CW395" s="1108"/>
      <c r="CY395" s="1108"/>
      <c r="DA395" s="1108"/>
      <c r="DC395" s="1108"/>
      <c r="DE395" s="1108"/>
      <c r="DF395" s="1108"/>
      <c r="DG395" s="1108"/>
      <c r="DH395" s="1108"/>
      <c r="DI395" s="1108"/>
    </row>
    <row r="396" spans="4:114" ht="14.45" hidden="1" outlineLevel="1">
      <c r="D396" s="1432"/>
      <c r="E396" s="1440"/>
      <c r="F396" s="1106" t="s">
        <v>1069</v>
      </c>
      <c r="O396" s="1109">
        <v>-17.277069298318029</v>
      </c>
      <c r="Q396" s="1109">
        <v>228.82323581493017</v>
      </c>
      <c r="S396" s="1109">
        <v>249.18323128440448</v>
      </c>
      <c r="T396" s="1109">
        <v>91.90127904396391</v>
      </c>
      <c r="U396" s="1109">
        <v>101.96904947721535</v>
      </c>
      <c r="V396" s="1109">
        <v>11.914265971433714</v>
      </c>
      <c r="W396" s="1109">
        <v>-26.532735742341291</v>
      </c>
      <c r="X396" s="1109">
        <v>-41.682368528603888</v>
      </c>
      <c r="Y396" s="1109">
        <v>59.210881238088945</v>
      </c>
      <c r="Z396" s="1109">
        <v>15.616481164286045</v>
      </c>
      <c r="AA396" s="1109">
        <v>127.76586566421624</v>
      </c>
      <c r="AB396" s="1109">
        <v>87.365261012697943</v>
      </c>
      <c r="AC396" s="1109">
        <v>36.590898953804313</v>
      </c>
      <c r="AD396" s="1109">
        <v>-26.355740060085797</v>
      </c>
      <c r="AE396" s="1109">
        <v>-63.774316846368876</v>
      </c>
      <c r="AF396" s="1109">
        <v>-53.740075953624611</v>
      </c>
      <c r="AG396" s="1109">
        <v>-73.165137614678898</v>
      </c>
      <c r="AH396" s="1109">
        <v>-61.968085106382972</v>
      </c>
      <c r="AI396" s="1109">
        <v>-1.5748031496062991</v>
      </c>
      <c r="AJ396" s="1109">
        <v>1.0309278350515463</v>
      </c>
      <c r="AK396" s="1109">
        <v>-30.76923076923077</v>
      </c>
      <c r="AL396" s="1109">
        <v>-38.461538461538467</v>
      </c>
      <c r="AM396" s="1109">
        <v>-24.8</v>
      </c>
      <c r="AN396" s="1109">
        <v>15.306122448979592</v>
      </c>
      <c r="AO396" s="1109">
        <v>-18.518518518518519</v>
      </c>
      <c r="AP396" s="1109">
        <v>-18.181818181818183</v>
      </c>
      <c r="AQ396" s="1109">
        <v>-23.404255319148938</v>
      </c>
      <c r="AR396" s="1109">
        <v>-37.168141592920357</v>
      </c>
      <c r="AS396" s="1109">
        <v>1.5151515151515151</v>
      </c>
      <c r="AT396" s="1109">
        <v>4.1666666666666661</v>
      </c>
      <c r="AU396" s="1109">
        <v>31.944444444444443</v>
      </c>
      <c r="AV396" s="1109">
        <v>7.042253521126761</v>
      </c>
      <c r="AW396" s="1109">
        <v>34.774978678037932</v>
      </c>
      <c r="AX396" s="1109">
        <v>100</v>
      </c>
      <c r="AY396" s="1109">
        <v>-31.578947368421051</v>
      </c>
      <c r="AZ396" s="1109">
        <v>18.717942583732043</v>
      </c>
      <c r="BA396" s="1109">
        <v>55.324067330803608</v>
      </c>
      <c r="BB396" s="1109">
        <v>-82.291508477626934</v>
      </c>
      <c r="BC396" s="1109">
        <v>89.013863188876769</v>
      </c>
      <c r="BD396" s="1109">
        <v>-11.348440591253404</v>
      </c>
      <c r="BE396" s="1109">
        <v>-24.155234197921082</v>
      </c>
      <c r="BF396" s="1109">
        <v>252.57472176430684</v>
      </c>
      <c r="BG396" s="1109">
        <v>-9.2201771373394532</v>
      </c>
      <c r="BH396" s="1109">
        <v>0.42896274337961993</v>
      </c>
      <c r="BI396" s="1109">
        <v>-3.982476135787469</v>
      </c>
      <c r="BJ396" s="1109">
        <v>-3.5159602028171024</v>
      </c>
      <c r="BK396" s="1109">
        <v>1.4589105977316341</v>
      </c>
      <c r="BL396" s="1109">
        <v>-4.5624362995100016</v>
      </c>
      <c r="BM396" s="1109">
        <v>-23.834693186403051</v>
      </c>
      <c r="BN396" s="1109">
        <v>-44.636453233331927</v>
      </c>
      <c r="BO396" s="1109">
        <v>26.824279562128883</v>
      </c>
      <c r="BP396" s="1109">
        <v>-36.311817966804938</v>
      </c>
      <c r="BQ396" s="1109">
        <v>2.9407901777550181</v>
      </c>
      <c r="BR396" s="1109">
        <v>0.2871231838737327</v>
      </c>
      <c r="BS396" s="1109">
        <v>0.77648248076647897</v>
      </c>
      <c r="BT396" s="1109">
        <v>0.32874243458292329</v>
      </c>
      <c r="CM396" s="1109"/>
      <c r="CO396" s="1109"/>
      <c r="CQ396" s="1109"/>
      <c r="CS396" s="1109"/>
      <c r="CU396" s="1109"/>
      <c r="CW396" s="1109"/>
      <c r="CY396" s="1109"/>
      <c r="DA396" s="1109"/>
      <c r="DC396" s="1109"/>
      <c r="DE396" s="1109"/>
      <c r="DF396" s="1109"/>
      <c r="DG396" s="1109"/>
      <c r="DH396" s="1109"/>
      <c r="DI396" s="1109"/>
    </row>
    <row r="397" spans="4:114" ht="14.45" hidden="1" outlineLevel="1" collapsed="1">
      <c r="D397" s="1432"/>
      <c r="E397" s="1440"/>
      <c r="F397" s="1106"/>
    </row>
    <row r="398" spans="4:114" ht="14.45" collapsed="1">
      <c r="D398" s="1434" t="s">
        <v>1083</v>
      </c>
      <c r="E398" s="1433" t="s">
        <v>1067</v>
      </c>
      <c r="F398" s="1107" t="s">
        <v>1068</v>
      </c>
      <c r="G398" s="1108">
        <v>120</v>
      </c>
      <c r="I398" s="1108">
        <v>293.18963545432251</v>
      </c>
      <c r="K398" s="1108">
        <v>332.92453334004654</v>
      </c>
      <c r="M398" s="1108">
        <v>215.33644151221469</v>
      </c>
      <c r="O398" s="1108">
        <v>400</v>
      </c>
      <c r="Q398" s="1108">
        <v>893</v>
      </c>
      <c r="S398" s="1108">
        <v>494</v>
      </c>
      <c r="T398" s="1108">
        <v>409</v>
      </c>
      <c r="U398" s="1108">
        <v>908</v>
      </c>
      <c r="V398" s="1108">
        <v>1104</v>
      </c>
      <c r="W398" s="1108">
        <v>713</v>
      </c>
      <c r="X398" s="1108">
        <v>888</v>
      </c>
      <c r="Y398" s="1108">
        <v>672</v>
      </c>
      <c r="Z398" s="1108">
        <v>1352</v>
      </c>
      <c r="AA398" s="1108">
        <v>1111</v>
      </c>
      <c r="AB398" s="1108">
        <v>965</v>
      </c>
      <c r="AC398" s="1108">
        <v>1362</v>
      </c>
      <c r="AD398" s="1108">
        <v>1697</v>
      </c>
      <c r="AE398" s="1108">
        <v>958</v>
      </c>
      <c r="AF398" s="1108">
        <v>1045</v>
      </c>
      <c r="AG398" s="1108">
        <v>1154</v>
      </c>
      <c r="AH398" s="1108">
        <v>1478</v>
      </c>
      <c r="AI398" s="1108">
        <v>1219</v>
      </c>
      <c r="AJ398" s="1108">
        <v>1283</v>
      </c>
      <c r="AK398" s="1108">
        <v>1261</v>
      </c>
      <c r="AL398" s="1108">
        <v>1948</v>
      </c>
      <c r="AM398" s="1108">
        <v>1423</v>
      </c>
      <c r="AN398" s="1108">
        <v>1463</v>
      </c>
      <c r="AO398" s="1108">
        <v>1202</v>
      </c>
      <c r="AP398" s="1108">
        <v>2048</v>
      </c>
      <c r="AQ398" s="1108">
        <v>1412</v>
      </c>
      <c r="AR398" s="1108">
        <v>1795</v>
      </c>
      <c r="AS398" s="1108">
        <v>1620</v>
      </c>
      <c r="AT398" s="1108">
        <v>2120</v>
      </c>
      <c r="AU398" s="1108">
        <v>1599</v>
      </c>
      <c r="AV398" s="1108">
        <v>1452</v>
      </c>
      <c r="AW398" s="1108">
        <v>1361</v>
      </c>
      <c r="AX398" s="1108">
        <v>2357</v>
      </c>
      <c r="AY398" s="1108">
        <v>1835</v>
      </c>
      <c r="AZ398" s="1108">
        <v>1385</v>
      </c>
      <c r="BA398" s="1108">
        <v>1448</v>
      </c>
      <c r="BB398" s="1108">
        <v>1430</v>
      </c>
      <c r="BC398" s="1108">
        <v>1282</v>
      </c>
      <c r="BD398" s="1108">
        <v>1200.6257459175692</v>
      </c>
      <c r="BE398" s="1108">
        <v>1212.8409697354309</v>
      </c>
      <c r="BF398" s="1108">
        <v>1470.2858327825957</v>
      </c>
      <c r="BG398" s="1108">
        <v>1297.2187102103583</v>
      </c>
      <c r="BH398" s="1108">
        <v>1291.3190617345986</v>
      </c>
      <c r="BI398" s="1108">
        <v>1285.2148893714811</v>
      </c>
      <c r="BJ398" s="1108">
        <v>1522.7236648951864</v>
      </c>
      <c r="BK398" s="1108">
        <v>1367.3846072680424</v>
      </c>
      <c r="BL398" s="1108">
        <v>1322.462907623305</v>
      </c>
      <c r="BM398" s="1108">
        <v>1418.0903633534081</v>
      </c>
      <c r="BN398" s="1108">
        <v>1612.3150736132773</v>
      </c>
      <c r="BO398" s="1108">
        <v>1514.3447674333445</v>
      </c>
      <c r="BP398" s="1108">
        <v>1417.0730557454001</v>
      </c>
      <c r="BQ398" s="1108">
        <v>1558.5848150487734</v>
      </c>
      <c r="BR398" s="1108">
        <v>1637.9442480573641</v>
      </c>
      <c r="BS398" s="1108">
        <v>1771.5356239800594</v>
      </c>
      <c r="BT398" s="1108">
        <v>1468.2246894678046</v>
      </c>
      <c r="CK398" s="1108"/>
      <c r="CM398" s="1108"/>
      <c r="CO398" s="1108"/>
      <c r="CQ398" s="1108"/>
      <c r="CS398" s="1108"/>
      <c r="CT398" s="1108"/>
      <c r="CU398" s="1108"/>
      <c r="CV398" s="1108"/>
      <c r="CW398" s="1108"/>
      <c r="CX398" s="1108"/>
      <c r="CY398" s="1108"/>
      <c r="CZ398" s="1108"/>
      <c r="DA398" s="1108"/>
      <c r="DB398" s="1108"/>
      <c r="DC398" s="1108"/>
      <c r="DD398" s="1108"/>
      <c r="DE398" s="1108"/>
      <c r="DF398" s="1108"/>
      <c r="DG398" s="1108"/>
      <c r="DH398" s="1108"/>
      <c r="DI398" s="1108"/>
      <c r="DJ398" s="1108"/>
    </row>
    <row r="399" spans="4:114" ht="14.45" hidden="1" outlineLevel="1">
      <c r="D399" s="1432"/>
      <c r="E399" s="1440"/>
      <c r="F399" s="1107" t="s">
        <v>1069</v>
      </c>
      <c r="O399" s="1109">
        <v>233.33333333333334</v>
      </c>
      <c r="Q399" s="1109">
        <v>204.58102607079539</v>
      </c>
      <c r="S399" s="1109">
        <v>48.381975651951201</v>
      </c>
      <c r="T399" s="1109">
        <v>89.935338917913711</v>
      </c>
      <c r="U399" s="1109">
        <v>127</v>
      </c>
      <c r="V399" s="1109">
        <v>23.628219484882418</v>
      </c>
      <c r="W399" s="1109">
        <v>44.331983805668017</v>
      </c>
      <c r="X399" s="1109">
        <v>117.11491442542787</v>
      </c>
      <c r="Y399" s="1109">
        <v>-25.991189427312776</v>
      </c>
      <c r="Z399" s="1109">
        <v>22.463768115942027</v>
      </c>
      <c r="AA399" s="1109">
        <v>55.820476858345025</v>
      </c>
      <c r="AB399" s="1109">
        <v>8.6711711711711708</v>
      </c>
      <c r="AC399" s="1109">
        <v>102.67857142857142</v>
      </c>
      <c r="AD399" s="1109">
        <v>25.517751479289942</v>
      </c>
      <c r="AE399" s="1109">
        <v>-13.771377137713772</v>
      </c>
      <c r="AF399" s="1109">
        <v>8.2901554404145088</v>
      </c>
      <c r="AG399" s="1109">
        <v>-15.27165932452276</v>
      </c>
      <c r="AH399" s="1109">
        <v>-12.905126694166174</v>
      </c>
      <c r="AI399" s="1109">
        <v>27.244258872651354</v>
      </c>
      <c r="AJ399" s="1109">
        <v>22.775119617224881</v>
      </c>
      <c r="AK399" s="1109">
        <v>9.2720970537261689</v>
      </c>
      <c r="AL399" s="1109">
        <v>31.799729364005415</v>
      </c>
      <c r="AM399" s="1109">
        <v>16.735028712059062</v>
      </c>
      <c r="AN399" s="1109">
        <v>14.02961808261886</v>
      </c>
      <c r="AO399" s="1109">
        <v>-4.6788263283108646</v>
      </c>
      <c r="AP399" s="1109">
        <v>5.1334702258726894</v>
      </c>
      <c r="AQ399" s="1109">
        <v>-0.77301475755446236</v>
      </c>
      <c r="AR399" s="1109">
        <v>22.693096377306905</v>
      </c>
      <c r="AS399" s="1109">
        <v>34.775374376039935</v>
      </c>
      <c r="AT399" s="1109">
        <v>3.515625</v>
      </c>
      <c r="AU399" s="1109">
        <v>13.243626062322948</v>
      </c>
      <c r="AV399" s="1109">
        <v>-19.108635097493039</v>
      </c>
      <c r="AW399" s="1109">
        <v>-15.987654320987655</v>
      </c>
      <c r="AX399" s="1109">
        <v>11.179245283018869</v>
      </c>
      <c r="AY399" s="1109">
        <v>14.759224515322074</v>
      </c>
      <c r="AZ399" s="1109">
        <v>-4.6143250688705235</v>
      </c>
      <c r="BA399" s="1109">
        <v>6.3923585598824397</v>
      </c>
      <c r="BB399" s="1109">
        <v>-39.329656342808654</v>
      </c>
      <c r="BC399" s="1109">
        <v>-30.13623978201635</v>
      </c>
      <c r="BD399" s="1109">
        <v>-13.31222051136684</v>
      </c>
      <c r="BE399" s="1109">
        <v>-16.240264521033776</v>
      </c>
      <c r="BF399" s="1109">
        <v>2.8171911036780184</v>
      </c>
      <c r="BG399" s="1109">
        <v>1.1871068806831722</v>
      </c>
      <c r="BH399" s="1109">
        <v>7.5538373323585217</v>
      </c>
      <c r="BI399" s="1109">
        <v>5.9673049840852483</v>
      </c>
      <c r="BJ399" s="1109">
        <v>3.5665059775043404</v>
      </c>
      <c r="BK399" s="1109">
        <v>5.4089488923811411</v>
      </c>
      <c r="BL399" s="1109">
        <v>2.4117854999268453</v>
      </c>
      <c r="BM399" s="1109">
        <v>10.338774867983988</v>
      </c>
      <c r="BN399" s="1109">
        <v>5.8836288411041213</v>
      </c>
      <c r="BO399" s="1109">
        <v>10.747536529529922</v>
      </c>
      <c r="BP399" s="1109">
        <v>7.1540870883196206</v>
      </c>
      <c r="BQ399" s="1109">
        <v>9.9072989511848295</v>
      </c>
      <c r="BR399" s="1109">
        <v>1.5895884658977117</v>
      </c>
      <c r="BS399" s="1109">
        <v>16.983639530291804</v>
      </c>
      <c r="BT399" s="1109">
        <v>3.6096680770984011</v>
      </c>
      <c r="CM399" s="1109"/>
      <c r="CO399" s="1109"/>
      <c r="CQ399" s="1109"/>
      <c r="CS399" s="1109"/>
      <c r="CU399" s="1109"/>
      <c r="CV399" s="1109"/>
      <c r="CW399" s="1109"/>
      <c r="CX399" s="1109"/>
      <c r="CY399" s="1109"/>
      <c r="CZ399" s="1109"/>
      <c r="DA399" s="1109"/>
      <c r="DB399" s="1109"/>
      <c r="DC399" s="1109"/>
      <c r="DD399" s="1109"/>
      <c r="DE399" s="1109"/>
      <c r="DF399" s="1109"/>
      <c r="DG399" s="1109"/>
      <c r="DH399" s="1109"/>
      <c r="DI399" s="1109"/>
      <c r="DJ399" s="1109"/>
    </row>
    <row r="400" spans="4:114" ht="14.45" hidden="1" outlineLevel="1" collapsed="1">
      <c r="D400" s="1432"/>
      <c r="E400" s="1440"/>
      <c r="F400" s="1107"/>
    </row>
    <row r="401" spans="4:113" ht="14.45" collapsed="1">
      <c r="D401" s="1434" t="s">
        <v>1171</v>
      </c>
      <c r="E401" s="1433" t="s">
        <v>1067</v>
      </c>
      <c r="F401" s="1106" t="s">
        <v>1068</v>
      </c>
      <c r="O401" s="1108">
        <v>150</v>
      </c>
      <c r="Q401" s="1108">
        <v>800</v>
      </c>
      <c r="S401" s="1108">
        <v>392</v>
      </c>
      <c r="T401" s="1108">
        <v>1982.7222222222217</v>
      </c>
      <c r="U401" s="1108">
        <v>2609</v>
      </c>
      <c r="V401" s="1108">
        <v>2284</v>
      </c>
      <c r="W401" s="1108">
        <v>1397</v>
      </c>
      <c r="X401" s="1108">
        <v>1234</v>
      </c>
      <c r="Y401" s="1108">
        <v>1082.7220562717775</v>
      </c>
      <c r="Z401" s="1108">
        <v>1070.3543738977071</v>
      </c>
      <c r="AA401" s="1108">
        <v>742.6138196248196</v>
      </c>
      <c r="AB401" s="1108">
        <v>366.78358148893358</v>
      </c>
      <c r="AC401" s="1108">
        <v>305.15655002488802</v>
      </c>
      <c r="AD401" s="1108">
        <v>203.20254532627871</v>
      </c>
      <c r="AE401" s="1108">
        <v>5</v>
      </c>
      <c r="AF401" s="1108">
        <v>11.761267605633799</v>
      </c>
      <c r="CK401" s="1108"/>
      <c r="CM401" s="1108"/>
      <c r="CO401" s="1108"/>
      <c r="CQ401" s="1108"/>
      <c r="CS401" s="1108"/>
      <c r="CU401" s="1108"/>
    </row>
    <row r="402" spans="4:113" ht="14.45" hidden="1" outlineLevel="1">
      <c r="D402" s="1432"/>
      <c r="E402" s="1440"/>
      <c r="F402" s="1106" t="s">
        <v>1069</v>
      </c>
      <c r="U402" s="1109">
        <v>1639.3333333333335</v>
      </c>
      <c r="V402" s="1109">
        <v>185.5</v>
      </c>
      <c r="W402" s="1109">
        <v>256.37755102040819</v>
      </c>
      <c r="X402" s="1109">
        <v>-37.762335733699445</v>
      </c>
      <c r="Y402" s="1109">
        <v>-58.500496118368048</v>
      </c>
      <c r="Z402" s="1109">
        <v>-53.136848778559234</v>
      </c>
      <c r="AA402" s="1109">
        <v>-46.84224626880318</v>
      </c>
      <c r="AB402" s="1109">
        <v>-70.276857253733098</v>
      </c>
      <c r="AC402" s="1109">
        <v>-71.815799977728574</v>
      </c>
      <c r="AD402" s="1109">
        <v>-81.015395435222587</v>
      </c>
      <c r="AE402" s="1109">
        <v>-99.326702537999338</v>
      </c>
      <c r="AF402" s="1109">
        <v>-96.79340401282694</v>
      </c>
      <c r="CM402" s="1109"/>
      <c r="CO402" s="1109"/>
      <c r="CQ402" s="1109"/>
      <c r="CS402" s="1109"/>
      <c r="CU402" s="1109"/>
    </row>
    <row r="403" spans="4:113" ht="14.45" hidden="1" outlineLevel="1" collapsed="1">
      <c r="D403" s="1432"/>
      <c r="E403" s="1440"/>
      <c r="F403" s="1106"/>
    </row>
    <row r="404" spans="4:113" ht="14.45" collapsed="1">
      <c r="D404" s="1437" t="s">
        <v>1172</v>
      </c>
      <c r="E404" s="1433" t="s">
        <v>1122</v>
      </c>
      <c r="F404" s="1107" t="s">
        <v>1068</v>
      </c>
      <c r="O404" s="1108">
        <v>1.2</v>
      </c>
      <c r="Q404" s="1108">
        <v>7.4</v>
      </c>
      <c r="S404" s="1108">
        <v>2</v>
      </c>
      <c r="T404" s="1108">
        <v>1.1000000000000001</v>
      </c>
      <c r="U404" s="1108">
        <v>2.4</v>
      </c>
      <c r="V404" s="1108">
        <v>6.6</v>
      </c>
      <c r="W404" s="1108">
        <v>1.6</v>
      </c>
      <c r="X404" s="1108">
        <v>1.4</v>
      </c>
      <c r="Y404" s="1108">
        <v>1.872156661652765</v>
      </c>
      <c r="Z404" s="1108">
        <v>4.9187609286243497</v>
      </c>
      <c r="AA404" s="1108">
        <v>1.268907953152085</v>
      </c>
      <c r="AB404" s="1108">
        <v>0.89031728045325798</v>
      </c>
      <c r="AC404" s="1108">
        <v>1.72513045198934</v>
      </c>
      <c r="AD404" s="1108">
        <v>4.9174185311403287</v>
      </c>
      <c r="AE404" s="1108">
        <v>0.964043269943196</v>
      </c>
      <c r="AF404" s="1108">
        <v>0.66034492841961701</v>
      </c>
      <c r="AG404" s="1108">
        <v>1.247518770914775</v>
      </c>
      <c r="AH404" s="1108">
        <v>4.4856827096210248</v>
      </c>
      <c r="AI404" s="1108">
        <v>1.096733130846155</v>
      </c>
      <c r="AJ404" s="1108">
        <v>0.79390112813020297</v>
      </c>
      <c r="AK404" s="1108">
        <v>1.49940575421127</v>
      </c>
      <c r="AL404" s="1108">
        <v>3.7361525088448548</v>
      </c>
      <c r="AM404" s="1108">
        <v>0.74057502869977954</v>
      </c>
      <c r="AN404" s="1108">
        <v>0.51791764894643999</v>
      </c>
      <c r="AO404" s="1108">
        <v>1.11323740519176</v>
      </c>
      <c r="AP404" s="1108">
        <v>3.2330560099660648</v>
      </c>
      <c r="AQ404" s="1108">
        <v>0.55200795020157645</v>
      </c>
      <c r="AR404" s="1108">
        <v>0.63565666511371</v>
      </c>
      <c r="AS404" s="1108">
        <v>0.96069919187030495</v>
      </c>
      <c r="AT404" s="1108">
        <v>4.1920593836122348</v>
      </c>
      <c r="AU404" s="1108">
        <v>1.1046481889954245</v>
      </c>
      <c r="AV404" s="1108">
        <v>1.4266637966108695</v>
      </c>
      <c r="AW404" s="1108">
        <v>1.3970192251634299</v>
      </c>
      <c r="AX404" s="1108">
        <v>3.8191866966347252</v>
      </c>
      <c r="AY404" s="1108">
        <v>1.1797432590448016</v>
      </c>
      <c r="AZ404" s="1108">
        <v>0.6992697780960625</v>
      </c>
      <c r="BA404" s="1108">
        <v>0.94109861947287998</v>
      </c>
      <c r="BB404" s="1108">
        <v>3.1948803866410951</v>
      </c>
      <c r="BC404" s="1108">
        <v>0.60997339146918905</v>
      </c>
      <c r="BD404" s="1108">
        <v>0.38862979027814348</v>
      </c>
      <c r="BE404" s="1108">
        <v>0.86968674408873003</v>
      </c>
      <c r="BF404" s="1108">
        <v>2.7541106246949698</v>
      </c>
      <c r="BG404" s="1108">
        <v>0.41384257614725051</v>
      </c>
      <c r="BH404" s="1108">
        <v>0.29834659727443502</v>
      </c>
      <c r="BI404" s="1108">
        <v>0.82447986004495999</v>
      </c>
      <c r="BJ404" s="1108">
        <v>2.7254723650664952</v>
      </c>
      <c r="BK404" s="1108">
        <v>0.37760095318089798</v>
      </c>
      <c r="BL404" s="1108">
        <v>0.5812965373193395</v>
      </c>
      <c r="CM404" s="1108"/>
      <c r="CO404" s="1108"/>
      <c r="CQ404" s="1108"/>
      <c r="CS404" s="1108"/>
      <c r="CU404" s="1108"/>
      <c r="CW404" s="1108"/>
      <c r="CY404" s="1108"/>
      <c r="DA404" s="1108"/>
      <c r="DC404" s="1108"/>
      <c r="DE404" s="1108"/>
      <c r="DF404" s="1108"/>
      <c r="DG404" s="1108"/>
    </row>
    <row r="405" spans="4:113" ht="14.45" hidden="1" outlineLevel="1">
      <c r="D405" s="1432"/>
      <c r="E405" s="1440"/>
      <c r="F405" s="1107" t="s">
        <v>1069</v>
      </c>
      <c r="U405" s="1109">
        <v>100</v>
      </c>
      <c r="V405" s="1109">
        <v>-10.810810810810819</v>
      </c>
      <c r="W405" s="1109">
        <v>-19.999999999999996</v>
      </c>
      <c r="X405" s="1109">
        <v>27.272727272727256</v>
      </c>
      <c r="Y405" s="1109">
        <v>-21.993472431134791</v>
      </c>
      <c r="Z405" s="1109">
        <v>-25.473319263267424</v>
      </c>
      <c r="AA405" s="1109">
        <v>-20.693252927994692</v>
      </c>
      <c r="AB405" s="1109">
        <v>-36.405908539053002</v>
      </c>
      <c r="AC405" s="1109">
        <v>-7.8533069734467764</v>
      </c>
      <c r="AD405" s="1109">
        <v>-2.7291374870630658E-2</v>
      </c>
      <c r="AE405" s="1109">
        <v>-24.025752415813685</v>
      </c>
      <c r="AF405" s="1109">
        <v>-25.830381717016959</v>
      </c>
      <c r="AG405" s="1109">
        <v>-27.68553998474756</v>
      </c>
      <c r="AH405" s="1109">
        <v>-8.779724946844949</v>
      </c>
      <c r="AI405" s="1109">
        <v>13.763890588726108</v>
      </c>
      <c r="AJ405" s="1109">
        <v>20.22521775554813</v>
      </c>
      <c r="AK405" s="1109">
        <v>20.19103753539455</v>
      </c>
      <c r="AL405" s="1109">
        <v>-16.709389613504214</v>
      </c>
      <c r="AM405" s="1109">
        <v>-32.474454553186625</v>
      </c>
      <c r="AN405" s="1109">
        <v>-34.762953396194263</v>
      </c>
      <c r="AO405" s="1109">
        <v>-25.754759706297481</v>
      </c>
      <c r="AP405" s="1109">
        <v>-13.465630690604158</v>
      </c>
      <c r="AQ405" s="1109">
        <v>-25.462251789567965</v>
      </c>
      <c r="AR405" s="1109">
        <v>22.73315389170024</v>
      </c>
      <c r="AS405" s="1109">
        <v>-13.702217748888849</v>
      </c>
      <c r="AT405" s="1109">
        <v>29.662442305051069</v>
      </c>
      <c r="AU405" s="1109">
        <v>100.11454338511624</v>
      </c>
      <c r="AV405" s="1109">
        <v>124.43936717876774</v>
      </c>
      <c r="AW405" s="1109">
        <v>45.416925192129078</v>
      </c>
      <c r="AX405" s="1109">
        <v>-8.8947377137632735</v>
      </c>
      <c r="AY405" s="1109">
        <v>6.7980983264607646</v>
      </c>
      <c r="AZ405" s="1109">
        <v>-50.98566461438061</v>
      </c>
      <c r="BA405" s="1109">
        <v>-32.635242055256199</v>
      </c>
      <c r="BB405" s="1109">
        <v>-16.346577415127083</v>
      </c>
      <c r="BC405" s="1109">
        <v>-48.296090120229721</v>
      </c>
      <c r="BD405" s="1109">
        <v>-44.423482545422502</v>
      </c>
      <c r="BE405" s="1109">
        <v>-7.5881394262535995</v>
      </c>
      <c r="BF405" s="1109">
        <v>-13.796127197410483</v>
      </c>
      <c r="BG405" s="1109">
        <v>-32.153995250437987</v>
      </c>
      <c r="BH405" s="1109">
        <v>-23.231156041612895</v>
      </c>
      <c r="BI405" s="1109">
        <v>-5.1980652057814742</v>
      </c>
      <c r="BJ405" s="1109">
        <v>-1.0398369394347213</v>
      </c>
      <c r="BK405" s="1109">
        <v>-8.757345197236857</v>
      </c>
      <c r="BL405" s="1109">
        <v>94.839338752247315</v>
      </c>
      <c r="CO405" s="1109"/>
      <c r="CQ405" s="1109"/>
      <c r="CS405" s="1109"/>
      <c r="CU405" s="1109"/>
      <c r="CW405" s="1109"/>
      <c r="CY405" s="1109"/>
      <c r="DA405" s="1109"/>
      <c r="DC405" s="1109"/>
      <c r="DE405" s="1109"/>
      <c r="DF405" s="1109"/>
      <c r="DG405" s="1109"/>
    </row>
    <row r="406" spans="4:113" ht="14.45" hidden="1" outlineLevel="1" collapsed="1">
      <c r="D406" s="1432"/>
      <c r="E406" s="1440"/>
      <c r="F406" s="1107"/>
    </row>
    <row r="407" spans="4:113" ht="14.45" collapsed="1">
      <c r="D407" s="1437" t="s">
        <v>1173</v>
      </c>
      <c r="E407" s="1433" t="s">
        <v>1153</v>
      </c>
      <c r="F407" s="1106" t="s">
        <v>1068</v>
      </c>
      <c r="O407" s="1108">
        <v>225</v>
      </c>
      <c r="Q407" s="1108">
        <v>400</v>
      </c>
      <c r="S407" s="1108">
        <v>400</v>
      </c>
      <c r="T407" s="1108">
        <v>400</v>
      </c>
      <c r="U407" s="1108">
        <v>300</v>
      </c>
      <c r="V407" s="1108">
        <v>290</v>
      </c>
      <c r="W407" s="1108">
        <v>250</v>
      </c>
      <c r="X407" s="1108">
        <v>240</v>
      </c>
      <c r="Y407" s="1108">
        <v>225</v>
      </c>
      <c r="Z407" s="1108">
        <v>250</v>
      </c>
      <c r="AA407" s="1108">
        <v>225</v>
      </c>
      <c r="AB407" s="1108">
        <v>200</v>
      </c>
      <c r="AG407" s="1108">
        <v>350</v>
      </c>
      <c r="AH407" s="1108">
        <v>350</v>
      </c>
      <c r="AI407" s="1108">
        <v>350</v>
      </c>
      <c r="AJ407" s="1108">
        <v>350</v>
      </c>
      <c r="AK407" s="1108">
        <v>350</v>
      </c>
      <c r="AL407" s="1108">
        <v>350</v>
      </c>
      <c r="AM407" s="1108">
        <v>350</v>
      </c>
      <c r="AN407" s="1108">
        <v>350</v>
      </c>
      <c r="AO407" s="1108">
        <v>350</v>
      </c>
      <c r="AP407" s="1108">
        <v>350</v>
      </c>
      <c r="AQ407" s="1108">
        <v>350</v>
      </c>
      <c r="AR407" s="1108">
        <v>350</v>
      </c>
      <c r="AS407" s="1108">
        <v>350</v>
      </c>
      <c r="AT407" s="1108">
        <v>350</v>
      </c>
      <c r="AU407" s="1108">
        <v>350</v>
      </c>
      <c r="AV407" s="1108">
        <v>350</v>
      </c>
      <c r="AW407" s="1108">
        <v>350</v>
      </c>
      <c r="AX407" s="1108">
        <v>350</v>
      </c>
      <c r="AY407" s="1108">
        <v>350</v>
      </c>
      <c r="AZ407" s="1108">
        <v>350</v>
      </c>
      <c r="BA407" s="1108">
        <v>350</v>
      </c>
      <c r="BB407" s="1108">
        <v>350</v>
      </c>
      <c r="BC407" s="1108">
        <v>350</v>
      </c>
      <c r="BD407" s="1108">
        <v>350</v>
      </c>
      <c r="BE407" s="1108">
        <v>350</v>
      </c>
      <c r="BF407" s="1108">
        <v>350</v>
      </c>
      <c r="BG407" s="1108">
        <v>350</v>
      </c>
      <c r="BH407" s="1108">
        <v>350</v>
      </c>
      <c r="BI407" s="1108">
        <v>350</v>
      </c>
      <c r="BJ407" s="1108">
        <v>350</v>
      </c>
      <c r="BK407" s="1108">
        <v>350</v>
      </c>
      <c r="BL407" s="1108">
        <v>350</v>
      </c>
      <c r="CM407" s="1108"/>
      <c r="CO407" s="1108"/>
      <c r="CQ407" s="1108"/>
      <c r="CU407" s="1108"/>
      <c r="CW407" s="1108"/>
      <c r="CY407" s="1108"/>
      <c r="DA407" s="1108"/>
      <c r="DC407" s="1108"/>
      <c r="DE407" s="1108"/>
      <c r="DF407" s="1108"/>
      <c r="DG407" s="1108"/>
    </row>
    <row r="408" spans="4:113" ht="14.45" hidden="1" outlineLevel="1">
      <c r="D408" s="1432"/>
      <c r="E408" s="1440"/>
      <c r="F408" s="1106" t="s">
        <v>1069</v>
      </c>
      <c r="U408" s="1109">
        <v>33.333333333333329</v>
      </c>
      <c r="V408" s="1109">
        <v>-27.500000000000004</v>
      </c>
      <c r="W408" s="1109">
        <v>-37.5</v>
      </c>
      <c r="X408" s="1109">
        <v>-40</v>
      </c>
      <c r="Y408" s="1109">
        <v>-25</v>
      </c>
      <c r="Z408" s="1109">
        <v>-13.793103448275861</v>
      </c>
      <c r="AA408" s="1109">
        <v>-10</v>
      </c>
      <c r="AB408" s="1109">
        <v>-16.666666666666664</v>
      </c>
      <c r="AK408" s="1109">
        <v>0</v>
      </c>
      <c r="AL408" s="1109">
        <v>0</v>
      </c>
      <c r="AM408" s="1109">
        <v>0</v>
      </c>
      <c r="AN408" s="1109">
        <v>0</v>
      </c>
      <c r="AO408" s="1109">
        <v>0</v>
      </c>
      <c r="AP408" s="1109">
        <v>0</v>
      </c>
      <c r="AQ408" s="1109">
        <v>0</v>
      </c>
      <c r="AR408" s="1109">
        <v>0</v>
      </c>
      <c r="AS408" s="1109">
        <v>0</v>
      </c>
      <c r="AT408" s="1109">
        <v>0</v>
      </c>
      <c r="AU408" s="1109">
        <v>0</v>
      </c>
      <c r="AV408" s="1109">
        <v>0</v>
      </c>
      <c r="AW408" s="1109">
        <v>0</v>
      </c>
      <c r="AX408" s="1109">
        <v>0</v>
      </c>
      <c r="AY408" s="1109">
        <v>0</v>
      </c>
      <c r="AZ408" s="1109">
        <v>0</v>
      </c>
      <c r="BA408" s="1109">
        <v>0</v>
      </c>
      <c r="BB408" s="1109">
        <v>0</v>
      </c>
      <c r="BC408" s="1109">
        <v>0</v>
      </c>
      <c r="BD408" s="1109">
        <v>0</v>
      </c>
      <c r="BE408" s="1109">
        <v>0</v>
      </c>
      <c r="BF408" s="1109">
        <v>0</v>
      </c>
      <c r="BG408" s="1109">
        <v>0</v>
      </c>
      <c r="BH408" s="1109">
        <v>0</v>
      </c>
      <c r="BI408" s="1109">
        <v>0</v>
      </c>
      <c r="BJ408" s="1109">
        <v>0</v>
      </c>
      <c r="BK408" s="1109">
        <v>0</v>
      </c>
      <c r="BL408" s="1109">
        <v>0</v>
      </c>
      <c r="CO408" s="1109"/>
      <c r="CQ408" s="1109"/>
      <c r="CW408" s="1109"/>
      <c r="CY408" s="1109"/>
      <c r="DA408" s="1109"/>
      <c r="DC408" s="1109"/>
      <c r="DE408" s="1109"/>
      <c r="DF408" s="1109"/>
      <c r="DG408" s="1109"/>
    </row>
    <row r="409" spans="4:113" ht="14.45" hidden="1" outlineLevel="1" collapsed="1">
      <c r="D409" s="1432"/>
      <c r="E409" s="1440"/>
      <c r="F409" s="1106"/>
    </row>
    <row r="410" spans="4:113" ht="14.45" collapsed="1">
      <c r="D410" s="1436" t="s">
        <v>1174</v>
      </c>
      <c r="E410" s="1433" t="s">
        <v>1067</v>
      </c>
      <c r="F410" s="1107" t="s">
        <v>1068</v>
      </c>
      <c r="G410" s="1108">
        <v>518.14098524542203</v>
      </c>
      <c r="I410" s="1108">
        <v>1628.9505925878966</v>
      </c>
      <c r="K410" s="1108">
        <v>380.97059230588599</v>
      </c>
      <c r="M410" s="1108">
        <v>292.82644216666665</v>
      </c>
      <c r="O410" s="1108">
        <v>350.68258996378285</v>
      </c>
      <c r="Q410" s="1108">
        <v>2750.4861512057619</v>
      </c>
      <c r="S410" s="1108">
        <v>794.99073394961977</v>
      </c>
      <c r="T410" s="1108">
        <v>420.25911252597285</v>
      </c>
      <c r="U410" s="1108">
        <v>844.62860561971331</v>
      </c>
      <c r="V410" s="1108">
        <v>2202.9466601649615</v>
      </c>
      <c r="W410" s="1108">
        <v>542.19856911600971</v>
      </c>
      <c r="X410" s="1108">
        <v>446.47449382478931</v>
      </c>
      <c r="Y410" s="1108">
        <v>679.660880764833</v>
      </c>
      <c r="Z410" s="1108">
        <v>1887.3210860644015</v>
      </c>
      <c r="AA410" s="1108">
        <v>400.75629905656143</v>
      </c>
      <c r="AB410" s="1108">
        <v>283.87801321082299</v>
      </c>
      <c r="AC410" s="1108">
        <v>546.5139136962905</v>
      </c>
      <c r="AD410" s="1108">
        <v>1593.6069157536363</v>
      </c>
      <c r="AE410" s="1108">
        <v>355.67051326788612</v>
      </c>
      <c r="AF410" s="1108">
        <v>220.94501094985975</v>
      </c>
      <c r="AG410" s="1108">
        <v>286.44137130464679</v>
      </c>
      <c r="AH410" s="1108">
        <v>1787.6084385950001</v>
      </c>
      <c r="AI410" s="1108">
        <v>344.80925678590268</v>
      </c>
      <c r="AJ410" s="1108">
        <v>349.87935804861587</v>
      </c>
      <c r="AK410" s="1108">
        <v>548.16243070573375</v>
      </c>
      <c r="AL410" s="1108">
        <v>1443.0937778039636</v>
      </c>
      <c r="AM410" s="1108">
        <v>235.70504915554517</v>
      </c>
      <c r="AN410" s="1108">
        <v>184.68775558602135</v>
      </c>
      <c r="AO410" s="1108">
        <v>356.32690496406684</v>
      </c>
      <c r="AP410" s="1108">
        <v>858.80367904059085</v>
      </c>
      <c r="AQ410" s="1108">
        <v>183.81598599979591</v>
      </c>
      <c r="AR410" s="1108">
        <v>262.65238828843064</v>
      </c>
      <c r="AS410" s="1108">
        <v>255.47972465765574</v>
      </c>
      <c r="AT410" s="1108">
        <v>1567.4579913833218</v>
      </c>
      <c r="AU410" s="1108">
        <v>622.88567127720478</v>
      </c>
      <c r="AV410" s="1108">
        <v>728.82899089233592</v>
      </c>
      <c r="AW410" s="1108">
        <v>686.34418465864212</v>
      </c>
      <c r="AX410" s="1108">
        <v>1567.0371845207992</v>
      </c>
      <c r="AY410" s="1108">
        <v>685.40189892307706</v>
      </c>
      <c r="AZ410" s="1108">
        <v>641.59179892770089</v>
      </c>
      <c r="BA410" s="1108">
        <v>744.72591178990581</v>
      </c>
      <c r="BB410" s="1108">
        <v>1278.7149259615996</v>
      </c>
      <c r="BC410" s="1108">
        <v>429.70870144294031</v>
      </c>
      <c r="BD410" s="1108">
        <v>434.30839054597016</v>
      </c>
      <c r="BE410" s="1108">
        <v>475.91339770042759</v>
      </c>
      <c r="BF410" s="1108">
        <v>1026.0884923978228</v>
      </c>
      <c r="BG410" s="1108">
        <v>385.13314734781954</v>
      </c>
      <c r="BH410" s="1108">
        <v>358.19466407256772</v>
      </c>
      <c r="BI410" s="1108">
        <v>417.58003809901703</v>
      </c>
      <c r="BJ410" s="1108">
        <v>1050.7205968921321</v>
      </c>
      <c r="BK410" s="1108">
        <v>383.0910710209094</v>
      </c>
      <c r="BL410" s="1108">
        <v>412.59093559493641</v>
      </c>
      <c r="BM410" s="1108">
        <v>419.91808124040875</v>
      </c>
      <c r="BN410" s="1108">
        <v>874.98681363586297</v>
      </c>
      <c r="BO410" s="1108">
        <v>353.63124304779274</v>
      </c>
      <c r="BP410" s="1108">
        <v>307.6016221641575</v>
      </c>
      <c r="BQ410" s="1108">
        <v>361.69689536336631</v>
      </c>
      <c r="BR410" s="1108">
        <v>668.59002839158768</v>
      </c>
      <c r="BS410" s="1108">
        <v>336.78738052686964</v>
      </c>
      <c r="BT410" s="1108">
        <v>328.65748109629499</v>
      </c>
      <c r="CK410" s="1108"/>
      <c r="CM410" s="1108"/>
      <c r="CO410" s="1108"/>
      <c r="CQ410" s="1108"/>
      <c r="CS410" s="1108"/>
      <c r="CU410" s="1108"/>
      <c r="CW410" s="1108"/>
      <c r="CY410" s="1108"/>
      <c r="DA410" s="1108"/>
      <c r="DC410" s="1108"/>
      <c r="DE410" s="1108"/>
      <c r="DF410" s="1108"/>
      <c r="DG410" s="1108"/>
      <c r="DH410" s="1108"/>
      <c r="DI410" s="1108"/>
    </row>
    <row r="411" spans="4:113" ht="14.45" hidden="1" outlineLevel="1">
      <c r="D411" s="1432"/>
      <c r="E411" s="1440"/>
      <c r="F411" s="1107" t="s">
        <v>1069</v>
      </c>
      <c r="O411" s="1109">
        <v>-32.319079179254864</v>
      </c>
      <c r="Q411" s="1109">
        <v>68.850188809968358</v>
      </c>
      <c r="S411" s="1109">
        <v>108.67509199012189</v>
      </c>
      <c r="T411" s="1109">
        <v>43.518156835978608</v>
      </c>
      <c r="U411" s="1109">
        <v>140.85273400853555</v>
      </c>
      <c r="V411" s="1109">
        <v>-19.907007741186746</v>
      </c>
      <c r="W411" s="1109">
        <v>-31.798127203031029</v>
      </c>
      <c r="X411" s="1109">
        <v>6.2379090702515789</v>
      </c>
      <c r="Y411" s="1109">
        <v>-19.531392112139237</v>
      </c>
      <c r="Z411" s="1109">
        <v>-14.327426978051538</v>
      </c>
      <c r="AA411" s="1109">
        <v>-26.08680253252108</v>
      </c>
      <c r="AB411" s="1109">
        <v>-36.417865491275812</v>
      </c>
      <c r="AC411" s="1109">
        <v>-19.590206062574932</v>
      </c>
      <c r="AD411" s="1109">
        <v>-15.562490796054334</v>
      </c>
      <c r="AE411" s="1109">
        <v>-11.25017520493472</v>
      </c>
      <c r="AF411" s="1109">
        <v>-22.169030122887971</v>
      </c>
      <c r="AG411" s="1109">
        <v>-47.58754276403868</v>
      </c>
      <c r="AH411" s="1109">
        <v>12.173737508513389</v>
      </c>
      <c r="AI411" s="1109">
        <v>-3.0537410543794214</v>
      </c>
      <c r="AJ411" s="1109">
        <v>58.355853587486472</v>
      </c>
      <c r="AK411" s="1109">
        <v>91.3698528285328</v>
      </c>
      <c r="AL411" s="1109">
        <v>-19.272378299009006</v>
      </c>
      <c r="AM411" s="1109">
        <v>-31.641902148265693</v>
      </c>
      <c r="AN411" s="1109">
        <v>-47.213874915033166</v>
      </c>
      <c r="AO411" s="1109">
        <v>-34.996109728769184</v>
      </c>
      <c r="AP411" s="1109">
        <v>-40.488713051796232</v>
      </c>
      <c r="AQ411" s="1109">
        <v>-22.014404588128663</v>
      </c>
      <c r="AR411" s="1109">
        <v>42.214294312595072</v>
      </c>
      <c r="AS411" s="1109">
        <v>-28.301870810620056</v>
      </c>
      <c r="AT411" s="1109">
        <v>82.516450457501691</v>
      </c>
      <c r="AU411" s="1109">
        <v>238.86371084063188</v>
      </c>
      <c r="AV411" s="1109">
        <v>177.48805013414741</v>
      </c>
      <c r="AW411" s="1109">
        <v>168.64917972584601</v>
      </c>
      <c r="AX411" s="1109">
        <v>-2.6846452334661614E-2</v>
      </c>
      <c r="AY411" s="1109">
        <v>10.036549326569833</v>
      </c>
      <c r="AZ411" s="1109">
        <v>-11.96950080948713</v>
      </c>
      <c r="BA411" s="1109">
        <v>8.5061880666039631</v>
      </c>
      <c r="BB411" s="1109">
        <v>-18.399196994637283</v>
      </c>
      <c r="BC411" s="1109">
        <v>-37.305586383972553</v>
      </c>
      <c r="BD411" s="1109">
        <v>-32.307677362485876</v>
      </c>
      <c r="BE411" s="1109">
        <v>-36.095496320707149</v>
      </c>
      <c r="BF411" s="1109">
        <v>-19.756274712583068</v>
      </c>
      <c r="BG411" s="1109">
        <v>-10.37343529359268</v>
      </c>
      <c r="BH411" s="1109">
        <v>-17.525271933549266</v>
      </c>
      <c r="BI411" s="1109">
        <v>-12.257137513520803</v>
      </c>
      <c r="BJ411" s="1109">
        <v>2.4005828616932967</v>
      </c>
      <c r="BK411" s="1109">
        <v>-0.53022606362830627</v>
      </c>
      <c r="BL411" s="1109">
        <v>15.18623167187895</v>
      </c>
      <c r="BM411" s="1109">
        <v>0.55990299537194899</v>
      </c>
      <c r="BN411" s="1109">
        <v>-16.725072657380306</v>
      </c>
      <c r="BO411" s="1109">
        <v>-7.6900325279334742</v>
      </c>
      <c r="BP411" s="1109">
        <v>-25.446345126169419</v>
      </c>
      <c r="BQ411" s="1109">
        <v>-13.864891386686926</v>
      </c>
      <c r="BR411" s="1109">
        <v>-23.588559510585945</v>
      </c>
      <c r="BS411" s="1109">
        <v>-4.7631149260888899</v>
      </c>
      <c r="BT411" s="1109">
        <v>6.8451716164554615</v>
      </c>
      <c r="CM411" s="1109"/>
      <c r="CO411" s="1109"/>
      <c r="CQ411" s="1109"/>
      <c r="CS411" s="1109"/>
      <c r="CU411" s="1109"/>
      <c r="CW411" s="1109"/>
      <c r="CY411" s="1109"/>
      <c r="DA411" s="1109"/>
      <c r="DC411" s="1109"/>
      <c r="DE411" s="1109"/>
      <c r="DF411" s="1109"/>
      <c r="DG411" s="1109"/>
      <c r="DH411" s="1109"/>
      <c r="DI411" s="1109"/>
    </row>
    <row r="412" spans="4:113" ht="14.45" hidden="1" outlineLevel="1" collapsed="1">
      <c r="D412" s="1432"/>
      <c r="E412" s="1440"/>
      <c r="F412" s="1107"/>
    </row>
    <row r="413" spans="4:113" ht="14.45" collapsed="1">
      <c r="D413" s="1436" t="s">
        <v>1175</v>
      </c>
      <c r="E413" s="1433" t="s">
        <v>1131</v>
      </c>
      <c r="F413" s="1106" t="s">
        <v>1068</v>
      </c>
    </row>
    <row r="414" spans="4:113" ht="14.45" hidden="1" outlineLevel="1">
      <c r="D414" s="1432"/>
      <c r="E414" s="1440"/>
      <c r="F414" s="1106" t="s">
        <v>1069</v>
      </c>
    </row>
    <row r="415" spans="4:113" ht="14.45" hidden="1" outlineLevel="1" collapsed="1">
      <c r="D415" s="1432"/>
      <c r="E415" s="1440"/>
      <c r="F415" s="1106"/>
    </row>
    <row r="416" spans="4:113" ht="14.45" collapsed="1">
      <c r="D416" s="1435" t="s">
        <v>1176</v>
      </c>
      <c r="E416" s="1433" t="s">
        <v>1067</v>
      </c>
      <c r="F416" s="1107" t="s">
        <v>1068</v>
      </c>
      <c r="G416" s="1108">
        <v>518.14098524542203</v>
      </c>
      <c r="I416" s="1108">
        <v>1628.9505925878966</v>
      </c>
      <c r="K416" s="1108">
        <v>380.97059230588599</v>
      </c>
      <c r="M416" s="1108">
        <v>292.82644216666665</v>
      </c>
      <c r="O416" s="1108">
        <v>350.68258996378285</v>
      </c>
      <c r="Q416" s="1108">
        <v>2750.4861512057619</v>
      </c>
      <c r="S416" s="1108">
        <v>794.99073394961977</v>
      </c>
      <c r="T416" s="1108">
        <v>420.25911252597285</v>
      </c>
      <c r="U416" s="1108">
        <v>844.62860561971331</v>
      </c>
      <c r="V416" s="1108">
        <v>2202.9466601649615</v>
      </c>
      <c r="W416" s="1108">
        <v>542.19856911600971</v>
      </c>
      <c r="X416" s="1108">
        <v>446.47449382478931</v>
      </c>
      <c r="Y416" s="1108">
        <v>679.660880764833</v>
      </c>
      <c r="Z416" s="1108">
        <v>1887.3210860644015</v>
      </c>
      <c r="AA416" s="1108">
        <v>400.75629905656143</v>
      </c>
      <c r="AB416" s="1108">
        <v>283.87801321082299</v>
      </c>
      <c r="AC416" s="1108">
        <v>546.5139136962905</v>
      </c>
      <c r="AD416" s="1108">
        <v>1593.6069157536363</v>
      </c>
      <c r="AE416" s="1108">
        <v>355.67051326788612</v>
      </c>
      <c r="AF416" s="1108">
        <v>220.94501094985975</v>
      </c>
      <c r="AG416" s="1108">
        <v>286.44137130464679</v>
      </c>
      <c r="AH416" s="1108">
        <v>1787.6084385950001</v>
      </c>
      <c r="AI416" s="1108">
        <v>344.80925678590268</v>
      </c>
      <c r="AJ416" s="1108">
        <v>349.87935804861587</v>
      </c>
      <c r="AK416" s="1108">
        <v>548.16243070573375</v>
      </c>
      <c r="AL416" s="1108">
        <v>1443.0937778039636</v>
      </c>
      <c r="AM416" s="1108">
        <v>235.70504915554517</v>
      </c>
      <c r="AN416" s="1108">
        <v>184.68775558602135</v>
      </c>
      <c r="AO416" s="1108">
        <v>356.32690496406684</v>
      </c>
      <c r="AP416" s="1108">
        <v>858.80367904059085</v>
      </c>
      <c r="AQ416" s="1108">
        <v>183.81598599979591</v>
      </c>
      <c r="AR416" s="1108">
        <v>262.65238828843064</v>
      </c>
      <c r="AS416" s="1108">
        <v>255.47972465765574</v>
      </c>
      <c r="AT416" s="1108">
        <v>1567.4579913833218</v>
      </c>
      <c r="AU416" s="1108">
        <v>622.88567127720478</v>
      </c>
      <c r="AV416" s="1108">
        <v>728.82899089233592</v>
      </c>
      <c r="AW416" s="1108">
        <v>686.34418465864212</v>
      </c>
      <c r="AX416" s="1108">
        <v>1567.0371845207992</v>
      </c>
      <c r="AY416" s="1108">
        <v>685.40189892307706</v>
      </c>
      <c r="AZ416" s="1108">
        <v>641.59179892770089</v>
      </c>
      <c r="BA416" s="1108">
        <v>744.72591178990581</v>
      </c>
      <c r="BB416" s="1108">
        <v>1278.7149259615996</v>
      </c>
      <c r="BC416" s="1108">
        <v>429.70870144294031</v>
      </c>
      <c r="BD416" s="1108">
        <v>434.30839054597016</v>
      </c>
      <c r="BE416" s="1108">
        <v>475.91339770042759</v>
      </c>
      <c r="BF416" s="1108">
        <v>1026.0884923978228</v>
      </c>
      <c r="BG416" s="1108">
        <v>385.13314734781954</v>
      </c>
      <c r="BH416" s="1108">
        <v>358.19466407256772</v>
      </c>
      <c r="BI416" s="1108">
        <v>417.58003809901703</v>
      </c>
      <c r="BJ416" s="1108">
        <v>1050.7205968921321</v>
      </c>
      <c r="BK416" s="1108">
        <v>383.0910710209094</v>
      </c>
      <c r="BL416" s="1108">
        <v>412.59093559493641</v>
      </c>
      <c r="BM416" s="1108">
        <v>419.91808124040875</v>
      </c>
      <c r="BN416" s="1108">
        <v>874.98681363586297</v>
      </c>
      <c r="BO416" s="1108">
        <v>353.63124304779274</v>
      </c>
      <c r="BP416" s="1108">
        <v>307.6016221641575</v>
      </c>
      <c r="BQ416" s="1108">
        <v>361.69689536336631</v>
      </c>
      <c r="BR416" s="1108">
        <v>668.59002839158768</v>
      </c>
      <c r="BS416" s="1108">
        <v>336.78738052686964</v>
      </c>
      <c r="BT416" s="1108">
        <v>328.65748109629499</v>
      </c>
      <c r="CK416" s="1108"/>
      <c r="CM416" s="1108"/>
      <c r="CO416" s="1108"/>
      <c r="CQ416" s="1108"/>
      <c r="CS416" s="1108"/>
      <c r="CU416" s="1108"/>
      <c r="CW416" s="1108"/>
      <c r="CY416" s="1108"/>
      <c r="DA416" s="1108"/>
      <c r="DC416" s="1108"/>
      <c r="DE416" s="1108"/>
      <c r="DF416" s="1108"/>
      <c r="DG416" s="1108"/>
      <c r="DH416" s="1108"/>
      <c r="DI416" s="1108"/>
    </row>
    <row r="417" spans="4:114" ht="14.45" hidden="1" outlineLevel="1">
      <c r="D417" s="1432"/>
      <c r="E417" s="1440"/>
      <c r="F417" s="1107" t="s">
        <v>1069</v>
      </c>
      <c r="O417" s="1109">
        <v>-32.319079179254864</v>
      </c>
      <c r="Q417" s="1109">
        <v>68.850188809968358</v>
      </c>
      <c r="S417" s="1109">
        <v>108.67509199012189</v>
      </c>
      <c r="T417" s="1109">
        <v>43.518156835978608</v>
      </c>
      <c r="U417" s="1109">
        <v>140.85273400853555</v>
      </c>
      <c r="V417" s="1109">
        <v>-19.907007741186746</v>
      </c>
      <c r="W417" s="1109">
        <v>-31.798127203031029</v>
      </c>
      <c r="X417" s="1109">
        <v>6.2379090702515789</v>
      </c>
      <c r="Y417" s="1109">
        <v>-19.531392112139237</v>
      </c>
      <c r="Z417" s="1109">
        <v>-14.327426978051538</v>
      </c>
      <c r="AA417" s="1109">
        <v>-26.08680253252108</v>
      </c>
      <c r="AB417" s="1109">
        <v>-36.417865491275812</v>
      </c>
      <c r="AC417" s="1109">
        <v>-19.590206062574932</v>
      </c>
      <c r="AD417" s="1109">
        <v>-15.562490796054334</v>
      </c>
      <c r="AE417" s="1109">
        <v>-11.25017520493472</v>
      </c>
      <c r="AF417" s="1109">
        <v>-22.169030122887971</v>
      </c>
      <c r="AG417" s="1109">
        <v>-47.58754276403868</v>
      </c>
      <c r="AH417" s="1109">
        <v>12.173737508513389</v>
      </c>
      <c r="AI417" s="1109">
        <v>-3.0537410543794214</v>
      </c>
      <c r="AJ417" s="1109">
        <v>58.355853587486472</v>
      </c>
      <c r="AK417" s="1109">
        <v>91.3698528285328</v>
      </c>
      <c r="AL417" s="1109">
        <v>-19.272378299009006</v>
      </c>
      <c r="AM417" s="1109">
        <v>-31.641902148265693</v>
      </c>
      <c r="AN417" s="1109">
        <v>-47.213874915033166</v>
      </c>
      <c r="AO417" s="1109">
        <v>-34.996109728769184</v>
      </c>
      <c r="AP417" s="1109">
        <v>-40.488713051796232</v>
      </c>
      <c r="AQ417" s="1109">
        <v>-22.014404588128663</v>
      </c>
      <c r="AR417" s="1109">
        <v>42.214294312595072</v>
      </c>
      <c r="AS417" s="1109">
        <v>-28.301870810620056</v>
      </c>
      <c r="AT417" s="1109">
        <v>82.516450457501691</v>
      </c>
      <c r="AU417" s="1109">
        <v>238.86371084063188</v>
      </c>
      <c r="AV417" s="1109">
        <v>177.48805013414741</v>
      </c>
      <c r="AW417" s="1109">
        <v>168.64917972584601</v>
      </c>
      <c r="AX417" s="1109">
        <v>-2.6846452334661614E-2</v>
      </c>
      <c r="AY417" s="1109">
        <v>10.036549326569833</v>
      </c>
      <c r="AZ417" s="1109">
        <v>-11.96950080948713</v>
      </c>
      <c r="BA417" s="1109">
        <v>8.5061880666039631</v>
      </c>
      <c r="BB417" s="1109">
        <v>-18.399196994637283</v>
      </c>
      <c r="BC417" s="1109">
        <v>-37.305586383972553</v>
      </c>
      <c r="BD417" s="1109">
        <v>-32.307677362485876</v>
      </c>
      <c r="BE417" s="1109">
        <v>-36.095496320707149</v>
      </c>
      <c r="BF417" s="1109">
        <v>-19.756274712583068</v>
      </c>
      <c r="BG417" s="1109">
        <v>-10.37343529359268</v>
      </c>
      <c r="BH417" s="1109">
        <v>-17.525271933549266</v>
      </c>
      <c r="BI417" s="1109">
        <v>-12.257137513520803</v>
      </c>
      <c r="BJ417" s="1109">
        <v>2.4005828616932967</v>
      </c>
      <c r="BK417" s="1109">
        <v>-0.53022606362830627</v>
      </c>
      <c r="BL417" s="1109">
        <v>15.18623167187895</v>
      </c>
      <c r="BM417" s="1109">
        <v>0.55990299537194899</v>
      </c>
      <c r="BN417" s="1109">
        <v>-16.725072657380306</v>
      </c>
      <c r="BO417" s="1109">
        <v>-7.6900325279334742</v>
      </c>
      <c r="BP417" s="1109">
        <v>-25.446345126169419</v>
      </c>
      <c r="BQ417" s="1109">
        <v>-13.864891386686926</v>
      </c>
      <c r="BR417" s="1109">
        <v>-23.588559510585945</v>
      </c>
      <c r="BS417" s="1109">
        <v>-4.7631149260888899</v>
      </c>
      <c r="BT417" s="1109">
        <v>6.8451716164554615</v>
      </c>
      <c r="CM417" s="1109"/>
      <c r="CO417" s="1109"/>
      <c r="CQ417" s="1109"/>
      <c r="CS417" s="1109"/>
      <c r="CU417" s="1109"/>
      <c r="CW417" s="1109"/>
      <c r="CY417" s="1109"/>
      <c r="DA417" s="1109"/>
      <c r="DC417" s="1109"/>
      <c r="DE417" s="1109"/>
      <c r="DF417" s="1109"/>
      <c r="DG417" s="1109"/>
      <c r="DH417" s="1109"/>
      <c r="DI417" s="1109"/>
    </row>
    <row r="418" spans="4:114" ht="14.45" hidden="1" outlineLevel="1" collapsed="1">
      <c r="D418" s="1432"/>
      <c r="E418" s="1440"/>
      <c r="F418" s="1107"/>
    </row>
    <row r="419" spans="4:114" ht="14.45" collapsed="1">
      <c r="D419" s="1436" t="s">
        <v>1177</v>
      </c>
      <c r="E419" s="1433" t="s">
        <v>1122</v>
      </c>
      <c r="F419" s="1106" t="s">
        <v>1068</v>
      </c>
      <c r="G419" s="1108">
        <v>20.6875</v>
      </c>
      <c r="I419" s="1108">
        <v>21.75</v>
      </c>
      <c r="K419" s="1108">
        <v>22.75</v>
      </c>
      <c r="M419" s="1108">
        <v>23.75</v>
      </c>
      <c r="O419" s="1108">
        <v>24.921875</v>
      </c>
      <c r="Q419" s="1108">
        <v>29.200854700854698</v>
      </c>
      <c r="S419" s="1108">
        <v>29.6272045855379</v>
      </c>
      <c r="T419" s="1108">
        <v>29.635593423449333</v>
      </c>
      <c r="U419" s="1108">
        <v>29.76125</v>
      </c>
      <c r="V419" s="1108">
        <v>37.041025641025634</v>
      </c>
      <c r="W419" s="1108">
        <v>36.941812169312165</v>
      </c>
      <c r="X419" s="1108">
        <v>40.7640350877193</v>
      </c>
      <c r="Y419" s="1108">
        <v>39</v>
      </c>
      <c r="Z419" s="1108">
        <v>48</v>
      </c>
      <c r="AA419" s="1108">
        <v>46</v>
      </c>
      <c r="AB419" s="1108">
        <v>49</v>
      </c>
      <c r="AC419" s="1108">
        <v>47</v>
      </c>
      <c r="AD419" s="1108">
        <v>55</v>
      </c>
      <c r="AE419" s="1108">
        <v>52</v>
      </c>
      <c r="AF419" s="1108">
        <v>53</v>
      </c>
      <c r="AG419" s="1108">
        <v>53</v>
      </c>
      <c r="AH419" s="1108">
        <v>59</v>
      </c>
      <c r="AI419" s="1108">
        <v>59</v>
      </c>
      <c r="AJ419" s="1108">
        <v>57</v>
      </c>
      <c r="AK419" s="1108">
        <v>57</v>
      </c>
      <c r="AL419" s="1108">
        <v>64</v>
      </c>
      <c r="AM419" s="1108">
        <v>63</v>
      </c>
      <c r="AN419" s="1108">
        <v>65</v>
      </c>
      <c r="AO419" s="1108">
        <v>63.07</v>
      </c>
      <c r="AP419" s="1108">
        <v>70.103333333333339</v>
      </c>
      <c r="AQ419" s="1108">
        <v>81.859375</v>
      </c>
      <c r="AR419" s="1108">
        <v>77.739999999999995</v>
      </c>
      <c r="AS419" s="1108">
        <v>76.716666666666669</v>
      </c>
      <c r="AT419" s="1108">
        <v>90.070999999999998</v>
      </c>
      <c r="AU419" s="1108">
        <v>85.30083333333333</v>
      </c>
      <c r="AV419" s="1108">
        <v>84.041666666666671</v>
      </c>
      <c r="AW419" s="1108">
        <v>89.563333333333333</v>
      </c>
      <c r="AX419" s="1108">
        <v>95.85</v>
      </c>
      <c r="AY419" s="1108">
        <v>97.108333333333334</v>
      </c>
      <c r="AZ419" s="1108">
        <v>104.25</v>
      </c>
      <c r="BA419" s="1108">
        <v>80.864999999999995</v>
      </c>
      <c r="BB419" s="1108">
        <v>100.05</v>
      </c>
      <c r="BC419" s="1108">
        <v>104.14166666666667</v>
      </c>
      <c r="BD419" s="1108">
        <v>99.041666666666671</v>
      </c>
      <c r="BE419" s="1108">
        <v>104.92333333333333</v>
      </c>
      <c r="BF419" s="1108">
        <v>109.58333333333333</v>
      </c>
      <c r="BG419" s="1108">
        <v>110.50833333333334</v>
      </c>
      <c r="BH419" s="1108">
        <v>101.70833333333333</v>
      </c>
      <c r="BI419" s="1108">
        <v>120.75</v>
      </c>
      <c r="BJ419" s="1108">
        <v>124</v>
      </c>
      <c r="BK419" s="1108">
        <v>124.25</v>
      </c>
      <c r="BL419" s="1108">
        <v>124.5</v>
      </c>
      <c r="BM419" s="1108">
        <v>168</v>
      </c>
      <c r="BN419" s="1108">
        <v>173</v>
      </c>
      <c r="BO419" s="1108">
        <v>174</v>
      </c>
      <c r="BP419" s="1108">
        <v>175</v>
      </c>
      <c r="CK419" s="1108"/>
      <c r="CM419" s="1108"/>
      <c r="CO419" s="1108"/>
      <c r="CQ419" s="1108"/>
      <c r="CS419" s="1108"/>
      <c r="CU419" s="1108"/>
      <c r="CW419" s="1108"/>
      <c r="CY419" s="1108"/>
      <c r="DA419" s="1108"/>
      <c r="DC419" s="1108"/>
      <c r="DE419" s="1108"/>
      <c r="DF419" s="1108"/>
      <c r="DG419" s="1108"/>
      <c r="DH419" s="1108"/>
    </row>
    <row r="420" spans="4:114" ht="14.45" hidden="1" outlineLevel="1">
      <c r="D420" s="1432"/>
      <c r="E420" s="1440"/>
      <c r="F420" s="1106" t="s">
        <v>1069</v>
      </c>
      <c r="O420" s="1109">
        <v>20.468277945619334</v>
      </c>
      <c r="Q420" s="1109">
        <v>34.256803222320457</v>
      </c>
      <c r="S420" s="1109">
        <v>30.2294707056611</v>
      </c>
      <c r="T420" s="1109">
        <v>24.781445993470875</v>
      </c>
      <c r="U420" s="1109">
        <v>19.418181818181822</v>
      </c>
      <c r="V420" s="1109">
        <v>26.84911459095564</v>
      </c>
      <c r="W420" s="1109">
        <v>24.688821257692286</v>
      </c>
      <c r="X420" s="1109">
        <v>37.550932438776556</v>
      </c>
      <c r="Y420" s="1109">
        <v>31.042882943424754</v>
      </c>
      <c r="Z420" s="1109">
        <v>29.586044579814509</v>
      </c>
      <c r="AA420" s="1109">
        <v>24.520150200461845</v>
      </c>
      <c r="AB420" s="1109">
        <v>20.203998192421075</v>
      </c>
      <c r="AC420" s="1109">
        <v>20.512820512820511</v>
      </c>
      <c r="AD420" s="1109">
        <v>14.583333333333334</v>
      </c>
      <c r="AE420" s="1109">
        <v>13.043478260869565</v>
      </c>
      <c r="AF420" s="1109">
        <v>8.1632653061224492</v>
      </c>
      <c r="AG420" s="1109">
        <v>12.76595744680851</v>
      </c>
      <c r="AH420" s="1109">
        <v>7.2727272727272725</v>
      </c>
      <c r="AI420" s="1109">
        <v>13.461538461538462</v>
      </c>
      <c r="AJ420" s="1109">
        <v>7.5471698113207548</v>
      </c>
      <c r="AK420" s="1109">
        <v>7.5471698113207548</v>
      </c>
      <c r="AL420" s="1109">
        <v>8.4745762711864394</v>
      </c>
      <c r="AM420" s="1109">
        <v>6.7796610169491522</v>
      </c>
      <c r="AN420" s="1109">
        <v>14.035087719298245</v>
      </c>
      <c r="AO420" s="1109">
        <v>10.649122807017545</v>
      </c>
      <c r="AP420" s="1109">
        <v>9.5364583333333428</v>
      </c>
      <c r="AQ420" s="1109">
        <v>29.935515873015873</v>
      </c>
      <c r="AR420" s="1109">
        <v>19.599999999999991</v>
      </c>
      <c r="AS420" s="1109">
        <v>21.637334178954603</v>
      </c>
      <c r="AT420" s="1109">
        <v>28.483191479244912</v>
      </c>
      <c r="AU420" s="1109">
        <v>4.2041101991474159</v>
      </c>
      <c r="AV420" s="1109">
        <v>8.1060800960466644</v>
      </c>
      <c r="AW420" s="1109">
        <v>16.745600695198778</v>
      </c>
      <c r="AX420" s="1109">
        <v>6.4160495609019517</v>
      </c>
      <c r="AY420" s="1109">
        <v>13.842185988804337</v>
      </c>
      <c r="AZ420" s="1109">
        <v>24.045612295488343</v>
      </c>
      <c r="BA420" s="1109">
        <v>-9.7119356879675518</v>
      </c>
      <c r="BB420" s="1109">
        <v>4.3818466353677659</v>
      </c>
      <c r="BC420" s="1109">
        <v>7.242770102119624</v>
      </c>
      <c r="BD420" s="1109">
        <v>-4.9960031974420422</v>
      </c>
      <c r="BE420" s="1109">
        <v>29.751231476328865</v>
      </c>
      <c r="BF420" s="1109">
        <v>9.5285690488089276</v>
      </c>
      <c r="BG420" s="1109">
        <v>6.1134672321357195</v>
      </c>
      <c r="BH420" s="1109">
        <v>2.6924694993689426</v>
      </c>
      <c r="BI420" s="1109">
        <v>15.084029608920801</v>
      </c>
      <c r="BJ420" s="1109">
        <v>13.155893536121678</v>
      </c>
      <c r="BK420" s="1109">
        <v>12.434959656134522</v>
      </c>
      <c r="BL420" s="1109">
        <v>22.408848832445724</v>
      </c>
      <c r="BM420" s="1109">
        <v>39.130434782608695</v>
      </c>
      <c r="BN420" s="1109">
        <v>39.516129032258064</v>
      </c>
      <c r="BO420" s="1109">
        <v>40.040241448692157</v>
      </c>
      <c r="BP420" s="1109">
        <v>40.562248995983936</v>
      </c>
      <c r="CM420" s="1109"/>
      <c r="CO420" s="1109"/>
      <c r="CQ420" s="1109"/>
      <c r="CS420" s="1109"/>
      <c r="CU420" s="1109"/>
      <c r="CW420" s="1109"/>
      <c r="CY420" s="1109"/>
      <c r="DA420" s="1109"/>
      <c r="DC420" s="1109"/>
      <c r="DE420" s="1109"/>
      <c r="DF420" s="1109"/>
      <c r="DG420" s="1109"/>
      <c r="DH420" s="1109"/>
    </row>
    <row r="421" spans="4:114" ht="14.45" hidden="1" outlineLevel="1" collapsed="1">
      <c r="D421" s="1432"/>
      <c r="E421" s="1440"/>
      <c r="F421" s="1106"/>
    </row>
    <row r="422" spans="4:114" ht="14.45" collapsed="1">
      <c r="D422" s="1436" t="s">
        <v>1178</v>
      </c>
      <c r="E422" s="1433" t="s">
        <v>1153</v>
      </c>
      <c r="F422" s="1107" t="s">
        <v>1068</v>
      </c>
      <c r="G422" s="1108">
        <v>15</v>
      </c>
      <c r="I422" s="1108">
        <v>15</v>
      </c>
      <c r="K422" s="1108">
        <v>15</v>
      </c>
      <c r="M422" s="1108">
        <v>15</v>
      </c>
      <c r="O422" s="1108">
        <v>13.982257029711729</v>
      </c>
      <c r="Q422" s="1108">
        <v>13.650390625000094</v>
      </c>
      <c r="S422" s="1108">
        <v>13.856075808249775</v>
      </c>
      <c r="T422" s="1108">
        <v>14.014890400605312</v>
      </c>
      <c r="U422" s="1108">
        <v>13.815590363045064</v>
      </c>
      <c r="V422" s="1108">
        <v>13.586508789062206</v>
      </c>
      <c r="W422" s="1108">
        <v>13.548613154960613</v>
      </c>
      <c r="X422" s="1108">
        <v>13.606145124716342</v>
      </c>
      <c r="Y422" s="1108">
        <v>13.473365149554214</v>
      </c>
      <c r="Z422" s="1108">
        <v>13.370977614182694</v>
      </c>
      <c r="AA422" s="1108">
        <v>13.358710091840528</v>
      </c>
      <c r="AB422" s="1108">
        <v>12.90016861882598</v>
      </c>
      <c r="AC422" s="1108">
        <v>13.058083579609717</v>
      </c>
      <c r="AD422" s="1108">
        <v>12.77199861375928</v>
      </c>
      <c r="AE422" s="1108">
        <v>13.499519230769231</v>
      </c>
      <c r="AF422" s="1108">
        <v>13.367452830188679</v>
      </c>
      <c r="AG422" s="1108">
        <v>13.4</v>
      </c>
      <c r="AH422" s="1108">
        <v>13.224576271186441</v>
      </c>
      <c r="AI422" s="1108">
        <v>13.4</v>
      </c>
      <c r="AJ422" s="1108">
        <v>13.460526315789474</v>
      </c>
      <c r="AK422" s="1108">
        <v>13.4</v>
      </c>
      <c r="AL422" s="1108">
        <v>13.211328125</v>
      </c>
      <c r="AM422" s="1108">
        <v>13.427380952380952</v>
      </c>
      <c r="AN422" s="1108">
        <v>13.346923076923076</v>
      </c>
      <c r="AO422" s="1108">
        <v>13.373863636363636</v>
      </c>
      <c r="AP422" s="1108">
        <v>13.234589041095891</v>
      </c>
      <c r="AQ422" s="1108">
        <v>14.805624999999999</v>
      </c>
      <c r="AR422" s="1108">
        <v>15.36017441860465</v>
      </c>
      <c r="AS422" s="1108">
        <v>15.346762048192771</v>
      </c>
      <c r="AT422" s="1108">
        <v>15.0800625</v>
      </c>
      <c r="AU422" s="1108">
        <v>14.335194174757282</v>
      </c>
      <c r="AV422" s="1108">
        <v>16.869137168141592</v>
      </c>
      <c r="AW422" s="1108">
        <v>17.032072368421051</v>
      </c>
      <c r="AX422" s="1108">
        <v>16.931766528925621</v>
      </c>
      <c r="AY422" s="1108">
        <v>17.033247950819671</v>
      </c>
      <c r="AZ422" s="1108">
        <v>17.761178861788618</v>
      </c>
      <c r="BA422" s="1108">
        <v>16.62641633064516</v>
      </c>
      <c r="BB422" s="1108">
        <v>16.597800196850393</v>
      </c>
      <c r="BC422" s="1108">
        <v>16.152540145985402</v>
      </c>
      <c r="BD422" s="1108">
        <v>16.160760204081633</v>
      </c>
      <c r="BE422" s="1108">
        <v>16.34468185177365</v>
      </c>
      <c r="BF422" s="1108">
        <v>16.32243515107616</v>
      </c>
      <c r="BG422" s="1108">
        <v>16.344983562911185</v>
      </c>
      <c r="BH422" s="1108">
        <v>16.345056525735295</v>
      </c>
      <c r="BI422" s="1108">
        <v>17.343258229496307</v>
      </c>
      <c r="BJ422" s="1108">
        <v>17.315823972537878</v>
      </c>
      <c r="BK422" s="1108">
        <v>17.408470903928212</v>
      </c>
      <c r="BL422" s="1108">
        <v>17.408562716753991</v>
      </c>
      <c r="BM422" s="1108">
        <v>15.225960309709821</v>
      </c>
      <c r="BN422" s="1108">
        <v>15.050725808345376</v>
      </c>
      <c r="BO422" s="1108">
        <v>15.227527572737069</v>
      </c>
      <c r="BP422" s="1108">
        <v>15.227778334821428</v>
      </c>
      <c r="CK422" s="1108"/>
      <c r="CM422" s="1108"/>
      <c r="CO422" s="1108"/>
      <c r="CQ422" s="1108"/>
      <c r="CS422" s="1108"/>
      <c r="CU422" s="1108"/>
      <c r="CW422" s="1108"/>
      <c r="CY422" s="1108"/>
      <c r="DA422" s="1108"/>
      <c r="DC422" s="1108"/>
      <c r="DE422" s="1108"/>
      <c r="DF422" s="1108"/>
      <c r="DG422" s="1108"/>
      <c r="DH422" s="1108"/>
    </row>
    <row r="423" spans="4:114" ht="14.45" hidden="1" outlineLevel="1">
      <c r="D423" s="1432"/>
      <c r="E423" s="1440"/>
      <c r="F423" s="1107" t="s">
        <v>1069</v>
      </c>
      <c r="O423" s="1109">
        <v>-6.7849531352551411</v>
      </c>
      <c r="Q423" s="1109">
        <v>-8.9973958333327051</v>
      </c>
      <c r="S423" s="1109">
        <v>-7.6261612783348323</v>
      </c>
      <c r="T423" s="1109">
        <v>-6.5673973292979211</v>
      </c>
      <c r="U423" s="1109">
        <v>-1.1919868610089515</v>
      </c>
      <c r="V423" s="1109">
        <v>-0.46798540564027019</v>
      </c>
      <c r="W423" s="1109">
        <v>-2.2189735213927029</v>
      </c>
      <c r="X423" s="1109">
        <v>-2.9165071163975429</v>
      </c>
      <c r="Y423" s="1109">
        <v>-2.4770943875569689</v>
      </c>
      <c r="Z423" s="1109">
        <v>-1.5863617226893865</v>
      </c>
      <c r="AA423" s="1109">
        <v>-1.4016420791419113</v>
      </c>
      <c r="AB423" s="1109">
        <v>-5.1886592375669682</v>
      </c>
      <c r="AC423" s="1109">
        <v>-3.0822408903408762</v>
      </c>
      <c r="AD423" s="1109">
        <v>-4.4796948862443138</v>
      </c>
      <c r="AE423" s="1109">
        <v>1.0540623904602002</v>
      </c>
      <c r="AF423" s="1109">
        <v>3.6223108795707031</v>
      </c>
      <c r="AG423" s="1109">
        <v>2.6184272623602176</v>
      </c>
      <c r="AH423" s="1109">
        <v>3.5435147709740531</v>
      </c>
      <c r="AI423" s="1109">
        <v>-0.73720574094518698</v>
      </c>
      <c r="AJ423" s="1109">
        <v>0.69626941484768878</v>
      </c>
      <c r="AK423" s="1109">
        <v>0</v>
      </c>
      <c r="AL423" s="1109">
        <v>-0.10017822813201552</v>
      </c>
      <c r="AM423" s="1109">
        <v>0.20433546552949133</v>
      </c>
      <c r="AN423" s="1109">
        <v>-0.84397323107001532</v>
      </c>
      <c r="AO423" s="1109">
        <v>-0.19504748982361741</v>
      </c>
      <c r="AP423" s="1109">
        <v>0.17606796134201083</v>
      </c>
      <c r="AQ423" s="1109">
        <v>10.264429470697751</v>
      </c>
      <c r="AR423" s="1109">
        <v>15.084010974503178</v>
      </c>
      <c r="AS423" s="1109">
        <v>14.751895678559258</v>
      </c>
      <c r="AT423" s="1109">
        <v>13.944320093155646</v>
      </c>
      <c r="AU423" s="1109">
        <v>-3.1773790383230507</v>
      </c>
      <c r="AV423" s="1109">
        <v>9.8238646802685103</v>
      </c>
      <c r="AW423" s="1109">
        <v>10.981536788906832</v>
      </c>
      <c r="AX423" s="1109">
        <v>12.279153544129016</v>
      </c>
      <c r="AY423" s="1109">
        <v>18.821187513548779</v>
      </c>
      <c r="AZ423" s="1109">
        <v>5.288010197295109</v>
      </c>
      <c r="BA423" s="1109">
        <v>-2.3817186129857748</v>
      </c>
      <c r="BB423" s="1109">
        <v>-1.972424622703673</v>
      </c>
      <c r="BC423" s="1109">
        <v>-5.1705218369224069</v>
      </c>
      <c r="BD423" s="1109">
        <v>-9.0107682049761024</v>
      </c>
      <c r="BE423" s="1109">
        <v>-1.694499122773846</v>
      </c>
      <c r="BF423" s="1109">
        <v>-1.6590454307703173</v>
      </c>
      <c r="BG423" s="1109">
        <v>1.1914127139539352</v>
      </c>
      <c r="BH423" s="1109">
        <v>1.1403938881978772</v>
      </c>
      <c r="BI423" s="1109">
        <v>6.1094880082618168</v>
      </c>
      <c r="BJ423" s="1109">
        <v>6.0860331946010042</v>
      </c>
      <c r="BK423" s="1109">
        <v>6.5065060293496551</v>
      </c>
      <c r="BL423" s="1109">
        <v>6.5065923103062113</v>
      </c>
      <c r="BM423" s="1109">
        <v>-12.208190016945723</v>
      </c>
      <c r="BN423" s="1109">
        <v>-13.081087956223428</v>
      </c>
      <c r="BO423" s="1109">
        <v>-12.528057996748091</v>
      </c>
      <c r="BP423" s="1109">
        <v>-12.527078871558864</v>
      </c>
      <c r="CM423" s="1109"/>
      <c r="CO423" s="1109"/>
      <c r="CQ423" s="1109"/>
      <c r="CS423" s="1109"/>
      <c r="CU423" s="1109"/>
      <c r="CW423" s="1109"/>
      <c r="CY423" s="1109"/>
      <c r="DA423" s="1109"/>
      <c r="DC423" s="1109"/>
      <c r="DE423" s="1109"/>
      <c r="DF423" s="1109"/>
      <c r="DG423" s="1109"/>
      <c r="DH423" s="1109"/>
    </row>
    <row r="424" spans="4:114" ht="14.45" hidden="1" outlineLevel="1" collapsed="1">
      <c r="D424" s="1432"/>
      <c r="E424" s="1440"/>
      <c r="F424" s="1107"/>
    </row>
    <row r="425" spans="4:114" ht="14.45" collapsed="1">
      <c r="D425" s="1435" t="s">
        <v>1179</v>
      </c>
      <c r="E425" s="1433" t="s">
        <v>1067</v>
      </c>
      <c r="F425" s="1106" t="s">
        <v>1068</v>
      </c>
      <c r="G425" s="1108">
        <v>500.43097573201698</v>
      </c>
      <c r="I425" s="1108">
        <v>542.47699999999895</v>
      </c>
      <c r="K425" s="1108">
        <v>604.10555240209601</v>
      </c>
      <c r="M425" s="1108">
        <v>532.442297789696</v>
      </c>
      <c r="O425" s="1108">
        <v>456.76299476828552</v>
      </c>
      <c r="Q425" s="1108">
        <v>473.80135066280224</v>
      </c>
      <c r="S425" s="1108">
        <v>495.40326587951398</v>
      </c>
      <c r="T425" s="1108">
        <v>474.63593976292748</v>
      </c>
      <c r="U425" s="1108">
        <v>498.29648493024251</v>
      </c>
      <c r="V425" s="1108">
        <v>611.2520851788413</v>
      </c>
      <c r="W425" s="1108">
        <v>610.25602922999201</v>
      </c>
      <c r="X425" s="1108">
        <v>667.64741432565279</v>
      </c>
      <c r="Y425" s="1108">
        <v>617.49308111838377</v>
      </c>
      <c r="Z425" s="1108">
        <v>768.33821062176196</v>
      </c>
      <c r="AA425" s="1108">
        <v>747.60913066059072</v>
      </c>
      <c r="AB425" s="1108">
        <v>732.91081089867976</v>
      </c>
      <c r="AC425" s="1108">
        <v>695.3192444548007</v>
      </c>
      <c r="AD425" s="1108">
        <v>850.31746480077027</v>
      </c>
      <c r="AE425" s="1108">
        <v>832.12923051653752</v>
      </c>
      <c r="AF425" s="1108">
        <v>818.692019214075</v>
      </c>
      <c r="AG425" s="1108">
        <v>783.89733112471856</v>
      </c>
      <c r="AH425" s="1108">
        <v>861.35503506501323</v>
      </c>
      <c r="AI425" s="1108">
        <v>925.34906922974301</v>
      </c>
      <c r="AJ425" s="1108">
        <v>937.56968284304219</v>
      </c>
      <c r="AK425" s="1108">
        <v>997.01225298481597</v>
      </c>
      <c r="AL425" s="1108">
        <v>1142.993007440482</v>
      </c>
      <c r="AM425" s="1108">
        <v>1148.24838617248</v>
      </c>
      <c r="AN425" s="1108">
        <v>1044.7130847564099</v>
      </c>
      <c r="AO425" s="1108">
        <v>902.51943823105</v>
      </c>
      <c r="AP425" s="1108">
        <v>924.86991589027332</v>
      </c>
      <c r="AQ425" s="1108">
        <v>1155.4398397966925</v>
      </c>
      <c r="AR425" s="1108">
        <v>1265.33559489344</v>
      </c>
      <c r="AS425" s="1108">
        <v>1265.2618334279325</v>
      </c>
      <c r="AT425" s="1108">
        <v>1335.9986056569101</v>
      </c>
      <c r="AU425" s="1108">
        <v>1439.034718369425</v>
      </c>
      <c r="AV425" s="1108">
        <v>1476.1518155670699</v>
      </c>
      <c r="AW425" s="1108">
        <v>1568.023848186335</v>
      </c>
      <c r="AX425" s="1108">
        <v>1668.7377769844024</v>
      </c>
      <c r="AY425" s="1108">
        <v>1716.2020621499976</v>
      </c>
      <c r="AZ425" s="1108">
        <v>1898.5559160892367</v>
      </c>
      <c r="BA425" s="1108">
        <v>1695.4133037455049</v>
      </c>
      <c r="BB425" s="1108">
        <v>1774.0675195367726</v>
      </c>
      <c r="BC425" s="1108">
        <v>1720.0124674933149</v>
      </c>
      <c r="BD425" s="1108">
        <v>1702.6529694213825</v>
      </c>
      <c r="BE425" s="1108">
        <v>1791.1050764462875</v>
      </c>
      <c r="BF425" s="1108">
        <v>1862.7437510234724</v>
      </c>
      <c r="BG425" s="1108">
        <v>1771.3393614838051</v>
      </c>
      <c r="BH425" s="1108">
        <v>1735.5940363489724</v>
      </c>
      <c r="BI425" s="1108">
        <v>2073.6752043474335</v>
      </c>
      <c r="BJ425" s="1108">
        <v>2114.8236652184669</v>
      </c>
      <c r="BK425" s="1108">
        <v>2130.21517805134</v>
      </c>
      <c r="BL425" s="1108">
        <v>2137.0198631261565</v>
      </c>
      <c r="BM425" s="1108">
        <v>2557.9613320312501</v>
      </c>
      <c r="BN425" s="1108">
        <v>2603.7755648437501</v>
      </c>
      <c r="BO425" s="1108">
        <v>2649.5897976562501</v>
      </c>
      <c r="BP425" s="1108">
        <v>2664.8612085937498</v>
      </c>
      <c r="CK425" s="1108"/>
      <c r="CM425" s="1108"/>
      <c r="CO425" s="1108"/>
      <c r="CQ425" s="1108"/>
      <c r="CS425" s="1108"/>
      <c r="CU425" s="1108"/>
      <c r="CW425" s="1108"/>
      <c r="CY425" s="1108"/>
      <c r="DA425" s="1108"/>
      <c r="DC425" s="1108"/>
      <c r="DE425" s="1108"/>
      <c r="DF425" s="1108"/>
      <c r="DG425" s="1108"/>
      <c r="DH425" s="1108"/>
    </row>
    <row r="426" spans="4:114" ht="14.45" hidden="1" outlineLevel="1">
      <c r="D426" s="1432"/>
      <c r="E426" s="1440"/>
      <c r="F426" s="1106" t="s">
        <v>1069</v>
      </c>
      <c r="O426" s="1109">
        <v>-8.7260747398490075</v>
      </c>
      <c r="Q426" s="1109">
        <v>-12.659642590782068</v>
      </c>
      <c r="S426" s="1109">
        <v>-17.993922765707207</v>
      </c>
      <c r="T426" s="1109">
        <v>-10.856830546096258</v>
      </c>
      <c r="U426" s="1109">
        <v>9.0930067973275293</v>
      </c>
      <c r="V426" s="1109">
        <v>29.010203184047235</v>
      </c>
      <c r="W426" s="1109">
        <v>23.183691198840648</v>
      </c>
      <c r="X426" s="1109">
        <v>40.665162157575182</v>
      </c>
      <c r="Y426" s="1109">
        <v>23.920818186150321</v>
      </c>
      <c r="Z426" s="1109">
        <v>25.699073958489667</v>
      </c>
      <c r="AA426" s="1109">
        <v>22.507455043731056</v>
      </c>
      <c r="AB426" s="1109">
        <v>9.7751290835066413</v>
      </c>
      <c r="AC426" s="1109">
        <v>12.603568479740805</v>
      </c>
      <c r="AD426" s="1109">
        <v>10.669683356326672</v>
      </c>
      <c r="AE426" s="1109">
        <v>11.3053862492643</v>
      </c>
      <c r="AF426" s="1109">
        <v>11.704181059931717</v>
      </c>
      <c r="AG426" s="1109">
        <v>12.739196761247687</v>
      </c>
      <c r="AH426" s="1109">
        <v>1.2980528709743797</v>
      </c>
      <c r="AI426" s="1109">
        <v>11.202567497279242</v>
      </c>
      <c r="AJ426" s="1109">
        <v>14.520437580799545</v>
      </c>
      <c r="AK426" s="1109">
        <v>27.18658597221205</v>
      </c>
      <c r="AL426" s="1109">
        <v>32.697083189884793</v>
      </c>
      <c r="AM426" s="1109">
        <v>24.08813326286452</v>
      </c>
      <c r="AN426" s="1109">
        <v>11.427780129202887</v>
      </c>
      <c r="AO426" s="1109">
        <v>-9.4775981409332832</v>
      </c>
      <c r="AP426" s="1109">
        <v>-19.083501835120963</v>
      </c>
      <c r="AQ426" s="1109">
        <v>0.62629773408035616</v>
      </c>
      <c r="AR426" s="1109">
        <v>21.118000085973023</v>
      </c>
      <c r="AS426" s="1109">
        <v>40.192197511874355</v>
      </c>
      <c r="AT426" s="1109">
        <v>44.452596273594558</v>
      </c>
      <c r="AU426" s="1109">
        <v>24.544322326866713</v>
      </c>
      <c r="AV426" s="1109">
        <v>16.660893878622275</v>
      </c>
      <c r="AW426" s="1109">
        <v>23.9288032531685</v>
      </c>
      <c r="AX426" s="1109">
        <v>24.905652589651066</v>
      </c>
      <c r="AY426" s="1109">
        <v>19.260643280005905</v>
      </c>
      <c r="AZ426" s="1109">
        <v>28.615220742718694</v>
      </c>
      <c r="BA426" s="1109">
        <v>8.1242039594305719</v>
      </c>
      <c r="BB426" s="1109">
        <v>6.3119409175666217</v>
      </c>
      <c r="BC426" s="1109">
        <v>0.22202544952916722</v>
      </c>
      <c r="BD426" s="1109">
        <v>-10.318523937466493</v>
      </c>
      <c r="BE426" s="1109">
        <v>5.6441560585481128</v>
      </c>
      <c r="BF426" s="1109">
        <v>4.9984699291408115</v>
      </c>
      <c r="BG426" s="1109">
        <v>2.9841001132562792</v>
      </c>
      <c r="BH426" s="1109">
        <v>1.9346905986828502</v>
      </c>
      <c r="BI426" s="1109">
        <v>15.776300989654404</v>
      </c>
      <c r="BJ426" s="1109">
        <v>13.532720969080733</v>
      </c>
      <c r="BK426" s="1109">
        <v>20.26013898697051</v>
      </c>
      <c r="BL426" s="1109">
        <v>23.129016254378865</v>
      </c>
      <c r="BM426" s="1109">
        <v>23.354000986678962</v>
      </c>
      <c r="BN426" s="1109">
        <v>23.120220738345729</v>
      </c>
      <c r="BO426" s="1109">
        <v>24.381321894439751</v>
      </c>
      <c r="BP426" s="1109">
        <v>24.699880173104074</v>
      </c>
      <c r="CM426" s="1109"/>
      <c r="CO426" s="1109"/>
      <c r="CQ426" s="1109"/>
      <c r="CS426" s="1109"/>
      <c r="CU426" s="1109"/>
      <c r="CW426" s="1109"/>
      <c r="CY426" s="1109"/>
      <c r="DA426" s="1109"/>
      <c r="DC426" s="1109"/>
      <c r="DE426" s="1109"/>
      <c r="DF426" s="1109"/>
      <c r="DG426" s="1109"/>
      <c r="DH426" s="1109"/>
    </row>
    <row r="427" spans="4:114" ht="14.45" hidden="1" outlineLevel="1" collapsed="1">
      <c r="D427" s="1432"/>
      <c r="E427" s="1440"/>
      <c r="F427" s="1106"/>
    </row>
    <row r="428" spans="4:114" ht="14.45" collapsed="1">
      <c r="D428" s="1435" t="s">
        <v>1180</v>
      </c>
      <c r="E428" s="1433" t="s">
        <v>1067</v>
      </c>
      <c r="F428" s="1107" t="s">
        <v>1068</v>
      </c>
      <c r="G428" s="1108">
        <v>516.32146615483271</v>
      </c>
      <c r="I428" s="1108">
        <v>942.869448665709</v>
      </c>
      <c r="K428" s="1108">
        <v>773.01175791098763</v>
      </c>
      <c r="M428" s="1108">
        <v>571.46026327131267</v>
      </c>
      <c r="O428" s="1108">
        <v>692.46169576009083</v>
      </c>
      <c r="Q428" s="1108">
        <v>1324.9205251538283</v>
      </c>
      <c r="S428" s="1108">
        <v>795.71671626750776</v>
      </c>
      <c r="T428" s="1108">
        <v>738.82374781871442</v>
      </c>
      <c r="U428" s="1108">
        <v>894.88917185704804</v>
      </c>
      <c r="V428" s="1108">
        <v>1275.0354064143974</v>
      </c>
      <c r="W428" s="1108">
        <v>888.96367570470704</v>
      </c>
      <c r="X428" s="1108">
        <v>918.25547817403651</v>
      </c>
      <c r="Y428" s="1108">
        <v>978.54656178418475</v>
      </c>
      <c r="Z428" s="1108">
        <v>1429.1411724788131</v>
      </c>
      <c r="AA428" s="1108">
        <v>1078.2418862453867</v>
      </c>
      <c r="AB428" s="1108">
        <v>934.29257757361916</v>
      </c>
      <c r="AC428" s="1108">
        <v>1101.5043224586343</v>
      </c>
      <c r="AD428" s="1108">
        <v>1750.0390528427924</v>
      </c>
      <c r="AE428" s="1108">
        <v>1211.6925754413026</v>
      </c>
      <c r="AF428" s="1108">
        <v>1078.0184855932175</v>
      </c>
      <c r="AG428" s="1108">
        <v>1352.8498605941943</v>
      </c>
      <c r="AH428" s="1108">
        <v>1866.0035080575703</v>
      </c>
      <c r="AI428" s="1108">
        <v>1571.599856973422</v>
      </c>
      <c r="AJ428" s="1108">
        <v>1600.0383422380114</v>
      </c>
      <c r="AK428" s="1108">
        <v>1833.2518078496198</v>
      </c>
      <c r="AL428" s="1108">
        <v>2398.7078280154592</v>
      </c>
      <c r="AM428" s="1108">
        <v>1688.9853525089552</v>
      </c>
      <c r="AN428" s="1108">
        <v>1500.3071178712278</v>
      </c>
      <c r="AO428" s="1108">
        <v>1953.0362876315667</v>
      </c>
      <c r="AP428" s="1108">
        <v>2264.6719203853918</v>
      </c>
      <c r="AQ428" s="1108">
        <v>1892.4016106390341</v>
      </c>
      <c r="AR428" s="1108">
        <v>2634.9147753162665</v>
      </c>
      <c r="AS428" s="1108">
        <v>2406.8845935593699</v>
      </c>
      <c r="AT428" s="1108">
        <v>3084.1663505856454</v>
      </c>
      <c r="AU428" s="1108">
        <v>2590.2169553270292</v>
      </c>
      <c r="AV428" s="1108">
        <v>2711.7302458662098</v>
      </c>
      <c r="AW428" s="1108">
        <v>2418.0608731320303</v>
      </c>
      <c r="AX428" s="1108">
        <v>3394.1473517185896</v>
      </c>
      <c r="AY428" s="1108">
        <v>2709.0268392618023</v>
      </c>
      <c r="AZ428" s="1108">
        <v>2664.8885117289165</v>
      </c>
      <c r="BA428" s="1108">
        <v>2374.6839777549708</v>
      </c>
      <c r="BB428" s="1108">
        <v>2891.6263758083778</v>
      </c>
      <c r="BC428" s="1108">
        <v>2592.0550815042689</v>
      </c>
      <c r="BD428" s="1108">
        <v>2504.5505934451339</v>
      </c>
      <c r="BE428" s="1108">
        <v>2395.2349511112552</v>
      </c>
      <c r="BF428" s="1108">
        <v>3207.318492610676</v>
      </c>
      <c r="BG428" s="1108">
        <v>2741.506576111241</v>
      </c>
      <c r="BH428" s="1108">
        <v>2663.543009403299</v>
      </c>
      <c r="BI428" s="1108">
        <v>2676.8818048372978</v>
      </c>
      <c r="BJ428" s="1108">
        <v>3616.8729889791352</v>
      </c>
      <c r="BK428" s="1108">
        <v>3081.5062013566589</v>
      </c>
      <c r="BL428" s="1108">
        <v>2901.4020214363618</v>
      </c>
      <c r="BM428" s="1108">
        <v>3593.9779487786568</v>
      </c>
      <c r="BN428" s="1108">
        <v>4368.1652953274734</v>
      </c>
      <c r="BO428" s="1108">
        <v>3829.0838227469235</v>
      </c>
      <c r="BP428" s="1108">
        <v>3850.9802248613169</v>
      </c>
      <c r="BQ428" s="1108">
        <v>3721.0585112498566</v>
      </c>
      <c r="BR428" s="1108">
        <v>4428.9174329950238</v>
      </c>
      <c r="BS428" s="1108">
        <v>3968.1665081676101</v>
      </c>
      <c r="BT428" s="1108">
        <v>4384.5899576356469</v>
      </c>
      <c r="CK428" s="1108"/>
      <c r="CM428" s="1108"/>
      <c r="CO428" s="1108"/>
      <c r="CQ428" s="1108"/>
      <c r="CS428" s="1108"/>
      <c r="CU428" s="1108"/>
      <c r="CW428" s="1108"/>
      <c r="CY428" s="1108"/>
      <c r="DA428" s="1108"/>
      <c r="DC428" s="1108"/>
      <c r="DE428" s="1108"/>
      <c r="DF428" s="1108"/>
      <c r="DG428" s="1108"/>
      <c r="DH428" s="1108"/>
      <c r="DI428" s="1108"/>
    </row>
    <row r="429" spans="4:114" ht="14.45" hidden="1" outlineLevel="1">
      <c r="D429" s="1432"/>
      <c r="E429" s="1440"/>
      <c r="F429" s="1107" t="s">
        <v>1069</v>
      </c>
      <c r="O429" s="1109">
        <v>34.114450231367641</v>
      </c>
      <c r="Q429" s="1109">
        <v>40.52003986647086</v>
      </c>
      <c r="S429" s="1109">
        <v>2.9372073741644971</v>
      </c>
      <c r="T429" s="1109">
        <v>29.286985518351333</v>
      </c>
      <c r="U429" s="1109">
        <v>29.233021456119634</v>
      </c>
      <c r="V429" s="1109">
        <v>-3.7651404587938648</v>
      </c>
      <c r="W429" s="1109">
        <v>11.718612608089419</v>
      </c>
      <c r="X429" s="1109">
        <v>24.286134668122408</v>
      </c>
      <c r="Y429" s="1109">
        <v>9.3483520147565677</v>
      </c>
      <c r="Z429" s="1109">
        <v>12.086391114250366</v>
      </c>
      <c r="AA429" s="1109">
        <v>21.292007279221323</v>
      </c>
      <c r="AB429" s="1109">
        <v>1.7464746773384499</v>
      </c>
      <c r="AC429" s="1109">
        <v>12.565345940234113</v>
      </c>
      <c r="AD429" s="1109">
        <v>22.453896545950684</v>
      </c>
      <c r="AE429" s="1109">
        <v>12.376693105534308</v>
      </c>
      <c r="AF429" s="1109">
        <v>15.383393967750239</v>
      </c>
      <c r="AG429" s="1109">
        <v>22.81838872629562</v>
      </c>
      <c r="AH429" s="1109">
        <v>6.626392424009242</v>
      </c>
      <c r="AI429" s="1109">
        <v>29.702854406039421</v>
      </c>
      <c r="AJ429" s="1109">
        <v>48.424017177918252</v>
      </c>
      <c r="AK429" s="1109">
        <v>35.510366763420805</v>
      </c>
      <c r="AL429" s="1109">
        <v>28.547873444911755</v>
      </c>
      <c r="AM429" s="1109">
        <v>7.4691719405977501</v>
      </c>
      <c r="AN429" s="1109">
        <v>-6.2330521546931941</v>
      </c>
      <c r="AO429" s="1109">
        <v>6.5339894535520724</v>
      </c>
      <c r="AP429" s="1109">
        <v>-5.5878380044709459</v>
      </c>
      <c r="AQ429" s="1109">
        <v>12.043695809907879</v>
      </c>
      <c r="AR429" s="1109">
        <v>75.62502663154217</v>
      </c>
      <c r="AS429" s="1109">
        <v>23.238088754519861</v>
      </c>
      <c r="AT429" s="1109">
        <v>36.186010998926314</v>
      </c>
      <c r="AU429" s="1109">
        <v>36.874590507897203</v>
      </c>
      <c r="AV429" s="1109">
        <v>2.9152924136122453</v>
      </c>
      <c r="AW429" s="1109">
        <v>0.46434630071451011</v>
      </c>
      <c r="AX429" s="1109">
        <v>10.050722493424601</v>
      </c>
      <c r="AY429" s="1109">
        <v>4.5868699797686521</v>
      </c>
      <c r="AZ429" s="1109">
        <v>-1.7273744026972946</v>
      </c>
      <c r="BA429" s="1109">
        <v>-1.793871108003785</v>
      </c>
      <c r="BB429" s="1109">
        <v>-14.805514429294464</v>
      </c>
      <c r="BC429" s="1109">
        <v>-4.3178515643428499</v>
      </c>
      <c r="BD429" s="1109">
        <v>-6.0166839092176163</v>
      </c>
      <c r="BE429" s="1109">
        <v>0.86541929573775733</v>
      </c>
      <c r="BF429" s="1109">
        <v>10.917458750667395</v>
      </c>
      <c r="BG429" s="1109">
        <v>5.7657530379423765</v>
      </c>
      <c r="BH429" s="1109">
        <v>6.3481415138618988</v>
      </c>
      <c r="BI429" s="1109">
        <v>11.758631594590508</v>
      </c>
      <c r="BJ429" s="1109">
        <v>12.769374083429183</v>
      </c>
      <c r="BK429" s="1109">
        <v>12.401926306071424</v>
      </c>
      <c r="BL429" s="1109">
        <v>8.9301735017355384</v>
      </c>
      <c r="BM429" s="1109">
        <v>34.259866919940478</v>
      </c>
      <c r="BN429" s="1109">
        <v>20.771874175222031</v>
      </c>
      <c r="BO429" s="1109">
        <v>24.260136846751671</v>
      </c>
      <c r="BP429" s="1109">
        <v>32.728253320608736</v>
      </c>
      <c r="BQ429" s="1109">
        <v>3.5359305004747066</v>
      </c>
      <c r="BR429" s="1109">
        <v>1.3907930117144511</v>
      </c>
      <c r="BS429" s="1109">
        <v>3.6322705863595055</v>
      </c>
      <c r="BT429" s="1109">
        <v>13.856465149559332</v>
      </c>
      <c r="CM429" s="1109"/>
      <c r="CO429" s="1109"/>
      <c r="CQ429" s="1109"/>
      <c r="CS429" s="1109"/>
      <c r="CU429" s="1109"/>
      <c r="CW429" s="1109"/>
      <c r="CY429" s="1109"/>
      <c r="DA429" s="1109"/>
      <c r="DC429" s="1109"/>
      <c r="DE429" s="1109"/>
      <c r="DF429" s="1109"/>
      <c r="DG429" s="1109"/>
      <c r="DH429" s="1109"/>
      <c r="DI429" s="1109"/>
    </row>
    <row r="430" spans="4:114" ht="14.45" hidden="1" outlineLevel="1" collapsed="1">
      <c r="D430" s="1432"/>
      <c r="E430" s="1440"/>
      <c r="F430" s="1107"/>
    </row>
    <row r="431" spans="4:114" ht="14.45" collapsed="1">
      <c r="D431" s="1434" t="s">
        <v>1084</v>
      </c>
      <c r="E431" s="1433" t="s">
        <v>1067</v>
      </c>
      <c r="F431" s="1106" t="s">
        <v>1068</v>
      </c>
      <c r="G431" s="1108">
        <v>1368.0831018882666</v>
      </c>
      <c r="I431" s="1108">
        <v>2933.4713745869367</v>
      </c>
      <c r="K431" s="1108">
        <v>1556.7193851516033</v>
      </c>
      <c r="M431" s="1108">
        <v>1251.7523559466649</v>
      </c>
      <c r="O431" s="1108">
        <v>1441.7713711762949</v>
      </c>
      <c r="Q431" s="1108">
        <v>3823.8049064980114</v>
      </c>
      <c r="S431" s="1108">
        <v>1920.7080880508167</v>
      </c>
      <c r="T431" s="1108">
        <v>1531.7900568451166</v>
      </c>
      <c r="U431" s="1108">
        <v>1940.0969216548067</v>
      </c>
      <c r="V431" s="1108">
        <v>3458.9388547491012</v>
      </c>
      <c r="W431" s="1108">
        <v>1854.7759849785955</v>
      </c>
      <c r="X431" s="1108">
        <v>1782.418821495881</v>
      </c>
      <c r="Y431" s="1108">
        <v>1996.7825762357008</v>
      </c>
      <c r="Z431" s="1108">
        <v>3659.0242967934091</v>
      </c>
      <c r="AA431" s="1108">
        <v>1832.6923076923099</v>
      </c>
      <c r="AB431" s="1108">
        <v>1705.4579881569719</v>
      </c>
      <c r="AC431" s="1108">
        <v>1885</v>
      </c>
      <c r="AD431" s="1108">
        <v>3617</v>
      </c>
      <c r="AE431" s="1108">
        <v>1906</v>
      </c>
      <c r="AF431" s="1108">
        <v>1643</v>
      </c>
      <c r="AG431" s="1108">
        <v>1896</v>
      </c>
      <c r="AH431" s="1108">
        <v>3920</v>
      </c>
      <c r="AI431" s="1108">
        <v>2251</v>
      </c>
      <c r="AJ431" s="1108">
        <v>2286</v>
      </c>
      <c r="AK431" s="1108">
        <v>2738</v>
      </c>
      <c r="AL431" s="1108">
        <v>4232</v>
      </c>
      <c r="AM431" s="1108">
        <v>2363</v>
      </c>
      <c r="AN431" s="1108">
        <v>2053</v>
      </c>
      <c r="AO431" s="1108">
        <v>2542</v>
      </c>
      <c r="AP431" s="1108">
        <v>3327</v>
      </c>
      <c r="AQ431" s="1108">
        <v>2349</v>
      </c>
      <c r="AR431" s="1108">
        <v>3357</v>
      </c>
      <c r="AS431" s="1108">
        <v>3092</v>
      </c>
      <c r="AT431" s="1108">
        <v>5031</v>
      </c>
      <c r="AU431" s="1108">
        <v>3533</v>
      </c>
      <c r="AV431" s="1108">
        <v>3714</v>
      </c>
      <c r="AW431" s="1108">
        <v>3593</v>
      </c>
      <c r="AX431" s="1108">
        <v>5442</v>
      </c>
      <c r="AY431" s="1108">
        <v>3740</v>
      </c>
      <c r="AZ431" s="1108">
        <v>3455</v>
      </c>
      <c r="BA431" s="1108">
        <v>3610</v>
      </c>
      <c r="BB431" s="1108">
        <v>4758</v>
      </c>
      <c r="BC431" s="1108">
        <v>3607</v>
      </c>
      <c r="BD431" s="1108">
        <v>3704.3089528164564</v>
      </c>
      <c r="BE431" s="1108">
        <v>3719.6946945571299</v>
      </c>
      <c r="BF431" s="1108">
        <v>5053.6506646439102</v>
      </c>
      <c r="BG431" s="1108">
        <v>3934.0142106977919</v>
      </c>
      <c r="BH431" s="1108">
        <v>4005.1037951208646</v>
      </c>
      <c r="BI431" s="1108">
        <v>3914.133419225253</v>
      </c>
      <c r="BJ431" s="1108">
        <v>5350.6955537277763</v>
      </c>
      <c r="BK431" s="1108">
        <v>4036.246369173854</v>
      </c>
      <c r="BL431" s="1108">
        <v>4137.2628485819314</v>
      </c>
      <c r="BM431" s="1108">
        <v>4156.2602235895347</v>
      </c>
      <c r="BN431" s="1108">
        <v>5556.8347666673599</v>
      </c>
      <c r="BO431" s="1108">
        <v>4432.4544122788921</v>
      </c>
      <c r="BP431" s="1108">
        <v>4312.0749225456502</v>
      </c>
      <c r="BQ431" s="1108">
        <v>4082.7554066132234</v>
      </c>
      <c r="BR431" s="1108">
        <v>5097.50746138661</v>
      </c>
      <c r="BS431" s="1108">
        <v>4304.9538886944802</v>
      </c>
      <c r="BT431" s="1108">
        <v>4713.2474387319398</v>
      </c>
      <c r="CK431" s="1108"/>
      <c r="CM431" s="1108"/>
      <c r="CO431" s="1108"/>
      <c r="CQ431" s="1108"/>
      <c r="CS431" s="1108"/>
      <c r="CT431" s="1108"/>
      <c r="CU431" s="1108"/>
      <c r="CV431" s="1108"/>
      <c r="CW431" s="1108"/>
      <c r="CX431" s="1108"/>
      <c r="CY431" s="1108"/>
      <c r="CZ431" s="1108"/>
      <c r="DA431" s="1108"/>
      <c r="DB431" s="1108"/>
      <c r="DC431" s="1108"/>
      <c r="DD431" s="1108"/>
      <c r="DE431" s="1108"/>
      <c r="DF431" s="1108"/>
      <c r="DG431" s="1108"/>
      <c r="DH431" s="1108"/>
      <c r="DI431" s="1108"/>
      <c r="DJ431" s="1108"/>
    </row>
    <row r="432" spans="4:114" ht="14.45" hidden="1" outlineLevel="1">
      <c r="D432" s="1432"/>
      <c r="E432" s="1440"/>
      <c r="F432" s="1106" t="s">
        <v>1069</v>
      </c>
      <c r="O432" s="1109">
        <v>5.3862421943755985</v>
      </c>
      <c r="Q432" s="1109">
        <v>30.350851200531757</v>
      </c>
      <c r="S432" s="1109">
        <v>23.381780067174141</v>
      </c>
      <c r="T432" s="1109">
        <v>22.37165359170961</v>
      </c>
      <c r="U432" s="1109">
        <v>34.563423885435043</v>
      </c>
      <c r="V432" s="1109">
        <v>-9.5419630622072891</v>
      </c>
      <c r="W432" s="1109">
        <v>-3.4326977369648515</v>
      </c>
      <c r="X432" s="1109">
        <v>16.36182213944911</v>
      </c>
      <c r="Y432" s="1109">
        <v>2.921794986022868</v>
      </c>
      <c r="Z432" s="1109">
        <v>5.784590316466331</v>
      </c>
      <c r="AA432" s="1109">
        <v>-1.1906385172730409</v>
      </c>
      <c r="AB432" s="1109">
        <v>-4.3177749477712775</v>
      </c>
      <c r="AC432" s="1109">
        <v>-5.5981345974298007</v>
      </c>
      <c r="AD432" s="1109">
        <v>-1.1485110068888356</v>
      </c>
      <c r="AE432" s="1109">
        <v>3.9999999999998752</v>
      </c>
      <c r="AF432" s="1109">
        <v>-3.6622413797755287</v>
      </c>
      <c r="AG432" s="1109">
        <v>0.58355437665782495</v>
      </c>
      <c r="AH432" s="1109">
        <v>8.3771081006358852</v>
      </c>
      <c r="AI432" s="1109">
        <v>18.100734522560337</v>
      </c>
      <c r="AJ432" s="1109">
        <v>39.135727328058429</v>
      </c>
      <c r="AK432" s="1109">
        <v>44.40928270042194</v>
      </c>
      <c r="AL432" s="1109">
        <v>7.9591836734693873</v>
      </c>
      <c r="AM432" s="1109">
        <v>4.9755664149266989</v>
      </c>
      <c r="AN432" s="1109">
        <v>-10.192475940507437</v>
      </c>
      <c r="AO432" s="1109">
        <v>-7.1585098612125639</v>
      </c>
      <c r="AP432" s="1109">
        <v>-21.384688090737239</v>
      </c>
      <c r="AQ432" s="1109">
        <v>-0.59246720270842146</v>
      </c>
      <c r="AR432" s="1109">
        <v>63.51680467608378</v>
      </c>
      <c r="AS432" s="1109">
        <v>21.636506687647522</v>
      </c>
      <c r="AT432" s="1109">
        <v>51.217312894499543</v>
      </c>
      <c r="AU432" s="1109">
        <v>50.404427415921674</v>
      </c>
      <c r="AV432" s="1109">
        <v>10.63449508489723</v>
      </c>
      <c r="AW432" s="1109">
        <v>16.203104786545925</v>
      </c>
      <c r="AX432" s="1109">
        <v>8.1693500298151456</v>
      </c>
      <c r="AY432" s="1109">
        <v>5.8590433059722615</v>
      </c>
      <c r="AZ432" s="1109">
        <v>-6.9736133548734518</v>
      </c>
      <c r="BA432" s="1109">
        <v>0.47314222098524911</v>
      </c>
      <c r="BB432" s="1109">
        <v>-12.56890848952591</v>
      </c>
      <c r="BC432" s="1109">
        <v>-3.5561497326203209</v>
      </c>
      <c r="BD432" s="1109">
        <v>7.2158886488120535</v>
      </c>
      <c r="BE432" s="1109">
        <v>3.0386341982584457</v>
      </c>
      <c r="BF432" s="1109">
        <v>6.2137592400989954</v>
      </c>
      <c r="BG432" s="1109">
        <v>9.0660995480396984</v>
      </c>
      <c r="BH432" s="1109">
        <v>8.1201337722035341</v>
      </c>
      <c r="BI432" s="1109">
        <v>5.2272764469792898</v>
      </c>
      <c r="BJ432" s="1109">
        <v>5.8778279069037405</v>
      </c>
      <c r="BK432" s="1109">
        <v>2.5986728313807679</v>
      </c>
      <c r="BL432" s="1109">
        <v>3.2997660041187169</v>
      </c>
      <c r="BM432" s="1109">
        <v>6.1859619596770745</v>
      </c>
      <c r="BN432" s="1109">
        <v>3.8525685281415125</v>
      </c>
      <c r="BO432" s="1109">
        <v>9.8162502202791622</v>
      </c>
      <c r="BP432" s="1109">
        <v>4.2253074160767081</v>
      </c>
      <c r="BQ432" s="1109">
        <v>-1.7685325995500161</v>
      </c>
      <c r="BR432" s="1109">
        <v>-8.2659881851449324</v>
      </c>
      <c r="BS432" s="1109">
        <v>-2.8765219385270351</v>
      </c>
      <c r="BT432" s="1109">
        <v>9.3034681305921243</v>
      </c>
      <c r="CM432" s="1109"/>
      <c r="CO432" s="1109"/>
      <c r="CQ432" s="1109"/>
      <c r="CS432" s="1109"/>
      <c r="CU432" s="1109"/>
      <c r="CV432" s="1109"/>
      <c r="CW432" s="1109"/>
      <c r="CX432" s="1109"/>
      <c r="CY432" s="1109"/>
      <c r="CZ432" s="1109"/>
      <c r="DA432" s="1109"/>
      <c r="DB432" s="1109"/>
      <c r="DC432" s="1109"/>
      <c r="DD432" s="1109"/>
      <c r="DE432" s="1109"/>
      <c r="DF432" s="1109"/>
      <c r="DG432" s="1109"/>
      <c r="DH432" s="1109"/>
      <c r="DI432" s="1109"/>
      <c r="DJ432" s="1109"/>
    </row>
    <row r="433" spans="4:114" ht="14.45" hidden="1" outlineLevel="1" collapsed="1">
      <c r="D433" s="1432"/>
      <c r="E433" s="1440"/>
      <c r="F433" s="1106"/>
    </row>
    <row r="434" spans="4:114" ht="14.45" collapsed="1">
      <c r="D434" s="1434" t="s">
        <v>1085</v>
      </c>
      <c r="E434" s="1433" t="s">
        <v>1067</v>
      </c>
      <c r="F434" s="1107" t="s">
        <v>1068</v>
      </c>
      <c r="G434" s="1108">
        <v>567.19570458032001</v>
      </c>
      <c r="I434" s="1108">
        <v>719.59695547019464</v>
      </c>
      <c r="K434" s="1108">
        <v>687.21505376344101</v>
      </c>
      <c r="M434" s="1108">
        <v>583.06299325675104</v>
      </c>
      <c r="O434" s="1108">
        <v>839.17138290268326</v>
      </c>
      <c r="Q434" s="1108">
        <v>992.59367034754712</v>
      </c>
      <c r="S434" s="1108">
        <v>962.92709965437791</v>
      </c>
      <c r="T434" s="1108">
        <v>945.33755910837908</v>
      </c>
      <c r="U434" s="1108">
        <v>931.65070386093657</v>
      </c>
      <c r="V434" s="1108">
        <v>1217.8755722217056</v>
      </c>
      <c r="W434" s="1108">
        <v>1101.3534645658467</v>
      </c>
      <c r="X434" s="1108">
        <v>980.70672096936528</v>
      </c>
      <c r="Y434" s="1108">
        <v>1117.0403790024031</v>
      </c>
      <c r="Z434" s="1108">
        <v>1457.3917396744671</v>
      </c>
      <c r="AA434" s="1108">
        <v>1486.1200421481149</v>
      </c>
      <c r="AB434" s="1108">
        <v>1486.9825313039967</v>
      </c>
      <c r="AC434" s="1108">
        <v>1429</v>
      </c>
      <c r="AD434" s="1108">
        <v>1605</v>
      </c>
      <c r="AE434" s="1108">
        <v>1599</v>
      </c>
      <c r="AF434" s="1108">
        <v>1586</v>
      </c>
      <c r="AG434" s="1108">
        <v>1639</v>
      </c>
      <c r="AH434" s="1108">
        <v>1820</v>
      </c>
      <c r="AI434" s="1108">
        <v>1784</v>
      </c>
      <c r="AJ434" s="1108">
        <v>1769</v>
      </c>
      <c r="AK434" s="1108">
        <v>1788</v>
      </c>
      <c r="AL434" s="1108">
        <v>1976</v>
      </c>
      <c r="AM434" s="1108">
        <v>1911</v>
      </c>
      <c r="AN434" s="1108">
        <v>1953</v>
      </c>
      <c r="AO434" s="1108">
        <v>1991</v>
      </c>
      <c r="AP434" s="1108">
        <v>2163</v>
      </c>
      <c r="AQ434" s="1108">
        <v>1986</v>
      </c>
      <c r="AR434" s="1108">
        <v>1600</v>
      </c>
      <c r="AS434" s="1108">
        <v>1943</v>
      </c>
      <c r="AT434" s="1108">
        <v>2386</v>
      </c>
      <c r="AU434" s="1108">
        <v>2401</v>
      </c>
      <c r="AV434" s="1108">
        <v>2537</v>
      </c>
      <c r="AW434" s="1108">
        <v>2656</v>
      </c>
      <c r="AX434" s="1108">
        <v>3064</v>
      </c>
      <c r="AY434" s="1108">
        <v>2945</v>
      </c>
      <c r="AZ434" s="1108">
        <v>2926</v>
      </c>
      <c r="BA434" s="1108">
        <v>2928</v>
      </c>
      <c r="BB434" s="1108">
        <v>3223</v>
      </c>
      <c r="BC434" s="1108">
        <v>3045</v>
      </c>
      <c r="BD434" s="1108">
        <v>3148.9588822335577</v>
      </c>
      <c r="BE434" s="1108">
        <v>3178.8790612872999</v>
      </c>
      <c r="BF434" s="1108">
        <v>3538.0723196800441</v>
      </c>
      <c r="BG434" s="1108">
        <v>3332.5018678494848</v>
      </c>
      <c r="BH434" s="1108">
        <v>3454.9132468209127</v>
      </c>
      <c r="BI434" s="1108">
        <v>3460.3184630589476</v>
      </c>
      <c r="BJ434" s="1108">
        <v>3840.5179515702152</v>
      </c>
      <c r="BK434" s="1108">
        <v>3618.9950265615194</v>
      </c>
      <c r="BL434" s="1108">
        <v>3743.6679210114576</v>
      </c>
      <c r="BM434" s="1108">
        <v>3571.4368997116799</v>
      </c>
      <c r="BN434" s="1108">
        <v>3937.8211884744001</v>
      </c>
      <c r="BO434" s="1108">
        <v>3820.23589572229</v>
      </c>
      <c r="BP434" s="1108">
        <v>3970.9976120202973</v>
      </c>
      <c r="BQ434" s="1108">
        <v>3730.032535736605</v>
      </c>
      <c r="BR434" s="1108">
        <v>4142.9902090496753</v>
      </c>
      <c r="BS434" s="1108">
        <v>3930.140285574575</v>
      </c>
      <c r="BT434" s="1108">
        <v>3981.5151519301598</v>
      </c>
      <c r="CK434" s="1108"/>
      <c r="CM434" s="1108"/>
      <c r="CO434" s="1108"/>
      <c r="CQ434" s="1108"/>
      <c r="CS434" s="1108"/>
      <c r="CT434" s="1108"/>
      <c r="CU434" s="1108"/>
      <c r="CV434" s="1108"/>
      <c r="CW434" s="1108"/>
      <c r="CX434" s="1108"/>
      <c r="CY434" s="1108"/>
      <c r="CZ434" s="1108"/>
      <c r="DA434" s="1108"/>
      <c r="DB434" s="1108"/>
      <c r="DC434" s="1108"/>
      <c r="DD434" s="1108"/>
      <c r="DE434" s="1108"/>
      <c r="DF434" s="1108"/>
      <c r="DG434" s="1108"/>
      <c r="DH434" s="1108"/>
      <c r="DI434" s="1108"/>
      <c r="DJ434" s="1108"/>
    </row>
    <row r="435" spans="4:114" ht="14.45" hidden="1" outlineLevel="1">
      <c r="D435" s="1432"/>
      <c r="E435" s="1440"/>
      <c r="F435" s="1107" t="s">
        <v>1069</v>
      </c>
      <c r="O435" s="1109">
        <v>47.950941117158798</v>
      </c>
      <c r="Q435" s="1109">
        <v>37.937447178187774</v>
      </c>
      <c r="S435" s="1109">
        <v>40.120198820010842</v>
      </c>
      <c r="T435" s="1109">
        <v>62.133006217408983</v>
      </c>
      <c r="U435" s="1109">
        <v>11.020313948072026</v>
      </c>
      <c r="V435" s="1109">
        <v>22.696286366129883</v>
      </c>
      <c r="W435" s="1109">
        <v>14.375580971929649</v>
      </c>
      <c r="X435" s="1109">
        <v>3.7414319911657361</v>
      </c>
      <c r="Y435" s="1109">
        <v>19.899053837793147</v>
      </c>
      <c r="Z435" s="1109">
        <v>19.666719073429224</v>
      </c>
      <c r="AA435" s="1109">
        <v>34.935793999063058</v>
      </c>
      <c r="AB435" s="1109">
        <v>51.62356895384692</v>
      </c>
      <c r="AC435" s="1109">
        <v>27.927336098288503</v>
      </c>
      <c r="AD435" s="1109">
        <v>10.12824872731224</v>
      </c>
      <c r="AE435" s="1109">
        <v>7.5956150681288568</v>
      </c>
      <c r="AF435" s="1109">
        <v>6.6589530550282117</v>
      </c>
      <c r="AG435" s="1109">
        <v>14.695591322603219</v>
      </c>
      <c r="AH435" s="1109">
        <v>13.395638629283487</v>
      </c>
      <c r="AI435" s="1109">
        <v>11.569731081926204</v>
      </c>
      <c r="AJ435" s="1109">
        <v>11.538461538461538</v>
      </c>
      <c r="AK435" s="1109">
        <v>9.0909090909090917</v>
      </c>
      <c r="AL435" s="1109">
        <v>8.5714285714285712</v>
      </c>
      <c r="AM435" s="1109">
        <v>7.1188340807174884</v>
      </c>
      <c r="AN435" s="1109">
        <v>10.40135669869983</v>
      </c>
      <c r="AO435" s="1109">
        <v>11.353467561521253</v>
      </c>
      <c r="AP435" s="1109">
        <v>9.4635627530364381</v>
      </c>
      <c r="AQ435" s="1109">
        <v>3.9246467817896389</v>
      </c>
      <c r="AR435" s="1109">
        <v>-18.074756784434204</v>
      </c>
      <c r="AS435" s="1109">
        <v>-2.4108488196885989</v>
      </c>
      <c r="AT435" s="1109">
        <v>10.309754969949145</v>
      </c>
      <c r="AU435" s="1109">
        <v>20.896273917421954</v>
      </c>
      <c r="AV435" s="1109">
        <v>58.562499999999993</v>
      </c>
      <c r="AW435" s="1109">
        <v>36.695831188883169</v>
      </c>
      <c r="AX435" s="1109">
        <v>28.415758591785416</v>
      </c>
      <c r="AY435" s="1109">
        <v>22.657226155768427</v>
      </c>
      <c r="AZ435" s="1109">
        <v>15.333070555774537</v>
      </c>
      <c r="BA435" s="1109">
        <v>10.240963855421686</v>
      </c>
      <c r="BB435" s="1109">
        <v>5.1892950391644908</v>
      </c>
      <c r="BC435" s="1109">
        <v>3.3955857385398982</v>
      </c>
      <c r="BD435" s="1109">
        <v>7.6199207872029291</v>
      </c>
      <c r="BE435" s="1109">
        <v>8.5682739510689867</v>
      </c>
      <c r="BF435" s="1109">
        <v>9.7757468098058986</v>
      </c>
      <c r="BG435" s="1109">
        <v>9.4417690590963819</v>
      </c>
      <c r="BH435" s="1109">
        <v>9.7160482568874169</v>
      </c>
      <c r="BI435" s="1109">
        <v>8.8534164510705757</v>
      </c>
      <c r="BJ435" s="1109">
        <v>8.5483168393098872</v>
      </c>
      <c r="BK435" s="1109">
        <v>8.5969391788192162</v>
      </c>
      <c r="BL435" s="1109">
        <v>8.357798114214491</v>
      </c>
      <c r="BM435" s="1109">
        <v>3.2112199451868584</v>
      </c>
      <c r="BN435" s="1109">
        <v>2.5335967213589483</v>
      </c>
      <c r="BO435" s="1109">
        <v>5.5606837722563469</v>
      </c>
      <c r="BP435" s="1109">
        <v>6.0723786352134619</v>
      </c>
      <c r="BQ435" s="1109">
        <v>4.4406674534198967</v>
      </c>
      <c r="BR435" s="1109">
        <v>5.2102167862721638</v>
      </c>
      <c r="BS435" s="1109">
        <v>2.8769006116965312</v>
      </c>
      <c r="BT435" s="1109">
        <v>0.26485888276602609</v>
      </c>
      <c r="CM435" s="1109"/>
      <c r="CO435" s="1109"/>
      <c r="CQ435" s="1109"/>
      <c r="CS435" s="1109"/>
      <c r="CU435" s="1109"/>
      <c r="CV435" s="1109"/>
      <c r="CW435" s="1109"/>
      <c r="CX435" s="1109"/>
      <c r="CY435" s="1109"/>
      <c r="CZ435" s="1109"/>
      <c r="DA435" s="1109"/>
      <c r="DB435" s="1109"/>
      <c r="DC435" s="1109"/>
      <c r="DD435" s="1109"/>
      <c r="DE435" s="1109"/>
      <c r="DF435" s="1109"/>
      <c r="DG435" s="1109"/>
      <c r="DH435" s="1109"/>
      <c r="DI435" s="1109"/>
      <c r="DJ435" s="1109"/>
    </row>
    <row r="436" spans="4:114" ht="14.45" hidden="1" outlineLevel="1" collapsed="1">
      <c r="D436" s="1432"/>
      <c r="E436" s="1440"/>
      <c r="F436" s="1107"/>
    </row>
    <row r="437" spans="4:114" ht="14.45" collapsed="1">
      <c r="D437" s="1434" t="s">
        <v>1086</v>
      </c>
      <c r="E437" s="1433" t="s">
        <v>1067</v>
      </c>
      <c r="F437" s="1106" t="s">
        <v>1068</v>
      </c>
      <c r="G437" s="1108">
        <v>376.83577301218497</v>
      </c>
      <c r="I437" s="1108">
        <v>821.26114866514001</v>
      </c>
      <c r="K437" s="1108">
        <v>656.37818181818</v>
      </c>
      <c r="M437" s="1108">
        <v>554.14895127190505</v>
      </c>
      <c r="O437" s="1108">
        <v>923.80960078309613</v>
      </c>
      <c r="Q437" s="1108">
        <v>2066.8399029898042</v>
      </c>
      <c r="S437" s="1108">
        <v>979.19805886170434</v>
      </c>
      <c r="T437" s="1108">
        <v>1867.95762515772</v>
      </c>
      <c r="U437" s="1108">
        <v>1140.4455256996043</v>
      </c>
      <c r="V437" s="1108">
        <v>1356.3916578130766</v>
      </c>
      <c r="W437" s="1108">
        <v>761.75332651220333</v>
      </c>
      <c r="X437" s="1108">
        <v>754.28309273397997</v>
      </c>
      <c r="Y437" s="1108">
        <v>404.94956065000468</v>
      </c>
      <c r="Z437" s="1108">
        <v>785.55848816255866</v>
      </c>
      <c r="AA437" s="1108">
        <v>580.82106237067558</v>
      </c>
      <c r="AB437" s="1108">
        <v>542.70391907602857</v>
      </c>
      <c r="AC437" s="1108">
        <v>76</v>
      </c>
      <c r="AD437" s="1108">
        <v>165</v>
      </c>
      <c r="AE437" s="1108">
        <v>59</v>
      </c>
      <c r="AF437" s="1108">
        <v>69</v>
      </c>
      <c r="AG437" s="1108">
        <v>46</v>
      </c>
      <c r="AH437" s="1108">
        <v>113</v>
      </c>
      <c r="AI437" s="1108">
        <v>51</v>
      </c>
      <c r="AJ437" s="1108">
        <v>49</v>
      </c>
      <c r="AK437" s="1108">
        <v>58</v>
      </c>
      <c r="AL437" s="1108">
        <v>79</v>
      </c>
      <c r="AM437" s="1108">
        <v>39</v>
      </c>
      <c r="AN437" s="1108">
        <v>18</v>
      </c>
      <c r="AO437" s="1108">
        <v>45</v>
      </c>
      <c r="AP437" s="1108">
        <v>80</v>
      </c>
      <c r="AQ437" s="1108">
        <v>30</v>
      </c>
      <c r="AR437" s="1108">
        <v>30</v>
      </c>
      <c r="AS437" s="1108">
        <v>43</v>
      </c>
      <c r="AT437" s="1108">
        <v>71</v>
      </c>
      <c r="AU437" s="1108">
        <v>40</v>
      </c>
      <c r="AV437" s="1108">
        <v>23</v>
      </c>
      <c r="AW437" s="1108">
        <v>28</v>
      </c>
      <c r="AX437" s="1108">
        <v>73</v>
      </c>
      <c r="AY437" s="1108">
        <v>-6</v>
      </c>
      <c r="AZ437" s="1108">
        <v>-14</v>
      </c>
      <c r="BA437" s="1108">
        <v>33</v>
      </c>
      <c r="BB437" s="1108">
        <v>18</v>
      </c>
      <c r="BC437" s="1108">
        <v>-2</v>
      </c>
      <c r="BD437" s="1108">
        <v>36.317464606750718</v>
      </c>
      <c r="BE437" s="1108">
        <v>-22.447395833331349</v>
      </c>
      <c r="BF437" s="1108">
        <v>-2.2529947916662665</v>
      </c>
      <c r="BG437" s="1108">
        <v>20.406884765625751</v>
      </c>
      <c r="BH437" s="1108">
        <v>21.779230957031974</v>
      </c>
      <c r="BI437" s="1108">
        <v>-30.243500000000001</v>
      </c>
      <c r="BJ437" s="1108">
        <v>-5.4310000000040004</v>
      </c>
      <c r="BK437" s="1108">
        <v>13.897500000000001</v>
      </c>
      <c r="BL437" s="1108">
        <v>16.066749999999999</v>
      </c>
      <c r="BM437" s="1108">
        <v>35.600812500000004</v>
      </c>
      <c r="BN437" s="1108">
        <v>19.418624999999999</v>
      </c>
      <c r="BO437" s="1108">
        <v>-2.3152499999999998</v>
      </c>
      <c r="BP437" s="1108">
        <v>-3.0098250000000002</v>
      </c>
      <c r="BQ437" s="1108">
        <v>36.555853124999999</v>
      </c>
      <c r="BR437" s="1108">
        <v>19.939556249999999</v>
      </c>
      <c r="BS437" s="1108">
        <v>-2.4310125</v>
      </c>
      <c r="BT437" s="1108">
        <v>-3.1603162500000002</v>
      </c>
      <c r="CK437" s="1108"/>
      <c r="CM437" s="1108"/>
      <c r="CO437" s="1108"/>
      <c r="CQ437" s="1108"/>
      <c r="CS437" s="1108"/>
      <c r="CU437" s="1108"/>
      <c r="CV437" s="1108"/>
      <c r="CW437" s="1108"/>
      <c r="CX437" s="1108"/>
      <c r="CY437" s="1108"/>
      <c r="CZ437" s="1108"/>
      <c r="DA437" s="1108"/>
      <c r="DB437" s="1108"/>
      <c r="DC437" s="1108"/>
      <c r="DD437" s="1108"/>
      <c r="DE437" s="1108"/>
      <c r="DF437" s="1108"/>
      <c r="DG437" s="1108"/>
      <c r="DH437" s="1108"/>
      <c r="DI437" s="1108"/>
      <c r="DJ437" s="1108"/>
    </row>
    <row r="438" spans="4:114" ht="14.45" hidden="1" outlineLevel="1">
      <c r="D438" s="1432"/>
      <c r="E438" s="1440"/>
      <c r="F438" s="1106" t="s">
        <v>1069</v>
      </c>
      <c r="O438" s="1109">
        <v>145.14912514774036</v>
      </c>
      <c r="Q438" s="1109">
        <v>151.66658697409477</v>
      </c>
      <c r="S438" s="1109">
        <v>49.181993854412887</v>
      </c>
      <c r="T438" s="1109">
        <v>237.08583601400099</v>
      </c>
      <c r="U438" s="1109">
        <v>23.450278578277384</v>
      </c>
      <c r="V438" s="1109">
        <v>-34.373646654925857</v>
      </c>
      <c r="W438" s="1109">
        <v>-22.206409661624086</v>
      </c>
      <c r="X438" s="1109">
        <v>-59.619903440245722</v>
      </c>
      <c r="Y438" s="1109">
        <v>-64.491985673617407</v>
      </c>
      <c r="Z438" s="1109">
        <v>-42.084685965326393</v>
      </c>
      <c r="AA438" s="1109">
        <v>-23.752080607242245</v>
      </c>
      <c r="AB438" s="1109">
        <v>-28.050366725185366</v>
      </c>
      <c r="AC438" s="1109">
        <v>-81.232230533104271</v>
      </c>
      <c r="AD438" s="1109">
        <v>-78.995835130501973</v>
      </c>
      <c r="AE438" s="1109">
        <v>-89.841966171270386</v>
      </c>
      <c r="AF438" s="1109">
        <v>-87.285885070173293</v>
      </c>
      <c r="AG438" s="1109">
        <v>-39.473684210526315</v>
      </c>
      <c r="AH438" s="1109">
        <v>-31.515151515151512</v>
      </c>
      <c r="AI438" s="1109">
        <v>-13.559322033898304</v>
      </c>
      <c r="AJ438" s="1109">
        <v>-28.985507246376812</v>
      </c>
      <c r="AK438" s="1109">
        <v>26.086956521739129</v>
      </c>
      <c r="AL438" s="1109">
        <v>-30.088495575221241</v>
      </c>
      <c r="AM438" s="1109">
        <v>-23.52941176470588</v>
      </c>
      <c r="AN438" s="1109">
        <v>-63.265306122448983</v>
      </c>
      <c r="AO438" s="1109">
        <v>-22.413793103448278</v>
      </c>
      <c r="AP438" s="1109">
        <v>1.2658227848101267</v>
      </c>
      <c r="AQ438" s="1109">
        <v>-23.076923076923077</v>
      </c>
      <c r="AR438" s="1109">
        <v>66.666666666666657</v>
      </c>
      <c r="AS438" s="1109">
        <v>-4.4444444444444446</v>
      </c>
      <c r="AT438" s="1109">
        <v>-11.25</v>
      </c>
      <c r="AU438" s="1109">
        <v>33.333333333333329</v>
      </c>
      <c r="AV438" s="1109">
        <v>-23.333333333333332</v>
      </c>
      <c r="AW438" s="1109">
        <v>-34.883720930232556</v>
      </c>
      <c r="AX438" s="1109">
        <v>2.8169014084507045</v>
      </c>
      <c r="AY438" s="1109">
        <v>-114.99999999999999</v>
      </c>
      <c r="AZ438" s="1109">
        <v>-160.86956521739131</v>
      </c>
      <c r="BA438" s="1109">
        <v>17.857142857142858</v>
      </c>
      <c r="BB438" s="1109">
        <v>-75.342465753424662</v>
      </c>
      <c r="BC438" s="1109">
        <v>66.666666666666657</v>
      </c>
      <c r="BD438" s="1109">
        <v>359.41046147679083</v>
      </c>
      <c r="BE438" s="1109">
        <v>-168.02241161615561</v>
      </c>
      <c r="BF438" s="1109">
        <v>-112.51663773147926</v>
      </c>
      <c r="BG438" s="1109">
        <v>1120.3442382812875</v>
      </c>
      <c r="BH438" s="1109">
        <v>-40.030970793639504</v>
      </c>
      <c r="BI438" s="1109">
        <v>-34.73055059283309</v>
      </c>
      <c r="BJ438" s="1109">
        <v>-141.05692654475021</v>
      </c>
      <c r="BK438" s="1109">
        <v>-31.897983648099203</v>
      </c>
      <c r="BL438" s="1109">
        <v>-26.229029704042677</v>
      </c>
      <c r="BM438" s="1109">
        <v>217.71393026600757</v>
      </c>
      <c r="BN438" s="1109">
        <v>457.55155588263108</v>
      </c>
      <c r="BO438" s="1109">
        <v>-116.65947112790069</v>
      </c>
      <c r="BP438" s="1109">
        <v>-118.73325345822894</v>
      </c>
      <c r="BQ438" s="1109">
        <v>2.6826371589131428</v>
      </c>
      <c r="BR438" s="1109">
        <v>2.6826371589131583</v>
      </c>
      <c r="BS438" s="1109">
        <v>-5.0000000000000089</v>
      </c>
      <c r="BT438" s="1109">
        <v>-4.9999999999999982</v>
      </c>
      <c r="CM438" s="1109"/>
      <c r="CO438" s="1109"/>
      <c r="CQ438" s="1109"/>
      <c r="CS438" s="1109"/>
      <c r="CU438" s="1109"/>
      <c r="CW438" s="1109"/>
      <c r="CX438" s="1109"/>
      <c r="CY438" s="1109"/>
      <c r="CZ438" s="1109"/>
      <c r="DA438" s="1109"/>
      <c r="DB438" s="1109"/>
      <c r="DC438" s="1109"/>
      <c r="DD438" s="1109"/>
      <c r="DE438" s="1109"/>
      <c r="DF438" s="1109"/>
      <c r="DG438" s="1109"/>
      <c r="DH438" s="1109"/>
      <c r="DI438" s="1109"/>
      <c r="DJ438" s="1109"/>
    </row>
    <row r="439" spans="4:114" ht="14.45" hidden="1" outlineLevel="1" collapsed="1">
      <c r="D439" s="1432"/>
      <c r="E439" s="1440"/>
      <c r="F439" s="1106"/>
    </row>
    <row r="440" spans="4:114" ht="14.45" collapsed="1">
      <c r="D440" s="1431" t="s">
        <v>1087</v>
      </c>
      <c r="E440" s="1433" t="s">
        <v>1067</v>
      </c>
      <c r="F440" s="1107" t="s">
        <v>1068</v>
      </c>
      <c r="G440" s="1108">
        <v>6945.4799670223501</v>
      </c>
      <c r="I440" s="1108">
        <v>10033.065178241841</v>
      </c>
      <c r="K440" s="1108">
        <v>7410.5009967643264</v>
      </c>
      <c r="M440" s="1108">
        <v>6996.1428416501567</v>
      </c>
      <c r="O440" s="1108">
        <v>7594</v>
      </c>
      <c r="Q440" s="1108">
        <v>12070</v>
      </c>
      <c r="S440" s="1108">
        <v>8451</v>
      </c>
      <c r="T440" s="1108">
        <v>10292</v>
      </c>
      <c r="U440" s="1108">
        <v>11236</v>
      </c>
      <c r="V440" s="1108">
        <v>13282</v>
      </c>
      <c r="W440" s="1108">
        <v>9369</v>
      </c>
      <c r="X440" s="1108">
        <v>9243</v>
      </c>
      <c r="Y440" s="1108">
        <v>9329</v>
      </c>
      <c r="Z440" s="1108">
        <v>12513</v>
      </c>
      <c r="AA440" s="1108">
        <v>9387</v>
      </c>
      <c r="AB440" s="1108">
        <v>9181</v>
      </c>
      <c r="AC440" s="1108">
        <v>9395</v>
      </c>
      <c r="AD440" s="1108">
        <v>11889</v>
      </c>
      <c r="AE440" s="1108">
        <v>8775</v>
      </c>
      <c r="AF440" s="1108">
        <v>9235</v>
      </c>
      <c r="AG440" s="1108">
        <v>9378</v>
      </c>
      <c r="AH440" s="1108">
        <v>12170</v>
      </c>
      <c r="AI440" s="1108">
        <v>9917</v>
      </c>
      <c r="AJ440" s="1108">
        <v>10811</v>
      </c>
      <c r="AK440" s="1108">
        <v>10746</v>
      </c>
      <c r="AL440" s="1108">
        <v>12993</v>
      </c>
      <c r="AM440" s="1108">
        <v>10680</v>
      </c>
      <c r="AN440" s="1108">
        <v>11279</v>
      </c>
      <c r="AO440" s="1108">
        <v>11133</v>
      </c>
      <c r="AP440" s="1108">
        <v>13211</v>
      </c>
      <c r="AQ440" s="1108">
        <v>10997</v>
      </c>
      <c r="AR440" s="1108">
        <v>12910</v>
      </c>
      <c r="AS440" s="1108">
        <v>11849</v>
      </c>
      <c r="AT440" s="1108">
        <v>15122</v>
      </c>
      <c r="AU440" s="1108">
        <v>13036</v>
      </c>
      <c r="AV440" s="1108">
        <v>14086</v>
      </c>
      <c r="AW440" s="1108">
        <v>13314</v>
      </c>
      <c r="AX440" s="1108">
        <v>17530</v>
      </c>
      <c r="AY440" s="1108">
        <v>14520</v>
      </c>
      <c r="AZ440" s="1108">
        <v>14356</v>
      </c>
      <c r="BA440" s="1108">
        <v>13332</v>
      </c>
      <c r="BB440" s="1108">
        <v>14237</v>
      </c>
      <c r="BC440" s="1108">
        <v>13260</v>
      </c>
      <c r="BD440" s="1108">
        <v>13578.62853709211</v>
      </c>
      <c r="BE440" s="1108">
        <v>13114.634845718912</v>
      </c>
      <c r="BF440" s="1108">
        <v>14921.466686966271</v>
      </c>
      <c r="BG440" s="1108">
        <v>13944.103885933595</v>
      </c>
      <c r="BH440" s="1108">
        <v>14424.51360947043</v>
      </c>
      <c r="BI440" s="1108">
        <v>13767.257625117647</v>
      </c>
      <c r="BJ440" s="1108">
        <v>15791.819533796008</v>
      </c>
      <c r="BK440" s="1108">
        <v>14605.522296466492</v>
      </c>
      <c r="BL440" s="1108">
        <v>15096.103462363475</v>
      </c>
      <c r="BM440" s="1108">
        <v>14563.734315910775</v>
      </c>
      <c r="BN440" s="1108">
        <v>16389.2668346787</v>
      </c>
      <c r="BO440" s="1108">
        <v>15592.519372062499</v>
      </c>
      <c r="BP440" s="1108">
        <v>15944.721457734349</v>
      </c>
      <c r="BQ440" s="1108">
        <v>15072.973325749566</v>
      </c>
      <c r="BR440" s="1108">
        <v>16416.204155964966</v>
      </c>
      <c r="BS440" s="1108">
        <v>16070.3320997019</v>
      </c>
      <c r="BT440" s="1108">
        <v>16693.527690605068</v>
      </c>
      <c r="CK440" s="1108"/>
      <c r="CM440" s="1108"/>
      <c r="CN440" s="1108"/>
      <c r="CO440" s="1108"/>
      <c r="CP440" s="1108"/>
      <c r="CQ440" s="1108"/>
      <c r="CR440" s="1108"/>
      <c r="CS440" s="1108"/>
      <c r="CT440" s="1108"/>
      <c r="CU440" s="1108"/>
      <c r="CV440" s="1108"/>
      <c r="CW440" s="1108"/>
      <c r="CX440" s="1108"/>
      <c r="CY440" s="1108"/>
      <c r="CZ440" s="1108"/>
      <c r="DA440" s="1108"/>
      <c r="DB440" s="1108"/>
      <c r="DC440" s="1108"/>
      <c r="DD440" s="1108"/>
      <c r="DE440" s="1108"/>
      <c r="DF440" s="1108"/>
      <c r="DG440" s="1108"/>
      <c r="DH440" s="1108"/>
      <c r="DI440" s="1108"/>
      <c r="DJ440" s="1108"/>
    </row>
    <row r="441" spans="4:114" ht="14.45" hidden="1" outlineLevel="1">
      <c r="D441" s="1432"/>
      <c r="E441" s="1440"/>
      <c r="F441" s="1107" t="s">
        <v>1069</v>
      </c>
      <c r="O441" s="1109">
        <v>9.3372961416182996</v>
      </c>
      <c r="Q441" s="1109">
        <v>20.302218570009376</v>
      </c>
      <c r="S441" s="1109">
        <v>14.04087258999075</v>
      </c>
      <c r="T441" s="1109">
        <v>47.109632163720384</v>
      </c>
      <c r="U441" s="1109">
        <v>47.958914932841715</v>
      </c>
      <c r="V441" s="1109">
        <v>10.041425020712511</v>
      </c>
      <c r="W441" s="1109">
        <v>10.862619808306709</v>
      </c>
      <c r="X441" s="1109">
        <v>-10.192382432957638</v>
      </c>
      <c r="Y441" s="1109">
        <v>-16.972232111071555</v>
      </c>
      <c r="Z441" s="1109">
        <v>-5.7897906941725639</v>
      </c>
      <c r="AA441" s="1109">
        <v>0.19212295869356388</v>
      </c>
      <c r="AB441" s="1109">
        <v>-0.67077788596775945</v>
      </c>
      <c r="AC441" s="1109">
        <v>0.70747132597277307</v>
      </c>
      <c r="AD441" s="1109">
        <v>-4.9868137137377131</v>
      </c>
      <c r="AE441" s="1109">
        <v>-6.5196548418024927</v>
      </c>
      <c r="AF441" s="1109">
        <v>0.58817122317830306</v>
      </c>
      <c r="AG441" s="1109">
        <v>-0.18094731240021286</v>
      </c>
      <c r="AH441" s="1109">
        <v>2.3635293128101607</v>
      </c>
      <c r="AI441" s="1109">
        <v>13.014245014245015</v>
      </c>
      <c r="AJ441" s="1109">
        <v>17.065511640498105</v>
      </c>
      <c r="AK441" s="1109">
        <v>14.587332053742802</v>
      </c>
      <c r="AL441" s="1109">
        <v>6.7625308134757605</v>
      </c>
      <c r="AM441" s="1109">
        <v>7.6938590299485732</v>
      </c>
      <c r="AN441" s="1109">
        <v>4.3289242438257336</v>
      </c>
      <c r="AO441" s="1109">
        <v>3.6013400335008376</v>
      </c>
      <c r="AP441" s="1109">
        <v>1.6778265219733703</v>
      </c>
      <c r="AQ441" s="1109">
        <v>2.9681647940074907</v>
      </c>
      <c r="AR441" s="1109">
        <v>14.460501817537017</v>
      </c>
      <c r="AS441" s="1109">
        <v>6.4313302793496812</v>
      </c>
      <c r="AT441" s="1109">
        <v>14.465218378623874</v>
      </c>
      <c r="AU441" s="1109">
        <v>18.541420387378377</v>
      </c>
      <c r="AV441" s="1109">
        <v>9.1092176607281186</v>
      </c>
      <c r="AW441" s="1109">
        <v>12.363912566461305</v>
      </c>
      <c r="AX441" s="1109">
        <v>15.923819600581934</v>
      </c>
      <c r="AY441" s="1109">
        <v>11.383860079779073</v>
      </c>
      <c r="AZ441" s="1109">
        <v>1.916796819537129</v>
      </c>
      <c r="BA441" s="1109">
        <v>0.13519603424966201</v>
      </c>
      <c r="BB441" s="1109">
        <v>-18.784940102681119</v>
      </c>
      <c r="BC441" s="1109">
        <v>-8.677685950413224</v>
      </c>
      <c r="BD441" s="1109">
        <v>-5.4149586438275952</v>
      </c>
      <c r="BE441" s="1109">
        <v>-1.6304016972778848</v>
      </c>
      <c r="BF441" s="1109">
        <v>4.8076609325438691</v>
      </c>
      <c r="BG441" s="1109">
        <v>5.1591544942201732</v>
      </c>
      <c r="BH441" s="1109">
        <v>6.2295324602750179</v>
      </c>
      <c r="BI441" s="1109">
        <v>4.9762939424255039</v>
      </c>
      <c r="BJ441" s="1109">
        <v>5.8328907277592252</v>
      </c>
      <c r="BK441" s="1109">
        <v>4.7433554421529838</v>
      </c>
      <c r="BL441" s="1109">
        <v>4.655892538741214</v>
      </c>
      <c r="BM441" s="1109">
        <v>5.7852966253787361</v>
      </c>
      <c r="BN441" s="1109">
        <v>3.7832708232518568</v>
      </c>
      <c r="BO441" s="1109">
        <v>6.7576979142662461</v>
      </c>
      <c r="BP441" s="1109">
        <v>5.6214373297492823</v>
      </c>
      <c r="BQ441" s="1109">
        <v>3.496623865779064</v>
      </c>
      <c r="BR441" s="1109">
        <v>0.16435952601167478</v>
      </c>
      <c r="BS441" s="1109">
        <v>3.0643715504725266</v>
      </c>
      <c r="BT441" s="1109">
        <v>4.696264120107867</v>
      </c>
      <c r="CM441" s="1109"/>
      <c r="CO441" s="1109"/>
      <c r="CP441" s="1109"/>
      <c r="CQ441" s="1109"/>
      <c r="CR441" s="1109"/>
      <c r="CS441" s="1109"/>
      <c r="CT441" s="1109"/>
      <c r="CU441" s="1109"/>
      <c r="CV441" s="1109"/>
      <c r="CW441" s="1109"/>
      <c r="CX441" s="1109"/>
      <c r="CY441" s="1109"/>
      <c r="CZ441" s="1109"/>
      <c r="DA441" s="1109"/>
      <c r="DB441" s="1109"/>
      <c r="DC441" s="1109"/>
      <c r="DD441" s="1109"/>
      <c r="DE441" s="1109"/>
      <c r="DF441" s="1109"/>
      <c r="DG441" s="1109"/>
      <c r="DH441" s="1109"/>
      <c r="DI441" s="1109"/>
      <c r="DJ441" s="1109"/>
    </row>
    <row r="442" spans="4:114" ht="14.45" hidden="1" outlineLevel="1" collapsed="1">
      <c r="D442" s="1432"/>
      <c r="E442" s="1440"/>
      <c r="F442" s="1107"/>
    </row>
    <row r="443" spans="4:114" ht="14.45" collapsed="1">
      <c r="D443" s="1431" t="s">
        <v>1181</v>
      </c>
      <c r="E443" s="1433" t="s">
        <v>1067</v>
      </c>
      <c r="F443" s="1106" t="s">
        <v>1068</v>
      </c>
      <c r="G443" s="1108">
        <v>2172.4606108265498</v>
      </c>
      <c r="I443" s="1108">
        <v>3649.8774565957851</v>
      </c>
      <c r="K443" s="1108">
        <v>2554.9827833557852</v>
      </c>
      <c r="M443" s="1108">
        <v>2670.1287414157746</v>
      </c>
      <c r="O443" s="1108">
        <v>2865.7891152122174</v>
      </c>
      <c r="Q443" s="1108">
        <v>6180.7707992686901</v>
      </c>
      <c r="S443" s="1108">
        <v>3597.6919062172974</v>
      </c>
      <c r="T443" s="1108">
        <v>5197.2980502132978</v>
      </c>
      <c r="U443" s="1108">
        <v>5742.6348162131744</v>
      </c>
      <c r="V443" s="1108">
        <v>7189.819922990504</v>
      </c>
      <c r="W443" s="1108">
        <v>4528.2253342916783</v>
      </c>
      <c r="X443" s="1108">
        <v>4653.837820067949</v>
      </c>
      <c r="Y443" s="1108">
        <v>4406.0081043643368</v>
      </c>
      <c r="Z443" s="1108">
        <v>6694.7328178447988</v>
      </c>
      <c r="AA443" s="1108">
        <v>4526.5720092722349</v>
      </c>
      <c r="AB443" s="1108">
        <v>4614.0863111862609</v>
      </c>
      <c r="AC443" s="1108">
        <v>4451.5255926509062</v>
      </c>
      <c r="AD443" s="1108">
        <v>6062.8923077895997</v>
      </c>
      <c r="AE443" s="1108">
        <v>4101.4068258966436</v>
      </c>
      <c r="AF443" s="1108">
        <v>4081.5953923865118</v>
      </c>
      <c r="AG443" s="1108">
        <v>3992.4018133254781</v>
      </c>
      <c r="AH443" s="1108">
        <v>6299.6142886993539</v>
      </c>
      <c r="AI443" s="1108">
        <v>4573.0192994560002</v>
      </c>
      <c r="AJ443" s="1108">
        <v>4597.1283721985455</v>
      </c>
      <c r="AK443" s="1108">
        <v>4842.7714798561119</v>
      </c>
      <c r="AL443" s="1108">
        <v>6883.7925339236499</v>
      </c>
      <c r="AM443" s="1108">
        <v>4688.3677414031226</v>
      </c>
      <c r="AN443" s="1108">
        <v>4576.1651223497965</v>
      </c>
      <c r="AO443" s="1108">
        <v>4538.5798927799187</v>
      </c>
      <c r="AP443" s="1108">
        <v>5917.5627479659433</v>
      </c>
      <c r="AQ443" s="1108">
        <v>4617.519256831496</v>
      </c>
      <c r="AR443" s="1108">
        <v>5452.6126006391387</v>
      </c>
      <c r="AS443" s="1108">
        <v>4718.562227594427</v>
      </c>
      <c r="AT443" s="1108">
        <v>6991.7514260715398</v>
      </c>
      <c r="AU443" s="1108">
        <v>5704.2877633048765</v>
      </c>
      <c r="AV443" s="1108">
        <v>5941.2918819036049</v>
      </c>
      <c r="AW443" s="1108">
        <v>5474.1138316352572</v>
      </c>
      <c r="AX443" s="1108">
        <v>7976.713475215518</v>
      </c>
      <c r="AY443" s="1108">
        <v>6389.8692692166242</v>
      </c>
      <c r="AZ443" s="1108">
        <v>6202.7087823325128</v>
      </c>
      <c r="BA443" s="1108">
        <v>6170.4498352492428</v>
      </c>
      <c r="BB443" s="1108">
        <v>7311.765771224952</v>
      </c>
      <c r="BC443" s="1108">
        <v>5737.2293322646474</v>
      </c>
      <c r="BD443" s="1108">
        <v>5998.1239145767649</v>
      </c>
      <c r="BE443" s="1108">
        <v>5995.6776476449359</v>
      </c>
      <c r="BF443" s="1108">
        <v>7025.4634287294803</v>
      </c>
      <c r="BG443" s="1108">
        <v>6113.0134837790501</v>
      </c>
      <c r="BH443" s="1108">
        <v>6429.6326987452112</v>
      </c>
      <c r="BI443" s="1108">
        <v>6381.9409811922233</v>
      </c>
      <c r="BJ443" s="1108">
        <v>7405.7718217194615</v>
      </c>
      <c r="BK443" s="1108">
        <v>6502.135964966873</v>
      </c>
      <c r="BL443" s="1108">
        <v>6820.3505855751982</v>
      </c>
      <c r="BM443" s="1108">
        <v>6684.1046750418327</v>
      </c>
      <c r="BN443" s="1108">
        <v>8395.7099844011482</v>
      </c>
      <c r="BO443" s="1108">
        <v>7176.1798453977826</v>
      </c>
      <c r="BP443" s="1108">
        <v>7154.1996819863271</v>
      </c>
      <c r="BQ443" s="1108">
        <v>6922.8286196889003</v>
      </c>
      <c r="BR443" s="1108">
        <v>8270.6992966791859</v>
      </c>
      <c r="BS443" s="1108">
        <v>7350.5563011514369</v>
      </c>
      <c r="BT443" s="1108">
        <v>10371.863023564247</v>
      </c>
      <c r="CK443" s="1108"/>
      <c r="CM443" s="1108"/>
      <c r="CO443" s="1108"/>
      <c r="CQ443" s="1108"/>
      <c r="CS443" s="1108"/>
      <c r="CU443" s="1108"/>
      <c r="CW443" s="1108"/>
      <c r="CY443" s="1108"/>
      <c r="DA443" s="1108"/>
      <c r="DC443" s="1108"/>
      <c r="DE443" s="1108"/>
      <c r="DF443" s="1108"/>
      <c r="DG443" s="1108"/>
      <c r="DH443" s="1108"/>
      <c r="DI443" s="1108"/>
    </row>
    <row r="444" spans="4:114" ht="14.45" hidden="1" outlineLevel="1">
      <c r="D444" s="1432"/>
      <c r="E444" s="1440"/>
      <c r="F444" s="1106" t="s">
        <v>1069</v>
      </c>
      <c r="O444" s="1109">
        <v>31.914433841996289</v>
      </c>
      <c r="Q444" s="1109">
        <v>69.341871686657981</v>
      </c>
      <c r="S444" s="1109">
        <v>40.810808184468044</v>
      </c>
      <c r="T444" s="1109">
        <v>94.645972293364011</v>
      </c>
      <c r="U444" s="1109">
        <v>100.3858129591619</v>
      </c>
      <c r="V444" s="1109">
        <v>16.325619514012796</v>
      </c>
      <c r="W444" s="1109">
        <v>25.864733621750474</v>
      </c>
      <c r="X444" s="1109">
        <v>-10.456591576906872</v>
      </c>
      <c r="Y444" s="1109">
        <v>-23.275495563032162</v>
      </c>
      <c r="Z444" s="1109">
        <v>-6.885945829638815</v>
      </c>
      <c r="AA444" s="1109">
        <v>-3.6511544752929566E-2</v>
      </c>
      <c r="AB444" s="1109">
        <v>-0.85416618323643467</v>
      </c>
      <c r="AC444" s="1109">
        <v>1.0330777249701939</v>
      </c>
      <c r="AD444" s="1109">
        <v>-9.4378749271521212</v>
      </c>
      <c r="AE444" s="1109">
        <v>-9.3926525968145995</v>
      </c>
      <c r="AF444" s="1109">
        <v>-11.540549588524019</v>
      </c>
      <c r="AG444" s="1109">
        <v>-10.313852403396329</v>
      </c>
      <c r="AH444" s="1109">
        <v>3.9044398101152802</v>
      </c>
      <c r="AI444" s="1109">
        <v>11.49879769501416</v>
      </c>
      <c r="AJ444" s="1109">
        <v>12.630673309110174</v>
      </c>
      <c r="AK444" s="1109">
        <v>21.299701440179362</v>
      </c>
      <c r="AL444" s="1109">
        <v>9.2732383040058792</v>
      </c>
      <c r="AM444" s="1109">
        <v>2.522369454265021</v>
      </c>
      <c r="AN444" s="1109">
        <v>-0.45600749318913342</v>
      </c>
      <c r="AO444" s="1109">
        <v>-6.2813533188898543</v>
      </c>
      <c r="AP444" s="1109">
        <v>-14.03630021090963</v>
      </c>
      <c r="AQ444" s="1109">
        <v>-1.5111545953607994</v>
      </c>
      <c r="AR444" s="1109">
        <v>19.152444347097745</v>
      </c>
      <c r="AS444" s="1109">
        <v>3.9656090465836775</v>
      </c>
      <c r="AT444" s="1109">
        <v>18.152552391182155</v>
      </c>
      <c r="AU444" s="1109">
        <v>23.535765549121113</v>
      </c>
      <c r="AV444" s="1109">
        <v>8.9622960048029956</v>
      </c>
      <c r="AW444" s="1109">
        <v>16.012326797818208</v>
      </c>
      <c r="AX444" s="1109">
        <v>14.08748665564902</v>
      </c>
      <c r="AY444" s="1109">
        <v>12.018704777168258</v>
      </c>
      <c r="AZ444" s="1109">
        <v>4.4000009699094136</v>
      </c>
      <c r="BA444" s="1109">
        <v>12.720524728401061</v>
      </c>
      <c r="BB444" s="1109">
        <v>-8.3361111823387919</v>
      </c>
      <c r="BC444" s="1109">
        <v>-10.213666500128385</v>
      </c>
      <c r="BD444" s="1109">
        <v>-3.2983148965251634</v>
      </c>
      <c r="BE444" s="1109">
        <v>-2.8324059391246537</v>
      </c>
      <c r="BF444" s="1109">
        <v>-3.915638868277191</v>
      </c>
      <c r="BG444" s="1109">
        <v>6.5499238352054876</v>
      </c>
      <c r="BH444" s="1109">
        <v>7.1940625154439486</v>
      </c>
      <c r="BI444" s="1109">
        <v>6.4423632531180051</v>
      </c>
      <c r="BJ444" s="1109">
        <v>5.4132854985020984</v>
      </c>
      <c r="BK444" s="1109">
        <v>6.3654772269088511</v>
      </c>
      <c r="BL444" s="1109">
        <v>6.0768305926128319</v>
      </c>
      <c r="BM444" s="1109">
        <v>4.7346676307426714</v>
      </c>
      <c r="BN444" s="1109">
        <v>13.367116709948053</v>
      </c>
      <c r="BO444" s="1109">
        <v>10.366499317495336</v>
      </c>
      <c r="BP444" s="1109">
        <v>4.8948964165743609</v>
      </c>
      <c r="BQ444" s="1109">
        <v>3.5715171478156651</v>
      </c>
      <c r="BR444" s="1109">
        <v>-1.4889829204942351</v>
      </c>
      <c r="BS444" s="1109">
        <v>2.4299343036321073</v>
      </c>
      <c r="BT444" s="1109">
        <v>44.975867107535805</v>
      </c>
      <c r="CM444" s="1109"/>
      <c r="CO444" s="1109"/>
      <c r="CQ444" s="1109"/>
      <c r="CS444" s="1109"/>
      <c r="CU444" s="1109"/>
      <c r="CW444" s="1109"/>
      <c r="CY444" s="1109"/>
      <c r="DA444" s="1109"/>
      <c r="DC444" s="1109"/>
      <c r="DE444" s="1109"/>
      <c r="DF444" s="1109"/>
      <c r="DG444" s="1109"/>
      <c r="DH444" s="1109"/>
      <c r="DI444" s="1109"/>
    </row>
    <row r="445" spans="4:114" ht="14.45" hidden="1" outlineLevel="1" collapsed="1">
      <c r="D445" s="1432"/>
      <c r="E445" s="1440"/>
      <c r="F445" s="1106"/>
    </row>
    <row r="446" spans="4:114" ht="14.45" collapsed="1">
      <c r="D446" s="1431" t="s">
        <v>1182</v>
      </c>
      <c r="E446" s="1433" t="s">
        <v>1067</v>
      </c>
      <c r="F446" s="1107" t="s">
        <v>1068</v>
      </c>
      <c r="G446" s="1108">
        <v>4797.2817071451054</v>
      </c>
      <c r="I446" s="1108">
        <v>6302.0991121294746</v>
      </c>
      <c r="K446" s="1108">
        <v>4831.9219303807104</v>
      </c>
      <c r="M446" s="1108">
        <v>4238.2575210594596</v>
      </c>
      <c r="O446" s="1108">
        <v>4493.757318804307</v>
      </c>
      <c r="Q446" s="1108">
        <v>5785.3019754280822</v>
      </c>
      <c r="S446" s="1108">
        <v>4766.2474263411323</v>
      </c>
      <c r="T446" s="1108">
        <v>5044.4568075570123</v>
      </c>
      <c r="U446" s="1108">
        <v>5493.8802426598158</v>
      </c>
      <c r="V446" s="1108">
        <v>6058.4713874829258</v>
      </c>
      <c r="W446" s="1108">
        <v>4825.8822964909314</v>
      </c>
      <c r="X446" s="1108">
        <v>4573.5767356298802</v>
      </c>
      <c r="Y446" s="1108">
        <v>4912.8118928660342</v>
      </c>
      <c r="Z446" s="1108">
        <v>5822.6205932018929</v>
      </c>
      <c r="AA446" s="1108">
        <v>4851.767951093706</v>
      </c>
      <c r="AB446" s="1108">
        <v>4566.7706329019738</v>
      </c>
      <c r="AC446" s="1108">
        <v>4914.63926532603</v>
      </c>
      <c r="AD446" s="1108">
        <v>5782.114712471649</v>
      </c>
      <c r="AE446" s="1108">
        <v>4665.6613455615607</v>
      </c>
      <c r="AF446" s="1108">
        <v>5152.3700287082866</v>
      </c>
      <c r="AG446" s="1108">
        <v>5385.5593165446517</v>
      </c>
      <c r="AH446" s="1108">
        <v>5870.4520851134012</v>
      </c>
      <c r="AI446" s="1108">
        <v>5343.9807211559646</v>
      </c>
      <c r="AJ446" s="1108">
        <v>6213.8311915190834</v>
      </c>
      <c r="AK446" s="1108">
        <v>5903.2673772867456</v>
      </c>
      <c r="AL446" s="1108">
        <v>6109.2147489800136</v>
      </c>
      <c r="AM446" s="1108">
        <v>5991.639290572477</v>
      </c>
      <c r="AN446" s="1108">
        <v>6702.8011004587415</v>
      </c>
      <c r="AO446" s="1108">
        <v>6604.5140658977671</v>
      </c>
      <c r="AP446" s="1108">
        <v>7293.4429213013564</v>
      </c>
      <c r="AQ446" s="1108">
        <v>6379.4856046895584</v>
      </c>
      <c r="AR446" s="1108">
        <v>7457.3725539875823</v>
      </c>
      <c r="AS446" s="1108">
        <v>7130.5044542237547</v>
      </c>
      <c r="AT446" s="1108">
        <v>8129.6751311814032</v>
      </c>
      <c r="AU446" s="1108">
        <v>7329.1703254704307</v>
      </c>
      <c r="AV446" s="1108">
        <v>8164.4799165025352</v>
      </c>
      <c r="AW446" s="1108">
        <v>7847.0090642251471</v>
      </c>
      <c r="AX446" s="1108">
        <v>9525.2932430695637</v>
      </c>
      <c r="AY446" s="1108">
        <v>8142.7224242622997</v>
      </c>
      <c r="AZ446" s="1108">
        <v>8170.8317785484551</v>
      </c>
      <c r="BA446" s="1108">
        <v>7153.8647830240607</v>
      </c>
      <c r="BB446" s="1108">
        <v>6927.9566397281969</v>
      </c>
      <c r="BC446" s="1108">
        <v>7510.7572333868193</v>
      </c>
      <c r="BD446" s="1108">
        <v>7584.8046307572513</v>
      </c>
      <c r="BE446" s="1108">
        <v>7168.2754909463538</v>
      </c>
      <c r="BF446" s="1108">
        <v>7989.0028177951808</v>
      </c>
      <c r="BG446" s="1108">
        <v>7858.2666653092228</v>
      </c>
      <c r="BH446" s="1108">
        <v>7991.8806533141114</v>
      </c>
      <c r="BI446" s="1108">
        <v>7513.5413246539883</v>
      </c>
      <c r="BJ446" s="1108">
        <v>8483.9612641640651</v>
      </c>
      <c r="BK446" s="1108">
        <v>8416.5691731688185</v>
      </c>
      <c r="BL446" s="1108">
        <v>8525.7039388533558</v>
      </c>
      <c r="BM446" s="1108">
        <v>7879.629640868945</v>
      </c>
      <c r="BN446" s="1108">
        <v>7993.5568502775704</v>
      </c>
      <c r="BO446" s="1108">
        <v>8416.3395266647058</v>
      </c>
      <c r="BP446" s="1108">
        <v>8790.521775748015</v>
      </c>
      <c r="BQ446" s="1108">
        <v>8150.1447060606797</v>
      </c>
      <c r="BR446" s="1108">
        <v>8145.5048592858029</v>
      </c>
      <c r="BS446" s="1108">
        <v>8719.7757985504832</v>
      </c>
      <c r="BT446" s="1108">
        <v>9482.4970005612395</v>
      </c>
      <c r="CK446" s="1108"/>
      <c r="CM446" s="1108"/>
      <c r="CO446" s="1108"/>
      <c r="CQ446" s="1108"/>
      <c r="CS446" s="1108"/>
      <c r="CU446" s="1108"/>
      <c r="CW446" s="1108"/>
      <c r="CY446" s="1108"/>
      <c r="DA446" s="1108"/>
      <c r="DC446" s="1108"/>
      <c r="DE446" s="1108"/>
      <c r="DF446" s="1108"/>
      <c r="DG446" s="1108"/>
      <c r="DH446" s="1108"/>
      <c r="DI446" s="1108"/>
    </row>
    <row r="447" spans="4:114" ht="14.45" hidden="1" outlineLevel="1">
      <c r="D447" s="1432"/>
      <c r="E447" s="1440"/>
      <c r="F447" s="1107" t="s">
        <v>1069</v>
      </c>
      <c r="O447" s="1109">
        <v>-6.3270078112929449</v>
      </c>
      <c r="Q447" s="1109">
        <v>-8.2003968440725945</v>
      </c>
      <c r="S447" s="1109">
        <v>-1.3591797422605203</v>
      </c>
      <c r="T447" s="1109">
        <v>19.021951414977327</v>
      </c>
      <c r="U447" s="1109">
        <v>22.25582853952648</v>
      </c>
      <c r="V447" s="1109">
        <v>4.7217831189292507</v>
      </c>
      <c r="W447" s="1109">
        <v>1.2511912373709588</v>
      </c>
      <c r="X447" s="1109">
        <v>-9.3346040989332089</v>
      </c>
      <c r="Y447" s="1109">
        <v>-10.576647544695337</v>
      </c>
      <c r="Z447" s="1109">
        <v>-3.8929092702874071</v>
      </c>
      <c r="AA447" s="1109">
        <v>0.53639216649765709</v>
      </c>
      <c r="AB447" s="1109">
        <v>-0.14881356805242313</v>
      </c>
      <c r="AC447" s="1109">
        <v>3.7196060012990528E-2</v>
      </c>
      <c r="AD447" s="1109">
        <v>-0.69566409285770581</v>
      </c>
      <c r="AE447" s="1109">
        <v>-3.8358513310636049</v>
      </c>
      <c r="AF447" s="1109">
        <v>12.823052499884172</v>
      </c>
      <c r="AG447" s="1109">
        <v>9.5819860989813979</v>
      </c>
      <c r="AH447" s="1109">
        <v>1.5277692857115777</v>
      </c>
      <c r="AI447" s="1109">
        <v>14.538547171660637</v>
      </c>
      <c r="AJ447" s="1109">
        <v>20.601415598966753</v>
      </c>
      <c r="AK447" s="1109">
        <v>9.61289311495789</v>
      </c>
      <c r="AL447" s="1109">
        <v>4.0671938107131353</v>
      </c>
      <c r="AM447" s="1109">
        <v>12.119403179216865</v>
      </c>
      <c r="AN447" s="1109">
        <v>7.8690568486480013</v>
      </c>
      <c r="AO447" s="1109">
        <v>11.878958613819858</v>
      </c>
      <c r="AP447" s="1109">
        <v>19.384294397558374</v>
      </c>
      <c r="AQ447" s="1109">
        <v>6.4731252217959252</v>
      </c>
      <c r="AR447" s="1109">
        <v>11.257554001970872</v>
      </c>
      <c r="AS447" s="1109">
        <v>7.9641042940906885</v>
      </c>
      <c r="AT447" s="1109">
        <v>11.465534438306667</v>
      </c>
      <c r="AU447" s="1109">
        <v>14.886540696678733</v>
      </c>
      <c r="AV447" s="1109">
        <v>9.4819905723611839</v>
      </c>
      <c r="AW447" s="1109">
        <v>10.048442078694318</v>
      </c>
      <c r="AX447" s="1109">
        <v>17.166960418076993</v>
      </c>
      <c r="AY447" s="1109">
        <v>11.100193646265824</v>
      </c>
      <c r="AZ447" s="1109">
        <v>7.7798734406598902E-2</v>
      </c>
      <c r="BA447" s="1109">
        <v>-8.8332290115626488</v>
      </c>
      <c r="BB447" s="1109">
        <v>-27.267786272418892</v>
      </c>
      <c r="BC447" s="1109">
        <v>-7.7611044310249104</v>
      </c>
      <c r="BD447" s="1109">
        <v>-7.1721847135532553</v>
      </c>
      <c r="BE447" s="1109">
        <v>0.20143947865060796</v>
      </c>
      <c r="BF447" s="1109">
        <v>15.315427524220354</v>
      </c>
      <c r="BG447" s="1109">
        <v>4.6268228505330269</v>
      </c>
      <c r="BH447" s="1109">
        <v>5.3669941728771802</v>
      </c>
      <c r="BI447" s="1109">
        <v>4.8165815354573187</v>
      </c>
      <c r="BJ447" s="1109">
        <v>6.1954972060641209</v>
      </c>
      <c r="BK447" s="1109">
        <v>7.1046521025336871</v>
      </c>
      <c r="BL447" s="1109">
        <v>6.6795702876002778</v>
      </c>
      <c r="BM447" s="1109">
        <v>4.8723804181886976</v>
      </c>
      <c r="BN447" s="1109">
        <v>-5.7803707326899829</v>
      </c>
      <c r="BO447" s="1109">
        <v>-2.7285049215156395E-3</v>
      </c>
      <c r="BP447" s="1109">
        <v>3.1061111058270603</v>
      </c>
      <c r="BQ447" s="1109">
        <v>3.4330936544106785</v>
      </c>
      <c r="BR447" s="1109">
        <v>1.9008810702704417</v>
      </c>
      <c r="BS447" s="1109">
        <v>3.6053235604912146</v>
      </c>
      <c r="BT447" s="1109">
        <v>7.8718333503512872</v>
      </c>
      <c r="CM447" s="1109"/>
      <c r="CO447" s="1109"/>
      <c r="CQ447" s="1109"/>
      <c r="CS447" s="1109"/>
      <c r="CU447" s="1109"/>
      <c r="CW447" s="1109"/>
      <c r="CY447" s="1109"/>
      <c r="DA447" s="1109"/>
      <c r="DC447" s="1109"/>
      <c r="DE447" s="1109"/>
      <c r="DF447" s="1109"/>
      <c r="DG447" s="1109"/>
      <c r="DH447" s="1109"/>
      <c r="DI447" s="1109"/>
    </row>
    <row r="448" spans="4:114" ht="14.45" hidden="1" outlineLevel="1" collapsed="1">
      <c r="D448" s="1432"/>
      <c r="E448" s="1440"/>
      <c r="F448" s="1107"/>
    </row>
    <row r="449" spans="3:114" ht="14.45" collapsed="1">
      <c r="D449" s="1431" t="s">
        <v>1183</v>
      </c>
      <c r="E449" s="1433" t="s">
        <v>1067</v>
      </c>
      <c r="F449" s="1106" t="s">
        <v>1068</v>
      </c>
      <c r="G449" s="1108">
        <v>3264.3395152533399</v>
      </c>
      <c r="I449" s="1108">
        <v>4505.3911941745901</v>
      </c>
      <c r="K449" s="1108">
        <v>2574.9496368950299</v>
      </c>
      <c r="M449" s="1108">
        <v>1604.0267899445801</v>
      </c>
      <c r="O449" s="1108">
        <v>1488</v>
      </c>
      <c r="Q449" s="1108">
        <v>2067</v>
      </c>
      <c r="S449" s="1108">
        <v>1703</v>
      </c>
      <c r="T449" s="1108">
        <v>892</v>
      </c>
      <c r="U449" s="1108">
        <v>1508</v>
      </c>
      <c r="V449" s="1108">
        <v>1506</v>
      </c>
      <c r="W449" s="1108">
        <v>1049</v>
      </c>
      <c r="X449" s="1108">
        <v>605</v>
      </c>
      <c r="Y449" s="1108">
        <v>1393</v>
      </c>
      <c r="Z449" s="1108">
        <v>1915</v>
      </c>
      <c r="AA449" s="1108">
        <v>1600</v>
      </c>
      <c r="AB449" s="1108">
        <v>1275</v>
      </c>
      <c r="AC449" s="1108">
        <v>2033</v>
      </c>
      <c r="AD449" s="1108">
        <v>2561</v>
      </c>
      <c r="AE449" s="1108">
        <v>2035</v>
      </c>
      <c r="AF449" s="1108">
        <v>2186</v>
      </c>
      <c r="AG449" s="1108">
        <v>2565</v>
      </c>
      <c r="AH449" s="1108">
        <v>2510</v>
      </c>
      <c r="AI449" s="1108">
        <v>2523</v>
      </c>
      <c r="AJ449" s="1108">
        <v>3012</v>
      </c>
      <c r="AK449" s="1108">
        <v>3143</v>
      </c>
      <c r="AL449" s="1108">
        <v>2964</v>
      </c>
      <c r="AM449" s="1108">
        <v>3154</v>
      </c>
      <c r="AN449" s="1108">
        <v>3559</v>
      </c>
      <c r="AO449" s="1108">
        <v>4015</v>
      </c>
      <c r="AP449" s="1108">
        <v>4178</v>
      </c>
      <c r="AQ449" s="1108">
        <v>3627</v>
      </c>
      <c r="AR449" s="1108">
        <v>4091</v>
      </c>
      <c r="AS449" s="1108">
        <v>4748</v>
      </c>
      <c r="AT449" s="1108">
        <v>5224</v>
      </c>
      <c r="AU449" s="1108">
        <v>4594</v>
      </c>
      <c r="AV449" s="1108">
        <v>4873</v>
      </c>
      <c r="AW449" s="1108">
        <v>4976</v>
      </c>
      <c r="AX449" s="1108">
        <v>6362</v>
      </c>
      <c r="AY449" s="1108">
        <v>4788</v>
      </c>
      <c r="AZ449" s="1108">
        <v>4490</v>
      </c>
      <c r="BA449" s="1108">
        <v>4217</v>
      </c>
      <c r="BB449" s="1108">
        <v>3320</v>
      </c>
      <c r="BC449" s="1108">
        <v>4237</v>
      </c>
      <c r="BD449" s="1108">
        <v>4541.1809494339113</v>
      </c>
      <c r="BE449" s="1108">
        <v>3999.7323646721034</v>
      </c>
      <c r="BF449" s="1108">
        <v>4268.2303562946227</v>
      </c>
      <c r="BG449" s="1108">
        <v>4412.2926443681308</v>
      </c>
      <c r="BH449" s="1108">
        <v>4804.6382780905133</v>
      </c>
      <c r="BI449" s="1108">
        <v>4320.7333447600449</v>
      </c>
      <c r="BJ449" s="1108">
        <v>4454.2305197948936</v>
      </c>
      <c r="BK449" s="1108">
        <v>4771.2014931693284</v>
      </c>
      <c r="BL449" s="1108">
        <v>5394.7001774098471</v>
      </c>
      <c r="BM449" s="1108">
        <v>4538.4534403106063</v>
      </c>
      <c r="BN449" s="1108">
        <v>4497.4248944026103</v>
      </c>
      <c r="BO449" s="1108">
        <v>5135.1351180308802</v>
      </c>
      <c r="BP449" s="1108">
        <v>5295.9102060231598</v>
      </c>
      <c r="BQ449" s="1108">
        <v>4028.554831541685</v>
      </c>
      <c r="BR449" s="1108">
        <v>4005.6011799252451</v>
      </c>
      <c r="BS449" s="1108">
        <v>4882.6056355674345</v>
      </c>
      <c r="BT449" s="1108">
        <v>675.309319422675</v>
      </c>
      <c r="CK449" s="1108"/>
      <c r="CM449" s="1108"/>
      <c r="CO449" s="1108"/>
      <c r="CP449" s="1108"/>
      <c r="CQ449" s="1108"/>
      <c r="CR449" s="1108"/>
      <c r="CS449" s="1108"/>
      <c r="CT449" s="1108"/>
      <c r="CU449" s="1108"/>
      <c r="CV449" s="1108"/>
      <c r="CW449" s="1108"/>
      <c r="CX449" s="1108"/>
      <c r="CY449" s="1108"/>
      <c r="CZ449" s="1108"/>
      <c r="DA449" s="1108"/>
      <c r="DB449" s="1108"/>
      <c r="DC449" s="1108"/>
      <c r="DD449" s="1108"/>
      <c r="DE449" s="1108"/>
      <c r="DF449" s="1108"/>
      <c r="DG449" s="1108"/>
      <c r="DH449" s="1108"/>
      <c r="DI449" s="1108"/>
      <c r="DJ449" s="1108"/>
    </row>
    <row r="450" spans="3:114" ht="14.45" hidden="1" outlineLevel="1">
      <c r="D450" s="1432"/>
      <c r="E450" s="1440"/>
      <c r="F450" s="1106" t="s">
        <v>1069</v>
      </c>
      <c r="O450" s="1109">
        <v>-54.416506216740181</v>
      </c>
      <c r="Q450" s="1109">
        <v>-54.12163093245703</v>
      </c>
      <c r="S450" s="1109">
        <v>-33.862784126001749</v>
      </c>
      <c r="T450" s="1109">
        <v>-44.38995622817378</v>
      </c>
      <c r="U450" s="1109">
        <v>1.3440860215053763</v>
      </c>
      <c r="V450" s="1109">
        <v>-27.140783744557329</v>
      </c>
      <c r="W450" s="1109">
        <v>-38.402818555490306</v>
      </c>
      <c r="X450" s="1109">
        <v>-32.174887892376681</v>
      </c>
      <c r="Y450" s="1109">
        <v>-7.6259946949602124</v>
      </c>
      <c r="Z450" s="1109">
        <v>27.158034528552456</v>
      </c>
      <c r="AA450" s="1109">
        <v>52.526215443279312</v>
      </c>
      <c r="AB450" s="1109">
        <v>110.74380165289257</v>
      </c>
      <c r="AC450" s="1109">
        <v>45.944005743000716</v>
      </c>
      <c r="AD450" s="1109">
        <v>33.733681462140993</v>
      </c>
      <c r="AE450" s="1109">
        <v>27.187499999999996</v>
      </c>
      <c r="AF450" s="1109">
        <v>71.450980392156865</v>
      </c>
      <c r="AG450" s="1109">
        <v>26.168224299065418</v>
      </c>
      <c r="AH450" s="1109">
        <v>-1.9914096056228034</v>
      </c>
      <c r="AI450" s="1109">
        <v>23.980343980343978</v>
      </c>
      <c r="AJ450" s="1109">
        <v>37.785910338517844</v>
      </c>
      <c r="AK450" s="1109">
        <v>22.534113060428851</v>
      </c>
      <c r="AL450" s="1109">
        <v>18.087649402390436</v>
      </c>
      <c r="AM450" s="1109">
        <v>25.009908838684108</v>
      </c>
      <c r="AN450" s="1109">
        <v>18.160690571049138</v>
      </c>
      <c r="AO450" s="1109">
        <v>27.744193445752462</v>
      </c>
      <c r="AP450" s="1109">
        <v>40.958164642375166</v>
      </c>
      <c r="AQ450" s="1109">
        <v>14.996829422954978</v>
      </c>
      <c r="AR450" s="1109">
        <v>14.948019106490587</v>
      </c>
      <c r="AS450" s="1109">
        <v>18.25653798256538</v>
      </c>
      <c r="AT450" s="1109">
        <v>25.035902345619913</v>
      </c>
      <c r="AU450" s="1109">
        <v>26.661152467604083</v>
      </c>
      <c r="AV450" s="1109">
        <v>19.11513077487167</v>
      </c>
      <c r="AW450" s="1109">
        <v>4.8020219039595622</v>
      </c>
      <c r="AX450" s="1109">
        <v>21.784073506891271</v>
      </c>
      <c r="AY450" s="1109">
        <v>4.2228994340444057</v>
      </c>
      <c r="AZ450" s="1109">
        <v>-7.8596347219372049</v>
      </c>
      <c r="BA450" s="1109">
        <v>-15.2532154340836</v>
      </c>
      <c r="BB450" s="1109">
        <v>-47.81515246777743</v>
      </c>
      <c r="BC450" s="1109">
        <v>-11.507936507936508</v>
      </c>
      <c r="BD450" s="1109">
        <v>1.1398875152318784</v>
      </c>
      <c r="BE450" s="1109">
        <v>-5.1521848548232541</v>
      </c>
      <c r="BF450" s="1109">
        <v>28.561155310078995</v>
      </c>
      <c r="BG450" s="1109">
        <v>4.1371877358539253</v>
      </c>
      <c r="BH450" s="1109">
        <v>5.8015157640755026</v>
      </c>
      <c r="BI450" s="1109">
        <v>8.0255614831433135</v>
      </c>
      <c r="BJ450" s="1109">
        <v>4.3577817496650573</v>
      </c>
      <c r="BK450" s="1109">
        <v>8.1342938406252436</v>
      </c>
      <c r="BL450" s="1109">
        <v>12.281088922137123</v>
      </c>
      <c r="BM450" s="1109">
        <v>5.0389616340152239</v>
      </c>
      <c r="BN450" s="1109">
        <v>0.96973819418995355</v>
      </c>
      <c r="BO450" s="1109">
        <v>7.6277144317333052</v>
      </c>
      <c r="BP450" s="1109">
        <v>-1.8312411837152223</v>
      </c>
      <c r="BQ450" s="1109">
        <v>-11.235074138692156</v>
      </c>
      <c r="BR450" s="1109">
        <v>-10.935673769438095</v>
      </c>
      <c r="BS450" s="1109">
        <v>-4.9176794117207319</v>
      </c>
      <c r="BT450" s="1109">
        <v>-87.248474895691587</v>
      </c>
      <c r="CM450" s="1109"/>
      <c r="CO450" s="1109"/>
      <c r="CQ450" s="1109"/>
      <c r="CR450" s="1109"/>
      <c r="CS450" s="1109"/>
      <c r="CT450" s="1109"/>
      <c r="CU450" s="1109"/>
      <c r="CV450" s="1109"/>
      <c r="CW450" s="1109"/>
      <c r="CX450" s="1109"/>
      <c r="CY450" s="1109"/>
      <c r="CZ450" s="1109"/>
      <c r="DA450" s="1109"/>
      <c r="DB450" s="1109"/>
      <c r="DC450" s="1109"/>
      <c r="DD450" s="1109"/>
      <c r="DE450" s="1109"/>
      <c r="DF450" s="1109"/>
      <c r="DG450" s="1109"/>
      <c r="DH450" s="1109"/>
      <c r="DI450" s="1109"/>
      <c r="DJ450" s="1109"/>
    </row>
    <row r="451" spans="3:114" ht="14.45" hidden="1" outlineLevel="1" collapsed="1">
      <c r="D451" s="1432"/>
      <c r="E451" s="1440"/>
      <c r="F451" s="1106"/>
    </row>
    <row r="452" spans="3:114" collapsed="1">
      <c r="D452" s="42"/>
    </row>
    <row r="453" spans="3:114">
      <c r="D453" s="42"/>
    </row>
    <row r="454" spans="3:114" ht="12.95">
      <c r="C454" s="1110" t="s">
        <v>1106</v>
      </c>
    </row>
    <row r="455" spans="3:114" ht="12.95">
      <c r="C455" s="1110"/>
    </row>
  </sheetData>
  <mergeCells count="258">
    <mergeCell ref="D437:D439"/>
    <mergeCell ref="E437:E439"/>
    <mergeCell ref="D440:D442"/>
    <mergeCell ref="E440:E442"/>
    <mergeCell ref="D443:D445"/>
    <mergeCell ref="E443:E445"/>
    <mergeCell ref="D446:D448"/>
    <mergeCell ref="E446:E448"/>
    <mergeCell ref="D449:D451"/>
    <mergeCell ref="E449:E451"/>
    <mergeCell ref="D422:D424"/>
    <mergeCell ref="E422:E424"/>
    <mergeCell ref="D425:D427"/>
    <mergeCell ref="E425:E427"/>
    <mergeCell ref="D428:D430"/>
    <mergeCell ref="E428:E430"/>
    <mergeCell ref="D431:D433"/>
    <mergeCell ref="E431:E433"/>
    <mergeCell ref="D434:D436"/>
    <mergeCell ref="E434:E436"/>
    <mergeCell ref="D407:D409"/>
    <mergeCell ref="E407:E409"/>
    <mergeCell ref="D410:D412"/>
    <mergeCell ref="E410:E412"/>
    <mergeCell ref="D413:D415"/>
    <mergeCell ref="E413:E415"/>
    <mergeCell ref="D416:D418"/>
    <mergeCell ref="E416:E418"/>
    <mergeCell ref="D419:D421"/>
    <mergeCell ref="E419:E421"/>
    <mergeCell ref="D392:D394"/>
    <mergeCell ref="E392:E394"/>
    <mergeCell ref="D395:D397"/>
    <mergeCell ref="E395:E397"/>
    <mergeCell ref="D398:D400"/>
    <mergeCell ref="E398:E400"/>
    <mergeCell ref="D401:D403"/>
    <mergeCell ref="E401:E403"/>
    <mergeCell ref="D404:D406"/>
    <mergeCell ref="E404:E406"/>
    <mergeCell ref="D377:D379"/>
    <mergeCell ref="E377:E379"/>
    <mergeCell ref="D380:D382"/>
    <mergeCell ref="E380:E382"/>
    <mergeCell ref="D383:D385"/>
    <mergeCell ref="E383:E385"/>
    <mergeCell ref="D386:D388"/>
    <mergeCell ref="E386:E388"/>
    <mergeCell ref="D389:D391"/>
    <mergeCell ref="E389:E391"/>
    <mergeCell ref="D362:D364"/>
    <mergeCell ref="E362:E364"/>
    <mergeCell ref="D365:D367"/>
    <mergeCell ref="E365:E367"/>
    <mergeCell ref="D368:D370"/>
    <mergeCell ref="E368:E370"/>
    <mergeCell ref="D371:D373"/>
    <mergeCell ref="E371:E373"/>
    <mergeCell ref="D374:D376"/>
    <mergeCell ref="E374:E376"/>
    <mergeCell ref="D10:D12"/>
    <mergeCell ref="E10:E12"/>
    <mergeCell ref="D13:D15"/>
    <mergeCell ref="E13:E15"/>
    <mergeCell ref="D16:D18"/>
    <mergeCell ref="E16:E18"/>
    <mergeCell ref="D30:D32"/>
    <mergeCell ref="E30:E32"/>
    <mergeCell ref="D33:D35"/>
    <mergeCell ref="E33:E35"/>
    <mergeCell ref="D36:D38"/>
    <mergeCell ref="E36:E38"/>
    <mergeCell ref="D19:D21"/>
    <mergeCell ref="E19:E21"/>
    <mergeCell ref="D22:D24"/>
    <mergeCell ref="E22:E24"/>
    <mergeCell ref="D27:D29"/>
    <mergeCell ref="E27:E29"/>
    <mergeCell ref="D50:D52"/>
    <mergeCell ref="E50:E52"/>
    <mergeCell ref="D53:D55"/>
    <mergeCell ref="E53:E55"/>
    <mergeCell ref="D56:D58"/>
    <mergeCell ref="E56:E58"/>
    <mergeCell ref="D41:D43"/>
    <mergeCell ref="E41:E43"/>
    <mergeCell ref="D44:D46"/>
    <mergeCell ref="E44:E46"/>
    <mergeCell ref="D47:D49"/>
    <mergeCell ref="E47:E49"/>
    <mergeCell ref="D69:D71"/>
    <mergeCell ref="E69:E71"/>
    <mergeCell ref="D72:D74"/>
    <mergeCell ref="E72:E74"/>
    <mergeCell ref="D75:D77"/>
    <mergeCell ref="E75:E77"/>
    <mergeCell ref="D59:D61"/>
    <mergeCell ref="E59:E61"/>
    <mergeCell ref="D62:D64"/>
    <mergeCell ref="E62:E64"/>
    <mergeCell ref="D66:D68"/>
    <mergeCell ref="E66:E68"/>
    <mergeCell ref="D91:D93"/>
    <mergeCell ref="E91:E93"/>
    <mergeCell ref="D94:D96"/>
    <mergeCell ref="E94:E96"/>
    <mergeCell ref="D97:D99"/>
    <mergeCell ref="E97:E99"/>
    <mergeCell ref="D80:D82"/>
    <mergeCell ref="E80:E82"/>
    <mergeCell ref="D83:D85"/>
    <mergeCell ref="E83:E85"/>
    <mergeCell ref="D86:D88"/>
    <mergeCell ref="E86:E88"/>
    <mergeCell ref="D112:D114"/>
    <mergeCell ref="E112:E114"/>
    <mergeCell ref="D115:D117"/>
    <mergeCell ref="E115:E117"/>
    <mergeCell ref="D118:D120"/>
    <mergeCell ref="E118:E120"/>
    <mergeCell ref="D102:D104"/>
    <mergeCell ref="E102:E104"/>
    <mergeCell ref="D105:D107"/>
    <mergeCell ref="E105:E107"/>
    <mergeCell ref="D108:D110"/>
    <mergeCell ref="E108:E110"/>
    <mergeCell ref="D141:D143"/>
    <mergeCell ref="E141:E143"/>
    <mergeCell ref="D144:D146"/>
    <mergeCell ref="E144:E146"/>
    <mergeCell ref="D147:D149"/>
    <mergeCell ref="E147:E149"/>
    <mergeCell ref="D121:D123"/>
    <mergeCell ref="E121:E123"/>
    <mergeCell ref="D124:D126"/>
    <mergeCell ref="E124:E126"/>
    <mergeCell ref="D138:D140"/>
    <mergeCell ref="E138:E140"/>
    <mergeCell ref="D159:D161"/>
    <mergeCell ref="E159:E161"/>
    <mergeCell ref="D162:D164"/>
    <mergeCell ref="E162:E164"/>
    <mergeCell ref="D165:D167"/>
    <mergeCell ref="E165:E167"/>
    <mergeCell ref="D150:D152"/>
    <mergeCell ref="E150:E152"/>
    <mergeCell ref="D153:D155"/>
    <mergeCell ref="E153:E155"/>
    <mergeCell ref="D156:D158"/>
    <mergeCell ref="E156:E158"/>
    <mergeCell ref="D179:D181"/>
    <mergeCell ref="E179:E181"/>
    <mergeCell ref="D182:D184"/>
    <mergeCell ref="E182:E184"/>
    <mergeCell ref="D185:D187"/>
    <mergeCell ref="E185:E187"/>
    <mergeCell ref="D168:D170"/>
    <mergeCell ref="E168:E170"/>
    <mergeCell ref="D173:D175"/>
    <mergeCell ref="E173:E175"/>
    <mergeCell ref="D176:D178"/>
    <mergeCell ref="E176:E178"/>
    <mergeCell ref="D200:D202"/>
    <mergeCell ref="E200:E202"/>
    <mergeCell ref="D203:D205"/>
    <mergeCell ref="E203:E205"/>
    <mergeCell ref="D206:D208"/>
    <mergeCell ref="E206:E208"/>
    <mergeCell ref="D189:D191"/>
    <mergeCell ref="E189:E191"/>
    <mergeCell ref="D192:D194"/>
    <mergeCell ref="E192:E194"/>
    <mergeCell ref="D195:D197"/>
    <mergeCell ref="E195:E197"/>
    <mergeCell ref="D218:D220"/>
    <mergeCell ref="E218:E220"/>
    <mergeCell ref="D221:D223"/>
    <mergeCell ref="E221:E223"/>
    <mergeCell ref="D224:D226"/>
    <mergeCell ref="E224:E226"/>
    <mergeCell ref="D209:D211"/>
    <mergeCell ref="E209:E211"/>
    <mergeCell ref="D212:D214"/>
    <mergeCell ref="E212:E214"/>
    <mergeCell ref="D215:D217"/>
    <mergeCell ref="E215:E217"/>
    <mergeCell ref="D240:D242"/>
    <mergeCell ref="E240:E242"/>
    <mergeCell ref="D243:D245"/>
    <mergeCell ref="E243:E245"/>
    <mergeCell ref="D246:D248"/>
    <mergeCell ref="E246:E248"/>
    <mergeCell ref="D234:D236"/>
    <mergeCell ref="E234:E236"/>
    <mergeCell ref="D237:D239"/>
    <mergeCell ref="E237:E239"/>
    <mergeCell ref="D258:D260"/>
    <mergeCell ref="E258:E260"/>
    <mergeCell ref="D261:D263"/>
    <mergeCell ref="E261:E263"/>
    <mergeCell ref="D264:D266"/>
    <mergeCell ref="E264:E266"/>
    <mergeCell ref="D249:D251"/>
    <mergeCell ref="E249:E251"/>
    <mergeCell ref="D252:D254"/>
    <mergeCell ref="E252:E254"/>
    <mergeCell ref="D255:D257"/>
    <mergeCell ref="E255:E257"/>
    <mergeCell ref="D276:D278"/>
    <mergeCell ref="E276:E278"/>
    <mergeCell ref="D279:D281"/>
    <mergeCell ref="E279:E281"/>
    <mergeCell ref="D282:D284"/>
    <mergeCell ref="E282:E284"/>
    <mergeCell ref="D267:D269"/>
    <mergeCell ref="E267:E269"/>
    <mergeCell ref="D270:D272"/>
    <mergeCell ref="E270:E272"/>
    <mergeCell ref="D273:D275"/>
    <mergeCell ref="E273:E275"/>
    <mergeCell ref="D306:D308"/>
    <mergeCell ref="E306:E308"/>
    <mergeCell ref="D297:D299"/>
    <mergeCell ref="E297:E299"/>
    <mergeCell ref="D300:D302"/>
    <mergeCell ref="E300:E302"/>
    <mergeCell ref="D303:D305"/>
    <mergeCell ref="E303:E305"/>
    <mergeCell ref="D285:D287"/>
    <mergeCell ref="E285:E287"/>
    <mergeCell ref="D294:D296"/>
    <mergeCell ref="E294:E296"/>
    <mergeCell ref="D288:D290"/>
    <mergeCell ref="E288:E290"/>
    <mergeCell ref="D317:D319"/>
    <mergeCell ref="E317:E319"/>
    <mergeCell ref="D320:D322"/>
    <mergeCell ref="E320:E322"/>
    <mergeCell ref="D323:D325"/>
    <mergeCell ref="E323:E325"/>
    <mergeCell ref="D311:D313"/>
    <mergeCell ref="E311:E313"/>
    <mergeCell ref="D314:D316"/>
    <mergeCell ref="E314:E316"/>
    <mergeCell ref="D346:D348"/>
    <mergeCell ref="E346:E348"/>
    <mergeCell ref="D337:D339"/>
    <mergeCell ref="E337:E339"/>
    <mergeCell ref="D340:D342"/>
    <mergeCell ref="E340:E342"/>
    <mergeCell ref="D343:D345"/>
    <mergeCell ref="E343:E345"/>
    <mergeCell ref="D328:D330"/>
    <mergeCell ref="E328:E330"/>
    <mergeCell ref="D331:D333"/>
    <mergeCell ref="E331:E333"/>
    <mergeCell ref="D334:D336"/>
    <mergeCell ref="E334:E33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4F146-76AC-4434-A3E7-70C2CCDE9495}">
  <sheetPr>
    <pageSetUpPr fitToPage="1"/>
  </sheetPr>
  <dimension ref="A2:BO722"/>
  <sheetViews>
    <sheetView view="pageBreakPreview" zoomScale="85" zoomScaleNormal="85" zoomScaleSheetLayoutView="85" workbookViewId="0">
      <pane xSplit="2" ySplit="8" topLeftCell="C9" activePane="bottomRight" state="frozen"/>
      <selection pane="bottomRight" activeCell="AQ48" sqref="AQ48"/>
      <selection pane="bottomLeft" activeCell="I24" sqref="I24"/>
      <selection pane="topRight" activeCell="I24" sqref="I24"/>
    </sheetView>
  </sheetViews>
  <sheetFormatPr defaultColWidth="8.83203125" defaultRowHeight="9.9499999999999993" outlineLevelRow="2" outlineLevelCol="2"/>
  <cols>
    <col min="1" max="1" width="3.83203125" customWidth="1"/>
    <col min="2" max="2" width="35.33203125" customWidth="1"/>
    <col min="3" max="3" width="2.83203125" customWidth="1"/>
    <col min="4" max="4" width="9.83203125" hidden="1" customWidth="1" outlineLevel="1"/>
    <col min="5" max="5" width="9.33203125" hidden="1" customWidth="1" outlineLevel="1"/>
    <col min="6" max="7" width="8.83203125" hidden="1" customWidth="1" outlineLevel="1"/>
    <col min="8" max="8" width="10.1640625" hidden="1" customWidth="1" outlineLevel="1"/>
    <col min="9" max="11" width="8.83203125" hidden="1" customWidth="1" outlineLevel="1"/>
    <col min="12" max="12" width="11.5" hidden="1" customWidth="1" outlineLevel="1"/>
    <col min="13" max="13" width="9.33203125" hidden="1" customWidth="1" outlineLevel="1"/>
    <col min="14" max="14" width="9" hidden="1" customWidth="1" outlineLevel="1"/>
    <col min="15" max="15" width="10" hidden="1" customWidth="1" outlineLevel="1"/>
    <col min="16" max="16" width="11.33203125" hidden="1" customWidth="1" outlineLevel="1" collapsed="1"/>
    <col min="17" max="19" width="9" hidden="1" customWidth="1" outlineLevel="1"/>
    <col min="20" max="23" width="9.1640625" hidden="1" customWidth="1" outlineLevel="1"/>
    <col min="24" max="24" width="9.83203125" hidden="1" customWidth="1" outlineLevel="1"/>
    <col min="25" max="25" width="10" hidden="1" customWidth="1" outlineLevel="1"/>
    <col min="26" max="26" width="11.1640625" hidden="1" customWidth="1" outlineLevel="1"/>
    <col min="27" max="30" width="11" hidden="1" customWidth="1" outlineLevel="1"/>
    <col min="31" max="35" width="10.6640625" hidden="1" customWidth="1" outlineLevel="1"/>
    <col min="36" max="36" width="2.1640625" customWidth="1" collapsed="1"/>
    <col min="37" max="38" width="9.33203125" customWidth="1" outlineLevel="1"/>
    <col min="39" max="47" width="10.6640625" customWidth="1" outlineLevel="1"/>
    <col min="48" max="49" width="10.6640625" hidden="1" customWidth="1" outlineLevel="2"/>
    <col min="50" max="50" width="2.83203125" hidden="1" customWidth="1" outlineLevel="2"/>
    <col min="51" max="51" width="10.6640625" customWidth="1" outlineLevel="1" collapsed="1"/>
    <col min="52" max="58" width="10.6640625" customWidth="1"/>
    <col min="59" max="60" width="20.83203125" bestFit="1" customWidth="1"/>
    <col min="61" max="62" width="14.5" bestFit="1" customWidth="1"/>
    <col min="63" max="63" width="13.83203125" bestFit="1" customWidth="1"/>
    <col min="64" max="64" width="9.1640625" bestFit="1" customWidth="1"/>
    <col min="65" max="65" width="12.33203125" bestFit="1" customWidth="1"/>
    <col min="66" max="66" width="9.6640625" bestFit="1" customWidth="1"/>
    <col min="67" max="67" width="12.33203125" bestFit="1" customWidth="1"/>
    <col min="68" max="68" width="9" bestFit="1" customWidth="1"/>
  </cols>
  <sheetData>
    <row r="2" spans="2:62" s="1" customFormat="1" ht="12">
      <c r="B2" t="s">
        <v>60</v>
      </c>
      <c r="L2" s="228"/>
      <c r="M2" s="228"/>
      <c r="N2" s="228"/>
      <c r="O2" s="228"/>
      <c r="P2" s="228"/>
      <c r="Q2" s="228"/>
      <c r="R2" s="228"/>
      <c r="S2" s="228"/>
      <c r="T2" s="228"/>
      <c r="U2" s="228"/>
      <c r="V2" s="228"/>
      <c r="W2" s="228"/>
      <c r="X2" s="228"/>
      <c r="Y2" s="228"/>
      <c r="Z2" s="228"/>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819"/>
      <c r="BE2" s="819"/>
      <c r="BF2" s="819">
        <f ca="1">TODAY()</f>
        <v>45797</v>
      </c>
    </row>
    <row r="3" spans="2:62" s="2" customFormat="1" ht="10.5">
      <c r="B3" s="2" t="s">
        <v>1184</v>
      </c>
      <c r="H3" s="820"/>
      <c r="I3" s="820"/>
      <c r="J3" s="820"/>
      <c r="K3" s="820"/>
      <c r="L3" s="820"/>
      <c r="M3" s="820"/>
      <c r="N3" s="820"/>
      <c r="O3" s="820"/>
      <c r="P3" s="820"/>
      <c r="Q3" s="820"/>
      <c r="R3" s="820"/>
      <c r="S3" s="820"/>
      <c r="T3" s="820"/>
      <c r="U3" s="820"/>
      <c r="V3" s="820"/>
      <c r="W3" s="820"/>
      <c r="X3" s="820"/>
      <c r="Y3" s="820"/>
      <c r="Z3" s="820"/>
      <c r="AA3" s="820"/>
      <c r="AB3" s="820"/>
      <c r="AC3" s="820"/>
      <c r="AD3" s="820"/>
      <c r="AE3" s="820"/>
      <c r="AF3" s="820"/>
      <c r="AG3" s="820"/>
      <c r="AH3" s="820"/>
      <c r="AI3" s="820"/>
      <c r="AJ3" s="820"/>
      <c r="AK3" s="820"/>
      <c r="AL3" s="820"/>
      <c r="AM3" s="820"/>
      <c r="AN3" s="820"/>
      <c r="AO3" s="820"/>
      <c r="AP3" s="820"/>
      <c r="AQ3" s="820"/>
      <c r="AR3" s="820"/>
      <c r="AS3" s="820"/>
      <c r="AT3" s="820"/>
      <c r="AU3" s="820"/>
      <c r="AV3" s="820"/>
      <c r="AW3" s="820"/>
      <c r="AX3" s="820"/>
      <c r="AY3" s="820"/>
      <c r="AZ3" s="820"/>
      <c r="BA3" s="820"/>
      <c r="BB3" s="820"/>
      <c r="BC3" s="820"/>
      <c r="BD3" s="820"/>
      <c r="BE3" s="820"/>
      <c r="BF3" s="820"/>
    </row>
    <row r="4" spans="2:62">
      <c r="B4" s="3" t="s">
        <v>63</v>
      </c>
      <c r="AD4" t="s">
        <v>1185</v>
      </c>
    </row>
    <row r="5" spans="2:62" ht="13.5">
      <c r="D5" s="821" t="s">
        <v>203</v>
      </c>
      <c r="E5" s="821"/>
      <c r="F5" s="31"/>
      <c r="G5" s="31"/>
      <c r="H5" s="821"/>
      <c r="I5" s="31"/>
      <c r="J5" s="31"/>
      <c r="K5" s="31"/>
      <c r="L5" s="821"/>
      <c r="M5" s="31"/>
      <c r="N5" s="31"/>
      <c r="O5" s="31"/>
      <c r="P5" s="821" t="s">
        <v>203</v>
      </c>
      <c r="Q5" s="31"/>
      <c r="R5" s="31"/>
      <c r="S5" s="31"/>
      <c r="T5" s="31"/>
      <c r="U5" s="31"/>
      <c r="V5" s="31"/>
      <c r="W5" s="31"/>
      <c r="X5" s="31"/>
      <c r="Y5" s="31"/>
      <c r="Z5" s="31"/>
      <c r="AA5" s="31"/>
      <c r="AB5" s="31"/>
      <c r="AC5" s="31"/>
      <c r="AD5" s="31"/>
      <c r="AE5" s="31"/>
      <c r="AF5" s="31"/>
      <c r="AG5" s="31"/>
      <c r="AH5" s="31"/>
      <c r="AI5" s="31"/>
      <c r="AK5" s="821" t="s">
        <v>203</v>
      </c>
      <c r="AL5" s="821"/>
      <c r="AM5" s="821"/>
      <c r="AN5" s="821"/>
      <c r="AO5" s="821"/>
      <c r="AP5" s="821"/>
      <c r="AQ5" s="821"/>
      <c r="AR5" s="821"/>
      <c r="AS5" s="821"/>
      <c r="AT5" s="821"/>
      <c r="AU5" s="821"/>
      <c r="AV5" s="821"/>
      <c r="AW5" s="821"/>
      <c r="AY5" s="821"/>
      <c r="AZ5" s="821"/>
      <c r="BA5" s="821"/>
      <c r="BB5" s="821"/>
      <c r="BC5" s="821"/>
      <c r="BD5" s="821"/>
      <c r="BE5" s="821"/>
      <c r="BF5" s="821"/>
    </row>
    <row r="6" spans="2:62" ht="13.5">
      <c r="B6" s="7"/>
      <c r="D6" s="6" t="s">
        <v>204</v>
      </c>
      <c r="E6" s="6" t="s">
        <v>205</v>
      </c>
      <c r="F6" s="6" t="s">
        <v>206</v>
      </c>
      <c r="G6" s="6" t="s">
        <v>207</v>
      </c>
      <c r="H6" s="6" t="s">
        <v>208</v>
      </c>
      <c r="I6" s="6" t="s">
        <v>209</v>
      </c>
      <c r="J6" s="6" t="s">
        <v>210</v>
      </c>
      <c r="K6" s="6" t="s">
        <v>211</v>
      </c>
      <c r="L6" s="6" t="s">
        <v>212</v>
      </c>
      <c r="M6" s="6" t="s">
        <v>213</v>
      </c>
      <c r="N6" s="6" t="s">
        <v>214</v>
      </c>
      <c r="O6" s="6" t="s">
        <v>215</v>
      </c>
      <c r="P6" s="6" t="s">
        <v>216</v>
      </c>
      <c r="Q6" s="6" t="s">
        <v>217</v>
      </c>
      <c r="R6" s="6" t="s">
        <v>218</v>
      </c>
      <c r="S6" s="6" t="s">
        <v>219</v>
      </c>
      <c r="T6" s="6" t="s">
        <v>220</v>
      </c>
      <c r="U6" s="6" t="s">
        <v>221</v>
      </c>
      <c r="V6" s="6" t="s">
        <v>222</v>
      </c>
      <c r="W6" s="6" t="s">
        <v>223</v>
      </c>
      <c r="X6" s="6" t="s">
        <v>224</v>
      </c>
      <c r="Y6" s="6" t="s">
        <v>225</v>
      </c>
      <c r="Z6" s="6" t="s">
        <v>226</v>
      </c>
      <c r="AA6" s="6" t="s">
        <v>227</v>
      </c>
      <c r="AB6" s="6" t="s">
        <v>228</v>
      </c>
      <c r="AC6" s="6" t="s">
        <v>229</v>
      </c>
      <c r="AD6" s="6" t="s">
        <v>230</v>
      </c>
      <c r="AE6" s="6" t="s">
        <v>231</v>
      </c>
      <c r="AF6" s="6" t="s">
        <v>232</v>
      </c>
      <c r="AG6" s="6" t="s">
        <v>347</v>
      </c>
      <c r="AH6" s="6" t="s">
        <v>348</v>
      </c>
      <c r="AI6" s="6" t="s">
        <v>349</v>
      </c>
      <c r="AK6" s="6" t="s">
        <v>244</v>
      </c>
      <c r="AL6" s="6" t="s">
        <v>245</v>
      </c>
      <c r="AM6" s="6" t="s">
        <v>246</v>
      </c>
      <c r="AN6" s="6" t="s">
        <v>247</v>
      </c>
      <c r="AO6" s="6" t="s">
        <v>248</v>
      </c>
      <c r="AP6" s="6" t="s">
        <v>249</v>
      </c>
      <c r="AQ6" s="6" t="s">
        <v>250</v>
      </c>
      <c r="AR6" s="6" t="s">
        <v>251</v>
      </c>
      <c r="AS6" s="6" t="s">
        <v>252</v>
      </c>
      <c r="AT6" s="6" t="s">
        <v>253</v>
      </c>
      <c r="AU6" s="6" t="s">
        <v>254</v>
      </c>
      <c r="AV6" s="6" t="s">
        <v>255</v>
      </c>
      <c r="AW6" s="6" t="s">
        <v>256</v>
      </c>
      <c r="AX6" s="6"/>
      <c r="AY6" s="6" t="s">
        <v>255</v>
      </c>
      <c r="AZ6" s="6" t="s">
        <v>256</v>
      </c>
      <c r="BA6" s="6" t="s">
        <v>257</v>
      </c>
      <c r="BB6" s="6" t="s">
        <v>258</v>
      </c>
      <c r="BC6" s="6" t="s">
        <v>259</v>
      </c>
      <c r="BD6" s="6" t="s">
        <v>260</v>
      </c>
      <c r="BE6" s="6" t="s">
        <v>109</v>
      </c>
      <c r="BF6" s="6" t="s">
        <v>88</v>
      </c>
    </row>
    <row r="7" spans="2:62" hidden="1" outlineLevel="1">
      <c r="B7" s="3"/>
      <c r="D7" s="822">
        <v>42277</v>
      </c>
      <c r="E7" s="822">
        <v>42369</v>
      </c>
      <c r="F7" s="822">
        <v>42460</v>
      </c>
      <c r="G7" s="822">
        <v>42551</v>
      </c>
      <c r="H7" s="822">
        <v>42643</v>
      </c>
      <c r="I7" s="822">
        <v>42735</v>
      </c>
      <c r="J7" s="822">
        <v>42825</v>
      </c>
      <c r="K7" s="822">
        <v>42916</v>
      </c>
      <c r="L7" s="822">
        <v>43008</v>
      </c>
      <c r="M7" s="822">
        <v>43100</v>
      </c>
      <c r="N7" s="822">
        <v>43190</v>
      </c>
      <c r="O7" s="822">
        <v>43281</v>
      </c>
      <c r="P7" s="822">
        <v>43373</v>
      </c>
      <c r="Q7" s="822">
        <v>43465</v>
      </c>
      <c r="R7" s="822">
        <v>43555</v>
      </c>
      <c r="S7" s="822">
        <v>43646</v>
      </c>
      <c r="T7" s="822">
        <v>43738</v>
      </c>
      <c r="U7" s="822">
        <v>43830</v>
      </c>
      <c r="V7" s="822">
        <v>43921</v>
      </c>
      <c r="W7" s="822">
        <v>43921</v>
      </c>
      <c r="X7" s="822"/>
      <c r="Y7" s="822"/>
      <c r="Z7" s="822"/>
      <c r="AA7" s="822"/>
      <c r="AB7" s="822"/>
      <c r="AC7" s="822"/>
      <c r="AD7" s="822"/>
      <c r="AE7" s="822"/>
      <c r="AF7" s="822"/>
      <c r="AG7" s="822"/>
      <c r="AH7" s="822"/>
      <c r="AI7" s="822"/>
      <c r="AK7" s="822">
        <v>38533</v>
      </c>
      <c r="AL7" s="822">
        <v>38898</v>
      </c>
      <c r="AM7" s="822">
        <v>39263</v>
      </c>
      <c r="AN7" s="822">
        <v>39629</v>
      </c>
      <c r="AO7" s="822">
        <v>39994</v>
      </c>
      <c r="AP7" s="822">
        <v>40359</v>
      </c>
      <c r="AQ7" s="822">
        <v>40724</v>
      </c>
      <c r="AR7" s="822">
        <v>41090</v>
      </c>
      <c r="AS7" s="822">
        <v>41455</v>
      </c>
      <c r="AT7" s="822">
        <v>41820</v>
      </c>
      <c r="AU7" s="822">
        <v>42185</v>
      </c>
      <c r="AV7" s="822">
        <v>42551</v>
      </c>
      <c r="AW7" s="822">
        <v>42916</v>
      </c>
      <c r="AX7" s="822"/>
      <c r="AY7" s="822">
        <v>42551</v>
      </c>
      <c r="AZ7" s="822">
        <v>42916</v>
      </c>
      <c r="BA7" s="822">
        <v>43281</v>
      </c>
      <c r="BB7" s="822">
        <v>43646</v>
      </c>
      <c r="BC7" s="822"/>
      <c r="BD7" s="822"/>
      <c r="BE7" s="822"/>
      <c r="BF7" s="822"/>
    </row>
    <row r="8" spans="2:62" ht="13.5" hidden="1" outlineLevel="1">
      <c r="B8" s="3"/>
      <c r="D8" s="823" t="s">
        <v>262</v>
      </c>
      <c r="E8" s="821"/>
      <c r="F8" s="31"/>
      <c r="G8" s="31"/>
      <c r="H8" s="823" t="s">
        <v>262</v>
      </c>
      <c r="I8" s="31"/>
      <c r="J8" s="31"/>
      <c r="K8" s="31"/>
      <c r="AK8" s="822"/>
      <c r="AL8" s="822"/>
      <c r="AM8" s="822"/>
      <c r="AN8" s="822"/>
      <c r="AO8" s="822"/>
      <c r="AP8" s="822"/>
      <c r="AQ8" s="822"/>
      <c r="AR8" s="822"/>
      <c r="AS8" s="822"/>
      <c r="AT8" s="822"/>
      <c r="AU8" s="822"/>
      <c r="AV8" s="822"/>
      <c r="AW8" s="822"/>
      <c r="AX8" s="822"/>
    </row>
    <row r="9" spans="2:62" ht="13.5" collapsed="1">
      <c r="AF9" s="9"/>
      <c r="AY9" s="1009" t="s">
        <v>1186</v>
      </c>
      <c r="AZ9" s="821"/>
    </row>
    <row r="10" spans="2:62" ht="10.5">
      <c r="B10" s="5" t="s">
        <v>264</v>
      </c>
      <c r="C10" s="4"/>
      <c r="X10" s="824"/>
      <c r="AB10" s="824"/>
      <c r="AE10" s="8"/>
      <c r="AF10" s="9"/>
      <c r="AY10" s="8"/>
    </row>
    <row r="11" spans="2:62">
      <c r="E11" s="825"/>
      <c r="F11" s="825"/>
      <c r="G11" s="825"/>
      <c r="H11" s="825"/>
      <c r="I11" s="825"/>
      <c r="J11" s="825"/>
      <c r="K11" s="825"/>
      <c r="L11" s="825"/>
      <c r="M11" s="825"/>
      <c r="N11" s="825"/>
      <c r="O11" s="825"/>
      <c r="P11" s="825"/>
      <c r="Q11" s="825"/>
      <c r="R11" s="825"/>
      <c r="S11" s="825"/>
      <c r="T11" s="825"/>
      <c r="U11" s="825"/>
      <c r="X11" s="826"/>
      <c r="Y11" s="827"/>
      <c r="Z11" s="8"/>
      <c r="AA11" s="828"/>
      <c r="AB11" s="827"/>
      <c r="AC11" s="828"/>
      <c r="AD11" s="828"/>
      <c r="AF11" s="828" t="s">
        <v>265</v>
      </c>
      <c r="AG11" s="992">
        <f>+BN127*1000</f>
        <v>52850</v>
      </c>
      <c r="AH11" s="828"/>
      <c r="AI11" s="828"/>
      <c r="AY11" s="8"/>
    </row>
    <row r="12" spans="2:62">
      <c r="B12" t="s">
        <v>86</v>
      </c>
      <c r="D12" s="8">
        <f t="shared" ref="D12:V12" si="0">+D505</f>
        <v>20910</v>
      </c>
      <c r="E12" s="8">
        <f t="shared" si="0"/>
        <v>25253</v>
      </c>
      <c r="F12" s="8">
        <f t="shared" si="0"/>
        <v>21517</v>
      </c>
      <c r="G12" s="8">
        <f t="shared" si="0"/>
        <v>23474</v>
      </c>
      <c r="H12" s="8">
        <f t="shared" si="0"/>
        <v>21928</v>
      </c>
      <c r="I12" s="8">
        <f t="shared" si="0"/>
        <v>25826</v>
      </c>
      <c r="J12" s="8">
        <f t="shared" si="0"/>
        <v>23212</v>
      </c>
      <c r="K12" s="8">
        <f t="shared" si="0"/>
        <v>25605</v>
      </c>
      <c r="L12" s="8">
        <f t="shared" si="0"/>
        <v>24538</v>
      </c>
      <c r="M12" s="8">
        <f t="shared" si="0"/>
        <v>28918</v>
      </c>
      <c r="N12" s="8">
        <f t="shared" si="0"/>
        <v>26819</v>
      </c>
      <c r="O12" s="8">
        <f t="shared" si="0"/>
        <v>30085</v>
      </c>
      <c r="P12" s="8">
        <f t="shared" si="0"/>
        <v>29084</v>
      </c>
      <c r="Q12" s="8">
        <f t="shared" si="0"/>
        <v>32471</v>
      </c>
      <c r="R12" s="8">
        <f t="shared" si="0"/>
        <v>30571</v>
      </c>
      <c r="S12" s="8">
        <f t="shared" si="0"/>
        <v>33717</v>
      </c>
      <c r="T12" s="8">
        <f t="shared" si="0"/>
        <v>33055</v>
      </c>
      <c r="U12" s="8">
        <f t="shared" si="0"/>
        <v>36906</v>
      </c>
      <c r="V12" s="8">
        <f t="shared" si="0"/>
        <v>35021</v>
      </c>
      <c r="W12" s="8">
        <f>+W118</f>
        <v>38033</v>
      </c>
      <c r="X12" s="8">
        <f t="shared" ref="X12:AI12" si="1">+X118</f>
        <v>37154</v>
      </c>
      <c r="Y12" s="8">
        <f t="shared" si="1"/>
        <v>43076</v>
      </c>
      <c r="Z12" s="8">
        <f t="shared" si="1"/>
        <v>41706</v>
      </c>
      <c r="AA12" s="8">
        <f t="shared" si="1"/>
        <v>46152</v>
      </c>
      <c r="AB12" s="8">
        <f t="shared" si="1"/>
        <v>45317</v>
      </c>
      <c r="AC12" s="8">
        <f t="shared" si="1"/>
        <v>51728</v>
      </c>
      <c r="AD12" s="8">
        <f t="shared" si="1"/>
        <v>49360</v>
      </c>
      <c r="AE12" s="8">
        <f t="shared" si="1"/>
        <v>51865</v>
      </c>
      <c r="AF12" s="8">
        <f t="shared" si="1"/>
        <v>50122</v>
      </c>
      <c r="AG12" s="8">
        <f t="shared" si="1"/>
        <v>53588.734970439065</v>
      </c>
      <c r="AH12" s="8">
        <f t="shared" si="1"/>
        <v>51569.768876460585</v>
      </c>
      <c r="AI12" s="8">
        <f t="shared" si="1"/>
        <v>55382.846663871453</v>
      </c>
      <c r="AJ12" s="8"/>
      <c r="AK12" s="8">
        <f t="shared" ref="AK12:AW12" si="2">+AK505</f>
        <v>39788</v>
      </c>
      <c r="AL12" s="8">
        <f t="shared" si="2"/>
        <v>44282</v>
      </c>
      <c r="AM12" s="8">
        <f t="shared" si="2"/>
        <v>51122</v>
      </c>
      <c r="AN12" s="8">
        <f t="shared" si="2"/>
        <v>60420</v>
      </c>
      <c r="AO12" s="8">
        <f t="shared" si="2"/>
        <v>58437</v>
      </c>
      <c r="AP12" s="8">
        <f t="shared" si="2"/>
        <v>62484</v>
      </c>
      <c r="AQ12" s="8">
        <f t="shared" si="2"/>
        <v>69943</v>
      </c>
      <c r="AR12" s="8">
        <f t="shared" si="2"/>
        <v>73723</v>
      </c>
      <c r="AS12" s="8">
        <f t="shared" si="2"/>
        <v>77849</v>
      </c>
      <c r="AT12" s="8">
        <f t="shared" si="2"/>
        <v>86833</v>
      </c>
      <c r="AU12" s="8">
        <f t="shared" si="2"/>
        <v>93580</v>
      </c>
      <c r="AV12" s="8">
        <f t="shared" si="2"/>
        <v>85320</v>
      </c>
      <c r="AW12" s="8">
        <f t="shared" si="2"/>
        <v>89950</v>
      </c>
      <c r="AY12" s="8">
        <f>+AY505</f>
        <v>91154</v>
      </c>
      <c r="AZ12" s="8">
        <f>+AZ505</f>
        <v>96571</v>
      </c>
      <c r="BA12" s="8">
        <f>+BA505</f>
        <v>110360</v>
      </c>
      <c r="BB12" s="8">
        <f>+BB505</f>
        <v>125843</v>
      </c>
      <c r="BC12" s="8">
        <f>SUM(T12:W12)</f>
        <v>143015</v>
      </c>
      <c r="BD12" s="8">
        <f>SUM(X12:AA12)</f>
        <v>168088</v>
      </c>
      <c r="BE12" s="8">
        <f>SUM(AB12:AE12)</f>
        <v>198270</v>
      </c>
      <c r="BF12" s="8">
        <f>SUM(AF12:AI12)</f>
        <v>210663.35051077112</v>
      </c>
      <c r="BI12" s="8"/>
      <c r="BJ12" s="8"/>
    </row>
    <row r="13" spans="2:62" s="3" customFormat="1">
      <c r="B13" s="13" t="s">
        <v>113</v>
      </c>
      <c r="D13" s="228"/>
      <c r="E13" s="228"/>
      <c r="F13" s="228"/>
      <c r="G13" s="228"/>
      <c r="H13" s="228">
        <f>IFERROR(H12/D12-1,"n/a ")</f>
        <v>4.8684839789574275E-2</v>
      </c>
      <c r="I13" s="228">
        <f t="shared" ref="I13:AI13" si="3">IFERROR(I12/E12-1,"n/a ")</f>
        <v>2.2690373420979792E-2</v>
      </c>
      <c r="J13" s="228">
        <f t="shared" si="3"/>
        <v>7.8774922154575489E-2</v>
      </c>
      <c r="K13" s="228">
        <f t="shared" si="3"/>
        <v>9.0781289937803544E-2</v>
      </c>
      <c r="L13" s="228">
        <f t="shared" si="3"/>
        <v>0.11902590295512594</v>
      </c>
      <c r="M13" s="228">
        <f t="shared" si="3"/>
        <v>0.11972430883605667</v>
      </c>
      <c r="N13" s="228">
        <f t="shared" si="3"/>
        <v>0.15539376184732046</v>
      </c>
      <c r="O13" s="228">
        <f t="shared" si="3"/>
        <v>0.17496582698691654</v>
      </c>
      <c r="P13" s="228">
        <f t="shared" si="3"/>
        <v>0.18526367267095933</v>
      </c>
      <c r="Q13" s="228">
        <f t="shared" si="3"/>
        <v>0.12286465177398154</v>
      </c>
      <c r="R13" s="228">
        <f t="shared" si="3"/>
        <v>0.13990081658525666</v>
      </c>
      <c r="S13" s="228">
        <f t="shared" si="3"/>
        <v>0.12072461359481479</v>
      </c>
      <c r="T13" s="228">
        <f t="shared" si="3"/>
        <v>0.13653555219364599</v>
      </c>
      <c r="U13" s="228">
        <f t="shared" si="3"/>
        <v>0.13658341289150311</v>
      </c>
      <c r="V13" s="228">
        <f t="shared" si="3"/>
        <v>0.14556278826338698</v>
      </c>
      <c r="W13" s="228">
        <f t="shared" si="3"/>
        <v>0.12800664353293589</v>
      </c>
      <c r="X13" s="228">
        <f t="shared" si="3"/>
        <v>0.12400544546967174</v>
      </c>
      <c r="Y13" s="228">
        <f t="shared" si="3"/>
        <v>0.16718148810491518</v>
      </c>
      <c r="Z13" s="228">
        <f t="shared" si="3"/>
        <v>0.19088546871876866</v>
      </c>
      <c r="AA13" s="228">
        <f t="shared" si="3"/>
        <v>0.21347251071437956</v>
      </c>
      <c r="AB13" s="228">
        <f t="shared" si="3"/>
        <v>0.21970716477364483</v>
      </c>
      <c r="AC13" s="228">
        <f t="shared" si="3"/>
        <v>0.2008543040208004</v>
      </c>
      <c r="AD13" s="228">
        <f t="shared" si="3"/>
        <v>0.18352275451973332</v>
      </c>
      <c r="AE13" s="228">
        <f t="shared" si="3"/>
        <v>0.12378661813139202</v>
      </c>
      <c r="AF13" s="228">
        <f t="shared" si="3"/>
        <v>0.1060308493501334</v>
      </c>
      <c r="AG13" s="228">
        <f t="shared" si="3"/>
        <v>3.5971523554729767E-2</v>
      </c>
      <c r="AH13" s="228">
        <f t="shared" si="3"/>
        <v>4.476841321840741E-2</v>
      </c>
      <c r="AI13" s="228">
        <f t="shared" si="3"/>
        <v>6.7826986674471179E-2</v>
      </c>
      <c r="AJ13" s="228"/>
      <c r="AK13" s="228"/>
      <c r="AL13" s="228">
        <f>IFERROR(AL12/AK12-1,"n/a ")</f>
        <v>0.11294862772695291</v>
      </c>
      <c r="AM13" s="228">
        <f t="shared" ref="AM13:AW13" si="4">IFERROR(AM12/AL12-1,"n/a ")</f>
        <v>0.15446456799602548</v>
      </c>
      <c r="AN13" s="228">
        <f t="shared" si="4"/>
        <v>0.18187864324556946</v>
      </c>
      <c r="AO13" s="228">
        <f t="shared" si="4"/>
        <v>-3.2820258192651441E-2</v>
      </c>
      <c r="AP13" s="228">
        <f t="shared" si="4"/>
        <v>6.9254068484008391E-2</v>
      </c>
      <c r="AQ13" s="228">
        <f t="shared" si="4"/>
        <v>0.11937455988733126</v>
      </c>
      <c r="AR13" s="228">
        <f t="shared" si="4"/>
        <v>5.4044007263057026E-2</v>
      </c>
      <c r="AS13" s="228">
        <f t="shared" si="4"/>
        <v>5.5966252051598442E-2</v>
      </c>
      <c r="AT13" s="228">
        <f t="shared" si="4"/>
        <v>0.11540289534868786</v>
      </c>
      <c r="AU13" s="228">
        <f t="shared" si="4"/>
        <v>7.7700874091647165E-2</v>
      </c>
      <c r="AV13" s="228">
        <f t="shared" si="4"/>
        <v>-8.8266723658901425E-2</v>
      </c>
      <c r="AW13" s="228">
        <f t="shared" si="4"/>
        <v>5.4266291608063844E-2</v>
      </c>
      <c r="AX13" s="228"/>
      <c r="AY13" s="1010">
        <f>+AV13</f>
        <v>-8.8266723658901425E-2</v>
      </c>
      <c r="AZ13" s="1010">
        <f t="shared" ref="AZ13:AZ14" si="5">+AW13</f>
        <v>5.4266291608063844E-2</v>
      </c>
      <c r="BA13" s="228">
        <f t="shared" ref="BA13:BF13" si="6">IFERROR(BA12/AZ12-1,"n/a ")</f>
        <v>0.14278613662486661</v>
      </c>
      <c r="BB13" s="228">
        <f t="shared" si="6"/>
        <v>0.14029539688292858</v>
      </c>
      <c r="BC13" s="228">
        <f t="shared" si="6"/>
        <v>0.13645574247276371</v>
      </c>
      <c r="BD13" s="228">
        <f t="shared" si="6"/>
        <v>0.17531727441177503</v>
      </c>
      <c r="BE13" s="228">
        <f t="shared" si="6"/>
        <v>0.17956070629670173</v>
      </c>
      <c r="BF13" s="228">
        <f t="shared" si="6"/>
        <v>6.2507441926519913E-2</v>
      </c>
    </row>
    <row r="14" spans="2:62" s="3" customFormat="1">
      <c r="B14" s="13" t="s">
        <v>270</v>
      </c>
      <c r="D14" s="228"/>
      <c r="E14" s="228"/>
      <c r="F14" s="228"/>
      <c r="G14" s="228"/>
      <c r="H14" s="228" t="s">
        <v>271</v>
      </c>
      <c r="I14" s="228" t="s">
        <v>271</v>
      </c>
      <c r="J14" s="228" t="s">
        <v>271</v>
      </c>
      <c r="K14" s="228" t="s">
        <v>271</v>
      </c>
      <c r="L14" s="228">
        <f>+L133</f>
        <v>0.11404323239693544</v>
      </c>
      <c r="M14" s="228">
        <f>+M133</f>
        <v>0.11517230697746457</v>
      </c>
      <c r="N14" s="228">
        <f>+N133</f>
        <v>0.13155824573496466</v>
      </c>
      <c r="O14" s="228">
        <f t="shared" ref="O14:AF14" si="7">+O133</f>
        <v>0.15218902558094122</v>
      </c>
      <c r="P14" s="228">
        <f t="shared" si="7"/>
        <v>0.18546010269785637</v>
      </c>
      <c r="Q14" s="228">
        <f t="shared" si="7"/>
        <v>0.12631371464139982</v>
      </c>
      <c r="R14" s="228">
        <f t="shared" si="7"/>
        <v>0.16</v>
      </c>
      <c r="S14" s="228">
        <f t="shared" si="7"/>
        <v>0.14324347681568889</v>
      </c>
      <c r="T14" s="228">
        <f t="shared" si="7"/>
        <v>0.15429033145372026</v>
      </c>
      <c r="U14" s="228">
        <f t="shared" si="7"/>
        <v>0.15197037356410337</v>
      </c>
      <c r="V14" s="228">
        <f t="shared" si="7"/>
        <v>0.15910928657878379</v>
      </c>
      <c r="W14" s="228">
        <f t="shared" si="7"/>
        <v>0.14502413322656227</v>
      </c>
      <c r="X14" s="228">
        <f t="shared" si="7"/>
        <v>0.12050704885796401</v>
      </c>
      <c r="Y14" s="228">
        <f t="shared" si="7"/>
        <v>0.15363536010404813</v>
      </c>
      <c r="Z14" s="228">
        <f t="shared" si="7"/>
        <v>0.16171448844978725</v>
      </c>
      <c r="AA14" s="228">
        <f t="shared" si="7"/>
        <v>0.17445905660873451</v>
      </c>
      <c r="AB14" s="228">
        <f t="shared" si="7"/>
        <v>0.20385421219787908</v>
      </c>
      <c r="AC14" s="228">
        <f t="shared" si="7"/>
        <v>0.20078497539232981</v>
      </c>
      <c r="AD14" s="228">
        <f t="shared" si="7"/>
        <v>0.20149706517047911</v>
      </c>
      <c r="AE14" s="228">
        <f t="shared" si="7"/>
        <v>0.16459280637892182</v>
      </c>
      <c r="AF14" s="228">
        <f t="shared" si="7"/>
        <v>0.15702183948628548</v>
      </c>
      <c r="AG14" s="228">
        <f>+AG13+5%</f>
        <v>8.597152355472977E-2</v>
      </c>
      <c r="AH14" s="228">
        <f>+AH13+5%</f>
        <v>9.4768413218407413E-2</v>
      </c>
      <c r="AI14" s="228">
        <f>+AI13+5%</f>
        <v>0.11782698667447118</v>
      </c>
      <c r="AJ14" s="228"/>
      <c r="AK14" s="228"/>
      <c r="AL14" s="228"/>
      <c r="AM14" s="228" t="s">
        <v>271</v>
      </c>
      <c r="AN14" s="228" t="s">
        <v>271</v>
      </c>
      <c r="AO14" s="228" t="s">
        <v>271</v>
      </c>
      <c r="AP14" s="228" t="s">
        <v>271</v>
      </c>
      <c r="AQ14" s="228" t="s">
        <v>271</v>
      </c>
      <c r="AR14" s="228" t="s">
        <v>271</v>
      </c>
      <c r="AS14" s="829">
        <f>+AS13+1%</f>
        <v>6.5966252051598437E-2</v>
      </c>
      <c r="AT14" s="829">
        <f>+AT13+1%</f>
        <v>0.12540289534868787</v>
      </c>
      <c r="AU14" s="228">
        <f>+AU133</f>
        <v>9.7700874091647169E-2</v>
      </c>
      <c r="AV14" s="228">
        <f>+AV133</f>
        <v>-4.8266723658901424E-2</v>
      </c>
      <c r="AW14" s="228">
        <f>+AW133</f>
        <v>7.4266291608063847E-2</v>
      </c>
      <c r="AX14" s="228"/>
      <c r="AY14" s="1010">
        <f t="shared" ref="AY14" si="8">+AV14</f>
        <v>-4.8266723658901424E-2</v>
      </c>
      <c r="AZ14" s="1010">
        <f t="shared" si="5"/>
        <v>7.4266291608063847E-2</v>
      </c>
      <c r="BA14" s="228">
        <f>+BA133</f>
        <v>0.12866916569156372</v>
      </c>
      <c r="BB14" s="228">
        <f t="shared" ref="BB14" si="9">+BB133</f>
        <v>0.15088356288510332</v>
      </c>
      <c r="BC14" s="228">
        <f>+(SUM(T14:W14)-SUM(T13:W13))/4+BC13</f>
        <v>0.15238217445818814</v>
      </c>
      <c r="BD14" s="830">
        <f>SUMPRODUCT(X14:AA14,T12:W12)/BC12</f>
        <v>0.1534946089571024</v>
      </c>
      <c r="BE14" s="831">
        <f>SUMPRODUCT(AB14:AE14,X12:AA12)/BD12</f>
        <v>0.19170277949645423</v>
      </c>
      <c r="BF14" s="831">
        <f>SUMPRODUCT(AF14:AI14,AB12:AE12)/BE12</f>
        <v>0.11273394467529681</v>
      </c>
    </row>
    <row r="15" spans="2:62">
      <c r="AA15" s="828"/>
      <c r="AB15" s="827"/>
      <c r="AC15" s="827"/>
      <c r="AF15" s="828" t="s">
        <v>265</v>
      </c>
      <c r="AG15" s="992">
        <f>+BN130*1000</f>
        <v>35350</v>
      </c>
    </row>
    <row r="16" spans="2:62" s="3" customFormat="1" hidden="1" outlineLevel="1">
      <c r="B16" s="24" t="s">
        <v>126</v>
      </c>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L16" s="14"/>
      <c r="AM16" s="14"/>
      <c r="AN16" s="14"/>
      <c r="AO16" s="14"/>
      <c r="AP16" s="14"/>
      <c r="AQ16" s="14"/>
      <c r="AR16" s="14"/>
      <c r="AS16" s="14"/>
      <c r="AT16" s="14"/>
      <c r="AU16" s="14"/>
      <c r="AV16" s="14"/>
      <c r="AW16" s="14"/>
      <c r="AZ16" s="14"/>
      <c r="BA16" s="14"/>
      <c r="BB16" s="14"/>
      <c r="BC16" s="14"/>
      <c r="BD16" s="14"/>
      <c r="BE16" s="14"/>
      <c r="BF16" s="14"/>
      <c r="BG16" s="14"/>
    </row>
    <row r="17" spans="2:58" ht="11.45" hidden="1" outlineLevel="1">
      <c r="B17" s="17" t="s">
        <v>274</v>
      </c>
      <c r="D17" s="10">
        <f t="shared" ref="D17:V17" si="10">+SUM(D546:D547)</f>
        <v>0</v>
      </c>
      <c r="E17" s="10">
        <f t="shared" si="10"/>
        <v>0</v>
      </c>
      <c r="F17" s="10">
        <f t="shared" si="10"/>
        <v>0</v>
      </c>
      <c r="G17" s="10">
        <f t="shared" si="10"/>
        <v>0</v>
      </c>
      <c r="H17" s="10">
        <f t="shared" si="10"/>
        <v>0</v>
      </c>
      <c r="I17" s="10">
        <f t="shared" si="10"/>
        <v>0</v>
      </c>
      <c r="J17" s="10">
        <f t="shared" si="10"/>
        <v>0</v>
      </c>
      <c r="K17" s="10">
        <f t="shared" si="10"/>
        <v>0</v>
      </c>
      <c r="L17" s="10">
        <f t="shared" si="10"/>
        <v>0</v>
      </c>
      <c r="M17" s="10">
        <f t="shared" si="10"/>
        <v>0</v>
      </c>
      <c r="N17" s="10">
        <f t="shared" si="10"/>
        <v>0</v>
      </c>
      <c r="O17" s="10">
        <f t="shared" si="10"/>
        <v>0</v>
      </c>
      <c r="P17" s="10">
        <f t="shared" si="10"/>
        <v>0</v>
      </c>
      <c r="Q17" s="10">
        <f t="shared" si="10"/>
        <v>0</v>
      </c>
      <c r="R17" s="10">
        <f t="shared" si="10"/>
        <v>0</v>
      </c>
      <c r="S17" s="10">
        <f t="shared" si="10"/>
        <v>0</v>
      </c>
      <c r="T17" s="10">
        <f t="shared" si="10"/>
        <v>0</v>
      </c>
      <c r="U17" s="10">
        <f t="shared" si="10"/>
        <v>0</v>
      </c>
      <c r="V17" s="10">
        <f t="shared" si="10"/>
        <v>0</v>
      </c>
      <c r="W17" s="10">
        <v>0</v>
      </c>
      <c r="X17" s="10">
        <v>0</v>
      </c>
      <c r="Y17" s="10">
        <v>0</v>
      </c>
      <c r="Z17" s="10">
        <v>0</v>
      </c>
      <c r="AA17" s="10">
        <v>0</v>
      </c>
      <c r="AB17" s="10">
        <v>0</v>
      </c>
      <c r="AC17" s="10">
        <v>0</v>
      </c>
      <c r="AD17" s="10">
        <v>0</v>
      </c>
      <c r="AE17" s="10">
        <v>0</v>
      </c>
      <c r="AF17" s="10">
        <v>0</v>
      </c>
      <c r="AG17" s="10">
        <v>0</v>
      </c>
      <c r="AH17" s="10">
        <v>0</v>
      </c>
      <c r="AI17" s="10">
        <v>0</v>
      </c>
      <c r="AJ17" s="10"/>
      <c r="AK17" s="10">
        <f t="shared" ref="AK17:AW17" si="11">+SUM(AK546:AK547)</f>
        <v>0</v>
      </c>
      <c r="AL17" s="10">
        <f t="shared" si="11"/>
        <v>0</v>
      </c>
      <c r="AM17" s="10">
        <f t="shared" si="11"/>
        <v>0</v>
      </c>
      <c r="AN17" s="10">
        <f t="shared" si="11"/>
        <v>0</v>
      </c>
      <c r="AO17" s="10">
        <f t="shared" si="11"/>
        <v>0</v>
      </c>
      <c r="AP17" s="10">
        <f t="shared" si="11"/>
        <v>0</v>
      </c>
      <c r="AQ17" s="10">
        <f t="shared" si="11"/>
        <v>0</v>
      </c>
      <c r="AR17" s="10">
        <f t="shared" si="11"/>
        <v>540</v>
      </c>
      <c r="AS17" s="10">
        <f t="shared" si="11"/>
        <v>-540</v>
      </c>
      <c r="AT17" s="10">
        <f t="shared" si="11"/>
        <v>0</v>
      </c>
      <c r="AU17" s="10">
        <f t="shared" si="11"/>
        <v>0</v>
      </c>
      <c r="AV17" s="10">
        <f t="shared" si="11"/>
        <v>6643</v>
      </c>
      <c r="AW17" s="10">
        <f t="shared" si="11"/>
        <v>6707</v>
      </c>
      <c r="AY17" s="10">
        <f>+SUM(AY546:AY547)</f>
        <v>0</v>
      </c>
      <c r="AZ17" s="10">
        <f>+SUM(AZ546:AZ547)</f>
        <v>0</v>
      </c>
      <c r="BA17" s="10">
        <f>+SUM(BA546:BA547)</f>
        <v>0</v>
      </c>
      <c r="BB17" s="10">
        <f>+SUM(BB546:BB547)</f>
        <v>0</v>
      </c>
      <c r="BC17" s="10">
        <f>SUM(T17:W17)</f>
        <v>0</v>
      </c>
      <c r="BD17" s="10">
        <f>SUM(X17:AA17)</f>
        <v>0</v>
      </c>
      <c r="BE17" s="10">
        <f t="shared" ref="BE17:BE18" si="12">SUM(AB17:AE17)</f>
        <v>0</v>
      </c>
      <c r="BF17" s="10">
        <f t="shared" ref="BF17:BF18" si="13">SUM(AF17:AI17)</f>
        <v>0</v>
      </c>
    </row>
    <row r="18" spans="2:58" hidden="1" outlineLevel="1">
      <c r="B18" s="18" t="s">
        <v>275</v>
      </c>
      <c r="D18" s="8">
        <f>+D12+D17</f>
        <v>20910</v>
      </c>
      <c r="E18" s="8">
        <f t="shared" ref="E18:BB18" si="14">+E12+E17</f>
        <v>25253</v>
      </c>
      <c r="F18" s="8">
        <f t="shared" si="14"/>
        <v>21517</v>
      </c>
      <c r="G18" s="8">
        <f t="shared" si="14"/>
        <v>23474</v>
      </c>
      <c r="H18" s="8">
        <f t="shared" si="14"/>
        <v>21928</v>
      </c>
      <c r="I18" s="8">
        <f t="shared" si="14"/>
        <v>25826</v>
      </c>
      <c r="J18" s="8">
        <f t="shared" si="14"/>
        <v>23212</v>
      </c>
      <c r="K18" s="8">
        <f t="shared" si="14"/>
        <v>25605</v>
      </c>
      <c r="L18" s="8">
        <f t="shared" si="14"/>
        <v>24538</v>
      </c>
      <c r="M18" s="8">
        <f t="shared" si="14"/>
        <v>28918</v>
      </c>
      <c r="N18" s="8">
        <f t="shared" si="14"/>
        <v>26819</v>
      </c>
      <c r="O18" s="8">
        <f t="shared" si="14"/>
        <v>30085</v>
      </c>
      <c r="P18" s="8">
        <f t="shared" si="14"/>
        <v>29084</v>
      </c>
      <c r="Q18" s="8">
        <f t="shared" si="14"/>
        <v>32471</v>
      </c>
      <c r="R18" s="8">
        <f t="shared" si="14"/>
        <v>30571</v>
      </c>
      <c r="S18" s="8">
        <f t="shared" si="14"/>
        <v>33717</v>
      </c>
      <c r="T18" s="8">
        <f t="shared" si="14"/>
        <v>33055</v>
      </c>
      <c r="U18" s="8">
        <f t="shared" si="14"/>
        <v>36906</v>
      </c>
      <c r="V18" s="8">
        <f t="shared" si="14"/>
        <v>35021</v>
      </c>
      <c r="W18" s="8">
        <f>+W12</f>
        <v>38033</v>
      </c>
      <c r="X18" s="8">
        <f t="shared" ref="X18:AI18" si="15">+X12</f>
        <v>37154</v>
      </c>
      <c r="Y18" s="8">
        <f t="shared" si="15"/>
        <v>43076</v>
      </c>
      <c r="Z18" s="8">
        <f t="shared" si="15"/>
        <v>41706</v>
      </c>
      <c r="AA18" s="8">
        <f t="shared" si="15"/>
        <v>46152</v>
      </c>
      <c r="AB18" s="8">
        <f t="shared" si="15"/>
        <v>45317</v>
      </c>
      <c r="AC18" s="8">
        <f t="shared" si="15"/>
        <v>51728</v>
      </c>
      <c r="AD18" s="8">
        <f t="shared" si="15"/>
        <v>49360</v>
      </c>
      <c r="AE18" s="8">
        <f t="shared" si="15"/>
        <v>51865</v>
      </c>
      <c r="AF18" s="8">
        <f t="shared" si="15"/>
        <v>50122</v>
      </c>
      <c r="AG18" s="8">
        <f t="shared" si="15"/>
        <v>53588.734970439065</v>
      </c>
      <c r="AH18" s="8">
        <f t="shared" si="15"/>
        <v>51569.768876460585</v>
      </c>
      <c r="AI18" s="8">
        <f t="shared" si="15"/>
        <v>55382.846663871453</v>
      </c>
      <c r="AJ18" s="8"/>
      <c r="AK18" s="8">
        <f t="shared" si="14"/>
        <v>39788</v>
      </c>
      <c r="AL18" s="8">
        <f t="shared" si="14"/>
        <v>44282</v>
      </c>
      <c r="AM18" s="8">
        <f t="shared" si="14"/>
        <v>51122</v>
      </c>
      <c r="AN18" s="8">
        <f t="shared" si="14"/>
        <v>60420</v>
      </c>
      <c r="AO18" s="8">
        <f t="shared" si="14"/>
        <v>58437</v>
      </c>
      <c r="AP18" s="8">
        <f t="shared" si="14"/>
        <v>62484</v>
      </c>
      <c r="AQ18" s="8">
        <f t="shared" si="14"/>
        <v>69943</v>
      </c>
      <c r="AR18" s="8">
        <f t="shared" si="14"/>
        <v>74263</v>
      </c>
      <c r="AS18" s="8">
        <f t="shared" si="14"/>
        <v>77309</v>
      </c>
      <c r="AT18" s="8">
        <f t="shared" si="14"/>
        <v>86833</v>
      </c>
      <c r="AU18" s="8">
        <f t="shared" si="14"/>
        <v>93580</v>
      </c>
      <c r="AV18" s="8">
        <f t="shared" si="14"/>
        <v>91963</v>
      </c>
      <c r="AW18" s="8">
        <f t="shared" si="14"/>
        <v>96657</v>
      </c>
      <c r="AY18" s="8">
        <f t="shared" si="14"/>
        <v>91154</v>
      </c>
      <c r="AZ18" s="8">
        <f t="shared" si="14"/>
        <v>96571</v>
      </c>
      <c r="BA18" s="8">
        <f t="shared" si="14"/>
        <v>110360</v>
      </c>
      <c r="BB18" s="8">
        <f t="shared" si="14"/>
        <v>125843</v>
      </c>
      <c r="BC18" s="8">
        <f>+BC12</f>
        <v>143015</v>
      </c>
      <c r="BD18" s="8">
        <f>SUM(X18:AA18)</f>
        <v>168088</v>
      </c>
      <c r="BE18" s="8">
        <f t="shared" si="12"/>
        <v>198270</v>
      </c>
      <c r="BF18" s="8">
        <f t="shared" si="13"/>
        <v>210663.35051077112</v>
      </c>
    </row>
    <row r="19" spans="2:58" hidden="1" outlineLevel="1">
      <c r="B19" s="20" t="s">
        <v>113</v>
      </c>
      <c r="H19" s="14">
        <f>IFERROR(H18/D18-1,"n/a ")</f>
        <v>4.8684839789574275E-2</v>
      </c>
      <c r="I19" s="14">
        <f t="shared" ref="I19:AI19" si="16">IFERROR(I18/E18-1,"n/a ")</f>
        <v>2.2690373420979792E-2</v>
      </c>
      <c r="J19" s="14">
        <f t="shared" si="16"/>
        <v>7.8774922154575489E-2</v>
      </c>
      <c r="K19" s="14">
        <f t="shared" si="16"/>
        <v>9.0781289937803544E-2</v>
      </c>
      <c r="L19" s="14">
        <f t="shared" si="16"/>
        <v>0.11902590295512594</v>
      </c>
      <c r="M19" s="14">
        <f t="shared" si="16"/>
        <v>0.11972430883605667</v>
      </c>
      <c r="N19" s="14">
        <f t="shared" si="16"/>
        <v>0.15539376184732046</v>
      </c>
      <c r="O19" s="14">
        <f t="shared" si="16"/>
        <v>0.17496582698691654</v>
      </c>
      <c r="P19" s="14">
        <f t="shared" si="16"/>
        <v>0.18526367267095933</v>
      </c>
      <c r="Q19" s="14">
        <f t="shared" si="16"/>
        <v>0.12286465177398154</v>
      </c>
      <c r="R19" s="14">
        <f t="shared" si="16"/>
        <v>0.13990081658525666</v>
      </c>
      <c r="S19" s="14">
        <f t="shared" si="16"/>
        <v>0.12072461359481479</v>
      </c>
      <c r="T19" s="14">
        <f t="shared" si="16"/>
        <v>0.13653555219364599</v>
      </c>
      <c r="U19" s="14">
        <f t="shared" si="16"/>
        <v>0.13658341289150311</v>
      </c>
      <c r="V19" s="14">
        <f t="shared" si="16"/>
        <v>0.14556278826338698</v>
      </c>
      <c r="W19" s="14">
        <f t="shared" si="16"/>
        <v>0.12800664353293589</v>
      </c>
      <c r="X19" s="14">
        <f t="shared" si="16"/>
        <v>0.12400544546967174</v>
      </c>
      <c r="Y19" s="14">
        <f t="shared" si="16"/>
        <v>0.16718148810491518</v>
      </c>
      <c r="Z19" s="14">
        <f t="shared" si="16"/>
        <v>0.19088546871876866</v>
      </c>
      <c r="AA19" s="14">
        <f t="shared" si="16"/>
        <v>0.21347251071437956</v>
      </c>
      <c r="AB19" s="14">
        <f t="shared" si="16"/>
        <v>0.21970716477364483</v>
      </c>
      <c r="AC19" s="14">
        <f t="shared" si="16"/>
        <v>0.2008543040208004</v>
      </c>
      <c r="AD19" s="14">
        <f t="shared" si="16"/>
        <v>0.18352275451973332</v>
      </c>
      <c r="AE19" s="14">
        <f t="shared" si="16"/>
        <v>0.12378661813139202</v>
      </c>
      <c r="AF19" s="14">
        <f t="shared" si="16"/>
        <v>0.1060308493501334</v>
      </c>
      <c r="AG19" s="14">
        <f t="shared" si="16"/>
        <v>3.5971523554729767E-2</v>
      </c>
      <c r="AH19" s="14">
        <f t="shared" si="16"/>
        <v>4.476841321840741E-2</v>
      </c>
      <c r="AI19" s="14">
        <f t="shared" si="16"/>
        <v>6.7826986674471179E-2</v>
      </c>
      <c r="AJ19" s="3"/>
      <c r="AK19" s="3"/>
      <c r="AL19" s="14">
        <f>IFERROR(AL18/AK18-1,"n/a ")</f>
        <v>0.11294862772695291</v>
      </c>
      <c r="AM19" s="14">
        <f t="shared" ref="AM19:AW19" si="17">IFERROR(AM18/AL18-1,"n/a ")</f>
        <v>0.15446456799602548</v>
      </c>
      <c r="AN19" s="14">
        <f t="shared" si="17"/>
        <v>0.18187864324556946</v>
      </c>
      <c r="AO19" s="14">
        <f t="shared" si="17"/>
        <v>-3.2820258192651441E-2</v>
      </c>
      <c r="AP19" s="14">
        <f t="shared" si="17"/>
        <v>6.9254068484008391E-2</v>
      </c>
      <c r="AQ19" s="14">
        <f t="shared" si="17"/>
        <v>0.11937455988733126</v>
      </c>
      <c r="AR19" s="14">
        <f t="shared" si="17"/>
        <v>6.1764579729208124E-2</v>
      </c>
      <c r="AS19" s="14">
        <f t="shared" si="17"/>
        <v>4.1016387703163071E-2</v>
      </c>
      <c r="AT19" s="14">
        <f t="shared" si="17"/>
        <v>0.12319393602297279</v>
      </c>
      <c r="AU19" s="14">
        <f t="shared" si="17"/>
        <v>7.7700874091647165E-2</v>
      </c>
      <c r="AV19" s="14">
        <f t="shared" si="17"/>
        <v>-1.727933319085273E-2</v>
      </c>
      <c r="AW19" s="14">
        <f t="shared" si="17"/>
        <v>5.1042266998684305E-2</v>
      </c>
      <c r="AX19" s="3"/>
      <c r="AY19" s="3"/>
      <c r="AZ19" s="14">
        <f t="shared" ref="AZ19:BF19" si="18">IFERROR(AZ18/AY18-1,"n/a ")</f>
        <v>5.9426903920837271E-2</v>
      </c>
      <c r="BA19" s="14">
        <f t="shared" si="18"/>
        <v>0.14278613662486661</v>
      </c>
      <c r="BB19" s="14">
        <f t="shared" si="18"/>
        <v>0.14029539688292858</v>
      </c>
      <c r="BC19" s="14">
        <f t="shared" si="18"/>
        <v>0.13645574247276371</v>
      </c>
      <c r="BD19" s="14">
        <f t="shared" si="18"/>
        <v>0.17531727441177503</v>
      </c>
      <c r="BE19" s="14">
        <f t="shared" si="18"/>
        <v>0.17956070629670173</v>
      </c>
      <c r="BF19" s="14">
        <f t="shared" si="18"/>
        <v>6.2507441926519913E-2</v>
      </c>
    </row>
    <row r="20" spans="2:58" hidden="1" outlineLevel="1">
      <c r="AV20" s="8"/>
      <c r="AW20" s="9"/>
    </row>
    <row r="21" spans="2:58" collapsed="1">
      <c r="B21" t="s">
        <v>276</v>
      </c>
      <c r="D21" s="8">
        <f t="shared" ref="D21:AF21" si="19">+D519</f>
        <v>13703</v>
      </c>
      <c r="E21" s="8">
        <f t="shared" si="19"/>
        <v>15381</v>
      </c>
      <c r="F21" s="8">
        <f t="shared" si="19"/>
        <v>13795</v>
      </c>
      <c r="G21" s="8">
        <f t="shared" si="19"/>
        <v>15495</v>
      </c>
      <c r="H21" s="8">
        <f t="shared" si="19"/>
        <v>14084</v>
      </c>
      <c r="I21" s="8">
        <f t="shared" si="19"/>
        <v>15925</v>
      </c>
      <c r="J21" s="8">
        <f t="shared" si="19"/>
        <v>15152</v>
      </c>
      <c r="K21" s="8">
        <f t="shared" si="19"/>
        <v>17149</v>
      </c>
      <c r="L21" s="8">
        <f t="shared" si="19"/>
        <v>16260</v>
      </c>
      <c r="M21" s="8">
        <f t="shared" si="19"/>
        <v>17854</v>
      </c>
      <c r="N21" s="8">
        <f t="shared" si="19"/>
        <v>17550</v>
      </c>
      <c r="O21" s="8">
        <f t="shared" si="19"/>
        <v>20343</v>
      </c>
      <c r="P21" s="8">
        <f t="shared" si="19"/>
        <v>19179</v>
      </c>
      <c r="Q21" s="8">
        <f t="shared" si="19"/>
        <v>20048</v>
      </c>
      <c r="R21" s="8">
        <f t="shared" si="19"/>
        <v>20401</v>
      </c>
      <c r="S21" s="8">
        <f t="shared" si="19"/>
        <v>23305</v>
      </c>
      <c r="T21" s="8">
        <f t="shared" si="19"/>
        <v>22649</v>
      </c>
      <c r="U21" s="8">
        <f t="shared" si="19"/>
        <v>24548</v>
      </c>
      <c r="V21" s="8">
        <f t="shared" si="19"/>
        <v>24046</v>
      </c>
      <c r="W21" s="8">
        <f t="shared" si="19"/>
        <v>25694</v>
      </c>
      <c r="X21" s="832">
        <f t="shared" si="19"/>
        <v>26152</v>
      </c>
      <c r="Y21" s="8">
        <f t="shared" si="19"/>
        <v>28882</v>
      </c>
      <c r="Z21" s="8">
        <f t="shared" si="19"/>
        <v>28661</v>
      </c>
      <c r="AA21" s="8">
        <f t="shared" si="19"/>
        <v>32161</v>
      </c>
      <c r="AB21" s="8">
        <f t="shared" si="19"/>
        <v>31671</v>
      </c>
      <c r="AC21" s="8">
        <f t="shared" si="19"/>
        <v>34768</v>
      </c>
      <c r="AD21" s="8">
        <f t="shared" si="19"/>
        <v>33745</v>
      </c>
      <c r="AE21" s="8">
        <f t="shared" si="19"/>
        <v>35436</v>
      </c>
      <c r="AF21" s="8">
        <f t="shared" si="19"/>
        <v>34670</v>
      </c>
      <c r="AG21" s="8">
        <f t="shared" ref="AG21:AI21" si="20">+AG24*AG12</f>
        <v>35634.717204536835</v>
      </c>
      <c r="AH21" s="8">
        <f t="shared" si="20"/>
        <v>34886.234419765293</v>
      </c>
      <c r="AI21" s="8">
        <f t="shared" si="20"/>
        <v>37442.722318379674</v>
      </c>
      <c r="AJ21" s="8"/>
      <c r="AK21" s="8">
        <f t="shared" ref="AK21:AW21" si="21">+AK519</f>
        <v>33757</v>
      </c>
      <c r="AL21" s="8">
        <f t="shared" si="21"/>
        <v>36632</v>
      </c>
      <c r="AM21" s="8">
        <f t="shared" si="21"/>
        <v>40429</v>
      </c>
      <c r="AN21" s="8">
        <f t="shared" si="21"/>
        <v>48822</v>
      </c>
      <c r="AO21" s="8">
        <f t="shared" si="21"/>
        <v>46282</v>
      </c>
      <c r="AP21" s="8">
        <f t="shared" si="21"/>
        <v>50089</v>
      </c>
      <c r="AQ21" s="8">
        <f t="shared" si="21"/>
        <v>54366</v>
      </c>
      <c r="AR21" s="8">
        <f t="shared" si="21"/>
        <v>56193</v>
      </c>
      <c r="AS21" s="8">
        <f t="shared" si="21"/>
        <v>57464</v>
      </c>
      <c r="AT21" s="8">
        <f t="shared" si="21"/>
        <v>59755</v>
      </c>
      <c r="AU21" s="8">
        <f t="shared" si="21"/>
        <v>60542</v>
      </c>
      <c r="AV21" s="8">
        <f t="shared" si="21"/>
        <v>52540</v>
      </c>
      <c r="AW21" s="8">
        <f t="shared" si="21"/>
        <v>55689</v>
      </c>
      <c r="AX21" s="8"/>
      <c r="AY21" s="8">
        <f>+AY519</f>
        <v>58374</v>
      </c>
      <c r="AZ21" s="8">
        <f>+AZ519</f>
        <v>62310</v>
      </c>
      <c r="BA21" s="8">
        <f>+BA519</f>
        <v>72007</v>
      </c>
      <c r="BB21" s="8">
        <f>+BB519</f>
        <v>82933</v>
      </c>
      <c r="BC21" s="8">
        <f>SUM(T21:W21)</f>
        <v>96937</v>
      </c>
      <c r="BD21" s="8">
        <f>SUM(X21:AA21)</f>
        <v>115856</v>
      </c>
      <c r="BE21" s="8">
        <f>SUM(AB21:AE21)</f>
        <v>135620</v>
      </c>
      <c r="BF21" s="8">
        <f>SUM(AF21:AI21)</f>
        <v>142633.67394268181</v>
      </c>
    </row>
    <row r="22" spans="2:58" s="3" customFormat="1">
      <c r="B22" s="13" t="s">
        <v>113</v>
      </c>
      <c r="D22" s="228"/>
      <c r="E22" s="228"/>
      <c r="F22" s="228"/>
      <c r="G22" s="228"/>
      <c r="H22" s="228">
        <f>IFERROR(H21/D21-1,"n/a ")</f>
        <v>2.7804130482376177E-2</v>
      </c>
      <c r="I22" s="228">
        <f t="shared" ref="I22:AI22" si="22">IFERROR(I21/E21-1,"n/a ")</f>
        <v>3.536831155321507E-2</v>
      </c>
      <c r="J22" s="228">
        <f t="shared" si="22"/>
        <v>9.8368974266038522E-2</v>
      </c>
      <c r="K22" s="228">
        <f t="shared" si="22"/>
        <v>0.10674411100354964</v>
      </c>
      <c r="L22" s="228">
        <f t="shared" si="22"/>
        <v>0.154501562056234</v>
      </c>
      <c r="M22" s="228">
        <f t="shared" si="22"/>
        <v>0.12113029827315547</v>
      </c>
      <c r="N22" s="228">
        <f t="shared" si="22"/>
        <v>0.15826293558606119</v>
      </c>
      <c r="O22" s="228">
        <f t="shared" si="22"/>
        <v>0.18624992710945243</v>
      </c>
      <c r="P22" s="228">
        <f t="shared" si="22"/>
        <v>0.17952029520295198</v>
      </c>
      <c r="Q22" s="228">
        <f t="shared" si="22"/>
        <v>0.12288562787050528</v>
      </c>
      <c r="R22" s="228">
        <f t="shared" si="22"/>
        <v>0.16245014245014255</v>
      </c>
      <c r="S22" s="228">
        <f t="shared" si="22"/>
        <v>0.14560291009192361</v>
      </c>
      <c r="T22" s="228">
        <f t="shared" si="22"/>
        <v>0.1809270556337661</v>
      </c>
      <c r="U22" s="228">
        <f t="shared" si="22"/>
        <v>0.22446129289704708</v>
      </c>
      <c r="V22" s="228">
        <f t="shared" si="22"/>
        <v>0.17866771236704082</v>
      </c>
      <c r="W22" s="228">
        <f t="shared" si="22"/>
        <v>0.10251019094614899</v>
      </c>
      <c r="X22" s="228">
        <f t="shared" si="22"/>
        <v>0.15466466510662724</v>
      </c>
      <c r="Y22" s="228">
        <f t="shared" si="22"/>
        <v>0.17655206126772049</v>
      </c>
      <c r="Z22" s="228">
        <f t="shared" si="22"/>
        <v>0.19192381269233971</v>
      </c>
      <c r="AA22" s="228">
        <f t="shared" si="22"/>
        <v>0.25169300225733626</v>
      </c>
      <c r="AB22" s="228">
        <f t="shared" si="22"/>
        <v>0.2110354848577547</v>
      </c>
      <c r="AC22" s="228">
        <f t="shared" si="22"/>
        <v>0.20379475105602096</v>
      </c>
      <c r="AD22" s="228">
        <f t="shared" si="22"/>
        <v>0.17738390146889493</v>
      </c>
      <c r="AE22" s="228">
        <f t="shared" si="22"/>
        <v>0.10183141071484103</v>
      </c>
      <c r="AF22" s="228">
        <f t="shared" si="22"/>
        <v>9.4692305263490262E-2</v>
      </c>
      <c r="AG22" s="228">
        <f t="shared" si="22"/>
        <v>2.4928589638081977E-2</v>
      </c>
      <c r="AH22" s="228">
        <f t="shared" si="22"/>
        <v>3.3819363454298257E-2</v>
      </c>
      <c r="AI22" s="228">
        <f t="shared" si="22"/>
        <v>5.6629481837105589E-2</v>
      </c>
      <c r="AJ22" s="228"/>
      <c r="AK22" s="228"/>
      <c r="AL22" s="228">
        <f>IFERROR(AL21/AK21-1,"n/a ")</f>
        <v>8.5167520810498498E-2</v>
      </c>
      <c r="AM22" s="228">
        <f t="shared" ref="AM22:AW22" si="23">IFERROR(AM21/AL21-1,"n/a ")</f>
        <v>0.10365254422362957</v>
      </c>
      <c r="AN22" s="228">
        <f t="shared" si="23"/>
        <v>0.20759850602290442</v>
      </c>
      <c r="AO22" s="228">
        <f t="shared" si="23"/>
        <v>-5.2025726107082892E-2</v>
      </c>
      <c r="AP22" s="228">
        <f t="shared" si="23"/>
        <v>8.2256600838338967E-2</v>
      </c>
      <c r="AQ22" s="228">
        <f t="shared" si="23"/>
        <v>8.5388009343368765E-2</v>
      </c>
      <c r="AR22" s="228">
        <f t="shared" si="23"/>
        <v>3.3605562299966918E-2</v>
      </c>
      <c r="AS22" s="228">
        <f t="shared" si="23"/>
        <v>2.2618475610841182E-2</v>
      </c>
      <c r="AT22" s="228">
        <f t="shared" si="23"/>
        <v>3.9868439370736475E-2</v>
      </c>
      <c r="AU22" s="228">
        <f t="shared" si="23"/>
        <v>1.3170445987783497E-2</v>
      </c>
      <c r="AV22" s="228">
        <f t="shared" si="23"/>
        <v>-0.13217270655082425</v>
      </c>
      <c r="AW22" s="228">
        <f t="shared" si="23"/>
        <v>5.9935287400076032E-2</v>
      </c>
      <c r="AX22" s="228"/>
      <c r="AY22" s="1010">
        <f>+AV22</f>
        <v>-0.13217270655082425</v>
      </c>
      <c r="AZ22" s="1010">
        <f t="shared" ref="AZ22" si="24">+AW22</f>
        <v>5.9935287400076032E-2</v>
      </c>
      <c r="BA22" s="228">
        <f t="shared" ref="BA22:BF22" si="25">IFERROR(BA21/AZ21-1,"n/a ")</f>
        <v>0.15562510030492693</v>
      </c>
      <c r="BB22" s="228">
        <f t="shared" si="25"/>
        <v>0.15173524796200377</v>
      </c>
      <c r="BC22" s="228">
        <f t="shared" si="25"/>
        <v>0.16885919959485363</v>
      </c>
      <c r="BD22" s="228">
        <f t="shared" si="25"/>
        <v>0.19516799570855303</v>
      </c>
      <c r="BE22" s="228">
        <f t="shared" si="25"/>
        <v>0.17059107858030664</v>
      </c>
      <c r="BF22" s="228">
        <f t="shared" si="25"/>
        <v>5.1715631490059089E-2</v>
      </c>
    </row>
    <row r="23" spans="2:58" s="833" customFormat="1">
      <c r="B23" s="13" t="s">
        <v>270</v>
      </c>
      <c r="D23" s="834"/>
      <c r="E23" s="834"/>
      <c r="F23" s="834"/>
      <c r="G23" s="834"/>
      <c r="H23" s="835" t="s">
        <v>271</v>
      </c>
      <c r="I23" s="835" t="s">
        <v>271</v>
      </c>
      <c r="J23" s="835" t="s">
        <v>271</v>
      </c>
      <c r="K23" s="835" t="s">
        <v>271</v>
      </c>
      <c r="L23" s="834">
        <v>0.15</v>
      </c>
      <c r="M23" s="834">
        <v>0.12</v>
      </c>
      <c r="N23" s="834">
        <v>0.13</v>
      </c>
      <c r="O23" s="834">
        <v>0.16</v>
      </c>
      <c r="P23" s="834">
        <v>0.18</v>
      </c>
      <c r="Q23" s="834">
        <v>0.12</v>
      </c>
      <c r="R23" s="834">
        <v>0.18</v>
      </c>
      <c r="S23" s="834">
        <v>0.17</v>
      </c>
      <c r="T23" s="834">
        <v>0.2</v>
      </c>
      <c r="U23" s="834">
        <v>0.25</v>
      </c>
      <c r="V23" s="834">
        <v>0.2</v>
      </c>
      <c r="W23" s="836">
        <v>0.12</v>
      </c>
      <c r="X23" s="836">
        <v>0.15</v>
      </c>
      <c r="Y23" s="834">
        <v>0.16</v>
      </c>
      <c r="Z23" s="834">
        <v>0.16</v>
      </c>
      <c r="AA23" s="834">
        <v>0.2</v>
      </c>
      <c r="AB23" s="834">
        <v>0.19</v>
      </c>
      <c r="AC23" s="834">
        <v>0.19</v>
      </c>
      <c r="AD23" s="834">
        <v>0.21</v>
      </c>
      <c r="AE23" s="834">
        <v>0.15</v>
      </c>
      <c r="AF23" s="834">
        <v>0.16</v>
      </c>
      <c r="AG23" s="834"/>
      <c r="AH23" s="834"/>
      <c r="AI23" s="834"/>
      <c r="AJ23" s="834"/>
      <c r="AK23" s="834"/>
      <c r="AL23" s="835" t="s">
        <v>271</v>
      </c>
      <c r="AM23" s="835" t="s">
        <v>271</v>
      </c>
      <c r="AN23" s="835" t="s">
        <v>271</v>
      </c>
      <c r="AO23" s="835" t="s">
        <v>271</v>
      </c>
      <c r="AP23" s="835" t="s">
        <v>271</v>
      </c>
      <c r="AQ23" s="835" t="s">
        <v>271</v>
      </c>
      <c r="AR23" s="835" t="s">
        <v>271</v>
      </c>
      <c r="AS23" s="835" t="s">
        <v>271</v>
      </c>
      <c r="AT23" s="835" t="s">
        <v>271</v>
      </c>
      <c r="AU23" s="835" t="s">
        <v>271</v>
      </c>
      <c r="AV23" s="835" t="s">
        <v>271</v>
      </c>
      <c r="AW23" s="835" t="s">
        <v>271</v>
      </c>
      <c r="AX23" s="834"/>
      <c r="AY23" s="1010" t="str">
        <f t="shared" ref="AY23:AY24" si="26">+AV23</f>
        <v>NA</v>
      </c>
      <c r="AZ23" s="1010" t="str">
        <f t="shared" ref="AZ23:AZ24" si="27">+AW23</f>
        <v>NA</v>
      </c>
      <c r="BA23" s="834">
        <f>SUMPRODUCT(L23:O23,H21:K21)/AZ21</f>
        <v>0.14022147327876747</v>
      </c>
      <c r="BB23" s="834">
        <f>SUMPRODUCT(P23:S23,L21:O21)/BA21</f>
        <v>0.16229797103059426</v>
      </c>
      <c r="BC23" s="834">
        <f>SUMPRODUCT(T23:W23,P21:S21)/BB21</f>
        <v>0.18960606754850301</v>
      </c>
      <c r="BD23" s="834">
        <f>SUMPRODUCT(X23:AA23,T21:W21)/BC21</f>
        <v>0.16826588402777065</v>
      </c>
      <c r="BE23" s="834">
        <f>SUMPRODUCT(AB23:AE23,X21:AA21)/BD21</f>
        <v>0.18384390968098327</v>
      </c>
      <c r="BF23" s="834"/>
    </row>
    <row r="24" spans="2:58" s="3" customFormat="1">
      <c r="B24" s="13" t="s">
        <v>115</v>
      </c>
      <c r="D24" s="228">
        <f t="shared" ref="D24:AF24" si="28">IFERROR(D21/D12,"n/a ")</f>
        <v>0.65533237685318024</v>
      </c>
      <c r="E24" s="228">
        <f t="shared" si="28"/>
        <v>0.60907614936839183</v>
      </c>
      <c r="F24" s="228">
        <f t="shared" si="28"/>
        <v>0.64112097411349167</v>
      </c>
      <c r="G24" s="228">
        <f t="shared" si="28"/>
        <v>0.66009201669932693</v>
      </c>
      <c r="H24" s="228">
        <f t="shared" si="28"/>
        <v>0.64228383801532285</v>
      </c>
      <c r="I24" s="228">
        <f t="shared" si="28"/>
        <v>0.61662665530860372</v>
      </c>
      <c r="J24" s="228">
        <f t="shared" si="28"/>
        <v>0.65276581078752371</v>
      </c>
      <c r="K24" s="228">
        <f t="shared" si="28"/>
        <v>0.66975200156219483</v>
      </c>
      <c r="L24" s="228">
        <f t="shared" si="28"/>
        <v>0.66264569239546822</v>
      </c>
      <c r="M24" s="228">
        <f t="shared" si="28"/>
        <v>0.6174009267584204</v>
      </c>
      <c r="N24" s="228">
        <f t="shared" si="28"/>
        <v>0.65438681531749876</v>
      </c>
      <c r="O24" s="228">
        <f t="shared" si="28"/>
        <v>0.67618414492271894</v>
      </c>
      <c r="P24" s="228">
        <f t="shared" si="28"/>
        <v>0.65943474075092834</v>
      </c>
      <c r="Q24" s="228">
        <f t="shared" si="28"/>
        <v>0.61741246034923469</v>
      </c>
      <c r="R24" s="228">
        <f t="shared" si="28"/>
        <v>0.66733178502502366</v>
      </c>
      <c r="S24" s="228">
        <f t="shared" si="28"/>
        <v>0.69119435299700449</v>
      </c>
      <c r="T24" s="228">
        <f t="shared" si="28"/>
        <v>0.6851913477537438</v>
      </c>
      <c r="U24" s="228">
        <f t="shared" si="28"/>
        <v>0.66514929821709212</v>
      </c>
      <c r="V24" s="228">
        <f t="shared" si="28"/>
        <v>0.68661660146769077</v>
      </c>
      <c r="W24" s="228">
        <f t="shared" si="28"/>
        <v>0.67557121447164303</v>
      </c>
      <c r="X24" s="228">
        <f t="shared" si="28"/>
        <v>0.70388114334930285</v>
      </c>
      <c r="Y24" s="228">
        <f t="shared" si="28"/>
        <v>0.67048936762930633</v>
      </c>
      <c r="Z24" s="228">
        <f t="shared" si="28"/>
        <v>0.68721526878626582</v>
      </c>
      <c r="AA24" s="228">
        <f t="shared" si="28"/>
        <v>0.69684954064829263</v>
      </c>
      <c r="AB24" s="228">
        <f t="shared" si="28"/>
        <v>0.6988768012004325</v>
      </c>
      <c r="AC24" s="228">
        <f t="shared" si="28"/>
        <v>0.67213114754098358</v>
      </c>
      <c r="AD24" s="228">
        <f t="shared" si="28"/>
        <v>0.68365072933549431</v>
      </c>
      <c r="AE24" s="228">
        <f t="shared" si="28"/>
        <v>0.68323532247180174</v>
      </c>
      <c r="AF24" s="228">
        <f t="shared" si="28"/>
        <v>0.69171222217788597</v>
      </c>
      <c r="AG24" s="829">
        <f>+AF24-AB24+AC24</f>
        <v>0.66496656851843705</v>
      </c>
      <c r="AH24" s="829">
        <f t="shared" ref="AH24:AI24" si="29">+AG24-AC24+AD24</f>
        <v>0.67648615031294779</v>
      </c>
      <c r="AI24" s="829">
        <f t="shared" si="29"/>
        <v>0.67607074344925522</v>
      </c>
      <c r="AJ24" s="228"/>
      <c r="AK24" s="228">
        <f t="shared" ref="AK24:AW24" si="30">IFERROR(AK21/AK12,"n/a ")</f>
        <v>0.84842163466371767</v>
      </c>
      <c r="AL24" s="228">
        <f t="shared" si="30"/>
        <v>0.82724357526760306</v>
      </c>
      <c r="AM24" s="228">
        <f t="shared" si="30"/>
        <v>0.79083369195258402</v>
      </c>
      <c r="AN24" s="228">
        <f t="shared" si="30"/>
        <v>0.80804369414101296</v>
      </c>
      <c r="AO24" s="228">
        <f t="shared" si="30"/>
        <v>0.79199822030562828</v>
      </c>
      <c r="AP24" s="228">
        <f t="shared" si="30"/>
        <v>0.80162921707957235</v>
      </c>
      <c r="AQ24" s="228">
        <f t="shared" si="30"/>
        <v>0.77729007906438097</v>
      </c>
      <c r="AR24" s="228">
        <f t="shared" si="30"/>
        <v>0.76221803236439101</v>
      </c>
      <c r="AS24" s="228">
        <f t="shared" si="30"/>
        <v>0.73814692545825888</v>
      </c>
      <c r="AT24" s="228">
        <f t="shared" si="30"/>
        <v>0.68816003132449644</v>
      </c>
      <c r="AU24" s="228">
        <f t="shared" si="30"/>
        <v>0.64695447745244705</v>
      </c>
      <c r="AV24" s="228">
        <f t="shared" si="30"/>
        <v>0.61579934364744493</v>
      </c>
      <c r="AW24" s="228">
        <f t="shared" si="30"/>
        <v>0.61911061700944969</v>
      </c>
      <c r="AX24" s="228"/>
      <c r="AY24" s="1010">
        <f t="shared" si="26"/>
        <v>0.61579934364744493</v>
      </c>
      <c r="AZ24" s="1010">
        <f t="shared" si="27"/>
        <v>0.61911061700944969</v>
      </c>
      <c r="BA24" s="228">
        <f>IFERROR(BA21/BA12,"n/a ")</f>
        <v>0.65247372236317502</v>
      </c>
      <c r="BB24" s="228">
        <f>IFERROR(BB21/BB12,"n/a ")</f>
        <v>0.65901957200638894</v>
      </c>
      <c r="BC24" s="228">
        <f>IFERROR(BC21/BC12,"n/a ")</f>
        <v>0.67781001992797962</v>
      </c>
      <c r="BD24" s="228">
        <f t="shared" ref="BD24:BF24" si="31">IFERROR(BD21/BD12,"n/a ")</f>
        <v>0.68925800771024703</v>
      </c>
      <c r="BE24" s="228">
        <f t="shared" si="31"/>
        <v>0.68401674484289099</v>
      </c>
      <c r="BF24" s="228">
        <f t="shared" si="31"/>
        <v>0.6770692367554888</v>
      </c>
    </row>
    <row r="25" spans="2:58">
      <c r="AE25" s="9"/>
    </row>
    <row r="26" spans="2:58" ht="10.5">
      <c r="B26" s="45" t="s">
        <v>277</v>
      </c>
      <c r="AF26" s="828" t="s">
        <v>265</v>
      </c>
      <c r="AG26" s="992">
        <f>+BN132*1000</f>
        <v>14350.000000000002</v>
      </c>
    </row>
    <row r="27" spans="2:58">
      <c r="B27" t="s">
        <v>279</v>
      </c>
      <c r="D27" s="8">
        <f t="shared" ref="D27:AF28" si="32">+D526</f>
        <v>2962</v>
      </c>
      <c r="E27" s="8">
        <f t="shared" si="32"/>
        <v>2900</v>
      </c>
      <c r="F27" s="8">
        <f t="shared" si="32"/>
        <v>2980</v>
      </c>
      <c r="G27" s="8">
        <f t="shared" si="32"/>
        <v>3146</v>
      </c>
      <c r="H27" s="8">
        <f t="shared" si="32"/>
        <v>3106</v>
      </c>
      <c r="I27" s="8">
        <f t="shared" si="32"/>
        <v>3062</v>
      </c>
      <c r="J27" s="8">
        <f t="shared" si="32"/>
        <v>3355</v>
      </c>
      <c r="K27" s="8">
        <f t="shared" si="32"/>
        <v>3514</v>
      </c>
      <c r="L27" s="8">
        <f t="shared" si="32"/>
        <v>3574</v>
      </c>
      <c r="M27" s="8">
        <f t="shared" si="32"/>
        <v>3504</v>
      </c>
      <c r="N27" s="8">
        <f t="shared" si="32"/>
        <v>3715</v>
      </c>
      <c r="O27" s="8">
        <f t="shared" si="32"/>
        <v>3933</v>
      </c>
      <c r="P27" s="8">
        <f t="shared" si="32"/>
        <v>3977</v>
      </c>
      <c r="Q27" s="8">
        <f t="shared" si="32"/>
        <v>4070</v>
      </c>
      <c r="R27" s="8">
        <f t="shared" si="32"/>
        <v>4316</v>
      </c>
      <c r="S27" s="8">
        <f t="shared" si="32"/>
        <v>4513</v>
      </c>
      <c r="T27" s="8">
        <f t="shared" si="32"/>
        <v>4565</v>
      </c>
      <c r="U27" s="8">
        <f t="shared" si="32"/>
        <v>4603</v>
      </c>
      <c r="V27" s="8">
        <f t="shared" si="32"/>
        <v>4887</v>
      </c>
      <c r="W27" s="8">
        <f t="shared" si="32"/>
        <v>5214</v>
      </c>
      <c r="X27" s="8">
        <f t="shared" si="32"/>
        <v>4926</v>
      </c>
      <c r="Y27" s="8">
        <f t="shared" si="32"/>
        <v>4899</v>
      </c>
      <c r="Z27" s="8">
        <f t="shared" si="32"/>
        <v>5204</v>
      </c>
      <c r="AA27" s="8">
        <f t="shared" si="32"/>
        <v>5687</v>
      </c>
      <c r="AB27" s="8">
        <f t="shared" si="32"/>
        <v>5599</v>
      </c>
      <c r="AC27" s="8">
        <f t="shared" si="32"/>
        <v>5758</v>
      </c>
      <c r="AD27" s="8">
        <f t="shared" si="32"/>
        <v>6306</v>
      </c>
      <c r="AE27" s="8">
        <f t="shared" si="32"/>
        <v>6849</v>
      </c>
      <c r="AF27" s="8">
        <f t="shared" si="32"/>
        <v>6628</v>
      </c>
      <c r="AG27" s="8"/>
      <c r="AH27" s="8"/>
      <c r="AI27" s="8"/>
      <c r="AK27" s="8">
        <f t="shared" ref="AK27:AW28" si="33">+AK526</f>
        <v>6097</v>
      </c>
      <c r="AL27" s="8">
        <f t="shared" si="33"/>
        <v>6584</v>
      </c>
      <c r="AM27" s="8">
        <f t="shared" si="33"/>
        <v>7121</v>
      </c>
      <c r="AN27" s="8">
        <f t="shared" si="33"/>
        <v>8164</v>
      </c>
      <c r="AO27" s="8">
        <f t="shared" si="33"/>
        <v>9010</v>
      </c>
      <c r="AP27" s="8">
        <f t="shared" si="33"/>
        <v>8714</v>
      </c>
      <c r="AQ27" s="8">
        <f t="shared" si="33"/>
        <v>9043</v>
      </c>
      <c r="AR27" s="8">
        <f t="shared" si="33"/>
        <v>9811</v>
      </c>
      <c r="AS27" s="8">
        <f t="shared" si="33"/>
        <v>10411</v>
      </c>
      <c r="AT27" s="8">
        <f t="shared" si="33"/>
        <v>11381</v>
      </c>
      <c r="AU27" s="8">
        <f t="shared" si="33"/>
        <v>12046</v>
      </c>
      <c r="AV27" s="8">
        <f t="shared" si="33"/>
        <v>11988</v>
      </c>
      <c r="AW27" s="8">
        <f t="shared" si="33"/>
        <v>13037</v>
      </c>
      <c r="AY27" s="8">
        <f t="shared" ref="AY27:BC28" si="34">+AY526</f>
        <v>11988</v>
      </c>
      <c r="AZ27" s="8">
        <f t="shared" si="34"/>
        <v>13037</v>
      </c>
      <c r="BA27" s="8">
        <f t="shared" si="34"/>
        <v>14726</v>
      </c>
      <c r="BB27" s="8">
        <f t="shared" si="34"/>
        <v>16876</v>
      </c>
      <c r="BC27" s="8">
        <f t="shared" si="34"/>
        <v>19269</v>
      </c>
      <c r="BD27" s="8">
        <f t="shared" ref="BD27:BD29" si="35">SUM(X27:AA27)</f>
        <v>20716</v>
      </c>
      <c r="BE27" s="8">
        <f>SUM(AB27:AE27)</f>
        <v>24512</v>
      </c>
      <c r="BF27" s="8"/>
    </row>
    <row r="28" spans="2:58">
      <c r="B28" t="s">
        <v>280</v>
      </c>
      <c r="D28" s="8">
        <f t="shared" si="32"/>
        <v>3341</v>
      </c>
      <c r="E28" s="8">
        <f t="shared" si="32"/>
        <v>3954</v>
      </c>
      <c r="F28" s="8">
        <f t="shared" si="32"/>
        <v>3398</v>
      </c>
      <c r="G28" s="8">
        <f t="shared" si="32"/>
        <v>3942</v>
      </c>
      <c r="H28" s="8">
        <f t="shared" si="32"/>
        <v>3218</v>
      </c>
      <c r="I28" s="8">
        <f t="shared" si="32"/>
        <v>4079</v>
      </c>
      <c r="J28" s="8">
        <f t="shared" si="32"/>
        <v>3872</v>
      </c>
      <c r="K28" s="8">
        <f t="shared" si="32"/>
        <v>4292</v>
      </c>
      <c r="L28" s="8">
        <f t="shared" si="32"/>
        <v>3812</v>
      </c>
      <c r="M28" s="8">
        <f t="shared" si="32"/>
        <v>4562</v>
      </c>
      <c r="N28" s="8">
        <f t="shared" si="32"/>
        <v>4335</v>
      </c>
      <c r="O28" s="8">
        <f t="shared" si="32"/>
        <v>4760</v>
      </c>
      <c r="P28" s="8">
        <f t="shared" si="32"/>
        <v>4098</v>
      </c>
      <c r="Q28" s="8">
        <f t="shared" si="32"/>
        <v>4588</v>
      </c>
      <c r="R28" s="8">
        <f t="shared" si="32"/>
        <v>4565</v>
      </c>
      <c r="S28" s="8">
        <f t="shared" si="32"/>
        <v>4962</v>
      </c>
      <c r="T28" s="8">
        <f t="shared" si="32"/>
        <v>4337</v>
      </c>
      <c r="U28" s="8">
        <f t="shared" si="32"/>
        <v>4933</v>
      </c>
      <c r="V28" s="8">
        <f t="shared" si="32"/>
        <v>4911</v>
      </c>
      <c r="W28" s="8">
        <f t="shared" si="32"/>
        <v>5417</v>
      </c>
      <c r="X28" s="8">
        <f t="shared" si="32"/>
        <v>4231</v>
      </c>
      <c r="Y28" s="8">
        <f t="shared" si="32"/>
        <v>4947</v>
      </c>
      <c r="Z28" s="8">
        <f t="shared" si="32"/>
        <v>5082</v>
      </c>
      <c r="AA28" s="8">
        <f t="shared" si="32"/>
        <v>5857</v>
      </c>
      <c r="AB28" s="8">
        <f t="shared" si="32"/>
        <v>4547</v>
      </c>
      <c r="AC28" s="8">
        <f t="shared" si="32"/>
        <v>5379</v>
      </c>
      <c r="AD28" s="8">
        <f t="shared" si="32"/>
        <v>5595</v>
      </c>
      <c r="AE28" s="8">
        <f t="shared" si="32"/>
        <v>6304</v>
      </c>
      <c r="AF28" s="8">
        <f t="shared" si="32"/>
        <v>5126</v>
      </c>
      <c r="AG28" s="8"/>
      <c r="AH28" s="8"/>
      <c r="AI28" s="8"/>
      <c r="AK28" s="8">
        <f t="shared" si="33"/>
        <v>8548</v>
      </c>
      <c r="AL28" s="8">
        <f t="shared" si="33"/>
        <v>9910</v>
      </c>
      <c r="AM28" s="8">
        <f t="shared" si="33"/>
        <v>11541</v>
      </c>
      <c r="AN28" s="8">
        <f t="shared" si="33"/>
        <v>13260</v>
      </c>
      <c r="AO28" s="8">
        <f t="shared" si="33"/>
        <v>12879</v>
      </c>
      <c r="AP28" s="8">
        <f t="shared" si="33"/>
        <v>13214</v>
      </c>
      <c r="AQ28" s="8">
        <f t="shared" si="33"/>
        <v>13940</v>
      </c>
      <c r="AR28" s="8">
        <f t="shared" si="33"/>
        <v>13857</v>
      </c>
      <c r="AS28" s="8">
        <f t="shared" si="33"/>
        <v>15276</v>
      </c>
      <c r="AT28" s="8">
        <f t="shared" si="33"/>
        <v>15811</v>
      </c>
      <c r="AU28" s="8">
        <f t="shared" si="33"/>
        <v>15713</v>
      </c>
      <c r="AV28" s="8">
        <f t="shared" si="33"/>
        <v>14697</v>
      </c>
      <c r="AW28" s="8">
        <f t="shared" si="33"/>
        <v>15539</v>
      </c>
      <c r="AY28" s="8">
        <f t="shared" si="34"/>
        <v>14635</v>
      </c>
      <c r="AZ28" s="8">
        <f t="shared" si="34"/>
        <v>15461</v>
      </c>
      <c r="BA28" s="8">
        <f t="shared" si="34"/>
        <v>17469</v>
      </c>
      <c r="BB28" s="8">
        <f t="shared" si="34"/>
        <v>18213</v>
      </c>
      <c r="BC28" s="8">
        <f t="shared" si="34"/>
        <v>19598</v>
      </c>
      <c r="BD28" s="8">
        <f t="shared" si="35"/>
        <v>20117</v>
      </c>
      <c r="BE28" s="8">
        <f t="shared" ref="BE28:BE30" si="36">SUM(AB28:AE28)</f>
        <v>21825</v>
      </c>
      <c r="BF28" s="8"/>
    </row>
    <row r="29" spans="2:58" ht="11.45">
      <c r="B29" t="s">
        <v>281</v>
      </c>
      <c r="D29" s="10">
        <f t="shared" ref="D29:AF29" si="37">+D528-D555</f>
        <v>1084</v>
      </c>
      <c r="E29" s="10">
        <f t="shared" si="37"/>
        <v>1038</v>
      </c>
      <c r="F29" s="10">
        <f t="shared" si="37"/>
        <v>1140</v>
      </c>
      <c r="G29" s="10">
        <f t="shared" si="37"/>
        <v>1301</v>
      </c>
      <c r="H29" s="10">
        <f t="shared" si="37"/>
        <v>1045</v>
      </c>
      <c r="I29" s="10">
        <f t="shared" si="37"/>
        <v>879</v>
      </c>
      <c r="J29" s="10">
        <f t="shared" si="37"/>
        <v>1202</v>
      </c>
      <c r="K29" s="10">
        <f t="shared" si="37"/>
        <v>1355</v>
      </c>
      <c r="L29" s="10">
        <f t="shared" si="37"/>
        <v>1166</v>
      </c>
      <c r="M29" s="10">
        <f t="shared" si="37"/>
        <v>1109</v>
      </c>
      <c r="N29" s="10">
        <f t="shared" si="37"/>
        <v>1208</v>
      </c>
      <c r="O29" s="10">
        <f t="shared" si="37"/>
        <v>1271</v>
      </c>
      <c r="P29" s="10">
        <f t="shared" si="37"/>
        <v>1149</v>
      </c>
      <c r="Q29" s="10">
        <f t="shared" si="37"/>
        <v>1132</v>
      </c>
      <c r="R29" s="10">
        <f t="shared" si="37"/>
        <v>1179</v>
      </c>
      <c r="S29" s="10">
        <f t="shared" si="37"/>
        <v>1425</v>
      </c>
      <c r="T29" s="10">
        <f t="shared" si="37"/>
        <v>1061</v>
      </c>
      <c r="U29" s="10">
        <f t="shared" si="37"/>
        <v>1121</v>
      </c>
      <c r="V29" s="10">
        <f t="shared" si="37"/>
        <v>1273</v>
      </c>
      <c r="W29" s="10">
        <f t="shared" si="37"/>
        <v>1656</v>
      </c>
      <c r="X29" s="10">
        <f t="shared" si="37"/>
        <v>1119</v>
      </c>
      <c r="Y29" s="10">
        <f t="shared" si="37"/>
        <v>1139</v>
      </c>
      <c r="Z29" s="10">
        <f t="shared" si="37"/>
        <v>1327</v>
      </c>
      <c r="AA29" s="10">
        <f t="shared" si="37"/>
        <v>1522</v>
      </c>
      <c r="AB29" s="10">
        <f t="shared" si="37"/>
        <v>1287</v>
      </c>
      <c r="AC29" s="10">
        <f t="shared" si="37"/>
        <v>1384</v>
      </c>
      <c r="AD29" s="10">
        <f t="shared" si="37"/>
        <v>1480</v>
      </c>
      <c r="AE29" s="10">
        <f t="shared" si="37"/>
        <v>1749</v>
      </c>
      <c r="AF29" s="10">
        <f t="shared" si="37"/>
        <v>1398</v>
      </c>
      <c r="AG29" s="10"/>
      <c r="AH29" s="10"/>
      <c r="AI29" s="10"/>
      <c r="AK29" s="10">
        <f t="shared" ref="AK29:AW29" si="38">+AK528-AK555</f>
        <v>4536</v>
      </c>
      <c r="AL29" s="10">
        <f t="shared" si="38"/>
        <v>3758</v>
      </c>
      <c r="AM29" s="10">
        <f t="shared" si="38"/>
        <v>3329</v>
      </c>
      <c r="AN29" s="10">
        <f t="shared" si="38"/>
        <v>5127</v>
      </c>
      <c r="AO29" s="10">
        <f t="shared" si="38"/>
        <v>4030</v>
      </c>
      <c r="AP29" s="10">
        <f t="shared" si="38"/>
        <v>4063</v>
      </c>
      <c r="AQ29" s="10">
        <f t="shared" si="38"/>
        <v>4222</v>
      </c>
      <c r="AR29" s="10">
        <f t="shared" si="38"/>
        <v>4569</v>
      </c>
      <c r="AS29" s="58">
        <f t="shared" si="38"/>
        <v>4280</v>
      </c>
      <c r="AT29" s="10">
        <f t="shared" si="38"/>
        <v>4677</v>
      </c>
      <c r="AU29" s="10">
        <f t="shared" si="38"/>
        <v>4611</v>
      </c>
      <c r="AV29" s="10">
        <f t="shared" si="38"/>
        <v>4563</v>
      </c>
      <c r="AW29" s="10">
        <f t="shared" si="38"/>
        <v>4481</v>
      </c>
      <c r="AY29" s="10">
        <f>+AY528-AY555</f>
        <v>4563</v>
      </c>
      <c r="AZ29" s="10">
        <f>+AZ528-AZ555</f>
        <v>4481</v>
      </c>
      <c r="BA29" s="10">
        <f>+BA528-BA555</f>
        <v>4754</v>
      </c>
      <c r="BB29" s="10">
        <f>+BB528-BB555</f>
        <v>4885</v>
      </c>
      <c r="BC29" s="10">
        <f>+BC528-BC555</f>
        <v>5111</v>
      </c>
      <c r="BD29" s="10">
        <f t="shared" si="35"/>
        <v>5107</v>
      </c>
      <c r="BE29" s="10">
        <f t="shared" si="36"/>
        <v>5900</v>
      </c>
      <c r="BF29" s="10"/>
    </row>
    <row r="30" spans="2:58" s="1" customFormat="1" ht="10.5">
      <c r="B30" s="837" t="s">
        <v>456</v>
      </c>
      <c r="D30" s="838">
        <f>SUM(D27:D29)</f>
        <v>7387</v>
      </c>
      <c r="E30" s="838">
        <f t="shared" ref="E30:BC30" si="39">SUM(E27:E29)</f>
        <v>7892</v>
      </c>
      <c r="F30" s="838">
        <f t="shared" si="39"/>
        <v>7518</v>
      </c>
      <c r="G30" s="838">
        <f t="shared" si="39"/>
        <v>8389</v>
      </c>
      <c r="H30" s="838">
        <f t="shared" si="39"/>
        <v>7369</v>
      </c>
      <c r="I30" s="838">
        <f t="shared" si="39"/>
        <v>8020</v>
      </c>
      <c r="J30" s="838">
        <f t="shared" si="39"/>
        <v>8429</v>
      </c>
      <c r="K30" s="838">
        <f t="shared" si="39"/>
        <v>9161</v>
      </c>
      <c r="L30" s="838">
        <f t="shared" si="39"/>
        <v>8552</v>
      </c>
      <c r="M30" s="838">
        <f t="shared" si="39"/>
        <v>9175</v>
      </c>
      <c r="N30" s="838">
        <f t="shared" si="39"/>
        <v>9258</v>
      </c>
      <c r="O30" s="838">
        <f t="shared" si="39"/>
        <v>9964</v>
      </c>
      <c r="P30" s="838">
        <f t="shared" si="39"/>
        <v>9224</v>
      </c>
      <c r="Q30" s="838">
        <f t="shared" si="39"/>
        <v>9790</v>
      </c>
      <c r="R30" s="838">
        <f t="shared" si="39"/>
        <v>10060</v>
      </c>
      <c r="S30" s="838">
        <f t="shared" si="39"/>
        <v>10900</v>
      </c>
      <c r="T30" s="838">
        <f t="shared" si="39"/>
        <v>9963</v>
      </c>
      <c r="U30" s="838">
        <f t="shared" si="39"/>
        <v>10657</v>
      </c>
      <c r="V30" s="838">
        <f t="shared" si="39"/>
        <v>11071</v>
      </c>
      <c r="W30" s="838">
        <f t="shared" si="39"/>
        <v>12287</v>
      </c>
      <c r="X30" s="838">
        <f t="shared" si="39"/>
        <v>10276</v>
      </c>
      <c r="Y30" s="838">
        <f t="shared" si="39"/>
        <v>10985</v>
      </c>
      <c r="Z30" s="838">
        <f t="shared" si="39"/>
        <v>11613</v>
      </c>
      <c r="AA30" s="838">
        <f t="shared" si="39"/>
        <v>13066</v>
      </c>
      <c r="AB30" s="838">
        <f t="shared" si="39"/>
        <v>11433</v>
      </c>
      <c r="AC30" s="838">
        <f t="shared" si="39"/>
        <v>12521</v>
      </c>
      <c r="AD30" s="838">
        <f t="shared" si="39"/>
        <v>13381</v>
      </c>
      <c r="AE30" s="838">
        <f t="shared" si="39"/>
        <v>14902</v>
      </c>
      <c r="AF30" s="838">
        <f t="shared" si="39"/>
        <v>13152</v>
      </c>
      <c r="AG30" s="838">
        <f t="shared" ref="AG30:AI30" si="40">+AG21-AG44</f>
        <v>13354.392187115947</v>
      </c>
      <c r="AH30" s="838">
        <f t="shared" si="40"/>
        <v>14217.867157770757</v>
      </c>
      <c r="AI30" s="838">
        <f t="shared" si="40"/>
        <v>15801.869735240958</v>
      </c>
      <c r="AK30" s="838">
        <f t="shared" si="39"/>
        <v>19181</v>
      </c>
      <c r="AL30" s="838">
        <f t="shared" si="39"/>
        <v>20252</v>
      </c>
      <c r="AM30" s="838">
        <f t="shared" si="39"/>
        <v>21991</v>
      </c>
      <c r="AN30" s="838">
        <f t="shared" si="39"/>
        <v>26551</v>
      </c>
      <c r="AO30" s="838">
        <f t="shared" si="39"/>
        <v>25919</v>
      </c>
      <c r="AP30" s="838">
        <f t="shared" si="39"/>
        <v>25991</v>
      </c>
      <c r="AQ30" s="838">
        <f t="shared" si="39"/>
        <v>27205</v>
      </c>
      <c r="AR30" s="838">
        <f t="shared" si="39"/>
        <v>28237</v>
      </c>
      <c r="AS30" s="838">
        <f t="shared" si="39"/>
        <v>29967</v>
      </c>
      <c r="AT30" s="838">
        <f t="shared" si="39"/>
        <v>31869</v>
      </c>
      <c r="AU30" s="838">
        <f t="shared" si="39"/>
        <v>32370</v>
      </c>
      <c r="AV30" s="838">
        <f t="shared" si="39"/>
        <v>31248</v>
      </c>
      <c r="AW30" s="838">
        <f t="shared" si="39"/>
        <v>33057</v>
      </c>
      <c r="AY30" s="838">
        <f t="shared" si="39"/>
        <v>31186</v>
      </c>
      <c r="AZ30" s="838">
        <f t="shared" si="39"/>
        <v>32979</v>
      </c>
      <c r="BA30" s="838">
        <f t="shared" si="39"/>
        <v>36949</v>
      </c>
      <c r="BB30" s="838">
        <f t="shared" si="39"/>
        <v>39974</v>
      </c>
      <c r="BC30" s="838">
        <f t="shared" si="39"/>
        <v>43978</v>
      </c>
      <c r="BD30" s="838">
        <f>SUM(X30:AA30)</f>
        <v>45940</v>
      </c>
      <c r="BE30" s="838">
        <f t="shared" si="36"/>
        <v>52237</v>
      </c>
      <c r="BF30" s="838">
        <f>SUM(AF30:AI30)</f>
        <v>56526.129080127663</v>
      </c>
    </row>
    <row r="31" spans="2:58">
      <c r="B31" s="13"/>
      <c r="H31" s="14"/>
      <c r="I31" s="14"/>
      <c r="J31" s="14"/>
      <c r="K31" s="14"/>
      <c r="L31" s="14"/>
      <c r="M31" s="14"/>
      <c r="N31" s="14"/>
      <c r="O31" s="14"/>
      <c r="P31" s="14"/>
      <c r="Q31" s="14"/>
      <c r="R31" s="14"/>
      <c r="S31" s="14"/>
      <c r="T31" s="14"/>
      <c r="U31" s="14"/>
      <c r="V31" s="14"/>
      <c r="W31" s="14"/>
      <c r="X31" s="14"/>
      <c r="Y31" s="14"/>
      <c r="Z31" s="14"/>
      <c r="AB31" s="14"/>
      <c r="AC31" s="14"/>
      <c r="AD31" s="14"/>
      <c r="AE31" s="14"/>
      <c r="AF31" s="14"/>
      <c r="AG31" s="14"/>
      <c r="AH31" s="14"/>
      <c r="AI31" s="14"/>
      <c r="AJ31" s="3"/>
      <c r="AK31" s="3"/>
      <c r="AL31" s="14"/>
      <c r="AM31" s="14"/>
      <c r="AN31" s="14"/>
      <c r="AO31" s="14"/>
      <c r="AP31" s="14"/>
      <c r="AQ31" s="14"/>
      <c r="AR31" s="14"/>
      <c r="AS31" s="14"/>
      <c r="AT31" s="14"/>
      <c r="AU31" s="14"/>
      <c r="AV31" s="14"/>
      <c r="AW31" s="14"/>
      <c r="AZ31" s="14"/>
      <c r="BA31" s="14"/>
      <c r="BB31" s="14"/>
      <c r="BC31" s="14"/>
      <c r="BD31" s="14"/>
      <c r="BE31" s="14"/>
      <c r="BF31" s="14"/>
    </row>
    <row r="32" spans="2:58">
      <c r="B32" s="24" t="s">
        <v>113</v>
      </c>
    </row>
    <row r="33" spans="2:63" s="3" customFormat="1">
      <c r="B33" s="13" t="str">
        <f>+B27</f>
        <v>R&amp;D</v>
      </c>
      <c r="D33" s="228"/>
      <c r="E33" s="228"/>
      <c r="F33" s="228"/>
      <c r="G33" s="228"/>
      <c r="H33" s="228">
        <f t="shared" ref="H33:V36" si="41">+H27/D27-1</f>
        <v>4.8615800135043852E-2</v>
      </c>
      <c r="I33" s="228">
        <f t="shared" si="41"/>
        <v>5.5862068965517153E-2</v>
      </c>
      <c r="J33" s="228">
        <f t="shared" si="41"/>
        <v>0.12583892617449655</v>
      </c>
      <c r="K33" s="228">
        <f t="shared" si="41"/>
        <v>0.11697393515575327</v>
      </c>
      <c r="L33" s="228">
        <f t="shared" si="41"/>
        <v>0.1506761107533805</v>
      </c>
      <c r="M33" s="228">
        <f t="shared" si="41"/>
        <v>0.14435009797517973</v>
      </c>
      <c r="N33" s="228">
        <f t="shared" si="41"/>
        <v>0.10730253353204167</v>
      </c>
      <c r="O33" s="228">
        <f t="shared" si="41"/>
        <v>0.1192373363688104</v>
      </c>
      <c r="P33" s="228">
        <f t="shared" si="41"/>
        <v>0.11275881365416907</v>
      </c>
      <c r="Q33" s="228">
        <f t="shared" si="41"/>
        <v>0.1615296803652968</v>
      </c>
      <c r="R33" s="228">
        <f t="shared" si="41"/>
        <v>0.16177658142664875</v>
      </c>
      <c r="S33" s="228">
        <f t="shared" si="41"/>
        <v>0.14747012458682929</v>
      </c>
      <c r="T33" s="228">
        <f t="shared" si="41"/>
        <v>0.14785013829519733</v>
      </c>
      <c r="U33" s="228">
        <f t="shared" si="41"/>
        <v>0.13095823095823089</v>
      </c>
      <c r="V33" s="228">
        <f>+V27/R27-1</f>
        <v>0.13229842446709927</v>
      </c>
      <c r="W33" s="228">
        <f t="shared" ref="W33:AI36" si="42">+W27/S27-1</f>
        <v>0.15532904941280745</v>
      </c>
      <c r="X33" s="228">
        <f t="shared" si="42"/>
        <v>7.9079956188389922E-2</v>
      </c>
      <c r="Y33" s="228">
        <f t="shared" si="42"/>
        <v>6.4305887464696898E-2</v>
      </c>
      <c r="Z33" s="228">
        <f t="shared" si="42"/>
        <v>6.4865970943319029E-2</v>
      </c>
      <c r="AA33" s="228">
        <f t="shared" si="42"/>
        <v>9.0717299578058963E-2</v>
      </c>
      <c r="AB33" s="228">
        <f t="shared" si="42"/>
        <v>0.13662200568412497</v>
      </c>
      <c r="AC33" s="228">
        <f t="shared" si="42"/>
        <v>0.17534190651153292</v>
      </c>
      <c r="AD33" s="228">
        <f t="shared" si="42"/>
        <v>0.21176018447348199</v>
      </c>
      <c r="AE33" s="228">
        <f t="shared" si="42"/>
        <v>0.20432565500263755</v>
      </c>
      <c r="AF33" s="228">
        <f t="shared" si="42"/>
        <v>0.18378281836042154</v>
      </c>
      <c r="AG33" s="228"/>
      <c r="AH33" s="228"/>
      <c r="AI33" s="228"/>
      <c r="AJ33" s="228"/>
      <c r="AK33" s="228"/>
      <c r="AL33" s="228">
        <f t="shared" ref="AL33:BA36" si="43">+AL27/AK27-1</f>
        <v>7.9875348532064905E-2</v>
      </c>
      <c r="AM33" s="228">
        <f t="shared" si="43"/>
        <v>8.1561360874848221E-2</v>
      </c>
      <c r="AN33" s="228">
        <f t="shared" si="43"/>
        <v>0.14646819266956879</v>
      </c>
      <c r="AO33" s="228">
        <f t="shared" si="43"/>
        <v>0.10362567368936793</v>
      </c>
      <c r="AP33" s="228">
        <f t="shared" si="43"/>
        <v>-3.2852386237513853E-2</v>
      </c>
      <c r="AQ33" s="228">
        <f t="shared" si="43"/>
        <v>3.7755336240532511E-2</v>
      </c>
      <c r="AR33" s="228">
        <f t="shared" si="43"/>
        <v>8.4927568284861144E-2</v>
      </c>
      <c r="AS33" s="228">
        <f t="shared" si="43"/>
        <v>6.1155845479563764E-2</v>
      </c>
      <c r="AT33" s="228">
        <f t="shared" si="43"/>
        <v>9.3170684852559749E-2</v>
      </c>
      <c r="AU33" s="228">
        <f t="shared" si="43"/>
        <v>5.8430717863105164E-2</v>
      </c>
      <c r="AV33" s="228">
        <f t="shared" si="43"/>
        <v>-4.814876307488003E-3</v>
      </c>
      <c r="AW33" s="228">
        <f t="shared" si="43"/>
        <v>8.7504170837504169E-2</v>
      </c>
      <c r="AX33" s="228"/>
      <c r="AY33" s="1010">
        <f t="shared" ref="AY33" si="44">+AV33</f>
        <v>-4.814876307488003E-3</v>
      </c>
      <c r="AZ33" s="1010">
        <f t="shared" ref="AZ33" si="45">+AW33</f>
        <v>8.7504170837504169E-2</v>
      </c>
      <c r="BA33" s="228">
        <f t="shared" si="43"/>
        <v>0.12955434532484467</v>
      </c>
      <c r="BB33" s="228">
        <f>+BB27/BA27-1</f>
        <v>0.14600027162841234</v>
      </c>
      <c r="BC33" s="228">
        <f t="shared" ref="BC33:BF36" si="46">+BC27/BB27-1</f>
        <v>0.14179900450343674</v>
      </c>
      <c r="BD33" s="228">
        <f t="shared" si="46"/>
        <v>7.5094711713114437E-2</v>
      </c>
      <c r="BE33" s="228">
        <f t="shared" si="46"/>
        <v>0.1832400077234988</v>
      </c>
      <c r="BF33" s="228"/>
    </row>
    <row r="34" spans="2:63" s="3" customFormat="1">
      <c r="B34" s="13" t="str">
        <f t="shared" ref="B34:B36" si="47">+B28</f>
        <v>S&amp;M</v>
      </c>
      <c r="D34" s="228"/>
      <c r="E34" s="228"/>
      <c r="F34" s="228"/>
      <c r="G34" s="228"/>
      <c r="H34" s="228">
        <f t="shared" si="41"/>
        <v>-3.6815324753067924E-2</v>
      </c>
      <c r="I34" s="228">
        <f t="shared" si="41"/>
        <v>3.161355589276682E-2</v>
      </c>
      <c r="J34" s="228">
        <f t="shared" si="41"/>
        <v>0.1394938198940554</v>
      </c>
      <c r="K34" s="228">
        <f t="shared" si="41"/>
        <v>8.8787417554540893E-2</v>
      </c>
      <c r="L34" s="228">
        <f t="shared" si="41"/>
        <v>0.1845866998135488</v>
      </c>
      <c r="M34" s="228">
        <f t="shared" si="41"/>
        <v>0.11841137533709234</v>
      </c>
      <c r="N34" s="228">
        <f t="shared" si="41"/>
        <v>0.11957644628099184</v>
      </c>
      <c r="O34" s="228">
        <f t="shared" si="41"/>
        <v>0.1090400745573159</v>
      </c>
      <c r="P34" s="228">
        <f t="shared" si="41"/>
        <v>7.5026232948583349E-2</v>
      </c>
      <c r="Q34" s="228">
        <f t="shared" si="41"/>
        <v>5.6992547128451587E-3</v>
      </c>
      <c r="R34" s="228">
        <f t="shared" si="41"/>
        <v>5.3056516724336866E-2</v>
      </c>
      <c r="S34" s="228">
        <f t="shared" si="41"/>
        <v>4.2436974789916038E-2</v>
      </c>
      <c r="T34" s="228">
        <f t="shared" si="41"/>
        <v>5.8321132259638864E-2</v>
      </c>
      <c r="U34" s="228">
        <f t="shared" si="41"/>
        <v>7.5196163905841384E-2</v>
      </c>
      <c r="V34" s="228">
        <f t="shared" si="41"/>
        <v>7.5794085432639546E-2</v>
      </c>
      <c r="W34" s="228">
        <f t="shared" si="42"/>
        <v>9.1696896412736706E-2</v>
      </c>
      <c r="X34" s="228">
        <f t="shared" si="42"/>
        <v>-2.44408577357621E-2</v>
      </c>
      <c r="Y34" s="228">
        <f t="shared" si="42"/>
        <v>2.8380295965944047E-3</v>
      </c>
      <c r="Z34" s="228">
        <f t="shared" si="42"/>
        <v>3.4819792302993369E-2</v>
      </c>
      <c r="AA34" s="228">
        <f t="shared" si="42"/>
        <v>8.1225770721801815E-2</v>
      </c>
      <c r="AB34" s="228">
        <f t="shared" si="42"/>
        <v>7.4686835263531037E-2</v>
      </c>
      <c r="AC34" s="228">
        <f t="shared" si="42"/>
        <v>8.7325651910248547E-2</v>
      </c>
      <c r="AD34" s="228">
        <f t="shared" si="42"/>
        <v>0.10094451003541915</v>
      </c>
      <c r="AE34" s="228">
        <f t="shared" si="42"/>
        <v>7.6318934608161193E-2</v>
      </c>
      <c r="AF34" s="228">
        <f t="shared" si="42"/>
        <v>0.12733670552012311</v>
      </c>
      <c r="AG34" s="228"/>
      <c r="AH34" s="228"/>
      <c r="AI34" s="228"/>
      <c r="AJ34" s="228"/>
      <c r="AK34" s="228"/>
      <c r="AL34" s="228">
        <f t="shared" si="43"/>
        <v>0.15933551708001881</v>
      </c>
      <c r="AM34" s="228">
        <f t="shared" si="43"/>
        <v>0.16458123107971745</v>
      </c>
      <c r="AN34" s="228">
        <f t="shared" si="43"/>
        <v>0.1489472316090461</v>
      </c>
      <c r="AO34" s="228">
        <f t="shared" si="43"/>
        <v>-2.8733031674208154E-2</v>
      </c>
      <c r="AP34" s="228">
        <f t="shared" si="43"/>
        <v>2.6011336283872977E-2</v>
      </c>
      <c r="AQ34" s="228">
        <f t="shared" si="43"/>
        <v>5.4941728469804829E-2</v>
      </c>
      <c r="AR34" s="228">
        <f t="shared" si="43"/>
        <v>-5.9540889526542573E-3</v>
      </c>
      <c r="AS34" s="228">
        <f t="shared" si="43"/>
        <v>0.10240311755791298</v>
      </c>
      <c r="AT34" s="228">
        <f t="shared" si="43"/>
        <v>3.5022257135375767E-2</v>
      </c>
      <c r="AU34" s="228">
        <f t="shared" si="43"/>
        <v>-6.1982164315982358E-3</v>
      </c>
      <c r="AV34" s="228">
        <f t="shared" si="43"/>
        <v>-6.4659835804747656E-2</v>
      </c>
      <c r="AW34" s="228">
        <f t="shared" si="43"/>
        <v>5.729060352452886E-2</v>
      </c>
      <c r="AX34" s="228"/>
      <c r="AY34" s="1010">
        <f t="shared" ref="AY34:AY36" si="48">+AV34</f>
        <v>-6.4659835804747656E-2</v>
      </c>
      <c r="AZ34" s="1010">
        <f t="shared" ref="AZ34:AZ36" si="49">+AW34</f>
        <v>5.729060352452886E-2</v>
      </c>
      <c r="BA34" s="228">
        <f t="shared" si="43"/>
        <v>0.12987516978203217</v>
      </c>
      <c r="BB34" s="228">
        <f t="shared" ref="BB34:BB36" si="50">+BB28/BA28-1</f>
        <v>4.2589730379529511E-2</v>
      </c>
      <c r="BC34" s="228">
        <f t="shared" si="46"/>
        <v>7.604458353923027E-2</v>
      </c>
      <c r="BD34" s="228">
        <f t="shared" si="46"/>
        <v>2.6482294111644045E-2</v>
      </c>
      <c r="BE34" s="228">
        <f t="shared" si="46"/>
        <v>8.4903315603718221E-2</v>
      </c>
      <c r="BF34" s="228"/>
    </row>
    <row r="35" spans="2:63" s="839" customFormat="1" ht="11.45">
      <c r="B35" s="13" t="str">
        <f t="shared" si="47"/>
        <v>G&amp;A</v>
      </c>
      <c r="D35" s="840"/>
      <c r="E35" s="840"/>
      <c r="F35" s="840"/>
      <c r="G35" s="840"/>
      <c r="H35" s="840">
        <f t="shared" si="41"/>
        <v>-3.5977859778597798E-2</v>
      </c>
      <c r="I35" s="840">
        <f t="shared" si="41"/>
        <v>-0.15317919075144504</v>
      </c>
      <c r="J35" s="840">
        <f t="shared" si="41"/>
        <v>5.4385964912280649E-2</v>
      </c>
      <c r="K35" s="840">
        <f t="shared" si="41"/>
        <v>4.1506533435818671E-2</v>
      </c>
      <c r="L35" s="840">
        <f t="shared" si="41"/>
        <v>0.11578947368421044</v>
      </c>
      <c r="M35" s="840">
        <f t="shared" si="41"/>
        <v>0.26166097838452784</v>
      </c>
      <c r="N35" s="840">
        <f t="shared" si="41"/>
        <v>4.991680532445919E-3</v>
      </c>
      <c r="O35" s="840">
        <f t="shared" si="41"/>
        <v>-6.199261992619931E-2</v>
      </c>
      <c r="P35" s="840">
        <f t="shared" si="41"/>
        <v>-1.4579759862778707E-2</v>
      </c>
      <c r="Q35" s="840">
        <f t="shared" si="41"/>
        <v>2.0739404869251521E-2</v>
      </c>
      <c r="R35" s="840">
        <f t="shared" si="41"/>
        <v>-2.4006622516556275E-2</v>
      </c>
      <c r="S35" s="840">
        <f t="shared" si="41"/>
        <v>0.12116443745082606</v>
      </c>
      <c r="T35" s="840">
        <f t="shared" si="41"/>
        <v>-7.6588337684943442E-2</v>
      </c>
      <c r="U35" s="840">
        <f t="shared" si="41"/>
        <v>-9.7173144876324669E-3</v>
      </c>
      <c r="V35" s="840">
        <f t="shared" si="41"/>
        <v>7.9728583545377374E-2</v>
      </c>
      <c r="W35" s="840">
        <f t="shared" si="42"/>
        <v>0.16210526315789475</v>
      </c>
      <c r="X35" s="840">
        <f t="shared" si="42"/>
        <v>5.4665409990575009E-2</v>
      </c>
      <c r="Y35" s="840">
        <f t="shared" si="42"/>
        <v>1.605709188224802E-2</v>
      </c>
      <c r="Z35" s="840">
        <f t="shared" si="42"/>
        <v>4.2419481539670123E-2</v>
      </c>
      <c r="AA35" s="840">
        <f t="shared" si="42"/>
        <v>-8.0917874396135292E-2</v>
      </c>
      <c r="AB35" s="840">
        <f t="shared" si="42"/>
        <v>0.15013404825737275</v>
      </c>
      <c r="AC35" s="840">
        <f t="shared" si="42"/>
        <v>0.21510096575943805</v>
      </c>
      <c r="AD35" s="840">
        <f t="shared" si="42"/>
        <v>0.1152976639035419</v>
      </c>
      <c r="AE35" s="840">
        <f t="shared" si="42"/>
        <v>0.14914586070959257</v>
      </c>
      <c r="AF35" s="840">
        <f t="shared" si="42"/>
        <v>8.6247086247086324E-2</v>
      </c>
      <c r="AG35" s="840"/>
      <c r="AH35" s="840"/>
      <c r="AI35" s="840"/>
      <c r="AJ35" s="840"/>
      <c r="AK35" s="840"/>
      <c r="AL35" s="840">
        <f t="shared" si="43"/>
        <v>-0.17151675485008822</v>
      </c>
      <c r="AM35" s="840">
        <f t="shared" si="43"/>
        <v>-0.11415646620542841</v>
      </c>
      <c r="AN35" s="840">
        <f t="shared" si="43"/>
        <v>0.54010213277260433</v>
      </c>
      <c r="AO35" s="840">
        <f t="shared" si="43"/>
        <v>-0.21396528184123265</v>
      </c>
      <c r="AP35" s="840">
        <f t="shared" si="43"/>
        <v>8.1885856079404462E-3</v>
      </c>
      <c r="AQ35" s="840">
        <f t="shared" si="43"/>
        <v>3.913364508983519E-2</v>
      </c>
      <c r="AR35" s="840">
        <f t="shared" si="43"/>
        <v>8.2188536238749332E-2</v>
      </c>
      <c r="AS35" s="840">
        <f t="shared" si="43"/>
        <v>-6.3252352812431578E-2</v>
      </c>
      <c r="AT35" s="840">
        <f t="shared" si="43"/>
        <v>9.2757009345794339E-2</v>
      </c>
      <c r="AU35" s="840">
        <f t="shared" si="43"/>
        <v>-1.4111610006414366E-2</v>
      </c>
      <c r="AV35" s="840">
        <f t="shared" si="43"/>
        <v>-1.0409889394925154E-2</v>
      </c>
      <c r="AW35" s="840">
        <f t="shared" si="43"/>
        <v>-1.7970633355248733E-2</v>
      </c>
      <c r="AX35" s="840"/>
      <c r="AY35" s="1011">
        <f t="shared" si="48"/>
        <v>-1.0409889394925154E-2</v>
      </c>
      <c r="AZ35" s="1011">
        <f t="shared" si="49"/>
        <v>-1.7970633355248733E-2</v>
      </c>
      <c r="BA35" s="840">
        <f t="shared" si="43"/>
        <v>6.0923900914974238E-2</v>
      </c>
      <c r="BB35" s="840">
        <f t="shared" si="50"/>
        <v>2.7555742532604066E-2</v>
      </c>
      <c r="BC35" s="840">
        <f t="shared" si="46"/>
        <v>4.6264073694984642E-2</v>
      </c>
      <c r="BD35" s="840">
        <f t="shared" si="46"/>
        <v>-7.8262570925458075E-4</v>
      </c>
      <c r="BE35" s="840">
        <f t="shared" si="46"/>
        <v>0.15527707068729191</v>
      </c>
      <c r="BF35" s="840"/>
    </row>
    <row r="36" spans="2:63" s="7" customFormat="1">
      <c r="B36" s="841" t="str">
        <f t="shared" si="47"/>
        <v>Total Opex (excl. 1x)</v>
      </c>
      <c r="D36" s="842"/>
      <c r="E36" s="842"/>
      <c r="F36" s="842"/>
      <c r="G36" s="842"/>
      <c r="H36" s="842">
        <f t="shared" si="41"/>
        <v>-2.4367131447137202E-3</v>
      </c>
      <c r="I36" s="842">
        <f t="shared" si="41"/>
        <v>1.6218955904713672E-2</v>
      </c>
      <c r="J36" s="842">
        <f t="shared" si="41"/>
        <v>0.12117584463953168</v>
      </c>
      <c r="K36" s="842">
        <f t="shared" si="41"/>
        <v>9.2025271188461044E-2</v>
      </c>
      <c r="L36" s="842">
        <f t="shared" si="41"/>
        <v>0.16053738634821557</v>
      </c>
      <c r="M36" s="842">
        <f t="shared" si="41"/>
        <v>0.14401496259351632</v>
      </c>
      <c r="N36" s="842">
        <f t="shared" si="41"/>
        <v>9.8350931308577527E-2</v>
      </c>
      <c r="O36" s="842">
        <f t="shared" si="41"/>
        <v>8.7654186224211283E-2</v>
      </c>
      <c r="P36" s="842">
        <f t="shared" si="41"/>
        <v>7.8578110383535904E-2</v>
      </c>
      <c r="Q36" s="842">
        <f t="shared" si="41"/>
        <v>6.7029972752043587E-2</v>
      </c>
      <c r="R36" s="842">
        <f t="shared" si="41"/>
        <v>8.6627781378267432E-2</v>
      </c>
      <c r="S36" s="842">
        <f t="shared" si="41"/>
        <v>9.3938177438779524E-2</v>
      </c>
      <c r="T36" s="842">
        <f t="shared" si="41"/>
        <v>8.0117085862966064E-2</v>
      </c>
      <c r="U36" s="842">
        <f t="shared" si="41"/>
        <v>8.8559754851889716E-2</v>
      </c>
      <c r="V36" s="842">
        <f>+V30/R30-1</f>
        <v>0.10049701789264409</v>
      </c>
      <c r="W36" s="842">
        <f t="shared" si="42"/>
        <v>0.12724770642201833</v>
      </c>
      <c r="X36" s="842">
        <f t="shared" si="42"/>
        <v>3.1416240088326886E-2</v>
      </c>
      <c r="Y36" s="842">
        <f t="shared" si="42"/>
        <v>3.0777892465046364E-2</v>
      </c>
      <c r="Z36" s="842">
        <f t="shared" si="42"/>
        <v>4.8956733809050634E-2</v>
      </c>
      <c r="AA36" s="842">
        <f t="shared" si="42"/>
        <v>6.3400341824692674E-2</v>
      </c>
      <c r="AB36" s="842">
        <f t="shared" si="42"/>
        <v>0.11259244842351102</v>
      </c>
      <c r="AC36" s="842">
        <f t="shared" si="42"/>
        <v>0.13982703686845688</v>
      </c>
      <c r="AD36" s="842">
        <f t="shared" si="42"/>
        <v>0.15224317575131319</v>
      </c>
      <c r="AE36" s="842">
        <f t="shared" si="42"/>
        <v>0.14051737333537417</v>
      </c>
      <c r="AF36" s="842">
        <f t="shared" si="42"/>
        <v>0.15035423773287859</v>
      </c>
      <c r="AG36" s="842">
        <f t="shared" si="42"/>
        <v>6.6559554917015262E-2</v>
      </c>
      <c r="AH36" s="842">
        <f t="shared" si="42"/>
        <v>6.2541451144963567E-2</v>
      </c>
      <c r="AI36" s="842">
        <f t="shared" si="42"/>
        <v>6.0385836481073651E-2</v>
      </c>
      <c r="AJ36" s="842"/>
      <c r="AK36" s="842"/>
      <c r="AL36" s="842">
        <f t="shared" si="43"/>
        <v>5.5836504874615445E-2</v>
      </c>
      <c r="AM36" s="842">
        <f t="shared" si="43"/>
        <v>8.5868062413588797E-2</v>
      </c>
      <c r="AN36" s="842">
        <f t="shared" si="43"/>
        <v>0.20735755536355782</v>
      </c>
      <c r="AO36" s="842">
        <f t="shared" si="43"/>
        <v>-2.3803246582049686E-2</v>
      </c>
      <c r="AP36" s="842">
        <f t="shared" si="43"/>
        <v>2.7778849492650082E-3</v>
      </c>
      <c r="AQ36" s="842">
        <f t="shared" si="43"/>
        <v>4.6708476010926869E-2</v>
      </c>
      <c r="AR36" s="842">
        <f t="shared" si="43"/>
        <v>3.7934203271457356E-2</v>
      </c>
      <c r="AS36" s="842">
        <f t="shared" si="43"/>
        <v>6.1267131777455131E-2</v>
      </c>
      <c r="AT36" s="842">
        <f t="shared" si="43"/>
        <v>6.3469816798478407E-2</v>
      </c>
      <c r="AU36" s="842">
        <f t="shared" si="43"/>
        <v>1.5720606231761192E-2</v>
      </c>
      <c r="AV36" s="842">
        <f t="shared" si="43"/>
        <v>-3.466172381835031E-2</v>
      </c>
      <c r="AW36" s="842">
        <f>+AW30/AV30-1</f>
        <v>5.7891705069124333E-2</v>
      </c>
      <c r="AX36" s="842"/>
      <c r="AY36" s="1012">
        <f t="shared" si="48"/>
        <v>-3.466172381835031E-2</v>
      </c>
      <c r="AZ36" s="1012">
        <f t="shared" si="49"/>
        <v>5.7891705069124333E-2</v>
      </c>
      <c r="BA36" s="842">
        <f t="shared" si="43"/>
        <v>0.12037963552563746</v>
      </c>
      <c r="BB36" s="842">
        <f t="shared" si="50"/>
        <v>8.1869604048824041E-2</v>
      </c>
      <c r="BC36" s="842">
        <f t="shared" si="46"/>
        <v>0.10016510731975781</v>
      </c>
      <c r="BD36" s="842">
        <f t="shared" si="46"/>
        <v>4.4613215698758424E-2</v>
      </c>
      <c r="BE36" s="842">
        <f t="shared" si="46"/>
        <v>0.13707009142359605</v>
      </c>
      <c r="BF36" s="842">
        <f t="shared" si="46"/>
        <v>8.210902387441199E-2</v>
      </c>
    </row>
    <row r="37" spans="2:63">
      <c r="B37" s="13"/>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3"/>
      <c r="AK37" s="3"/>
      <c r="AL37" s="14"/>
      <c r="AM37" s="14"/>
      <c r="AN37" s="14"/>
      <c r="AO37" s="14"/>
      <c r="AP37" s="14"/>
      <c r="AQ37" s="14"/>
      <c r="AR37" s="14"/>
      <c r="AS37" s="14"/>
      <c r="AT37" s="14"/>
      <c r="AU37" s="14"/>
      <c r="AV37" s="14"/>
      <c r="AW37" s="14"/>
      <c r="AZ37" s="14"/>
      <c r="BA37" s="14"/>
      <c r="BB37" s="14"/>
      <c r="BC37" s="14"/>
      <c r="BD37" s="14"/>
      <c r="BE37" s="14"/>
      <c r="BF37" s="14"/>
    </row>
    <row r="38" spans="2:63">
      <c r="B38" s="24" t="s">
        <v>115</v>
      </c>
    </row>
    <row r="39" spans="2:63" s="3" customFormat="1">
      <c r="B39" s="13" t="str">
        <f>+B27</f>
        <v>R&amp;D</v>
      </c>
      <c r="D39" s="228">
        <f t="shared" ref="D39:AF41" si="51">IFERROR(D27/D$12,"n/a ")</f>
        <v>0.14165471066475371</v>
      </c>
      <c r="E39" s="228">
        <f t="shared" si="51"/>
        <v>0.11483784104858828</v>
      </c>
      <c r="F39" s="228">
        <f t="shared" si="51"/>
        <v>0.13849514337500582</v>
      </c>
      <c r="G39" s="228">
        <f t="shared" si="51"/>
        <v>0.13402061855670103</v>
      </c>
      <c r="H39" s="228">
        <f t="shared" si="51"/>
        <v>0.14164538489602335</v>
      </c>
      <c r="I39" s="228">
        <f t="shared" si="51"/>
        <v>0.11856268876326183</v>
      </c>
      <c r="J39" s="228">
        <f t="shared" si="51"/>
        <v>0.14453730828881614</v>
      </c>
      <c r="K39" s="228">
        <f t="shared" si="51"/>
        <v>0.13723882054286271</v>
      </c>
      <c r="L39" s="228">
        <f t="shared" si="51"/>
        <v>0.14565164235063982</v>
      </c>
      <c r="M39" s="228">
        <f t="shared" si="51"/>
        <v>0.12117020540839615</v>
      </c>
      <c r="N39" s="228">
        <f t="shared" si="51"/>
        <v>0.13852119765837653</v>
      </c>
      <c r="O39" s="228">
        <f t="shared" si="51"/>
        <v>0.1307295994681735</v>
      </c>
      <c r="P39" s="228">
        <f t="shared" si="51"/>
        <v>0.13674185118965754</v>
      </c>
      <c r="Q39" s="228">
        <f t="shared" si="51"/>
        <v>0.12534261340888794</v>
      </c>
      <c r="R39" s="228">
        <f t="shared" si="51"/>
        <v>0.14117954924601747</v>
      </c>
      <c r="S39" s="228">
        <f t="shared" si="51"/>
        <v>0.13384939348103331</v>
      </c>
      <c r="T39" s="228">
        <f t="shared" si="51"/>
        <v>0.13810316139767054</v>
      </c>
      <c r="U39" s="228">
        <f t="shared" si="51"/>
        <v>0.1247222673819975</v>
      </c>
      <c r="V39" s="228">
        <f t="shared" si="51"/>
        <v>0.13954484452185831</v>
      </c>
      <c r="W39" s="228">
        <f t="shared" si="51"/>
        <v>0.13709147319433124</v>
      </c>
      <c r="X39" s="228">
        <f t="shared" si="51"/>
        <v>0.13258330193249718</v>
      </c>
      <c r="Y39" s="228">
        <f t="shared" si="51"/>
        <v>0.11372922276905933</v>
      </c>
      <c r="Z39" s="228">
        <f t="shared" si="51"/>
        <v>0.12477820937035439</v>
      </c>
      <c r="AA39" s="228">
        <f t="shared" si="51"/>
        <v>0.12322326226382388</v>
      </c>
      <c r="AB39" s="228">
        <f t="shared" si="51"/>
        <v>0.12355186795242404</v>
      </c>
      <c r="AC39" s="228">
        <f t="shared" si="51"/>
        <v>0.11131302196102691</v>
      </c>
      <c r="AD39" s="228">
        <f t="shared" si="51"/>
        <v>0.12775526742301457</v>
      </c>
      <c r="AE39" s="228">
        <f t="shared" si="51"/>
        <v>0.13205437192711847</v>
      </c>
      <c r="AF39" s="228">
        <f t="shared" si="51"/>
        <v>0.13223734088823272</v>
      </c>
      <c r="AG39" s="228"/>
      <c r="AH39" s="228"/>
      <c r="AI39" s="228"/>
      <c r="AJ39" s="228"/>
      <c r="AK39" s="228">
        <f t="shared" ref="AK39:AW41" si="52">IFERROR(AK27/AK$12,"n/a ")</f>
        <v>0.1532371569317382</v>
      </c>
      <c r="AL39" s="228">
        <f t="shared" si="52"/>
        <v>0.14868343796576486</v>
      </c>
      <c r="AM39" s="228">
        <f t="shared" si="52"/>
        <v>0.13929423731465906</v>
      </c>
      <c r="AN39" s="228">
        <f t="shared" si="52"/>
        <v>0.13512082092022509</v>
      </c>
      <c r="AO39" s="228">
        <f t="shared" si="52"/>
        <v>0.15418313739582798</v>
      </c>
      <c r="AP39" s="228">
        <f t="shared" si="52"/>
        <v>0.139459701683631</v>
      </c>
      <c r="AQ39" s="228">
        <f t="shared" si="52"/>
        <v>0.12929099409519179</v>
      </c>
      <c r="AR39" s="228">
        <f t="shared" si="52"/>
        <v>0.13307922900587332</v>
      </c>
      <c r="AS39" s="228">
        <f t="shared" si="52"/>
        <v>0.13373325283561768</v>
      </c>
      <c r="AT39" s="228">
        <f t="shared" si="52"/>
        <v>0.13106768164177213</v>
      </c>
      <c r="AU39" s="228">
        <f t="shared" si="52"/>
        <v>0.12872408634323573</v>
      </c>
      <c r="AV39" s="228">
        <f t="shared" si="52"/>
        <v>0.14050632911392405</v>
      </c>
      <c r="AW39" s="228">
        <f t="shared" si="52"/>
        <v>0.1449360755975542</v>
      </c>
      <c r="AX39" s="228"/>
      <c r="AY39" s="1010">
        <f t="shared" ref="AY39:AY42" si="53">+AV39</f>
        <v>0.14050632911392405</v>
      </c>
      <c r="AZ39" s="1010">
        <f t="shared" ref="AZ39:AZ42" si="54">+AW39</f>
        <v>0.1449360755975542</v>
      </c>
      <c r="BA39" s="228">
        <f t="shared" ref="BA39:BE41" si="55">IFERROR(BA27/BA$12,"n/a ")</f>
        <v>0.13343602754621239</v>
      </c>
      <c r="BB39" s="228">
        <f t="shared" si="55"/>
        <v>0.13410360528595155</v>
      </c>
      <c r="BC39" s="228">
        <f t="shared" si="55"/>
        <v>0.1347341187987274</v>
      </c>
      <c r="BD39" s="228">
        <f t="shared" si="55"/>
        <v>0.12324496692208843</v>
      </c>
      <c r="BE39" s="228">
        <f t="shared" si="55"/>
        <v>0.12362939426035205</v>
      </c>
      <c r="BF39" s="228"/>
    </row>
    <row r="40" spans="2:63" s="3" customFormat="1">
      <c r="B40" s="13" t="str">
        <f>+B28</f>
        <v>S&amp;M</v>
      </c>
      <c r="D40" s="228">
        <f t="shared" si="51"/>
        <v>0.15978000956480154</v>
      </c>
      <c r="E40" s="228">
        <f t="shared" si="51"/>
        <v>0.15657545638142004</v>
      </c>
      <c r="F40" s="228">
        <f t="shared" si="51"/>
        <v>0.15792164335176836</v>
      </c>
      <c r="G40" s="228">
        <f t="shared" si="51"/>
        <v>0.16793047627161967</v>
      </c>
      <c r="H40" s="228">
        <f t="shared" si="51"/>
        <v>0.14675300985041956</v>
      </c>
      <c r="I40" s="228">
        <f t="shared" si="51"/>
        <v>0.1579416092310075</v>
      </c>
      <c r="J40" s="228">
        <f t="shared" si="51"/>
        <v>0.16681027054971567</v>
      </c>
      <c r="K40" s="228">
        <f t="shared" si="51"/>
        <v>0.16762351103300135</v>
      </c>
      <c r="L40" s="228">
        <f t="shared" si="51"/>
        <v>0.15535088434265221</v>
      </c>
      <c r="M40" s="228">
        <f t="shared" si="51"/>
        <v>0.15775641468981258</v>
      </c>
      <c r="N40" s="228">
        <f t="shared" si="51"/>
        <v>0.16163913643312577</v>
      </c>
      <c r="O40" s="228">
        <f t="shared" si="51"/>
        <v>0.15821838125311616</v>
      </c>
      <c r="P40" s="228">
        <f t="shared" si="51"/>
        <v>0.14090221427589053</v>
      </c>
      <c r="Q40" s="228">
        <f t="shared" si="51"/>
        <v>0.14129530966092821</v>
      </c>
      <c r="R40" s="228">
        <f t="shared" si="51"/>
        <v>0.14932452324098</v>
      </c>
      <c r="S40" s="228">
        <f t="shared" si="51"/>
        <v>0.14716611798202686</v>
      </c>
      <c r="T40" s="228">
        <f t="shared" si="51"/>
        <v>0.13120556648010892</v>
      </c>
      <c r="U40" s="228">
        <f t="shared" si="51"/>
        <v>0.13366390288841923</v>
      </c>
      <c r="V40" s="228">
        <f t="shared" si="51"/>
        <v>0.14023014762571029</v>
      </c>
      <c r="W40" s="228">
        <f t="shared" si="51"/>
        <v>0.14242894328609365</v>
      </c>
      <c r="X40" s="228">
        <f t="shared" si="51"/>
        <v>0.11387737524896377</v>
      </c>
      <c r="Y40" s="228">
        <f t="shared" si="51"/>
        <v>0.11484353236140775</v>
      </c>
      <c r="Z40" s="228">
        <f t="shared" si="51"/>
        <v>0.12185297079556898</v>
      </c>
      <c r="AA40" s="228">
        <f t="shared" si="51"/>
        <v>0.12690674293638413</v>
      </c>
      <c r="AB40" s="228">
        <f t="shared" si="51"/>
        <v>0.100337621643092</v>
      </c>
      <c r="AC40" s="228">
        <f t="shared" si="51"/>
        <v>0.10398623569440149</v>
      </c>
      <c r="AD40" s="228">
        <f t="shared" si="51"/>
        <v>0.11335089141004863</v>
      </c>
      <c r="AE40" s="228">
        <f t="shared" si="51"/>
        <v>0.12154632218258941</v>
      </c>
      <c r="AF40" s="228">
        <f t="shared" si="51"/>
        <v>0.10227046007741111</v>
      </c>
      <c r="AG40" s="228"/>
      <c r="AH40" s="228"/>
      <c r="AI40" s="228"/>
      <c r="AJ40" s="228"/>
      <c r="AK40" s="228">
        <f t="shared" si="52"/>
        <v>0.21483864481753293</v>
      </c>
      <c r="AL40" s="228">
        <f t="shared" si="52"/>
        <v>0.22379296328079129</v>
      </c>
      <c r="AM40" s="228">
        <f t="shared" si="52"/>
        <v>0.22575407847893275</v>
      </c>
      <c r="AN40" s="228">
        <f t="shared" si="52"/>
        <v>0.21946375372393248</v>
      </c>
      <c r="AO40" s="228">
        <f t="shared" si="52"/>
        <v>0.22039119051285999</v>
      </c>
      <c r="AP40" s="228">
        <f t="shared" si="52"/>
        <v>0.21147813840343127</v>
      </c>
      <c r="AQ40" s="228">
        <f t="shared" si="52"/>
        <v>0.1993051484780464</v>
      </c>
      <c r="AR40" s="228">
        <f t="shared" si="52"/>
        <v>0.18796033802205553</v>
      </c>
      <c r="AS40" s="228">
        <f t="shared" si="52"/>
        <v>0.19622602730927821</v>
      </c>
      <c r="AT40" s="228">
        <f t="shared" si="52"/>
        <v>0.18208515195835684</v>
      </c>
      <c r="AU40" s="228">
        <f t="shared" si="52"/>
        <v>0.16790980978841633</v>
      </c>
      <c r="AV40" s="228">
        <f t="shared" si="52"/>
        <v>0.17225738396624474</v>
      </c>
      <c r="AW40" s="228">
        <f t="shared" si="52"/>
        <v>0.17275152862701501</v>
      </c>
      <c r="AX40" s="228"/>
      <c r="AY40" s="1010">
        <f t="shared" si="53"/>
        <v>0.17225738396624474</v>
      </c>
      <c r="AZ40" s="1010">
        <f t="shared" si="54"/>
        <v>0.17275152862701501</v>
      </c>
      <c r="BA40" s="228">
        <f t="shared" si="55"/>
        <v>0.15829104748097136</v>
      </c>
      <c r="BB40" s="228">
        <f t="shared" si="55"/>
        <v>0.14472795467368069</v>
      </c>
      <c r="BC40" s="228">
        <f t="shared" si="55"/>
        <v>0.13703457679264414</v>
      </c>
      <c r="BD40" s="228">
        <f t="shared" si="55"/>
        <v>0.1196813573842273</v>
      </c>
      <c r="BE40" s="228">
        <f t="shared" si="55"/>
        <v>0.11007716749886519</v>
      </c>
      <c r="BF40" s="228"/>
    </row>
    <row r="41" spans="2:63" s="839" customFormat="1" ht="11.45">
      <c r="B41" s="13" t="str">
        <f>+B29</f>
        <v>G&amp;A</v>
      </c>
      <c r="D41" s="840">
        <f t="shared" si="51"/>
        <v>5.1841224294595888E-2</v>
      </c>
      <c r="E41" s="840">
        <f t="shared" si="51"/>
        <v>4.1104027244287807E-2</v>
      </c>
      <c r="F41" s="840">
        <f t="shared" si="51"/>
        <v>5.2981363572988799E-2</v>
      </c>
      <c r="G41" s="840">
        <f t="shared" si="51"/>
        <v>5.5423021214961232E-2</v>
      </c>
      <c r="H41" s="840">
        <f t="shared" si="51"/>
        <v>4.7655964976286026E-2</v>
      </c>
      <c r="I41" s="840">
        <f t="shared" si="51"/>
        <v>3.4035468132889338E-2</v>
      </c>
      <c r="J41" s="840">
        <f t="shared" si="51"/>
        <v>5.178356022746855E-2</v>
      </c>
      <c r="K41" s="840">
        <f t="shared" si="51"/>
        <v>5.291935168912322E-2</v>
      </c>
      <c r="L41" s="840">
        <f t="shared" si="51"/>
        <v>4.7518135137338005E-2</v>
      </c>
      <c r="M41" s="840">
        <f t="shared" si="51"/>
        <v>3.834981672314821E-2</v>
      </c>
      <c r="N41" s="840">
        <f t="shared" si="51"/>
        <v>4.5042693612737238E-2</v>
      </c>
      <c r="O41" s="840">
        <f t="shared" si="51"/>
        <v>4.2246966927040053E-2</v>
      </c>
      <c r="P41" s="840">
        <f t="shared" si="51"/>
        <v>3.9506257736212351E-2</v>
      </c>
      <c r="Q41" s="840">
        <f t="shared" si="51"/>
        <v>3.486187675156293E-2</v>
      </c>
      <c r="R41" s="840">
        <f t="shared" si="51"/>
        <v>3.8565961205063622E-2</v>
      </c>
      <c r="S41" s="840">
        <f t="shared" si="51"/>
        <v>4.2263546578877126E-2</v>
      </c>
      <c r="T41" s="840">
        <f t="shared" si="51"/>
        <v>3.2098018454091666E-2</v>
      </c>
      <c r="U41" s="840">
        <f t="shared" si="51"/>
        <v>3.0374464856662873E-2</v>
      </c>
      <c r="V41" s="840">
        <f t="shared" si="51"/>
        <v>3.6349618800148482E-2</v>
      </c>
      <c r="W41" s="840">
        <f t="shared" si="51"/>
        <v>4.3541135329845132E-2</v>
      </c>
      <c r="X41" s="840">
        <f t="shared" si="51"/>
        <v>3.0117887710609893E-2</v>
      </c>
      <c r="Y41" s="840">
        <f t="shared" si="51"/>
        <v>2.6441638035100752E-2</v>
      </c>
      <c r="Z41" s="840">
        <f t="shared" si="51"/>
        <v>3.1817963842133028E-2</v>
      </c>
      <c r="AA41" s="840">
        <f t="shared" si="51"/>
        <v>3.2977985786098112E-2</v>
      </c>
      <c r="AB41" s="840">
        <f t="shared" si="51"/>
        <v>2.8399938213032636E-2</v>
      </c>
      <c r="AC41" s="840">
        <f t="shared" si="51"/>
        <v>2.6755335601608414E-2</v>
      </c>
      <c r="AD41" s="840">
        <f t="shared" si="51"/>
        <v>2.9983792544570502E-2</v>
      </c>
      <c r="AE41" s="840">
        <f t="shared" si="51"/>
        <v>3.3722163308589605E-2</v>
      </c>
      <c r="AF41" s="840">
        <f t="shared" si="51"/>
        <v>2.789194365747576E-2</v>
      </c>
      <c r="AG41" s="840"/>
      <c r="AH41" s="840"/>
      <c r="AI41" s="840"/>
      <c r="AJ41" s="840"/>
      <c r="AK41" s="840">
        <f t="shared" si="52"/>
        <v>0.11400422237860662</v>
      </c>
      <c r="AL41" s="840">
        <f t="shared" si="52"/>
        <v>8.4865182241091186E-2</v>
      </c>
      <c r="AM41" s="840">
        <f t="shared" si="52"/>
        <v>6.5118735573725592E-2</v>
      </c>
      <c r="AN41" s="840">
        <f t="shared" si="52"/>
        <v>8.4856007944389272E-2</v>
      </c>
      <c r="AO41" s="840">
        <f t="shared" si="52"/>
        <v>6.896315690401629E-2</v>
      </c>
      <c r="AP41" s="840">
        <f t="shared" si="52"/>
        <v>6.5024646309455217E-2</v>
      </c>
      <c r="AQ41" s="840">
        <f t="shared" si="52"/>
        <v>6.0363438800165849E-2</v>
      </c>
      <c r="AR41" s="840">
        <f t="shared" si="52"/>
        <v>6.1975231610216619E-2</v>
      </c>
      <c r="AS41" s="840">
        <f t="shared" si="52"/>
        <v>5.4978227080630451E-2</v>
      </c>
      <c r="AT41" s="840">
        <f t="shared" si="52"/>
        <v>5.3862010986606472E-2</v>
      </c>
      <c r="AU41" s="840">
        <f t="shared" si="52"/>
        <v>4.9273349006197904E-2</v>
      </c>
      <c r="AV41" s="840">
        <f t="shared" si="52"/>
        <v>5.3481012658227849E-2</v>
      </c>
      <c r="AW41" s="840">
        <f t="shared" si="52"/>
        <v>4.9816564758198997E-2</v>
      </c>
      <c r="AX41" s="840"/>
      <c r="AY41" s="1011">
        <f t="shared" si="53"/>
        <v>5.3481012658227849E-2</v>
      </c>
      <c r="AZ41" s="1011">
        <f t="shared" si="54"/>
        <v>4.9816564758198997E-2</v>
      </c>
      <c r="BA41" s="840">
        <f t="shared" si="55"/>
        <v>4.3077201884740846E-2</v>
      </c>
      <c r="BB41" s="840">
        <f t="shared" si="55"/>
        <v>3.8818209991815199E-2</v>
      </c>
      <c r="BC41" s="840">
        <f t="shared" si="55"/>
        <v>3.5737510051393209E-2</v>
      </c>
      <c r="BD41" s="840">
        <f t="shared" si="55"/>
        <v>3.0382894674218265E-2</v>
      </c>
      <c r="BE41" s="840">
        <f t="shared" si="55"/>
        <v>2.9757401523175468E-2</v>
      </c>
      <c r="BF41" s="840"/>
    </row>
    <row r="42" spans="2:63" s="7" customFormat="1">
      <c r="B42" s="841" t="str">
        <f>+B30</f>
        <v>Total Opex (excl. 1x)</v>
      </c>
      <c r="D42" s="842">
        <f t="shared" ref="D42:AI42" si="56">+D30/D12</f>
        <v>0.35327594452415112</v>
      </c>
      <c r="E42" s="842">
        <f t="shared" si="56"/>
        <v>0.3125173246742961</v>
      </c>
      <c r="F42" s="842">
        <f t="shared" si="56"/>
        <v>0.34939815029976296</v>
      </c>
      <c r="G42" s="842">
        <f t="shared" si="56"/>
        <v>0.35737411604328195</v>
      </c>
      <c r="H42" s="842">
        <f t="shared" si="56"/>
        <v>0.33605435972272896</v>
      </c>
      <c r="I42" s="842">
        <f t="shared" si="56"/>
        <v>0.31053976612715867</v>
      </c>
      <c r="J42" s="842">
        <f t="shared" si="56"/>
        <v>0.36313113906600036</v>
      </c>
      <c r="K42" s="842">
        <f t="shared" si="56"/>
        <v>0.35778168326498733</v>
      </c>
      <c r="L42" s="842">
        <f t="shared" si="56"/>
        <v>0.34852066183063002</v>
      </c>
      <c r="M42" s="842">
        <f t="shared" si="56"/>
        <v>0.31727643682135692</v>
      </c>
      <c r="N42" s="842">
        <f t="shared" si="56"/>
        <v>0.34520302770423955</v>
      </c>
      <c r="O42" s="842">
        <f t="shared" si="56"/>
        <v>0.33119494764832974</v>
      </c>
      <c r="P42" s="842">
        <f t="shared" si="56"/>
        <v>0.3171503232017604</v>
      </c>
      <c r="Q42" s="842">
        <f t="shared" si="56"/>
        <v>0.30149979982137909</v>
      </c>
      <c r="R42" s="842">
        <f t="shared" si="56"/>
        <v>0.32907003369206111</v>
      </c>
      <c r="S42" s="842">
        <f t="shared" si="56"/>
        <v>0.32327905804193729</v>
      </c>
      <c r="T42" s="842">
        <f t="shared" si="56"/>
        <v>0.30140674633187114</v>
      </c>
      <c r="U42" s="842">
        <f t="shared" si="56"/>
        <v>0.28876063512707961</v>
      </c>
      <c r="V42" s="842">
        <f t="shared" si="56"/>
        <v>0.3161246109477171</v>
      </c>
      <c r="W42" s="842">
        <f t="shared" si="56"/>
        <v>0.32306155181027002</v>
      </c>
      <c r="X42" s="842">
        <f t="shared" si="56"/>
        <v>0.27657856489207083</v>
      </c>
      <c r="Y42" s="842">
        <f t="shared" si="56"/>
        <v>0.25501439316556784</v>
      </c>
      <c r="Z42" s="842">
        <f t="shared" si="56"/>
        <v>0.27844914400805637</v>
      </c>
      <c r="AA42" s="842">
        <f t="shared" si="56"/>
        <v>0.28310799098630612</v>
      </c>
      <c r="AB42" s="842">
        <f t="shared" si="56"/>
        <v>0.25228942780854868</v>
      </c>
      <c r="AC42" s="842">
        <f t="shared" si="56"/>
        <v>0.24205459325703682</v>
      </c>
      <c r="AD42" s="842">
        <f t="shared" si="56"/>
        <v>0.2710899513776337</v>
      </c>
      <c r="AE42" s="842">
        <f t="shared" si="56"/>
        <v>0.28732285741829749</v>
      </c>
      <c r="AF42" s="842">
        <f t="shared" si="56"/>
        <v>0.2623997446231196</v>
      </c>
      <c r="AG42" s="842">
        <f t="shared" si="56"/>
        <v>0.24920148226082545</v>
      </c>
      <c r="AH42" s="842">
        <f t="shared" si="56"/>
        <v>0.27570158772343484</v>
      </c>
      <c r="AI42" s="842">
        <f t="shared" si="56"/>
        <v>0.28532064866844736</v>
      </c>
      <c r="AJ42" s="842"/>
      <c r="AK42" s="842">
        <f t="shared" ref="AK42:AW42" si="57">+AK30/AK12</f>
        <v>0.48208002412787776</v>
      </c>
      <c r="AL42" s="842">
        <f t="shared" si="57"/>
        <v>0.45734158348764736</v>
      </c>
      <c r="AM42" s="842">
        <f t="shared" si="57"/>
        <v>0.43016705136731742</v>
      </c>
      <c r="AN42" s="842">
        <f t="shared" si="57"/>
        <v>0.43944058258854685</v>
      </c>
      <c r="AO42" s="842">
        <f t="shared" si="57"/>
        <v>0.44353748481270427</v>
      </c>
      <c r="AP42" s="842">
        <f t="shared" si="57"/>
        <v>0.41596248639651751</v>
      </c>
      <c r="AQ42" s="842">
        <f t="shared" si="57"/>
        <v>0.38895958137340408</v>
      </c>
      <c r="AR42" s="842">
        <f t="shared" si="57"/>
        <v>0.38301479863814547</v>
      </c>
      <c r="AS42" s="842">
        <f t="shared" si="57"/>
        <v>0.38493750722552633</v>
      </c>
      <c r="AT42" s="842">
        <f t="shared" si="57"/>
        <v>0.36701484458673544</v>
      </c>
      <c r="AU42" s="842">
        <f t="shared" si="57"/>
        <v>0.34590724513784998</v>
      </c>
      <c r="AV42" s="842">
        <f t="shared" si="57"/>
        <v>0.36624472573839661</v>
      </c>
      <c r="AW42" s="842">
        <f t="shared" si="57"/>
        <v>0.36750416898276822</v>
      </c>
      <c r="AX42" s="842"/>
      <c r="AY42" s="1012">
        <f t="shared" si="53"/>
        <v>0.36624472573839661</v>
      </c>
      <c r="AZ42" s="1012">
        <f t="shared" si="54"/>
        <v>0.36750416898276822</v>
      </c>
      <c r="BA42" s="842">
        <f>+BA30/BA12</f>
        <v>0.3348042769119246</v>
      </c>
      <c r="BB42" s="842">
        <f>+BB30/BB12</f>
        <v>0.31764976995144745</v>
      </c>
      <c r="BC42" s="842">
        <f t="shared" ref="BC42:BF42" si="58">+BC30/BC12</f>
        <v>0.30750620564276476</v>
      </c>
      <c r="BD42" s="842">
        <f t="shared" si="58"/>
        <v>0.27330921898053401</v>
      </c>
      <c r="BE42" s="842">
        <f t="shared" si="58"/>
        <v>0.26346396328239269</v>
      </c>
      <c r="BF42" s="842">
        <f t="shared" si="58"/>
        <v>0.26832445673666194</v>
      </c>
    </row>
    <row r="43" spans="2:63">
      <c r="B43" s="843"/>
      <c r="D43" s="825"/>
      <c r="E43" s="825"/>
      <c r="F43" s="825"/>
      <c r="G43" s="825"/>
      <c r="H43" s="825"/>
      <c r="I43" s="825"/>
      <c r="J43" s="825"/>
      <c r="K43" s="825"/>
      <c r="L43" s="825"/>
      <c r="M43" s="825"/>
      <c r="N43" s="825"/>
      <c r="O43" s="825"/>
      <c r="P43" s="825"/>
      <c r="Q43" s="825"/>
      <c r="R43" s="825"/>
      <c r="S43" s="825"/>
      <c r="T43" s="825"/>
      <c r="U43" s="825"/>
      <c r="X43" s="826"/>
      <c r="Y43" s="826"/>
      <c r="Z43" s="844"/>
      <c r="AA43" s="828"/>
      <c r="AB43" s="827"/>
      <c r="AC43" s="828"/>
      <c r="AF43" s="828" t="s">
        <v>265</v>
      </c>
      <c r="AG43" s="992">
        <f>+BN134*1000</f>
        <v>21000</v>
      </c>
      <c r="AH43" s="828"/>
      <c r="AI43" s="828"/>
      <c r="AP43" s="8"/>
      <c r="AS43" s="8"/>
      <c r="AT43" s="8"/>
      <c r="AY43" s="9"/>
    </row>
    <row r="44" spans="2:63">
      <c r="B44" t="s">
        <v>95</v>
      </c>
      <c r="D44" s="8">
        <f t="shared" ref="D44:V44" si="59">+D21-D30</f>
        <v>6316</v>
      </c>
      <c r="E44" s="8">
        <f t="shared" si="59"/>
        <v>7489</v>
      </c>
      <c r="F44" s="8">
        <f t="shared" si="59"/>
        <v>6277</v>
      </c>
      <c r="G44" s="8">
        <f t="shared" si="59"/>
        <v>7106</v>
      </c>
      <c r="H44" s="8">
        <f t="shared" si="59"/>
        <v>6715</v>
      </c>
      <c r="I44" s="8">
        <f t="shared" si="59"/>
        <v>7905</v>
      </c>
      <c r="J44" s="8">
        <f t="shared" si="59"/>
        <v>6723</v>
      </c>
      <c r="K44" s="8">
        <f t="shared" si="59"/>
        <v>7988</v>
      </c>
      <c r="L44" s="8">
        <f t="shared" si="59"/>
        <v>7708</v>
      </c>
      <c r="M44" s="8">
        <f t="shared" si="59"/>
        <v>8679</v>
      </c>
      <c r="N44" s="8">
        <f t="shared" si="59"/>
        <v>8292</v>
      </c>
      <c r="O44" s="8">
        <f t="shared" si="59"/>
        <v>10379</v>
      </c>
      <c r="P44" s="8">
        <f t="shared" si="59"/>
        <v>9955</v>
      </c>
      <c r="Q44" s="8">
        <f t="shared" si="59"/>
        <v>10258</v>
      </c>
      <c r="R44" s="8">
        <f t="shared" si="59"/>
        <v>10341</v>
      </c>
      <c r="S44" s="8">
        <f t="shared" si="59"/>
        <v>12405</v>
      </c>
      <c r="T44" s="8">
        <f t="shared" si="59"/>
        <v>12686</v>
      </c>
      <c r="U44" s="8">
        <f t="shared" si="59"/>
        <v>13891</v>
      </c>
      <c r="V44" s="8">
        <f t="shared" si="59"/>
        <v>12975</v>
      </c>
      <c r="W44" s="8">
        <f>+W21-W30</f>
        <v>13407</v>
      </c>
      <c r="X44" s="8">
        <f t="shared" ref="X44:Y44" si="60">+X21-X30</f>
        <v>15876</v>
      </c>
      <c r="Y44" s="8">
        <f t="shared" si="60"/>
        <v>17897</v>
      </c>
      <c r="Z44" s="8">
        <f t="shared" ref="Z44:AI44" si="61">+Z146</f>
        <v>17048</v>
      </c>
      <c r="AA44" s="8">
        <f t="shared" si="61"/>
        <v>19095</v>
      </c>
      <c r="AB44" s="8">
        <f t="shared" si="61"/>
        <v>20238</v>
      </c>
      <c r="AC44" s="8">
        <f t="shared" si="61"/>
        <v>22247</v>
      </c>
      <c r="AD44" s="8">
        <f t="shared" si="61"/>
        <v>20364</v>
      </c>
      <c r="AE44" s="8">
        <f t="shared" si="61"/>
        <v>20534</v>
      </c>
      <c r="AF44" s="8">
        <f t="shared" si="61"/>
        <v>21518</v>
      </c>
      <c r="AG44" s="8">
        <f t="shared" si="61"/>
        <v>22280.325017420888</v>
      </c>
      <c r="AH44" s="8">
        <f t="shared" si="61"/>
        <v>20668.367261994536</v>
      </c>
      <c r="AI44" s="8">
        <f t="shared" si="61"/>
        <v>21640.852583138716</v>
      </c>
      <c r="AK44" s="8">
        <f t="shared" ref="AK44:AW44" si="62">+AK21-AK30</f>
        <v>14576</v>
      </c>
      <c r="AL44" s="8">
        <f t="shared" si="62"/>
        <v>16380</v>
      </c>
      <c r="AM44" s="8">
        <f t="shared" si="62"/>
        <v>18438</v>
      </c>
      <c r="AN44" s="8">
        <f t="shared" si="62"/>
        <v>22271</v>
      </c>
      <c r="AO44" s="8">
        <f t="shared" si="62"/>
        <v>20363</v>
      </c>
      <c r="AP44" s="8">
        <f t="shared" si="62"/>
        <v>24098</v>
      </c>
      <c r="AQ44" s="8">
        <f t="shared" si="62"/>
        <v>27161</v>
      </c>
      <c r="AR44" s="8">
        <f t="shared" si="62"/>
        <v>27956</v>
      </c>
      <c r="AS44" s="8">
        <f t="shared" si="62"/>
        <v>27497</v>
      </c>
      <c r="AT44" s="8">
        <f t="shared" si="62"/>
        <v>27886</v>
      </c>
      <c r="AU44" s="8">
        <f t="shared" si="62"/>
        <v>28172</v>
      </c>
      <c r="AV44" s="8">
        <f t="shared" si="62"/>
        <v>21292</v>
      </c>
      <c r="AW44" s="8">
        <f t="shared" si="62"/>
        <v>22632</v>
      </c>
      <c r="AY44" s="8">
        <f>+AY21-AY30</f>
        <v>27188</v>
      </c>
      <c r="AZ44" s="8">
        <f>+AZ21-AZ30</f>
        <v>29331</v>
      </c>
      <c r="BA44" s="8">
        <f>+BA21-BA30</f>
        <v>35058</v>
      </c>
      <c r="BB44" s="8">
        <f>+BB21-BB30</f>
        <v>42959</v>
      </c>
      <c r="BC44" s="8">
        <f>SUM(T44:W44)</f>
        <v>52959</v>
      </c>
      <c r="BD44" s="8">
        <f>SUM(X44:AA44)</f>
        <v>69916</v>
      </c>
      <c r="BE44" s="8">
        <f>SUM(AB44:AE44)</f>
        <v>83383</v>
      </c>
      <c r="BF44" s="8">
        <f>SUM(AF44:AI44)</f>
        <v>86107.544862554147</v>
      </c>
      <c r="BI44" s="8"/>
      <c r="BJ44" s="8"/>
    </row>
    <row r="45" spans="2:63" s="3" customFormat="1">
      <c r="B45" s="13" t="s">
        <v>113</v>
      </c>
      <c r="D45" s="228"/>
      <c r="E45" s="228"/>
      <c r="F45" s="228"/>
      <c r="G45" s="228"/>
      <c r="H45" s="228">
        <f>IFERROR(H44/D44-1,"n/a ")</f>
        <v>6.317289423685879E-2</v>
      </c>
      <c r="I45" s="228">
        <f t="shared" ref="I45:AI45" si="63">IFERROR(I44/E44-1,"n/a ")</f>
        <v>5.5548137267993125E-2</v>
      </c>
      <c r="J45" s="228">
        <f t="shared" si="63"/>
        <v>7.1053050820455654E-2</v>
      </c>
      <c r="K45" s="228">
        <f t="shared" si="63"/>
        <v>0.12412046158176193</v>
      </c>
      <c r="L45" s="228">
        <f t="shared" si="63"/>
        <v>0.14787788533134782</v>
      </c>
      <c r="M45" s="228">
        <f t="shared" si="63"/>
        <v>9.7912713472485757E-2</v>
      </c>
      <c r="N45" s="228">
        <f t="shared" si="63"/>
        <v>0.23337795626952262</v>
      </c>
      <c r="O45" s="228">
        <f t="shared" si="63"/>
        <v>0.29932398597896848</v>
      </c>
      <c r="P45" s="228">
        <f t="shared" si="63"/>
        <v>0.29151530877010901</v>
      </c>
      <c r="Q45" s="228">
        <f t="shared" si="63"/>
        <v>0.18193340246572176</v>
      </c>
      <c r="R45" s="228">
        <f t="shared" si="63"/>
        <v>0.2471056439942112</v>
      </c>
      <c r="S45" s="228">
        <f t="shared" si="63"/>
        <v>0.19520184988919942</v>
      </c>
      <c r="T45" s="228">
        <f t="shared" si="63"/>
        <v>0.27433450527373182</v>
      </c>
      <c r="U45" s="228">
        <f t="shared" si="63"/>
        <v>0.3541626047962565</v>
      </c>
      <c r="V45" s="228">
        <f t="shared" si="63"/>
        <v>0.25471424427038003</v>
      </c>
      <c r="W45" s="228">
        <f t="shared" si="63"/>
        <v>8.0773881499395461E-2</v>
      </c>
      <c r="X45" s="228">
        <f t="shared" si="63"/>
        <v>0.25145830048872764</v>
      </c>
      <c r="Y45" s="228">
        <f t="shared" si="63"/>
        <v>0.28838816499892017</v>
      </c>
      <c r="Z45" s="228">
        <f t="shared" si="63"/>
        <v>0.31391136801541419</v>
      </c>
      <c r="AA45" s="228">
        <f t="shared" si="63"/>
        <v>0.42425598567912282</v>
      </c>
      <c r="AB45" s="228">
        <f t="shared" si="63"/>
        <v>0.27475434618291761</v>
      </c>
      <c r="AC45" s="228">
        <f t="shared" si="63"/>
        <v>0.24305749566966539</v>
      </c>
      <c r="AD45" s="228">
        <f t="shared" si="63"/>
        <v>0.19450961989676219</v>
      </c>
      <c r="AE45" s="228">
        <f t="shared" si="63"/>
        <v>7.5360041895784269E-2</v>
      </c>
      <c r="AF45" s="228">
        <f t="shared" si="63"/>
        <v>6.3247356458147941E-2</v>
      </c>
      <c r="AG45" s="228">
        <f t="shared" si="63"/>
        <v>1.4979555634866415E-3</v>
      </c>
      <c r="AH45" s="228">
        <f t="shared" si="63"/>
        <v>1.4946339716879642E-2</v>
      </c>
      <c r="AI45" s="228">
        <f t="shared" si="63"/>
        <v>5.3903408159088118E-2</v>
      </c>
      <c r="AJ45" s="228"/>
      <c r="AK45" s="228"/>
      <c r="AL45" s="228">
        <f>IFERROR(AL44/AK44-1,"n/a ")</f>
        <v>0.12376509330406149</v>
      </c>
      <c r="AM45" s="228">
        <f t="shared" ref="AM45:AW45" si="64">IFERROR(AM44/AL44-1,"n/a ")</f>
        <v>0.12564102564102564</v>
      </c>
      <c r="AN45" s="228">
        <f t="shared" si="64"/>
        <v>0.2078858878403298</v>
      </c>
      <c r="AO45" s="228">
        <f t="shared" si="64"/>
        <v>-8.5671950069597269E-2</v>
      </c>
      <c r="AP45" s="228">
        <f t="shared" si="64"/>
        <v>0.18342091047488096</v>
      </c>
      <c r="AQ45" s="228">
        <f t="shared" si="64"/>
        <v>0.12710598389907868</v>
      </c>
      <c r="AR45" s="228">
        <f t="shared" si="64"/>
        <v>2.9269909060785748E-2</v>
      </c>
      <c r="AS45" s="228">
        <f t="shared" si="64"/>
        <v>-1.6418657890971522E-2</v>
      </c>
      <c r="AT45" s="228">
        <f t="shared" si="64"/>
        <v>1.4146997854311394E-2</v>
      </c>
      <c r="AU45" s="228">
        <f t="shared" si="64"/>
        <v>1.025604245858136E-2</v>
      </c>
      <c r="AV45" s="228">
        <f t="shared" si="64"/>
        <v>-0.24421411330398979</v>
      </c>
      <c r="AW45" s="228">
        <f t="shared" si="64"/>
        <v>6.2934435468720684E-2</v>
      </c>
      <c r="AX45" s="228"/>
      <c r="AY45" s="1010">
        <f t="shared" ref="AY45" si="65">+AV45</f>
        <v>-0.24421411330398979</v>
      </c>
      <c r="AZ45" s="1010">
        <f t="shared" ref="AZ45" si="66">+AW45</f>
        <v>6.2934435468720684E-2</v>
      </c>
      <c r="BA45" s="228">
        <f t="shared" ref="BA45:BF45" si="67">IFERROR(BA44/AZ44-1,"n/a ")</f>
        <v>0.19525416794517736</v>
      </c>
      <c r="BB45" s="228">
        <f t="shared" si="67"/>
        <v>0.22536938787152727</v>
      </c>
      <c r="BC45" s="228">
        <f t="shared" si="67"/>
        <v>0.23278009264647692</v>
      </c>
      <c r="BD45" s="228">
        <f t="shared" si="67"/>
        <v>0.3201910912215109</v>
      </c>
      <c r="BE45" s="228">
        <f t="shared" si="67"/>
        <v>0.19261685451112753</v>
      </c>
      <c r="BF45" s="228">
        <f t="shared" si="67"/>
        <v>3.2675064012498201E-2</v>
      </c>
      <c r="BI45" s="990"/>
      <c r="BJ45" s="990"/>
      <c r="BK45" s="990"/>
    </row>
    <row r="46" spans="2:63" s="3" customFormat="1">
      <c r="B46" s="13" t="s">
        <v>115</v>
      </c>
      <c r="D46" s="228">
        <f t="shared" ref="D46:AI46" si="68">IFERROR(D44/D12,"n/a ")</f>
        <v>0.30205643232902918</v>
      </c>
      <c r="E46" s="228">
        <f t="shared" si="68"/>
        <v>0.29655882469409572</v>
      </c>
      <c r="F46" s="228">
        <f t="shared" si="68"/>
        <v>0.29172282381372866</v>
      </c>
      <c r="G46" s="228">
        <f t="shared" si="68"/>
        <v>0.30271790065604498</v>
      </c>
      <c r="H46" s="228">
        <f t="shared" si="68"/>
        <v>0.30622947829259395</v>
      </c>
      <c r="I46" s="228">
        <f t="shared" si="68"/>
        <v>0.30608688918144505</v>
      </c>
      <c r="J46" s="228">
        <f t="shared" si="68"/>
        <v>0.28963467172152335</v>
      </c>
      <c r="K46" s="228">
        <f t="shared" si="68"/>
        <v>0.31197031829720756</v>
      </c>
      <c r="L46" s="228">
        <f t="shared" si="68"/>
        <v>0.3141250305648382</v>
      </c>
      <c r="M46" s="228">
        <f t="shared" si="68"/>
        <v>0.30012448993706342</v>
      </c>
      <c r="N46" s="228">
        <f t="shared" si="68"/>
        <v>0.30918378761325926</v>
      </c>
      <c r="O46" s="228">
        <f t="shared" si="68"/>
        <v>0.3449891972743892</v>
      </c>
      <c r="P46" s="228">
        <f t="shared" si="68"/>
        <v>0.34228441754916794</v>
      </c>
      <c r="Q46" s="228">
        <f t="shared" si="68"/>
        <v>0.3159126605278556</v>
      </c>
      <c r="R46" s="228">
        <f t="shared" si="68"/>
        <v>0.3382617513329626</v>
      </c>
      <c r="S46" s="228">
        <f t="shared" si="68"/>
        <v>0.3679152949550672</v>
      </c>
      <c r="T46" s="228">
        <f t="shared" si="68"/>
        <v>0.38378460142187265</v>
      </c>
      <c r="U46" s="228">
        <f t="shared" si="68"/>
        <v>0.37638866309001245</v>
      </c>
      <c r="V46" s="228">
        <f t="shared" si="68"/>
        <v>0.37049199051997372</v>
      </c>
      <c r="W46" s="228">
        <f t="shared" si="68"/>
        <v>0.35250966266137301</v>
      </c>
      <c r="X46" s="228">
        <f t="shared" si="68"/>
        <v>0.42730257845723207</v>
      </c>
      <c r="Y46" s="228">
        <f t="shared" si="68"/>
        <v>0.41547497446373849</v>
      </c>
      <c r="Z46" s="228">
        <f t="shared" si="68"/>
        <v>0.40876612477820939</v>
      </c>
      <c r="AA46" s="228">
        <f t="shared" si="68"/>
        <v>0.41374154966198645</v>
      </c>
      <c r="AB46" s="228">
        <f t="shared" si="68"/>
        <v>0.44658737339188381</v>
      </c>
      <c r="AC46" s="228">
        <f t="shared" si="68"/>
        <v>0.43007655428394681</v>
      </c>
      <c r="AD46" s="228">
        <f t="shared" si="68"/>
        <v>0.41256077795786061</v>
      </c>
      <c r="AE46" s="228">
        <f t="shared" si="68"/>
        <v>0.3959124650535043</v>
      </c>
      <c r="AF46" s="228">
        <f t="shared" si="68"/>
        <v>0.42931247755476637</v>
      </c>
      <c r="AG46" s="228">
        <f t="shared" si="68"/>
        <v>0.41576508625761166</v>
      </c>
      <c r="AH46" s="228">
        <f t="shared" si="68"/>
        <v>0.400784562589513</v>
      </c>
      <c r="AI46" s="228">
        <f t="shared" si="68"/>
        <v>0.3907500947808078</v>
      </c>
      <c r="AJ46" s="228"/>
      <c r="AK46" s="228">
        <f t="shared" ref="AK46:AW46" si="69">IFERROR(AK44/AK12,"n/a ")</f>
        <v>0.36634161053583997</v>
      </c>
      <c r="AL46" s="228">
        <f t="shared" si="69"/>
        <v>0.36990199177995575</v>
      </c>
      <c r="AM46" s="228">
        <f t="shared" si="69"/>
        <v>0.3606666405852666</v>
      </c>
      <c r="AN46" s="228">
        <f t="shared" si="69"/>
        <v>0.36860311155246606</v>
      </c>
      <c r="AO46" s="228">
        <f t="shared" si="69"/>
        <v>0.348460735492924</v>
      </c>
      <c r="AP46" s="228">
        <f t="shared" si="69"/>
        <v>0.38566673068305485</v>
      </c>
      <c r="AQ46" s="228">
        <f t="shared" si="69"/>
        <v>0.38833049769097694</v>
      </c>
      <c r="AR46" s="228">
        <f t="shared" si="69"/>
        <v>0.37920323372624554</v>
      </c>
      <c r="AS46" s="228">
        <f t="shared" si="69"/>
        <v>0.35320941823273261</v>
      </c>
      <c r="AT46" s="228">
        <f t="shared" si="69"/>
        <v>0.32114518673776099</v>
      </c>
      <c r="AU46" s="228">
        <f t="shared" si="69"/>
        <v>0.30104723231459712</v>
      </c>
      <c r="AV46" s="228">
        <f t="shared" si="69"/>
        <v>0.24955461790904829</v>
      </c>
      <c r="AW46" s="228">
        <f t="shared" si="69"/>
        <v>0.25160644802668147</v>
      </c>
      <c r="AX46" s="228"/>
      <c r="AY46" s="1010">
        <f t="shared" ref="AY46:AY47" si="70">+AV46</f>
        <v>0.24955461790904829</v>
      </c>
      <c r="AZ46" s="1010">
        <f t="shared" ref="AZ46:AZ47" si="71">+AW46</f>
        <v>0.25160644802668147</v>
      </c>
      <c r="BA46" s="228">
        <f t="shared" ref="BA46:BF46" si="72">IFERROR(BA44/BA12,"n/a ")</f>
        <v>0.31766944545125048</v>
      </c>
      <c r="BB46" s="228">
        <f t="shared" si="72"/>
        <v>0.3413698020549415</v>
      </c>
      <c r="BC46" s="228">
        <f t="shared" si="72"/>
        <v>0.37030381428521486</v>
      </c>
      <c r="BD46" s="228">
        <f t="shared" si="72"/>
        <v>0.41594878872971303</v>
      </c>
      <c r="BE46" s="228">
        <f t="shared" si="72"/>
        <v>0.4205527815604983</v>
      </c>
      <c r="BF46" s="228">
        <f t="shared" si="72"/>
        <v>0.4087447800188268</v>
      </c>
      <c r="BG46" s="989"/>
      <c r="BH46" s="989"/>
    </row>
    <row r="47" spans="2:63" s="3" customFormat="1">
      <c r="B47" s="13" t="s">
        <v>284</v>
      </c>
      <c r="D47" s="228"/>
      <c r="E47" s="228"/>
      <c r="F47" s="228"/>
      <c r="G47" s="228"/>
      <c r="H47" s="228"/>
      <c r="I47" s="228"/>
      <c r="J47" s="228"/>
      <c r="K47" s="228"/>
      <c r="L47" s="228">
        <f t="shared" ref="L47:AI47" si="73">(L44-H44)/(L12-H12)</f>
        <v>0.38045977011494253</v>
      </c>
      <c r="M47" s="228">
        <f t="shared" si="73"/>
        <v>0.25032341526520052</v>
      </c>
      <c r="N47" s="228">
        <f t="shared" si="73"/>
        <v>0.43498752425838649</v>
      </c>
      <c r="O47" s="228">
        <f t="shared" si="73"/>
        <v>0.53370535714285716</v>
      </c>
      <c r="P47" s="228">
        <f t="shared" si="73"/>
        <v>0.49428068631764188</v>
      </c>
      <c r="Q47" s="228">
        <f t="shared" si="73"/>
        <v>0.44441317196735153</v>
      </c>
      <c r="R47" s="228">
        <f t="shared" si="73"/>
        <v>0.5461087420042644</v>
      </c>
      <c r="S47" s="228">
        <f t="shared" si="73"/>
        <v>0.55781938325991187</v>
      </c>
      <c r="T47" s="228">
        <f t="shared" si="73"/>
        <v>0.68773608662805341</v>
      </c>
      <c r="U47" s="228">
        <f t="shared" si="73"/>
        <v>0.81916572717023672</v>
      </c>
      <c r="V47" s="228">
        <f t="shared" si="73"/>
        <v>0.5919101123595506</v>
      </c>
      <c r="W47" s="228">
        <f t="shared" si="73"/>
        <v>0.23215940685820205</v>
      </c>
      <c r="X47" s="228">
        <f t="shared" si="73"/>
        <v>0.77823859477921442</v>
      </c>
      <c r="Y47" s="228">
        <f t="shared" si="73"/>
        <v>0.64927066450567261</v>
      </c>
      <c r="Z47" s="228">
        <f t="shared" si="73"/>
        <v>0.60927449513836951</v>
      </c>
      <c r="AA47" s="228">
        <f t="shared" si="73"/>
        <v>0.70057888902574206</v>
      </c>
      <c r="AB47" s="228">
        <f t="shared" si="73"/>
        <v>0.53436236677692028</v>
      </c>
      <c r="AC47" s="228">
        <f t="shared" si="73"/>
        <v>0.50277392510402219</v>
      </c>
      <c r="AD47" s="228">
        <f t="shared" si="73"/>
        <v>0.43323752286386202</v>
      </c>
      <c r="AE47" s="228">
        <f t="shared" si="73"/>
        <v>0.25188167337650974</v>
      </c>
      <c r="AF47" s="228">
        <f t="shared" si="73"/>
        <v>0.26638917793964623</v>
      </c>
      <c r="AG47" s="228">
        <f t="shared" si="73"/>
        <v>1.7909599137068081E-2</v>
      </c>
      <c r="AH47" s="228">
        <f t="shared" si="73"/>
        <v>0.13773714764326145</v>
      </c>
      <c r="AI47" s="228">
        <f t="shared" si="73"/>
        <v>0.31463923499172791</v>
      </c>
      <c r="AJ47" s="228"/>
      <c r="AK47" s="228"/>
      <c r="AL47" s="228"/>
      <c r="AM47" s="228">
        <f t="shared" ref="AM47:AW47" si="74">(AM44-AL44)/(AM12-AL12)</f>
        <v>0.30087719298245613</v>
      </c>
      <c r="AN47" s="228">
        <f t="shared" si="74"/>
        <v>0.41223919122391911</v>
      </c>
      <c r="AO47" s="228">
        <f t="shared" si="74"/>
        <v>0.96217851739788196</v>
      </c>
      <c r="AP47" s="228">
        <f t="shared" si="74"/>
        <v>0.92290585618977017</v>
      </c>
      <c r="AQ47" s="228">
        <f t="shared" si="74"/>
        <v>0.41064485856012872</v>
      </c>
      <c r="AR47" s="228">
        <f t="shared" si="74"/>
        <v>0.21031746031746032</v>
      </c>
      <c r="AS47" s="228">
        <f t="shared" si="74"/>
        <v>-0.1112457586039748</v>
      </c>
      <c r="AT47" s="228">
        <f t="shared" si="74"/>
        <v>4.3299198575244877E-2</v>
      </c>
      <c r="AU47" s="228">
        <f t="shared" si="74"/>
        <v>4.238921001926782E-2</v>
      </c>
      <c r="AV47" s="228">
        <f t="shared" si="74"/>
        <v>0.83292978208232449</v>
      </c>
      <c r="AW47" s="228">
        <f t="shared" si="74"/>
        <v>0.2894168466522678</v>
      </c>
      <c r="AX47" s="228"/>
      <c r="AY47" s="1010">
        <f t="shared" si="70"/>
        <v>0.83292978208232449</v>
      </c>
      <c r="AZ47" s="1010">
        <f t="shared" si="71"/>
        <v>0.2894168466522678</v>
      </c>
      <c r="BA47" s="228">
        <f t="shared" ref="BA47:BF47" si="75">(BA44-AZ44)/(BA12-AZ12)</f>
        <v>0.41533106099064471</v>
      </c>
      <c r="BB47" s="228">
        <f t="shared" si="75"/>
        <v>0.51030162113285538</v>
      </c>
      <c r="BC47" s="228">
        <f t="shared" si="75"/>
        <v>0.58234334963894707</v>
      </c>
      <c r="BD47" s="228">
        <f t="shared" si="75"/>
        <v>0.67630518884856217</v>
      </c>
      <c r="BE47" s="228">
        <f t="shared" si="75"/>
        <v>0.44619309522231793</v>
      </c>
      <c r="BF47" s="228">
        <f t="shared" si="75"/>
        <v>0.21983924848944042</v>
      </c>
    </row>
    <row r="48" spans="2:63" s="3" customFormat="1">
      <c r="B48" s="13" t="s">
        <v>285</v>
      </c>
      <c r="D48" s="228"/>
      <c r="E48" s="228"/>
      <c r="F48" s="228"/>
      <c r="G48" s="228"/>
      <c r="H48" s="228"/>
      <c r="I48" s="228"/>
      <c r="J48" s="228"/>
      <c r="K48" s="228"/>
      <c r="L48" s="228">
        <f t="shared" ref="L48:W48" si="76">+L57/(L12-H12)</f>
        <v>0.38591954022988506</v>
      </c>
      <c r="M48" s="228">
        <f t="shared" si="76"/>
        <v>0.25565976714100908</v>
      </c>
      <c r="N48" s="228">
        <f t="shared" si="76"/>
        <v>0.37277515941225398</v>
      </c>
      <c r="O48" s="228">
        <f t="shared" si="76"/>
        <v>0.42792857142857138</v>
      </c>
      <c r="P48" s="228">
        <f t="shared" si="76"/>
        <v>0.47475582930048399</v>
      </c>
      <c r="Q48" s="228">
        <f t="shared" si="76"/>
        <v>0.43969040247678021</v>
      </c>
      <c r="R48" s="228">
        <f t="shared" si="76"/>
        <v>0.59670575692963757</v>
      </c>
      <c r="S48" s="228">
        <f t="shared" si="76"/>
        <v>0.68583700440528639</v>
      </c>
      <c r="T48" s="228">
        <f t="shared" si="76"/>
        <v>0.80221606648199439</v>
      </c>
      <c r="U48" s="228">
        <f t="shared" si="76"/>
        <v>0.90205636978579484</v>
      </c>
      <c r="V48" s="228">
        <f t="shared" si="76"/>
        <v>0.65066966292134842</v>
      </c>
      <c r="W48" s="228">
        <f t="shared" si="76"/>
        <v>0.45139017608897153</v>
      </c>
      <c r="X48" s="228">
        <f>+X57/(X12-T12)</f>
        <v>0.59244205903879066</v>
      </c>
      <c r="Y48" s="228">
        <f t="shared" ref="Y48:AF48" si="77">+Y57/(Y12-U12)</f>
        <v>0.44572771474878442</v>
      </c>
      <c r="Z48" s="228">
        <f t="shared" si="77"/>
        <v>0.39927150336574463</v>
      </c>
      <c r="AA48" s="228">
        <f t="shared" si="77"/>
        <v>0.52111466929424821</v>
      </c>
      <c r="AB48" s="228">
        <f t="shared" si="77"/>
        <v>0.57779982849442613</v>
      </c>
      <c r="AC48" s="228">
        <f t="shared" si="77"/>
        <v>0.58851242245264224</v>
      </c>
      <c r="AD48" s="228">
        <f t="shared" si="77"/>
        <v>0.61679330011136879</v>
      </c>
      <c r="AE48" s="228">
        <f t="shared" si="77"/>
        <v>0.55013121613959604</v>
      </c>
      <c r="AF48" s="228">
        <f t="shared" si="77"/>
        <v>0.4231550468262229</v>
      </c>
      <c r="AG48" s="228"/>
      <c r="AH48" s="228"/>
      <c r="AI48" s="228"/>
      <c r="AJ48" s="228"/>
      <c r="AK48" s="228"/>
      <c r="AL48" s="228"/>
      <c r="AM48" s="228"/>
      <c r="AN48" s="228"/>
      <c r="AO48" s="228"/>
      <c r="AP48" s="228"/>
      <c r="AQ48" s="228"/>
      <c r="AR48" s="228"/>
      <c r="AS48" s="228"/>
      <c r="AT48" s="228"/>
      <c r="AU48" s="228"/>
      <c r="AV48" s="228"/>
      <c r="AW48" s="228"/>
      <c r="AX48" s="228"/>
      <c r="AY48" s="1010"/>
      <c r="AZ48" s="1010"/>
      <c r="BA48" s="228">
        <f t="shared" ref="BA48:BC48" si="78">+BA57/(BA12-AZ12)</f>
        <v>0.36692073391834074</v>
      </c>
      <c r="BB48" s="228">
        <f t="shared" si="78"/>
        <v>0.54577665827036104</v>
      </c>
      <c r="BC48" s="228">
        <f t="shared" si="78"/>
        <v>0.7005532261821571</v>
      </c>
      <c r="BD48" s="228">
        <f>+BD57/(BD12-BC12)</f>
        <v>0.48173812467594651</v>
      </c>
      <c r="BE48" s="228">
        <f>+BE57/(BE12-BD12)</f>
        <v>0.58552200105752394</v>
      </c>
      <c r="BF48" s="228"/>
    </row>
    <row r="50" spans="2:61">
      <c r="B50" s="24" t="s">
        <v>286</v>
      </c>
      <c r="X50" s="9"/>
    </row>
    <row r="51" spans="2:61" s="3" customFormat="1">
      <c r="B51" s="13" t="s">
        <v>287</v>
      </c>
      <c r="D51" s="228"/>
      <c r="E51" s="228"/>
      <c r="F51" s="228"/>
      <c r="G51" s="228"/>
      <c r="H51" s="228"/>
      <c r="I51" s="228"/>
      <c r="J51" s="228"/>
      <c r="K51" s="228"/>
      <c r="L51" s="228">
        <f>+L45</f>
        <v>0.14787788533134782</v>
      </c>
      <c r="M51" s="228">
        <f t="shared" ref="M51:AI51" si="79">+M45</f>
        <v>9.7912713472485757E-2</v>
      </c>
      <c r="N51" s="228">
        <f t="shared" si="79"/>
        <v>0.23337795626952262</v>
      </c>
      <c r="O51" s="228">
        <f t="shared" si="79"/>
        <v>0.29932398597896848</v>
      </c>
      <c r="P51" s="228">
        <f t="shared" si="79"/>
        <v>0.29151530877010901</v>
      </c>
      <c r="Q51" s="228">
        <f t="shared" si="79"/>
        <v>0.18193340246572176</v>
      </c>
      <c r="R51" s="228">
        <f t="shared" si="79"/>
        <v>0.2471056439942112</v>
      </c>
      <c r="S51" s="228">
        <f t="shared" si="79"/>
        <v>0.19520184988919942</v>
      </c>
      <c r="T51" s="228">
        <f t="shared" si="79"/>
        <v>0.27433450527373182</v>
      </c>
      <c r="U51" s="228">
        <f t="shared" si="79"/>
        <v>0.3541626047962565</v>
      </c>
      <c r="V51" s="228">
        <f t="shared" si="79"/>
        <v>0.25471424427038003</v>
      </c>
      <c r="W51" s="228">
        <f t="shared" si="79"/>
        <v>8.0773881499395461E-2</v>
      </c>
      <c r="X51" s="228">
        <f t="shared" si="79"/>
        <v>0.25145830048872764</v>
      </c>
      <c r="Y51" s="228">
        <f t="shared" si="79"/>
        <v>0.28838816499892017</v>
      </c>
      <c r="Z51" s="228">
        <f t="shared" si="79"/>
        <v>0.31391136801541419</v>
      </c>
      <c r="AA51" s="228">
        <f t="shared" si="79"/>
        <v>0.42425598567912282</v>
      </c>
      <c r="AB51" s="228">
        <f t="shared" si="79"/>
        <v>0.27475434618291761</v>
      </c>
      <c r="AC51" s="228">
        <f t="shared" si="79"/>
        <v>0.24305749566966539</v>
      </c>
      <c r="AD51" s="228">
        <f t="shared" si="79"/>
        <v>0.19450961989676219</v>
      </c>
      <c r="AE51" s="228">
        <f t="shared" si="79"/>
        <v>7.5360041895784269E-2</v>
      </c>
      <c r="AF51" s="228">
        <f t="shared" si="79"/>
        <v>6.3247356458147941E-2</v>
      </c>
      <c r="AG51" s="228">
        <f t="shared" si="79"/>
        <v>1.4979555634866415E-3</v>
      </c>
      <c r="AH51" s="228">
        <f t="shared" si="79"/>
        <v>1.4946339716879642E-2</v>
      </c>
      <c r="AI51" s="228">
        <f t="shared" si="79"/>
        <v>5.3903408159088118E-2</v>
      </c>
      <c r="AJ51" s="228"/>
      <c r="AK51" s="228"/>
      <c r="AL51" s="228"/>
      <c r="AM51" s="228">
        <f t="shared" ref="AM51:BF51" si="80">+AM45</f>
        <v>0.12564102564102564</v>
      </c>
      <c r="AN51" s="228">
        <f t="shared" si="80"/>
        <v>0.2078858878403298</v>
      </c>
      <c r="AO51" s="228">
        <f t="shared" si="80"/>
        <v>-8.5671950069597269E-2</v>
      </c>
      <c r="AP51" s="228">
        <f t="shared" si="80"/>
        <v>0.18342091047488096</v>
      </c>
      <c r="AQ51" s="228">
        <f t="shared" si="80"/>
        <v>0.12710598389907868</v>
      </c>
      <c r="AR51" s="228">
        <f t="shared" si="80"/>
        <v>2.9269909060785748E-2</v>
      </c>
      <c r="AS51" s="228">
        <f t="shared" si="80"/>
        <v>-1.6418657890971522E-2</v>
      </c>
      <c r="AT51" s="228">
        <f t="shared" si="80"/>
        <v>1.4146997854311394E-2</v>
      </c>
      <c r="AU51" s="228">
        <f t="shared" si="80"/>
        <v>1.025604245858136E-2</v>
      </c>
      <c r="AV51" s="228">
        <f t="shared" si="80"/>
        <v>-0.24421411330398979</v>
      </c>
      <c r="AW51" s="228">
        <f t="shared" si="80"/>
        <v>6.2934435468720684E-2</v>
      </c>
      <c r="AX51" s="228"/>
      <c r="AY51" s="1010">
        <f t="shared" ref="AY51" si="81">+AV51</f>
        <v>-0.24421411330398979</v>
      </c>
      <c r="AZ51" s="1010">
        <f t="shared" ref="AZ51" si="82">+AW51</f>
        <v>6.2934435468720684E-2</v>
      </c>
      <c r="BA51" s="228">
        <f t="shared" si="80"/>
        <v>0.19525416794517736</v>
      </c>
      <c r="BB51" s="228">
        <f t="shared" si="80"/>
        <v>0.22536938787152727</v>
      </c>
      <c r="BC51" s="228">
        <f t="shared" si="80"/>
        <v>0.23278009264647692</v>
      </c>
      <c r="BD51" s="228">
        <f t="shared" si="80"/>
        <v>0.3201910912215109</v>
      </c>
      <c r="BE51" s="228">
        <f t="shared" si="80"/>
        <v>0.19261685451112753</v>
      </c>
      <c r="BF51" s="228">
        <f t="shared" si="80"/>
        <v>3.2675064012498201E-2</v>
      </c>
    </row>
    <row r="52" spans="2:61" s="3" customFormat="1">
      <c r="B52" s="13" t="s">
        <v>288</v>
      </c>
      <c r="D52" s="228"/>
      <c r="E52" s="228"/>
      <c r="F52" s="228"/>
      <c r="G52" s="228"/>
      <c r="H52" s="228"/>
      <c r="I52" s="228"/>
      <c r="J52" s="228"/>
      <c r="K52" s="228"/>
      <c r="L52" s="836"/>
      <c r="M52" s="836"/>
      <c r="N52" s="836"/>
      <c r="O52" s="836"/>
      <c r="P52" s="836"/>
      <c r="Q52" s="836"/>
      <c r="R52" s="836"/>
      <c r="S52" s="836"/>
      <c r="T52" s="836"/>
      <c r="U52" s="836"/>
      <c r="V52" s="836"/>
      <c r="W52" s="836"/>
      <c r="X52" s="836">
        <f>(X46-2%)*X12/T44-1</f>
        <v>0.19288349361500878</v>
      </c>
      <c r="Y52" s="836">
        <f>(Y46-2%)*Y12/U44-1</f>
        <v>0.22636815204088978</v>
      </c>
      <c r="Z52" s="836">
        <f>(Z46-2%)*Z12/V44-1</f>
        <v>0.24962466281310225</v>
      </c>
      <c r="AA52" s="836">
        <f>(AA46-1%)*AA12/W44-1</f>
        <v>0.38983217722085484</v>
      </c>
      <c r="AB52" s="836">
        <f>(AB46+2%)*AB12/X44-1</f>
        <v>0.33184303350970024</v>
      </c>
      <c r="AC52" s="836">
        <f>+'EBIT growth'!S19</f>
        <v>0.28756380840701024</v>
      </c>
      <c r="AD52" s="836">
        <f>+'EBIT growth'!T19</f>
        <v>0.24142984039490956</v>
      </c>
      <c r="AE52" s="836">
        <f>+AE51+AE55-AE54</f>
        <v>9.9952848274706074E-2</v>
      </c>
      <c r="AF52" s="836">
        <f>+'EBIT growth'!V19</f>
        <v>1.3714793951971505E-2</v>
      </c>
      <c r="AG52" s="836">
        <f>+(AG44-1000)/AC44-1</f>
        <v>-4.3451925319328955E-2</v>
      </c>
      <c r="AH52" s="836">
        <f>+(AH44-850)/AD44-1</f>
        <v>-2.6793986348726428E-2</v>
      </c>
      <c r="AI52" s="836">
        <f>+(AI44-750)/AE44-1</f>
        <v>1.7378620002859391E-2</v>
      </c>
      <c r="AJ52" s="228"/>
      <c r="AK52" s="228"/>
      <c r="AL52" s="228"/>
      <c r="AM52" s="836"/>
      <c r="AN52" s="836"/>
      <c r="AO52" s="836"/>
      <c r="AP52" s="836"/>
      <c r="AQ52" s="836"/>
      <c r="AR52" s="836"/>
      <c r="AS52" s="836"/>
      <c r="AT52" s="836"/>
      <c r="AU52" s="836"/>
      <c r="AV52" s="836"/>
      <c r="AW52" s="836"/>
      <c r="AX52" s="836"/>
      <c r="AY52" s="836"/>
      <c r="AZ52" s="836"/>
      <c r="BA52" s="836"/>
      <c r="BB52" s="836"/>
      <c r="BC52" s="836"/>
      <c r="BD52" s="836">
        <f>SUMPRODUCT(X52:AA52,T44:W44)/BC44</f>
        <v>0.26542721728129309</v>
      </c>
      <c r="BE52" s="836">
        <f>SUMPRODUCT(AB52:AE52,X44:AA44)/BD44</f>
        <v>0.23513022821554716</v>
      </c>
      <c r="BF52" s="836">
        <f>SUMPRODUCT(AF52:AI52,AB44:AE44)/BE44</f>
        <v>-1.0528466683207154E-2</v>
      </c>
      <c r="BG52" s="872"/>
      <c r="BH52" s="872"/>
      <c r="BI52" s="872"/>
    </row>
    <row r="53" spans="2:61" s="3" customFormat="1">
      <c r="B53" s="13"/>
      <c r="D53" s="228"/>
      <c r="E53" s="228"/>
      <c r="F53" s="228"/>
      <c r="G53" s="228"/>
      <c r="H53" s="228"/>
      <c r="I53" s="228"/>
      <c r="J53" s="228"/>
      <c r="K53" s="228"/>
      <c r="L53" s="836"/>
      <c r="M53" s="836"/>
      <c r="N53" s="836"/>
      <c r="O53" s="836"/>
      <c r="P53" s="836"/>
      <c r="Q53" s="836"/>
      <c r="R53" s="836"/>
      <c r="S53" s="836"/>
      <c r="T53" s="836"/>
      <c r="U53" s="836"/>
      <c r="V53" s="836"/>
      <c r="W53" s="836"/>
      <c r="X53" s="836"/>
      <c r="Y53" s="836"/>
      <c r="Z53" s="836"/>
      <c r="AA53" s="228"/>
      <c r="AB53" s="228"/>
      <c r="AC53" s="228"/>
      <c r="AD53" s="228"/>
      <c r="AE53" s="228"/>
      <c r="AF53" s="228"/>
      <c r="AG53" s="228"/>
      <c r="AH53" s="228"/>
      <c r="AI53" s="228"/>
      <c r="AJ53" s="228"/>
      <c r="AK53" s="228"/>
      <c r="AL53" s="228"/>
      <c r="AM53" s="836"/>
      <c r="AN53" s="836"/>
      <c r="AO53" s="836"/>
      <c r="AP53" s="836"/>
      <c r="AQ53" s="836"/>
      <c r="AR53" s="836"/>
      <c r="AS53" s="836"/>
      <c r="AT53" s="836"/>
      <c r="AU53" s="836"/>
      <c r="AV53" s="836"/>
      <c r="AW53" s="836"/>
      <c r="AX53" s="836"/>
      <c r="AY53" s="836"/>
      <c r="AZ53" s="836"/>
      <c r="BA53" s="836"/>
      <c r="BB53" s="836"/>
      <c r="BC53" s="836"/>
      <c r="BD53" s="228"/>
      <c r="BE53" s="228"/>
      <c r="BF53" s="228"/>
      <c r="BG53" s="872"/>
      <c r="BH53" s="872"/>
      <c r="BI53" s="872"/>
    </row>
    <row r="54" spans="2:61" s="3" customFormat="1">
      <c r="B54" s="13" t="s">
        <v>289</v>
      </c>
      <c r="D54" s="228"/>
      <c r="E54" s="228"/>
      <c r="F54" s="228"/>
      <c r="G54" s="228"/>
      <c r="H54" s="228"/>
      <c r="I54" s="228"/>
      <c r="J54" s="228"/>
      <c r="K54" s="228"/>
      <c r="L54" s="836">
        <f t="shared" ref="L54:AF54" si="83">+L559</f>
        <v>0.15</v>
      </c>
      <c r="M54" s="836">
        <f t="shared" si="83"/>
        <v>0.1</v>
      </c>
      <c r="N54" s="836">
        <f t="shared" si="83"/>
        <v>0.2</v>
      </c>
      <c r="O54" s="836">
        <f t="shared" si="83"/>
        <v>0.24</v>
      </c>
      <c r="P54" s="836">
        <f t="shared" si="83"/>
        <v>0.28000000000000003</v>
      </c>
      <c r="Q54" s="836">
        <f t="shared" si="83"/>
        <v>0.18</v>
      </c>
      <c r="R54" s="836">
        <f t="shared" si="83"/>
        <v>0.27</v>
      </c>
      <c r="S54" s="836">
        <f t="shared" si="83"/>
        <v>0.24</v>
      </c>
      <c r="T54" s="836">
        <f t="shared" si="83"/>
        <v>0.32</v>
      </c>
      <c r="U54" s="836">
        <f t="shared" si="83"/>
        <v>0.39</v>
      </c>
      <c r="V54" s="836">
        <f t="shared" si="83"/>
        <v>0.28000000000000003</v>
      </c>
      <c r="W54" s="836">
        <f t="shared" si="83"/>
        <v>0.15704957678355511</v>
      </c>
      <c r="X54" s="836">
        <f t="shared" si="83"/>
        <v>0.25</v>
      </c>
      <c r="Y54" s="836">
        <f t="shared" si="83"/>
        <v>0.26</v>
      </c>
      <c r="Z54" s="836">
        <f t="shared" si="83"/>
        <v>0.27</v>
      </c>
      <c r="AA54" s="836">
        <f t="shared" si="83"/>
        <v>0.35</v>
      </c>
      <c r="AB54" s="836">
        <f t="shared" si="83"/>
        <v>0.24</v>
      </c>
      <c r="AC54" s="836">
        <f t="shared" si="83"/>
        <v>0.24</v>
      </c>
      <c r="AD54" s="836">
        <f t="shared" si="83"/>
        <v>0.23</v>
      </c>
      <c r="AE54" s="836">
        <f t="shared" si="83"/>
        <v>0.14000000000000001</v>
      </c>
      <c r="AF54" s="836">
        <f t="shared" si="83"/>
        <v>0.15</v>
      </c>
      <c r="AG54" s="836">
        <f>+(AC44*(1+AG55)+1000)/AC44-1</f>
        <v>0.13092140443754552</v>
      </c>
      <c r="AH54" s="836">
        <f>+(AD44*(1+AH55)+850)/AD44-1</f>
        <v>0.13650873928401341</v>
      </c>
      <c r="AI54" s="836">
        <f>+(AE44*(1+AI55)+750)/AE44-1</f>
        <v>0.15435177483069995</v>
      </c>
      <c r="AJ54" s="228"/>
      <c r="AK54" s="228"/>
      <c r="AL54" s="228"/>
      <c r="AM54" s="836" t="s">
        <v>271</v>
      </c>
      <c r="AN54" s="836" t="s">
        <v>271</v>
      </c>
      <c r="AO54" s="836" t="s">
        <v>271</v>
      </c>
      <c r="AP54" s="836" t="s">
        <v>271</v>
      </c>
      <c r="AQ54" s="836" t="s">
        <v>271</v>
      </c>
      <c r="AR54" s="836" t="s">
        <v>271</v>
      </c>
      <c r="AS54" s="836" t="str">
        <f>+AS559</f>
        <v>NA</v>
      </c>
      <c r="AT54" s="836" t="str">
        <f>+AT559</f>
        <v>NA</v>
      </c>
      <c r="AU54" s="836" t="str">
        <f>+AU559</f>
        <v>NA</v>
      </c>
      <c r="AV54" s="836" t="str">
        <f>+AV559</f>
        <v>NA</v>
      </c>
      <c r="AW54" s="836" t="str">
        <f>+AW559</f>
        <v>NA</v>
      </c>
      <c r="AX54" s="836"/>
      <c r="AY54" s="836" t="str">
        <f>+AY559</f>
        <v>NA</v>
      </c>
      <c r="AZ54" s="836" t="str">
        <f>+AZ559</f>
        <v>NA</v>
      </c>
      <c r="BA54" s="836">
        <f>+BA559</f>
        <v>0.17249565306331185</v>
      </c>
      <c r="BB54" s="836">
        <f>+BB559</f>
        <v>0.24103656797307321</v>
      </c>
      <c r="BC54" s="836">
        <f>+BC559</f>
        <v>0.28003212365278524</v>
      </c>
      <c r="BD54" s="836">
        <f>SUMPRODUCT(X54:AA54,T44:W44)/BC44</f>
        <v>0.28283879982628074</v>
      </c>
      <c r="BE54" s="836">
        <f>SUMPRODUCT(AB54:AE54,X44:AA44)/BD44</f>
        <v>0.21025030036043252</v>
      </c>
      <c r="BF54" s="836">
        <f>SUMPRODUCT(AF54:AI54,AB44:AE44)/BE44</f>
        <v>0.14268654037004325</v>
      </c>
      <c r="BG54" s="872"/>
      <c r="BH54" s="872"/>
      <c r="BI54" s="872"/>
    </row>
    <row r="55" spans="2:61" s="3" customFormat="1">
      <c r="B55" s="13" t="s">
        <v>290</v>
      </c>
      <c r="D55" s="228"/>
      <c r="E55" s="228"/>
      <c r="F55" s="228"/>
      <c r="G55" s="228"/>
      <c r="H55" s="228"/>
      <c r="I55" s="228"/>
      <c r="J55" s="228"/>
      <c r="K55" s="228"/>
      <c r="L55" s="836"/>
      <c r="M55" s="836"/>
      <c r="N55" s="836"/>
      <c r="O55" s="836"/>
      <c r="P55" s="836">
        <f>+P54</f>
        <v>0.28000000000000003</v>
      </c>
      <c r="Q55" s="836">
        <f t="shared" ref="Q55:W55" si="84">+Q54</f>
        <v>0.18</v>
      </c>
      <c r="R55" s="836">
        <f t="shared" si="84"/>
        <v>0.27</v>
      </c>
      <c r="S55" s="836">
        <f t="shared" si="84"/>
        <v>0.24</v>
      </c>
      <c r="T55" s="836">
        <f t="shared" si="84"/>
        <v>0.32</v>
      </c>
      <c r="U55" s="836">
        <f t="shared" si="84"/>
        <v>0.39</v>
      </c>
      <c r="V55" s="836">
        <f t="shared" si="84"/>
        <v>0.28000000000000003</v>
      </c>
      <c r="W55" s="836">
        <f t="shared" si="84"/>
        <v>0.15704957678355511</v>
      </c>
      <c r="X55" s="836">
        <f t="shared" ref="X55" si="85">+X54+X52-X51</f>
        <v>0.19142519312628115</v>
      </c>
      <c r="Y55" s="836">
        <f>+Y54+Y52-Y51</f>
        <v>0.19797998704196962</v>
      </c>
      <c r="Z55" s="836">
        <f>+Z54+Z52-Z51</f>
        <v>0.20571329479768807</v>
      </c>
      <c r="AA55" s="836">
        <f>+AA54+AA52-AA51</f>
        <v>0.315576191541732</v>
      </c>
      <c r="AB55" s="836">
        <f>+AB54+AB52-AB51</f>
        <v>0.29708868732678262</v>
      </c>
      <c r="AC55" s="836">
        <f t="shared" ref="AC55:AF55" si="86">+AC54+AC52-AC51</f>
        <v>0.28450631273734484</v>
      </c>
      <c r="AD55" s="836">
        <f t="shared" si="86"/>
        <v>0.27692022049814735</v>
      </c>
      <c r="AE55" s="836">
        <f>+AE14</f>
        <v>0.16459280637892182</v>
      </c>
      <c r="AF55" s="836">
        <f t="shared" si="86"/>
        <v>0.10046743749382356</v>
      </c>
      <c r="AG55" s="836">
        <f t="shared" ref="AG55:AI55" si="87">+AG14</f>
        <v>8.597152355472977E-2</v>
      </c>
      <c r="AH55" s="836">
        <f t="shared" si="87"/>
        <v>9.4768413218407413E-2</v>
      </c>
      <c r="AI55" s="836">
        <f t="shared" si="87"/>
        <v>0.11782698667447118</v>
      </c>
      <c r="AJ55" s="228"/>
      <c r="AK55" s="228"/>
      <c r="AL55" s="228"/>
      <c r="AM55" s="836" t="str">
        <f t="shared" ref="AM55:AW55" si="88">+AM54</f>
        <v>NA</v>
      </c>
      <c r="AN55" s="836" t="str">
        <f t="shared" si="88"/>
        <v>NA</v>
      </c>
      <c r="AO55" s="836" t="str">
        <f t="shared" si="88"/>
        <v>NA</v>
      </c>
      <c r="AP55" s="836" t="str">
        <f t="shared" si="88"/>
        <v>NA</v>
      </c>
      <c r="AQ55" s="836" t="str">
        <f t="shared" si="88"/>
        <v>NA</v>
      </c>
      <c r="AR55" s="836" t="str">
        <f t="shared" si="88"/>
        <v>NA</v>
      </c>
      <c r="AS55" s="836" t="str">
        <f t="shared" si="88"/>
        <v>NA</v>
      </c>
      <c r="AT55" s="836" t="str">
        <f t="shared" si="88"/>
        <v>NA</v>
      </c>
      <c r="AU55" s="836" t="str">
        <f t="shared" si="88"/>
        <v>NA</v>
      </c>
      <c r="AV55" s="836" t="str">
        <f t="shared" si="88"/>
        <v>NA</v>
      </c>
      <c r="AW55" s="836" t="str">
        <f t="shared" si="88"/>
        <v>NA</v>
      </c>
      <c r="AX55" s="836"/>
      <c r="AY55" s="836" t="str">
        <f>+AY54</f>
        <v>NA</v>
      </c>
      <c r="AZ55" s="836" t="str">
        <f t="shared" ref="AZ55:BC55" si="89">+AZ54</f>
        <v>NA</v>
      </c>
      <c r="BA55" s="836">
        <f t="shared" si="89"/>
        <v>0.17249565306331185</v>
      </c>
      <c r="BB55" s="836">
        <f t="shared" si="89"/>
        <v>0.24103656797307321</v>
      </c>
      <c r="BC55" s="836">
        <f t="shared" si="89"/>
        <v>0.28003212365278524</v>
      </c>
      <c r="BD55" s="836">
        <f>SUMPRODUCT(X55:AA55,T44:W44)/BC44</f>
        <v>0.22807492588606293</v>
      </c>
      <c r="BE55" s="836">
        <f>SUMPRODUCT(AB55:AE55,X44:AA44)/BD44</f>
        <v>0.25276367406485195</v>
      </c>
      <c r="BF55" s="836">
        <f>SUMPRODUCT(AF55:AI55,AB44:AE44)/BE44</f>
        <v>9.9483009674337847E-2</v>
      </c>
      <c r="BG55" s="872"/>
      <c r="BH55" s="872"/>
      <c r="BI55" s="872"/>
    </row>
    <row r="56" spans="2:61" s="3" customFormat="1">
      <c r="B56" s="13"/>
      <c r="D56" s="228"/>
      <c r="E56" s="228"/>
      <c r="F56" s="228"/>
      <c r="G56" s="228"/>
      <c r="H56" s="228"/>
      <c r="I56" s="228"/>
      <c r="J56" s="228"/>
      <c r="K56" s="228"/>
      <c r="L56" s="228"/>
      <c r="M56" s="228"/>
      <c r="N56" s="228"/>
      <c r="O56" s="228"/>
      <c r="P56" s="228"/>
      <c r="Q56" s="228"/>
      <c r="R56" s="228"/>
      <c r="S56" s="228"/>
      <c r="T56" s="228"/>
      <c r="U56" s="228"/>
      <c r="V56" s="228"/>
      <c r="W56" s="228"/>
      <c r="X56" s="228"/>
      <c r="Y56" s="228"/>
      <c r="Z56" s="228"/>
      <c r="AA56" s="228"/>
      <c r="AB56" s="228"/>
      <c r="AC56" s="228"/>
      <c r="AD56" s="228"/>
      <c r="AE56" s="228"/>
      <c r="AF56" s="228"/>
      <c r="AG56" s="228"/>
      <c r="AH56" s="228"/>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row>
    <row r="57" spans="2:61" s="3" customFormat="1" hidden="1" outlineLevel="1">
      <c r="B57" s="13" t="s">
        <v>291</v>
      </c>
      <c r="D57" s="228"/>
      <c r="E57" s="228"/>
      <c r="F57" s="228"/>
      <c r="G57" s="228"/>
      <c r="H57" s="228"/>
      <c r="I57" s="228"/>
      <c r="J57" s="228"/>
      <c r="K57" s="228"/>
      <c r="L57" s="845">
        <f t="shared" ref="L57:V57" si="90">+L54*H44</f>
        <v>1007.25</v>
      </c>
      <c r="M57" s="845">
        <f t="shared" si="90"/>
        <v>790.5</v>
      </c>
      <c r="N57" s="845">
        <f t="shared" si="90"/>
        <v>1344.6000000000001</v>
      </c>
      <c r="O57" s="845">
        <f t="shared" si="90"/>
        <v>1917.12</v>
      </c>
      <c r="P57" s="845">
        <f t="shared" si="90"/>
        <v>2158.2400000000002</v>
      </c>
      <c r="Q57" s="845">
        <f t="shared" si="90"/>
        <v>1562.22</v>
      </c>
      <c r="R57" s="845">
        <f t="shared" si="90"/>
        <v>2238.84</v>
      </c>
      <c r="S57" s="845">
        <f t="shared" si="90"/>
        <v>2490.96</v>
      </c>
      <c r="T57" s="845">
        <f t="shared" si="90"/>
        <v>3185.6</v>
      </c>
      <c r="U57" s="845">
        <f t="shared" si="90"/>
        <v>4000.6200000000003</v>
      </c>
      <c r="V57" s="845">
        <f t="shared" si="90"/>
        <v>2895.4800000000005</v>
      </c>
      <c r="W57" s="845">
        <f>+W54*S44</f>
        <v>1948.2000000000012</v>
      </c>
      <c r="X57" s="845">
        <f t="shared" ref="X57:AD57" si="91">+X55*T44</f>
        <v>2428.4200000000028</v>
      </c>
      <c r="Y57" s="845">
        <f t="shared" si="91"/>
        <v>2750.14</v>
      </c>
      <c r="Z57" s="845">
        <f t="shared" si="91"/>
        <v>2669.1300000000028</v>
      </c>
      <c r="AA57" s="845">
        <f t="shared" si="91"/>
        <v>4230.9300000000012</v>
      </c>
      <c r="AB57" s="845">
        <f t="shared" si="91"/>
        <v>4716.5800000000008</v>
      </c>
      <c r="AC57" s="845">
        <f t="shared" si="91"/>
        <v>5091.8094790602609</v>
      </c>
      <c r="AD57" s="845">
        <f t="shared" si="91"/>
        <v>4720.9359190524165</v>
      </c>
      <c r="AE57" s="845">
        <f>+AE55*AA44</f>
        <v>3142.8996378055122</v>
      </c>
      <c r="AF57" s="845">
        <f>+AF55*AB44</f>
        <v>2033.2600000000011</v>
      </c>
      <c r="AG57" s="845"/>
      <c r="AH57" s="845"/>
      <c r="AI57" s="845"/>
      <c r="AJ57" s="228"/>
      <c r="AK57" s="228"/>
      <c r="AL57" s="228"/>
      <c r="AM57" s="228"/>
      <c r="AN57" s="228"/>
      <c r="AO57" s="228"/>
      <c r="AP57" s="228"/>
      <c r="AQ57" s="228"/>
      <c r="AR57" s="228"/>
      <c r="AS57" s="228"/>
      <c r="AT57" s="228"/>
      <c r="AU57" s="228"/>
      <c r="AV57" s="228"/>
      <c r="AW57" s="228"/>
      <c r="AX57" s="228"/>
      <c r="AY57" s="228"/>
      <c r="AZ57" s="845"/>
      <c r="BA57" s="845">
        <f t="shared" ref="BA57:BB57" si="92">+BA54*AZ44</f>
        <v>5059.47</v>
      </c>
      <c r="BB57" s="845">
        <f t="shared" si="92"/>
        <v>8450.26</v>
      </c>
      <c r="BC57" s="845">
        <f>+BC54*BB44</f>
        <v>12029.900000000001</v>
      </c>
      <c r="BD57" s="845">
        <f>+BD55*BC44</f>
        <v>12078.620000000006</v>
      </c>
      <c r="BE57" s="845">
        <f>+BE55*BD44</f>
        <v>17672.225035918189</v>
      </c>
      <c r="BF57" s="845"/>
    </row>
    <row r="58" spans="2:61" s="3" customFormat="1" hidden="1" outlineLevel="1">
      <c r="B58" s="13"/>
      <c r="D58" s="228"/>
      <c r="E58" s="228"/>
      <c r="F58" s="228"/>
      <c r="G58" s="228"/>
      <c r="H58" s="228"/>
      <c r="I58" s="228"/>
      <c r="J58" s="228"/>
      <c r="K58" s="228"/>
      <c r="L58" s="228"/>
      <c r="M58" s="228"/>
      <c r="N58" s="228"/>
      <c r="O58" s="228"/>
      <c r="P58" s="228"/>
      <c r="Q58" s="228"/>
      <c r="R58" s="228"/>
      <c r="S58" s="228"/>
      <c r="T58" s="228"/>
      <c r="U58" s="228"/>
      <c r="V58" s="228"/>
      <c r="W58" s="228"/>
      <c r="X58" s="228"/>
      <c r="Y58" s="228"/>
      <c r="Z58" s="228"/>
      <c r="AA58" s="228"/>
      <c r="AB58" s="228"/>
      <c r="AC58" s="228"/>
      <c r="AD58" s="228"/>
      <c r="AE58" s="228"/>
      <c r="AF58" s="228"/>
      <c r="AG58" s="228"/>
      <c r="AH58" s="228"/>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row>
    <row r="59" spans="2:61" ht="11.45" collapsed="1">
      <c r="B59" t="s">
        <v>292</v>
      </c>
      <c r="D59" s="10">
        <f t="shared" ref="D59:AF59" si="93">+D531</f>
        <v>-295</v>
      </c>
      <c r="E59" s="10">
        <f t="shared" si="93"/>
        <v>-176</v>
      </c>
      <c r="F59" s="10">
        <f t="shared" si="93"/>
        <v>-212</v>
      </c>
      <c r="G59" s="10">
        <f t="shared" si="93"/>
        <v>244</v>
      </c>
      <c r="H59" s="10">
        <f t="shared" si="93"/>
        <v>112</v>
      </c>
      <c r="I59" s="10">
        <f t="shared" si="93"/>
        <v>117</v>
      </c>
      <c r="J59" s="10">
        <f t="shared" si="93"/>
        <v>371</v>
      </c>
      <c r="K59" s="10">
        <f t="shared" si="93"/>
        <v>276</v>
      </c>
      <c r="L59" s="10">
        <f t="shared" si="93"/>
        <v>276</v>
      </c>
      <c r="M59" s="10">
        <f t="shared" si="93"/>
        <v>490</v>
      </c>
      <c r="N59" s="10">
        <f t="shared" si="93"/>
        <v>349</v>
      </c>
      <c r="O59" s="10">
        <f t="shared" si="93"/>
        <v>301</v>
      </c>
      <c r="P59" s="10">
        <f t="shared" si="93"/>
        <v>266</v>
      </c>
      <c r="Q59" s="10">
        <f t="shared" si="93"/>
        <v>127</v>
      </c>
      <c r="R59" s="10">
        <f t="shared" si="93"/>
        <v>145</v>
      </c>
      <c r="S59" s="10">
        <f t="shared" si="93"/>
        <v>191</v>
      </c>
      <c r="T59" s="10">
        <f t="shared" si="93"/>
        <v>0</v>
      </c>
      <c r="U59" s="10">
        <f t="shared" si="93"/>
        <v>194</v>
      </c>
      <c r="V59" s="10">
        <f t="shared" si="93"/>
        <v>-132</v>
      </c>
      <c r="W59" s="10">
        <f t="shared" si="93"/>
        <v>15</v>
      </c>
      <c r="X59" s="10">
        <f t="shared" si="93"/>
        <v>248</v>
      </c>
      <c r="Y59" s="10">
        <f t="shared" si="93"/>
        <v>440</v>
      </c>
      <c r="Z59" s="10">
        <f t="shared" si="93"/>
        <v>188</v>
      </c>
      <c r="AA59" s="10">
        <f t="shared" si="93"/>
        <v>310</v>
      </c>
      <c r="AB59" s="10">
        <f t="shared" si="93"/>
        <v>286</v>
      </c>
      <c r="AC59" s="10">
        <f t="shared" si="93"/>
        <v>268</v>
      </c>
      <c r="AD59" s="10">
        <f t="shared" si="93"/>
        <v>-174</v>
      </c>
      <c r="AE59" s="10">
        <f t="shared" si="93"/>
        <v>-47</v>
      </c>
      <c r="AF59" s="10">
        <f t="shared" si="93"/>
        <v>54</v>
      </c>
      <c r="AG59" s="58">
        <v>0</v>
      </c>
      <c r="AH59" s="58">
        <v>0</v>
      </c>
      <c r="AI59" s="58">
        <v>0</v>
      </c>
      <c r="AK59" s="10">
        <f t="shared" ref="AK59:AW59" si="94">+AK531</f>
        <v>2052</v>
      </c>
      <c r="AL59" s="10">
        <f t="shared" si="94"/>
        <v>1882</v>
      </c>
      <c r="AM59" s="10">
        <f t="shared" si="94"/>
        <v>1663</v>
      </c>
      <c r="AN59" s="10">
        <f t="shared" si="94"/>
        <v>1543</v>
      </c>
      <c r="AO59" s="10">
        <f t="shared" si="94"/>
        <v>-542</v>
      </c>
      <c r="AP59" s="10">
        <f t="shared" si="94"/>
        <v>915</v>
      </c>
      <c r="AQ59" s="10">
        <f t="shared" si="94"/>
        <v>910</v>
      </c>
      <c r="AR59" s="10">
        <f t="shared" si="94"/>
        <v>504</v>
      </c>
      <c r="AS59" s="10">
        <f t="shared" si="94"/>
        <v>288</v>
      </c>
      <c r="AT59" s="10">
        <f t="shared" si="94"/>
        <v>61</v>
      </c>
      <c r="AU59" s="10">
        <f t="shared" si="94"/>
        <v>346</v>
      </c>
      <c r="AV59" s="10">
        <f t="shared" si="94"/>
        <v>431</v>
      </c>
      <c r="AW59" s="10">
        <f t="shared" si="94"/>
        <v>-823</v>
      </c>
      <c r="AY59" s="10">
        <f>+AY531</f>
        <v>-439</v>
      </c>
      <c r="AZ59" s="10">
        <f>+AZ531</f>
        <v>876</v>
      </c>
      <c r="BA59" s="10">
        <f>+BA531</f>
        <v>1416</v>
      </c>
      <c r="BB59" s="10">
        <f>+BB531</f>
        <v>729</v>
      </c>
      <c r="BC59" s="10">
        <f>SUM(T59:W59)</f>
        <v>77</v>
      </c>
      <c r="BD59" s="10">
        <f>SUM(X59:AA59)</f>
        <v>1186</v>
      </c>
      <c r="BE59" s="10">
        <f>SUM(AB59:AE59)</f>
        <v>333</v>
      </c>
      <c r="BF59" s="10">
        <f>SUM(AF59:AI59)</f>
        <v>54</v>
      </c>
    </row>
    <row r="60" spans="2:61">
      <c r="B60" s="12" t="s">
        <v>293</v>
      </c>
      <c r="D60" s="8">
        <f t="shared" ref="D60:AI60" si="95">+D44+D59</f>
        <v>6021</v>
      </c>
      <c r="E60" s="8">
        <f t="shared" si="95"/>
        <v>7313</v>
      </c>
      <c r="F60" s="8">
        <f t="shared" si="95"/>
        <v>6065</v>
      </c>
      <c r="G60" s="8">
        <f t="shared" si="95"/>
        <v>7350</v>
      </c>
      <c r="H60" s="8">
        <f t="shared" si="95"/>
        <v>6827</v>
      </c>
      <c r="I60" s="8">
        <f t="shared" si="95"/>
        <v>8022</v>
      </c>
      <c r="J60" s="8">
        <f t="shared" si="95"/>
        <v>7094</v>
      </c>
      <c r="K60" s="8">
        <f t="shared" si="95"/>
        <v>8264</v>
      </c>
      <c r="L60" s="8">
        <f t="shared" si="95"/>
        <v>7984</v>
      </c>
      <c r="M60" s="8">
        <f t="shared" si="95"/>
        <v>9169</v>
      </c>
      <c r="N60" s="8">
        <f t="shared" si="95"/>
        <v>8641</v>
      </c>
      <c r="O60" s="8">
        <f t="shared" si="95"/>
        <v>10680</v>
      </c>
      <c r="P60" s="8">
        <f t="shared" si="95"/>
        <v>10221</v>
      </c>
      <c r="Q60" s="8">
        <f t="shared" si="95"/>
        <v>10385</v>
      </c>
      <c r="R60" s="8">
        <f t="shared" si="95"/>
        <v>10486</v>
      </c>
      <c r="S60" s="8">
        <f t="shared" si="95"/>
        <v>12596</v>
      </c>
      <c r="T60" s="8">
        <f t="shared" si="95"/>
        <v>12686</v>
      </c>
      <c r="U60" s="8">
        <f t="shared" si="95"/>
        <v>14085</v>
      </c>
      <c r="V60" s="8">
        <f t="shared" si="95"/>
        <v>12843</v>
      </c>
      <c r="W60" s="8">
        <f t="shared" si="95"/>
        <v>13422</v>
      </c>
      <c r="X60" s="8">
        <f t="shared" si="95"/>
        <v>16124</v>
      </c>
      <c r="Y60" s="8">
        <f t="shared" si="95"/>
        <v>18337</v>
      </c>
      <c r="Z60" s="8">
        <f t="shared" si="95"/>
        <v>17236</v>
      </c>
      <c r="AA60" s="8">
        <f t="shared" si="95"/>
        <v>19405</v>
      </c>
      <c r="AB60" s="8">
        <f t="shared" si="95"/>
        <v>20524</v>
      </c>
      <c r="AC60" s="8">
        <f t="shared" si="95"/>
        <v>22515</v>
      </c>
      <c r="AD60" s="8">
        <f t="shared" si="95"/>
        <v>20190</v>
      </c>
      <c r="AE60" s="8">
        <f t="shared" si="95"/>
        <v>20487</v>
      </c>
      <c r="AF60" s="8">
        <f t="shared" si="95"/>
        <v>21572</v>
      </c>
      <c r="AG60" s="8">
        <f t="shared" si="95"/>
        <v>22280.325017420888</v>
      </c>
      <c r="AH60" s="8">
        <f t="shared" si="95"/>
        <v>20668.367261994536</v>
      </c>
      <c r="AI60" s="8">
        <f t="shared" si="95"/>
        <v>21640.852583138716</v>
      </c>
      <c r="AK60" s="8">
        <f t="shared" ref="AK60:AW60" si="96">+AK44+AK59</f>
        <v>16628</v>
      </c>
      <c r="AL60" s="8">
        <f t="shared" si="96"/>
        <v>18262</v>
      </c>
      <c r="AM60" s="8">
        <f t="shared" si="96"/>
        <v>20101</v>
      </c>
      <c r="AN60" s="8">
        <f t="shared" si="96"/>
        <v>23814</v>
      </c>
      <c r="AO60" s="8">
        <f t="shared" si="96"/>
        <v>19821</v>
      </c>
      <c r="AP60" s="8">
        <f t="shared" si="96"/>
        <v>25013</v>
      </c>
      <c r="AQ60" s="8">
        <f t="shared" si="96"/>
        <v>28071</v>
      </c>
      <c r="AR60" s="8">
        <f t="shared" si="96"/>
        <v>28460</v>
      </c>
      <c r="AS60" s="8">
        <f t="shared" si="96"/>
        <v>27785</v>
      </c>
      <c r="AT60" s="8">
        <f t="shared" si="96"/>
        <v>27947</v>
      </c>
      <c r="AU60" s="8">
        <f t="shared" si="96"/>
        <v>28518</v>
      </c>
      <c r="AV60" s="8">
        <f t="shared" si="96"/>
        <v>21723</v>
      </c>
      <c r="AW60" s="8">
        <f t="shared" si="96"/>
        <v>21809</v>
      </c>
      <c r="AY60" s="8">
        <f t="shared" ref="AY60:BF60" si="97">+AY44+AY59</f>
        <v>26749</v>
      </c>
      <c r="AZ60" s="8">
        <f t="shared" si="97"/>
        <v>30207</v>
      </c>
      <c r="BA60" s="8">
        <f t="shared" si="97"/>
        <v>36474</v>
      </c>
      <c r="BB60" s="8">
        <f t="shared" si="97"/>
        <v>43688</v>
      </c>
      <c r="BC60" s="8">
        <f t="shared" si="97"/>
        <v>53036</v>
      </c>
      <c r="BD60" s="8">
        <f t="shared" si="97"/>
        <v>71102</v>
      </c>
      <c r="BE60" s="8">
        <f t="shared" si="97"/>
        <v>83716</v>
      </c>
      <c r="BF60" s="8">
        <f t="shared" si="97"/>
        <v>86161.544862554147</v>
      </c>
    </row>
    <row r="61" spans="2:61" ht="11.45">
      <c r="B61" t="s">
        <v>294</v>
      </c>
      <c r="D61" s="10">
        <f>MIN(-D60*0.35,0)</f>
        <v>-2107.35</v>
      </c>
      <c r="E61" s="10">
        <f t="shared" ref="E61:AZ61" si="98">MIN(-E60*0.35,0)</f>
        <v>-2559.5499999999997</v>
      </c>
      <c r="F61" s="10">
        <f t="shared" si="98"/>
        <v>-2122.75</v>
      </c>
      <c r="G61" s="10">
        <f t="shared" si="98"/>
        <v>-2572.5</v>
      </c>
      <c r="H61" s="10">
        <f t="shared" si="98"/>
        <v>-2389.4499999999998</v>
      </c>
      <c r="I61" s="10">
        <f t="shared" si="98"/>
        <v>-2807.7</v>
      </c>
      <c r="J61" s="10">
        <f t="shared" si="98"/>
        <v>-2482.8999999999996</v>
      </c>
      <c r="K61" s="10">
        <f t="shared" si="98"/>
        <v>-2892.3999999999996</v>
      </c>
      <c r="L61" s="10">
        <f t="shared" si="98"/>
        <v>-2794.3999999999996</v>
      </c>
      <c r="M61" s="10">
        <f t="shared" si="98"/>
        <v>-3209.1499999999996</v>
      </c>
      <c r="N61" s="10">
        <f>MIN(-N60*0.21,0)</f>
        <v>-1814.61</v>
      </c>
      <c r="O61" s="10">
        <f t="shared" ref="O61:AI61" si="99">MIN(-O60*0.21,0)</f>
        <v>-2242.7999999999997</v>
      </c>
      <c r="P61" s="10">
        <f t="shared" si="99"/>
        <v>-2146.41</v>
      </c>
      <c r="Q61" s="10">
        <f t="shared" si="99"/>
        <v>-2180.85</v>
      </c>
      <c r="R61" s="10">
        <f t="shared" si="99"/>
        <v>-2202.06</v>
      </c>
      <c r="S61" s="10">
        <f t="shared" si="99"/>
        <v>-2645.16</v>
      </c>
      <c r="T61" s="10">
        <f t="shared" si="99"/>
        <v>-2664.06</v>
      </c>
      <c r="U61" s="10">
        <f t="shared" si="99"/>
        <v>-2957.85</v>
      </c>
      <c r="V61" s="10">
        <f t="shared" si="99"/>
        <v>-2697.0299999999997</v>
      </c>
      <c r="W61" s="10">
        <f t="shared" si="99"/>
        <v>-2818.62</v>
      </c>
      <c r="X61" s="10">
        <f t="shared" si="99"/>
        <v>-3386.04</v>
      </c>
      <c r="Y61" s="10">
        <f t="shared" si="99"/>
        <v>-3850.77</v>
      </c>
      <c r="Z61" s="10">
        <f t="shared" si="99"/>
        <v>-3619.56</v>
      </c>
      <c r="AA61" s="10">
        <f t="shared" si="99"/>
        <v>-4075.0499999999997</v>
      </c>
      <c r="AB61" s="10">
        <f t="shared" si="99"/>
        <v>-4310.04</v>
      </c>
      <c r="AC61" s="10">
        <f t="shared" si="99"/>
        <v>-4728.1499999999996</v>
      </c>
      <c r="AD61" s="10">
        <f t="shared" si="99"/>
        <v>-4239.8999999999996</v>
      </c>
      <c r="AE61" s="10">
        <f t="shared" si="99"/>
        <v>-4302.2699999999995</v>
      </c>
      <c r="AF61" s="10">
        <f t="shared" si="99"/>
        <v>-4530.12</v>
      </c>
      <c r="AG61" s="10">
        <f t="shared" si="99"/>
        <v>-4678.8682536583865</v>
      </c>
      <c r="AH61" s="10">
        <f t="shared" si="99"/>
        <v>-4340.3571250188525</v>
      </c>
      <c r="AI61" s="10">
        <f t="shared" si="99"/>
        <v>-4544.5790424591305</v>
      </c>
      <c r="AK61" s="10">
        <f t="shared" si="98"/>
        <v>-5819.7999999999993</v>
      </c>
      <c r="AL61" s="10">
        <f t="shared" si="98"/>
        <v>-6391.7</v>
      </c>
      <c r="AM61" s="10">
        <f t="shared" si="98"/>
        <v>-7035.3499999999995</v>
      </c>
      <c r="AN61" s="10">
        <f t="shared" si="98"/>
        <v>-8334.9</v>
      </c>
      <c r="AO61" s="10">
        <f t="shared" si="98"/>
        <v>-6937.3499999999995</v>
      </c>
      <c r="AP61" s="10">
        <f t="shared" si="98"/>
        <v>-8754.5499999999993</v>
      </c>
      <c r="AQ61" s="10">
        <f t="shared" si="98"/>
        <v>-9824.8499999999985</v>
      </c>
      <c r="AR61" s="10">
        <f t="shared" si="98"/>
        <v>-9961</v>
      </c>
      <c r="AS61" s="10">
        <f t="shared" si="98"/>
        <v>-9724.75</v>
      </c>
      <c r="AT61" s="10">
        <f t="shared" si="98"/>
        <v>-9781.4499999999989</v>
      </c>
      <c r="AU61" s="10">
        <f t="shared" si="98"/>
        <v>-9981.2999999999993</v>
      </c>
      <c r="AV61" s="10">
        <f t="shared" si="98"/>
        <v>-7603.0499999999993</v>
      </c>
      <c r="AW61" s="10">
        <f t="shared" si="98"/>
        <v>-7633.15</v>
      </c>
      <c r="AY61" s="10">
        <f t="shared" si="98"/>
        <v>-9362.15</v>
      </c>
      <c r="AZ61" s="10">
        <f t="shared" si="98"/>
        <v>-10572.449999999999</v>
      </c>
      <c r="BA61" s="10">
        <f>+SUM(L61:O61)</f>
        <v>-10060.959999999999</v>
      </c>
      <c r="BB61" s="10">
        <f>SUM(P61:S61)</f>
        <v>-9174.48</v>
      </c>
      <c r="BC61" s="10">
        <f>SUM(T61:W61)</f>
        <v>-11137.559999999998</v>
      </c>
      <c r="BD61" s="10">
        <f>SUM(X61:AA61)</f>
        <v>-14931.419999999998</v>
      </c>
      <c r="BE61" s="10">
        <f>SUM(AB61:AE61)</f>
        <v>-17580.359999999997</v>
      </c>
      <c r="BF61" s="10">
        <f>SUM(AF61:AI61)</f>
        <v>-18093.924421136369</v>
      </c>
    </row>
    <row r="62" spans="2:61">
      <c r="B62" s="12" t="s">
        <v>295</v>
      </c>
      <c r="D62" s="8">
        <f>+SUM(D60:D61)</f>
        <v>3913.65</v>
      </c>
      <c r="E62" s="8">
        <f t="shared" ref="E62:BF62" si="100">+SUM(E60:E61)</f>
        <v>4753.4500000000007</v>
      </c>
      <c r="F62" s="8">
        <f t="shared" si="100"/>
        <v>3942.25</v>
      </c>
      <c r="G62" s="8">
        <f t="shared" si="100"/>
        <v>4777.5</v>
      </c>
      <c r="H62" s="8">
        <f t="shared" si="100"/>
        <v>4437.55</v>
      </c>
      <c r="I62" s="8">
        <f t="shared" si="100"/>
        <v>5214.3</v>
      </c>
      <c r="J62" s="8">
        <f t="shared" si="100"/>
        <v>4611.1000000000004</v>
      </c>
      <c r="K62" s="8">
        <f t="shared" si="100"/>
        <v>5371.6</v>
      </c>
      <c r="L62" s="8">
        <f t="shared" si="100"/>
        <v>5189.6000000000004</v>
      </c>
      <c r="M62" s="8">
        <f t="shared" si="100"/>
        <v>5959.85</v>
      </c>
      <c r="N62" s="8">
        <f t="shared" si="100"/>
        <v>6826.39</v>
      </c>
      <c r="O62" s="8">
        <f t="shared" si="100"/>
        <v>8437.2000000000007</v>
      </c>
      <c r="P62" s="8">
        <f t="shared" si="100"/>
        <v>8074.59</v>
      </c>
      <c r="Q62" s="8">
        <f t="shared" si="100"/>
        <v>8204.15</v>
      </c>
      <c r="R62" s="8">
        <f t="shared" si="100"/>
        <v>8283.94</v>
      </c>
      <c r="S62" s="8">
        <f t="shared" si="100"/>
        <v>9950.84</v>
      </c>
      <c r="T62" s="8">
        <f t="shared" si="100"/>
        <v>10021.94</v>
      </c>
      <c r="U62" s="8">
        <f t="shared" si="100"/>
        <v>11127.15</v>
      </c>
      <c r="V62" s="8">
        <f t="shared" si="100"/>
        <v>10145.970000000001</v>
      </c>
      <c r="W62" s="8">
        <f t="shared" si="100"/>
        <v>10603.380000000001</v>
      </c>
      <c r="X62" s="8">
        <f t="shared" si="100"/>
        <v>12737.96</v>
      </c>
      <c r="Y62" s="8">
        <f t="shared" si="100"/>
        <v>14486.23</v>
      </c>
      <c r="Z62" s="8">
        <f t="shared" si="100"/>
        <v>13616.44</v>
      </c>
      <c r="AA62" s="8">
        <f t="shared" si="100"/>
        <v>15329.95</v>
      </c>
      <c r="AB62" s="8">
        <f t="shared" si="100"/>
        <v>16213.96</v>
      </c>
      <c r="AC62" s="8">
        <f t="shared" si="100"/>
        <v>17786.849999999999</v>
      </c>
      <c r="AD62" s="8">
        <f t="shared" si="100"/>
        <v>15950.1</v>
      </c>
      <c r="AE62" s="8">
        <f t="shared" si="100"/>
        <v>16184.73</v>
      </c>
      <c r="AF62" s="8">
        <f t="shared" si="100"/>
        <v>17041.88</v>
      </c>
      <c r="AG62" s="8">
        <f t="shared" si="100"/>
        <v>17601.4567637625</v>
      </c>
      <c r="AH62" s="8">
        <f t="shared" si="100"/>
        <v>16328.010136975683</v>
      </c>
      <c r="AI62" s="8">
        <f t="shared" si="100"/>
        <v>17096.273540679584</v>
      </c>
      <c r="AK62" s="8">
        <f t="shared" si="100"/>
        <v>10808.2</v>
      </c>
      <c r="AL62" s="8">
        <f t="shared" si="100"/>
        <v>11870.3</v>
      </c>
      <c r="AM62" s="8">
        <f t="shared" si="100"/>
        <v>13065.650000000001</v>
      </c>
      <c r="AN62" s="8">
        <f t="shared" si="100"/>
        <v>15479.1</v>
      </c>
      <c r="AO62" s="8">
        <f t="shared" si="100"/>
        <v>12883.650000000001</v>
      </c>
      <c r="AP62" s="8">
        <f t="shared" si="100"/>
        <v>16258.45</v>
      </c>
      <c r="AQ62" s="8">
        <f t="shared" si="100"/>
        <v>18246.150000000001</v>
      </c>
      <c r="AR62" s="8">
        <f t="shared" si="100"/>
        <v>18499</v>
      </c>
      <c r="AS62" s="8">
        <f t="shared" si="100"/>
        <v>18060.25</v>
      </c>
      <c r="AT62" s="8">
        <f t="shared" si="100"/>
        <v>18165.550000000003</v>
      </c>
      <c r="AU62" s="8">
        <f t="shared" si="100"/>
        <v>18536.7</v>
      </c>
      <c r="AV62" s="8">
        <f t="shared" si="100"/>
        <v>14119.95</v>
      </c>
      <c r="AW62" s="8">
        <f t="shared" si="100"/>
        <v>14175.85</v>
      </c>
      <c r="AY62" s="8">
        <f t="shared" si="100"/>
        <v>17386.849999999999</v>
      </c>
      <c r="AZ62" s="8">
        <f t="shared" si="100"/>
        <v>19634.550000000003</v>
      </c>
      <c r="BA62" s="8">
        <f t="shared" si="100"/>
        <v>26413.040000000001</v>
      </c>
      <c r="BB62" s="8">
        <f t="shared" si="100"/>
        <v>34513.520000000004</v>
      </c>
      <c r="BC62" s="8">
        <f t="shared" si="100"/>
        <v>41898.44</v>
      </c>
      <c r="BD62" s="8">
        <f t="shared" si="100"/>
        <v>56170.58</v>
      </c>
      <c r="BE62" s="8">
        <f t="shared" si="100"/>
        <v>66135.64</v>
      </c>
      <c r="BF62" s="8">
        <f t="shared" si="100"/>
        <v>68067.620441417777</v>
      </c>
    </row>
    <row r="63" spans="2:61" s="3" customFormat="1" ht="11.45">
      <c r="B63" t="s">
        <v>296</v>
      </c>
      <c r="D63" s="846">
        <f t="shared" ref="D63:AF63" si="101">+D538</f>
        <v>8084</v>
      </c>
      <c r="E63" s="846">
        <f t="shared" si="101"/>
        <v>8051</v>
      </c>
      <c r="F63" s="846">
        <f t="shared" si="101"/>
        <v>7985</v>
      </c>
      <c r="G63" s="846">
        <f t="shared" si="101"/>
        <v>7929</v>
      </c>
      <c r="H63" s="846">
        <f t="shared" si="101"/>
        <v>7876</v>
      </c>
      <c r="I63" s="846">
        <f t="shared" si="101"/>
        <v>7830</v>
      </c>
      <c r="J63" s="846">
        <f t="shared" si="101"/>
        <v>7813</v>
      </c>
      <c r="K63" s="846">
        <f t="shared" si="101"/>
        <v>7806</v>
      </c>
      <c r="L63" s="846">
        <f t="shared" si="101"/>
        <v>7799</v>
      </c>
      <c r="M63" s="846">
        <f t="shared" si="101"/>
        <v>7710</v>
      </c>
      <c r="N63" s="846">
        <f t="shared" si="101"/>
        <v>7794</v>
      </c>
      <c r="O63" s="846">
        <f t="shared" si="101"/>
        <v>7775</v>
      </c>
      <c r="P63" s="846">
        <f t="shared" si="101"/>
        <v>7766</v>
      </c>
      <c r="Q63" s="846">
        <f t="shared" si="101"/>
        <v>7768</v>
      </c>
      <c r="R63" s="846">
        <f t="shared" si="101"/>
        <v>7744</v>
      </c>
      <c r="S63" s="846">
        <f t="shared" si="101"/>
        <v>7734</v>
      </c>
      <c r="T63" s="846">
        <f t="shared" si="101"/>
        <v>7710</v>
      </c>
      <c r="U63" s="846">
        <f t="shared" si="101"/>
        <v>7714.5695364238409</v>
      </c>
      <c r="V63" s="846">
        <f t="shared" si="101"/>
        <v>7675</v>
      </c>
      <c r="W63" s="846">
        <f t="shared" si="101"/>
        <v>7650</v>
      </c>
      <c r="X63" s="846">
        <f t="shared" si="101"/>
        <v>7637</v>
      </c>
      <c r="Y63" s="846">
        <f t="shared" si="101"/>
        <v>7616</v>
      </c>
      <c r="Z63" s="846">
        <f t="shared" si="101"/>
        <v>7597</v>
      </c>
      <c r="AA63" s="846">
        <f t="shared" si="101"/>
        <v>7581</v>
      </c>
      <c r="AB63" s="846">
        <f t="shared" si="101"/>
        <v>7567</v>
      </c>
      <c r="AC63" s="846">
        <f t="shared" si="101"/>
        <v>7555</v>
      </c>
      <c r="AD63" s="846">
        <f t="shared" si="101"/>
        <v>7534</v>
      </c>
      <c r="AE63" s="846">
        <f t="shared" si="101"/>
        <v>7506</v>
      </c>
      <c r="AF63" s="846">
        <f t="shared" si="101"/>
        <v>7485</v>
      </c>
      <c r="AG63" s="846">
        <f t="shared" ref="AG63:AI63" si="102">+AF63</f>
        <v>7485</v>
      </c>
      <c r="AH63" s="846">
        <f t="shared" si="102"/>
        <v>7485</v>
      </c>
      <c r="AI63" s="846">
        <f t="shared" si="102"/>
        <v>7485</v>
      </c>
      <c r="AK63" s="846">
        <f t="shared" ref="AK63:AW63" si="103">+AK538</f>
        <v>7775</v>
      </c>
      <c r="AL63" s="846">
        <f t="shared" si="103"/>
        <v>7775</v>
      </c>
      <c r="AM63" s="846">
        <f t="shared" si="103"/>
        <v>7775</v>
      </c>
      <c r="AN63" s="846">
        <f t="shared" si="103"/>
        <v>7775</v>
      </c>
      <c r="AO63" s="846">
        <f t="shared" si="103"/>
        <v>7775</v>
      </c>
      <c r="AP63" s="846">
        <f t="shared" si="103"/>
        <v>7775</v>
      </c>
      <c r="AQ63" s="846">
        <f t="shared" si="103"/>
        <v>7775</v>
      </c>
      <c r="AR63" s="846">
        <f t="shared" si="103"/>
        <v>7775</v>
      </c>
      <c r="AS63" s="846">
        <f t="shared" si="103"/>
        <v>7775</v>
      </c>
      <c r="AT63" s="846">
        <f t="shared" si="103"/>
        <v>7775</v>
      </c>
      <c r="AU63" s="846">
        <f t="shared" si="103"/>
        <v>7775</v>
      </c>
      <c r="AV63" s="846">
        <f t="shared" si="103"/>
        <v>7832</v>
      </c>
      <c r="AW63" s="846">
        <f t="shared" si="103"/>
        <v>7794</v>
      </c>
      <c r="AY63" s="846">
        <f>+AY538</f>
        <v>8012.25</v>
      </c>
      <c r="AZ63" s="846">
        <f>+AZ538</f>
        <v>7831.25</v>
      </c>
      <c r="BA63" s="846">
        <f>+BA538</f>
        <v>7769.5</v>
      </c>
      <c r="BB63" s="846">
        <f>+BB538</f>
        <v>7753</v>
      </c>
      <c r="BC63" s="846">
        <f>AVERAGE(T63:W63)</f>
        <v>7687.3923841059604</v>
      </c>
      <c r="BD63" s="846">
        <f>AVERAGE(X63:AA63)</f>
        <v>7607.75</v>
      </c>
      <c r="BE63" s="846">
        <f>AVERAGE(AB63:AE63)</f>
        <v>7540.5</v>
      </c>
      <c r="BF63" s="846">
        <f>+BF62/BF64</f>
        <v>7485.0000000000018</v>
      </c>
    </row>
    <row r="64" spans="2:61">
      <c r="B64" s="12" t="s">
        <v>297</v>
      </c>
      <c r="D64" s="9">
        <f>+D62/D63</f>
        <v>0.4841229589312222</v>
      </c>
      <c r="E64" s="9">
        <f t="shared" ref="E64:BE64" si="104">+E62/E63</f>
        <v>0.59041733946093666</v>
      </c>
      <c r="F64" s="9">
        <f t="shared" si="104"/>
        <v>0.49370695053224795</v>
      </c>
      <c r="G64" s="9">
        <f t="shared" si="104"/>
        <v>0.60253499810821032</v>
      </c>
      <c r="H64" s="9">
        <f t="shared" si="104"/>
        <v>0.56342686642965978</v>
      </c>
      <c r="I64" s="9">
        <f t="shared" si="104"/>
        <v>0.6659386973180077</v>
      </c>
      <c r="J64" s="9">
        <f t="shared" si="104"/>
        <v>0.59018302828618974</v>
      </c>
      <c r="K64" s="9">
        <f t="shared" si="104"/>
        <v>0.68813733025877533</v>
      </c>
      <c r="L64" s="9">
        <f t="shared" si="104"/>
        <v>0.66541864341582257</v>
      </c>
      <c r="M64" s="9">
        <f t="shared" si="104"/>
        <v>0.77300259403372251</v>
      </c>
      <c r="N64" s="9">
        <f t="shared" si="104"/>
        <v>0.87585193738773415</v>
      </c>
      <c r="O64" s="9">
        <f t="shared" si="104"/>
        <v>1.085170418006431</v>
      </c>
      <c r="P64" s="9">
        <f t="shared" si="104"/>
        <v>1.0397360288436777</v>
      </c>
      <c r="Q64" s="9">
        <f t="shared" si="104"/>
        <v>1.0561470133882596</v>
      </c>
      <c r="R64" s="9">
        <f t="shared" si="104"/>
        <v>1.0697236570247934</v>
      </c>
      <c r="S64" s="9">
        <f t="shared" si="104"/>
        <v>1.286635634859064</v>
      </c>
      <c r="T64" s="9">
        <f t="shared" si="104"/>
        <v>1.2998625162127109</v>
      </c>
      <c r="U64" s="9">
        <f t="shared" si="104"/>
        <v>1.4423552665464847</v>
      </c>
      <c r="V64" s="9">
        <f t="shared" si="104"/>
        <v>1.3219504885993487</v>
      </c>
      <c r="W64" s="9">
        <f t="shared" si="104"/>
        <v>1.3860627450980394</v>
      </c>
      <c r="X64" s="9">
        <f t="shared" si="104"/>
        <v>1.667927196543145</v>
      </c>
      <c r="Y64" s="9">
        <f t="shared" si="104"/>
        <v>1.9020785189075631</v>
      </c>
      <c r="Z64" s="9">
        <f t="shared" si="104"/>
        <v>1.792344346452547</v>
      </c>
      <c r="AA64" s="9">
        <f t="shared" si="104"/>
        <v>2.0221540693839866</v>
      </c>
      <c r="AB64" s="9">
        <f t="shared" si="104"/>
        <v>2.1427197039777983</v>
      </c>
      <c r="AC64" s="9">
        <f t="shared" si="104"/>
        <v>2.3543150231634677</v>
      </c>
      <c r="AD64" s="9">
        <f t="shared" si="104"/>
        <v>2.1170825590655693</v>
      </c>
      <c r="AE64" s="9">
        <f t="shared" si="104"/>
        <v>2.1562390087929657</v>
      </c>
      <c r="AF64" s="9">
        <f t="shared" si="104"/>
        <v>2.2768042752171009</v>
      </c>
      <c r="AG64" s="9">
        <f t="shared" si="104"/>
        <v>2.3515640298947895</v>
      </c>
      <c r="AH64" s="9">
        <f t="shared" si="104"/>
        <v>2.1814308800234712</v>
      </c>
      <c r="AI64" s="9">
        <f t="shared" si="104"/>
        <v>2.2840712813199175</v>
      </c>
      <c r="AK64" s="9">
        <f t="shared" si="104"/>
        <v>1.3901221864951769</v>
      </c>
      <c r="AL64" s="9">
        <f t="shared" si="104"/>
        <v>1.5267266881028938</v>
      </c>
      <c r="AM64" s="9">
        <f t="shared" si="104"/>
        <v>1.6804694533762059</v>
      </c>
      <c r="AN64" s="9">
        <f t="shared" si="104"/>
        <v>1.9908810289389067</v>
      </c>
      <c r="AO64" s="9">
        <f t="shared" si="104"/>
        <v>1.6570610932475887</v>
      </c>
      <c r="AP64" s="9">
        <f t="shared" si="104"/>
        <v>2.0911189710610931</v>
      </c>
      <c r="AQ64" s="9">
        <f t="shared" si="104"/>
        <v>2.3467717041800644</v>
      </c>
      <c r="AR64" s="9">
        <f t="shared" si="104"/>
        <v>2.3792926045016078</v>
      </c>
      <c r="AS64" s="9">
        <f t="shared" si="104"/>
        <v>2.3228617363344051</v>
      </c>
      <c r="AT64" s="9">
        <f t="shared" si="104"/>
        <v>2.3364051446945342</v>
      </c>
      <c r="AU64" s="9">
        <f t="shared" si="104"/>
        <v>2.3841414790996787</v>
      </c>
      <c r="AV64" s="9">
        <f t="shared" si="104"/>
        <v>1.8028536772216548</v>
      </c>
      <c r="AW64" s="9">
        <f t="shared" si="104"/>
        <v>1.8188157557095201</v>
      </c>
      <c r="AY64" s="9">
        <f t="shared" si="104"/>
        <v>2.17003338637711</v>
      </c>
      <c r="AZ64" s="9">
        <f t="shared" si="104"/>
        <v>2.507205107741421</v>
      </c>
      <c r="BA64" s="9">
        <f t="shared" si="104"/>
        <v>3.3995804105798313</v>
      </c>
      <c r="BB64" s="9">
        <f t="shared" si="104"/>
        <v>4.4516342061137628</v>
      </c>
      <c r="BC64" s="9">
        <f t="shared" si="104"/>
        <v>5.4502798746980794</v>
      </c>
      <c r="BD64" s="9">
        <f t="shared" si="104"/>
        <v>7.3833367289934611</v>
      </c>
      <c r="BE64" s="9">
        <f t="shared" si="104"/>
        <v>8.7707234268284591</v>
      </c>
      <c r="BF64" s="9">
        <f>SUM(AF64:AI64)</f>
        <v>9.0938704664552787</v>
      </c>
    </row>
    <row r="65" spans="2:59" s="3" customFormat="1">
      <c r="B65" s="15" t="s">
        <v>113</v>
      </c>
      <c r="D65" s="228"/>
      <c r="E65" s="228"/>
      <c r="F65" s="228"/>
      <c r="G65" s="228"/>
      <c r="H65" s="228">
        <f>IFERROR(H64/D64-1,"n/a ")</f>
        <v>0.16380943319340502</v>
      </c>
      <c r="I65" s="228">
        <f t="shared" ref="I65:AI65" si="105">IFERROR(I64/E64-1,"n/a ")</f>
        <v>0.12791182238316989</v>
      </c>
      <c r="J65" s="228">
        <f t="shared" si="105"/>
        <v>0.19541162556033354</v>
      </c>
      <c r="K65" s="228">
        <f t="shared" si="105"/>
        <v>0.14207030698520784</v>
      </c>
      <c r="L65" s="228">
        <f t="shared" si="105"/>
        <v>0.18102043594844419</v>
      </c>
      <c r="M65" s="228">
        <f t="shared" si="105"/>
        <v>0.16077140005063906</v>
      </c>
      <c r="N65" s="228">
        <f t="shared" si="105"/>
        <v>0.48403443577679206</v>
      </c>
      <c r="O65" s="228">
        <f t="shared" si="105"/>
        <v>0.57696780902490885</v>
      </c>
      <c r="P65" s="228">
        <f t="shared" si="105"/>
        <v>0.56252915233386802</v>
      </c>
      <c r="Q65" s="228">
        <f t="shared" si="105"/>
        <v>0.36629168070060159</v>
      </c>
      <c r="R65" s="228">
        <f t="shared" si="105"/>
        <v>0.22135216166249516</v>
      </c>
      <c r="S65" s="228">
        <f t="shared" si="105"/>
        <v>0.18565306749030741</v>
      </c>
      <c r="T65" s="228">
        <f t="shared" si="105"/>
        <v>0.25018512406300641</v>
      </c>
      <c r="U65" s="228">
        <f t="shared" si="105"/>
        <v>0.36567660397885127</v>
      </c>
      <c r="V65" s="228">
        <f t="shared" si="105"/>
        <v>0.23578690619600762</v>
      </c>
      <c r="W65" s="228">
        <f t="shared" si="105"/>
        <v>7.7276819905478966E-2</v>
      </c>
      <c r="X65" s="228">
        <f t="shared" si="105"/>
        <v>0.28315662290411314</v>
      </c>
      <c r="Y65" s="228">
        <f t="shared" si="105"/>
        <v>0.31873094169220906</v>
      </c>
      <c r="Z65" s="228">
        <f t="shared" si="105"/>
        <v>0.35583318884476256</v>
      </c>
      <c r="AA65" s="228">
        <f t="shared" si="105"/>
        <v>0.45891957383282445</v>
      </c>
      <c r="AB65" s="228">
        <f t="shared" si="105"/>
        <v>0.28466021084054649</v>
      </c>
      <c r="AC65" s="228">
        <f t="shared" si="105"/>
        <v>0.23775911444267894</v>
      </c>
      <c r="AD65" s="228">
        <f t="shared" si="105"/>
        <v>0.18118070517852902</v>
      </c>
      <c r="AE65" s="228">
        <f t="shared" si="105"/>
        <v>6.6307973976397205E-2</v>
      </c>
      <c r="AF65" s="228">
        <f t="shared" si="105"/>
        <v>6.2576813472329018E-2</v>
      </c>
      <c r="AG65" s="228">
        <f t="shared" si="105"/>
        <v>-1.1684898756588735E-3</v>
      </c>
      <c r="AH65" s="228">
        <f t="shared" si="105"/>
        <v>3.0394809443002435E-2</v>
      </c>
      <c r="AI65" s="228">
        <f t="shared" si="105"/>
        <v>5.92848343832304E-2</v>
      </c>
      <c r="AJ65" s="228"/>
      <c r="AK65" s="228"/>
      <c r="AL65" s="228">
        <f>IFERROR(AL64/AK64-1,"n/a ")</f>
        <v>9.8267981717584663E-2</v>
      </c>
      <c r="AM65" s="228">
        <f t="shared" ref="AM65:AW65" si="106">IFERROR(AM64/AL64-1,"n/a ")</f>
        <v>0.1007009089913482</v>
      </c>
      <c r="AN65" s="228">
        <f t="shared" si="106"/>
        <v>0.18471717824983824</v>
      </c>
      <c r="AO65" s="228">
        <f t="shared" si="106"/>
        <v>-0.16767447719828654</v>
      </c>
      <c r="AP65" s="228">
        <f t="shared" si="106"/>
        <v>0.26194440240149319</v>
      </c>
      <c r="AQ65" s="228">
        <f t="shared" si="106"/>
        <v>0.12225642665813785</v>
      </c>
      <c r="AR65" s="228">
        <f t="shared" si="106"/>
        <v>1.3857717929535829E-2</v>
      </c>
      <c r="AS65" s="228">
        <f t="shared" si="106"/>
        <v>-2.3717498243148394E-2</v>
      </c>
      <c r="AT65" s="228">
        <f t="shared" si="106"/>
        <v>5.8304840741409958E-3</v>
      </c>
      <c r="AU65" s="228">
        <f t="shared" si="106"/>
        <v>2.0431531112462764E-2</v>
      </c>
      <c r="AV65" s="228">
        <f t="shared" si="106"/>
        <v>-0.24381430673213866</v>
      </c>
      <c r="AW65" s="228">
        <f t="shared" si="106"/>
        <v>8.853784802138831E-3</v>
      </c>
      <c r="AX65" s="228"/>
      <c r="AY65" s="1010">
        <f t="shared" ref="AY65" si="107">+AV65</f>
        <v>-0.24381430673213866</v>
      </c>
      <c r="AZ65" s="1010">
        <f t="shared" ref="AZ65" si="108">+AW65</f>
        <v>8.853784802138831E-3</v>
      </c>
      <c r="BA65" s="228">
        <f t="shared" ref="BA65:BF65" si="109">IFERROR(BA64/AZ64-1,"n/a ")</f>
        <v>0.35592433187179218</v>
      </c>
      <c r="BB65" s="228">
        <f t="shared" si="109"/>
        <v>0.3094657776765144</v>
      </c>
      <c r="BC65" s="228">
        <f t="shared" si="109"/>
        <v>0.22433237376350501</v>
      </c>
      <c r="BD65" s="228">
        <f t="shared" si="109"/>
        <v>0.35467111758228098</v>
      </c>
      <c r="BE65" s="228">
        <f t="shared" si="109"/>
        <v>0.18790781847818216</v>
      </c>
      <c r="BF65" s="228">
        <f t="shared" si="109"/>
        <v>3.6843829625086144E-2</v>
      </c>
    </row>
    <row r="67" spans="2:59">
      <c r="B67" s="847" t="s">
        <v>298</v>
      </c>
      <c r="AS67" s="8"/>
    </row>
    <row r="68" spans="2:59" ht="11.45">
      <c r="B68" s="12" t="s">
        <v>274</v>
      </c>
      <c r="D68" s="10">
        <f t="shared" ref="D68:Y68" si="110">+D17</f>
        <v>0</v>
      </c>
      <c r="E68" s="10">
        <f t="shared" si="110"/>
        <v>0</v>
      </c>
      <c r="F68" s="10">
        <f t="shared" si="110"/>
        <v>0</v>
      </c>
      <c r="G68" s="10">
        <f t="shared" si="110"/>
        <v>0</v>
      </c>
      <c r="H68" s="10">
        <f t="shared" si="110"/>
        <v>0</v>
      </c>
      <c r="I68" s="10">
        <f t="shared" si="110"/>
        <v>0</v>
      </c>
      <c r="J68" s="10">
        <f t="shared" si="110"/>
        <v>0</v>
      </c>
      <c r="K68" s="10">
        <f t="shared" si="110"/>
        <v>0</v>
      </c>
      <c r="L68" s="10">
        <f t="shared" si="110"/>
        <v>0</v>
      </c>
      <c r="M68" s="10">
        <f t="shared" si="110"/>
        <v>0</v>
      </c>
      <c r="N68" s="10">
        <f t="shared" si="110"/>
        <v>0</v>
      </c>
      <c r="O68" s="10">
        <f t="shared" si="110"/>
        <v>0</v>
      </c>
      <c r="P68" s="10">
        <f t="shared" si="110"/>
        <v>0</v>
      </c>
      <c r="Q68" s="10">
        <f t="shared" si="110"/>
        <v>0</v>
      </c>
      <c r="R68" s="10">
        <f t="shared" si="110"/>
        <v>0</v>
      </c>
      <c r="S68" s="10">
        <f t="shared" si="110"/>
        <v>0</v>
      </c>
      <c r="T68" s="10">
        <f t="shared" si="110"/>
        <v>0</v>
      </c>
      <c r="U68" s="10">
        <f t="shared" si="110"/>
        <v>0</v>
      </c>
      <c r="V68" s="10">
        <f t="shared" si="110"/>
        <v>0</v>
      </c>
      <c r="W68" s="10">
        <f t="shared" si="110"/>
        <v>0</v>
      </c>
      <c r="X68" s="10">
        <f t="shared" si="110"/>
        <v>0</v>
      </c>
      <c r="Y68" s="10">
        <f t="shared" si="110"/>
        <v>0</v>
      </c>
      <c r="Z68" s="10">
        <v>0</v>
      </c>
      <c r="AA68" s="10">
        <v>0</v>
      </c>
      <c r="AB68" s="10">
        <v>0</v>
      </c>
      <c r="AC68" s="10">
        <v>0</v>
      </c>
      <c r="AD68" s="10">
        <v>0</v>
      </c>
      <c r="AE68" s="10">
        <v>0</v>
      </c>
      <c r="AF68" s="10">
        <v>0</v>
      </c>
      <c r="AG68" s="10">
        <v>0</v>
      </c>
      <c r="AH68" s="10">
        <v>0</v>
      </c>
      <c r="AI68" s="10">
        <v>0</v>
      </c>
      <c r="AK68" s="10">
        <f t="shared" ref="AK68:AW68" si="111">+AK17</f>
        <v>0</v>
      </c>
      <c r="AL68" s="10">
        <f t="shared" si="111"/>
        <v>0</v>
      </c>
      <c r="AM68" s="10">
        <f t="shared" si="111"/>
        <v>0</v>
      </c>
      <c r="AN68" s="10">
        <f t="shared" si="111"/>
        <v>0</v>
      </c>
      <c r="AO68" s="10">
        <f t="shared" si="111"/>
        <v>0</v>
      </c>
      <c r="AP68" s="10">
        <f t="shared" si="111"/>
        <v>0</v>
      </c>
      <c r="AQ68" s="10">
        <f t="shared" si="111"/>
        <v>0</v>
      </c>
      <c r="AR68" s="10">
        <f t="shared" si="111"/>
        <v>540</v>
      </c>
      <c r="AS68" s="10">
        <f t="shared" si="111"/>
        <v>-540</v>
      </c>
      <c r="AT68" s="10">
        <f t="shared" si="111"/>
        <v>0</v>
      </c>
      <c r="AU68" s="10">
        <f t="shared" si="111"/>
        <v>0</v>
      </c>
      <c r="AV68" s="10">
        <f t="shared" si="111"/>
        <v>6643</v>
      </c>
      <c r="AW68" s="10">
        <f t="shared" si="111"/>
        <v>6707</v>
      </c>
      <c r="AY68" s="10">
        <f>+AY17</f>
        <v>0</v>
      </c>
      <c r="AZ68" s="10">
        <f>+AZ17</f>
        <v>0</v>
      </c>
      <c r="BA68" s="10">
        <f>+BA17</f>
        <v>0</v>
      </c>
      <c r="BB68" s="10">
        <f>+BB17</f>
        <v>0</v>
      </c>
      <c r="BC68" s="10">
        <f>SUM(T68:W68)</f>
        <v>0</v>
      </c>
      <c r="BD68" s="10">
        <f>SUM(X68:AA68)</f>
        <v>0</v>
      </c>
      <c r="BE68" s="10">
        <f>SUM(AB68:AE68)</f>
        <v>0</v>
      </c>
      <c r="BF68" s="10">
        <f>SUM(AF68:AI68)</f>
        <v>0</v>
      </c>
    </row>
    <row r="69" spans="2:59">
      <c r="B69" s="17" t="s">
        <v>299</v>
      </c>
      <c r="D69" s="8">
        <f t="shared" ref="D69:AI69" si="112">+D44+D68</f>
        <v>6316</v>
      </c>
      <c r="E69" s="8">
        <f t="shared" si="112"/>
        <v>7489</v>
      </c>
      <c r="F69" s="8">
        <f t="shared" si="112"/>
        <v>6277</v>
      </c>
      <c r="G69" s="8">
        <f t="shared" si="112"/>
        <v>7106</v>
      </c>
      <c r="H69" s="8">
        <f t="shared" si="112"/>
        <v>6715</v>
      </c>
      <c r="I69" s="8">
        <f t="shared" si="112"/>
        <v>7905</v>
      </c>
      <c r="J69" s="8">
        <f t="shared" si="112"/>
        <v>6723</v>
      </c>
      <c r="K69" s="8">
        <f t="shared" si="112"/>
        <v>7988</v>
      </c>
      <c r="L69" s="8">
        <f t="shared" si="112"/>
        <v>7708</v>
      </c>
      <c r="M69" s="8">
        <f t="shared" si="112"/>
        <v>8679</v>
      </c>
      <c r="N69" s="8">
        <f t="shared" si="112"/>
        <v>8292</v>
      </c>
      <c r="O69" s="8">
        <f t="shared" si="112"/>
        <v>10379</v>
      </c>
      <c r="P69" s="8">
        <f t="shared" si="112"/>
        <v>9955</v>
      </c>
      <c r="Q69" s="8">
        <f t="shared" si="112"/>
        <v>10258</v>
      </c>
      <c r="R69" s="8">
        <f t="shared" si="112"/>
        <v>10341</v>
      </c>
      <c r="S69" s="8">
        <f t="shared" si="112"/>
        <v>12405</v>
      </c>
      <c r="T69" s="8">
        <f t="shared" si="112"/>
        <v>12686</v>
      </c>
      <c r="U69" s="8">
        <f t="shared" si="112"/>
        <v>13891</v>
      </c>
      <c r="V69" s="8">
        <f t="shared" si="112"/>
        <v>12975</v>
      </c>
      <c r="W69" s="8">
        <f t="shared" si="112"/>
        <v>13407</v>
      </c>
      <c r="X69" s="8">
        <f t="shared" si="112"/>
        <v>15876</v>
      </c>
      <c r="Y69" s="8">
        <f t="shared" si="112"/>
        <v>17897</v>
      </c>
      <c r="Z69" s="8">
        <f t="shared" si="112"/>
        <v>17048</v>
      </c>
      <c r="AA69" s="8">
        <f t="shared" si="112"/>
        <v>19095</v>
      </c>
      <c r="AB69" s="8">
        <f t="shared" si="112"/>
        <v>20238</v>
      </c>
      <c r="AC69" s="8">
        <f t="shared" si="112"/>
        <v>22247</v>
      </c>
      <c r="AD69" s="8">
        <f t="shared" si="112"/>
        <v>20364</v>
      </c>
      <c r="AE69" s="8">
        <f t="shared" si="112"/>
        <v>20534</v>
      </c>
      <c r="AF69" s="8">
        <f t="shared" si="112"/>
        <v>21518</v>
      </c>
      <c r="AG69" s="8">
        <f t="shared" si="112"/>
        <v>22280.325017420888</v>
      </c>
      <c r="AH69" s="8">
        <f t="shared" si="112"/>
        <v>20668.367261994536</v>
      </c>
      <c r="AI69" s="8">
        <f t="shared" si="112"/>
        <v>21640.852583138716</v>
      </c>
      <c r="AK69" s="8">
        <f t="shared" ref="AK69:AW69" si="113">+AK44+AK68</f>
        <v>14576</v>
      </c>
      <c r="AL69" s="8">
        <f t="shared" si="113"/>
        <v>16380</v>
      </c>
      <c r="AM69" s="8">
        <f t="shared" si="113"/>
        <v>18438</v>
      </c>
      <c r="AN69" s="8">
        <f t="shared" si="113"/>
        <v>22271</v>
      </c>
      <c r="AO69" s="8">
        <f t="shared" si="113"/>
        <v>20363</v>
      </c>
      <c r="AP69" s="8">
        <f t="shared" si="113"/>
        <v>24098</v>
      </c>
      <c r="AQ69" s="8">
        <f t="shared" si="113"/>
        <v>27161</v>
      </c>
      <c r="AR69" s="8">
        <f t="shared" si="113"/>
        <v>28496</v>
      </c>
      <c r="AS69" s="8">
        <f t="shared" si="113"/>
        <v>26957</v>
      </c>
      <c r="AT69" s="8">
        <f t="shared" si="113"/>
        <v>27886</v>
      </c>
      <c r="AU69" s="8">
        <f t="shared" si="113"/>
        <v>28172</v>
      </c>
      <c r="AV69" s="8">
        <f t="shared" si="113"/>
        <v>27935</v>
      </c>
      <c r="AW69" s="8">
        <f t="shared" si="113"/>
        <v>29339</v>
      </c>
      <c r="AY69" s="8">
        <f t="shared" ref="AY69:BF69" si="114">+AY44+AY68</f>
        <v>27188</v>
      </c>
      <c r="AZ69" s="8">
        <f t="shared" si="114"/>
        <v>29331</v>
      </c>
      <c r="BA69" s="8">
        <f t="shared" si="114"/>
        <v>35058</v>
      </c>
      <c r="BB69" s="8">
        <f t="shared" si="114"/>
        <v>42959</v>
      </c>
      <c r="BC69" s="8">
        <f t="shared" si="114"/>
        <v>52959</v>
      </c>
      <c r="BD69" s="8">
        <f t="shared" si="114"/>
        <v>69916</v>
      </c>
      <c r="BE69" s="8">
        <f t="shared" si="114"/>
        <v>83383</v>
      </c>
      <c r="BF69" s="8">
        <f t="shared" si="114"/>
        <v>86107.544862554147</v>
      </c>
    </row>
    <row r="70" spans="2:59" s="3" customFormat="1">
      <c r="B70" s="19" t="s">
        <v>113</v>
      </c>
      <c r="D70" s="228"/>
      <c r="E70" s="228"/>
      <c r="F70" s="228"/>
      <c r="G70" s="228"/>
      <c r="H70" s="228">
        <f>IFERROR(H69/D69-1,"n/a ")</f>
        <v>6.317289423685879E-2</v>
      </c>
      <c r="I70" s="228">
        <f t="shared" ref="I70:AI70" si="115">IFERROR(I69/E69-1,"n/a ")</f>
        <v>5.5548137267993125E-2</v>
      </c>
      <c r="J70" s="228">
        <f t="shared" si="115"/>
        <v>7.1053050820455654E-2</v>
      </c>
      <c r="K70" s="228">
        <f t="shared" si="115"/>
        <v>0.12412046158176193</v>
      </c>
      <c r="L70" s="228">
        <f t="shared" si="115"/>
        <v>0.14787788533134782</v>
      </c>
      <c r="M70" s="228">
        <f t="shared" si="115"/>
        <v>9.7912713472485757E-2</v>
      </c>
      <c r="N70" s="228">
        <f t="shared" si="115"/>
        <v>0.23337795626952262</v>
      </c>
      <c r="O70" s="228">
        <f t="shared" si="115"/>
        <v>0.29932398597896848</v>
      </c>
      <c r="P70" s="228">
        <f t="shared" si="115"/>
        <v>0.29151530877010901</v>
      </c>
      <c r="Q70" s="228">
        <f t="shared" si="115"/>
        <v>0.18193340246572176</v>
      </c>
      <c r="R70" s="228">
        <f t="shared" si="115"/>
        <v>0.2471056439942112</v>
      </c>
      <c r="S70" s="228">
        <f t="shared" si="115"/>
        <v>0.19520184988919942</v>
      </c>
      <c r="T70" s="228">
        <f t="shared" si="115"/>
        <v>0.27433450527373182</v>
      </c>
      <c r="U70" s="228">
        <f t="shared" si="115"/>
        <v>0.3541626047962565</v>
      </c>
      <c r="V70" s="228">
        <f t="shared" si="115"/>
        <v>0.25471424427038003</v>
      </c>
      <c r="W70" s="228">
        <f t="shared" si="115"/>
        <v>8.0773881499395461E-2</v>
      </c>
      <c r="X70" s="228">
        <f t="shared" si="115"/>
        <v>0.25145830048872764</v>
      </c>
      <c r="Y70" s="228">
        <f t="shared" si="115"/>
        <v>0.28838816499892017</v>
      </c>
      <c r="Z70" s="228">
        <f t="shared" si="115"/>
        <v>0.31391136801541419</v>
      </c>
      <c r="AA70" s="228">
        <f t="shared" si="115"/>
        <v>0.42425598567912282</v>
      </c>
      <c r="AB70" s="228">
        <f t="shared" si="115"/>
        <v>0.27475434618291761</v>
      </c>
      <c r="AC70" s="228">
        <f t="shared" si="115"/>
        <v>0.24305749566966539</v>
      </c>
      <c r="AD70" s="228">
        <f t="shared" si="115"/>
        <v>0.19450961989676219</v>
      </c>
      <c r="AE70" s="228">
        <f t="shared" si="115"/>
        <v>7.5360041895784269E-2</v>
      </c>
      <c r="AF70" s="228">
        <f t="shared" si="115"/>
        <v>6.3247356458147941E-2</v>
      </c>
      <c r="AG70" s="228">
        <f t="shared" si="115"/>
        <v>1.4979555634866415E-3</v>
      </c>
      <c r="AH70" s="228">
        <f t="shared" si="115"/>
        <v>1.4946339716879642E-2</v>
      </c>
      <c r="AI70" s="228">
        <f t="shared" si="115"/>
        <v>5.3903408159088118E-2</v>
      </c>
      <c r="AJ70" s="228"/>
      <c r="AK70" s="228"/>
      <c r="AL70" s="228">
        <f>IFERROR(AL69/AK69-1,"n/a ")</f>
        <v>0.12376509330406149</v>
      </c>
      <c r="AM70" s="228">
        <f t="shared" ref="AM70:AW70" si="116">IFERROR(AM69/AL69-1,"n/a ")</f>
        <v>0.12564102564102564</v>
      </c>
      <c r="AN70" s="228">
        <f t="shared" si="116"/>
        <v>0.2078858878403298</v>
      </c>
      <c r="AO70" s="228">
        <f t="shared" si="116"/>
        <v>-8.5671950069597269E-2</v>
      </c>
      <c r="AP70" s="228">
        <f t="shared" si="116"/>
        <v>0.18342091047488096</v>
      </c>
      <c r="AQ70" s="228">
        <f t="shared" si="116"/>
        <v>0.12710598389907868</v>
      </c>
      <c r="AR70" s="228">
        <f t="shared" si="116"/>
        <v>4.9151356724715489E-2</v>
      </c>
      <c r="AS70" s="228">
        <f t="shared" si="116"/>
        <v>-5.4007580011229628E-2</v>
      </c>
      <c r="AT70" s="228">
        <f t="shared" si="116"/>
        <v>3.4462291798048827E-2</v>
      </c>
      <c r="AU70" s="228">
        <f t="shared" si="116"/>
        <v>1.025604245858136E-2</v>
      </c>
      <c r="AV70" s="228">
        <f t="shared" si="116"/>
        <v>-8.4126082635240795E-3</v>
      </c>
      <c r="AW70" s="228">
        <f t="shared" si="116"/>
        <v>5.0259531054233086E-2</v>
      </c>
      <c r="AX70" s="228"/>
      <c r="AY70" s="1010">
        <f t="shared" ref="AY70" si="117">+AV70</f>
        <v>-8.4126082635240795E-3</v>
      </c>
      <c r="AZ70" s="1010">
        <f t="shared" ref="AZ70" si="118">+AW70</f>
        <v>5.0259531054233086E-2</v>
      </c>
      <c r="BA70" s="228">
        <f t="shared" ref="BA70:BF70" si="119">IFERROR(BA69/AZ69-1,"n/a ")</f>
        <v>0.19525416794517736</v>
      </c>
      <c r="BB70" s="228">
        <f t="shared" si="119"/>
        <v>0.22536938787152727</v>
      </c>
      <c r="BC70" s="228">
        <f t="shared" si="119"/>
        <v>0.23278009264647692</v>
      </c>
      <c r="BD70" s="228">
        <f t="shared" si="119"/>
        <v>0.3201910912215109</v>
      </c>
      <c r="BE70" s="228">
        <f t="shared" si="119"/>
        <v>0.19261685451112753</v>
      </c>
      <c r="BF70" s="228">
        <f t="shared" si="119"/>
        <v>3.2675064012498201E-2</v>
      </c>
    </row>
    <row r="71" spans="2:59" s="3" customFormat="1">
      <c r="B71" s="19" t="s">
        <v>115</v>
      </c>
      <c r="D71" s="228">
        <f t="shared" ref="D71:AI71" si="120">IFERROR(D69/D18,"n/a ")</f>
        <v>0.30205643232902918</v>
      </c>
      <c r="E71" s="228">
        <f t="shared" si="120"/>
        <v>0.29655882469409572</v>
      </c>
      <c r="F71" s="228">
        <f t="shared" si="120"/>
        <v>0.29172282381372866</v>
      </c>
      <c r="G71" s="228">
        <f t="shared" si="120"/>
        <v>0.30271790065604498</v>
      </c>
      <c r="H71" s="228">
        <f t="shared" si="120"/>
        <v>0.30622947829259395</v>
      </c>
      <c r="I71" s="228">
        <f t="shared" si="120"/>
        <v>0.30608688918144505</v>
      </c>
      <c r="J71" s="228">
        <f t="shared" si="120"/>
        <v>0.28963467172152335</v>
      </c>
      <c r="K71" s="228">
        <f t="shared" si="120"/>
        <v>0.31197031829720756</v>
      </c>
      <c r="L71" s="228">
        <f t="shared" si="120"/>
        <v>0.3141250305648382</v>
      </c>
      <c r="M71" s="228">
        <f t="shared" si="120"/>
        <v>0.30012448993706342</v>
      </c>
      <c r="N71" s="228">
        <f t="shared" si="120"/>
        <v>0.30918378761325926</v>
      </c>
      <c r="O71" s="228">
        <f t="shared" si="120"/>
        <v>0.3449891972743892</v>
      </c>
      <c r="P71" s="228">
        <f t="shared" si="120"/>
        <v>0.34228441754916794</v>
      </c>
      <c r="Q71" s="228">
        <f t="shared" si="120"/>
        <v>0.3159126605278556</v>
      </c>
      <c r="R71" s="228">
        <f t="shared" si="120"/>
        <v>0.3382617513329626</v>
      </c>
      <c r="S71" s="228">
        <f t="shared" si="120"/>
        <v>0.3679152949550672</v>
      </c>
      <c r="T71" s="228">
        <f t="shared" si="120"/>
        <v>0.38378460142187265</v>
      </c>
      <c r="U71" s="228">
        <f t="shared" si="120"/>
        <v>0.37638866309001245</v>
      </c>
      <c r="V71" s="228">
        <f t="shared" si="120"/>
        <v>0.37049199051997372</v>
      </c>
      <c r="W71" s="228">
        <f t="shared" si="120"/>
        <v>0.35250966266137301</v>
      </c>
      <c r="X71" s="228">
        <f t="shared" si="120"/>
        <v>0.42730257845723207</v>
      </c>
      <c r="Y71" s="228">
        <f t="shared" si="120"/>
        <v>0.41547497446373849</v>
      </c>
      <c r="Z71" s="228">
        <f t="shared" si="120"/>
        <v>0.40876612477820939</v>
      </c>
      <c r="AA71" s="228">
        <f t="shared" si="120"/>
        <v>0.41374154966198645</v>
      </c>
      <c r="AB71" s="228">
        <f t="shared" si="120"/>
        <v>0.44658737339188381</v>
      </c>
      <c r="AC71" s="228">
        <f t="shared" si="120"/>
        <v>0.43007655428394681</v>
      </c>
      <c r="AD71" s="228">
        <f t="shared" si="120"/>
        <v>0.41256077795786061</v>
      </c>
      <c r="AE71" s="228">
        <f t="shared" si="120"/>
        <v>0.3959124650535043</v>
      </c>
      <c r="AF71" s="228">
        <f t="shared" si="120"/>
        <v>0.42931247755476637</v>
      </c>
      <c r="AG71" s="228">
        <f t="shared" si="120"/>
        <v>0.41576508625761166</v>
      </c>
      <c r="AH71" s="228">
        <f t="shared" si="120"/>
        <v>0.400784562589513</v>
      </c>
      <c r="AI71" s="228">
        <f t="shared" si="120"/>
        <v>0.3907500947808078</v>
      </c>
      <c r="AJ71" s="228"/>
      <c r="AK71" s="228">
        <f t="shared" ref="AK71:AW71" si="121">IFERROR(AK69/AK18,"n/a ")</f>
        <v>0.36634161053583997</v>
      </c>
      <c r="AL71" s="228">
        <f t="shared" si="121"/>
        <v>0.36990199177995575</v>
      </c>
      <c r="AM71" s="228">
        <f t="shared" si="121"/>
        <v>0.3606666405852666</v>
      </c>
      <c r="AN71" s="228">
        <f t="shared" si="121"/>
        <v>0.36860311155246606</v>
      </c>
      <c r="AO71" s="228">
        <f t="shared" si="121"/>
        <v>0.348460735492924</v>
      </c>
      <c r="AP71" s="228">
        <f t="shared" si="121"/>
        <v>0.38566673068305485</v>
      </c>
      <c r="AQ71" s="228">
        <f t="shared" si="121"/>
        <v>0.38833049769097694</v>
      </c>
      <c r="AR71" s="228">
        <f t="shared" si="121"/>
        <v>0.38371732895250665</v>
      </c>
      <c r="AS71" s="228">
        <f t="shared" si="121"/>
        <v>0.34869161417170058</v>
      </c>
      <c r="AT71" s="228">
        <f t="shared" si="121"/>
        <v>0.32114518673776099</v>
      </c>
      <c r="AU71" s="228">
        <f t="shared" si="121"/>
        <v>0.30104723231459712</v>
      </c>
      <c r="AV71" s="228">
        <f t="shared" si="121"/>
        <v>0.30376347009123233</v>
      </c>
      <c r="AW71" s="228">
        <f t="shared" si="121"/>
        <v>0.30353725027675182</v>
      </c>
      <c r="AX71" s="228"/>
      <c r="AY71" s="1010">
        <f t="shared" ref="AY71" si="122">+AV71</f>
        <v>0.30376347009123233</v>
      </c>
      <c r="AZ71" s="1010">
        <f t="shared" ref="AZ71" si="123">+AW71</f>
        <v>0.30353725027675182</v>
      </c>
      <c r="BA71" s="228">
        <f t="shared" ref="BA71:BF71" si="124">IFERROR(BA69/BA18,"n/a ")</f>
        <v>0.31766944545125048</v>
      </c>
      <c r="BB71" s="228">
        <f t="shared" si="124"/>
        <v>0.3413698020549415</v>
      </c>
      <c r="BC71" s="228">
        <f t="shared" si="124"/>
        <v>0.37030381428521486</v>
      </c>
      <c r="BD71" s="228">
        <f t="shared" si="124"/>
        <v>0.41594878872971303</v>
      </c>
      <c r="BE71" s="228">
        <f t="shared" si="124"/>
        <v>0.4205527815604983</v>
      </c>
      <c r="BF71" s="228">
        <f t="shared" si="124"/>
        <v>0.4087447800188268</v>
      </c>
      <c r="BG71" s="989"/>
    </row>
    <row r="72" spans="2:59">
      <c r="B72" s="17"/>
    </row>
    <row r="73" spans="2:59" ht="11.45">
      <c r="B73" s="12" t="s">
        <v>1187</v>
      </c>
      <c r="D73" s="10">
        <f t="shared" ref="D73:AF73" si="125">+D579</f>
        <v>1461</v>
      </c>
      <c r="E73" s="10">
        <f t="shared" si="125"/>
        <v>1544</v>
      </c>
      <c r="F73" s="10">
        <f t="shared" si="125"/>
        <v>1707</v>
      </c>
      <c r="G73" s="10">
        <f t="shared" si="125"/>
        <v>1910</v>
      </c>
      <c r="H73" s="10">
        <f t="shared" si="125"/>
        <v>1816</v>
      </c>
      <c r="I73" s="10">
        <f t="shared" si="125"/>
        <v>2166</v>
      </c>
      <c r="J73" s="10">
        <f t="shared" si="125"/>
        <v>2453</v>
      </c>
      <c r="K73" s="10">
        <f t="shared" si="125"/>
        <v>2343</v>
      </c>
      <c r="L73" s="10">
        <f t="shared" si="125"/>
        <v>2499</v>
      </c>
      <c r="M73" s="10">
        <f t="shared" si="125"/>
        <v>2536</v>
      </c>
      <c r="N73" s="10">
        <f t="shared" si="125"/>
        <v>2710</v>
      </c>
      <c r="O73" s="10">
        <f t="shared" si="125"/>
        <v>2516</v>
      </c>
      <c r="P73" s="10">
        <f t="shared" si="125"/>
        <v>2837</v>
      </c>
      <c r="Q73" s="10">
        <f t="shared" si="125"/>
        <v>2995</v>
      </c>
      <c r="R73" s="10">
        <f t="shared" si="125"/>
        <v>2926</v>
      </c>
      <c r="S73" s="10">
        <f t="shared" si="125"/>
        <v>2924</v>
      </c>
      <c r="T73" s="10">
        <f t="shared" si="125"/>
        <v>2971</v>
      </c>
      <c r="U73" s="10">
        <f t="shared" si="125"/>
        <v>3203</v>
      </c>
      <c r="V73" s="10">
        <f t="shared" si="125"/>
        <v>3118</v>
      </c>
      <c r="W73" s="10">
        <f t="shared" si="125"/>
        <v>3504</v>
      </c>
      <c r="X73" s="10">
        <f t="shared" si="125"/>
        <v>2645</v>
      </c>
      <c r="Y73" s="10">
        <f t="shared" si="125"/>
        <v>2761</v>
      </c>
      <c r="Z73" s="34">
        <f t="shared" si="125"/>
        <v>2936</v>
      </c>
      <c r="AA73" s="34">
        <f t="shared" si="125"/>
        <v>3344</v>
      </c>
      <c r="AB73" s="34">
        <f t="shared" si="125"/>
        <v>3212</v>
      </c>
      <c r="AC73" s="34">
        <f t="shared" si="125"/>
        <v>3496</v>
      </c>
      <c r="AD73" s="34">
        <f t="shared" si="125"/>
        <v>3773</v>
      </c>
      <c r="AE73" s="34">
        <f t="shared" si="125"/>
        <v>3979</v>
      </c>
      <c r="AF73" s="34">
        <f t="shared" si="125"/>
        <v>2790</v>
      </c>
      <c r="AG73" s="58">
        <f>+(AC73/AC12+0.25%)*AG12-1000</f>
        <v>2755.7282837734333</v>
      </c>
      <c r="AH73" s="58">
        <f>+(AD73/AD12+0.25%)*AH12-900</f>
        <v>3170.835645264202</v>
      </c>
      <c r="AI73" s="58">
        <f>+(AE73/AE12+0.25%)*AI12-800</f>
        <v>3587.3406966374005</v>
      </c>
      <c r="AK73" s="10">
        <f t="shared" ref="AK73:AW73" si="126">+AK579</f>
        <v>855</v>
      </c>
      <c r="AL73" s="10">
        <f t="shared" si="126"/>
        <v>903</v>
      </c>
      <c r="AM73" s="10">
        <f t="shared" si="126"/>
        <v>1440</v>
      </c>
      <c r="AN73" s="10">
        <f t="shared" si="126"/>
        <v>2056</v>
      </c>
      <c r="AO73" s="10">
        <f t="shared" si="126"/>
        <v>2562</v>
      </c>
      <c r="AP73" s="10">
        <f t="shared" si="126"/>
        <v>2673</v>
      </c>
      <c r="AQ73" s="10">
        <f t="shared" si="126"/>
        <v>2766</v>
      </c>
      <c r="AR73" s="10">
        <f t="shared" si="126"/>
        <v>2967</v>
      </c>
      <c r="AS73" s="10">
        <f t="shared" si="126"/>
        <v>3755</v>
      </c>
      <c r="AT73" s="10">
        <f t="shared" si="126"/>
        <v>5212</v>
      </c>
      <c r="AU73" s="10">
        <f t="shared" si="126"/>
        <v>5957</v>
      </c>
      <c r="AV73" s="10">
        <f t="shared" si="126"/>
        <v>6622</v>
      </c>
      <c r="AW73" s="10">
        <f t="shared" si="126"/>
        <v>8778</v>
      </c>
      <c r="AY73" s="10">
        <f>+AV73</f>
        <v>6622</v>
      </c>
      <c r="AZ73" s="10">
        <f>+AZ579</f>
        <v>8778</v>
      </c>
      <c r="BA73" s="10">
        <f>+BA579</f>
        <v>10261</v>
      </c>
      <c r="BB73" s="10">
        <f>+BB579</f>
        <v>11682</v>
      </c>
      <c r="BC73" s="10">
        <f>SUM(T73:W73)</f>
        <v>12796</v>
      </c>
      <c r="BD73" s="10">
        <f>SUM(X73:AA73)</f>
        <v>11686</v>
      </c>
      <c r="BE73" s="10">
        <f>SUM(AB73:AE73)</f>
        <v>14460</v>
      </c>
      <c r="BF73" s="10">
        <f>SUM(AF73:AI73)</f>
        <v>12303.904625675035</v>
      </c>
    </row>
    <row r="74" spans="2:59" s="1" customFormat="1" ht="10.5">
      <c r="B74" s="848" t="s">
        <v>1188</v>
      </c>
      <c r="D74" s="838">
        <f>+D69+D73</f>
        <v>7777</v>
      </c>
      <c r="E74" s="838">
        <f t="shared" ref="E74:AW74" si="127">+E69+E73</f>
        <v>9033</v>
      </c>
      <c r="F74" s="838">
        <f t="shared" si="127"/>
        <v>7984</v>
      </c>
      <c r="G74" s="838">
        <f t="shared" si="127"/>
        <v>9016</v>
      </c>
      <c r="H74" s="838">
        <f t="shared" si="127"/>
        <v>8531</v>
      </c>
      <c r="I74" s="838">
        <f t="shared" si="127"/>
        <v>10071</v>
      </c>
      <c r="J74" s="838">
        <f t="shared" si="127"/>
        <v>9176</v>
      </c>
      <c r="K74" s="838">
        <f t="shared" si="127"/>
        <v>10331</v>
      </c>
      <c r="L74" s="838">
        <f t="shared" si="127"/>
        <v>10207</v>
      </c>
      <c r="M74" s="838">
        <f t="shared" si="127"/>
        <v>11215</v>
      </c>
      <c r="N74" s="838">
        <f t="shared" si="127"/>
        <v>11002</v>
      </c>
      <c r="O74" s="838">
        <f t="shared" si="127"/>
        <v>12895</v>
      </c>
      <c r="P74" s="838">
        <f t="shared" si="127"/>
        <v>12792</v>
      </c>
      <c r="Q74" s="838">
        <f t="shared" si="127"/>
        <v>13253</v>
      </c>
      <c r="R74" s="838">
        <f t="shared" si="127"/>
        <v>13267</v>
      </c>
      <c r="S74" s="838">
        <f t="shared" si="127"/>
        <v>15329</v>
      </c>
      <c r="T74" s="838">
        <f t="shared" si="127"/>
        <v>15657</v>
      </c>
      <c r="U74" s="838">
        <f t="shared" si="127"/>
        <v>17094</v>
      </c>
      <c r="V74" s="838">
        <f t="shared" si="127"/>
        <v>16093</v>
      </c>
      <c r="W74" s="838">
        <f t="shared" si="127"/>
        <v>16911</v>
      </c>
      <c r="X74" s="838">
        <f t="shared" si="127"/>
        <v>18521</v>
      </c>
      <c r="Y74" s="838">
        <f t="shared" si="127"/>
        <v>20658</v>
      </c>
      <c r="Z74" s="838">
        <f t="shared" si="127"/>
        <v>19984</v>
      </c>
      <c r="AA74" s="838">
        <f t="shared" si="127"/>
        <v>22439</v>
      </c>
      <c r="AB74" s="838">
        <f t="shared" si="127"/>
        <v>23450</v>
      </c>
      <c r="AC74" s="838">
        <f t="shared" si="127"/>
        <v>25743</v>
      </c>
      <c r="AD74" s="838">
        <f t="shared" si="127"/>
        <v>24137</v>
      </c>
      <c r="AE74" s="838">
        <f t="shared" si="127"/>
        <v>24513</v>
      </c>
      <c r="AF74" s="838">
        <f t="shared" si="127"/>
        <v>24308</v>
      </c>
      <c r="AG74" s="838">
        <f t="shared" si="127"/>
        <v>25036.053301194323</v>
      </c>
      <c r="AH74" s="838">
        <f t="shared" si="127"/>
        <v>23839.202907258739</v>
      </c>
      <c r="AI74" s="838">
        <f t="shared" si="127"/>
        <v>25228.193279776118</v>
      </c>
      <c r="AK74" s="838">
        <f t="shared" si="127"/>
        <v>15431</v>
      </c>
      <c r="AL74" s="838">
        <f t="shared" si="127"/>
        <v>17283</v>
      </c>
      <c r="AM74" s="838">
        <f t="shared" si="127"/>
        <v>19878</v>
      </c>
      <c r="AN74" s="838">
        <f t="shared" si="127"/>
        <v>24327</v>
      </c>
      <c r="AO74" s="838">
        <f t="shared" si="127"/>
        <v>22925</v>
      </c>
      <c r="AP74" s="838">
        <f t="shared" si="127"/>
        <v>26771</v>
      </c>
      <c r="AQ74" s="838">
        <f t="shared" si="127"/>
        <v>29927</v>
      </c>
      <c r="AR74" s="838">
        <f t="shared" si="127"/>
        <v>31463</v>
      </c>
      <c r="AS74" s="838">
        <f t="shared" si="127"/>
        <v>30712</v>
      </c>
      <c r="AT74" s="838">
        <f t="shared" si="127"/>
        <v>33098</v>
      </c>
      <c r="AU74" s="838">
        <f t="shared" si="127"/>
        <v>34129</v>
      </c>
      <c r="AV74" s="838">
        <f t="shared" si="127"/>
        <v>34557</v>
      </c>
      <c r="AW74" s="838">
        <f t="shared" si="127"/>
        <v>38117</v>
      </c>
      <c r="AY74" s="838">
        <f t="shared" ref="AY74:BB74" si="128">+AY69+AY73</f>
        <v>33810</v>
      </c>
      <c r="AZ74" s="838">
        <f t="shared" si="128"/>
        <v>38109</v>
      </c>
      <c r="BA74" s="838">
        <f t="shared" si="128"/>
        <v>45319</v>
      </c>
      <c r="BB74" s="838">
        <f t="shared" si="128"/>
        <v>54641</v>
      </c>
      <c r="BC74" s="849">
        <f>SUM(T74:W74)</f>
        <v>65755</v>
      </c>
      <c r="BD74" s="849">
        <f>SUM(X74:AA74)</f>
        <v>81602</v>
      </c>
      <c r="BE74" s="849">
        <f>SUM(AB74:AE74)</f>
        <v>97843</v>
      </c>
      <c r="BF74" s="849">
        <f>SUM(AF74:AI74)</f>
        <v>98411.449488229176</v>
      </c>
    </row>
    <row r="75" spans="2:59" s="7" customFormat="1">
      <c r="B75" s="850" t="s">
        <v>113</v>
      </c>
      <c r="D75" s="842"/>
      <c r="E75" s="842"/>
      <c r="F75" s="842"/>
      <c r="G75" s="842"/>
      <c r="H75" s="842">
        <f>IFERROR(H74/D74-1,"n/a ")</f>
        <v>9.6952552398096969E-2</v>
      </c>
      <c r="I75" s="842">
        <f t="shared" ref="I75:AI75" si="129">IFERROR(I74/E74-1,"n/a ")</f>
        <v>0.11491198937230163</v>
      </c>
      <c r="J75" s="842">
        <f t="shared" si="129"/>
        <v>0.14929859719438876</v>
      </c>
      <c r="K75" s="842">
        <f t="shared" si="129"/>
        <v>0.145851818988465</v>
      </c>
      <c r="L75" s="842">
        <f t="shared" si="129"/>
        <v>0.19645996952291633</v>
      </c>
      <c r="M75" s="842">
        <f t="shared" si="129"/>
        <v>0.11359348624764176</v>
      </c>
      <c r="N75" s="842">
        <f t="shared" si="129"/>
        <v>0.19899738448125537</v>
      </c>
      <c r="O75" s="842">
        <f t="shared" si="129"/>
        <v>0.24818507404897883</v>
      </c>
      <c r="P75" s="842">
        <f t="shared" si="129"/>
        <v>0.2532575683354561</v>
      </c>
      <c r="Q75" s="842">
        <f t="shared" si="129"/>
        <v>0.18172090949621045</v>
      </c>
      <c r="R75" s="842">
        <f t="shared" si="129"/>
        <v>0.20587165969823662</v>
      </c>
      <c r="S75" s="842">
        <f t="shared" si="129"/>
        <v>0.18875533152384638</v>
      </c>
      <c r="T75" s="842">
        <f t="shared" si="129"/>
        <v>0.22396810506566611</v>
      </c>
      <c r="U75" s="842">
        <f t="shared" si="129"/>
        <v>0.28982117256470241</v>
      </c>
      <c r="V75" s="842">
        <f t="shared" si="129"/>
        <v>0.21300972337378465</v>
      </c>
      <c r="W75" s="842">
        <f t="shared" si="129"/>
        <v>0.10320307913105875</v>
      </c>
      <c r="X75" s="842">
        <f t="shared" si="129"/>
        <v>0.18292137701986322</v>
      </c>
      <c r="Y75" s="842">
        <f t="shared" si="129"/>
        <v>0.20849420849420852</v>
      </c>
      <c r="Z75" s="842">
        <f t="shared" si="129"/>
        <v>0.24178214130367248</v>
      </c>
      <c r="AA75" s="842">
        <f t="shared" si="129"/>
        <v>0.32688782449293363</v>
      </c>
      <c r="AB75" s="842">
        <f t="shared" si="129"/>
        <v>0.2661303385346363</v>
      </c>
      <c r="AC75" s="842">
        <f t="shared" si="129"/>
        <v>0.24615161196630853</v>
      </c>
      <c r="AD75" s="842">
        <f t="shared" si="129"/>
        <v>0.20781625300240192</v>
      </c>
      <c r="AE75" s="842">
        <f t="shared" si="129"/>
        <v>9.2428361335175291E-2</v>
      </c>
      <c r="AF75" s="842">
        <f t="shared" si="129"/>
        <v>3.6588486140724852E-2</v>
      </c>
      <c r="AG75" s="842">
        <f t="shared" si="129"/>
        <v>-2.746170604846665E-2</v>
      </c>
      <c r="AH75" s="842">
        <f t="shared" si="129"/>
        <v>-1.2337784013807029E-2</v>
      </c>
      <c r="AI75" s="842">
        <f t="shared" si="129"/>
        <v>2.9176081253870167E-2</v>
      </c>
      <c r="AJ75" s="842"/>
      <c r="AK75" s="842"/>
      <c r="AL75" s="842">
        <f>IFERROR(AL74/AK74-1,"n/a ")</f>
        <v>0.12001814529194488</v>
      </c>
      <c r="AM75" s="842">
        <f t="shared" ref="AM75:AW75" si="130">IFERROR(AM74/AL74-1,"n/a ")</f>
        <v>0.15014754382919637</v>
      </c>
      <c r="AN75" s="842">
        <f t="shared" si="130"/>
        <v>0.22381527316631455</v>
      </c>
      <c r="AO75" s="842">
        <f t="shared" si="130"/>
        <v>-5.7631438319562633E-2</v>
      </c>
      <c r="AP75" s="842">
        <f t="shared" si="130"/>
        <v>0.16776444929116674</v>
      </c>
      <c r="AQ75" s="842">
        <f t="shared" si="130"/>
        <v>0.11788876022561734</v>
      </c>
      <c r="AR75" s="842">
        <f t="shared" si="130"/>
        <v>5.1324890567046477E-2</v>
      </c>
      <c r="AS75" s="842">
        <f t="shared" si="130"/>
        <v>-2.3869306804818358E-2</v>
      </c>
      <c r="AT75" s="842">
        <f t="shared" si="130"/>
        <v>7.7689502474602712E-2</v>
      </c>
      <c r="AU75" s="842">
        <f t="shared" si="130"/>
        <v>3.1149918424073997E-2</v>
      </c>
      <c r="AV75" s="842">
        <f t="shared" si="130"/>
        <v>1.2540654575287968E-2</v>
      </c>
      <c r="AW75" s="842">
        <f t="shared" si="130"/>
        <v>0.10301820181149979</v>
      </c>
      <c r="AX75" s="842"/>
      <c r="AY75" s="1012">
        <f t="shared" ref="AY75:AY76" si="131">+AV75</f>
        <v>1.2540654575287968E-2</v>
      </c>
      <c r="AZ75" s="1012">
        <f t="shared" ref="AZ75:AZ76" si="132">+AW75</f>
        <v>0.10301820181149979</v>
      </c>
      <c r="BA75" s="842">
        <f t="shared" ref="BA75:BF75" si="133">IFERROR(BA74/AZ74-1,"n/a ")</f>
        <v>0.18919415361200764</v>
      </c>
      <c r="BB75" s="842">
        <f t="shared" si="133"/>
        <v>0.2056973896158345</v>
      </c>
      <c r="BC75" s="842">
        <f t="shared" si="133"/>
        <v>0.20340037700627733</v>
      </c>
      <c r="BD75" s="842">
        <f t="shared" si="133"/>
        <v>0.24100068435860389</v>
      </c>
      <c r="BE75" s="842">
        <f t="shared" si="133"/>
        <v>0.1990269846327295</v>
      </c>
      <c r="BF75" s="842">
        <f t="shared" si="133"/>
        <v>5.8098125387526789E-3</v>
      </c>
    </row>
    <row r="76" spans="2:59" s="7" customFormat="1">
      <c r="B76" s="850" t="s">
        <v>115</v>
      </c>
      <c r="D76" s="842">
        <f t="shared" ref="D76:AI76" si="134">IFERROR(D74/D18,"n/a ")</f>
        <v>0.37192730750836922</v>
      </c>
      <c r="E76" s="842">
        <f t="shared" si="134"/>
        <v>0.35770007523858549</v>
      </c>
      <c r="F76" s="842">
        <f t="shared" si="134"/>
        <v>0.37105544453223033</v>
      </c>
      <c r="G76" s="842">
        <f t="shared" si="134"/>
        <v>0.3840845190423447</v>
      </c>
      <c r="H76" s="842">
        <f t="shared" si="134"/>
        <v>0.38904596862458957</v>
      </c>
      <c r="I76" s="842">
        <f t="shared" si="134"/>
        <v>0.38995585843723379</v>
      </c>
      <c r="J76" s="842">
        <f t="shared" si="134"/>
        <v>0.39531276925728071</v>
      </c>
      <c r="K76" s="842">
        <f t="shared" si="134"/>
        <v>0.40347588361648118</v>
      </c>
      <c r="L76" s="842">
        <f t="shared" si="134"/>
        <v>0.41596707148096829</v>
      </c>
      <c r="M76" s="842">
        <f t="shared" si="134"/>
        <v>0.38782073449062865</v>
      </c>
      <c r="N76" s="842">
        <f t="shared" si="134"/>
        <v>0.41023155225772773</v>
      </c>
      <c r="O76" s="842">
        <f t="shared" si="134"/>
        <v>0.42861891307960776</v>
      </c>
      <c r="P76" s="842">
        <f t="shared" si="134"/>
        <v>0.43982945949663044</v>
      </c>
      <c r="Q76" s="842">
        <f t="shared" si="134"/>
        <v>0.40814880970712331</v>
      </c>
      <c r="R76" s="842">
        <f t="shared" si="134"/>
        <v>0.43397337345850645</v>
      </c>
      <c r="S76" s="842">
        <f t="shared" si="134"/>
        <v>0.45463712667200523</v>
      </c>
      <c r="T76" s="842">
        <f t="shared" si="134"/>
        <v>0.47366510361518682</v>
      </c>
      <c r="U76" s="842">
        <f t="shared" si="134"/>
        <v>0.46317671923264508</v>
      </c>
      <c r="V76" s="842">
        <f t="shared" si="134"/>
        <v>0.45952428542874274</v>
      </c>
      <c r="W76" s="842">
        <f t="shared" si="134"/>
        <v>0.44464018089553808</v>
      </c>
      <c r="X76" s="842">
        <f t="shared" si="134"/>
        <v>0.49849275986434838</v>
      </c>
      <c r="Y76" s="842">
        <f t="shared" si="134"/>
        <v>0.47957099080694587</v>
      </c>
      <c r="Z76" s="842">
        <f t="shared" si="134"/>
        <v>0.47916366949599576</v>
      </c>
      <c r="AA76" s="842">
        <f t="shared" si="134"/>
        <v>0.48619778124458313</v>
      </c>
      <c r="AB76" s="842">
        <f t="shared" si="134"/>
        <v>0.51746585166714476</v>
      </c>
      <c r="AC76" s="842">
        <f t="shared" si="134"/>
        <v>0.4976608413238478</v>
      </c>
      <c r="AD76" s="842">
        <f t="shared" si="134"/>
        <v>0.48899918962722855</v>
      </c>
      <c r="AE76" s="842">
        <f t="shared" si="134"/>
        <v>0.47263086860117615</v>
      </c>
      <c r="AF76" s="842">
        <f t="shared" si="134"/>
        <v>0.48497665695702485</v>
      </c>
      <c r="AG76" s="842">
        <f t="shared" si="134"/>
        <v>0.46718873500195252</v>
      </c>
      <c r="AH76" s="842">
        <f t="shared" si="134"/>
        <v>0.46227088906229957</v>
      </c>
      <c r="AI76" s="842">
        <f t="shared" si="134"/>
        <v>0.45552359258256625</v>
      </c>
      <c r="AJ76" s="842"/>
      <c r="AK76" s="842">
        <f t="shared" ref="AK76:AW76" si="135">IFERROR(AK74/AK18,"n/a ")</f>
        <v>0.38783050165879157</v>
      </c>
      <c r="AL76" s="842">
        <f t="shared" si="135"/>
        <v>0.3902940246601328</v>
      </c>
      <c r="AM76" s="842">
        <f t="shared" si="135"/>
        <v>0.38883455263878564</v>
      </c>
      <c r="AN76" s="842">
        <f t="shared" si="135"/>
        <v>0.4026315789473684</v>
      </c>
      <c r="AO76" s="842">
        <f t="shared" si="135"/>
        <v>0.3923028218423259</v>
      </c>
      <c r="AP76" s="842">
        <f t="shared" si="135"/>
        <v>0.4284456820946162</v>
      </c>
      <c r="AQ76" s="842">
        <f t="shared" si="135"/>
        <v>0.42787698554537268</v>
      </c>
      <c r="AR76" s="842">
        <f t="shared" si="135"/>
        <v>0.42366992984393304</v>
      </c>
      <c r="AS76" s="842">
        <f t="shared" si="135"/>
        <v>0.39726293187080419</v>
      </c>
      <c r="AT76" s="842">
        <f t="shared" si="135"/>
        <v>0.38116844978291664</v>
      </c>
      <c r="AU76" s="842">
        <f t="shared" si="135"/>
        <v>0.36470399658046593</v>
      </c>
      <c r="AV76" s="842">
        <f t="shared" si="135"/>
        <v>0.37577069038635103</v>
      </c>
      <c r="AW76" s="842">
        <f t="shared" si="135"/>
        <v>0.39435322842629089</v>
      </c>
      <c r="AX76" s="842"/>
      <c r="AY76" s="1012">
        <f t="shared" si="131"/>
        <v>0.37577069038635103</v>
      </c>
      <c r="AZ76" s="1012">
        <f t="shared" si="132"/>
        <v>0.39435322842629089</v>
      </c>
      <c r="BA76" s="842">
        <f t="shared" ref="BA76:BF76" si="136">IFERROR(BA74/BA18,"n/a ")</f>
        <v>0.41064697354113811</v>
      </c>
      <c r="BB76" s="842">
        <f t="shared" si="136"/>
        <v>0.43419975683987189</v>
      </c>
      <c r="BC76" s="842">
        <f t="shared" si="136"/>
        <v>0.45977694647414608</v>
      </c>
      <c r="BD76" s="842">
        <f t="shared" si="136"/>
        <v>0.48547189567369475</v>
      </c>
      <c r="BE76" s="842">
        <f t="shared" si="136"/>
        <v>0.49348363342916224</v>
      </c>
      <c r="BF76" s="842">
        <f t="shared" si="136"/>
        <v>0.46715030995957429</v>
      </c>
    </row>
    <row r="78" spans="2:59">
      <c r="B78" s="24" t="s">
        <v>126</v>
      </c>
    </row>
    <row r="79" spans="2:59" s="3" customFormat="1">
      <c r="B79" s="13" t="s">
        <v>308</v>
      </c>
      <c r="D79" s="14">
        <f t="shared" ref="D79:AF79" si="137">-D84/D18</f>
        <v>7.1736011477761832E-2</v>
      </c>
      <c r="E79" s="14">
        <f t="shared" si="137"/>
        <v>7.9198511067991917E-2</v>
      </c>
      <c r="F79" s="14">
        <f t="shared" si="137"/>
        <v>0.10689222475252126</v>
      </c>
      <c r="G79" s="14">
        <f t="shared" si="137"/>
        <v>0.13206100366362786</v>
      </c>
      <c r="H79" s="14">
        <f t="shared" si="137"/>
        <v>0.10488872674206494</v>
      </c>
      <c r="I79" s="14">
        <f t="shared" si="137"/>
        <v>9.6801672732904825E-2</v>
      </c>
      <c r="J79" s="14">
        <f t="shared" si="137"/>
        <v>9.0470446320868522E-2</v>
      </c>
      <c r="K79" s="14">
        <f t="shared" si="137"/>
        <v>0.12888107791446984</v>
      </c>
      <c r="L79" s="14">
        <f t="shared" si="137"/>
        <v>0.11003341755644307</v>
      </c>
      <c r="M79" s="14">
        <f t="shared" si="137"/>
        <v>0.11411577564146898</v>
      </c>
      <c r="N79" s="14">
        <f t="shared" si="137"/>
        <v>0.13050449308326187</v>
      </c>
      <c r="O79" s="14">
        <f t="shared" si="137"/>
        <v>0.13628053847432275</v>
      </c>
      <c r="P79" s="14">
        <f t="shared" si="137"/>
        <v>0.14784761380827946</v>
      </c>
      <c r="Q79" s="14">
        <f t="shared" si="137"/>
        <v>0.12010717255397124</v>
      </c>
      <c r="R79" s="14">
        <f t="shared" si="137"/>
        <v>0.11121651238101468</v>
      </c>
      <c r="S79" s="14">
        <f t="shared" si="137"/>
        <v>0.15719073464424474</v>
      </c>
      <c r="T79" s="14">
        <f t="shared" si="137"/>
        <v>0.14521252458024506</v>
      </c>
      <c r="U79" s="14">
        <f t="shared" si="137"/>
        <v>0.12193139326938709</v>
      </c>
      <c r="V79" s="14">
        <f t="shared" si="137"/>
        <v>0.11136175437594587</v>
      </c>
      <c r="W79" s="14">
        <f t="shared" si="137"/>
        <v>0.15249914547892621</v>
      </c>
      <c r="X79" s="14">
        <f t="shared" si="137"/>
        <v>0.14803251332292619</v>
      </c>
      <c r="Y79" s="14">
        <f t="shared" si="137"/>
        <v>0.12535982913919583</v>
      </c>
      <c r="Z79" s="14">
        <f t="shared" si="137"/>
        <v>0.14386419220256078</v>
      </c>
      <c r="AA79" s="14">
        <f t="shared" si="137"/>
        <v>0.15817299358641013</v>
      </c>
      <c r="AB79" s="14">
        <f t="shared" si="137"/>
        <v>0.1632941280314231</v>
      </c>
      <c r="AC79" s="14">
        <f t="shared" si="137"/>
        <v>0.13145685122177544</v>
      </c>
      <c r="AD79" s="14">
        <f t="shared" si="137"/>
        <v>0.12763371150729336</v>
      </c>
      <c r="AE79" s="14">
        <f t="shared" si="137"/>
        <v>0.16774317940807867</v>
      </c>
      <c r="AF79" s="14">
        <f t="shared" si="137"/>
        <v>0.13167870396233192</v>
      </c>
      <c r="AG79" s="851">
        <v>0.12</v>
      </c>
      <c r="AH79" s="851">
        <f t="shared" ref="AH79:AI79" si="138">+AD79-0.25%</f>
        <v>0.12513371150729335</v>
      </c>
      <c r="AI79" s="851">
        <f t="shared" si="138"/>
        <v>0.16524317940807867</v>
      </c>
      <c r="AK79" s="14">
        <f t="shared" ref="AK79:AW79" si="139">-AK84/AK18</f>
        <v>2.0408163265306121E-2</v>
      </c>
      <c r="AL79" s="14">
        <f t="shared" si="139"/>
        <v>3.5635246827153244E-2</v>
      </c>
      <c r="AM79" s="14">
        <f t="shared" si="139"/>
        <v>4.4286217284143815E-2</v>
      </c>
      <c r="AN79" s="14">
        <f t="shared" si="139"/>
        <v>5.2664680569347901E-2</v>
      </c>
      <c r="AO79" s="14">
        <f t="shared" si="139"/>
        <v>5.3373718705614595E-2</v>
      </c>
      <c r="AP79" s="14">
        <f t="shared" si="139"/>
        <v>3.1640099865565582E-2</v>
      </c>
      <c r="AQ79" s="14">
        <f t="shared" si="139"/>
        <v>3.3670274366269674E-2</v>
      </c>
      <c r="AR79" s="14">
        <f t="shared" si="139"/>
        <v>3.1038336722190054E-2</v>
      </c>
      <c r="AS79" s="14">
        <f t="shared" si="139"/>
        <v>5.5064740198424507E-2</v>
      </c>
      <c r="AT79" s="14">
        <f t="shared" si="139"/>
        <v>6.3167229048863904E-2</v>
      </c>
      <c r="AU79" s="14">
        <f t="shared" si="139"/>
        <v>6.3517845693524255E-2</v>
      </c>
      <c r="AV79" s="14">
        <f t="shared" si="139"/>
        <v>9.677805204266933E-2</v>
      </c>
      <c r="AW79" s="14">
        <f t="shared" si="139"/>
        <v>0.10552779415872622</v>
      </c>
      <c r="AY79" s="1012">
        <f t="shared" ref="AY79" si="140">+AV79</f>
        <v>9.677805204266933E-2</v>
      </c>
      <c r="AZ79" s="1012">
        <f t="shared" ref="AZ79" si="141">+AW79</f>
        <v>0.10552779415872622</v>
      </c>
      <c r="BA79" s="14">
        <f t="shared" ref="BA79:BF79" si="142">-BA84/BA18</f>
        <v>0.12323305545487495</v>
      </c>
      <c r="BB79" s="14">
        <f t="shared" si="142"/>
        <v>0.13429431911190928</v>
      </c>
      <c r="BC79" s="14">
        <f t="shared" si="142"/>
        <v>0.13285319721707514</v>
      </c>
      <c r="BD79" s="14">
        <f t="shared" si="142"/>
        <v>0.14397220503545763</v>
      </c>
      <c r="BE79" s="14">
        <f t="shared" si="142"/>
        <v>0.14727391940283452</v>
      </c>
      <c r="BF79" s="14">
        <f t="shared" si="142"/>
        <v>0.13592968295394886</v>
      </c>
    </row>
    <row r="80" spans="2:59" s="3" customFormat="1">
      <c r="B80" s="13" t="s">
        <v>1189</v>
      </c>
      <c r="D80" s="14">
        <f t="shared" ref="D80:AI80" si="143">+D76-D79</f>
        <v>0.3001912960306074</v>
      </c>
      <c r="E80" s="14">
        <f t="shared" si="143"/>
        <v>0.27850156417059357</v>
      </c>
      <c r="F80" s="14">
        <f t="shared" si="143"/>
        <v>0.26416321977970908</v>
      </c>
      <c r="G80" s="14">
        <f t="shared" si="143"/>
        <v>0.25202351537871681</v>
      </c>
      <c r="H80" s="14">
        <f t="shared" si="143"/>
        <v>0.28415724188252461</v>
      </c>
      <c r="I80" s="14">
        <f t="shared" si="143"/>
        <v>0.29315418570432894</v>
      </c>
      <c r="J80" s="14">
        <f t="shared" si="143"/>
        <v>0.30484232293641217</v>
      </c>
      <c r="K80" s="14">
        <f t="shared" si="143"/>
        <v>0.27459480570201134</v>
      </c>
      <c r="L80" s="14">
        <f t="shared" si="143"/>
        <v>0.30593365392452521</v>
      </c>
      <c r="M80" s="14">
        <f t="shared" si="143"/>
        <v>0.27370495884915969</v>
      </c>
      <c r="N80" s="14">
        <f t="shared" si="143"/>
        <v>0.27972705917446583</v>
      </c>
      <c r="O80" s="14">
        <f t="shared" si="143"/>
        <v>0.292338374605285</v>
      </c>
      <c r="P80" s="14">
        <f t="shared" si="143"/>
        <v>0.29198184568835095</v>
      </c>
      <c r="Q80" s="14">
        <f t="shared" si="143"/>
        <v>0.28804163715315206</v>
      </c>
      <c r="R80" s="14">
        <f t="shared" si="143"/>
        <v>0.3227568610774918</v>
      </c>
      <c r="S80" s="14">
        <f t="shared" si="143"/>
        <v>0.29744639202776046</v>
      </c>
      <c r="T80" s="14">
        <f t="shared" si="143"/>
        <v>0.32845257903494174</v>
      </c>
      <c r="U80" s="14">
        <f t="shared" si="143"/>
        <v>0.34124532596325796</v>
      </c>
      <c r="V80" s="14">
        <f t="shared" si="143"/>
        <v>0.34816253105279688</v>
      </c>
      <c r="W80" s="14">
        <f t="shared" si="143"/>
        <v>0.29214103541661185</v>
      </c>
      <c r="X80" s="14">
        <f t="shared" si="143"/>
        <v>0.35046024654142216</v>
      </c>
      <c r="Y80" s="14">
        <f t="shared" si="143"/>
        <v>0.35421116166775002</v>
      </c>
      <c r="Z80" s="14">
        <f t="shared" si="143"/>
        <v>0.33529947729343501</v>
      </c>
      <c r="AA80" s="14">
        <f t="shared" si="143"/>
        <v>0.328024787658173</v>
      </c>
      <c r="AB80" s="14">
        <f t="shared" si="143"/>
        <v>0.35417172363572169</v>
      </c>
      <c r="AC80" s="14">
        <f t="shared" si="143"/>
        <v>0.36620399010207239</v>
      </c>
      <c r="AD80" s="14">
        <f t="shared" si="143"/>
        <v>0.36136547811993519</v>
      </c>
      <c r="AE80" s="14">
        <f t="shared" si="143"/>
        <v>0.3048876891930975</v>
      </c>
      <c r="AF80" s="14">
        <f t="shared" si="143"/>
        <v>0.35329795299469291</v>
      </c>
      <c r="AG80" s="14">
        <f t="shared" si="143"/>
        <v>0.34718873500195252</v>
      </c>
      <c r="AH80" s="14">
        <f t="shared" si="143"/>
        <v>0.33713717755500622</v>
      </c>
      <c r="AI80" s="14">
        <f t="shared" si="143"/>
        <v>0.29028041317448761</v>
      </c>
      <c r="AK80" s="14">
        <f t="shared" ref="AK80:AW80" si="144">+AK76-AK79</f>
        <v>0.36742233839348543</v>
      </c>
      <c r="AL80" s="14">
        <f t="shared" si="144"/>
        <v>0.35465877783297955</v>
      </c>
      <c r="AM80" s="14">
        <f t="shared" si="144"/>
        <v>0.3445483353546418</v>
      </c>
      <c r="AN80" s="14">
        <f t="shared" si="144"/>
        <v>0.34996689837802047</v>
      </c>
      <c r="AO80" s="14">
        <f t="shared" si="144"/>
        <v>0.33892910313671132</v>
      </c>
      <c r="AP80" s="14">
        <f t="shared" si="144"/>
        <v>0.3968055822290506</v>
      </c>
      <c r="AQ80" s="14">
        <f t="shared" si="144"/>
        <v>0.394206711179103</v>
      </c>
      <c r="AR80" s="14">
        <f t="shared" si="144"/>
        <v>0.39263159312174301</v>
      </c>
      <c r="AS80" s="14">
        <f t="shared" si="144"/>
        <v>0.34219819167237969</v>
      </c>
      <c r="AT80" s="14">
        <f t="shared" si="144"/>
        <v>0.31800122073405274</v>
      </c>
      <c r="AU80" s="14">
        <f t="shared" si="144"/>
        <v>0.30118615088694167</v>
      </c>
      <c r="AV80" s="14">
        <f t="shared" si="144"/>
        <v>0.27899263834368171</v>
      </c>
      <c r="AW80" s="14">
        <f t="shared" si="144"/>
        <v>0.28882543426756468</v>
      </c>
      <c r="AY80" s="1012">
        <f t="shared" ref="AY80" si="145">+AV80</f>
        <v>0.27899263834368171</v>
      </c>
      <c r="AZ80" s="1012">
        <f t="shared" ref="AZ80" si="146">+AW80</f>
        <v>0.28882543426756468</v>
      </c>
      <c r="BA80" s="14">
        <f t="shared" ref="BA80:BF80" si="147">+BA76-BA79</f>
        <v>0.28741391808626315</v>
      </c>
      <c r="BB80" s="14">
        <f t="shared" si="147"/>
        <v>0.29990543772796263</v>
      </c>
      <c r="BC80" s="14">
        <f t="shared" si="147"/>
        <v>0.32692374925707091</v>
      </c>
      <c r="BD80" s="14">
        <f t="shared" si="147"/>
        <v>0.34149969063823715</v>
      </c>
      <c r="BE80" s="14">
        <f t="shared" si="147"/>
        <v>0.34620971402632772</v>
      </c>
      <c r="BF80" s="14">
        <f t="shared" si="147"/>
        <v>0.33122062700562543</v>
      </c>
    </row>
    <row r="82" spans="2:60" ht="10.5">
      <c r="B82" s="45" t="s">
        <v>141</v>
      </c>
    </row>
    <row r="83" spans="2:60">
      <c r="B83" t="s">
        <v>1188</v>
      </c>
      <c r="D83" s="8">
        <f t="shared" ref="D83:AI83" si="148">+D74</f>
        <v>7777</v>
      </c>
      <c r="E83" s="8">
        <f t="shared" si="148"/>
        <v>9033</v>
      </c>
      <c r="F83" s="8">
        <f t="shared" si="148"/>
        <v>7984</v>
      </c>
      <c r="G83" s="8">
        <f t="shared" si="148"/>
        <v>9016</v>
      </c>
      <c r="H83" s="8">
        <f t="shared" si="148"/>
        <v>8531</v>
      </c>
      <c r="I83" s="8">
        <f t="shared" si="148"/>
        <v>10071</v>
      </c>
      <c r="J83" s="8">
        <f t="shared" si="148"/>
        <v>9176</v>
      </c>
      <c r="K83" s="8">
        <f t="shared" si="148"/>
        <v>10331</v>
      </c>
      <c r="L83" s="8">
        <f t="shared" si="148"/>
        <v>10207</v>
      </c>
      <c r="M83" s="8">
        <f t="shared" si="148"/>
        <v>11215</v>
      </c>
      <c r="N83" s="8">
        <f t="shared" si="148"/>
        <v>11002</v>
      </c>
      <c r="O83" s="8">
        <f t="shared" si="148"/>
        <v>12895</v>
      </c>
      <c r="P83" s="8">
        <f t="shared" si="148"/>
        <v>12792</v>
      </c>
      <c r="Q83" s="8">
        <f t="shared" si="148"/>
        <v>13253</v>
      </c>
      <c r="R83" s="8">
        <f t="shared" si="148"/>
        <v>13267</v>
      </c>
      <c r="S83" s="8">
        <f t="shared" si="148"/>
        <v>15329</v>
      </c>
      <c r="T83" s="8">
        <f t="shared" si="148"/>
        <v>15657</v>
      </c>
      <c r="U83" s="8">
        <f t="shared" si="148"/>
        <v>17094</v>
      </c>
      <c r="V83" s="8">
        <f t="shared" si="148"/>
        <v>16093</v>
      </c>
      <c r="W83" s="8">
        <f t="shared" si="148"/>
        <v>16911</v>
      </c>
      <c r="X83" s="8">
        <f t="shared" si="148"/>
        <v>18521</v>
      </c>
      <c r="Y83" s="8">
        <f t="shared" si="148"/>
        <v>20658</v>
      </c>
      <c r="Z83" s="8">
        <f t="shared" si="148"/>
        <v>19984</v>
      </c>
      <c r="AA83" s="8">
        <f t="shared" si="148"/>
        <v>22439</v>
      </c>
      <c r="AB83" s="8">
        <f t="shared" si="148"/>
        <v>23450</v>
      </c>
      <c r="AC83" s="8">
        <f t="shared" si="148"/>
        <v>25743</v>
      </c>
      <c r="AD83" s="8">
        <f t="shared" si="148"/>
        <v>24137</v>
      </c>
      <c r="AE83" s="8">
        <f t="shared" si="148"/>
        <v>24513</v>
      </c>
      <c r="AF83" s="8">
        <f t="shared" si="148"/>
        <v>24308</v>
      </c>
      <c r="AG83" s="8">
        <f t="shared" si="148"/>
        <v>25036.053301194323</v>
      </c>
      <c r="AH83" s="8">
        <f t="shared" si="148"/>
        <v>23839.202907258739</v>
      </c>
      <c r="AI83" s="8">
        <f t="shared" si="148"/>
        <v>25228.193279776118</v>
      </c>
      <c r="AK83" s="8">
        <f t="shared" ref="AK83:AW83" si="149">+AK74</f>
        <v>15431</v>
      </c>
      <c r="AL83" s="8">
        <f t="shared" si="149"/>
        <v>17283</v>
      </c>
      <c r="AM83" s="8">
        <f t="shared" si="149"/>
        <v>19878</v>
      </c>
      <c r="AN83" s="8">
        <f t="shared" si="149"/>
        <v>24327</v>
      </c>
      <c r="AO83" s="8">
        <f t="shared" si="149"/>
        <v>22925</v>
      </c>
      <c r="AP83" s="8">
        <f t="shared" si="149"/>
        <v>26771</v>
      </c>
      <c r="AQ83" s="8">
        <f t="shared" si="149"/>
        <v>29927</v>
      </c>
      <c r="AR83" s="8">
        <f t="shared" si="149"/>
        <v>31463</v>
      </c>
      <c r="AS83" s="8">
        <f t="shared" si="149"/>
        <v>30712</v>
      </c>
      <c r="AT83" s="8">
        <f t="shared" si="149"/>
        <v>33098</v>
      </c>
      <c r="AU83" s="8">
        <f t="shared" si="149"/>
        <v>34129</v>
      </c>
      <c r="AV83" s="8">
        <f t="shared" si="149"/>
        <v>34557</v>
      </c>
      <c r="AW83" s="8">
        <f t="shared" si="149"/>
        <v>38117</v>
      </c>
      <c r="AY83" s="8">
        <f t="shared" ref="AY83:BF83" si="150">+AY74</f>
        <v>33810</v>
      </c>
      <c r="AZ83" s="8">
        <f t="shared" si="150"/>
        <v>38109</v>
      </c>
      <c r="BA83" s="8">
        <f t="shared" si="150"/>
        <v>45319</v>
      </c>
      <c r="BB83" s="8">
        <f t="shared" si="150"/>
        <v>54641</v>
      </c>
      <c r="BC83" s="8">
        <f t="shared" si="150"/>
        <v>65755</v>
      </c>
      <c r="BD83" s="8">
        <f t="shared" si="150"/>
        <v>81602</v>
      </c>
      <c r="BE83" s="8">
        <f t="shared" si="150"/>
        <v>97843</v>
      </c>
      <c r="BF83" s="8">
        <f t="shared" si="150"/>
        <v>98411.449488229176</v>
      </c>
      <c r="BG83" s="8"/>
    </row>
    <row r="84" spans="2:60">
      <c r="B84" t="s">
        <v>131</v>
      </c>
      <c r="D84" s="8">
        <f t="shared" ref="D84:AF84" si="151">-D635</f>
        <v>-1500</v>
      </c>
      <c r="E84" s="8">
        <f t="shared" si="151"/>
        <v>-2000</v>
      </c>
      <c r="F84" s="8">
        <f t="shared" si="151"/>
        <v>-2300</v>
      </c>
      <c r="G84" s="8">
        <f t="shared" si="151"/>
        <v>-3100</v>
      </c>
      <c r="H84" s="8">
        <f t="shared" si="151"/>
        <v>-2300</v>
      </c>
      <c r="I84" s="8">
        <f t="shared" si="151"/>
        <v>-2500</v>
      </c>
      <c r="J84" s="8">
        <f t="shared" si="151"/>
        <v>-2100</v>
      </c>
      <c r="K84" s="8">
        <f t="shared" si="151"/>
        <v>-3300</v>
      </c>
      <c r="L84" s="8">
        <f t="shared" si="151"/>
        <v>-2700</v>
      </c>
      <c r="M84" s="8">
        <f t="shared" si="151"/>
        <v>-3300</v>
      </c>
      <c r="N84" s="8">
        <f t="shared" si="151"/>
        <v>-3500</v>
      </c>
      <c r="O84" s="8">
        <f t="shared" si="151"/>
        <v>-4100</v>
      </c>
      <c r="P84" s="8">
        <f t="shared" si="151"/>
        <v>-4300</v>
      </c>
      <c r="Q84" s="8">
        <f t="shared" si="151"/>
        <v>-3900</v>
      </c>
      <c r="R84" s="8">
        <f t="shared" si="151"/>
        <v>-3400</v>
      </c>
      <c r="S84" s="8">
        <f t="shared" si="151"/>
        <v>-5300</v>
      </c>
      <c r="T84" s="8">
        <f t="shared" si="151"/>
        <v>-4800</v>
      </c>
      <c r="U84" s="8">
        <f t="shared" si="151"/>
        <v>-4500</v>
      </c>
      <c r="V84" s="8">
        <f t="shared" si="151"/>
        <v>-3900</v>
      </c>
      <c r="W84" s="8">
        <f t="shared" si="151"/>
        <v>-5800</v>
      </c>
      <c r="X84" s="8">
        <f t="shared" si="151"/>
        <v>-5500</v>
      </c>
      <c r="Y84" s="8">
        <f t="shared" si="151"/>
        <v>-5400</v>
      </c>
      <c r="Z84" s="8">
        <f t="shared" si="151"/>
        <v>-6000</v>
      </c>
      <c r="AA84" s="8">
        <f t="shared" si="151"/>
        <v>-7300</v>
      </c>
      <c r="AB84" s="8">
        <f t="shared" si="151"/>
        <v>-7400</v>
      </c>
      <c r="AC84" s="8">
        <f t="shared" si="151"/>
        <v>-6800</v>
      </c>
      <c r="AD84" s="8">
        <f t="shared" si="151"/>
        <v>-6300</v>
      </c>
      <c r="AE84" s="8">
        <f t="shared" si="151"/>
        <v>-8700</v>
      </c>
      <c r="AF84" s="8">
        <f t="shared" si="151"/>
        <v>-6600</v>
      </c>
      <c r="AG84" s="8">
        <f t="shared" ref="AG84:AI84" si="152">+AG79*-AG12</f>
        <v>-6430.6481964526874</v>
      </c>
      <c r="AH84" s="8">
        <f t="shared" si="152"/>
        <v>-6453.1165810848142</v>
      </c>
      <c r="AI84" s="8">
        <f t="shared" si="152"/>
        <v>-9151.6376674082221</v>
      </c>
      <c r="AK84" s="8">
        <f t="shared" ref="AK84:AW84" si="153">-AK635</f>
        <v>-812</v>
      </c>
      <c r="AL84" s="8">
        <f t="shared" si="153"/>
        <v>-1578</v>
      </c>
      <c r="AM84" s="8">
        <f t="shared" si="153"/>
        <v>-2264</v>
      </c>
      <c r="AN84" s="8">
        <f t="shared" si="153"/>
        <v>-3182</v>
      </c>
      <c r="AO84" s="8">
        <f t="shared" si="153"/>
        <v>-3119</v>
      </c>
      <c r="AP84" s="8">
        <f t="shared" si="153"/>
        <v>-1977</v>
      </c>
      <c r="AQ84" s="8">
        <f t="shared" si="153"/>
        <v>-2355</v>
      </c>
      <c r="AR84" s="8">
        <f t="shared" si="153"/>
        <v>-2305</v>
      </c>
      <c r="AS84" s="8">
        <f t="shared" si="153"/>
        <v>-4257</v>
      </c>
      <c r="AT84" s="8">
        <f t="shared" si="153"/>
        <v>-5485</v>
      </c>
      <c r="AU84" s="8">
        <f t="shared" si="153"/>
        <v>-5944</v>
      </c>
      <c r="AV84" s="8">
        <f t="shared" si="153"/>
        <v>-8900</v>
      </c>
      <c r="AW84" s="8">
        <f t="shared" si="153"/>
        <v>-10200</v>
      </c>
      <c r="AY84" s="8">
        <f>+SUM(D84:G84)</f>
        <v>-8900</v>
      </c>
      <c r="AZ84" s="8">
        <f>-AZ635</f>
        <v>-10200</v>
      </c>
      <c r="BA84" s="8">
        <f>-BA635</f>
        <v>-13600</v>
      </c>
      <c r="BB84" s="8">
        <f>-BB635</f>
        <v>-16900</v>
      </c>
      <c r="BC84" s="8">
        <f>SUM(T84:W84)</f>
        <v>-19000</v>
      </c>
      <c r="BD84" s="8">
        <f>+SUM(X84:AA84)</f>
        <v>-24200</v>
      </c>
      <c r="BE84" s="8">
        <f>SUM(AB84:AE84)</f>
        <v>-29200</v>
      </c>
      <c r="BF84" s="8">
        <f>SUM(AF84:AI84)</f>
        <v>-28635.402444945721</v>
      </c>
    </row>
    <row r="85" spans="2:60">
      <c r="B85" t="str">
        <f>+B59</f>
        <v>Interest and other, net</v>
      </c>
      <c r="D85" s="8">
        <f t="shared" ref="D85:BF85" si="154">+D59</f>
        <v>-295</v>
      </c>
      <c r="E85" s="8">
        <f t="shared" si="154"/>
        <v>-176</v>
      </c>
      <c r="F85" s="8">
        <f t="shared" si="154"/>
        <v>-212</v>
      </c>
      <c r="G85" s="8">
        <f t="shared" si="154"/>
        <v>244</v>
      </c>
      <c r="H85" s="8">
        <f t="shared" si="154"/>
        <v>112</v>
      </c>
      <c r="I85" s="8">
        <f t="shared" si="154"/>
        <v>117</v>
      </c>
      <c r="J85" s="8">
        <f t="shared" si="154"/>
        <v>371</v>
      </c>
      <c r="K85" s="8">
        <f t="shared" si="154"/>
        <v>276</v>
      </c>
      <c r="L85" s="8">
        <f t="shared" si="154"/>
        <v>276</v>
      </c>
      <c r="M85" s="8">
        <f t="shared" si="154"/>
        <v>490</v>
      </c>
      <c r="N85" s="8">
        <f t="shared" si="154"/>
        <v>349</v>
      </c>
      <c r="O85" s="8">
        <f t="shared" si="154"/>
        <v>301</v>
      </c>
      <c r="P85" s="8">
        <f t="shared" si="154"/>
        <v>266</v>
      </c>
      <c r="Q85" s="8">
        <f t="shared" si="154"/>
        <v>127</v>
      </c>
      <c r="R85" s="8">
        <f t="shared" si="154"/>
        <v>145</v>
      </c>
      <c r="S85" s="8">
        <f t="shared" si="154"/>
        <v>191</v>
      </c>
      <c r="T85" s="8">
        <f t="shared" si="154"/>
        <v>0</v>
      </c>
      <c r="U85" s="8">
        <f t="shared" si="154"/>
        <v>194</v>
      </c>
      <c r="V85" s="8">
        <f t="shared" si="154"/>
        <v>-132</v>
      </c>
      <c r="W85" s="8">
        <f t="shared" si="154"/>
        <v>15</v>
      </c>
      <c r="X85" s="8">
        <f t="shared" si="154"/>
        <v>248</v>
      </c>
      <c r="Y85" s="8">
        <f t="shared" si="154"/>
        <v>440</v>
      </c>
      <c r="Z85" s="8">
        <f t="shared" si="154"/>
        <v>188</v>
      </c>
      <c r="AA85" s="8">
        <f t="shared" si="154"/>
        <v>310</v>
      </c>
      <c r="AB85" s="8">
        <f t="shared" si="154"/>
        <v>286</v>
      </c>
      <c r="AC85" s="8">
        <f t="shared" si="154"/>
        <v>268</v>
      </c>
      <c r="AD85" s="8">
        <f t="shared" si="154"/>
        <v>-174</v>
      </c>
      <c r="AE85" s="8">
        <f t="shared" si="154"/>
        <v>-47</v>
      </c>
      <c r="AF85" s="8">
        <f t="shared" si="154"/>
        <v>54</v>
      </c>
      <c r="AG85" s="8">
        <f t="shared" si="154"/>
        <v>0</v>
      </c>
      <c r="AH85" s="8">
        <f t="shared" si="154"/>
        <v>0</v>
      </c>
      <c r="AI85" s="8">
        <f t="shared" si="154"/>
        <v>0</v>
      </c>
      <c r="AK85" s="8">
        <f t="shared" si="154"/>
        <v>2052</v>
      </c>
      <c r="AL85" s="8">
        <f t="shared" si="154"/>
        <v>1882</v>
      </c>
      <c r="AM85" s="8">
        <f t="shared" si="154"/>
        <v>1663</v>
      </c>
      <c r="AN85" s="8">
        <f t="shared" si="154"/>
        <v>1543</v>
      </c>
      <c r="AO85" s="8">
        <f t="shared" si="154"/>
        <v>-542</v>
      </c>
      <c r="AP85" s="8">
        <f t="shared" si="154"/>
        <v>915</v>
      </c>
      <c r="AQ85" s="8">
        <f t="shared" si="154"/>
        <v>910</v>
      </c>
      <c r="AR85" s="8">
        <f t="shared" si="154"/>
        <v>504</v>
      </c>
      <c r="AS85" s="8">
        <f t="shared" si="154"/>
        <v>288</v>
      </c>
      <c r="AT85" s="8">
        <f t="shared" si="154"/>
        <v>61</v>
      </c>
      <c r="AU85" s="8">
        <f t="shared" si="154"/>
        <v>346</v>
      </c>
      <c r="AV85" s="8">
        <f t="shared" si="154"/>
        <v>431</v>
      </c>
      <c r="AW85" s="8">
        <f t="shared" si="154"/>
        <v>-823</v>
      </c>
      <c r="AY85" s="8">
        <f t="shared" si="154"/>
        <v>-439</v>
      </c>
      <c r="AZ85" s="8">
        <f t="shared" si="154"/>
        <v>876</v>
      </c>
      <c r="BA85" s="8">
        <f t="shared" si="154"/>
        <v>1416</v>
      </c>
      <c r="BB85" s="8">
        <f t="shared" si="154"/>
        <v>729</v>
      </c>
      <c r="BC85" s="8">
        <f t="shared" si="154"/>
        <v>77</v>
      </c>
      <c r="BD85" s="8">
        <f t="shared" si="154"/>
        <v>1186</v>
      </c>
      <c r="BE85" s="8">
        <f t="shared" si="154"/>
        <v>333</v>
      </c>
      <c r="BF85" s="8">
        <f t="shared" si="154"/>
        <v>54</v>
      </c>
      <c r="BG85" s="8"/>
    </row>
    <row r="86" spans="2:60" s="852" customFormat="1">
      <c r="B86" t="s">
        <v>310</v>
      </c>
      <c r="D86" s="853">
        <f t="shared" ref="D86:AI86" si="155">+D61</f>
        <v>-2107.35</v>
      </c>
      <c r="E86" s="853">
        <f t="shared" si="155"/>
        <v>-2559.5499999999997</v>
      </c>
      <c r="F86" s="853">
        <f t="shared" si="155"/>
        <v>-2122.75</v>
      </c>
      <c r="G86" s="853">
        <f t="shared" si="155"/>
        <v>-2572.5</v>
      </c>
      <c r="H86" s="853">
        <f t="shared" si="155"/>
        <v>-2389.4499999999998</v>
      </c>
      <c r="I86" s="853">
        <f t="shared" si="155"/>
        <v>-2807.7</v>
      </c>
      <c r="J86" s="853">
        <f t="shared" si="155"/>
        <v>-2482.8999999999996</v>
      </c>
      <c r="K86" s="853">
        <f t="shared" si="155"/>
        <v>-2892.3999999999996</v>
      </c>
      <c r="L86" s="853">
        <f t="shared" si="155"/>
        <v>-2794.3999999999996</v>
      </c>
      <c r="M86" s="853">
        <f t="shared" si="155"/>
        <v>-3209.1499999999996</v>
      </c>
      <c r="N86" s="853">
        <f t="shared" si="155"/>
        <v>-1814.61</v>
      </c>
      <c r="O86" s="853">
        <f t="shared" si="155"/>
        <v>-2242.7999999999997</v>
      </c>
      <c r="P86" s="853">
        <f t="shared" si="155"/>
        <v>-2146.41</v>
      </c>
      <c r="Q86" s="853">
        <f t="shared" si="155"/>
        <v>-2180.85</v>
      </c>
      <c r="R86" s="853">
        <f t="shared" si="155"/>
        <v>-2202.06</v>
      </c>
      <c r="S86" s="853">
        <f t="shared" si="155"/>
        <v>-2645.16</v>
      </c>
      <c r="T86" s="853">
        <f t="shared" si="155"/>
        <v>-2664.06</v>
      </c>
      <c r="U86" s="853">
        <f t="shared" si="155"/>
        <v>-2957.85</v>
      </c>
      <c r="V86" s="853">
        <f t="shared" si="155"/>
        <v>-2697.0299999999997</v>
      </c>
      <c r="W86" s="853">
        <f t="shared" si="155"/>
        <v>-2818.62</v>
      </c>
      <c r="X86" s="853">
        <f t="shared" si="155"/>
        <v>-3386.04</v>
      </c>
      <c r="Y86" s="853">
        <f t="shared" si="155"/>
        <v>-3850.77</v>
      </c>
      <c r="Z86" s="853">
        <f t="shared" si="155"/>
        <v>-3619.56</v>
      </c>
      <c r="AA86" s="853">
        <f t="shared" si="155"/>
        <v>-4075.0499999999997</v>
      </c>
      <c r="AB86" s="853">
        <f t="shared" si="155"/>
        <v>-4310.04</v>
      </c>
      <c r="AC86" s="853">
        <f t="shared" si="155"/>
        <v>-4728.1499999999996</v>
      </c>
      <c r="AD86" s="853">
        <f t="shared" si="155"/>
        <v>-4239.8999999999996</v>
      </c>
      <c r="AE86" s="853">
        <f t="shared" si="155"/>
        <v>-4302.2699999999995</v>
      </c>
      <c r="AF86" s="853">
        <f t="shared" si="155"/>
        <v>-4530.12</v>
      </c>
      <c r="AG86" s="853">
        <f t="shared" si="155"/>
        <v>-4678.8682536583865</v>
      </c>
      <c r="AH86" s="853">
        <f t="shared" si="155"/>
        <v>-4340.3571250188525</v>
      </c>
      <c r="AI86" s="853">
        <f t="shared" si="155"/>
        <v>-4544.5790424591305</v>
      </c>
      <c r="AK86" s="853">
        <f t="shared" ref="AK86:AW86" si="156">+AK61</f>
        <v>-5819.7999999999993</v>
      </c>
      <c r="AL86" s="853">
        <f t="shared" si="156"/>
        <v>-6391.7</v>
      </c>
      <c r="AM86" s="853">
        <f t="shared" si="156"/>
        <v>-7035.3499999999995</v>
      </c>
      <c r="AN86" s="853">
        <f t="shared" si="156"/>
        <v>-8334.9</v>
      </c>
      <c r="AO86" s="853">
        <f t="shared" si="156"/>
        <v>-6937.3499999999995</v>
      </c>
      <c r="AP86" s="853">
        <f t="shared" si="156"/>
        <v>-8754.5499999999993</v>
      </c>
      <c r="AQ86" s="853">
        <f t="shared" si="156"/>
        <v>-9824.8499999999985</v>
      </c>
      <c r="AR86" s="853">
        <f t="shared" si="156"/>
        <v>-9961</v>
      </c>
      <c r="AS86" s="853">
        <f t="shared" si="156"/>
        <v>-9724.75</v>
      </c>
      <c r="AT86" s="853">
        <f t="shared" si="156"/>
        <v>-9781.4499999999989</v>
      </c>
      <c r="AU86" s="853">
        <f t="shared" si="156"/>
        <v>-9981.2999999999993</v>
      </c>
      <c r="AV86" s="853">
        <f t="shared" si="156"/>
        <v>-7603.0499999999993</v>
      </c>
      <c r="AW86" s="853">
        <f t="shared" si="156"/>
        <v>-7633.15</v>
      </c>
      <c r="AY86" s="853">
        <f t="shared" ref="AY86:BF86" si="157">+AY61</f>
        <v>-9362.15</v>
      </c>
      <c r="AZ86" s="853">
        <f t="shared" si="157"/>
        <v>-10572.449999999999</v>
      </c>
      <c r="BA86" s="853">
        <f t="shared" si="157"/>
        <v>-10060.959999999999</v>
      </c>
      <c r="BB86" s="853">
        <f t="shared" si="157"/>
        <v>-9174.48</v>
      </c>
      <c r="BC86" s="853">
        <f t="shared" si="157"/>
        <v>-11137.559999999998</v>
      </c>
      <c r="BD86" s="853">
        <f t="shared" si="157"/>
        <v>-14931.419999999998</v>
      </c>
      <c r="BE86" s="853">
        <f t="shared" si="157"/>
        <v>-17580.359999999997</v>
      </c>
      <c r="BF86" s="853">
        <f t="shared" si="157"/>
        <v>-18093.924421136369</v>
      </c>
    </row>
    <row r="87" spans="2:60" s="1" customFormat="1" ht="10.5">
      <c r="B87" s="837" t="s">
        <v>141</v>
      </c>
      <c r="D87" s="838">
        <f t="shared" ref="D87:AI87" si="158">SUM(D83:D86)</f>
        <v>3874.65</v>
      </c>
      <c r="E87" s="838">
        <f t="shared" si="158"/>
        <v>4297.4500000000007</v>
      </c>
      <c r="F87" s="838">
        <f t="shared" si="158"/>
        <v>3349.25</v>
      </c>
      <c r="G87" s="838">
        <f t="shared" si="158"/>
        <v>3587.5</v>
      </c>
      <c r="H87" s="838">
        <f t="shared" si="158"/>
        <v>3953.55</v>
      </c>
      <c r="I87" s="838">
        <f t="shared" si="158"/>
        <v>4880.3</v>
      </c>
      <c r="J87" s="838">
        <f t="shared" si="158"/>
        <v>4964.1000000000004</v>
      </c>
      <c r="K87" s="838">
        <f t="shared" si="158"/>
        <v>4414.6000000000004</v>
      </c>
      <c r="L87" s="838">
        <f t="shared" si="158"/>
        <v>4988.6000000000004</v>
      </c>
      <c r="M87" s="838">
        <f t="shared" si="158"/>
        <v>5195.8500000000004</v>
      </c>
      <c r="N87" s="838">
        <f t="shared" si="158"/>
        <v>6036.39</v>
      </c>
      <c r="O87" s="838">
        <f t="shared" si="158"/>
        <v>6853.2000000000007</v>
      </c>
      <c r="P87" s="838">
        <f t="shared" si="158"/>
        <v>6611.59</v>
      </c>
      <c r="Q87" s="838">
        <f t="shared" si="158"/>
        <v>7299.15</v>
      </c>
      <c r="R87" s="838">
        <f t="shared" si="158"/>
        <v>7809.9400000000005</v>
      </c>
      <c r="S87" s="838">
        <f t="shared" si="158"/>
        <v>7574.84</v>
      </c>
      <c r="T87" s="838">
        <f t="shared" si="158"/>
        <v>8192.94</v>
      </c>
      <c r="U87" s="838">
        <f t="shared" si="158"/>
        <v>9830.15</v>
      </c>
      <c r="V87" s="838">
        <f t="shared" si="158"/>
        <v>9363.9700000000012</v>
      </c>
      <c r="W87" s="838">
        <f t="shared" si="158"/>
        <v>8307.380000000001</v>
      </c>
      <c r="X87" s="838">
        <f t="shared" si="158"/>
        <v>9882.9599999999991</v>
      </c>
      <c r="Y87" s="838">
        <f t="shared" si="158"/>
        <v>11847.23</v>
      </c>
      <c r="Z87" s="838">
        <f t="shared" si="158"/>
        <v>10552.44</v>
      </c>
      <c r="AA87" s="838">
        <f t="shared" si="158"/>
        <v>11373.95</v>
      </c>
      <c r="AB87" s="838">
        <f t="shared" si="158"/>
        <v>12025.96</v>
      </c>
      <c r="AC87" s="838">
        <f t="shared" si="158"/>
        <v>14482.85</v>
      </c>
      <c r="AD87" s="838">
        <f t="shared" si="158"/>
        <v>13423.1</v>
      </c>
      <c r="AE87" s="838">
        <f t="shared" si="158"/>
        <v>11463.73</v>
      </c>
      <c r="AF87" s="838">
        <f t="shared" si="158"/>
        <v>13231.880000000001</v>
      </c>
      <c r="AG87" s="838">
        <f t="shared" si="158"/>
        <v>13926.536851083249</v>
      </c>
      <c r="AH87" s="838">
        <f t="shared" si="158"/>
        <v>13045.729201155073</v>
      </c>
      <c r="AI87" s="838">
        <f t="shared" si="158"/>
        <v>11531.976569908766</v>
      </c>
      <c r="AK87" s="838">
        <f t="shared" ref="AK87:AW87" si="159">SUM(AK83:AK86)</f>
        <v>10851.2</v>
      </c>
      <c r="AL87" s="838">
        <f t="shared" si="159"/>
        <v>11195.3</v>
      </c>
      <c r="AM87" s="838">
        <f t="shared" si="159"/>
        <v>12241.650000000001</v>
      </c>
      <c r="AN87" s="838">
        <f t="shared" si="159"/>
        <v>14353.1</v>
      </c>
      <c r="AO87" s="838">
        <f t="shared" si="159"/>
        <v>12326.650000000001</v>
      </c>
      <c r="AP87" s="838">
        <f t="shared" si="159"/>
        <v>16954.45</v>
      </c>
      <c r="AQ87" s="838">
        <f t="shared" si="159"/>
        <v>18657.150000000001</v>
      </c>
      <c r="AR87" s="838">
        <f t="shared" si="159"/>
        <v>19701</v>
      </c>
      <c r="AS87" s="838">
        <f t="shared" si="159"/>
        <v>17018.25</v>
      </c>
      <c r="AT87" s="838">
        <f t="shared" si="159"/>
        <v>17892.550000000003</v>
      </c>
      <c r="AU87" s="838">
        <f t="shared" si="159"/>
        <v>18549.7</v>
      </c>
      <c r="AV87" s="838">
        <f t="shared" si="159"/>
        <v>18484.95</v>
      </c>
      <c r="AW87" s="838">
        <f t="shared" si="159"/>
        <v>19460.849999999999</v>
      </c>
      <c r="AY87" s="838">
        <f t="shared" ref="AY87:BF87" si="160">SUM(AY83:AY86)</f>
        <v>15108.85</v>
      </c>
      <c r="AZ87" s="838">
        <f t="shared" si="160"/>
        <v>18212.550000000003</v>
      </c>
      <c r="BA87" s="838">
        <f t="shared" si="160"/>
        <v>23074.04</v>
      </c>
      <c r="BB87" s="838">
        <f t="shared" si="160"/>
        <v>29295.52</v>
      </c>
      <c r="BC87" s="838">
        <f t="shared" si="160"/>
        <v>35694.44</v>
      </c>
      <c r="BD87" s="838">
        <f t="shared" si="160"/>
        <v>43656.58</v>
      </c>
      <c r="BE87" s="838">
        <f t="shared" si="160"/>
        <v>51395.64</v>
      </c>
      <c r="BF87" s="838">
        <f t="shared" si="160"/>
        <v>51736.122622147086</v>
      </c>
    </row>
    <row r="88" spans="2:60" s="1" customFormat="1" ht="10.5">
      <c r="B88" s="837" t="s">
        <v>311</v>
      </c>
      <c r="D88" s="854">
        <f t="shared" ref="D88:AI88" si="161">+D87/D63</f>
        <v>0.47929861454725387</v>
      </c>
      <c r="E88" s="854">
        <f t="shared" si="161"/>
        <v>0.5337784126195505</v>
      </c>
      <c r="F88" s="854">
        <f t="shared" si="161"/>
        <v>0.41944270507201004</v>
      </c>
      <c r="G88" s="854">
        <f t="shared" si="161"/>
        <v>0.45245302055744735</v>
      </c>
      <c r="H88" s="854">
        <f t="shared" si="161"/>
        <v>0.50197435246317934</v>
      </c>
      <c r="I88" s="854">
        <f t="shared" si="161"/>
        <v>0.6232822477650064</v>
      </c>
      <c r="J88" s="854">
        <f t="shared" si="161"/>
        <v>0.6353641366952516</v>
      </c>
      <c r="K88" s="854">
        <f t="shared" si="161"/>
        <v>0.56553932872149637</v>
      </c>
      <c r="L88" s="854">
        <f t="shared" si="161"/>
        <v>0.63964610847544556</v>
      </c>
      <c r="M88" s="854">
        <f t="shared" si="161"/>
        <v>0.67391050583657597</v>
      </c>
      <c r="N88" s="854">
        <f t="shared" si="161"/>
        <v>0.77449191685912244</v>
      </c>
      <c r="O88" s="854">
        <f t="shared" si="161"/>
        <v>0.88144051446945348</v>
      </c>
      <c r="P88" s="854">
        <f t="shared" si="161"/>
        <v>0.85135075972186458</v>
      </c>
      <c r="Q88" s="854">
        <f t="shared" si="161"/>
        <v>0.93964340885684861</v>
      </c>
      <c r="R88" s="854">
        <f t="shared" si="161"/>
        <v>1.008514979338843</v>
      </c>
      <c r="S88" s="854">
        <f t="shared" si="161"/>
        <v>0.97942073959141451</v>
      </c>
      <c r="T88" s="854">
        <f t="shared" si="161"/>
        <v>1.0626381322957199</v>
      </c>
      <c r="U88" s="854">
        <f t="shared" si="161"/>
        <v>1.2742318224740321</v>
      </c>
      <c r="V88" s="854">
        <f t="shared" si="161"/>
        <v>1.2200612377850164</v>
      </c>
      <c r="W88" s="854">
        <f t="shared" si="161"/>
        <v>1.085932026143791</v>
      </c>
      <c r="X88" s="854">
        <f t="shared" si="161"/>
        <v>1.2940893020819693</v>
      </c>
      <c r="Y88" s="854">
        <f t="shared" si="161"/>
        <v>1.5555711659663864</v>
      </c>
      <c r="Z88" s="854">
        <f t="shared" si="161"/>
        <v>1.3890272475977361</v>
      </c>
      <c r="AA88" s="854">
        <f t="shared" si="161"/>
        <v>1.5003231763619576</v>
      </c>
      <c r="AB88" s="854">
        <f t="shared" si="161"/>
        <v>1.5892639090788951</v>
      </c>
      <c r="AC88" s="854">
        <f t="shared" si="161"/>
        <v>1.9169887491727333</v>
      </c>
      <c r="AD88" s="854">
        <f t="shared" si="161"/>
        <v>1.7816697637377223</v>
      </c>
      <c r="AE88" s="854">
        <f t="shared" si="161"/>
        <v>1.5272755129229949</v>
      </c>
      <c r="AF88" s="854">
        <f t="shared" si="161"/>
        <v>1.7677862391449568</v>
      </c>
      <c r="AG88" s="854">
        <f t="shared" si="161"/>
        <v>1.8605927656757848</v>
      </c>
      <c r="AH88" s="854">
        <f t="shared" si="161"/>
        <v>1.7429163929398894</v>
      </c>
      <c r="AI88" s="854">
        <f t="shared" si="161"/>
        <v>1.5406782324527408</v>
      </c>
      <c r="AK88" s="854">
        <f t="shared" ref="AK88:AW88" si="162">+AK87/AK63</f>
        <v>1.3956527331189712</v>
      </c>
      <c r="AL88" s="854">
        <f t="shared" si="162"/>
        <v>1.4399099678456591</v>
      </c>
      <c r="AM88" s="854">
        <f t="shared" si="162"/>
        <v>1.5744887459807075</v>
      </c>
      <c r="AN88" s="854">
        <f t="shared" si="162"/>
        <v>1.8460578778135048</v>
      </c>
      <c r="AO88" s="854">
        <f t="shared" si="162"/>
        <v>1.5854212218649519</v>
      </c>
      <c r="AP88" s="854">
        <f t="shared" si="162"/>
        <v>2.180636655948553</v>
      </c>
      <c r="AQ88" s="854">
        <f t="shared" si="162"/>
        <v>2.3996334405144695</v>
      </c>
      <c r="AR88" s="854">
        <f t="shared" si="162"/>
        <v>2.5338906752411576</v>
      </c>
      <c r="AS88" s="854">
        <f t="shared" si="162"/>
        <v>2.1888424437299037</v>
      </c>
      <c r="AT88" s="854">
        <f t="shared" si="162"/>
        <v>2.301292604501608</v>
      </c>
      <c r="AU88" s="854">
        <f t="shared" si="162"/>
        <v>2.385813504823151</v>
      </c>
      <c r="AV88" s="854">
        <f t="shared" si="162"/>
        <v>2.3601825842696629</v>
      </c>
      <c r="AW88" s="854">
        <f t="shared" si="162"/>
        <v>2.4969014626635873</v>
      </c>
      <c r="AY88" s="854">
        <f t="shared" ref="AY88:BF88" si="163">+AY87/AY63</f>
        <v>1.8857187431745142</v>
      </c>
      <c r="AZ88" s="854">
        <f t="shared" si="163"/>
        <v>2.3256249002394256</v>
      </c>
      <c r="BA88" s="854">
        <f t="shared" si="163"/>
        <v>2.9698230259347449</v>
      </c>
      <c r="BB88" s="854">
        <f t="shared" si="163"/>
        <v>3.778604411195666</v>
      </c>
      <c r="BC88" s="854">
        <f t="shared" si="163"/>
        <v>4.6432441869104935</v>
      </c>
      <c r="BD88" s="854">
        <f t="shared" si="163"/>
        <v>5.7384351483684402</v>
      </c>
      <c r="BE88" s="854">
        <f t="shared" si="163"/>
        <v>6.8159458921822162</v>
      </c>
      <c r="BF88" s="854">
        <f t="shared" si="163"/>
        <v>6.9119736302133701</v>
      </c>
      <c r="BH88"/>
    </row>
    <row r="89" spans="2:60" s="1" customFormat="1" ht="10.5">
      <c r="B89" s="841" t="s">
        <v>113</v>
      </c>
      <c r="C89" s="7"/>
      <c r="D89" s="7"/>
      <c r="E89" s="7"/>
      <c r="F89" s="7"/>
      <c r="G89" s="7"/>
      <c r="H89" s="855">
        <f>IFERROR(H88/D88-1,"n/a ")</f>
        <v>4.7310251329111486E-2</v>
      </c>
      <c r="I89" s="855">
        <f t="shared" ref="I89:AI89" si="164">IFERROR(I88/E88-1,"n/a ")</f>
        <v>0.16767975817195446</v>
      </c>
      <c r="J89" s="855">
        <f t="shared" si="164"/>
        <v>0.51478170680348856</v>
      </c>
      <c r="K89" s="855">
        <f t="shared" si="164"/>
        <v>0.24994044248996361</v>
      </c>
      <c r="L89" s="855">
        <f t="shared" si="164"/>
        <v>0.27426053808668382</v>
      </c>
      <c r="M89" s="855">
        <f t="shared" si="164"/>
        <v>8.1228461508593641E-2</v>
      </c>
      <c r="N89" s="855">
        <f t="shared" si="164"/>
        <v>0.21897329756054917</v>
      </c>
      <c r="O89" s="855">
        <f t="shared" si="164"/>
        <v>0.55858393873704371</v>
      </c>
      <c r="P89" s="855">
        <f t="shared" si="164"/>
        <v>0.33097153010279867</v>
      </c>
      <c r="Q89" s="855">
        <f t="shared" si="164"/>
        <v>0.39431482477098112</v>
      </c>
      <c r="R89" s="855">
        <f t="shared" si="164"/>
        <v>0.30216333751910374</v>
      </c>
      <c r="S89" s="855">
        <f t="shared" si="164"/>
        <v>0.11115920304722571</v>
      </c>
      <c r="T89" s="855">
        <f t="shared" si="164"/>
        <v>0.24817899104580898</v>
      </c>
      <c r="U89" s="855">
        <f t="shared" si="164"/>
        <v>0.35608020070532609</v>
      </c>
      <c r="V89" s="855">
        <f t="shared" si="164"/>
        <v>0.20976015505972723</v>
      </c>
      <c r="W89" s="855">
        <f t="shared" si="164"/>
        <v>0.10874926601698243</v>
      </c>
      <c r="X89" s="855">
        <f t="shared" si="164"/>
        <v>0.21780807854713724</v>
      </c>
      <c r="Y89" s="855">
        <f t="shared" si="164"/>
        <v>0.22079133367279247</v>
      </c>
      <c r="Z89" s="855">
        <f t="shared" si="164"/>
        <v>0.13848977787334049</v>
      </c>
      <c r="AA89" s="855">
        <f t="shared" si="164"/>
        <v>0.3815995294748733</v>
      </c>
      <c r="AB89" s="855">
        <f t="shared" si="164"/>
        <v>0.22809446498169805</v>
      </c>
      <c r="AC89" s="855">
        <f t="shared" si="164"/>
        <v>0.23233754334975676</v>
      </c>
      <c r="AD89" s="855">
        <f t="shared" si="164"/>
        <v>0.282674452080796</v>
      </c>
      <c r="AE89" s="855">
        <f t="shared" si="164"/>
        <v>1.796435393765794E-2</v>
      </c>
      <c r="AF89" s="855">
        <f t="shared" si="164"/>
        <v>0.11233019830515723</v>
      </c>
      <c r="AG89" s="855">
        <f t="shared" si="164"/>
        <v>-2.9419047723303504E-2</v>
      </c>
      <c r="AH89" s="855">
        <f t="shared" si="164"/>
        <v>-2.1751152534874474E-2</v>
      </c>
      <c r="AI89" s="855">
        <f t="shared" si="164"/>
        <v>8.775574162185773E-3</v>
      </c>
      <c r="AJ89" s="7"/>
      <c r="AK89" s="7"/>
      <c r="AL89" s="855">
        <f>IFERROR(AL88/AK88-1,"n/a ")</f>
        <v>3.171077853140658E-2</v>
      </c>
      <c r="AM89" s="855">
        <f t="shared" ref="AM89:AW89" si="165">IFERROR(AM88/AL88-1,"n/a ")</f>
        <v>9.3463328361008902E-2</v>
      </c>
      <c r="AN89" s="855">
        <f t="shared" si="165"/>
        <v>0.17248083387451851</v>
      </c>
      <c r="AO89" s="855">
        <f t="shared" si="165"/>
        <v>-0.14118552786506045</v>
      </c>
      <c r="AP89" s="855">
        <f t="shared" si="165"/>
        <v>0.37543046975455607</v>
      </c>
      <c r="AQ89" s="855">
        <f t="shared" si="165"/>
        <v>0.10042791125633688</v>
      </c>
      <c r="AR89" s="855">
        <f t="shared" si="165"/>
        <v>5.594905974385167E-2</v>
      </c>
      <c r="AS89" s="855">
        <f t="shared" si="165"/>
        <v>-0.13617329069590378</v>
      </c>
      <c r="AT89" s="855">
        <f t="shared" si="165"/>
        <v>5.1374259985603743E-2</v>
      </c>
      <c r="AU89" s="855">
        <f t="shared" si="165"/>
        <v>3.6727576561194297E-2</v>
      </c>
      <c r="AV89" s="855">
        <f t="shared" si="165"/>
        <v>-1.0743052842006606E-2</v>
      </c>
      <c r="AW89" s="855">
        <f t="shared" si="165"/>
        <v>5.7927246521154441E-2</v>
      </c>
      <c r="AX89" s="7"/>
      <c r="AY89" s="1012">
        <f t="shared" ref="AY89" si="166">+AV89</f>
        <v>-1.0743052842006606E-2</v>
      </c>
      <c r="AZ89" s="1012">
        <f t="shared" ref="AZ89" si="167">+AW89</f>
        <v>5.7927246521154441E-2</v>
      </c>
      <c r="BA89" s="855">
        <f t="shared" ref="BA89:BF89" si="168">IFERROR(BA88/AZ88-1,"n/a ")</f>
        <v>0.27700001218124148</v>
      </c>
      <c r="BB89" s="855">
        <f t="shared" si="168"/>
        <v>0.27233319231416453</v>
      </c>
      <c r="BC89" s="855">
        <f t="shared" si="168"/>
        <v>0.22882516443186729</v>
      </c>
      <c r="BD89" s="855">
        <f t="shared" si="168"/>
        <v>0.23586762129489935</v>
      </c>
      <c r="BE89" s="855">
        <f t="shared" si="168"/>
        <v>0.18777083228345548</v>
      </c>
      <c r="BF89" s="855">
        <f t="shared" si="168"/>
        <v>1.4088688430067497E-2</v>
      </c>
    </row>
    <row r="91" spans="2:60">
      <c r="B91" t="s">
        <v>142</v>
      </c>
      <c r="D91" s="8">
        <f t="shared" ref="D91:AF91" si="169">+D582</f>
        <v>674</v>
      </c>
      <c r="E91" s="8">
        <f t="shared" si="169"/>
        <v>658</v>
      </c>
      <c r="F91" s="8">
        <f t="shared" si="169"/>
        <v>672</v>
      </c>
      <c r="G91" s="8">
        <f t="shared" si="169"/>
        <v>664</v>
      </c>
      <c r="H91" s="8">
        <f t="shared" si="169"/>
        <v>703</v>
      </c>
      <c r="I91" s="8">
        <f t="shared" si="169"/>
        <v>767</v>
      </c>
      <c r="J91" s="8">
        <f t="shared" si="169"/>
        <v>883</v>
      </c>
      <c r="K91" s="8">
        <f t="shared" si="169"/>
        <v>913</v>
      </c>
      <c r="L91" s="8">
        <f t="shared" si="169"/>
        <v>973</v>
      </c>
      <c r="M91" s="8">
        <f t="shared" si="169"/>
        <v>986</v>
      </c>
      <c r="N91" s="8">
        <f t="shared" si="169"/>
        <v>969</v>
      </c>
      <c r="O91" s="8">
        <f t="shared" si="169"/>
        <v>1012</v>
      </c>
      <c r="P91" s="8">
        <f t="shared" si="169"/>
        <v>1107</v>
      </c>
      <c r="Q91" s="8">
        <f t="shared" si="169"/>
        <v>1183</v>
      </c>
      <c r="R91" s="8">
        <f t="shared" si="169"/>
        <v>1172</v>
      </c>
      <c r="S91" s="8">
        <f t="shared" si="169"/>
        <v>1190</v>
      </c>
      <c r="T91" s="8">
        <f t="shared" si="169"/>
        <v>1262</v>
      </c>
      <c r="U91" s="8">
        <f t="shared" si="169"/>
        <v>1340</v>
      </c>
      <c r="V91" s="8">
        <f t="shared" si="169"/>
        <v>1338</v>
      </c>
      <c r="W91" s="8">
        <f t="shared" si="169"/>
        <v>1349</v>
      </c>
      <c r="X91" s="8">
        <f t="shared" si="169"/>
        <v>1456</v>
      </c>
      <c r="Y91" s="8">
        <f t="shared" si="169"/>
        <v>1566</v>
      </c>
      <c r="Z91" s="8">
        <f t="shared" si="169"/>
        <v>1525</v>
      </c>
      <c r="AA91" s="8">
        <f t="shared" si="169"/>
        <v>1571</v>
      </c>
      <c r="AB91" s="8">
        <f t="shared" si="169"/>
        <v>1702</v>
      </c>
      <c r="AC91" s="8">
        <f t="shared" si="169"/>
        <v>1897</v>
      </c>
      <c r="AD91" s="8">
        <f t="shared" si="169"/>
        <v>1906</v>
      </c>
      <c r="AE91" s="8">
        <f t="shared" si="169"/>
        <v>1997</v>
      </c>
      <c r="AF91" s="8">
        <f t="shared" si="169"/>
        <v>2192</v>
      </c>
      <c r="AG91" s="61">
        <v>0</v>
      </c>
      <c r="AH91" s="61">
        <v>0</v>
      </c>
      <c r="AI91" s="61">
        <v>0</v>
      </c>
      <c r="AK91" s="8">
        <f t="shared" ref="AK91:AW91" si="170">+AK582</f>
        <v>2448</v>
      </c>
      <c r="AL91" s="8">
        <f t="shared" si="170"/>
        <v>1715</v>
      </c>
      <c r="AM91" s="8">
        <f t="shared" si="170"/>
        <v>1550</v>
      </c>
      <c r="AN91" s="8">
        <f t="shared" si="170"/>
        <v>1479</v>
      </c>
      <c r="AO91" s="8">
        <f t="shared" si="170"/>
        <v>1708</v>
      </c>
      <c r="AP91" s="8">
        <f t="shared" si="170"/>
        <v>1891</v>
      </c>
      <c r="AQ91" s="8">
        <f t="shared" si="170"/>
        <v>2166</v>
      </c>
      <c r="AR91" s="8">
        <f t="shared" si="170"/>
        <v>2244</v>
      </c>
      <c r="AS91" s="8">
        <f t="shared" si="170"/>
        <v>2406</v>
      </c>
      <c r="AT91" s="8">
        <f t="shared" si="170"/>
        <v>2446</v>
      </c>
      <c r="AU91" s="8">
        <f t="shared" si="170"/>
        <v>2574</v>
      </c>
      <c r="AV91" s="8">
        <f t="shared" si="170"/>
        <v>2668</v>
      </c>
      <c r="AW91" s="8">
        <f t="shared" si="170"/>
        <v>3266</v>
      </c>
      <c r="AY91" s="8">
        <f>+SUM(D91:G91)</f>
        <v>2668</v>
      </c>
      <c r="AZ91" s="8">
        <f>+AZ582</f>
        <v>3266</v>
      </c>
      <c r="BA91" s="8">
        <f>+BA582</f>
        <v>3940</v>
      </c>
      <c r="BB91" s="8">
        <f t="shared" ref="BB91:BC91" si="171">+BB582</f>
        <v>4652</v>
      </c>
      <c r="BC91" s="8">
        <f t="shared" si="171"/>
        <v>5289</v>
      </c>
      <c r="BD91" s="8">
        <f>SUM(X91:AA91)</f>
        <v>6118</v>
      </c>
      <c r="BE91" s="8">
        <f t="shared" ref="BE91" si="172">SUM(AB91:AE91)</f>
        <v>7502</v>
      </c>
      <c r="BF91" s="8">
        <f>SUM(AF91:AI91)</f>
        <v>2192</v>
      </c>
      <c r="BG91" s="8"/>
    </row>
    <row r="92" spans="2:60" s="100" customFormat="1">
      <c r="B92" s="100" t="s">
        <v>312</v>
      </c>
      <c r="D92" s="856" t="s">
        <v>271</v>
      </c>
      <c r="E92" s="856" t="s">
        <v>271</v>
      </c>
      <c r="F92" s="856" t="s">
        <v>271</v>
      </c>
      <c r="G92" s="856" t="s">
        <v>271</v>
      </c>
      <c r="H92" s="856" t="s">
        <v>271</v>
      </c>
      <c r="I92" s="856" t="s">
        <v>271</v>
      </c>
      <c r="J92" s="856" t="s">
        <v>271</v>
      </c>
      <c r="K92" s="856" t="s">
        <v>271</v>
      </c>
      <c r="L92" s="856" t="s">
        <v>271</v>
      </c>
      <c r="M92" s="856" t="s">
        <v>271</v>
      </c>
      <c r="N92" s="856" t="s">
        <v>271</v>
      </c>
      <c r="O92" s="856" t="s">
        <v>271</v>
      </c>
      <c r="P92" s="856" t="s">
        <v>271</v>
      </c>
      <c r="Q92" s="856" t="s">
        <v>271</v>
      </c>
      <c r="R92" s="856" t="s">
        <v>271</v>
      </c>
      <c r="S92" s="856" t="s">
        <v>271</v>
      </c>
      <c r="T92" s="856" t="s">
        <v>271</v>
      </c>
      <c r="U92" s="856" t="s">
        <v>271</v>
      </c>
      <c r="V92" s="856" t="s">
        <v>271</v>
      </c>
      <c r="W92" s="856" t="s">
        <v>271</v>
      </c>
      <c r="X92" s="856" t="s">
        <v>271</v>
      </c>
      <c r="Y92" s="856" t="s">
        <v>271</v>
      </c>
      <c r="Z92" s="856" t="s">
        <v>271</v>
      </c>
      <c r="AA92" s="856" t="s">
        <v>271</v>
      </c>
      <c r="AB92" s="856" t="s">
        <v>271</v>
      </c>
      <c r="AC92" s="856" t="s">
        <v>271</v>
      </c>
      <c r="AD92" s="856" t="s">
        <v>271</v>
      </c>
      <c r="AE92" s="856" t="s">
        <v>271</v>
      </c>
      <c r="AF92" s="856" t="s">
        <v>271</v>
      </c>
      <c r="AG92" s="61">
        <v>0</v>
      </c>
      <c r="AH92" s="61">
        <v>0</v>
      </c>
      <c r="AI92" s="61">
        <v>0</v>
      </c>
      <c r="AK92" s="11">
        <f t="shared" ref="AK92:AW92" si="173">-AK623-AK86</f>
        <v>1489.7999999999993</v>
      </c>
      <c r="AL92" s="11">
        <f t="shared" si="173"/>
        <v>1591.6999999999998</v>
      </c>
      <c r="AM92" s="11">
        <f t="shared" si="173"/>
        <v>1835.3499999999995</v>
      </c>
      <c r="AN92" s="11">
        <f t="shared" si="173"/>
        <v>2934.8999999999996</v>
      </c>
      <c r="AO92" s="11">
        <f t="shared" si="173"/>
        <v>337.34999999999945</v>
      </c>
      <c r="AP92" s="11">
        <f t="shared" si="173"/>
        <v>4654.5499999999993</v>
      </c>
      <c r="AQ92" s="11">
        <f t="shared" si="173"/>
        <v>4524.8499999999985</v>
      </c>
      <c r="AR92" s="11">
        <f t="shared" si="173"/>
        <v>6461</v>
      </c>
      <c r="AS92" s="11">
        <f t="shared" si="173"/>
        <v>5824.75</v>
      </c>
      <c r="AT92" s="11">
        <f t="shared" si="173"/>
        <v>4281.4499999999989</v>
      </c>
      <c r="AU92" s="11">
        <f t="shared" si="173"/>
        <v>5581.2999999999993</v>
      </c>
      <c r="AV92" s="11">
        <f t="shared" si="173"/>
        <v>3703.0499999999993</v>
      </c>
      <c r="AW92" s="11">
        <f t="shared" si="173"/>
        <v>5233.1499999999996</v>
      </c>
      <c r="AY92" s="11">
        <f t="shared" ref="AY92:BE92" si="174">-AY623-AY86</f>
        <v>5462.15</v>
      </c>
      <c r="AZ92" s="11">
        <f t="shared" si="174"/>
        <v>8172.4499999999989</v>
      </c>
      <c r="BA92" s="11">
        <f t="shared" si="174"/>
        <v>4560.9599999999991</v>
      </c>
      <c r="BB92" s="11">
        <f t="shared" si="174"/>
        <v>774.47999999999956</v>
      </c>
      <c r="BC92" s="11">
        <f t="shared" si="174"/>
        <v>-1362.4400000000023</v>
      </c>
      <c r="BD92" s="11">
        <f t="shared" si="174"/>
        <v>1531.4199999999983</v>
      </c>
      <c r="BE92" s="11">
        <f t="shared" si="174"/>
        <v>1580.3599999999969</v>
      </c>
      <c r="BF92" s="857">
        <f t="shared" ref="BF92:BF94" si="175">SUM(AF92:AI92)</f>
        <v>0</v>
      </c>
    </row>
    <row r="93" spans="2:60" ht="11.45">
      <c r="B93" t="s">
        <v>198</v>
      </c>
      <c r="D93" s="10">
        <f t="shared" ref="D93:AF93" si="176">+D94-SUM(D91:D92,D87)</f>
        <v>2827.3500000000004</v>
      </c>
      <c r="E93" s="10">
        <f t="shared" si="176"/>
        <v>-1337.4500000000007</v>
      </c>
      <c r="F93" s="10">
        <f t="shared" si="176"/>
        <v>4045.75</v>
      </c>
      <c r="G93" s="10">
        <f t="shared" si="176"/>
        <v>1112.5</v>
      </c>
      <c r="H93" s="10">
        <f t="shared" si="176"/>
        <v>4592.45</v>
      </c>
      <c r="I93" s="10">
        <f t="shared" si="176"/>
        <v>-1854.3000000000002</v>
      </c>
      <c r="J93" s="10">
        <f t="shared" si="176"/>
        <v>2712.8999999999996</v>
      </c>
      <c r="K93" s="10">
        <f t="shared" si="176"/>
        <v>2377.3999999999996</v>
      </c>
      <c r="L93" s="10">
        <f t="shared" si="176"/>
        <v>3778.3999999999996</v>
      </c>
      <c r="M93" s="10">
        <f t="shared" si="176"/>
        <v>-1606.8500000000004</v>
      </c>
      <c r="N93" s="10">
        <f t="shared" si="176"/>
        <v>1645.6099999999997</v>
      </c>
      <c r="O93" s="10">
        <f t="shared" si="176"/>
        <v>-547.20000000000073</v>
      </c>
      <c r="P93" s="10">
        <f t="shared" si="176"/>
        <v>1638.4099999999999</v>
      </c>
      <c r="Q93" s="10">
        <f t="shared" si="176"/>
        <v>-3482.1499999999996</v>
      </c>
      <c r="R93" s="10">
        <f t="shared" si="176"/>
        <v>1138.0599999999995</v>
      </c>
      <c r="S93" s="10">
        <f t="shared" si="176"/>
        <v>2043.1599999999999</v>
      </c>
      <c r="T93" s="10">
        <f t="shared" si="176"/>
        <v>-436.94000000000051</v>
      </c>
      <c r="U93" s="10">
        <f t="shared" si="176"/>
        <v>-4990.1499999999996</v>
      </c>
      <c r="V93" s="10">
        <f t="shared" si="176"/>
        <v>2902.0299999999988</v>
      </c>
      <c r="W93" s="10">
        <f t="shared" si="176"/>
        <v>3216.619999999999</v>
      </c>
      <c r="X93" s="10">
        <f t="shared" si="176"/>
        <v>2496.0400000000009</v>
      </c>
      <c r="Y93" s="10">
        <f t="shared" si="176"/>
        <v>-6297.23</v>
      </c>
      <c r="Z93" s="10">
        <f t="shared" si="176"/>
        <v>4101.5599999999995</v>
      </c>
      <c r="AA93" s="10">
        <f t="shared" si="176"/>
        <v>2465.0499999999993</v>
      </c>
      <c r="AB93" s="10">
        <f t="shared" si="176"/>
        <v>3412.0400000000009</v>
      </c>
      <c r="AC93" s="10">
        <f t="shared" si="176"/>
        <v>-8699.85</v>
      </c>
      <c r="AD93" s="10">
        <f t="shared" si="176"/>
        <v>3756.8999999999996</v>
      </c>
      <c r="AE93" s="10">
        <f t="shared" si="176"/>
        <v>2468.2700000000004</v>
      </c>
      <c r="AF93" s="10">
        <f t="shared" si="176"/>
        <v>1174.119999999999</v>
      </c>
      <c r="AG93" s="58">
        <f t="shared" ref="AG93:AI93" si="177">AC93/(SUM($AB$93:$AE$93)*-1)*$BF$93</f>
        <v>-68409.874949859135</v>
      </c>
      <c r="AH93" s="58">
        <f t="shared" si="177"/>
        <v>29541.780513356633</v>
      </c>
      <c r="AI93" s="58">
        <f t="shared" si="177"/>
        <v>19408.845214858738</v>
      </c>
      <c r="AK93" s="10">
        <f t="shared" ref="AK93:AW93" si="178">+AK94-SUM(AK91:AK92,AK87)</f>
        <v>1004</v>
      </c>
      <c r="AL93" s="10">
        <f t="shared" si="178"/>
        <v>-1676</v>
      </c>
      <c r="AM93" s="10">
        <f t="shared" si="178"/>
        <v>-95</v>
      </c>
      <c r="AN93" s="10">
        <f t="shared" si="178"/>
        <v>-337</v>
      </c>
      <c r="AO93" s="10">
        <f t="shared" si="178"/>
        <v>1546</v>
      </c>
      <c r="AP93" s="10">
        <f t="shared" si="178"/>
        <v>-1404</v>
      </c>
      <c r="AQ93" s="10">
        <f t="shared" si="178"/>
        <v>-709</v>
      </c>
      <c r="AR93" s="10">
        <f t="shared" si="178"/>
        <v>915</v>
      </c>
      <c r="AS93" s="10">
        <f t="shared" si="178"/>
        <v>-673</v>
      </c>
      <c r="AT93" s="10">
        <f t="shared" si="178"/>
        <v>2397</v>
      </c>
      <c r="AU93" s="10">
        <f t="shared" si="178"/>
        <v>-2981</v>
      </c>
      <c r="AV93" s="10">
        <f t="shared" si="178"/>
        <v>-431</v>
      </c>
      <c r="AW93" s="10">
        <f t="shared" si="178"/>
        <v>1347</v>
      </c>
      <c r="AY93" s="10">
        <f>+AY94-SUM(AY91:AY92,AY87)</f>
        <v>1186</v>
      </c>
      <c r="AZ93" s="10">
        <f>+AZ94-SUM(AZ91:AZ92,AZ87)</f>
        <v>-344</v>
      </c>
      <c r="BA93" s="10">
        <f>+BA94-SUM(BA91:BA92,BA87)</f>
        <v>-1291</v>
      </c>
      <c r="BB93" s="10">
        <f t="shared" ref="BB93" si="179">+BB94-SUM(BB91:BB92,BB87)</f>
        <v>563</v>
      </c>
      <c r="BC93" s="10">
        <f>+BC94-SUM(BC91:BC92,BC87)</f>
        <v>2054</v>
      </c>
      <c r="BD93" s="10">
        <f t="shared" ref="BD93:BE93" si="180">+BD94-SUM(BD91:BD92,BD87)</f>
        <v>1234</v>
      </c>
      <c r="BE93" s="10">
        <f t="shared" si="180"/>
        <v>-643</v>
      </c>
      <c r="BF93" s="993">
        <f>Base!I72</f>
        <v>-7370.7799999999988</v>
      </c>
    </row>
    <row r="94" spans="2:60" s="1" customFormat="1" ht="10.5">
      <c r="B94" s="837" t="s">
        <v>145</v>
      </c>
      <c r="D94" s="838">
        <f t="shared" ref="D94:AF94" si="181">+D97+D84</f>
        <v>7376</v>
      </c>
      <c r="E94" s="838">
        <f t="shared" si="181"/>
        <v>3618</v>
      </c>
      <c r="F94" s="838">
        <f t="shared" si="181"/>
        <v>8067</v>
      </c>
      <c r="G94" s="838">
        <f t="shared" si="181"/>
        <v>5364</v>
      </c>
      <c r="H94" s="838">
        <f t="shared" si="181"/>
        <v>9249</v>
      </c>
      <c r="I94" s="838">
        <f t="shared" si="181"/>
        <v>3793</v>
      </c>
      <c r="J94" s="838">
        <f t="shared" si="181"/>
        <v>8560</v>
      </c>
      <c r="K94" s="838">
        <f t="shared" si="181"/>
        <v>7705</v>
      </c>
      <c r="L94" s="838">
        <f t="shared" si="181"/>
        <v>9740</v>
      </c>
      <c r="M94" s="838">
        <f t="shared" si="181"/>
        <v>4575</v>
      </c>
      <c r="N94" s="838">
        <f t="shared" si="181"/>
        <v>8651</v>
      </c>
      <c r="O94" s="838">
        <f t="shared" si="181"/>
        <v>7318</v>
      </c>
      <c r="P94" s="838">
        <f t="shared" si="181"/>
        <v>9357</v>
      </c>
      <c r="Q94" s="838">
        <f t="shared" si="181"/>
        <v>5000</v>
      </c>
      <c r="R94" s="838">
        <f t="shared" si="181"/>
        <v>10120</v>
      </c>
      <c r="S94" s="838">
        <f t="shared" si="181"/>
        <v>10808</v>
      </c>
      <c r="T94" s="838">
        <f t="shared" si="181"/>
        <v>9018</v>
      </c>
      <c r="U94" s="838">
        <f t="shared" si="181"/>
        <v>6180</v>
      </c>
      <c r="V94" s="838">
        <f t="shared" si="181"/>
        <v>13604</v>
      </c>
      <c r="W94" s="838">
        <f t="shared" si="181"/>
        <v>12873</v>
      </c>
      <c r="X94" s="838">
        <f t="shared" si="181"/>
        <v>13835</v>
      </c>
      <c r="Y94" s="838">
        <f t="shared" si="181"/>
        <v>7116</v>
      </c>
      <c r="Z94" s="838">
        <f t="shared" si="181"/>
        <v>16179</v>
      </c>
      <c r="AA94" s="838">
        <f t="shared" si="181"/>
        <v>15410</v>
      </c>
      <c r="AB94" s="838">
        <f t="shared" si="181"/>
        <v>17140</v>
      </c>
      <c r="AC94" s="838">
        <f t="shared" si="181"/>
        <v>7680</v>
      </c>
      <c r="AD94" s="838">
        <f t="shared" si="181"/>
        <v>19086</v>
      </c>
      <c r="AE94" s="838">
        <f t="shared" si="181"/>
        <v>15929</v>
      </c>
      <c r="AF94" s="838">
        <f t="shared" si="181"/>
        <v>16598</v>
      </c>
      <c r="AG94" s="838">
        <f t="shared" ref="AG94:AI94" si="182">+AG93+AG92+AG91+AG87</f>
        <v>-54483.338098775886</v>
      </c>
      <c r="AH94" s="838">
        <f t="shared" si="182"/>
        <v>42587.509714511703</v>
      </c>
      <c r="AI94" s="838">
        <f t="shared" si="182"/>
        <v>30940.821784767504</v>
      </c>
      <c r="AK94" s="838">
        <f t="shared" ref="AK94:AW94" si="183">+AK97+AK84</f>
        <v>15793</v>
      </c>
      <c r="AL94" s="838">
        <f t="shared" si="183"/>
        <v>12826</v>
      </c>
      <c r="AM94" s="838">
        <f t="shared" si="183"/>
        <v>15532</v>
      </c>
      <c r="AN94" s="838">
        <f t="shared" si="183"/>
        <v>18430</v>
      </c>
      <c r="AO94" s="838">
        <f t="shared" si="183"/>
        <v>15918</v>
      </c>
      <c r="AP94" s="838">
        <f t="shared" si="183"/>
        <v>22096</v>
      </c>
      <c r="AQ94" s="838">
        <f t="shared" si="183"/>
        <v>24639</v>
      </c>
      <c r="AR94" s="838">
        <f t="shared" si="183"/>
        <v>29321</v>
      </c>
      <c r="AS94" s="838">
        <f t="shared" si="183"/>
        <v>24576</v>
      </c>
      <c r="AT94" s="838">
        <f t="shared" si="183"/>
        <v>27017</v>
      </c>
      <c r="AU94" s="838">
        <f t="shared" si="183"/>
        <v>23724</v>
      </c>
      <c r="AV94" s="838">
        <f t="shared" si="183"/>
        <v>24425</v>
      </c>
      <c r="AW94" s="838">
        <f t="shared" si="183"/>
        <v>29307</v>
      </c>
      <c r="AY94" s="838">
        <f>+AY97+AY84</f>
        <v>24425</v>
      </c>
      <c r="AZ94" s="838">
        <f>+AZ97+AZ84</f>
        <v>29307</v>
      </c>
      <c r="BA94" s="838">
        <f>+BA97+BA84</f>
        <v>30284</v>
      </c>
      <c r="BB94" s="838">
        <f>+BB97+BB84</f>
        <v>35285</v>
      </c>
      <c r="BC94" s="838">
        <f t="shared" ref="BC94:BE94" si="184">+BC97+BC84</f>
        <v>41675</v>
      </c>
      <c r="BD94" s="838">
        <f t="shared" si="184"/>
        <v>52540</v>
      </c>
      <c r="BE94" s="838">
        <f t="shared" si="184"/>
        <v>59835</v>
      </c>
      <c r="BF94" s="838">
        <f t="shared" si="175"/>
        <v>35642.993400503321</v>
      </c>
    </row>
    <row r="95" spans="2:60">
      <c r="W95" s="824"/>
      <c r="X95" s="824"/>
      <c r="Y95" s="824"/>
      <c r="Z95" s="824"/>
      <c r="AA95" s="824"/>
    </row>
    <row r="96" spans="2:60" ht="10.5">
      <c r="B96" s="858" t="s">
        <v>314</v>
      </c>
    </row>
    <row r="97" spans="2:59">
      <c r="B97" s="843" t="s">
        <v>315</v>
      </c>
      <c r="D97" s="8">
        <f>+D595</f>
        <v>8876</v>
      </c>
      <c r="E97" s="8">
        <f t="shared" ref="E97:AF97" si="185">+E595</f>
        <v>5618</v>
      </c>
      <c r="F97" s="8">
        <f t="shared" si="185"/>
        <v>10367</v>
      </c>
      <c r="G97" s="8">
        <f t="shared" si="185"/>
        <v>8464</v>
      </c>
      <c r="H97" s="8">
        <f t="shared" si="185"/>
        <v>11549</v>
      </c>
      <c r="I97" s="8">
        <f t="shared" si="185"/>
        <v>6293</v>
      </c>
      <c r="J97" s="8">
        <f t="shared" si="185"/>
        <v>10660</v>
      </c>
      <c r="K97" s="8">
        <f t="shared" si="185"/>
        <v>11005</v>
      </c>
      <c r="L97" s="8">
        <f t="shared" si="185"/>
        <v>12440</v>
      </c>
      <c r="M97" s="8">
        <f t="shared" si="185"/>
        <v>7875</v>
      </c>
      <c r="N97" s="8">
        <f t="shared" si="185"/>
        <v>12151</v>
      </c>
      <c r="O97" s="8">
        <f t="shared" si="185"/>
        <v>11418</v>
      </c>
      <c r="P97" s="8">
        <f t="shared" si="185"/>
        <v>13657</v>
      </c>
      <c r="Q97" s="8">
        <f t="shared" si="185"/>
        <v>8900</v>
      </c>
      <c r="R97" s="8">
        <f t="shared" si="185"/>
        <v>13520</v>
      </c>
      <c r="S97" s="8">
        <f t="shared" si="185"/>
        <v>16108</v>
      </c>
      <c r="T97" s="8">
        <f t="shared" si="185"/>
        <v>13818</v>
      </c>
      <c r="U97" s="8">
        <f t="shared" si="185"/>
        <v>10680</v>
      </c>
      <c r="V97" s="8">
        <f t="shared" si="185"/>
        <v>17504</v>
      </c>
      <c r="W97" s="8">
        <f t="shared" si="185"/>
        <v>18673</v>
      </c>
      <c r="X97" s="8">
        <f t="shared" si="185"/>
        <v>19335</v>
      </c>
      <c r="Y97" s="8">
        <f t="shared" si="185"/>
        <v>12516</v>
      </c>
      <c r="Z97" s="8">
        <f t="shared" si="185"/>
        <v>22179</v>
      </c>
      <c r="AA97" s="8">
        <f t="shared" si="185"/>
        <v>22710</v>
      </c>
      <c r="AB97" s="8">
        <f t="shared" si="185"/>
        <v>24540</v>
      </c>
      <c r="AC97" s="8">
        <f t="shared" si="185"/>
        <v>14480</v>
      </c>
      <c r="AD97" s="8">
        <f t="shared" si="185"/>
        <v>25386</v>
      </c>
      <c r="AE97" s="8">
        <f t="shared" si="185"/>
        <v>24629</v>
      </c>
      <c r="AF97" s="8">
        <f t="shared" si="185"/>
        <v>23198</v>
      </c>
      <c r="AG97" s="8">
        <f t="shared" ref="AG97:AI97" si="186">+AG94-AG84</f>
        <v>-48052.689902323196</v>
      </c>
      <c r="AH97" s="8">
        <f t="shared" si="186"/>
        <v>49040.626295596521</v>
      </c>
      <c r="AI97" s="8">
        <f t="shared" si="186"/>
        <v>40092.459452175724</v>
      </c>
      <c r="AK97" s="8">
        <f t="shared" ref="AK97:AW97" si="187">+AK595</f>
        <v>16605</v>
      </c>
      <c r="AL97" s="8">
        <f t="shared" si="187"/>
        <v>14404</v>
      </c>
      <c r="AM97" s="8">
        <f t="shared" si="187"/>
        <v>17796</v>
      </c>
      <c r="AN97" s="8">
        <f t="shared" si="187"/>
        <v>21612</v>
      </c>
      <c r="AO97" s="8">
        <f t="shared" si="187"/>
        <v>19037</v>
      </c>
      <c r="AP97" s="8">
        <f t="shared" si="187"/>
        <v>24073</v>
      </c>
      <c r="AQ97" s="8">
        <f t="shared" si="187"/>
        <v>26994</v>
      </c>
      <c r="AR97" s="8">
        <f t="shared" si="187"/>
        <v>31626</v>
      </c>
      <c r="AS97" s="8">
        <f t="shared" si="187"/>
        <v>28833</v>
      </c>
      <c r="AT97" s="8">
        <f t="shared" si="187"/>
        <v>32502</v>
      </c>
      <c r="AU97" s="8">
        <f t="shared" si="187"/>
        <v>29668</v>
      </c>
      <c r="AV97" s="8">
        <f t="shared" si="187"/>
        <v>33325</v>
      </c>
      <c r="AW97" s="8">
        <f t="shared" si="187"/>
        <v>39507</v>
      </c>
      <c r="AY97" s="8">
        <f>+AY595</f>
        <v>33325</v>
      </c>
      <c r="AZ97" s="8">
        <f>+AZ595</f>
        <v>39507</v>
      </c>
      <c r="BA97" s="8">
        <f>+BA595</f>
        <v>43884</v>
      </c>
      <c r="BB97" s="8">
        <f>+BB595</f>
        <v>52185</v>
      </c>
      <c r="BC97" s="8">
        <f t="shared" ref="BC97" si="188">+BC595</f>
        <v>60675</v>
      </c>
      <c r="BD97" s="8">
        <f>SUM(X97:AA97)</f>
        <v>76740</v>
      </c>
      <c r="BE97" s="8">
        <f>SUM(AB97:AE97)</f>
        <v>89035</v>
      </c>
      <c r="BF97" s="8">
        <f t="shared" ref="BF97:BF103" si="189">SUM(AF97:AI97)</f>
        <v>64278.395845449049</v>
      </c>
    </row>
    <row r="98" spans="2:59">
      <c r="B98" s="843" t="s">
        <v>316</v>
      </c>
      <c r="D98" s="8">
        <f t="shared" ref="D98:AF98" si="190">+D599</f>
        <v>-390</v>
      </c>
      <c r="E98" s="8">
        <f t="shared" si="190"/>
        <v>-381</v>
      </c>
      <c r="F98" s="8">
        <f t="shared" si="190"/>
        <v>-559</v>
      </c>
      <c r="G98" s="8">
        <f t="shared" si="190"/>
        <v>-63</v>
      </c>
      <c r="H98" s="8">
        <f t="shared" si="190"/>
        <v>-24</v>
      </c>
      <c r="I98" s="8">
        <f t="shared" si="190"/>
        <v>-24760</v>
      </c>
      <c r="J98" s="8">
        <f t="shared" si="190"/>
        <v>-802</v>
      </c>
      <c r="K98" s="8">
        <f t="shared" si="190"/>
        <v>-358</v>
      </c>
      <c r="L98" s="8">
        <f t="shared" si="190"/>
        <v>-179</v>
      </c>
      <c r="M98" s="8">
        <f t="shared" si="190"/>
        <v>-27</v>
      </c>
      <c r="N98" s="8">
        <f t="shared" si="190"/>
        <v>-248</v>
      </c>
      <c r="O98" s="8">
        <f t="shared" si="190"/>
        <v>-434</v>
      </c>
      <c r="P98" s="8">
        <f t="shared" si="190"/>
        <v>-245</v>
      </c>
      <c r="Q98" s="8">
        <f t="shared" si="190"/>
        <v>-1593</v>
      </c>
      <c r="R98" s="8">
        <f t="shared" si="190"/>
        <v>-269</v>
      </c>
      <c r="S98" s="8">
        <f t="shared" si="190"/>
        <v>-281</v>
      </c>
      <c r="T98" s="8">
        <f t="shared" si="190"/>
        <v>-462</v>
      </c>
      <c r="U98" s="8">
        <f t="shared" si="190"/>
        <v>-80</v>
      </c>
      <c r="V98" s="8">
        <f t="shared" si="190"/>
        <v>-329</v>
      </c>
      <c r="W98" s="8">
        <f t="shared" si="190"/>
        <v>-1650</v>
      </c>
      <c r="X98" s="8">
        <f t="shared" si="190"/>
        <v>-481</v>
      </c>
      <c r="Y98" s="8">
        <f t="shared" si="190"/>
        <v>-415</v>
      </c>
      <c r="Z98" s="8">
        <f t="shared" si="190"/>
        <v>-7512</v>
      </c>
      <c r="AA98" s="8">
        <f t="shared" si="190"/>
        <v>-501</v>
      </c>
      <c r="AB98" s="8">
        <f t="shared" si="190"/>
        <v>-1206</v>
      </c>
      <c r="AC98" s="8">
        <f t="shared" si="190"/>
        <v>-850</v>
      </c>
      <c r="AD98" s="8">
        <f t="shared" si="190"/>
        <v>-18719</v>
      </c>
      <c r="AE98" s="8">
        <f t="shared" si="190"/>
        <v>-1263</v>
      </c>
      <c r="AF98" s="8">
        <f t="shared" si="190"/>
        <v>-349</v>
      </c>
      <c r="AG98" s="61">
        <v>0</v>
      </c>
      <c r="AH98" s="61">
        <v>0</v>
      </c>
      <c r="AI98" s="61">
        <v>0</v>
      </c>
      <c r="AK98" s="8">
        <f t="shared" ref="AK98:AW98" si="191">+AK599</f>
        <v>-207</v>
      </c>
      <c r="AL98" s="8">
        <f t="shared" si="191"/>
        <v>-649</v>
      </c>
      <c r="AM98" s="8">
        <f t="shared" si="191"/>
        <v>-1150</v>
      </c>
      <c r="AN98" s="8">
        <f t="shared" si="191"/>
        <v>-8053</v>
      </c>
      <c r="AO98" s="8">
        <f t="shared" si="191"/>
        <v>-868</v>
      </c>
      <c r="AP98" s="8">
        <f t="shared" si="191"/>
        <v>-245</v>
      </c>
      <c r="AQ98" s="8">
        <f t="shared" si="191"/>
        <v>-71</v>
      </c>
      <c r="AR98" s="8">
        <f t="shared" si="191"/>
        <v>-10112</v>
      </c>
      <c r="AS98" s="8">
        <f t="shared" si="191"/>
        <v>-1584</v>
      </c>
      <c r="AT98" s="8">
        <f t="shared" si="191"/>
        <v>-5937</v>
      </c>
      <c r="AU98" s="8">
        <f t="shared" si="191"/>
        <v>-3723</v>
      </c>
      <c r="AV98" s="8">
        <f t="shared" si="191"/>
        <v>-1393</v>
      </c>
      <c r="AW98" s="8">
        <f t="shared" si="191"/>
        <v>-25944</v>
      </c>
      <c r="AY98" s="8">
        <f>+SUM(D98:G98)</f>
        <v>-1393</v>
      </c>
      <c r="AZ98" s="8">
        <f>+AZ599</f>
        <v>-25944</v>
      </c>
      <c r="BA98" s="8">
        <f>+BA599</f>
        <v>-888</v>
      </c>
      <c r="BB98" s="8">
        <f t="shared" ref="BB98:BC98" si="192">+BB599</f>
        <v>-2388</v>
      </c>
      <c r="BC98" s="8">
        <f t="shared" si="192"/>
        <v>-2521</v>
      </c>
      <c r="BD98" s="8">
        <f>SUM(X98:AA98)</f>
        <v>-8909</v>
      </c>
      <c r="BE98" s="8">
        <f t="shared" ref="BE98:BE103" si="193">SUM(AB98:AE98)</f>
        <v>-22038</v>
      </c>
      <c r="BF98" s="8">
        <f t="shared" si="189"/>
        <v>-349</v>
      </c>
    </row>
    <row r="99" spans="2:59">
      <c r="B99" s="843" t="s">
        <v>317</v>
      </c>
      <c r="D99" s="8">
        <f>+CapIQ!DV238</f>
        <v>0</v>
      </c>
      <c r="E99" s="8">
        <f>+CapIQ!DW238</f>
        <v>0</v>
      </c>
      <c r="F99" s="8">
        <f>+CapIQ!DX238</f>
        <v>0</v>
      </c>
      <c r="G99" s="8">
        <f>+CapIQ!DY238</f>
        <v>0</v>
      </c>
      <c r="H99" s="8">
        <f>+CapIQ!DZ238</f>
        <v>0</v>
      </c>
      <c r="I99" s="8">
        <f>+CapIQ!EA238</f>
        <v>0</v>
      </c>
      <c r="J99" s="8">
        <f>+CapIQ!EB238</f>
        <v>0</v>
      </c>
      <c r="K99" s="8">
        <f>+CapIQ!EC238</f>
        <v>0</v>
      </c>
      <c r="L99" s="8">
        <f>+CapIQ!ED238</f>
        <v>0</v>
      </c>
      <c r="M99" s="8">
        <f>+CapIQ!EE238</f>
        <v>0</v>
      </c>
      <c r="N99" s="8">
        <f>+CapIQ!EF238</f>
        <v>0</v>
      </c>
      <c r="O99" s="8">
        <f>+CapIQ!EG238</f>
        <v>0</v>
      </c>
      <c r="P99" s="8">
        <f>+CapIQ!EH238</f>
        <v>0</v>
      </c>
      <c r="Q99" s="8">
        <f>+CapIQ!EI238</f>
        <v>0</v>
      </c>
      <c r="R99" s="8">
        <f>+CapIQ!EJ238</f>
        <v>0</v>
      </c>
      <c r="S99" s="8">
        <f>+CapIQ!EK238</f>
        <v>0</v>
      </c>
      <c r="T99" s="8">
        <f>+CapIQ!EL238</f>
        <v>0</v>
      </c>
      <c r="U99" s="8">
        <f>+CapIQ!EM238</f>
        <v>0</v>
      </c>
      <c r="V99" s="8">
        <f>+CapIQ!EN238</f>
        <v>0</v>
      </c>
      <c r="W99" s="8">
        <v>0</v>
      </c>
      <c r="X99" s="8">
        <v>0</v>
      </c>
      <c r="Y99" s="8">
        <v>0</v>
      </c>
      <c r="Z99" s="8">
        <v>0</v>
      </c>
      <c r="AA99" s="8">
        <v>0</v>
      </c>
      <c r="AB99" s="8">
        <v>0</v>
      </c>
      <c r="AC99" s="8">
        <v>0</v>
      </c>
      <c r="AD99" s="8">
        <v>0</v>
      </c>
      <c r="AE99" s="8">
        <v>0</v>
      </c>
      <c r="AF99" s="8">
        <v>0</v>
      </c>
      <c r="AG99" s="61">
        <v>0</v>
      </c>
      <c r="AH99" s="61">
        <v>0</v>
      </c>
      <c r="AI99" s="61">
        <v>0</v>
      </c>
      <c r="AK99" s="8">
        <f>+CapIQ!P238</f>
        <v>0</v>
      </c>
      <c r="AL99" s="8">
        <f>+CapIQ!Q238</f>
        <v>0</v>
      </c>
      <c r="AM99" s="8">
        <f>+CapIQ!R238</f>
        <v>0</v>
      </c>
      <c r="AN99" s="8">
        <f>+CapIQ!S238</f>
        <v>0</v>
      </c>
      <c r="AO99" s="8">
        <f>+CapIQ!T238</f>
        <v>0</v>
      </c>
      <c r="AP99" s="8">
        <f>+CapIQ!U238</f>
        <v>0</v>
      </c>
      <c r="AQ99" s="8">
        <f>+CapIQ!V238</f>
        <v>0</v>
      </c>
      <c r="AR99" s="8">
        <f>+CapIQ!W238</f>
        <v>0</v>
      </c>
      <c r="AS99" s="8">
        <f>+CapIQ!X238</f>
        <v>0</v>
      </c>
      <c r="AT99" s="8">
        <f>+CapIQ!Y238</f>
        <v>0</v>
      </c>
      <c r="AU99" s="8">
        <f>+CapIQ!Z238</f>
        <v>0</v>
      </c>
      <c r="AV99" s="8">
        <f>+CapIQ!AA238</f>
        <v>0</v>
      </c>
      <c r="AW99" s="8">
        <f>+CapIQ!AB238</f>
        <v>0</v>
      </c>
      <c r="AY99" s="8">
        <f>+CapIQ!AA238</f>
        <v>0</v>
      </c>
      <c r="AZ99" s="8">
        <f>+CapIQ!AB238</f>
        <v>0</v>
      </c>
      <c r="BA99" s="8">
        <f>+CapIQ!AC238</f>
        <v>0</v>
      </c>
      <c r="BB99" s="8">
        <f>+CapIQ!AD238</f>
        <v>0</v>
      </c>
      <c r="BC99" s="8">
        <f>+CapIQ!AE238</f>
        <v>0</v>
      </c>
      <c r="BD99" s="8">
        <f>SUM(X99:AA99)</f>
        <v>0</v>
      </c>
      <c r="BE99" s="8">
        <f t="shared" si="193"/>
        <v>0</v>
      </c>
      <c r="BF99" s="8">
        <f t="shared" si="189"/>
        <v>0</v>
      </c>
    </row>
    <row r="100" spans="2:59">
      <c r="B100" s="843" t="s">
        <v>318</v>
      </c>
      <c r="D100" s="859" t="s">
        <v>271</v>
      </c>
      <c r="E100" s="859" t="s">
        <v>271</v>
      </c>
      <c r="F100" s="859" t="s">
        <v>271</v>
      </c>
      <c r="G100" s="859" t="s">
        <v>271</v>
      </c>
      <c r="H100" s="859" t="s">
        <v>271</v>
      </c>
      <c r="I100" s="859" t="s">
        <v>271</v>
      </c>
      <c r="J100" s="859" t="s">
        <v>271</v>
      </c>
      <c r="K100" s="859" t="s">
        <v>271</v>
      </c>
      <c r="L100" s="859" t="s">
        <v>271</v>
      </c>
      <c r="M100" s="859" t="s">
        <v>271</v>
      </c>
      <c r="N100" s="859" t="s">
        <v>271</v>
      </c>
      <c r="O100" s="859" t="s">
        <v>271</v>
      </c>
      <c r="P100" s="859" t="s">
        <v>271</v>
      </c>
      <c r="Q100" s="859" t="s">
        <v>271</v>
      </c>
      <c r="R100" s="859" t="s">
        <v>271</v>
      </c>
      <c r="S100" s="859" t="s">
        <v>271</v>
      </c>
      <c r="T100" s="859" t="s">
        <v>271</v>
      </c>
      <c r="U100" s="859" t="s">
        <v>271</v>
      </c>
      <c r="V100" s="859" t="s">
        <v>271</v>
      </c>
      <c r="W100" s="859" t="s">
        <v>271</v>
      </c>
      <c r="X100" s="859" t="s">
        <v>271</v>
      </c>
      <c r="Y100" s="859" t="s">
        <v>271</v>
      </c>
      <c r="Z100" s="859" t="s">
        <v>271</v>
      </c>
      <c r="AA100" s="859" t="s">
        <v>271</v>
      </c>
      <c r="AB100" s="859" t="s">
        <v>271</v>
      </c>
      <c r="AC100" s="859" t="s">
        <v>271</v>
      </c>
      <c r="AD100" s="859" t="s">
        <v>271</v>
      </c>
      <c r="AE100" s="859" t="s">
        <v>271</v>
      </c>
      <c r="AF100" s="859" t="s">
        <v>271</v>
      </c>
      <c r="AG100" s="860">
        <f t="shared" ref="AG100:AI100" si="194">-AG86</f>
        <v>4678.8682536583865</v>
      </c>
      <c r="AH100" s="860">
        <f t="shared" si="194"/>
        <v>4340.3571250188525</v>
      </c>
      <c r="AI100" s="860">
        <f t="shared" si="194"/>
        <v>4544.5790424591305</v>
      </c>
      <c r="AK100" s="8">
        <f t="shared" ref="AK100:BE100" si="195">+AK623</f>
        <v>4330</v>
      </c>
      <c r="AL100" s="8">
        <f t="shared" si="195"/>
        <v>4800</v>
      </c>
      <c r="AM100" s="8">
        <f t="shared" si="195"/>
        <v>5200</v>
      </c>
      <c r="AN100" s="8">
        <f t="shared" si="195"/>
        <v>5400</v>
      </c>
      <c r="AO100" s="8">
        <f t="shared" si="195"/>
        <v>6600</v>
      </c>
      <c r="AP100" s="8">
        <f t="shared" si="195"/>
        <v>4100</v>
      </c>
      <c r="AQ100" s="8">
        <f t="shared" si="195"/>
        <v>5300</v>
      </c>
      <c r="AR100" s="8">
        <f t="shared" si="195"/>
        <v>3500</v>
      </c>
      <c r="AS100" s="8">
        <f t="shared" si="195"/>
        <v>3900</v>
      </c>
      <c r="AT100" s="8">
        <f t="shared" si="195"/>
        <v>5500</v>
      </c>
      <c r="AU100" s="8">
        <f t="shared" si="195"/>
        <v>4400</v>
      </c>
      <c r="AV100" s="8">
        <f t="shared" si="195"/>
        <v>3900</v>
      </c>
      <c r="AW100" s="8">
        <f t="shared" si="195"/>
        <v>2400</v>
      </c>
      <c r="AY100" s="8">
        <f t="shared" si="195"/>
        <v>3900</v>
      </c>
      <c r="AZ100" s="8">
        <f t="shared" si="195"/>
        <v>2400</v>
      </c>
      <c r="BA100" s="8">
        <f t="shared" si="195"/>
        <v>5500</v>
      </c>
      <c r="BB100" s="8">
        <f t="shared" si="195"/>
        <v>8400</v>
      </c>
      <c r="BC100" s="8">
        <f t="shared" si="195"/>
        <v>12500</v>
      </c>
      <c r="BD100" s="8">
        <f t="shared" si="195"/>
        <v>13400</v>
      </c>
      <c r="BE100" s="8">
        <f t="shared" si="195"/>
        <v>16000</v>
      </c>
      <c r="BF100" s="8">
        <f t="shared" si="189"/>
        <v>13563.804421136369</v>
      </c>
    </row>
    <row r="101" spans="2:59">
      <c r="B101" s="843" t="s">
        <v>319</v>
      </c>
      <c r="D101" s="8">
        <f>+D611</f>
        <v>219</v>
      </c>
      <c r="E101" s="8">
        <f t="shared" ref="E101:AF103" si="196">+E611</f>
        <v>117</v>
      </c>
      <c r="F101" s="8">
        <f t="shared" si="196"/>
        <v>159</v>
      </c>
      <c r="G101" s="8">
        <f t="shared" si="196"/>
        <v>173</v>
      </c>
      <c r="H101" s="8">
        <f t="shared" si="196"/>
        <v>241</v>
      </c>
      <c r="I101" s="8">
        <f t="shared" si="196"/>
        <v>131</v>
      </c>
      <c r="J101" s="8">
        <f t="shared" si="196"/>
        <v>179</v>
      </c>
      <c r="K101" s="8">
        <f t="shared" si="196"/>
        <v>221</v>
      </c>
      <c r="L101" s="8">
        <f t="shared" si="196"/>
        <v>307</v>
      </c>
      <c r="M101" s="8">
        <f t="shared" si="196"/>
        <v>189</v>
      </c>
      <c r="N101" s="8">
        <f t="shared" si="196"/>
        <v>251</v>
      </c>
      <c r="O101" s="8">
        <f t="shared" si="196"/>
        <v>255</v>
      </c>
      <c r="P101" s="8">
        <f t="shared" si="196"/>
        <v>360</v>
      </c>
      <c r="Q101" s="8">
        <f t="shared" si="196"/>
        <v>200</v>
      </c>
      <c r="R101" s="8">
        <f t="shared" si="196"/>
        <v>274</v>
      </c>
      <c r="S101" s="8">
        <f t="shared" si="196"/>
        <v>308</v>
      </c>
      <c r="T101" s="8">
        <f t="shared" si="196"/>
        <v>427</v>
      </c>
      <c r="U101" s="8">
        <f t="shared" si="196"/>
        <v>234</v>
      </c>
      <c r="V101" s="8">
        <f t="shared" si="196"/>
        <v>342</v>
      </c>
      <c r="W101" s="8">
        <f t="shared" si="196"/>
        <v>340</v>
      </c>
      <c r="X101" s="8">
        <f t="shared" si="196"/>
        <v>545</v>
      </c>
      <c r="Y101" s="8">
        <f t="shared" si="196"/>
        <v>302</v>
      </c>
      <c r="Z101" s="8">
        <f t="shared" si="196"/>
        <v>396</v>
      </c>
      <c r="AA101" s="8">
        <f t="shared" si="196"/>
        <v>450</v>
      </c>
      <c r="AB101" s="8">
        <f t="shared" si="196"/>
        <v>612</v>
      </c>
      <c r="AC101" s="8">
        <f t="shared" si="196"/>
        <v>291</v>
      </c>
      <c r="AD101" s="8">
        <f t="shared" si="196"/>
        <v>477</v>
      </c>
      <c r="AE101" s="8">
        <f t="shared" si="196"/>
        <v>461</v>
      </c>
      <c r="AF101" s="8">
        <f t="shared" si="196"/>
        <v>575</v>
      </c>
      <c r="AG101" s="61">
        <v>0</v>
      </c>
      <c r="AH101" s="61">
        <v>0</v>
      </c>
      <c r="AI101" s="61">
        <v>0</v>
      </c>
      <c r="AK101" s="8">
        <f t="shared" ref="AK101:AW103" si="197">+AK611</f>
        <v>3109</v>
      </c>
      <c r="AL101" s="8">
        <f t="shared" si="197"/>
        <v>2101</v>
      </c>
      <c r="AM101" s="8">
        <f t="shared" si="197"/>
        <v>6782</v>
      </c>
      <c r="AN101" s="8">
        <f t="shared" si="197"/>
        <v>3494</v>
      </c>
      <c r="AO101" s="8">
        <f t="shared" si="197"/>
        <v>579</v>
      </c>
      <c r="AP101" s="8">
        <f t="shared" si="197"/>
        <v>2311</v>
      </c>
      <c r="AQ101" s="8">
        <f t="shared" si="197"/>
        <v>2422</v>
      </c>
      <c r="AR101" s="8">
        <f t="shared" si="197"/>
        <v>1913</v>
      </c>
      <c r="AS101" s="8">
        <f t="shared" si="197"/>
        <v>931</v>
      </c>
      <c r="AT101" s="8">
        <f t="shared" si="197"/>
        <v>607</v>
      </c>
      <c r="AU101" s="8">
        <f t="shared" si="197"/>
        <v>634</v>
      </c>
      <c r="AV101" s="8">
        <f t="shared" si="197"/>
        <v>668</v>
      </c>
      <c r="AW101" s="8">
        <f t="shared" si="197"/>
        <v>772</v>
      </c>
      <c r="AY101" s="8">
        <f>+SUM(D101:G101)</f>
        <v>668</v>
      </c>
      <c r="AZ101" s="8">
        <f t="shared" ref="AZ101:BC103" si="198">+AZ611</f>
        <v>772</v>
      </c>
      <c r="BA101" s="8">
        <f t="shared" si="198"/>
        <v>1002</v>
      </c>
      <c r="BB101" s="8">
        <f t="shared" si="198"/>
        <v>1142</v>
      </c>
      <c r="BC101" s="8">
        <f t="shared" si="198"/>
        <v>1343</v>
      </c>
      <c r="BD101" s="8">
        <f>SUM(X101:AA101)</f>
        <v>1693</v>
      </c>
      <c r="BE101" s="8">
        <f t="shared" si="193"/>
        <v>1841</v>
      </c>
      <c r="BF101" s="8">
        <f t="shared" si="189"/>
        <v>575</v>
      </c>
    </row>
    <row r="102" spans="2:59">
      <c r="B102" s="843" t="s">
        <v>320</v>
      </c>
      <c r="D102" s="8">
        <f t="shared" ref="D102:N103" si="199">+D612</f>
        <v>-4757</v>
      </c>
      <c r="E102" s="8">
        <f t="shared" si="199"/>
        <v>-3678</v>
      </c>
      <c r="F102" s="8">
        <f t="shared" si="199"/>
        <v>-3857</v>
      </c>
      <c r="G102" s="8">
        <f t="shared" si="199"/>
        <v>-3677</v>
      </c>
      <c r="H102" s="8">
        <f t="shared" si="199"/>
        <v>-4362</v>
      </c>
      <c r="I102" s="8">
        <f t="shared" si="199"/>
        <v>-3599</v>
      </c>
      <c r="J102" s="8">
        <f t="shared" si="199"/>
        <v>-2062</v>
      </c>
      <c r="K102" s="8">
        <f t="shared" si="199"/>
        <v>-1765</v>
      </c>
      <c r="L102" s="8">
        <f t="shared" si="199"/>
        <v>-2570</v>
      </c>
      <c r="M102" s="8">
        <f t="shared" si="199"/>
        <v>-2008</v>
      </c>
      <c r="N102" s="8">
        <f t="shared" si="199"/>
        <v>-3781</v>
      </c>
      <c r="O102" s="8">
        <f t="shared" si="196"/>
        <v>-2362</v>
      </c>
      <c r="P102" s="8">
        <f t="shared" si="196"/>
        <v>-3744</v>
      </c>
      <c r="Q102" s="8">
        <f t="shared" si="196"/>
        <v>-6413</v>
      </c>
      <c r="R102" s="8">
        <f t="shared" si="196"/>
        <v>-4753</v>
      </c>
      <c r="S102" s="8">
        <f t="shared" si="196"/>
        <v>-4633</v>
      </c>
      <c r="T102" s="8">
        <f t="shared" si="196"/>
        <v>-4912</v>
      </c>
      <c r="U102" s="8">
        <f t="shared" si="196"/>
        <v>-5206</v>
      </c>
      <c r="V102" s="8">
        <f t="shared" si="196"/>
        <v>-7059</v>
      </c>
      <c r="W102" s="8">
        <f t="shared" si="196"/>
        <v>-5791</v>
      </c>
      <c r="X102" s="8">
        <f t="shared" si="196"/>
        <v>-6743</v>
      </c>
      <c r="Y102" s="8">
        <f t="shared" si="196"/>
        <v>-6535</v>
      </c>
      <c r="Z102" s="8">
        <f t="shared" si="196"/>
        <v>-6930</v>
      </c>
      <c r="AA102" s="8">
        <f t="shared" si="196"/>
        <v>-7177</v>
      </c>
      <c r="AB102" s="8">
        <f t="shared" si="196"/>
        <v>-7684</v>
      </c>
      <c r="AC102" s="8">
        <f t="shared" si="196"/>
        <v>-7433</v>
      </c>
      <c r="AD102" s="8">
        <f t="shared" si="196"/>
        <v>-8822</v>
      </c>
      <c r="AE102" s="8">
        <f t="shared" si="196"/>
        <v>-8757</v>
      </c>
      <c r="AF102" s="8">
        <f t="shared" si="196"/>
        <v>-5573</v>
      </c>
      <c r="AG102" s="61">
        <v>0</v>
      </c>
      <c r="AH102" s="61">
        <v>0</v>
      </c>
      <c r="AI102" s="61">
        <v>0</v>
      </c>
      <c r="AK102" s="8">
        <f t="shared" si="197"/>
        <v>-8057</v>
      </c>
      <c r="AL102" s="8">
        <f t="shared" si="197"/>
        <v>-19207</v>
      </c>
      <c r="AM102" s="8">
        <f t="shared" si="197"/>
        <v>-27575</v>
      </c>
      <c r="AN102" s="8">
        <f t="shared" si="197"/>
        <v>-12533</v>
      </c>
      <c r="AO102" s="8">
        <f t="shared" si="197"/>
        <v>-9353</v>
      </c>
      <c r="AP102" s="8">
        <f t="shared" si="197"/>
        <v>-11269</v>
      </c>
      <c r="AQ102" s="8">
        <f t="shared" si="197"/>
        <v>-11555</v>
      </c>
      <c r="AR102" s="8">
        <f t="shared" si="197"/>
        <v>-5029</v>
      </c>
      <c r="AS102" s="8">
        <f t="shared" si="197"/>
        <v>-5360</v>
      </c>
      <c r="AT102" s="8">
        <f t="shared" si="197"/>
        <v>-7316</v>
      </c>
      <c r="AU102" s="8">
        <f t="shared" si="197"/>
        <v>-14443</v>
      </c>
      <c r="AV102" s="8">
        <f t="shared" si="197"/>
        <v>-15969</v>
      </c>
      <c r="AW102" s="8">
        <f t="shared" si="197"/>
        <v>-11788</v>
      </c>
      <c r="AY102" s="8">
        <f>+SUM(D102:G102)</f>
        <v>-15969</v>
      </c>
      <c r="AZ102" s="8">
        <f t="shared" si="198"/>
        <v>-11788</v>
      </c>
      <c r="BA102" s="8">
        <f t="shared" si="198"/>
        <v>-10721</v>
      </c>
      <c r="BB102" s="8">
        <f t="shared" si="198"/>
        <v>-19543</v>
      </c>
      <c r="BC102" s="8">
        <f t="shared" si="198"/>
        <v>-22968</v>
      </c>
      <c r="BD102" s="8">
        <f>SUM(X102:AA102)</f>
        <v>-27385</v>
      </c>
      <c r="BE102" s="8">
        <f t="shared" si="193"/>
        <v>-32696</v>
      </c>
      <c r="BF102" s="8">
        <f t="shared" si="189"/>
        <v>-5573</v>
      </c>
    </row>
    <row r="103" spans="2:59">
      <c r="B103" s="843" t="s">
        <v>321</v>
      </c>
      <c r="D103" s="8">
        <f t="shared" si="199"/>
        <v>-2475</v>
      </c>
      <c r="E103" s="8">
        <f t="shared" si="199"/>
        <v>-2868</v>
      </c>
      <c r="F103" s="8">
        <f t="shared" si="199"/>
        <v>-2842</v>
      </c>
      <c r="G103" s="8">
        <f t="shared" si="199"/>
        <v>-2821</v>
      </c>
      <c r="H103" s="8">
        <f t="shared" si="199"/>
        <v>-2800</v>
      </c>
      <c r="I103" s="8">
        <f t="shared" si="199"/>
        <v>-3024</v>
      </c>
      <c r="J103" s="8">
        <f t="shared" si="199"/>
        <v>-3012</v>
      </c>
      <c r="K103" s="8">
        <f t="shared" si="199"/>
        <v>-3009</v>
      </c>
      <c r="L103" s="8">
        <f t="shared" si="199"/>
        <v>-3003</v>
      </c>
      <c r="M103" s="8">
        <f t="shared" si="199"/>
        <v>-3238</v>
      </c>
      <c r="N103" s="8">
        <f t="shared" si="199"/>
        <v>-3232</v>
      </c>
      <c r="O103" s="8">
        <f t="shared" si="196"/>
        <v>-3226</v>
      </c>
      <c r="P103" s="8">
        <f t="shared" si="196"/>
        <v>-3220</v>
      </c>
      <c r="Q103" s="8">
        <f t="shared" si="196"/>
        <v>-3544</v>
      </c>
      <c r="R103" s="8">
        <f t="shared" si="196"/>
        <v>-3526</v>
      </c>
      <c r="S103" s="8">
        <f t="shared" si="196"/>
        <v>-3521</v>
      </c>
      <c r="T103" s="8">
        <f t="shared" si="196"/>
        <v>-3510</v>
      </c>
      <c r="U103" s="8">
        <f t="shared" si="196"/>
        <v>-3886</v>
      </c>
      <c r="V103" s="8">
        <f t="shared" si="196"/>
        <v>-3876</v>
      </c>
      <c r="W103" s="8">
        <f t="shared" si="196"/>
        <v>-3865</v>
      </c>
      <c r="X103" s="8">
        <f t="shared" si="196"/>
        <v>-3856</v>
      </c>
      <c r="Y103" s="8">
        <f t="shared" si="196"/>
        <v>-4230</v>
      </c>
      <c r="Z103" s="8">
        <f t="shared" si="196"/>
        <v>-4221</v>
      </c>
      <c r="AA103" s="8">
        <f t="shared" si="196"/>
        <v>-4214</v>
      </c>
      <c r="AB103" s="8">
        <f t="shared" si="196"/>
        <v>-4206</v>
      </c>
      <c r="AC103" s="8">
        <f t="shared" si="196"/>
        <v>-4652</v>
      </c>
      <c r="AD103" s="8">
        <f t="shared" si="196"/>
        <v>-4645</v>
      </c>
      <c r="AE103" s="8">
        <f t="shared" si="196"/>
        <v>-4632</v>
      </c>
      <c r="AF103" s="8">
        <f t="shared" si="196"/>
        <v>-4621</v>
      </c>
      <c r="AG103" s="61">
        <v>0</v>
      </c>
      <c r="AH103" s="61">
        <v>0</v>
      </c>
      <c r="AI103" s="61">
        <v>0</v>
      </c>
      <c r="AK103" s="8">
        <f t="shared" si="197"/>
        <v>-36112</v>
      </c>
      <c r="AL103" s="8">
        <f t="shared" si="197"/>
        <v>-3545</v>
      </c>
      <c r="AM103" s="8">
        <f t="shared" si="197"/>
        <v>-3805</v>
      </c>
      <c r="AN103" s="8">
        <f t="shared" si="197"/>
        <v>-4015</v>
      </c>
      <c r="AO103" s="8">
        <f t="shared" si="197"/>
        <v>-4468</v>
      </c>
      <c r="AP103" s="8">
        <f t="shared" si="197"/>
        <v>-4578</v>
      </c>
      <c r="AQ103" s="8">
        <f t="shared" si="197"/>
        <v>-5180</v>
      </c>
      <c r="AR103" s="8">
        <f t="shared" si="197"/>
        <v>-6385</v>
      </c>
      <c r="AS103" s="8">
        <f t="shared" si="197"/>
        <v>-7455</v>
      </c>
      <c r="AT103" s="8">
        <f t="shared" si="197"/>
        <v>-8879</v>
      </c>
      <c r="AU103" s="8">
        <f t="shared" si="197"/>
        <v>-9882</v>
      </c>
      <c r="AV103" s="8">
        <f t="shared" si="197"/>
        <v>-11006</v>
      </c>
      <c r="AW103" s="8">
        <f t="shared" si="197"/>
        <v>-11845</v>
      </c>
      <c r="AY103" s="8">
        <f>+SUM(D103:G103)</f>
        <v>-11006</v>
      </c>
      <c r="AZ103" s="8">
        <f t="shared" si="198"/>
        <v>-11845</v>
      </c>
      <c r="BA103" s="8">
        <f t="shared" si="198"/>
        <v>-12699</v>
      </c>
      <c r="BB103" s="8">
        <f t="shared" si="198"/>
        <v>-13811</v>
      </c>
      <c r="BC103" s="8">
        <f t="shared" si="198"/>
        <v>-15137</v>
      </c>
      <c r="BD103" s="8">
        <f>SUM(X103:AA103)</f>
        <v>-16521</v>
      </c>
      <c r="BE103" s="8">
        <f t="shared" si="193"/>
        <v>-18135</v>
      </c>
      <c r="BF103" s="8">
        <f t="shared" si="189"/>
        <v>-4621</v>
      </c>
    </row>
    <row r="105" spans="2:59" ht="10.5">
      <c r="B105" s="45" t="s">
        <v>146</v>
      </c>
    </row>
    <row r="106" spans="2:59">
      <c r="B106" t="s">
        <v>1190</v>
      </c>
      <c r="D106" s="8">
        <f t="shared" ref="D106:AF106" si="200">+SUM(D664:D665,D671,D672)</f>
        <v>38567</v>
      </c>
      <c r="E106" s="8">
        <f t="shared" si="200"/>
        <v>44429</v>
      </c>
      <c r="F106" s="8">
        <f t="shared" si="200"/>
        <v>46394</v>
      </c>
      <c r="G106" s="8">
        <f t="shared" si="200"/>
        <v>53461</v>
      </c>
      <c r="H106" s="8">
        <f t="shared" si="200"/>
        <v>74690</v>
      </c>
      <c r="I106" s="8">
        <f t="shared" si="200"/>
        <v>84970</v>
      </c>
      <c r="J106" s="8">
        <f t="shared" si="200"/>
        <v>84008</v>
      </c>
      <c r="K106" s="8">
        <f t="shared" si="200"/>
        <v>91566</v>
      </c>
      <c r="L106" s="8">
        <f t="shared" si="200"/>
        <v>91243</v>
      </c>
      <c r="M106" s="8">
        <f t="shared" si="200"/>
        <v>94900</v>
      </c>
      <c r="N106" s="8">
        <f t="shared" si="200"/>
        <v>82908</v>
      </c>
      <c r="O106" s="8">
        <f t="shared" si="200"/>
        <v>81808</v>
      </c>
      <c r="P106" s="8">
        <f t="shared" si="200"/>
        <v>81882</v>
      </c>
      <c r="Q106" s="8">
        <f t="shared" si="200"/>
        <v>78852</v>
      </c>
      <c r="R106" s="8">
        <f t="shared" si="200"/>
        <v>79072</v>
      </c>
      <c r="S106" s="8">
        <f t="shared" si="200"/>
        <v>78366</v>
      </c>
      <c r="T106" s="8">
        <f t="shared" si="200"/>
        <v>76154</v>
      </c>
      <c r="U106" s="8">
        <f t="shared" si="200"/>
        <v>76780</v>
      </c>
      <c r="V106" s="8">
        <f t="shared" si="200"/>
        <v>73858</v>
      </c>
      <c r="W106" s="8">
        <f t="shared" si="200"/>
        <v>70998</v>
      </c>
      <c r="X106" s="8">
        <f t="shared" si="200"/>
        <v>70522</v>
      </c>
      <c r="Y106" s="8">
        <f t="shared" si="200"/>
        <v>69398</v>
      </c>
      <c r="Z106" s="8">
        <f t="shared" si="200"/>
        <v>67330</v>
      </c>
      <c r="AA106" s="8">
        <f t="shared" si="200"/>
        <v>67775</v>
      </c>
      <c r="AB106" s="8">
        <f t="shared" si="200"/>
        <v>67634</v>
      </c>
      <c r="AC106" s="8">
        <f t="shared" si="200"/>
        <v>82163</v>
      </c>
      <c r="AD106" s="8">
        <f t="shared" si="200"/>
        <v>61283</v>
      </c>
      <c r="AE106" s="8">
        <f t="shared" si="200"/>
        <v>61270</v>
      </c>
      <c r="AF106" s="8">
        <f t="shared" si="200"/>
        <v>51171</v>
      </c>
      <c r="AG106" s="8"/>
      <c r="AH106" s="8"/>
      <c r="AI106" s="8"/>
      <c r="AK106" s="8">
        <f t="shared" ref="AK106:AW106" si="201">+SUM(AK664:AK665,AK671,AK672)</f>
        <v>0</v>
      </c>
      <c r="AL106" s="8">
        <f t="shared" si="201"/>
        <v>0</v>
      </c>
      <c r="AM106" s="8">
        <f t="shared" si="201"/>
        <v>0</v>
      </c>
      <c r="AN106" s="8">
        <f t="shared" si="201"/>
        <v>0</v>
      </c>
      <c r="AO106" s="8">
        <f t="shared" si="201"/>
        <v>5746</v>
      </c>
      <c r="AP106" s="8">
        <f t="shared" si="201"/>
        <v>5939</v>
      </c>
      <c r="AQ106" s="8">
        <f t="shared" si="201"/>
        <v>11921</v>
      </c>
      <c r="AR106" s="8">
        <f t="shared" si="201"/>
        <v>11944</v>
      </c>
      <c r="AS106" s="8">
        <f t="shared" si="201"/>
        <v>15600</v>
      </c>
      <c r="AT106" s="8">
        <f t="shared" si="201"/>
        <v>22645</v>
      </c>
      <c r="AU106" s="8">
        <f t="shared" si="201"/>
        <v>35292</v>
      </c>
      <c r="AV106" s="8">
        <f t="shared" si="201"/>
        <v>53461</v>
      </c>
      <c r="AW106" s="8">
        <f t="shared" si="201"/>
        <v>86194</v>
      </c>
      <c r="AY106" s="8">
        <f>+G106</f>
        <v>53461</v>
      </c>
      <c r="AZ106" s="8">
        <f>+SUM(AZ664:AZ665,AZ671,AZ672)</f>
        <v>91566</v>
      </c>
      <c r="BA106" s="8">
        <f>+SUM(BA664:BA665,BA671,BA672)</f>
        <v>81808</v>
      </c>
      <c r="BB106" s="8">
        <f t="shared" ref="BB106:BE106" si="202">+SUM(BB664:BB665,BB671,BB672)</f>
        <v>78366</v>
      </c>
      <c r="BC106" s="8">
        <f t="shared" si="202"/>
        <v>70998</v>
      </c>
      <c r="BD106" s="8">
        <f t="shared" si="202"/>
        <v>67775</v>
      </c>
      <c r="BE106" s="8">
        <f t="shared" si="202"/>
        <v>61270</v>
      </c>
      <c r="BF106" s="8"/>
      <c r="BG106" s="8"/>
    </row>
    <row r="107" spans="2:59" ht="11.45">
      <c r="B107" t="s">
        <v>323</v>
      </c>
      <c r="D107" s="10">
        <f>+SUM(D645:D646)</f>
        <v>99355</v>
      </c>
      <c r="E107" s="10">
        <f t="shared" ref="E107:N107" si="203">+SUM(E645:E646)</f>
        <v>102640</v>
      </c>
      <c r="F107" s="10">
        <f t="shared" si="203"/>
        <v>105552</v>
      </c>
      <c r="G107" s="10">
        <f t="shared" si="203"/>
        <v>113240</v>
      </c>
      <c r="H107" s="10">
        <f t="shared" si="203"/>
        <v>136932</v>
      </c>
      <c r="I107" s="10">
        <f t="shared" si="203"/>
        <v>122781</v>
      </c>
      <c r="J107" s="10">
        <f t="shared" si="203"/>
        <v>126018</v>
      </c>
      <c r="K107" s="10">
        <f t="shared" si="203"/>
        <v>132981</v>
      </c>
      <c r="L107" s="10">
        <f t="shared" si="203"/>
        <v>138471</v>
      </c>
      <c r="M107" s="10">
        <f t="shared" si="203"/>
        <v>142780</v>
      </c>
      <c r="N107" s="10">
        <f t="shared" si="203"/>
        <v>132270</v>
      </c>
      <c r="O107" s="10">
        <f t="shared" ref="O107:AF107" si="204">+SUM(O645:O646)</f>
        <v>133768</v>
      </c>
      <c r="P107" s="10">
        <f t="shared" si="204"/>
        <v>135880</v>
      </c>
      <c r="Q107" s="10">
        <f t="shared" si="204"/>
        <v>127662</v>
      </c>
      <c r="R107" s="10">
        <f t="shared" si="204"/>
        <v>131618</v>
      </c>
      <c r="S107" s="10">
        <f t="shared" si="204"/>
        <v>133819</v>
      </c>
      <c r="T107" s="10">
        <f t="shared" si="204"/>
        <v>136636</v>
      </c>
      <c r="U107" s="10">
        <f t="shared" si="204"/>
        <v>134253</v>
      </c>
      <c r="V107" s="10">
        <f t="shared" si="204"/>
        <v>137626</v>
      </c>
      <c r="W107" s="10">
        <f t="shared" si="204"/>
        <v>136527</v>
      </c>
      <c r="X107" s="10">
        <f t="shared" si="204"/>
        <v>137977</v>
      </c>
      <c r="Y107" s="10">
        <f t="shared" si="204"/>
        <v>131968</v>
      </c>
      <c r="Z107" s="10">
        <f t="shared" si="204"/>
        <v>125407</v>
      </c>
      <c r="AA107" s="10">
        <f t="shared" si="204"/>
        <v>130334</v>
      </c>
      <c r="AB107" s="10">
        <f t="shared" si="204"/>
        <v>130615</v>
      </c>
      <c r="AC107" s="10">
        <f t="shared" si="204"/>
        <v>125369</v>
      </c>
      <c r="AD107" s="10">
        <f t="shared" si="204"/>
        <v>104693</v>
      </c>
      <c r="AE107" s="10">
        <f t="shared" si="204"/>
        <v>104757</v>
      </c>
      <c r="AF107" s="10">
        <f t="shared" si="204"/>
        <v>107262</v>
      </c>
      <c r="AG107" s="10"/>
      <c r="AH107" s="10"/>
      <c r="AI107" s="10"/>
      <c r="AK107" s="10">
        <f t="shared" ref="AK107:AW107" si="205">+SUM(AK645:AK646)</f>
        <v>37751</v>
      </c>
      <c r="AL107" s="10">
        <f t="shared" si="205"/>
        <v>34161</v>
      </c>
      <c r="AM107" s="10">
        <f t="shared" si="205"/>
        <v>23411</v>
      </c>
      <c r="AN107" s="10">
        <f t="shared" si="205"/>
        <v>23662</v>
      </c>
      <c r="AO107" s="10">
        <f t="shared" si="205"/>
        <v>31447</v>
      </c>
      <c r="AP107" s="10">
        <f t="shared" si="205"/>
        <v>36788</v>
      </c>
      <c r="AQ107" s="10">
        <f t="shared" si="205"/>
        <v>52772</v>
      </c>
      <c r="AR107" s="10">
        <f t="shared" si="205"/>
        <v>63040</v>
      </c>
      <c r="AS107" s="10">
        <f t="shared" si="205"/>
        <v>77022</v>
      </c>
      <c r="AT107" s="10">
        <f t="shared" si="205"/>
        <v>85709</v>
      </c>
      <c r="AU107" s="10">
        <f t="shared" si="205"/>
        <v>96526</v>
      </c>
      <c r="AV107" s="10">
        <f t="shared" si="205"/>
        <v>113240</v>
      </c>
      <c r="AW107" s="10">
        <f t="shared" si="205"/>
        <v>132981</v>
      </c>
      <c r="AY107" s="10">
        <f>+G107</f>
        <v>113240</v>
      </c>
      <c r="AZ107" s="10">
        <f t="shared" ref="AZ107:BE107" si="206">+SUM(AZ645:AZ646)</f>
        <v>132981</v>
      </c>
      <c r="BA107" s="10">
        <f t="shared" si="206"/>
        <v>133768</v>
      </c>
      <c r="BB107" s="10">
        <f t="shared" si="206"/>
        <v>133819</v>
      </c>
      <c r="BC107" s="10">
        <f t="shared" si="206"/>
        <v>136527</v>
      </c>
      <c r="BD107" s="10">
        <f t="shared" si="206"/>
        <v>130334</v>
      </c>
      <c r="BE107" s="10">
        <f t="shared" si="206"/>
        <v>104757</v>
      </c>
      <c r="BF107" s="10"/>
    </row>
    <row r="108" spans="2:59" s="1" customFormat="1" ht="10.5">
      <c r="B108" s="837" t="s">
        <v>146</v>
      </c>
      <c r="D108" s="838">
        <f>+D106-D107</f>
        <v>-60788</v>
      </c>
      <c r="E108" s="838">
        <f t="shared" ref="E108:AW108" si="207">+E106-E107</f>
        <v>-58211</v>
      </c>
      <c r="F108" s="838">
        <f t="shared" si="207"/>
        <v>-59158</v>
      </c>
      <c r="G108" s="838">
        <f t="shared" si="207"/>
        <v>-59779</v>
      </c>
      <c r="H108" s="838">
        <f t="shared" si="207"/>
        <v>-62242</v>
      </c>
      <c r="I108" s="838">
        <f t="shared" si="207"/>
        <v>-37811</v>
      </c>
      <c r="J108" s="838">
        <f t="shared" si="207"/>
        <v>-42010</v>
      </c>
      <c r="K108" s="838">
        <f t="shared" si="207"/>
        <v>-41415</v>
      </c>
      <c r="L108" s="838">
        <f t="shared" si="207"/>
        <v>-47228</v>
      </c>
      <c r="M108" s="838">
        <f t="shared" si="207"/>
        <v>-47880</v>
      </c>
      <c r="N108" s="838">
        <f t="shared" si="207"/>
        <v>-49362</v>
      </c>
      <c r="O108" s="838">
        <f t="shared" si="207"/>
        <v>-51960</v>
      </c>
      <c r="P108" s="838">
        <f t="shared" si="207"/>
        <v>-53998</v>
      </c>
      <c r="Q108" s="838">
        <f t="shared" si="207"/>
        <v>-48810</v>
      </c>
      <c r="R108" s="838">
        <f t="shared" si="207"/>
        <v>-52546</v>
      </c>
      <c r="S108" s="838">
        <f t="shared" si="207"/>
        <v>-55453</v>
      </c>
      <c r="T108" s="838">
        <f t="shared" si="207"/>
        <v>-60482</v>
      </c>
      <c r="U108" s="838">
        <f t="shared" si="207"/>
        <v>-57473</v>
      </c>
      <c r="V108" s="838">
        <f t="shared" si="207"/>
        <v>-63768</v>
      </c>
      <c r="W108" s="838">
        <f t="shared" si="207"/>
        <v>-65529</v>
      </c>
      <c r="X108" s="838">
        <f t="shared" si="207"/>
        <v>-67455</v>
      </c>
      <c r="Y108" s="838">
        <f t="shared" si="207"/>
        <v>-62570</v>
      </c>
      <c r="Z108" s="838">
        <f t="shared" si="207"/>
        <v>-58077</v>
      </c>
      <c r="AA108" s="838">
        <f t="shared" si="207"/>
        <v>-62559</v>
      </c>
      <c r="AB108" s="838">
        <f t="shared" si="207"/>
        <v>-62981</v>
      </c>
      <c r="AC108" s="838">
        <f t="shared" si="207"/>
        <v>-43206</v>
      </c>
      <c r="AD108" s="838">
        <f t="shared" si="207"/>
        <v>-43410</v>
      </c>
      <c r="AE108" s="838">
        <f t="shared" si="207"/>
        <v>-43487</v>
      </c>
      <c r="AF108" s="838">
        <f t="shared" si="207"/>
        <v>-56091</v>
      </c>
      <c r="AG108" s="838">
        <f t="shared" ref="AG108:AI108" si="208">+AF108-AG94-AG98</f>
        <v>-1607.6619012241135</v>
      </c>
      <c r="AH108" s="838">
        <f t="shared" si="208"/>
        <v>-44195.171615735817</v>
      </c>
      <c r="AI108" s="838">
        <f t="shared" si="208"/>
        <v>-75135.993400503328</v>
      </c>
      <c r="AK108" s="838">
        <f t="shared" si="207"/>
        <v>-37751</v>
      </c>
      <c r="AL108" s="838">
        <f t="shared" si="207"/>
        <v>-34161</v>
      </c>
      <c r="AM108" s="838">
        <f t="shared" si="207"/>
        <v>-23411</v>
      </c>
      <c r="AN108" s="838">
        <f t="shared" si="207"/>
        <v>-23662</v>
      </c>
      <c r="AO108" s="838">
        <f t="shared" si="207"/>
        <v>-25701</v>
      </c>
      <c r="AP108" s="838">
        <f t="shared" si="207"/>
        <v>-30849</v>
      </c>
      <c r="AQ108" s="838">
        <f t="shared" si="207"/>
        <v>-40851</v>
      </c>
      <c r="AR108" s="838">
        <f t="shared" si="207"/>
        <v>-51096</v>
      </c>
      <c r="AS108" s="838">
        <f t="shared" si="207"/>
        <v>-61422</v>
      </c>
      <c r="AT108" s="838">
        <f t="shared" si="207"/>
        <v>-63064</v>
      </c>
      <c r="AU108" s="838">
        <f t="shared" si="207"/>
        <v>-61234</v>
      </c>
      <c r="AV108" s="838">
        <f t="shared" si="207"/>
        <v>-59779</v>
      </c>
      <c r="AW108" s="838">
        <f t="shared" si="207"/>
        <v>-46787</v>
      </c>
      <c r="AY108" s="838">
        <f>+G108</f>
        <v>-59779</v>
      </c>
      <c r="AZ108" s="838">
        <f t="shared" ref="AZ108:BE108" si="209">+AZ106-AZ107</f>
        <v>-41415</v>
      </c>
      <c r="BA108" s="838">
        <f t="shared" si="209"/>
        <v>-51960</v>
      </c>
      <c r="BB108" s="838">
        <f t="shared" si="209"/>
        <v>-55453</v>
      </c>
      <c r="BC108" s="838">
        <f t="shared" si="209"/>
        <v>-65529</v>
      </c>
      <c r="BD108" s="838">
        <f t="shared" si="209"/>
        <v>-62559</v>
      </c>
      <c r="BE108" s="838">
        <f t="shared" si="209"/>
        <v>-43487</v>
      </c>
      <c r="BF108" s="838">
        <f>+AI108</f>
        <v>-75135.993400503328</v>
      </c>
    </row>
    <row r="109" spans="2:59" s="7" customFormat="1">
      <c r="B109" s="841" t="s">
        <v>324</v>
      </c>
      <c r="C109" s="861"/>
      <c r="D109" s="861"/>
      <c r="E109" s="861"/>
      <c r="F109" s="861"/>
      <c r="G109" s="861">
        <f t="shared" ref="G109:V109" si="210">+G108/SUM(D74:G74)</f>
        <v>-1.768086364980775</v>
      </c>
      <c r="H109" s="861">
        <f t="shared" si="210"/>
        <v>-1.8007753732206921</v>
      </c>
      <c r="I109" s="861">
        <f t="shared" si="210"/>
        <v>-1.0620470760069658</v>
      </c>
      <c r="J109" s="861">
        <f t="shared" si="210"/>
        <v>-1.1417622438441051</v>
      </c>
      <c r="K109" s="861">
        <f t="shared" si="210"/>
        <v>-1.0867511611430372</v>
      </c>
      <c r="L109" s="861">
        <f t="shared" si="210"/>
        <v>-1.1870805579992461</v>
      </c>
      <c r="M109" s="861">
        <f t="shared" si="210"/>
        <v>-1.1698306824012314</v>
      </c>
      <c r="N109" s="861">
        <f t="shared" si="210"/>
        <v>-1.1545316337270495</v>
      </c>
      <c r="O109" s="861">
        <f t="shared" si="210"/>
        <v>-1.1465389792360821</v>
      </c>
      <c r="P109" s="861">
        <f t="shared" si="210"/>
        <v>-1.1272127588510354</v>
      </c>
      <c r="Q109" s="861">
        <f t="shared" si="210"/>
        <v>-0.97733370710023626</v>
      </c>
      <c r="R109" s="861">
        <f t="shared" si="210"/>
        <v>-1.0064933821135096</v>
      </c>
      <c r="S109" s="861">
        <f t="shared" si="210"/>
        <v>-1.0148606357863144</v>
      </c>
      <c r="T109" s="861">
        <f t="shared" si="210"/>
        <v>-1.0517511216220916</v>
      </c>
      <c r="U109" s="861">
        <f t="shared" si="210"/>
        <v>-0.93685102776011864</v>
      </c>
      <c r="V109" s="861">
        <f t="shared" si="210"/>
        <v>-0.99368893459866303</v>
      </c>
      <c r="W109" s="861">
        <f t="shared" ref="W109:X109" si="211">+W108/SUM(T74:W74)</f>
        <v>-0.99656299901148204</v>
      </c>
      <c r="X109" s="861">
        <f t="shared" si="211"/>
        <v>-0.98303676824203212</v>
      </c>
      <c r="Y109" s="861">
        <f t="shared" ref="Y109:AI109" si="212">+Y108/SUM(V74:Y74)</f>
        <v>-0.86682459858969563</v>
      </c>
      <c r="Z109" s="861">
        <f t="shared" si="212"/>
        <v>-0.76342771511948893</v>
      </c>
      <c r="AA109" s="861">
        <f t="shared" si="212"/>
        <v>-0.76663562167593935</v>
      </c>
      <c r="AB109" s="861">
        <f t="shared" si="212"/>
        <v>-0.72784320070263842</v>
      </c>
      <c r="AC109" s="861">
        <f t="shared" si="212"/>
        <v>-0.47159884736290603</v>
      </c>
      <c r="AD109" s="861">
        <f t="shared" si="212"/>
        <v>-0.45327820067036306</v>
      </c>
      <c r="AE109" s="861">
        <f t="shared" si="212"/>
        <v>-0.44445693611193443</v>
      </c>
      <c r="AF109" s="861">
        <f t="shared" si="212"/>
        <v>-0.56829211456824147</v>
      </c>
      <c r="AG109" s="861">
        <f t="shared" si="212"/>
        <v>-1.6405708786050591E-2</v>
      </c>
      <c r="AH109" s="861">
        <f t="shared" si="212"/>
        <v>-0.45237323650803191</v>
      </c>
      <c r="AI109" s="861">
        <f t="shared" si="212"/>
        <v>-0.76348833180726816</v>
      </c>
      <c r="AJ109" s="861"/>
      <c r="AK109" s="861">
        <f t="shared" ref="AK109:AW109" si="213">+AK108/SUM(AK74)</f>
        <v>-2.4464389864558358</v>
      </c>
      <c r="AL109" s="861">
        <f t="shared" si="213"/>
        <v>-1.9765665683041138</v>
      </c>
      <c r="AM109" s="861">
        <f t="shared" si="213"/>
        <v>-1.1777341784887816</v>
      </c>
      <c r="AN109" s="861">
        <f t="shared" si="213"/>
        <v>-0.97266411805812469</v>
      </c>
      <c r="AO109" s="861">
        <f t="shared" si="213"/>
        <v>-1.1210905125408943</v>
      </c>
      <c r="AP109" s="861">
        <f t="shared" si="213"/>
        <v>-1.152329012737664</v>
      </c>
      <c r="AQ109" s="861">
        <f t="shared" si="213"/>
        <v>-1.365021552444281</v>
      </c>
      <c r="AR109" s="861">
        <f t="shared" si="213"/>
        <v>-1.6240027969360837</v>
      </c>
      <c r="AS109" s="861">
        <f t="shared" si="213"/>
        <v>-1.9999348788747069</v>
      </c>
      <c r="AT109" s="861">
        <f t="shared" si="213"/>
        <v>-1.9053719257961206</v>
      </c>
      <c r="AU109" s="861">
        <f t="shared" si="213"/>
        <v>-1.7941926221102289</v>
      </c>
      <c r="AV109" s="861">
        <f t="shared" si="213"/>
        <v>-1.7298665972161935</v>
      </c>
      <c r="AW109" s="861">
        <f t="shared" si="213"/>
        <v>-1.2274575648660702</v>
      </c>
      <c r="AX109" s="861"/>
      <c r="AY109" s="861">
        <f>+AY108/SUM(AY74)</f>
        <v>-1.768086364980775</v>
      </c>
      <c r="AZ109" s="861">
        <f>+AZ108/SUM(AZ74)</f>
        <v>-1.0867511611430372</v>
      </c>
      <c r="BA109" s="861">
        <f>+BA108/SUM(BA74)</f>
        <v>-1.1465389792360821</v>
      </c>
      <c r="BB109" s="861">
        <f>+BB108/SUM(BB74)</f>
        <v>-1.0148606357863144</v>
      </c>
      <c r="BC109" s="861">
        <f t="shared" ref="BC109:BF109" si="214">+BC108/SUM(BC74)</f>
        <v>-0.99656299901148204</v>
      </c>
      <c r="BD109" s="861">
        <f t="shared" si="214"/>
        <v>-0.76663562167593935</v>
      </c>
      <c r="BE109" s="861">
        <f t="shared" si="214"/>
        <v>-0.44445693611193443</v>
      </c>
      <c r="BF109" s="861">
        <f t="shared" si="214"/>
        <v>-0.76348833180726816</v>
      </c>
      <c r="BG109" s="862"/>
    </row>
    <row r="110" spans="2:59">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K110" s="8"/>
      <c r="AL110" s="8"/>
      <c r="AM110" s="8"/>
      <c r="AN110" s="8"/>
      <c r="AO110" s="8"/>
      <c r="AP110" s="8"/>
      <c r="AQ110" s="8"/>
      <c r="AR110" s="8"/>
      <c r="AS110" s="8"/>
      <c r="AT110" s="8"/>
      <c r="AU110" s="8"/>
      <c r="AV110" s="8"/>
      <c r="AW110" s="8"/>
      <c r="AY110" s="8"/>
      <c r="AZ110" s="8"/>
      <c r="BA110" s="8"/>
      <c r="BB110" s="8"/>
      <c r="BC110" s="8"/>
      <c r="BD110" s="8"/>
      <c r="BE110" s="8"/>
      <c r="BF110" s="8"/>
      <c r="BG110" s="8"/>
    </row>
    <row r="111" spans="2:59" ht="10.5">
      <c r="B111" s="5" t="s">
        <v>333</v>
      </c>
      <c r="C111" s="4"/>
      <c r="I111" s="3"/>
    </row>
    <row r="112" spans="2:59">
      <c r="X112" s="824"/>
      <c r="Y112" s="824"/>
      <c r="AU112" s="876" t="s">
        <v>262</v>
      </c>
      <c r="AV112" s="877"/>
    </row>
    <row r="113" spans="2:67" ht="10.5">
      <c r="B113" s="45" t="s">
        <v>86</v>
      </c>
    </row>
    <row r="114" spans="2:67">
      <c r="B114" s="878" t="s">
        <v>335</v>
      </c>
      <c r="D114" s="879"/>
      <c r="E114" s="879"/>
      <c r="F114" s="879"/>
      <c r="G114" s="879"/>
      <c r="H114" s="879">
        <v>6436</v>
      </c>
      <c r="I114" s="879">
        <v>7179</v>
      </c>
      <c r="J114" s="879">
        <v>7707</v>
      </c>
      <c r="K114" s="879">
        <v>8548</v>
      </c>
      <c r="L114" s="879">
        <v>8238</v>
      </c>
      <c r="M114" s="879">
        <v>8953</v>
      </c>
      <c r="N114" s="879">
        <v>9006</v>
      </c>
      <c r="O114" s="879">
        <v>9668</v>
      </c>
      <c r="P114" s="879">
        <v>9771</v>
      </c>
      <c r="Q114" s="879">
        <v>10100</v>
      </c>
      <c r="R114" s="879">
        <v>10242</v>
      </c>
      <c r="S114" s="879">
        <f>+BB114-SUM(P114:R114)</f>
        <v>11047</v>
      </c>
      <c r="T114" s="879">
        <v>11077</v>
      </c>
      <c r="U114" s="879">
        <v>11826</v>
      </c>
      <c r="V114" s="879">
        <v>11743</v>
      </c>
      <c r="W114" s="879">
        <v>11752</v>
      </c>
      <c r="X114" s="879">
        <v>12319</v>
      </c>
      <c r="Y114" s="879">
        <v>13353</v>
      </c>
      <c r="Z114" s="879">
        <v>13552</v>
      </c>
      <c r="AA114" s="879">
        <v>14691</v>
      </c>
      <c r="AB114" s="879">
        <v>15039</v>
      </c>
      <c r="AC114" s="879">
        <v>15936</v>
      </c>
      <c r="AD114" s="879">
        <v>15789</v>
      </c>
      <c r="AE114" s="879">
        <v>16600</v>
      </c>
      <c r="AF114" s="879">
        <v>16465</v>
      </c>
      <c r="AG114" s="880">
        <f>+AC114*(1+AG121)</f>
        <v>16892.16</v>
      </c>
      <c r="AH114" s="880">
        <f t="shared" ref="AH114:AI116" si="215">+AD114*(1+AH121)</f>
        <v>16740.644079279478</v>
      </c>
      <c r="AI114" s="880">
        <f t="shared" si="215"/>
        <v>16568.183408116493</v>
      </c>
      <c r="AK114" s="879"/>
      <c r="AL114" s="879"/>
      <c r="AM114" s="879"/>
      <c r="AN114" s="879"/>
      <c r="AO114" s="879"/>
      <c r="AP114" s="879"/>
      <c r="AQ114" s="879"/>
      <c r="AR114" s="879"/>
      <c r="AS114" s="879"/>
      <c r="AT114" s="879">
        <v>26976</v>
      </c>
      <c r="AU114" s="879">
        <v>26430</v>
      </c>
      <c r="AV114" s="879">
        <v>26487</v>
      </c>
      <c r="AW114" s="879">
        <v>30444</v>
      </c>
      <c r="AY114" s="879">
        <v>25792</v>
      </c>
      <c r="AZ114" s="879">
        <f>+SUM(H114:K114)</f>
        <v>29870</v>
      </c>
      <c r="BA114" s="879">
        <f>+SUM(L114:O114)</f>
        <v>35865</v>
      </c>
      <c r="BB114" s="879">
        <v>41160</v>
      </c>
      <c r="BC114" s="880">
        <f>SUM(T114:W114)</f>
        <v>46398</v>
      </c>
      <c r="BD114" s="880">
        <f>SUM(X114:AA114)</f>
        <v>53915</v>
      </c>
      <c r="BE114" s="880">
        <f>SUM(AB114:AE114)</f>
        <v>63364</v>
      </c>
      <c r="BF114" s="880">
        <f>SUM(AF114:AI114)</f>
        <v>66665.987487395963</v>
      </c>
      <c r="BI114" t="s">
        <v>1191</v>
      </c>
    </row>
    <row r="115" spans="2:67">
      <c r="B115" s="878" t="s">
        <v>337</v>
      </c>
      <c r="D115" s="879"/>
      <c r="E115" s="879"/>
      <c r="F115" s="879"/>
      <c r="G115" s="879"/>
      <c r="H115" s="879">
        <v>6097</v>
      </c>
      <c r="I115" s="879">
        <v>6758</v>
      </c>
      <c r="J115" s="879">
        <v>6730</v>
      </c>
      <c r="K115" s="879">
        <v>7822</v>
      </c>
      <c r="L115" s="879">
        <v>6922</v>
      </c>
      <c r="M115" s="879">
        <v>7795</v>
      </c>
      <c r="N115" s="879">
        <v>7896</v>
      </c>
      <c r="O115" s="879">
        <v>9606</v>
      </c>
      <c r="P115" s="879">
        <v>8567</v>
      </c>
      <c r="Q115" s="879">
        <v>9378</v>
      </c>
      <c r="R115" s="879">
        <v>9649</v>
      </c>
      <c r="S115" s="879">
        <f>+BB115-SUM(P115:R115)</f>
        <v>11391</v>
      </c>
      <c r="T115" s="879">
        <v>10845</v>
      </c>
      <c r="U115" s="879">
        <v>11869</v>
      </c>
      <c r="V115" s="879">
        <v>12281</v>
      </c>
      <c r="W115" s="879">
        <v>13371</v>
      </c>
      <c r="X115" s="879">
        <v>12986</v>
      </c>
      <c r="Y115" s="879">
        <v>14601</v>
      </c>
      <c r="Z115" s="879">
        <v>15118</v>
      </c>
      <c r="AA115" s="879">
        <v>17375</v>
      </c>
      <c r="AB115" s="879">
        <v>16964</v>
      </c>
      <c r="AC115" s="879">
        <v>18327</v>
      </c>
      <c r="AD115" s="879">
        <v>19051</v>
      </c>
      <c r="AE115" s="879">
        <v>20909</v>
      </c>
      <c r="AF115" s="879">
        <v>20325</v>
      </c>
      <c r="AG115" s="880">
        <f t="shared" ref="AG115:AG116" si="216">+AC115*(1+AG122)</f>
        <v>21851.324970439069</v>
      </c>
      <c r="AH115" s="880">
        <f t="shared" si="215"/>
        <v>22482.199585746588</v>
      </c>
      <c r="AI115" s="880">
        <f t="shared" si="215"/>
        <v>24430.430845384817</v>
      </c>
      <c r="AK115" s="879"/>
      <c r="AL115" s="879"/>
      <c r="AM115" s="879"/>
      <c r="AN115" s="879"/>
      <c r="AO115" s="879"/>
      <c r="AP115" s="879"/>
      <c r="AQ115" s="879"/>
      <c r="AR115" s="879"/>
      <c r="AS115" s="879"/>
      <c r="AT115" s="879">
        <v>21735</v>
      </c>
      <c r="AU115" s="879">
        <v>23715</v>
      </c>
      <c r="AV115" s="879">
        <v>25042</v>
      </c>
      <c r="AW115" s="879">
        <v>27440</v>
      </c>
      <c r="AY115" s="879">
        <v>24952</v>
      </c>
      <c r="AZ115" s="879">
        <f>+SUM(H115:K115)</f>
        <v>27407</v>
      </c>
      <c r="BA115" s="879">
        <f>+SUM(L115:O115)</f>
        <v>32219</v>
      </c>
      <c r="BB115" s="879">
        <v>38985</v>
      </c>
      <c r="BC115" s="880">
        <f>SUM(T115:W115)</f>
        <v>48366</v>
      </c>
      <c r="BD115" s="880">
        <f>SUM(X115:AA115)</f>
        <v>60080</v>
      </c>
      <c r="BE115" s="880">
        <f t="shared" ref="BE115:BE117" si="217">SUM(AB115:AE115)</f>
        <v>75251</v>
      </c>
      <c r="BF115" s="880">
        <f t="shared" ref="BF115:BF117" si="218">SUM(AF115:AI115)</f>
        <v>89088.955401570478</v>
      </c>
      <c r="BI115" s="881">
        <f t="shared" ref="BI115:BJ117" si="219">(BH115+BC115+AY115-BD115-AZ115)*1</f>
        <v>-14169</v>
      </c>
      <c r="BJ115" s="881">
        <f t="shared" si="219"/>
        <v>-34152</v>
      </c>
      <c r="BK115" s="881">
        <f t="shared" ref="BK115:BK117" si="220">(BJ115+BE115+BA115-BG115-BB115)*1</f>
        <v>34333</v>
      </c>
    </row>
    <row r="116" spans="2:67">
      <c r="B116" s="878" t="s">
        <v>339</v>
      </c>
      <c r="D116" s="879"/>
      <c r="E116" s="879"/>
      <c r="F116" s="879"/>
      <c r="G116" s="879"/>
      <c r="H116" s="879">
        <v>9395</v>
      </c>
      <c r="I116" s="879">
        <v>11889</v>
      </c>
      <c r="J116" s="879">
        <v>8775</v>
      </c>
      <c r="K116" s="879">
        <v>9235</v>
      </c>
      <c r="L116" s="879">
        <v>9378</v>
      </c>
      <c r="M116" s="879">
        <v>12170</v>
      </c>
      <c r="N116" s="879">
        <v>9917</v>
      </c>
      <c r="O116" s="879">
        <v>10811</v>
      </c>
      <c r="P116" s="879">
        <v>10746</v>
      </c>
      <c r="Q116" s="879">
        <v>12993</v>
      </c>
      <c r="R116" s="879">
        <v>10680</v>
      </c>
      <c r="S116" s="879">
        <f>+BB116-SUM(P116:R116)</f>
        <v>11279</v>
      </c>
      <c r="T116" s="879">
        <v>11133</v>
      </c>
      <c r="U116" s="879">
        <v>13211</v>
      </c>
      <c r="V116" s="879">
        <v>10997</v>
      </c>
      <c r="W116" s="879">
        <v>12910</v>
      </c>
      <c r="X116" s="879">
        <v>11849</v>
      </c>
      <c r="Y116" s="879">
        <v>15122</v>
      </c>
      <c r="Z116" s="879">
        <v>13036</v>
      </c>
      <c r="AA116" s="879">
        <v>14086</v>
      </c>
      <c r="AB116" s="879">
        <v>13314</v>
      </c>
      <c r="AC116" s="879">
        <v>17465</v>
      </c>
      <c r="AD116" s="879">
        <v>14520</v>
      </c>
      <c r="AE116" s="879">
        <v>14356</v>
      </c>
      <c r="AF116" s="879">
        <v>13332</v>
      </c>
      <c r="AG116" s="880">
        <f t="shared" si="216"/>
        <v>14845.25</v>
      </c>
      <c r="AH116" s="880">
        <f t="shared" si="215"/>
        <v>12346.925211434513</v>
      </c>
      <c r="AI116" s="880">
        <f t="shared" si="215"/>
        <v>14384.232410370145</v>
      </c>
      <c r="AK116" s="879"/>
      <c r="AL116" s="879"/>
      <c r="AM116" s="879"/>
      <c r="AN116" s="879"/>
      <c r="AO116" s="879"/>
      <c r="AP116" s="879"/>
      <c r="AQ116" s="879"/>
      <c r="AR116" s="879"/>
      <c r="AS116" s="879"/>
      <c r="AT116" s="879">
        <v>38460</v>
      </c>
      <c r="AU116" s="879">
        <v>43435</v>
      </c>
      <c r="AV116" s="879">
        <v>40434</v>
      </c>
      <c r="AW116" s="879">
        <v>38773</v>
      </c>
      <c r="AY116" s="879">
        <v>40410</v>
      </c>
      <c r="AZ116" s="879">
        <f>+SUM(H116:K116)</f>
        <v>39294</v>
      </c>
      <c r="BA116" s="879">
        <f>+SUM(L116:O116)</f>
        <v>42276</v>
      </c>
      <c r="BB116" s="879">
        <v>45698</v>
      </c>
      <c r="BC116" s="880">
        <f>SUM(T116:W116)</f>
        <v>48251</v>
      </c>
      <c r="BD116" s="880">
        <f>SUM(X116:AA116)</f>
        <v>54093</v>
      </c>
      <c r="BE116" s="880">
        <f t="shared" si="217"/>
        <v>59655</v>
      </c>
      <c r="BF116" s="880">
        <f t="shared" si="218"/>
        <v>54908.407621804661</v>
      </c>
      <c r="BI116" s="881">
        <f t="shared" si="219"/>
        <v>-4726</v>
      </c>
      <c r="BJ116" s="881">
        <f t="shared" si="219"/>
        <v>-13270</v>
      </c>
      <c r="BK116" s="881">
        <f t="shared" si="220"/>
        <v>42963</v>
      </c>
      <c r="BL116" s="874"/>
    </row>
    <row r="117" spans="2:67" ht="11.45" outlineLevel="1">
      <c r="B117" s="878" t="s">
        <v>340</v>
      </c>
      <c r="D117" s="10"/>
      <c r="E117" s="10"/>
      <c r="F117" s="10"/>
      <c r="G117" s="10"/>
      <c r="H117" s="10">
        <v>0</v>
      </c>
      <c r="I117" s="10">
        <v>0</v>
      </c>
      <c r="J117" s="10">
        <v>0</v>
      </c>
      <c r="K117" s="10">
        <v>0</v>
      </c>
      <c r="L117" s="10">
        <v>0</v>
      </c>
      <c r="M117" s="10">
        <v>0</v>
      </c>
      <c r="N117" s="10">
        <v>0</v>
      </c>
      <c r="O117" s="10">
        <v>0</v>
      </c>
      <c r="P117" s="10">
        <v>0</v>
      </c>
      <c r="Q117" s="10">
        <v>0</v>
      </c>
      <c r="R117" s="10">
        <v>0</v>
      </c>
      <c r="S117" s="10">
        <f>+BB117-SUM(P117:R117)</f>
        <v>0</v>
      </c>
      <c r="T117" s="10">
        <v>0</v>
      </c>
      <c r="U117" s="10">
        <v>0</v>
      </c>
      <c r="V117" s="10">
        <v>0</v>
      </c>
      <c r="W117" s="10">
        <v>0</v>
      </c>
      <c r="X117" s="10">
        <v>0</v>
      </c>
      <c r="Y117" s="34">
        <v>0</v>
      </c>
      <c r="Z117" s="34">
        <v>0</v>
      </c>
      <c r="AA117" s="34">
        <v>0</v>
      </c>
      <c r="AB117" s="34">
        <v>0</v>
      </c>
      <c r="AC117" s="34">
        <v>0</v>
      </c>
      <c r="AD117" s="34">
        <v>0</v>
      </c>
      <c r="AE117" s="34">
        <v>0</v>
      </c>
      <c r="AF117" s="34">
        <v>0</v>
      </c>
      <c r="AG117" s="34">
        <v>0</v>
      </c>
      <c r="AH117" s="34">
        <v>0</v>
      </c>
      <c r="AI117" s="34">
        <v>0</v>
      </c>
      <c r="AK117" s="10"/>
      <c r="AL117" s="10"/>
      <c r="AM117" s="10"/>
      <c r="AN117" s="10"/>
      <c r="AO117" s="10"/>
      <c r="AP117" s="10"/>
      <c r="AQ117" s="10"/>
      <c r="AR117" s="10"/>
      <c r="AS117" s="10"/>
      <c r="AT117" s="10">
        <v>-338</v>
      </c>
      <c r="AU117" s="10">
        <v>0</v>
      </c>
      <c r="AV117" s="10">
        <v>-6643</v>
      </c>
      <c r="AW117" s="10">
        <v>-6707</v>
      </c>
      <c r="AY117" s="10">
        <v>0</v>
      </c>
      <c r="AZ117" s="10">
        <f>+SUM(H117:K117)</f>
        <v>0</v>
      </c>
      <c r="BA117" s="10">
        <f>+SUM(L117:O117)</f>
        <v>0</v>
      </c>
      <c r="BB117" s="10">
        <v>0</v>
      </c>
      <c r="BC117" s="10">
        <f>SUM(T117:W117)</f>
        <v>0</v>
      </c>
      <c r="BD117" s="10">
        <f>SUM(X117:AA117)</f>
        <v>0</v>
      </c>
      <c r="BE117" s="10">
        <f t="shared" si="217"/>
        <v>0</v>
      </c>
      <c r="BF117" s="10">
        <f t="shared" si="218"/>
        <v>0</v>
      </c>
      <c r="BI117" s="881">
        <f>(BH117+BC117+AY117-BD117-AZ117)*1</f>
        <v>0</v>
      </c>
      <c r="BJ117" s="881">
        <f t="shared" si="219"/>
        <v>0</v>
      </c>
      <c r="BK117" s="881">
        <f t="shared" si="220"/>
        <v>0</v>
      </c>
      <c r="BL117" s="874"/>
    </row>
    <row r="118" spans="2:67" s="1" customFormat="1" ht="10.5">
      <c r="B118" s="882" t="s">
        <v>341</v>
      </c>
      <c r="D118" s="838"/>
      <c r="E118" s="838"/>
      <c r="F118" s="838"/>
      <c r="G118" s="838"/>
      <c r="H118" s="838">
        <f>SUM(H114:H117)</f>
        <v>21928</v>
      </c>
      <c r="I118" s="838">
        <f t="shared" ref="I118:AW118" si="221">SUM(I114:I117)</f>
        <v>25826</v>
      </c>
      <c r="J118" s="838">
        <f t="shared" si="221"/>
        <v>23212</v>
      </c>
      <c r="K118" s="838">
        <f t="shared" si="221"/>
        <v>25605</v>
      </c>
      <c r="L118" s="838">
        <f t="shared" si="221"/>
        <v>24538</v>
      </c>
      <c r="M118" s="838">
        <f t="shared" si="221"/>
        <v>28918</v>
      </c>
      <c r="N118" s="838">
        <f t="shared" si="221"/>
        <v>26819</v>
      </c>
      <c r="O118" s="838">
        <f t="shared" si="221"/>
        <v>30085</v>
      </c>
      <c r="P118" s="838">
        <f t="shared" si="221"/>
        <v>29084</v>
      </c>
      <c r="Q118" s="838">
        <f t="shared" si="221"/>
        <v>32471</v>
      </c>
      <c r="R118" s="838">
        <f t="shared" si="221"/>
        <v>30571</v>
      </c>
      <c r="S118" s="838">
        <f t="shared" si="221"/>
        <v>33717</v>
      </c>
      <c r="T118" s="838">
        <f t="shared" si="221"/>
        <v>33055</v>
      </c>
      <c r="U118" s="838">
        <f t="shared" si="221"/>
        <v>36906</v>
      </c>
      <c r="V118" s="838">
        <f t="shared" si="221"/>
        <v>35021</v>
      </c>
      <c r="W118" s="838">
        <f t="shared" si="221"/>
        <v>38033</v>
      </c>
      <c r="X118" s="838">
        <f t="shared" si="221"/>
        <v>37154</v>
      </c>
      <c r="Y118" s="838">
        <f t="shared" si="221"/>
        <v>43076</v>
      </c>
      <c r="Z118" s="838">
        <f t="shared" si="221"/>
        <v>41706</v>
      </c>
      <c r="AA118" s="838">
        <f t="shared" si="221"/>
        <v>46152</v>
      </c>
      <c r="AB118" s="838">
        <f t="shared" si="221"/>
        <v>45317</v>
      </c>
      <c r="AC118" s="838">
        <f t="shared" si="221"/>
        <v>51728</v>
      </c>
      <c r="AD118" s="838">
        <f t="shared" si="221"/>
        <v>49360</v>
      </c>
      <c r="AE118" s="838">
        <f t="shared" si="221"/>
        <v>51865</v>
      </c>
      <c r="AF118" s="838">
        <f t="shared" si="221"/>
        <v>50122</v>
      </c>
      <c r="AG118" s="838">
        <f t="shared" si="221"/>
        <v>53588.734970439065</v>
      </c>
      <c r="AH118" s="838">
        <f t="shared" si="221"/>
        <v>51569.768876460585</v>
      </c>
      <c r="AI118" s="838">
        <f t="shared" si="221"/>
        <v>55382.846663871453</v>
      </c>
      <c r="AK118" s="838"/>
      <c r="AL118" s="838"/>
      <c r="AM118" s="838"/>
      <c r="AN118" s="838"/>
      <c r="AO118" s="838"/>
      <c r="AP118" s="838"/>
      <c r="AQ118" s="838"/>
      <c r="AR118" s="838"/>
      <c r="AS118" s="838"/>
      <c r="AT118" s="838">
        <f t="shared" si="221"/>
        <v>86833</v>
      </c>
      <c r="AU118" s="838">
        <f t="shared" si="221"/>
        <v>93580</v>
      </c>
      <c r="AV118" s="838">
        <f t="shared" si="221"/>
        <v>85320</v>
      </c>
      <c r="AW118" s="838">
        <f t="shared" si="221"/>
        <v>89950</v>
      </c>
      <c r="AY118" s="838">
        <f t="shared" ref="AY118" si="222">SUM(AY114:AY117)</f>
        <v>91154</v>
      </c>
      <c r="AZ118" s="838">
        <f>+SUM(H118:K118)</f>
        <v>96571</v>
      </c>
      <c r="BA118" s="838">
        <f>+SUM(L118:O118)</f>
        <v>110360</v>
      </c>
      <c r="BB118" s="838">
        <f>SUM(BB114:BB117)</f>
        <v>125843</v>
      </c>
      <c r="BC118" s="838">
        <f t="shared" ref="BC118:BF118" si="223">SUM(BC114:BC117)</f>
        <v>143015</v>
      </c>
      <c r="BD118" s="838">
        <f t="shared" si="223"/>
        <v>168088</v>
      </c>
      <c r="BE118" s="838">
        <f t="shared" si="223"/>
        <v>198270</v>
      </c>
      <c r="BF118" s="838">
        <f t="shared" si="223"/>
        <v>210663.3505107711</v>
      </c>
      <c r="BK118"/>
      <c r="BL118" s="874"/>
    </row>
    <row r="119" spans="2:67">
      <c r="X119" s="826"/>
    </row>
    <row r="120" spans="2:67" s="3" customFormat="1">
      <c r="B120" s="883" t="s">
        <v>113</v>
      </c>
      <c r="AE120" s="986"/>
      <c r="AF120" s="986"/>
      <c r="AG120" s="986"/>
      <c r="AH120" s="986"/>
      <c r="AI120" s="986"/>
      <c r="BI120"/>
      <c r="BJ120"/>
      <c r="BK120"/>
      <c r="BL120" s="874"/>
    </row>
    <row r="121" spans="2:67" s="3" customFormat="1">
      <c r="B121" s="884" t="str">
        <f>+B114</f>
        <v>Productivity and Business Processes</v>
      </c>
      <c r="L121" s="14">
        <f t="shared" ref="L121:AF123" si="224">+IFERROR(L114/H114-1,"n/a ")</f>
        <v>0.27998756991920448</v>
      </c>
      <c r="M121" s="14">
        <f t="shared" si="224"/>
        <v>0.24710962529600233</v>
      </c>
      <c r="N121" s="14">
        <f t="shared" si="224"/>
        <v>0.1685480731802258</v>
      </c>
      <c r="O121" s="14">
        <f t="shared" si="224"/>
        <v>0.13102480112306969</v>
      </c>
      <c r="P121" s="14">
        <f t="shared" si="224"/>
        <v>0.18608885651857254</v>
      </c>
      <c r="Q121" s="14">
        <f t="shared" si="224"/>
        <v>0.12811348151457613</v>
      </c>
      <c r="R121" s="14">
        <f t="shared" si="224"/>
        <v>0.13724183877415053</v>
      </c>
      <c r="S121" s="14">
        <f t="shared" si="224"/>
        <v>0.14263549855192381</v>
      </c>
      <c r="T121" s="14">
        <f t="shared" si="224"/>
        <v>0.13366083307747423</v>
      </c>
      <c r="U121" s="14">
        <f t="shared" si="224"/>
        <v>0.17089108910891082</v>
      </c>
      <c r="V121" s="14">
        <f t="shared" si="224"/>
        <v>0.14655340753759027</v>
      </c>
      <c r="W121" s="14">
        <f t="shared" si="224"/>
        <v>6.3818231193989217E-2</v>
      </c>
      <c r="X121" s="14">
        <f t="shared" si="224"/>
        <v>0.11212422135957389</v>
      </c>
      <c r="Y121" s="14">
        <f t="shared" si="224"/>
        <v>0.12912227295788936</v>
      </c>
      <c r="Z121" s="14">
        <f t="shared" si="224"/>
        <v>0.15404922081239891</v>
      </c>
      <c r="AA121" s="14">
        <f t="shared" si="224"/>
        <v>0.25008509189925121</v>
      </c>
      <c r="AB121" s="14">
        <f t="shared" si="224"/>
        <v>0.22079714262521311</v>
      </c>
      <c r="AC121" s="14">
        <f t="shared" si="224"/>
        <v>0.19343967647719618</v>
      </c>
      <c r="AD121" s="14">
        <f t="shared" si="224"/>
        <v>0.16506788665879579</v>
      </c>
      <c r="AE121" s="890">
        <f t="shared" si="224"/>
        <v>0.12994350282485878</v>
      </c>
      <c r="AF121" s="890">
        <f t="shared" si="224"/>
        <v>9.4820134317441296E-2</v>
      </c>
      <c r="AG121" s="851">
        <v>0.06</v>
      </c>
      <c r="AH121" s="851">
        <f>(AG121+AC121+Y121-AD121-Z121)*95%</f>
        <v>6.0272599865696289E-2</v>
      </c>
      <c r="AI121" s="851">
        <f>(AH121+AD121+Z121-AE121-AA121)*3</f>
        <v>-1.9166621616570345E-3</v>
      </c>
      <c r="AU121" s="14">
        <f t="shared" ref="AU121:AW125" si="225">+IFERROR(AU114/AT114-1,"n/a ")</f>
        <v>-2.0240213523131656E-2</v>
      </c>
      <c r="AV121" s="14">
        <f t="shared" si="225"/>
        <v>2.1566401816117686E-3</v>
      </c>
      <c r="AW121" s="14">
        <f t="shared" si="225"/>
        <v>0.14939404236040321</v>
      </c>
      <c r="AX121" s="14"/>
      <c r="AY121" s="1010">
        <f t="shared" ref="AY121" si="226">+AV121</f>
        <v>2.1566401816117686E-3</v>
      </c>
      <c r="AZ121" s="1010">
        <f t="shared" ref="AZ121" si="227">+AW121</f>
        <v>0.14939404236040321</v>
      </c>
      <c r="BA121" s="14">
        <f t="shared" ref="BA121:BF125" si="228">+IFERROR(BA114/AZ114-1,"n/a ")</f>
        <v>0.20070304653498483</v>
      </c>
      <c r="BB121" s="14">
        <f t="shared" si="228"/>
        <v>0.14763697197825176</v>
      </c>
      <c r="BC121" s="14">
        <f t="shared" si="228"/>
        <v>0.12725947521865888</v>
      </c>
      <c r="BD121" s="14">
        <f t="shared" si="228"/>
        <v>0.16201129359024091</v>
      </c>
      <c r="BE121" s="14">
        <f t="shared" si="228"/>
        <v>0.17525734953167027</v>
      </c>
      <c r="BF121" s="14">
        <f t="shared" si="228"/>
        <v>5.2111411643771977E-2</v>
      </c>
      <c r="BK121" s="839" t="s">
        <v>90</v>
      </c>
    </row>
    <row r="122" spans="2:67" s="3" customFormat="1">
      <c r="B122" s="884" t="str">
        <f t="shared" ref="B122:B125" si="229">+B115</f>
        <v>Intelligent Cloud</v>
      </c>
      <c r="L122" s="14">
        <f t="shared" si="224"/>
        <v>0.13531244874528459</v>
      </c>
      <c r="M122" s="14">
        <f t="shared" si="224"/>
        <v>0.1534477656111275</v>
      </c>
      <c r="N122" s="14">
        <f t="shared" si="224"/>
        <v>0.17325408618127791</v>
      </c>
      <c r="O122" s="14">
        <f t="shared" si="224"/>
        <v>0.22807466121196618</v>
      </c>
      <c r="P122" s="14">
        <f t="shared" si="224"/>
        <v>0.23764807859000281</v>
      </c>
      <c r="Q122" s="14">
        <f t="shared" si="224"/>
        <v>0.2030788967286723</v>
      </c>
      <c r="R122" s="14">
        <f t="shared" si="224"/>
        <v>0.22201114488348539</v>
      </c>
      <c r="S122" s="14">
        <f t="shared" si="224"/>
        <v>0.18582136164896945</v>
      </c>
      <c r="T122" s="14">
        <f t="shared" si="224"/>
        <v>0.26590405042605347</v>
      </c>
      <c r="U122" s="14">
        <f t="shared" si="224"/>
        <v>0.26562166773299212</v>
      </c>
      <c r="V122" s="14">
        <f t="shared" si="224"/>
        <v>0.27277438076484617</v>
      </c>
      <c r="W122" s="14">
        <f t="shared" si="224"/>
        <v>0.17382143797735061</v>
      </c>
      <c r="X122" s="14">
        <f t="shared" si="224"/>
        <v>0.19741816505301979</v>
      </c>
      <c r="Y122" s="14">
        <f t="shared" si="224"/>
        <v>0.23017945909512183</v>
      </c>
      <c r="Z122" s="14">
        <f t="shared" si="224"/>
        <v>0.23100724696685937</v>
      </c>
      <c r="AA122" s="14">
        <f t="shared" si="224"/>
        <v>0.29945404233041661</v>
      </c>
      <c r="AB122" s="14">
        <f t="shared" si="224"/>
        <v>0.30632989373171116</v>
      </c>
      <c r="AC122" s="14">
        <f t="shared" si="224"/>
        <v>0.25518800082186144</v>
      </c>
      <c r="AD122" s="14">
        <f t="shared" si="224"/>
        <v>0.2601534594523085</v>
      </c>
      <c r="AE122" s="890">
        <f t="shared" si="224"/>
        <v>0.20339568345323733</v>
      </c>
      <c r="AF122" s="890">
        <f t="shared" si="224"/>
        <v>0.19812544211270922</v>
      </c>
      <c r="AG122" s="851">
        <f>(AF122+AB122+X122-AC122-Y122)*0.8+350/AC115</f>
        <v>0.19230233919567125</v>
      </c>
      <c r="AH122" s="851">
        <f>(AG122+AC122+Y122-AD122-Z122)*0.9+350/3*2/AD115</f>
        <v>0.18010600943502109</v>
      </c>
      <c r="AI122" s="851">
        <f>(AH122+AD122+Z122-AE122-AA122)*1</f>
        <v>0.16841699007053501</v>
      </c>
      <c r="AU122" s="14">
        <f t="shared" si="225"/>
        <v>9.109730848861286E-2</v>
      </c>
      <c r="AV122" s="14">
        <f t="shared" si="225"/>
        <v>5.5956145899219933E-2</v>
      </c>
      <c r="AW122" s="14">
        <f t="shared" si="225"/>
        <v>9.5759124670553364E-2</v>
      </c>
      <c r="AX122" s="14"/>
      <c r="AY122" s="904">
        <f t="shared" ref="AY122:AY126" si="230">+AV122</f>
        <v>5.5956145899219933E-2</v>
      </c>
      <c r="AZ122" s="904">
        <f t="shared" ref="AZ122:AZ126" si="231">+AW122</f>
        <v>9.5759124670553364E-2</v>
      </c>
      <c r="BA122" s="14">
        <f t="shared" si="228"/>
        <v>0.17557558288028607</v>
      </c>
      <c r="BB122" s="14">
        <f t="shared" si="228"/>
        <v>0.2100003103758652</v>
      </c>
      <c r="BC122" s="14">
        <f t="shared" si="228"/>
        <v>0.24063101192766445</v>
      </c>
      <c r="BD122" s="14">
        <f t="shared" si="228"/>
        <v>0.24219493032295425</v>
      </c>
      <c r="BE122" s="14">
        <f t="shared" si="228"/>
        <v>0.25251331557922763</v>
      </c>
      <c r="BF122" s="14">
        <f t="shared" si="228"/>
        <v>0.18389065130789595</v>
      </c>
      <c r="BK122" s="3" t="s">
        <v>325</v>
      </c>
      <c r="BL122" s="3" t="s">
        <v>326</v>
      </c>
      <c r="BN122" s="3" t="s">
        <v>327</v>
      </c>
    </row>
    <row r="123" spans="2:67" s="3" customFormat="1">
      <c r="B123" s="884" t="str">
        <f t="shared" si="229"/>
        <v>More Personal Computing</v>
      </c>
      <c r="L123" s="228">
        <f t="shared" si="224"/>
        <v>-1.8094731240021478E-3</v>
      </c>
      <c r="M123" s="228">
        <f t="shared" si="224"/>
        <v>2.3635293128101642E-2</v>
      </c>
      <c r="N123" s="228">
        <f t="shared" si="224"/>
        <v>0.13014245014245018</v>
      </c>
      <c r="O123" s="228">
        <f t="shared" si="224"/>
        <v>0.17065511640498099</v>
      </c>
      <c r="P123" s="228">
        <f t="shared" si="224"/>
        <v>0.14587332053742808</v>
      </c>
      <c r="Q123" s="228">
        <f t="shared" si="224"/>
        <v>6.7625308134757534E-2</v>
      </c>
      <c r="R123" s="228">
        <f t="shared" si="224"/>
        <v>7.6938590299485687E-2</v>
      </c>
      <c r="S123" s="228">
        <f t="shared" si="224"/>
        <v>4.328924243825738E-2</v>
      </c>
      <c r="T123" s="228">
        <f t="shared" si="224"/>
        <v>3.6013400335008328E-2</v>
      </c>
      <c r="U123" s="228">
        <f t="shared" si="224"/>
        <v>1.677826521973369E-2</v>
      </c>
      <c r="V123" s="228">
        <f t="shared" si="224"/>
        <v>2.9681647940074996E-2</v>
      </c>
      <c r="W123" s="228">
        <f t="shared" si="224"/>
        <v>0.14460501817537019</v>
      </c>
      <c r="X123" s="228">
        <f t="shared" si="224"/>
        <v>6.4313302793496785E-2</v>
      </c>
      <c r="Y123" s="228">
        <f t="shared" si="224"/>
        <v>0.14465218378623868</v>
      </c>
      <c r="Z123" s="228">
        <f t="shared" si="224"/>
        <v>0.18541420387378382</v>
      </c>
      <c r="AA123" s="228">
        <f t="shared" si="224"/>
        <v>9.1092176607281194E-2</v>
      </c>
      <c r="AB123" s="228">
        <f t="shared" si="224"/>
        <v>0.12363912566461299</v>
      </c>
      <c r="AC123" s="228">
        <f t="shared" si="224"/>
        <v>0.15493982277476515</v>
      </c>
      <c r="AD123" s="228">
        <f t="shared" si="224"/>
        <v>0.11383860079779073</v>
      </c>
      <c r="AE123" s="228">
        <f t="shared" si="224"/>
        <v>1.9167968195371365E-2</v>
      </c>
      <c r="AF123" s="228">
        <f t="shared" si="224"/>
        <v>1.3519603424965165E-3</v>
      </c>
      <c r="AG123" s="829">
        <v>-0.15</v>
      </c>
      <c r="AH123" s="829">
        <f t="shared" ref="AH123" si="232">(AG123+AC123+Y123-AD123-Z123)*1</f>
        <v>-0.14966079811057073</v>
      </c>
      <c r="AI123" s="829">
        <f>(AH123+AD123+Z123-AE123-AA123)*0.05</f>
        <v>1.9665930879175634E-3</v>
      </c>
      <c r="AU123" s="228">
        <f t="shared" si="225"/>
        <v>0.12935517420696829</v>
      </c>
      <c r="AV123" s="228">
        <f t="shared" si="225"/>
        <v>-6.9091746287556099E-2</v>
      </c>
      <c r="AW123" s="228">
        <f t="shared" si="225"/>
        <v>-4.1079289706682509E-2</v>
      </c>
      <c r="AX123" s="14"/>
      <c r="AY123" s="1010">
        <f t="shared" si="230"/>
        <v>-6.9091746287556099E-2</v>
      </c>
      <c r="AZ123" s="1010">
        <f t="shared" si="231"/>
        <v>-4.1079289706682509E-2</v>
      </c>
      <c r="BA123" s="228">
        <f t="shared" si="228"/>
        <v>7.5889448770804613E-2</v>
      </c>
      <c r="BB123" s="228">
        <f t="shared" si="228"/>
        <v>8.0944270981171407E-2</v>
      </c>
      <c r="BC123" s="228">
        <f t="shared" si="228"/>
        <v>5.5866777539498536E-2</v>
      </c>
      <c r="BD123" s="228">
        <f t="shared" si="228"/>
        <v>0.12107521087645856</v>
      </c>
      <c r="BE123" s="228">
        <f t="shared" si="228"/>
        <v>0.10282291608895799</v>
      </c>
      <c r="BF123" s="228">
        <f t="shared" si="228"/>
        <v>-7.956738543618036E-2</v>
      </c>
      <c r="BH123"/>
      <c r="BI123"/>
      <c r="BJ123" s="3" t="s">
        <v>1192</v>
      </c>
      <c r="BK123" s="3">
        <v>16.600000000000001</v>
      </c>
      <c r="BL123" s="3">
        <v>16.899999999999999</v>
      </c>
      <c r="BM123" s="885">
        <f>+BL123/AC114*1000-1</f>
        <v>6.0491967871485919E-2</v>
      </c>
      <c r="BN123" s="3">
        <f>AVERAGE(BK123:BL123)</f>
        <v>16.75</v>
      </c>
      <c r="BO123" s="885">
        <f>+BN123/AC114*1000-1</f>
        <v>5.1079317269076441E-2</v>
      </c>
    </row>
    <row r="124" spans="2:67" s="839" customFormat="1" ht="11.45" outlineLevel="1">
      <c r="B124" s="884" t="str">
        <f t="shared" si="229"/>
        <v>Corporate and Other</v>
      </c>
      <c r="L124" s="840" t="str">
        <f t="shared" ref="L124:N124" si="233">+IFERROR(L117/H117-1,"NA ")</f>
        <v xml:space="preserve">NA </v>
      </c>
      <c r="M124" s="840" t="str">
        <f t="shared" si="233"/>
        <v xml:space="preserve">NA </v>
      </c>
      <c r="N124" s="840" t="str">
        <f t="shared" si="233"/>
        <v xml:space="preserve">NA </v>
      </c>
      <c r="O124" s="840" t="str">
        <f>+IFERROR(O117/K117-1,"NA ")</f>
        <v xml:space="preserve">NA </v>
      </c>
      <c r="P124" s="840" t="str">
        <f t="shared" ref="P124:AI124" si="234">+IFERROR(P117/L117-1,"NA ")</f>
        <v xml:space="preserve">NA </v>
      </c>
      <c r="Q124" s="840" t="str">
        <f t="shared" si="234"/>
        <v xml:space="preserve">NA </v>
      </c>
      <c r="R124" s="840" t="str">
        <f t="shared" si="234"/>
        <v xml:space="preserve">NA </v>
      </c>
      <c r="S124" s="840" t="str">
        <f t="shared" si="234"/>
        <v xml:space="preserve">NA </v>
      </c>
      <c r="T124" s="840" t="str">
        <f t="shared" si="234"/>
        <v xml:space="preserve">NA </v>
      </c>
      <c r="U124" s="840" t="str">
        <f t="shared" si="234"/>
        <v xml:space="preserve">NA </v>
      </c>
      <c r="V124" s="840" t="str">
        <f t="shared" si="234"/>
        <v xml:space="preserve">NA </v>
      </c>
      <c r="W124" s="840" t="str">
        <f t="shared" si="234"/>
        <v xml:space="preserve">NA </v>
      </c>
      <c r="X124" s="840" t="str">
        <f t="shared" si="234"/>
        <v xml:space="preserve">NA </v>
      </c>
      <c r="Y124" s="840" t="str">
        <f t="shared" si="234"/>
        <v xml:space="preserve">NA </v>
      </c>
      <c r="Z124" s="840" t="str">
        <f t="shared" si="234"/>
        <v xml:space="preserve">NA </v>
      </c>
      <c r="AA124" s="840" t="str">
        <f t="shared" si="234"/>
        <v xml:space="preserve">NA </v>
      </c>
      <c r="AB124" s="840" t="str">
        <f t="shared" si="234"/>
        <v xml:space="preserve">NA </v>
      </c>
      <c r="AC124" s="840" t="str">
        <f t="shared" si="234"/>
        <v xml:space="preserve">NA </v>
      </c>
      <c r="AD124" s="840" t="str">
        <f t="shared" si="234"/>
        <v xml:space="preserve">NA </v>
      </c>
      <c r="AE124" s="840" t="str">
        <f t="shared" si="234"/>
        <v xml:space="preserve">NA </v>
      </c>
      <c r="AF124" s="840" t="str">
        <f t="shared" si="234"/>
        <v xml:space="preserve">NA </v>
      </c>
      <c r="AG124" s="840" t="str">
        <f t="shared" si="234"/>
        <v xml:space="preserve">NA </v>
      </c>
      <c r="AH124" s="840" t="str">
        <f t="shared" si="234"/>
        <v xml:space="preserve">NA </v>
      </c>
      <c r="AI124" s="840" t="str">
        <f t="shared" si="234"/>
        <v xml:space="preserve">NA </v>
      </c>
      <c r="AU124" s="840">
        <f t="shared" si="225"/>
        <v>-1</v>
      </c>
      <c r="AV124" s="840" t="s">
        <v>271</v>
      </c>
      <c r="AW124" s="840">
        <f t="shared" si="225"/>
        <v>9.6342014150232469E-3</v>
      </c>
      <c r="AX124" s="886"/>
      <c r="AY124" s="1011" t="str">
        <f t="shared" si="230"/>
        <v>NA</v>
      </c>
      <c r="AZ124" s="1011">
        <f t="shared" si="231"/>
        <v>9.6342014150232469E-3</v>
      </c>
      <c r="BA124" s="840" t="s">
        <v>271</v>
      </c>
      <c r="BB124" s="840" t="s">
        <v>271</v>
      </c>
      <c r="BC124" s="840" t="s">
        <v>271</v>
      </c>
      <c r="BD124" s="840" t="s">
        <v>271</v>
      </c>
      <c r="BE124" s="840" t="s">
        <v>271</v>
      </c>
      <c r="BF124" s="840" t="s">
        <v>271</v>
      </c>
      <c r="BH124"/>
      <c r="BI124"/>
      <c r="BJ124" s="3" t="s">
        <v>1193</v>
      </c>
      <c r="BK124" s="3">
        <v>21.25</v>
      </c>
      <c r="BL124" s="3">
        <v>21.55</v>
      </c>
      <c r="BM124" s="885">
        <f>+BL124/AC115*1000-1</f>
        <v>0.1758607518961095</v>
      </c>
      <c r="BN124" s="3">
        <f t="shared" ref="BN124:BN129" si="235">AVERAGE(BK124:BL124)</f>
        <v>21.4</v>
      </c>
      <c r="BO124" s="885">
        <f>+BN124/AC115*1000-1</f>
        <v>0.16767610629126417</v>
      </c>
    </row>
    <row r="125" spans="2:67" s="7" customFormat="1">
      <c r="B125" s="887" t="str">
        <f t="shared" si="229"/>
        <v>Total Revenue</v>
      </c>
      <c r="L125" s="855">
        <f>+IFERROR(L118/H118-1,"n/a ")</f>
        <v>0.11902590295512594</v>
      </c>
      <c r="M125" s="855">
        <f>+IFERROR(M118/I118-1,"n/a ")</f>
        <v>0.11972430883605667</v>
      </c>
      <c r="N125" s="855">
        <f>+IFERROR(N118/J118-1,"n/a ")</f>
        <v>0.15539376184732046</v>
      </c>
      <c r="O125" s="855">
        <f>+IFERROR(O118/K118-1,"n/a ")</f>
        <v>0.17496582698691654</v>
      </c>
      <c r="P125" s="855">
        <f t="shared" ref="P125:AI125" si="236">+IFERROR(P118/L118-1,"n/a ")</f>
        <v>0.18526367267095933</v>
      </c>
      <c r="Q125" s="855">
        <f t="shared" si="236"/>
        <v>0.12286465177398154</v>
      </c>
      <c r="R125" s="855">
        <f t="shared" si="236"/>
        <v>0.13990081658525666</v>
      </c>
      <c r="S125" s="855">
        <f t="shared" si="236"/>
        <v>0.12072461359481479</v>
      </c>
      <c r="T125" s="855">
        <f t="shared" si="236"/>
        <v>0.13653555219364599</v>
      </c>
      <c r="U125" s="855">
        <f t="shared" si="236"/>
        <v>0.13658341289150311</v>
      </c>
      <c r="V125" s="855">
        <f t="shared" si="236"/>
        <v>0.14556278826338698</v>
      </c>
      <c r="W125" s="855">
        <f t="shared" si="236"/>
        <v>0.12800664353293589</v>
      </c>
      <c r="X125" s="855">
        <f t="shared" si="236"/>
        <v>0.12400544546967174</v>
      </c>
      <c r="Y125" s="855">
        <f t="shared" si="236"/>
        <v>0.16718148810491518</v>
      </c>
      <c r="Z125" s="855">
        <f t="shared" si="236"/>
        <v>0.19088546871876866</v>
      </c>
      <c r="AA125" s="855">
        <f t="shared" si="236"/>
        <v>0.21347251071437956</v>
      </c>
      <c r="AB125" s="855">
        <f t="shared" si="236"/>
        <v>0.21970716477364483</v>
      </c>
      <c r="AC125" s="855">
        <f t="shared" si="236"/>
        <v>0.2008543040208004</v>
      </c>
      <c r="AD125" s="855">
        <f t="shared" si="236"/>
        <v>0.18352275451973332</v>
      </c>
      <c r="AE125" s="902">
        <f t="shared" si="236"/>
        <v>0.12378661813139202</v>
      </c>
      <c r="AF125" s="902">
        <f t="shared" si="236"/>
        <v>0.1060308493501334</v>
      </c>
      <c r="AG125" s="855">
        <f t="shared" si="236"/>
        <v>3.5971523554729767E-2</v>
      </c>
      <c r="AH125" s="855">
        <f t="shared" si="236"/>
        <v>4.476841321840741E-2</v>
      </c>
      <c r="AI125" s="855">
        <f t="shared" si="236"/>
        <v>6.7826986674471179E-2</v>
      </c>
      <c r="AU125" s="855">
        <f t="shared" si="225"/>
        <v>7.7700874091647165E-2</v>
      </c>
      <c r="AV125" s="855">
        <f t="shared" si="225"/>
        <v>-8.8266723658901425E-2</v>
      </c>
      <c r="AW125" s="855">
        <f t="shared" si="225"/>
        <v>5.4266291608063844E-2</v>
      </c>
      <c r="AX125" s="855"/>
      <c r="AY125" s="1013">
        <f t="shared" si="230"/>
        <v>-8.8266723658901425E-2</v>
      </c>
      <c r="AZ125" s="1013">
        <f t="shared" si="231"/>
        <v>5.4266291608063844E-2</v>
      </c>
      <c r="BA125" s="855">
        <f t="shared" si="228"/>
        <v>0.14278613662486661</v>
      </c>
      <c r="BB125" s="855">
        <f t="shared" si="228"/>
        <v>0.14029539688292858</v>
      </c>
      <c r="BC125" s="855">
        <f t="shared" si="228"/>
        <v>0.13645574247276371</v>
      </c>
      <c r="BD125" s="855">
        <f t="shared" si="228"/>
        <v>0.17531727441177503</v>
      </c>
      <c r="BE125" s="855">
        <f t="shared" si="228"/>
        <v>0.17956070629670173</v>
      </c>
      <c r="BF125" s="855">
        <f t="shared" si="228"/>
        <v>6.2507441926519913E-2</v>
      </c>
      <c r="BH125"/>
      <c r="BI125"/>
      <c r="BJ125" s="3" t="s">
        <v>1194</v>
      </c>
      <c r="BK125" s="839">
        <v>14.5</v>
      </c>
      <c r="BL125" s="839">
        <v>14.9</v>
      </c>
      <c r="BM125" s="885">
        <f>+BL125/AC116*1000-1</f>
        <v>-0.14686515888920693</v>
      </c>
      <c r="BN125" s="839">
        <f t="shared" si="235"/>
        <v>14.7</v>
      </c>
      <c r="BO125" s="885">
        <f>+BN125/AC116*1000-1</f>
        <v>-0.15831663326653311</v>
      </c>
    </row>
    <row r="126" spans="2:67" s="7" customFormat="1">
      <c r="B126" s="887" t="s">
        <v>1195</v>
      </c>
      <c r="L126" s="855">
        <f>+L125</f>
        <v>0.11902590295512594</v>
      </c>
      <c r="M126" s="855">
        <f t="shared" ref="M126:AC126" si="237">+M125</f>
        <v>0.11972430883605667</v>
      </c>
      <c r="N126" s="855">
        <f t="shared" si="237"/>
        <v>0.15539376184732046</v>
      </c>
      <c r="O126" s="855">
        <f t="shared" si="237"/>
        <v>0.17496582698691654</v>
      </c>
      <c r="P126" s="855">
        <f t="shared" si="237"/>
        <v>0.18526367267095933</v>
      </c>
      <c r="Q126" s="855">
        <f t="shared" si="237"/>
        <v>0.12286465177398154</v>
      </c>
      <c r="R126" s="855">
        <f t="shared" si="237"/>
        <v>0.13990081658525666</v>
      </c>
      <c r="S126" s="855">
        <f t="shared" si="237"/>
        <v>0.12072461359481479</v>
      </c>
      <c r="T126" s="855">
        <f t="shared" si="237"/>
        <v>0.13653555219364599</v>
      </c>
      <c r="U126" s="855">
        <f t="shared" si="237"/>
        <v>0.13658341289150311</v>
      </c>
      <c r="V126" s="855">
        <f t="shared" si="237"/>
        <v>0.14556278826338698</v>
      </c>
      <c r="W126" s="855">
        <f t="shared" si="237"/>
        <v>0.12800664353293589</v>
      </c>
      <c r="X126" s="855">
        <f t="shared" si="237"/>
        <v>0.12400544546967174</v>
      </c>
      <c r="Y126" s="855">
        <f t="shared" si="237"/>
        <v>0.16718148810491518</v>
      </c>
      <c r="Z126" s="855">
        <f t="shared" si="237"/>
        <v>0.19088546871876866</v>
      </c>
      <c r="AA126" s="855">
        <f t="shared" si="237"/>
        <v>0.21347251071437956</v>
      </c>
      <c r="AB126" s="855">
        <f t="shared" si="237"/>
        <v>0.21970716477364483</v>
      </c>
      <c r="AC126" s="855">
        <f t="shared" si="237"/>
        <v>0.2008543040208004</v>
      </c>
      <c r="AD126" s="855">
        <f>(AD118-110)/Z118-1</f>
        <v>0.18088524432935316</v>
      </c>
      <c r="AE126" s="902">
        <f>(AE118-350)/AA118-1</f>
        <v>0.11620298145259134</v>
      </c>
      <c r="AF126" s="902">
        <f t="shared" ref="AF126:AG126" si="238">(AF118-350)/AB118-1</f>
        <v>9.8307478429728423E-2</v>
      </c>
      <c r="AG126" s="855">
        <f t="shared" si="238"/>
        <v>2.9205362094785414E-2</v>
      </c>
      <c r="AH126" s="855">
        <f>(AH118-350/3*2)/AD118-1</f>
        <v>4.0041238718137029E-2</v>
      </c>
      <c r="AI126" s="855">
        <f>+AI125</f>
        <v>6.7826986674471179E-2</v>
      </c>
      <c r="AU126" s="855">
        <f t="shared" ref="AU126:AW126" si="239">+AU125</f>
        <v>7.7700874091647165E-2</v>
      </c>
      <c r="AV126" s="855">
        <f t="shared" si="239"/>
        <v>-8.8266723658901425E-2</v>
      </c>
      <c r="AW126" s="855">
        <f t="shared" si="239"/>
        <v>5.4266291608063844E-2</v>
      </c>
      <c r="AX126" s="855"/>
      <c r="AY126" s="1013">
        <f t="shared" si="230"/>
        <v>-8.8266723658901425E-2</v>
      </c>
      <c r="AZ126" s="1013">
        <f t="shared" si="231"/>
        <v>5.4266291608063844E-2</v>
      </c>
      <c r="BA126" s="855">
        <f t="shared" ref="BA126:BD126" si="240">+BA125</f>
        <v>0.14278613662486661</v>
      </c>
      <c r="BB126" s="855">
        <f t="shared" si="240"/>
        <v>0.14029539688292858</v>
      </c>
      <c r="BC126" s="855">
        <f t="shared" si="240"/>
        <v>0.13645574247276371</v>
      </c>
      <c r="BD126" s="855">
        <f t="shared" si="240"/>
        <v>0.17531727441177503</v>
      </c>
      <c r="BE126" s="855">
        <f>(BE118-350/3*4)/BD118-1</f>
        <v>0.1767843827836213</v>
      </c>
      <c r="BF126" s="855">
        <f>(BF118-350/3*8)/BE118-1</f>
        <v>5.7800056374831099E-2</v>
      </c>
      <c r="BH126"/>
      <c r="BI126"/>
      <c r="BJ126" s="3"/>
      <c r="BK126" s="839"/>
      <c r="BL126" s="839"/>
      <c r="BM126" s="885"/>
      <c r="BN126" s="839"/>
      <c r="BO126" s="885"/>
    </row>
    <row r="127" spans="2:67" s="3" customFormat="1">
      <c r="B127" s="888"/>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U127" s="14"/>
      <c r="AV127" s="14"/>
      <c r="AW127" s="14"/>
      <c r="AX127" s="14"/>
      <c r="AY127" s="14"/>
      <c r="AZ127" s="14"/>
      <c r="BA127" s="14"/>
      <c r="BB127" s="14"/>
      <c r="BC127" s="14"/>
      <c r="BD127" s="14"/>
      <c r="BE127" s="14"/>
      <c r="BF127" s="14"/>
      <c r="BH127"/>
      <c r="BI127"/>
      <c r="BK127">
        <f>SUM(BK123:BK125)</f>
        <v>52.35</v>
      </c>
      <c r="BL127">
        <f>SUM(BL123:BL125)</f>
        <v>53.35</v>
      </c>
      <c r="BM127" s="885">
        <f>+BL127/AC118*1000-1</f>
        <v>3.1356325394370499E-2</v>
      </c>
      <c r="BN127" s="889">
        <f t="shared" si="235"/>
        <v>52.85</v>
      </c>
      <c r="BO127" s="885">
        <f>+BN127/AC118*1000-1</f>
        <v>2.1690380451592883E-2</v>
      </c>
    </row>
    <row r="128" spans="2:67" s="3" customFormat="1" ht="10.5">
      <c r="B128" s="883" t="s">
        <v>270</v>
      </c>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U128" s="890"/>
      <c r="AV128" s="890"/>
      <c r="AW128" s="890"/>
      <c r="AX128" s="890"/>
      <c r="AY128" s="890"/>
      <c r="AZ128" s="14"/>
      <c r="BA128" s="14"/>
      <c r="BB128" s="14"/>
      <c r="BC128" s="14"/>
      <c r="BD128" s="14"/>
      <c r="BE128" s="14"/>
      <c r="BF128" s="14"/>
      <c r="BH128" s="1"/>
      <c r="BI128" s="1"/>
      <c r="BO128" s="885"/>
    </row>
    <row r="129" spans="2:67" s="3" customFormat="1">
      <c r="B129" s="884" t="s">
        <v>335</v>
      </c>
      <c r="L129" s="23">
        <f>+L353</f>
        <v>0.28000000000000003</v>
      </c>
      <c r="M129" s="23">
        <f>+M353</f>
        <v>0.24</v>
      </c>
      <c r="N129" s="23">
        <f>+N353</f>
        <v>0.14000000000000001</v>
      </c>
      <c r="O129" s="23">
        <f>+O353</f>
        <v>0.1</v>
      </c>
      <c r="P129" s="23">
        <f t="shared" ref="P129:AA129" si="241">+P353</f>
        <v>0.18</v>
      </c>
      <c r="Q129" s="23">
        <f t="shared" si="241"/>
        <v>0.13</v>
      </c>
      <c r="R129" s="23">
        <f t="shared" si="241"/>
        <v>0.15</v>
      </c>
      <c r="S129" s="23">
        <f t="shared" si="241"/>
        <v>0.17</v>
      </c>
      <c r="T129" s="23">
        <f t="shared" si="241"/>
        <v>0.15</v>
      </c>
      <c r="U129" s="23">
        <f t="shared" si="241"/>
        <v>0.19</v>
      </c>
      <c r="V129" s="23">
        <f t="shared" si="241"/>
        <v>0.16</v>
      </c>
      <c r="W129" s="23">
        <f t="shared" si="241"/>
        <v>0.08</v>
      </c>
      <c r="X129" s="23">
        <f t="shared" si="241"/>
        <v>0.11</v>
      </c>
      <c r="Y129" s="23">
        <f t="shared" si="241"/>
        <v>0.11</v>
      </c>
      <c r="Z129" s="23">
        <f t="shared" si="241"/>
        <v>0.12</v>
      </c>
      <c r="AA129" s="23">
        <f t="shared" si="241"/>
        <v>0.20499999999999999</v>
      </c>
      <c r="AB129" s="23">
        <v>0.2</v>
      </c>
      <c r="AC129" s="23">
        <v>0.19</v>
      </c>
      <c r="AD129" s="14">
        <f>+AD121+2%</f>
        <v>0.18506788665879578</v>
      </c>
      <c r="AE129" s="14">
        <v>0.17</v>
      </c>
      <c r="AF129" s="14">
        <v>0.15</v>
      </c>
      <c r="AG129" s="14"/>
      <c r="AH129" s="14"/>
      <c r="AI129" s="14"/>
      <c r="AJ129" s="21"/>
      <c r="AK129" s="21"/>
      <c r="AL129" s="21"/>
      <c r="AM129" s="21"/>
      <c r="AN129" s="21"/>
      <c r="AO129" s="21"/>
      <c r="AP129" s="21"/>
      <c r="AQ129" s="21"/>
      <c r="AR129" s="21"/>
      <c r="AS129" s="21"/>
      <c r="AT129" s="21"/>
      <c r="AU129" s="891">
        <f>+AU121+2%</f>
        <v>-2.4021352313165559E-4</v>
      </c>
      <c r="AV129" s="891">
        <f>+AV121+6%</f>
        <v>6.2156640181611766E-2</v>
      </c>
      <c r="AW129" s="891">
        <f>+AW121+2%</f>
        <v>0.1693940423604032</v>
      </c>
      <c r="AX129" s="891"/>
      <c r="AY129" s="1010">
        <f t="shared" ref="AY129:AY133" si="242">+AV129</f>
        <v>6.2156640181611766E-2</v>
      </c>
      <c r="AZ129" s="1010">
        <f t="shared" ref="AY129:AZ133" si="243">+AW129</f>
        <v>0.1693940423604032</v>
      </c>
      <c r="BA129" s="23">
        <f>+BA353</f>
        <v>0.18275259457649817</v>
      </c>
      <c r="BB129" s="23">
        <f t="shared" ref="BB129:BE129" si="244">+BB353</f>
        <v>0.15728955806496586</v>
      </c>
      <c r="BC129" s="23">
        <f t="shared" si="244"/>
        <v>0.14351627793974733</v>
      </c>
      <c r="BD129" s="23">
        <f t="shared" si="244"/>
        <v>0.1365931721194879</v>
      </c>
      <c r="BE129" s="23">
        <f t="shared" si="244"/>
        <v>0.1868352035611611</v>
      </c>
      <c r="BF129" s="23"/>
      <c r="BJ129" s="3" t="s">
        <v>336</v>
      </c>
      <c r="BK129" s="852">
        <v>17.399999999999999</v>
      </c>
      <c r="BL129" s="852">
        <v>17.600000000000001</v>
      </c>
      <c r="BM129" s="839"/>
      <c r="BN129" s="839">
        <f t="shared" si="235"/>
        <v>17.5</v>
      </c>
      <c r="BO129" s="885"/>
    </row>
    <row r="130" spans="2:67" s="3" customFormat="1">
      <c r="B130" s="884" t="s">
        <v>337</v>
      </c>
      <c r="L130" s="23">
        <f>+L440</f>
        <v>0.13</v>
      </c>
      <c r="M130" s="23">
        <f>+M440</f>
        <v>0.15</v>
      </c>
      <c r="N130" s="23">
        <f>+N440</f>
        <v>0.15</v>
      </c>
      <c r="O130" s="23">
        <f>+O440</f>
        <v>0.2</v>
      </c>
      <c r="P130" s="23">
        <f t="shared" ref="P130:V130" si="245">+P440</f>
        <v>0.24</v>
      </c>
      <c r="Q130" s="23">
        <f t="shared" si="245"/>
        <v>0.21</v>
      </c>
      <c r="R130" s="23">
        <f t="shared" si="245"/>
        <v>0.24</v>
      </c>
      <c r="S130" s="23">
        <f t="shared" si="245"/>
        <v>0.21</v>
      </c>
      <c r="T130" s="23">
        <f t="shared" si="245"/>
        <v>0.28999999999999998</v>
      </c>
      <c r="U130" s="23">
        <f t="shared" si="245"/>
        <v>0.28000000000000003</v>
      </c>
      <c r="V130" s="23">
        <f t="shared" si="245"/>
        <v>0.28999999999999998</v>
      </c>
      <c r="W130" s="23">
        <f>+W440</f>
        <v>0.19</v>
      </c>
      <c r="X130" s="23">
        <f>+X440</f>
        <v>0.19</v>
      </c>
      <c r="Y130" s="23">
        <f t="shared" ref="Y130:AA130" si="246">+Y440</f>
        <v>0.22</v>
      </c>
      <c r="Z130" s="23">
        <f t="shared" si="246"/>
        <v>0.2</v>
      </c>
      <c r="AA130" s="23">
        <f t="shared" si="246"/>
        <v>0.255</v>
      </c>
      <c r="AB130" s="23">
        <v>0.28999999999999998</v>
      </c>
      <c r="AC130" s="23">
        <v>0.26</v>
      </c>
      <c r="AD130" s="14">
        <f>+AD122+2%</f>
        <v>0.28015345945230852</v>
      </c>
      <c r="AE130" s="14">
        <v>0.25</v>
      </c>
      <c r="AF130" s="14">
        <v>0.26</v>
      </c>
      <c r="AG130" s="14"/>
      <c r="AH130" s="14"/>
      <c r="AI130" s="14"/>
      <c r="AJ130" s="21"/>
      <c r="AK130" s="21"/>
      <c r="AL130" s="21"/>
      <c r="AM130" s="21"/>
      <c r="AN130" s="21"/>
      <c r="AO130" s="21"/>
      <c r="AP130" s="21"/>
      <c r="AQ130" s="21"/>
      <c r="AR130" s="21"/>
      <c r="AS130" s="21"/>
      <c r="AT130" s="21"/>
      <c r="AU130" s="891">
        <f>+AU122+2%</f>
        <v>0.11109730848861286</v>
      </c>
      <c r="AV130" s="891">
        <f>+AV122+5%</f>
        <v>0.10595614589921994</v>
      </c>
      <c r="AW130" s="891">
        <f>+AW122+1%</f>
        <v>0.10575912467055336</v>
      </c>
      <c r="AX130" s="891"/>
      <c r="AY130" s="904">
        <f t="shared" si="242"/>
        <v>0.10595614589921994</v>
      </c>
      <c r="AZ130" s="904">
        <f t="shared" si="243"/>
        <v>0.10575912467055336</v>
      </c>
      <c r="BA130" s="23">
        <f>+BA440</f>
        <v>0.1598208486882913</v>
      </c>
      <c r="BB130" s="23">
        <f t="shared" ref="BB130:BE130" si="247">+BB440</f>
        <v>0.22379744871038831</v>
      </c>
      <c r="BC130" s="23">
        <f t="shared" si="247"/>
        <v>0.25837552904963451</v>
      </c>
      <c r="BD130" s="23">
        <f t="shared" si="247"/>
        <v>0.21787071496505808</v>
      </c>
      <c r="BE130" s="23">
        <f t="shared" si="247"/>
        <v>0.2711413115845539</v>
      </c>
      <c r="BF130" s="23"/>
      <c r="BK130">
        <f>+BK127-BK129</f>
        <v>34.950000000000003</v>
      </c>
      <c r="BL130">
        <f>+BL127-BL129</f>
        <v>35.75</v>
      </c>
      <c r="BN130" s="892">
        <f>+BN127-BN129</f>
        <v>35.35</v>
      </c>
      <c r="BO130" s="885"/>
    </row>
    <row r="131" spans="2:67" s="3" customFormat="1">
      <c r="B131" s="884" t="s">
        <v>339</v>
      </c>
      <c r="L131" s="228">
        <f>+L468</f>
        <v>-0.01</v>
      </c>
      <c r="M131" s="228">
        <f>+M468</f>
        <v>0.02</v>
      </c>
      <c r="N131" s="228">
        <f>+N468</f>
        <v>0.11</v>
      </c>
      <c r="O131" s="228">
        <f>+O468</f>
        <v>0.16</v>
      </c>
      <c r="P131" s="228">
        <f t="shared" ref="P131:AA131" si="248">+P468</f>
        <v>0.15</v>
      </c>
      <c r="Q131" s="228">
        <f t="shared" si="248"/>
        <v>7.0000000000000007E-2</v>
      </c>
      <c r="R131" s="228">
        <f t="shared" si="248"/>
        <v>0.09</v>
      </c>
      <c r="S131" s="228">
        <f t="shared" si="248"/>
        <v>0.06</v>
      </c>
      <c r="T131" s="228">
        <f t="shared" si="248"/>
        <v>0.05</v>
      </c>
      <c r="U131" s="228">
        <f t="shared" si="248"/>
        <v>0.03</v>
      </c>
      <c r="V131" s="228">
        <f t="shared" si="248"/>
        <v>0.04</v>
      </c>
      <c r="W131" s="228">
        <f t="shared" si="248"/>
        <v>0.16</v>
      </c>
      <c r="X131" s="228">
        <f t="shared" si="248"/>
        <v>0.06</v>
      </c>
      <c r="Y131" s="228">
        <f t="shared" si="248"/>
        <v>0.13</v>
      </c>
      <c r="Z131" s="228">
        <f t="shared" si="248"/>
        <v>0.16</v>
      </c>
      <c r="AA131" s="228">
        <f t="shared" si="248"/>
        <v>0.06</v>
      </c>
      <c r="AB131" s="228">
        <v>0.11</v>
      </c>
      <c r="AC131" s="228">
        <v>0.15</v>
      </c>
      <c r="AD131" s="228">
        <f>+AD123+1%</f>
        <v>0.12383860079779073</v>
      </c>
      <c r="AE131" s="228">
        <v>0.05</v>
      </c>
      <c r="AF131" s="228">
        <v>0.03</v>
      </c>
      <c r="AG131" s="14"/>
      <c r="AH131" s="14"/>
      <c r="AI131" s="14"/>
      <c r="AU131" s="228">
        <f>+AU123+0%</f>
        <v>0.12935517420696829</v>
      </c>
      <c r="AV131" s="228">
        <f>+AV123+2%</f>
        <v>-4.9091746287556096E-2</v>
      </c>
      <c r="AW131" s="228">
        <f>+AW123+2%</f>
        <v>-2.1079289706682509E-2</v>
      </c>
      <c r="AX131" s="890"/>
      <c r="AY131" s="1010">
        <f t="shared" si="242"/>
        <v>-4.9091746287556096E-2</v>
      </c>
      <c r="AZ131" s="1010">
        <f t="shared" si="243"/>
        <v>-2.1079289706682509E-2</v>
      </c>
      <c r="BA131" s="228">
        <f>+BA468</f>
        <v>6.5828879727184819E-2</v>
      </c>
      <c r="BB131" s="228">
        <f t="shared" ref="BB131:BE131" si="249">+BB468</f>
        <v>8.9880546882391901E-2</v>
      </c>
      <c r="BC131" s="228">
        <f t="shared" si="249"/>
        <v>6.9126219965862851E-2</v>
      </c>
      <c r="BD131" s="228">
        <f t="shared" si="249"/>
        <v>0.10195705788481069</v>
      </c>
      <c r="BE131" s="228">
        <f t="shared" si="249"/>
        <v>0.1103778677462888</v>
      </c>
      <c r="BF131" s="228"/>
      <c r="BK131"/>
      <c r="BL131"/>
      <c r="BO131" s="1024"/>
    </row>
    <row r="132" spans="2:67" s="839" customFormat="1" ht="11.45" outlineLevel="1">
      <c r="B132" s="884" t="s">
        <v>340</v>
      </c>
      <c r="L132" s="840" t="s">
        <v>271</v>
      </c>
      <c r="M132" s="840" t="s">
        <v>271</v>
      </c>
      <c r="N132" s="840" t="s">
        <v>271</v>
      </c>
      <c r="O132" s="840" t="s">
        <v>271</v>
      </c>
      <c r="P132" s="840" t="s">
        <v>271</v>
      </c>
      <c r="Q132" s="840" t="s">
        <v>271</v>
      </c>
      <c r="R132" s="840" t="s">
        <v>271</v>
      </c>
      <c r="S132" s="840" t="s">
        <v>271</v>
      </c>
      <c r="T132" s="840" t="s">
        <v>271</v>
      </c>
      <c r="U132" s="840" t="s">
        <v>271</v>
      </c>
      <c r="V132" s="840" t="s">
        <v>271</v>
      </c>
      <c r="W132" s="840" t="s">
        <v>271</v>
      </c>
      <c r="X132" s="840" t="s">
        <v>271</v>
      </c>
      <c r="Y132" s="840" t="s">
        <v>271</v>
      </c>
      <c r="Z132" s="840" t="s">
        <v>271</v>
      </c>
      <c r="AA132" s="840" t="s">
        <v>271</v>
      </c>
      <c r="AB132" s="840" t="s">
        <v>271</v>
      </c>
      <c r="AC132" s="840" t="s">
        <v>271</v>
      </c>
      <c r="AD132" s="840" t="s">
        <v>271</v>
      </c>
      <c r="AE132" s="840" t="s">
        <v>271</v>
      </c>
      <c r="AF132" s="840" t="s">
        <v>271</v>
      </c>
      <c r="AG132" s="14"/>
      <c r="AH132" s="14"/>
      <c r="AI132" s="14"/>
      <c r="AU132" s="840" t="s">
        <v>271</v>
      </c>
      <c r="AV132" s="840" t="s">
        <v>271</v>
      </c>
      <c r="AW132" s="840" t="s">
        <v>271</v>
      </c>
      <c r="AX132" s="893"/>
      <c r="AY132" s="1011" t="str">
        <f t="shared" si="243"/>
        <v>NA</v>
      </c>
      <c r="AZ132" s="1011" t="str">
        <f t="shared" si="243"/>
        <v>NA</v>
      </c>
      <c r="BA132" s="840" t="s">
        <v>271</v>
      </c>
      <c r="BB132" s="840" t="s">
        <v>271</v>
      </c>
      <c r="BC132" s="840" t="s">
        <v>271</v>
      </c>
      <c r="BD132" s="840" t="s">
        <v>271</v>
      </c>
      <c r="BE132" s="840" t="s">
        <v>271</v>
      </c>
      <c r="BF132" s="840"/>
      <c r="BJ132" s="839" t="s">
        <v>342</v>
      </c>
      <c r="BK132">
        <v>14.3</v>
      </c>
      <c r="BL132">
        <v>14.4</v>
      </c>
      <c r="BN132" s="3">
        <f t="shared" ref="BN132" si="250">AVERAGE(BK132:BL132)</f>
        <v>14.350000000000001</v>
      </c>
      <c r="BO132" s="894">
        <f>+BN132*1000/AC30-1</f>
        <v>0.14607459468093609</v>
      </c>
    </row>
    <row r="133" spans="2:67" s="7" customFormat="1">
      <c r="B133" s="887" t="str">
        <f t="shared" ref="B133" si="251">+B125</f>
        <v>Total Revenue</v>
      </c>
      <c r="L133" s="895">
        <f>+SUMPRODUCT(L129:L131,H114:H116)/H118</f>
        <v>0.11404323239693544</v>
      </c>
      <c r="M133" s="895">
        <f>+SUMPRODUCT(M129:M131,I114:I116)/I118</f>
        <v>0.11517230697746457</v>
      </c>
      <c r="N133" s="895">
        <f>+SUMPRODUCT(N129:N131,J114:J116)/J118</f>
        <v>0.13155824573496466</v>
      </c>
      <c r="O133" s="895">
        <f>+SUMPRODUCT(O129:O131,K114:K116)/K118</f>
        <v>0.15218902558094122</v>
      </c>
      <c r="P133" s="895">
        <f t="shared" ref="P133:Q133" si="252">+SUMPRODUCT(P129:P131,L114:L116)/L118</f>
        <v>0.18546010269785637</v>
      </c>
      <c r="Q133" s="895">
        <f t="shared" si="252"/>
        <v>0.12631371464139982</v>
      </c>
      <c r="R133" s="895">
        <v>0.16</v>
      </c>
      <c r="S133" s="895">
        <f t="shared" ref="S133:V133" si="253">+SUMPRODUCT(S129:S131,O114:O116)/O118</f>
        <v>0.14324347681568889</v>
      </c>
      <c r="T133" s="895">
        <f t="shared" si="253"/>
        <v>0.15429033145372026</v>
      </c>
      <c r="U133" s="895">
        <f t="shared" si="253"/>
        <v>0.15197037356410337</v>
      </c>
      <c r="V133" s="895">
        <f t="shared" si="253"/>
        <v>0.15910928657878379</v>
      </c>
      <c r="W133" s="895">
        <f>+SUMPRODUCT(W129:W131,S114:S116)/S118+0.11%</f>
        <v>0.14502413322656227</v>
      </c>
      <c r="X133" s="895">
        <f>+SUMPRODUCT(X129:X131,T114:T116)/T118+0.11%</f>
        <v>0.12050704885796401</v>
      </c>
      <c r="Y133" s="895">
        <f t="shared" ref="Y133:AF133" si="254">+SUMPRODUCT(Y129:Y131,U114:U116)/U118+0.11%</f>
        <v>0.15363536010404813</v>
      </c>
      <c r="Z133" s="895">
        <f t="shared" si="254"/>
        <v>0.16171448844978725</v>
      </c>
      <c r="AA133" s="895">
        <f t="shared" si="254"/>
        <v>0.17445905660873451</v>
      </c>
      <c r="AB133" s="895">
        <f t="shared" si="254"/>
        <v>0.20385421219787908</v>
      </c>
      <c r="AC133" s="895">
        <f t="shared" si="254"/>
        <v>0.20078497539232981</v>
      </c>
      <c r="AD133" s="895">
        <f t="shared" si="254"/>
        <v>0.20149706517047911</v>
      </c>
      <c r="AE133" s="895">
        <f t="shared" si="254"/>
        <v>0.16459280637892182</v>
      </c>
      <c r="AF133" s="895">
        <f t="shared" si="254"/>
        <v>0.15702183948628548</v>
      </c>
      <c r="AG133" s="895"/>
      <c r="AH133" s="895"/>
      <c r="AI133" s="895"/>
      <c r="AJ133" s="896"/>
      <c r="AK133" s="896"/>
      <c r="AL133" s="896"/>
      <c r="AM133" s="896"/>
      <c r="AN133" s="896"/>
      <c r="AO133" s="896"/>
      <c r="AP133" s="896"/>
      <c r="AQ133" s="896"/>
      <c r="AR133" s="896"/>
      <c r="AS133" s="896"/>
      <c r="AT133" s="896"/>
      <c r="AU133" s="897">
        <f>+AU125+2%</f>
        <v>9.7700874091647169E-2</v>
      </c>
      <c r="AV133" s="897">
        <f>+AV125+4%</f>
        <v>-4.8266723658901424E-2</v>
      </c>
      <c r="AW133" s="897">
        <f>+AW125+2%</f>
        <v>7.4266291608063847E-2</v>
      </c>
      <c r="AX133" s="897"/>
      <c r="AY133" s="1013">
        <f t="shared" si="242"/>
        <v>-4.8266723658901424E-2</v>
      </c>
      <c r="AZ133" s="1013">
        <f t="shared" si="243"/>
        <v>7.4266291608063847E-2</v>
      </c>
      <c r="BA133" s="895">
        <f>+SUMPRODUCT(BA129:BA131,AZ114:AZ116)/AZ118</f>
        <v>0.12866916569156372</v>
      </c>
      <c r="BB133" s="895">
        <f t="shared" ref="BB133:BE133" si="255">+SUMPRODUCT(BB129:BB131,BA114:BA116)/BA118</f>
        <v>0.15088356288510332</v>
      </c>
      <c r="BC133" s="895">
        <f t="shared" si="255"/>
        <v>0.15208497890228301</v>
      </c>
      <c r="BD133" s="895">
        <f t="shared" si="255"/>
        <v>0.15239460895710238</v>
      </c>
      <c r="BE133" s="895">
        <f t="shared" si="255"/>
        <v>0.19236388082433009</v>
      </c>
      <c r="BF133" s="895"/>
      <c r="BO133" s="898"/>
    </row>
    <row r="134" spans="2:67" hidden="1" outlineLevel="1">
      <c r="BJ134" s="3"/>
      <c r="BK134" s="899">
        <f>+BK127-BK129-BK132</f>
        <v>20.650000000000002</v>
      </c>
      <c r="BL134" s="899">
        <f>+BL127-BL129-BL132</f>
        <v>21.35</v>
      </c>
      <c r="BN134" s="899">
        <f>+BN127-BN129-BN132</f>
        <v>21</v>
      </c>
      <c r="BO134" s="900">
        <f>+BN134*1000/AA146-1</f>
        <v>9.9764336213668425E-2</v>
      </c>
    </row>
    <row r="135" spans="2:67" s="3" customFormat="1" ht="13.5" hidden="1" outlineLevel="1">
      <c r="B135" s="883" t="s">
        <v>345</v>
      </c>
      <c r="L135" s="6" t="s">
        <v>220</v>
      </c>
      <c r="M135" s="6" t="s">
        <v>221</v>
      </c>
      <c r="N135" s="6" t="s">
        <v>222</v>
      </c>
      <c r="O135" s="6" t="s">
        <v>223</v>
      </c>
      <c r="X135" s="6" t="s">
        <v>224</v>
      </c>
      <c r="Y135" s="6" t="s">
        <v>225</v>
      </c>
      <c r="Z135" s="6" t="s">
        <v>226</v>
      </c>
      <c r="AA135" s="6" t="s">
        <v>227</v>
      </c>
      <c r="AB135" s="6" t="s">
        <v>228</v>
      </c>
      <c r="AC135" s="6" t="s">
        <v>229</v>
      </c>
      <c r="AD135" s="6" t="s">
        <v>230</v>
      </c>
      <c r="AE135" s="6" t="s">
        <v>346</v>
      </c>
      <c r="AF135" s="6" t="s">
        <v>232</v>
      </c>
      <c r="AG135" s="6" t="s">
        <v>347</v>
      </c>
      <c r="AH135" s="6" t="s">
        <v>348</v>
      </c>
      <c r="AI135" s="6" t="s">
        <v>349</v>
      </c>
      <c r="BI135"/>
      <c r="BJ135"/>
      <c r="BK135" s="874">
        <f>+BK134/BK127</f>
        <v>0.39446036294173831</v>
      </c>
      <c r="BL135" s="874">
        <f>+BL134/BL127</f>
        <v>0.40018744142455487</v>
      </c>
      <c r="BM135"/>
      <c r="BN135" s="874">
        <f>+BN134/BN127</f>
        <v>0.39735099337748342</v>
      </c>
    </row>
    <row r="136" spans="2:67" s="3" customFormat="1" hidden="1" outlineLevel="1">
      <c r="B136" s="884" t="str">
        <f>+B129</f>
        <v>Productivity and Business Processes</v>
      </c>
      <c r="L136" s="890">
        <f t="shared" ref="L136:O138" si="256">+T121+P121+L121</f>
        <v>0.59973725951525125</v>
      </c>
      <c r="M136" s="890">
        <f t="shared" si="256"/>
        <v>0.54611419591948929</v>
      </c>
      <c r="N136" s="890">
        <f t="shared" si="256"/>
        <v>0.4523433194919666</v>
      </c>
      <c r="O136" s="890">
        <f t="shared" si="256"/>
        <v>0.33747853086898272</v>
      </c>
      <c r="X136" s="890">
        <f t="shared" ref="X136:AI138" si="257">+X121+T121+P121</f>
        <v>0.43187391095562067</v>
      </c>
      <c r="Y136" s="890">
        <f t="shared" si="257"/>
        <v>0.42812684358137632</v>
      </c>
      <c r="Z136" s="890">
        <f t="shared" si="257"/>
        <v>0.43784446712413971</v>
      </c>
      <c r="AA136" s="890">
        <f t="shared" si="257"/>
        <v>0.45653882164516424</v>
      </c>
      <c r="AB136" s="890">
        <f t="shared" si="257"/>
        <v>0.46658219706226123</v>
      </c>
      <c r="AC136" s="890">
        <f t="shared" si="257"/>
        <v>0.49345303854399636</v>
      </c>
      <c r="AD136" s="890">
        <f t="shared" si="257"/>
        <v>0.46567051500878498</v>
      </c>
      <c r="AE136" s="890">
        <f t="shared" si="257"/>
        <v>0.44384682591809921</v>
      </c>
      <c r="AF136" s="890">
        <f t="shared" si="257"/>
        <v>0.4277414983022283</v>
      </c>
      <c r="AG136" s="890">
        <f t="shared" si="257"/>
        <v>0.38256194943508554</v>
      </c>
      <c r="AH136" s="890">
        <f t="shared" si="257"/>
        <v>0.37938970733689098</v>
      </c>
      <c r="AI136" s="890">
        <f t="shared" si="257"/>
        <v>0.37811193256245296</v>
      </c>
      <c r="AU136" s="14"/>
      <c r="AV136" s="14"/>
      <c r="AW136" s="890">
        <f>+AW121+AV121+AU121</f>
        <v>0.13131046901888332</v>
      </c>
      <c r="AX136" s="14"/>
      <c r="AY136" s="14"/>
      <c r="AZ136" s="14"/>
      <c r="BA136" s="14"/>
      <c r="BB136" s="890">
        <f t="shared" ref="BB136:BE138" si="258">+BB121+BA121+AZ121</f>
        <v>0.49773406087363981</v>
      </c>
      <c r="BC136" s="890">
        <f t="shared" si="258"/>
        <v>0.47559949373189547</v>
      </c>
      <c r="BD136" s="890">
        <f t="shared" si="258"/>
        <v>0.43690774078715156</v>
      </c>
      <c r="BE136" s="890">
        <f t="shared" si="258"/>
        <v>0.46452811834057006</v>
      </c>
      <c r="BF136" s="890"/>
      <c r="BK136" s="839"/>
    </row>
    <row r="137" spans="2:67" s="3" customFormat="1" hidden="1" outlineLevel="1">
      <c r="B137" s="884" t="str">
        <f>+B130</f>
        <v>Intelligent Cloud</v>
      </c>
      <c r="L137" s="890">
        <f t="shared" si="256"/>
        <v>0.63886457776134087</v>
      </c>
      <c r="M137" s="890">
        <f t="shared" si="256"/>
        <v>0.62214833007279191</v>
      </c>
      <c r="N137" s="890">
        <f t="shared" si="256"/>
        <v>0.66803961182960947</v>
      </c>
      <c r="O137" s="890">
        <f t="shared" si="256"/>
        <v>0.58771746083828624</v>
      </c>
      <c r="X137" s="890">
        <f t="shared" si="257"/>
        <v>0.70097029406907607</v>
      </c>
      <c r="Y137" s="890">
        <f t="shared" si="257"/>
        <v>0.69888002355678625</v>
      </c>
      <c r="Z137" s="890">
        <f t="shared" si="257"/>
        <v>0.72579277261519093</v>
      </c>
      <c r="AA137" s="890">
        <f t="shared" si="257"/>
        <v>0.65909684195673668</v>
      </c>
      <c r="AB137" s="890">
        <f t="shared" si="257"/>
        <v>0.76965210921078442</v>
      </c>
      <c r="AC137" s="890">
        <f t="shared" si="257"/>
        <v>0.75098912764997539</v>
      </c>
      <c r="AD137" s="890">
        <f t="shared" si="257"/>
        <v>0.76393508718401404</v>
      </c>
      <c r="AE137" s="890">
        <f t="shared" si="257"/>
        <v>0.67667116376100456</v>
      </c>
      <c r="AF137" s="890">
        <f t="shared" si="257"/>
        <v>0.70187350089744016</v>
      </c>
      <c r="AG137" s="890">
        <f t="shared" si="257"/>
        <v>0.67766979911265457</v>
      </c>
      <c r="AH137" s="890">
        <f t="shared" si="257"/>
        <v>0.67126671585418896</v>
      </c>
      <c r="AI137" s="890">
        <f t="shared" si="257"/>
        <v>0.67126671585418896</v>
      </c>
      <c r="AU137" s="14"/>
      <c r="AV137" s="14"/>
      <c r="AW137" s="890">
        <f>+AW122+AV122+AU122</f>
        <v>0.24281257905838616</v>
      </c>
      <c r="AX137" s="14"/>
      <c r="AY137" s="14"/>
      <c r="AZ137" s="14"/>
      <c r="BA137" s="14"/>
      <c r="BB137" s="890">
        <f t="shared" si="258"/>
        <v>0.48133501792670463</v>
      </c>
      <c r="BC137" s="890">
        <f t="shared" si="258"/>
        <v>0.62620690518381572</v>
      </c>
      <c r="BD137" s="890">
        <f t="shared" si="258"/>
        <v>0.6928262526264839</v>
      </c>
      <c r="BE137" s="890">
        <f t="shared" si="258"/>
        <v>0.73533925782984633</v>
      </c>
      <c r="BF137" s="890"/>
    </row>
    <row r="138" spans="2:67" s="839" customFormat="1" ht="11.45" hidden="1" outlineLevel="1">
      <c r="B138" s="884" t="str">
        <f>+B131</f>
        <v>More Personal Computing</v>
      </c>
      <c r="L138" s="840">
        <f t="shared" si="256"/>
        <v>0.18007724774843425</v>
      </c>
      <c r="M138" s="840">
        <f t="shared" si="256"/>
        <v>0.10803886648259287</v>
      </c>
      <c r="N138" s="840">
        <f t="shared" si="256"/>
        <v>0.23676268838201087</v>
      </c>
      <c r="O138" s="840">
        <f t="shared" si="256"/>
        <v>0.35854937701860856</v>
      </c>
      <c r="X138" s="840">
        <f t="shared" si="257"/>
        <v>0.24620002366593319</v>
      </c>
      <c r="Y138" s="840">
        <f t="shared" si="257"/>
        <v>0.2290557571407299</v>
      </c>
      <c r="Z138" s="840">
        <f t="shared" si="257"/>
        <v>0.29203444211334451</v>
      </c>
      <c r="AA138" s="840">
        <f t="shared" si="257"/>
        <v>0.27898643722090877</v>
      </c>
      <c r="AB138" s="840">
        <f t="shared" si="257"/>
        <v>0.2239658287931181</v>
      </c>
      <c r="AC138" s="840">
        <f t="shared" si="257"/>
        <v>0.31637027178073751</v>
      </c>
      <c r="AD138" s="840">
        <f t="shared" si="257"/>
        <v>0.32893445261164955</v>
      </c>
      <c r="AE138" s="840">
        <f t="shared" si="257"/>
        <v>0.25486516297802275</v>
      </c>
      <c r="AF138" s="840">
        <f t="shared" si="257"/>
        <v>0.18930438880060629</v>
      </c>
      <c r="AG138" s="840">
        <f t="shared" si="257"/>
        <v>0.14959200656100383</v>
      </c>
      <c r="AH138" s="840">
        <f t="shared" si="257"/>
        <v>0.14959200656100383</v>
      </c>
      <c r="AI138" s="840">
        <f t="shared" si="257"/>
        <v>0.11222673789057012</v>
      </c>
      <c r="AJ138" s="840"/>
      <c r="AK138" s="840"/>
      <c r="AL138" s="840"/>
      <c r="AM138" s="840"/>
      <c r="AN138" s="840"/>
      <c r="AO138" s="840"/>
      <c r="AP138" s="840"/>
      <c r="AQ138" s="840"/>
      <c r="AR138" s="840"/>
      <c r="AS138" s="840"/>
      <c r="AT138" s="840"/>
      <c r="AU138" s="840"/>
      <c r="AV138" s="840"/>
      <c r="AW138" s="840">
        <f>+AW123+AV123+AU123</f>
        <v>1.9184138212729684E-2</v>
      </c>
      <c r="AX138" s="840"/>
      <c r="AY138" s="840"/>
      <c r="AZ138" s="840"/>
      <c r="BA138" s="840"/>
      <c r="BB138" s="840">
        <f t="shared" si="258"/>
        <v>0.11575443004529351</v>
      </c>
      <c r="BC138" s="840">
        <f t="shared" si="258"/>
        <v>0.21270049729147456</v>
      </c>
      <c r="BD138" s="840">
        <f t="shared" si="258"/>
        <v>0.2578862593971285</v>
      </c>
      <c r="BE138" s="840">
        <f t="shared" si="258"/>
        <v>0.27976490450491509</v>
      </c>
      <c r="BF138" s="840"/>
      <c r="BH138" s="852"/>
      <c r="BI138" s="852"/>
      <c r="BK138" s="852"/>
      <c r="BL138" s="852"/>
      <c r="BM138" s="901"/>
      <c r="BO138" s="901"/>
    </row>
    <row r="139" spans="2:67" s="7" customFormat="1" hidden="1" outlineLevel="1">
      <c r="B139" s="887" t="str">
        <f>+B133</f>
        <v>Total Revenue</v>
      </c>
      <c r="L139" s="902">
        <f t="shared" ref="L139:O139" si="259">+T125+P125+L125</f>
        <v>0.44082512781973127</v>
      </c>
      <c r="M139" s="902">
        <f t="shared" si="259"/>
        <v>0.37917237350154132</v>
      </c>
      <c r="N139" s="902">
        <f t="shared" si="259"/>
        <v>0.44085736669596409</v>
      </c>
      <c r="O139" s="902">
        <f t="shared" si="259"/>
        <v>0.42369708411466722</v>
      </c>
      <c r="X139" s="902">
        <f t="shared" ref="X139:AI139" si="260">+X125+T125+P125</f>
        <v>0.44580467033427706</v>
      </c>
      <c r="Y139" s="902">
        <f t="shared" si="260"/>
        <v>0.42662955277039982</v>
      </c>
      <c r="Z139" s="902">
        <f t="shared" si="260"/>
        <v>0.4763490735674123</v>
      </c>
      <c r="AA139" s="902">
        <f t="shared" si="260"/>
        <v>0.46220376784213024</v>
      </c>
      <c r="AB139" s="902">
        <f t="shared" si="260"/>
        <v>0.48024816243696256</v>
      </c>
      <c r="AC139" s="902">
        <f t="shared" si="260"/>
        <v>0.50461920501721869</v>
      </c>
      <c r="AD139" s="902">
        <f t="shared" si="260"/>
        <v>0.51997101150188896</v>
      </c>
      <c r="AE139" s="902">
        <f t="shared" si="260"/>
        <v>0.46526577237870748</v>
      </c>
      <c r="AF139" s="902">
        <f t="shared" si="260"/>
        <v>0.44974345959344997</v>
      </c>
      <c r="AG139" s="902">
        <f t="shared" si="260"/>
        <v>0.40400731568044534</v>
      </c>
      <c r="AH139" s="902">
        <f t="shared" si="260"/>
        <v>0.41917663645690939</v>
      </c>
      <c r="AI139" s="902">
        <f t="shared" si="260"/>
        <v>0.40508611552024276</v>
      </c>
      <c r="AU139" s="855"/>
      <c r="AV139" s="855"/>
      <c r="AW139" s="902">
        <f>+AW125+AV125+AU125</f>
        <v>4.3700442040809584E-2</v>
      </c>
      <c r="AX139" s="855"/>
      <c r="AY139" s="855"/>
      <c r="AZ139" s="855"/>
      <c r="BA139" s="855"/>
      <c r="BB139" s="902">
        <f>+BB125+BA125+AZ125</f>
        <v>0.33734782511585903</v>
      </c>
      <c r="BC139" s="902">
        <f t="shared" ref="BC139:BE139" si="261">+BC125+BB125+BA125</f>
        <v>0.4195372759805589</v>
      </c>
      <c r="BD139" s="902">
        <f t="shared" si="261"/>
        <v>0.45206841376746731</v>
      </c>
      <c r="BE139" s="902">
        <f t="shared" si="261"/>
        <v>0.49133372318124047</v>
      </c>
      <c r="BF139" s="902"/>
      <c r="BH139"/>
      <c r="BI139"/>
      <c r="BJ139" s="3"/>
      <c r="BK139" s="839"/>
      <c r="BL139" s="839"/>
      <c r="BM139" s="885"/>
      <c r="BN139" s="839"/>
      <c r="BO139" s="885"/>
    </row>
    <row r="140" spans="2:67" collapsed="1">
      <c r="BJ140" s="3"/>
      <c r="BK140" s="899"/>
      <c r="BL140" s="899"/>
      <c r="BN140" s="899"/>
      <c r="BO140" s="900"/>
    </row>
    <row r="141" spans="2:67" ht="10.5">
      <c r="B141" s="45" t="s">
        <v>351</v>
      </c>
    </row>
    <row r="142" spans="2:67">
      <c r="B142" t="s">
        <v>335</v>
      </c>
      <c r="H142" s="879">
        <v>2905</v>
      </c>
      <c r="I142" s="879">
        <v>3053</v>
      </c>
      <c r="J142" s="879">
        <v>2540</v>
      </c>
      <c r="K142" s="879">
        <v>2891</v>
      </c>
      <c r="L142" s="879">
        <v>3006</v>
      </c>
      <c r="M142" s="879">
        <v>3337</v>
      </c>
      <c r="N142" s="879">
        <v>3115</v>
      </c>
      <c r="O142" s="879">
        <v>3466</v>
      </c>
      <c r="P142" s="879">
        <v>3881</v>
      </c>
      <c r="Q142" s="879">
        <v>4015</v>
      </c>
      <c r="R142" s="879">
        <v>3979</v>
      </c>
      <c r="S142" s="879">
        <f>+BB142-SUM(P142:R142)</f>
        <v>4344</v>
      </c>
      <c r="T142" s="879">
        <v>4782</v>
      </c>
      <c r="U142" s="879">
        <v>5182</v>
      </c>
      <c r="V142" s="879">
        <v>4788</v>
      </c>
      <c r="W142" s="879">
        <v>3972</v>
      </c>
      <c r="X142" s="879">
        <v>5706</v>
      </c>
      <c r="Y142" s="879">
        <v>6181</v>
      </c>
      <c r="Z142" s="879">
        <v>6029</v>
      </c>
      <c r="AA142" s="879">
        <v>6435</v>
      </c>
      <c r="AB142" s="879">
        <v>7581</v>
      </c>
      <c r="AC142" s="879">
        <v>7688</v>
      </c>
      <c r="AD142" s="879">
        <v>7184</v>
      </c>
      <c r="AE142" s="879">
        <v>7234</v>
      </c>
      <c r="AF142" s="879">
        <v>8323</v>
      </c>
      <c r="AG142" s="880">
        <f t="shared" ref="AG142:AI145" si="262">+AG156*AG114</f>
        <v>8173.0496357044121</v>
      </c>
      <c r="AH142" s="880">
        <f t="shared" si="262"/>
        <v>7640.554789011805</v>
      </c>
      <c r="AI142" s="880">
        <f t="shared" si="262"/>
        <v>7455.7111755193873</v>
      </c>
      <c r="AT142" s="879">
        <v>14173</v>
      </c>
      <c r="AU142" s="879">
        <v>13274</v>
      </c>
      <c r="AV142" s="879">
        <v>12418</v>
      </c>
      <c r="AW142" s="879">
        <v>11913</v>
      </c>
      <c r="AX142" s="879"/>
      <c r="AY142" s="879">
        <v>11756</v>
      </c>
      <c r="AZ142" s="880">
        <f>+SUM(H142:K142)</f>
        <v>11389</v>
      </c>
      <c r="BA142" s="880">
        <f>+SUM(L142:O142)</f>
        <v>12924</v>
      </c>
      <c r="BB142" s="880">
        <v>16219</v>
      </c>
      <c r="BC142" s="880">
        <f>SUM(T142:W142)</f>
        <v>18724</v>
      </c>
      <c r="BD142" s="880">
        <f>SUM(X142:AA142)</f>
        <v>24351</v>
      </c>
      <c r="BE142" s="880">
        <f>SUM(AB142:AE142)</f>
        <v>29687</v>
      </c>
      <c r="BF142" s="880">
        <f>SUM(AF142:AI142)</f>
        <v>31592.315600235601</v>
      </c>
    </row>
    <row r="143" spans="2:67">
      <c r="B143" t="s">
        <v>337</v>
      </c>
      <c r="H143" s="879">
        <v>1777</v>
      </c>
      <c r="I143" s="879">
        <v>2291</v>
      </c>
      <c r="J143" s="879">
        <v>2148</v>
      </c>
      <c r="K143" s="879">
        <v>2911</v>
      </c>
      <c r="L143" s="879">
        <v>2137</v>
      </c>
      <c r="M143" s="879">
        <v>2832</v>
      </c>
      <c r="N143" s="879">
        <v>2654</v>
      </c>
      <c r="O143" s="879">
        <v>3901</v>
      </c>
      <c r="P143" s="879">
        <v>2931</v>
      </c>
      <c r="Q143" s="879">
        <v>3279</v>
      </c>
      <c r="R143" s="879">
        <v>3208</v>
      </c>
      <c r="S143" s="879">
        <f>+BB143-SUM(P143:R143)</f>
        <v>4502</v>
      </c>
      <c r="T143" s="879">
        <v>3889</v>
      </c>
      <c r="U143" s="879">
        <v>4531</v>
      </c>
      <c r="V143" s="879">
        <v>4560</v>
      </c>
      <c r="W143" s="879">
        <v>5344</v>
      </c>
      <c r="X143" s="879">
        <v>5422</v>
      </c>
      <c r="Y143" s="879">
        <v>6492</v>
      </c>
      <c r="Z143" s="879">
        <v>6425</v>
      </c>
      <c r="AA143" s="879">
        <v>7787</v>
      </c>
      <c r="AB143" s="879">
        <v>7562</v>
      </c>
      <c r="AC143" s="879">
        <v>8197</v>
      </c>
      <c r="AD143" s="879">
        <v>8281</v>
      </c>
      <c r="AE143" s="879">
        <v>8681</v>
      </c>
      <c r="AF143" s="879">
        <v>8978</v>
      </c>
      <c r="AG143" s="880">
        <f t="shared" si="262"/>
        <v>9684.9029480496101</v>
      </c>
      <c r="AH143" s="880">
        <f t="shared" si="262"/>
        <v>9681.5063405670717</v>
      </c>
      <c r="AI143" s="880">
        <f t="shared" si="262"/>
        <v>10361.713528628181</v>
      </c>
      <c r="AT143" s="879">
        <v>8446</v>
      </c>
      <c r="AU143" s="879">
        <v>9803</v>
      </c>
      <c r="AV143" s="879">
        <v>9315</v>
      </c>
      <c r="AW143" s="879">
        <v>9138</v>
      </c>
      <c r="AX143" s="879"/>
      <c r="AY143" s="879">
        <v>9249</v>
      </c>
      <c r="AZ143" s="880">
        <f>+SUM(H143:K143)</f>
        <v>9127</v>
      </c>
      <c r="BA143" s="880">
        <f>+SUM(L143:O143)</f>
        <v>11524</v>
      </c>
      <c r="BB143" s="880">
        <v>13920</v>
      </c>
      <c r="BC143" s="880">
        <f>SUM(T143:W143)</f>
        <v>18324</v>
      </c>
      <c r="BD143" s="880">
        <f>SUM(X143:AA143)</f>
        <v>26126</v>
      </c>
      <c r="BE143" s="880">
        <f t="shared" ref="BE143:BE145" si="263">SUM(AB143:AE143)</f>
        <v>32721</v>
      </c>
      <c r="BF143" s="880">
        <f t="shared" ref="BF143:BF145" si="264">SUM(AF143:AI143)</f>
        <v>38706.122817244861</v>
      </c>
    </row>
    <row r="144" spans="2:67">
      <c r="B144" t="s">
        <v>339</v>
      </c>
      <c r="H144" s="879">
        <v>2033</v>
      </c>
      <c r="I144" s="879">
        <v>2561</v>
      </c>
      <c r="J144" s="879">
        <v>2035</v>
      </c>
      <c r="K144" s="879">
        <v>2186</v>
      </c>
      <c r="L144" s="879">
        <v>2565</v>
      </c>
      <c r="M144" s="879">
        <v>2510</v>
      </c>
      <c r="N144" s="879">
        <v>2523</v>
      </c>
      <c r="O144" s="879">
        <v>3012</v>
      </c>
      <c r="P144" s="879">
        <v>3143</v>
      </c>
      <c r="Q144" s="879">
        <v>2964</v>
      </c>
      <c r="R144" s="879">
        <v>3154</v>
      </c>
      <c r="S144" s="879">
        <f>+BB144-SUM(P144:R144)</f>
        <v>3559</v>
      </c>
      <c r="T144" s="879">
        <v>4015</v>
      </c>
      <c r="U144" s="879">
        <v>4178</v>
      </c>
      <c r="V144" s="879">
        <v>3627</v>
      </c>
      <c r="W144" s="879">
        <v>4091</v>
      </c>
      <c r="X144" s="879">
        <v>4748</v>
      </c>
      <c r="Y144" s="879">
        <v>5224</v>
      </c>
      <c r="Z144" s="879">
        <v>4594</v>
      </c>
      <c r="AA144" s="879">
        <v>4873</v>
      </c>
      <c r="AB144" s="879">
        <v>5095</v>
      </c>
      <c r="AC144" s="879">
        <v>6362</v>
      </c>
      <c r="AD144" s="879">
        <v>4899</v>
      </c>
      <c r="AE144" s="879">
        <v>4619</v>
      </c>
      <c r="AF144" s="879">
        <v>4217</v>
      </c>
      <c r="AG144" s="880">
        <f t="shared" si="262"/>
        <v>4422.3724336668683</v>
      </c>
      <c r="AH144" s="880">
        <f t="shared" si="262"/>
        <v>3346.3061324156579</v>
      </c>
      <c r="AI144" s="880">
        <f t="shared" si="262"/>
        <v>3823.4278789911464</v>
      </c>
      <c r="AT144" s="879">
        <v>5605</v>
      </c>
      <c r="AU144" s="879">
        <v>5095</v>
      </c>
      <c r="AV144" s="879">
        <v>6202</v>
      </c>
      <c r="AW144" s="879">
        <v>8288</v>
      </c>
      <c r="AX144" s="879"/>
      <c r="AY144" s="879">
        <v>6183</v>
      </c>
      <c r="AZ144" s="880">
        <f>+SUM(H144:K144)</f>
        <v>8815</v>
      </c>
      <c r="BA144" s="880">
        <f>+SUM(L144:O144)</f>
        <v>10610</v>
      </c>
      <c r="BB144" s="880">
        <v>12820</v>
      </c>
      <c r="BC144" s="880">
        <f>SUM(T144:W144)</f>
        <v>15911</v>
      </c>
      <c r="BD144" s="880">
        <f>SUM(X144:AA144)</f>
        <v>19439</v>
      </c>
      <c r="BE144" s="880">
        <f t="shared" si="263"/>
        <v>20975</v>
      </c>
      <c r="BF144" s="880">
        <f t="shared" si="264"/>
        <v>15809.106445073672</v>
      </c>
    </row>
    <row r="145" spans="2:65" ht="11.45">
      <c r="B145" t="s">
        <v>340</v>
      </c>
      <c r="H145" s="905">
        <v>0</v>
      </c>
      <c r="I145" s="905">
        <v>0</v>
      </c>
      <c r="J145" s="905">
        <v>0</v>
      </c>
      <c r="K145" s="905">
        <v>-306</v>
      </c>
      <c r="L145" s="905">
        <v>0</v>
      </c>
      <c r="M145" s="905">
        <v>0</v>
      </c>
      <c r="N145" s="905">
        <v>0</v>
      </c>
      <c r="O145" s="905">
        <v>0</v>
      </c>
      <c r="P145" s="905">
        <v>0</v>
      </c>
      <c r="Q145" s="905">
        <v>0</v>
      </c>
      <c r="R145" s="905">
        <v>0</v>
      </c>
      <c r="S145" s="905">
        <f>+BB145-SUM(P145:R145)</f>
        <v>0</v>
      </c>
      <c r="T145" s="905">
        <v>0</v>
      </c>
      <c r="U145" s="905">
        <v>0</v>
      </c>
      <c r="V145" s="905">
        <v>0</v>
      </c>
      <c r="W145" s="905">
        <v>0</v>
      </c>
      <c r="X145" s="905">
        <v>0</v>
      </c>
      <c r="Y145" s="905">
        <v>0</v>
      </c>
      <c r="Z145" s="905">
        <v>0</v>
      </c>
      <c r="AA145" s="906">
        <v>0</v>
      </c>
      <c r="AB145" s="906">
        <v>0</v>
      </c>
      <c r="AC145" s="906">
        <v>0</v>
      </c>
      <c r="AD145" s="906">
        <v>0</v>
      </c>
      <c r="AE145" s="906">
        <v>0</v>
      </c>
      <c r="AF145" s="906">
        <v>0</v>
      </c>
      <c r="AG145" s="906">
        <f t="shared" si="262"/>
        <v>0</v>
      </c>
      <c r="AH145" s="906">
        <f t="shared" si="262"/>
        <v>0</v>
      </c>
      <c r="AI145" s="906">
        <f t="shared" si="262"/>
        <v>0</v>
      </c>
      <c r="AT145" s="905">
        <v>-338</v>
      </c>
      <c r="AU145" s="905">
        <v>0</v>
      </c>
      <c r="AV145" s="905">
        <v>-6643</v>
      </c>
      <c r="AW145" s="905">
        <v>-6707</v>
      </c>
      <c r="AX145" s="905"/>
      <c r="AY145" s="905">
        <v>-1110</v>
      </c>
      <c r="AZ145" s="906">
        <f>+SUM(H145:K145)</f>
        <v>-306</v>
      </c>
      <c r="BA145" s="906">
        <f>+SUM(L145:O145)</f>
        <v>0</v>
      </c>
      <c r="BB145" s="906">
        <v>0</v>
      </c>
      <c r="BC145" s="906">
        <f>SUM(T145:W145)</f>
        <v>0</v>
      </c>
      <c r="BD145" s="906">
        <f>SUM(X145:AA145)</f>
        <v>0</v>
      </c>
      <c r="BE145" s="906">
        <f t="shared" si="263"/>
        <v>0</v>
      </c>
      <c r="BF145" s="10">
        <f t="shared" si="264"/>
        <v>0</v>
      </c>
    </row>
    <row r="146" spans="2:65" s="1" customFormat="1" ht="10.5">
      <c r="B146" s="882" t="s">
        <v>352</v>
      </c>
      <c r="H146" s="838">
        <f>SUM(H142:H145)</f>
        <v>6715</v>
      </c>
      <c r="I146" s="838">
        <f t="shared" ref="I146:W146" si="265">SUM(I142:I145)</f>
        <v>7905</v>
      </c>
      <c r="J146" s="838">
        <f t="shared" si="265"/>
        <v>6723</v>
      </c>
      <c r="K146" s="838">
        <f t="shared" si="265"/>
        <v>7682</v>
      </c>
      <c r="L146" s="838">
        <f t="shared" si="265"/>
        <v>7708</v>
      </c>
      <c r="M146" s="838">
        <f t="shared" si="265"/>
        <v>8679</v>
      </c>
      <c r="N146" s="838">
        <f t="shared" si="265"/>
        <v>8292</v>
      </c>
      <c r="O146" s="838">
        <f t="shared" si="265"/>
        <v>10379</v>
      </c>
      <c r="P146" s="838">
        <f t="shared" si="265"/>
        <v>9955</v>
      </c>
      <c r="Q146" s="838">
        <f t="shared" si="265"/>
        <v>10258</v>
      </c>
      <c r="R146" s="838">
        <f t="shared" si="265"/>
        <v>10341</v>
      </c>
      <c r="S146" s="838">
        <f t="shared" si="265"/>
        <v>12405</v>
      </c>
      <c r="T146" s="838">
        <f t="shared" si="265"/>
        <v>12686</v>
      </c>
      <c r="U146" s="838">
        <f t="shared" si="265"/>
        <v>13891</v>
      </c>
      <c r="V146" s="838">
        <f t="shared" si="265"/>
        <v>12975</v>
      </c>
      <c r="W146" s="838">
        <f t="shared" si="265"/>
        <v>13407</v>
      </c>
      <c r="X146" s="838">
        <f>SUM(X142:X145)</f>
        <v>15876</v>
      </c>
      <c r="Y146" s="838">
        <f t="shared" ref="Y146:AI146" si="266">SUM(Y142:Y145)</f>
        <v>17897</v>
      </c>
      <c r="Z146" s="838">
        <f t="shared" si="266"/>
        <v>17048</v>
      </c>
      <c r="AA146" s="838">
        <f t="shared" si="266"/>
        <v>19095</v>
      </c>
      <c r="AB146" s="838">
        <f t="shared" si="266"/>
        <v>20238</v>
      </c>
      <c r="AC146" s="838">
        <f t="shared" si="266"/>
        <v>22247</v>
      </c>
      <c r="AD146" s="838">
        <f t="shared" si="266"/>
        <v>20364</v>
      </c>
      <c r="AE146" s="838">
        <f t="shared" si="266"/>
        <v>20534</v>
      </c>
      <c r="AF146" s="838">
        <f t="shared" si="266"/>
        <v>21518</v>
      </c>
      <c r="AG146" s="838">
        <f t="shared" si="266"/>
        <v>22280.325017420888</v>
      </c>
      <c r="AH146" s="838">
        <f t="shared" si="266"/>
        <v>20668.367261994536</v>
      </c>
      <c r="AI146" s="838">
        <f t="shared" si="266"/>
        <v>21640.852583138716</v>
      </c>
      <c r="AT146" s="838">
        <f t="shared" ref="AT146:AU146" si="267">SUM(AT142:AT145)</f>
        <v>27886</v>
      </c>
      <c r="AU146" s="838">
        <f t="shared" si="267"/>
        <v>28172</v>
      </c>
      <c r="AV146" s="838">
        <f>SUM(AV142:AV145)</f>
        <v>21292</v>
      </c>
      <c r="AW146" s="838">
        <f>SUM(AW142:AW145)</f>
        <v>22632</v>
      </c>
      <c r="AX146" s="838"/>
      <c r="AY146" s="838">
        <f>SUM(AY142:AY145)</f>
        <v>26078</v>
      </c>
      <c r="AZ146" s="907">
        <f>+SUM(H146:K146)</f>
        <v>29025</v>
      </c>
      <c r="BA146" s="907">
        <f>+SUM(L146:O146)</f>
        <v>35058</v>
      </c>
      <c r="BB146" s="907">
        <f>+SUM(BB142:BB145)</f>
        <v>42959</v>
      </c>
      <c r="BC146" s="907">
        <f t="shared" ref="BC146:BE146" si="268">+SUM(BC142:BC145)</f>
        <v>52959</v>
      </c>
      <c r="BD146" s="907">
        <f t="shared" si="268"/>
        <v>69916</v>
      </c>
      <c r="BE146" s="907">
        <f t="shared" si="268"/>
        <v>83383</v>
      </c>
      <c r="BF146" s="838">
        <f t="shared" ref="BF146" si="269">SUM(BF142:BF145)</f>
        <v>86107.544862554132</v>
      </c>
    </row>
    <row r="147" spans="2:65">
      <c r="X147" s="826"/>
      <c r="AE147" s="987"/>
      <c r="AF147" s="987"/>
      <c r="AG147" s="987"/>
      <c r="AH147" s="987"/>
      <c r="AI147" s="987"/>
      <c r="BM147" s="874"/>
    </row>
    <row r="148" spans="2:65" s="3" customFormat="1">
      <c r="B148" s="883" t="s">
        <v>113</v>
      </c>
    </row>
    <row r="149" spans="2:65" s="3" customFormat="1">
      <c r="B149" s="884" t="str">
        <f>+B142</f>
        <v>Productivity and Business Processes</v>
      </c>
      <c r="L149" s="228">
        <f t="shared" ref="L149:AI153" si="270">+IFERROR(L142/H142-1,"n/a ")</f>
        <v>3.4767641996557686E-2</v>
      </c>
      <c r="M149" s="228">
        <f t="shared" si="270"/>
        <v>9.3023255813953432E-2</v>
      </c>
      <c r="N149" s="228">
        <f t="shared" si="270"/>
        <v>0.22637795275590555</v>
      </c>
      <c r="O149" s="228">
        <f t="shared" si="270"/>
        <v>0.19889311656866138</v>
      </c>
      <c r="P149" s="228">
        <f t="shared" si="270"/>
        <v>0.29108449767132405</v>
      </c>
      <c r="Q149" s="228">
        <f t="shared" si="270"/>
        <v>0.20317650584357216</v>
      </c>
      <c r="R149" s="228">
        <f t="shared" si="270"/>
        <v>0.27736757624398067</v>
      </c>
      <c r="S149" s="228">
        <f t="shared" si="270"/>
        <v>0.25331794575879973</v>
      </c>
      <c r="T149" s="228">
        <f t="shared" si="270"/>
        <v>0.23215666065447049</v>
      </c>
      <c r="U149" s="228">
        <f t="shared" si="270"/>
        <v>0.29066002490660026</v>
      </c>
      <c r="V149" s="228">
        <f t="shared" si="270"/>
        <v>0.20331741643629053</v>
      </c>
      <c r="W149" s="228">
        <f t="shared" si="270"/>
        <v>-8.5635359116022047E-2</v>
      </c>
      <c r="X149" s="228">
        <f t="shared" si="270"/>
        <v>0.193224592220828</v>
      </c>
      <c r="Y149" s="228">
        <f t="shared" si="270"/>
        <v>0.1927827093786183</v>
      </c>
      <c r="Z149" s="228">
        <f t="shared" si="270"/>
        <v>0.25918964076858808</v>
      </c>
      <c r="AA149" s="228">
        <f t="shared" si="270"/>
        <v>0.6200906344410877</v>
      </c>
      <c r="AB149" s="228">
        <f t="shared" si="270"/>
        <v>0.32860147213459512</v>
      </c>
      <c r="AC149" s="228">
        <f t="shared" si="270"/>
        <v>0.24381168095777372</v>
      </c>
      <c r="AD149" s="228">
        <f t="shared" si="270"/>
        <v>0.19157405871620492</v>
      </c>
      <c r="AE149" s="228">
        <f t="shared" si="270"/>
        <v>0.12416472416472413</v>
      </c>
      <c r="AF149" s="228">
        <f t="shared" si="270"/>
        <v>9.787626962142193E-2</v>
      </c>
      <c r="AG149" s="228">
        <f t="shared" si="270"/>
        <v>6.3091784040636423E-2</v>
      </c>
      <c r="AH149" s="228">
        <f t="shared" si="270"/>
        <v>6.355161316979463E-2</v>
      </c>
      <c r="AI149" s="228">
        <f t="shared" si="270"/>
        <v>3.0648489842326043E-2</v>
      </c>
      <c r="AJ149" s="228"/>
      <c r="AK149" s="228"/>
      <c r="AL149" s="228"/>
      <c r="AM149" s="228"/>
      <c r="AN149" s="228"/>
      <c r="AO149" s="228"/>
      <c r="AP149" s="228"/>
      <c r="AQ149" s="228"/>
      <c r="AR149" s="228"/>
      <c r="AS149" s="228"/>
      <c r="AT149" s="228"/>
      <c r="AU149" s="228">
        <f t="shared" ref="AU149:AW153" si="271">+IFERROR(AU142/AT142-1,"n/a ")</f>
        <v>-6.343046637973615E-2</v>
      </c>
      <c r="AV149" s="228">
        <f t="shared" si="271"/>
        <v>-6.4486967003164031E-2</v>
      </c>
      <c r="AW149" s="228">
        <f t="shared" si="271"/>
        <v>-4.0666774037687259E-2</v>
      </c>
      <c r="AX149" s="228"/>
      <c r="AY149" s="1010">
        <f t="shared" ref="AY149:AY150" si="272">+AV149</f>
        <v>-6.4486967003164031E-2</v>
      </c>
      <c r="AZ149" s="1010">
        <f t="shared" ref="AZ149:AZ150" si="273">+AW149</f>
        <v>-4.0666774037687259E-2</v>
      </c>
      <c r="BA149" s="228">
        <f t="shared" ref="BA149:BF153" si="274">+IFERROR(BA142/AZ142-1,"n/a ")</f>
        <v>0.13477917288611829</v>
      </c>
      <c r="BB149" s="228">
        <f t="shared" si="274"/>
        <v>0.25495202723614985</v>
      </c>
      <c r="BC149" s="228">
        <f t="shared" si="274"/>
        <v>0.15444848634317765</v>
      </c>
      <c r="BD149" s="228">
        <f t="shared" si="274"/>
        <v>0.30052339243751325</v>
      </c>
      <c r="BE149" s="228">
        <f t="shared" si="274"/>
        <v>0.21912857788181173</v>
      </c>
      <c r="BF149" s="228">
        <f t="shared" si="274"/>
        <v>6.4180132725960792E-2</v>
      </c>
    </row>
    <row r="150" spans="2:65" s="3" customFormat="1">
      <c r="B150" s="884" t="str">
        <f>+B143</f>
        <v>Intelligent Cloud</v>
      </c>
      <c r="L150" s="228">
        <f t="shared" si="270"/>
        <v>0.20258863252673054</v>
      </c>
      <c r="M150" s="228">
        <f t="shared" si="270"/>
        <v>0.23614142295940632</v>
      </c>
      <c r="N150" s="228">
        <f t="shared" si="270"/>
        <v>0.23556797020484166</v>
      </c>
      <c r="O150" s="228">
        <f t="shared" si="270"/>
        <v>0.34008931638612161</v>
      </c>
      <c r="P150" s="228">
        <f t="shared" si="270"/>
        <v>0.37154890032756205</v>
      </c>
      <c r="Q150" s="228">
        <f t="shared" si="270"/>
        <v>0.15783898305084754</v>
      </c>
      <c r="R150" s="228">
        <f t="shared" si="270"/>
        <v>0.20874152223059528</v>
      </c>
      <c r="S150" s="228">
        <f t="shared" si="270"/>
        <v>0.15406306075365284</v>
      </c>
      <c r="T150" s="228">
        <f t="shared" si="270"/>
        <v>0.32685090412828388</v>
      </c>
      <c r="U150" s="228">
        <f t="shared" si="270"/>
        <v>0.38182372674595921</v>
      </c>
      <c r="V150" s="228">
        <f t="shared" si="270"/>
        <v>0.42144638403990031</v>
      </c>
      <c r="W150" s="228">
        <f t="shared" si="270"/>
        <v>0.18702798756108385</v>
      </c>
      <c r="X150" s="228">
        <f t="shared" si="270"/>
        <v>0.39418873746464378</v>
      </c>
      <c r="Y150" s="228">
        <f t="shared" si="270"/>
        <v>0.43279629220922544</v>
      </c>
      <c r="Z150" s="228">
        <f t="shared" si="270"/>
        <v>0.40899122807017552</v>
      </c>
      <c r="AA150" s="228">
        <f t="shared" si="270"/>
        <v>0.45714820359281427</v>
      </c>
      <c r="AB150" s="228">
        <f t="shared" si="270"/>
        <v>0.39468830689782375</v>
      </c>
      <c r="AC150" s="228">
        <f t="shared" si="270"/>
        <v>0.26263093037584717</v>
      </c>
      <c r="AD150" s="228">
        <f t="shared" si="270"/>
        <v>0.28887159533073925</v>
      </c>
      <c r="AE150" s="228">
        <f t="shared" si="270"/>
        <v>0.11480672916399137</v>
      </c>
      <c r="AF150" s="228">
        <f t="shared" si="270"/>
        <v>0.18725204972229559</v>
      </c>
      <c r="AG150" s="228">
        <f t="shared" si="270"/>
        <v>0.18151798805045871</v>
      </c>
      <c r="AH150" s="228">
        <f t="shared" si="270"/>
        <v>0.16912285238100133</v>
      </c>
      <c r="AI150" s="228">
        <f t="shared" si="270"/>
        <v>0.19360828575373579</v>
      </c>
      <c r="AJ150" s="228"/>
      <c r="AK150" s="228"/>
      <c r="AL150" s="228"/>
      <c r="AM150" s="228"/>
      <c r="AN150" s="228"/>
      <c r="AO150" s="228"/>
      <c r="AP150" s="228"/>
      <c r="AQ150" s="228"/>
      <c r="AR150" s="228"/>
      <c r="AS150" s="228"/>
      <c r="AT150" s="228"/>
      <c r="AU150" s="228">
        <f t="shared" si="271"/>
        <v>0.16066777172626101</v>
      </c>
      <c r="AV150" s="228">
        <f t="shared" si="271"/>
        <v>-4.9780679383862103E-2</v>
      </c>
      <c r="AW150" s="228">
        <f t="shared" si="271"/>
        <v>-1.900161030595815E-2</v>
      </c>
      <c r="AX150" s="228"/>
      <c r="AY150" s="904">
        <f t="shared" si="272"/>
        <v>-4.9780679383862103E-2</v>
      </c>
      <c r="AZ150" s="904">
        <f t="shared" si="273"/>
        <v>-1.900161030595815E-2</v>
      </c>
      <c r="BA150" s="228">
        <f t="shared" si="274"/>
        <v>0.26262736934370556</v>
      </c>
      <c r="BB150" s="228">
        <f t="shared" si="274"/>
        <v>0.20791391877820198</v>
      </c>
      <c r="BC150" s="228">
        <f t="shared" si="274"/>
        <v>0.31637931034482758</v>
      </c>
      <c r="BD150" s="228">
        <f t="shared" si="274"/>
        <v>0.42578039729316752</v>
      </c>
      <c r="BE150" s="228">
        <f t="shared" si="274"/>
        <v>0.25243052897496754</v>
      </c>
      <c r="BF150" s="228">
        <f t="shared" si="274"/>
        <v>0.18291381122963424</v>
      </c>
    </row>
    <row r="151" spans="2:65" s="3" customFormat="1">
      <c r="B151" s="884" t="str">
        <f>+B144</f>
        <v>More Personal Computing</v>
      </c>
      <c r="L151" s="228">
        <f t="shared" si="270"/>
        <v>0.26168224299065423</v>
      </c>
      <c r="M151" s="228">
        <f t="shared" si="270"/>
        <v>-1.991409605622807E-2</v>
      </c>
      <c r="N151" s="228">
        <f t="shared" si="270"/>
        <v>0.23980343980343988</v>
      </c>
      <c r="O151" s="228">
        <f t="shared" si="270"/>
        <v>0.37785910338517836</v>
      </c>
      <c r="P151" s="228">
        <f t="shared" si="270"/>
        <v>0.22534113060428851</v>
      </c>
      <c r="Q151" s="228">
        <f t="shared" si="270"/>
        <v>0.18087649402390449</v>
      </c>
      <c r="R151" s="228">
        <f t="shared" si="270"/>
        <v>0.25009908838684103</v>
      </c>
      <c r="S151" s="228">
        <f t="shared" si="270"/>
        <v>0.18160690571049143</v>
      </c>
      <c r="T151" s="228">
        <f t="shared" si="270"/>
        <v>0.27744193445752474</v>
      </c>
      <c r="U151" s="228">
        <f t="shared" si="270"/>
        <v>0.40958164642375161</v>
      </c>
      <c r="V151" s="228">
        <f t="shared" si="270"/>
        <v>0.14996829422954971</v>
      </c>
      <c r="W151" s="228">
        <f t="shared" si="270"/>
        <v>0.14948019106490595</v>
      </c>
      <c r="X151" s="228">
        <f t="shared" si="270"/>
        <v>0.18256537982565391</v>
      </c>
      <c r="Y151" s="228">
        <f t="shared" si="270"/>
        <v>0.2503590234561992</v>
      </c>
      <c r="Z151" s="228">
        <f t="shared" si="270"/>
        <v>0.26661152467604077</v>
      </c>
      <c r="AA151" s="228">
        <f t="shared" si="270"/>
        <v>0.1911513077487168</v>
      </c>
      <c r="AB151" s="228">
        <f t="shared" si="270"/>
        <v>7.308340353833187E-2</v>
      </c>
      <c r="AC151" s="228">
        <f t="shared" si="270"/>
        <v>0.21784073506891266</v>
      </c>
      <c r="AD151" s="228">
        <f t="shared" si="270"/>
        <v>6.6390944710492006E-2</v>
      </c>
      <c r="AE151" s="228">
        <f t="shared" si="270"/>
        <v>-5.2123948286476485E-2</v>
      </c>
      <c r="AF151" s="228">
        <f t="shared" si="270"/>
        <v>-0.17232580961727184</v>
      </c>
      <c r="AG151" s="228">
        <f t="shared" si="270"/>
        <v>-0.30487701451322413</v>
      </c>
      <c r="AH151" s="228">
        <f t="shared" si="270"/>
        <v>-0.31694098133993509</v>
      </c>
      <c r="AI151" s="228">
        <f t="shared" si="270"/>
        <v>-0.1722390389713907</v>
      </c>
      <c r="AJ151" s="228"/>
      <c r="AK151" s="228"/>
      <c r="AL151" s="228"/>
      <c r="AM151" s="228"/>
      <c r="AN151" s="228"/>
      <c r="AO151" s="228"/>
      <c r="AP151" s="228"/>
      <c r="AQ151" s="228"/>
      <c r="AR151" s="228"/>
      <c r="AS151" s="228"/>
      <c r="AT151" s="228"/>
      <c r="AU151" s="228">
        <f t="shared" si="271"/>
        <v>-9.099018733273867E-2</v>
      </c>
      <c r="AV151" s="228">
        <f t="shared" si="271"/>
        <v>0.21727183513248272</v>
      </c>
      <c r="AW151" s="228">
        <f t="shared" si="271"/>
        <v>0.3363431151241536</v>
      </c>
      <c r="AX151" s="228"/>
      <c r="AY151" s="904">
        <f t="shared" ref="AY151" si="275">+AV151</f>
        <v>0.21727183513248272</v>
      </c>
      <c r="AZ151" s="904">
        <f t="shared" ref="AZ151" si="276">+AW151</f>
        <v>0.3363431151241536</v>
      </c>
      <c r="BA151" s="228">
        <f t="shared" si="274"/>
        <v>0.20363017583664211</v>
      </c>
      <c r="BB151" s="228">
        <f t="shared" si="274"/>
        <v>0.20829406220546653</v>
      </c>
      <c r="BC151" s="228">
        <f t="shared" si="274"/>
        <v>0.24110764430577225</v>
      </c>
      <c r="BD151" s="228">
        <f t="shared" si="274"/>
        <v>0.22173339199296094</v>
      </c>
      <c r="BE151" s="228">
        <f t="shared" si="274"/>
        <v>7.9016410309172391E-2</v>
      </c>
      <c r="BF151" s="228">
        <f t="shared" si="274"/>
        <v>-0.24628813134332905</v>
      </c>
    </row>
    <row r="152" spans="2:65" s="3" customFormat="1" ht="11.45">
      <c r="B152" s="884" t="str">
        <f>+B145</f>
        <v>Corporate and Other</v>
      </c>
      <c r="L152" s="840" t="str">
        <f>+IFERROR(L145/H145-1,"NA ")</f>
        <v xml:space="preserve">NA </v>
      </c>
      <c r="M152" s="840" t="str">
        <f t="shared" ref="M152:AI152" si="277">+IFERROR(M145/I145-1,"NA ")</f>
        <v xml:space="preserve">NA </v>
      </c>
      <c r="N152" s="840" t="str">
        <f t="shared" si="277"/>
        <v xml:space="preserve">NA </v>
      </c>
      <c r="O152" s="840">
        <f t="shared" si="277"/>
        <v>-1</v>
      </c>
      <c r="P152" s="840" t="str">
        <f t="shared" si="277"/>
        <v xml:space="preserve">NA </v>
      </c>
      <c r="Q152" s="840" t="str">
        <f t="shared" si="277"/>
        <v xml:space="preserve">NA </v>
      </c>
      <c r="R152" s="840" t="str">
        <f t="shared" si="277"/>
        <v xml:space="preserve">NA </v>
      </c>
      <c r="S152" s="840" t="str">
        <f t="shared" si="277"/>
        <v xml:space="preserve">NA </v>
      </c>
      <c r="T152" s="840" t="str">
        <f t="shared" si="277"/>
        <v xml:space="preserve">NA </v>
      </c>
      <c r="U152" s="840" t="str">
        <f t="shared" si="277"/>
        <v xml:space="preserve">NA </v>
      </c>
      <c r="V152" s="840" t="str">
        <f t="shared" si="277"/>
        <v xml:space="preserve">NA </v>
      </c>
      <c r="W152" s="840" t="str">
        <f t="shared" si="277"/>
        <v xml:space="preserve">NA </v>
      </c>
      <c r="X152" s="840" t="str">
        <f t="shared" si="277"/>
        <v xml:space="preserve">NA </v>
      </c>
      <c r="Y152" s="840" t="str">
        <f t="shared" si="277"/>
        <v xml:space="preserve">NA </v>
      </c>
      <c r="Z152" s="840" t="str">
        <f t="shared" si="277"/>
        <v xml:space="preserve">NA </v>
      </c>
      <c r="AA152" s="840" t="str">
        <f t="shared" si="277"/>
        <v xml:space="preserve">NA </v>
      </c>
      <c r="AB152" s="840" t="str">
        <f t="shared" si="277"/>
        <v xml:space="preserve">NA </v>
      </c>
      <c r="AC152" s="840" t="str">
        <f t="shared" si="277"/>
        <v xml:space="preserve">NA </v>
      </c>
      <c r="AD152" s="840" t="str">
        <f t="shared" si="277"/>
        <v xml:space="preserve">NA </v>
      </c>
      <c r="AE152" s="840" t="str">
        <f t="shared" si="277"/>
        <v xml:space="preserve">NA </v>
      </c>
      <c r="AF152" s="840" t="str">
        <f t="shared" si="277"/>
        <v xml:space="preserve">NA </v>
      </c>
      <c r="AG152" s="840" t="str">
        <f t="shared" si="277"/>
        <v xml:space="preserve">NA </v>
      </c>
      <c r="AH152" s="840" t="str">
        <f t="shared" si="277"/>
        <v xml:space="preserve">NA </v>
      </c>
      <c r="AI152" s="840" t="str">
        <f t="shared" si="277"/>
        <v xml:space="preserve">NA </v>
      </c>
      <c r="AJ152" s="840"/>
      <c r="AK152" s="840"/>
      <c r="AL152" s="840"/>
      <c r="AM152" s="840"/>
      <c r="AN152" s="840"/>
      <c r="AO152" s="840"/>
      <c r="AP152" s="840"/>
      <c r="AQ152" s="840"/>
      <c r="AR152" s="840"/>
      <c r="AS152" s="840"/>
      <c r="AT152" s="840"/>
      <c r="AU152" s="840">
        <f t="shared" si="271"/>
        <v>-1</v>
      </c>
      <c r="AV152" s="840" t="str">
        <f>+IFERROR(AV145/AU145-1,"NA ")</f>
        <v xml:space="preserve">NA </v>
      </c>
      <c r="AW152" s="840">
        <f t="shared" si="271"/>
        <v>9.6342014150232469E-3</v>
      </c>
      <c r="AX152" s="840"/>
      <c r="AY152" s="1011" t="str">
        <f t="shared" ref="AY152" si="278">+AV152</f>
        <v xml:space="preserve">NA </v>
      </c>
      <c r="AZ152" s="1011">
        <f t="shared" ref="AZ152" si="279">+AW152</f>
        <v>9.6342014150232469E-3</v>
      </c>
      <c r="BA152" s="840">
        <f t="shared" si="274"/>
        <v>-1</v>
      </c>
      <c r="BB152" s="840" t="str">
        <f>+IFERROR(BB145/BA145-1,"NA ")</f>
        <v xml:space="preserve">NA </v>
      </c>
      <c r="BC152" s="840" t="str">
        <f t="shared" ref="BC152:BF152" si="280">+IFERROR(BC145/BB145-1,"NA ")</f>
        <v xml:space="preserve">NA </v>
      </c>
      <c r="BD152" s="840" t="str">
        <f t="shared" si="280"/>
        <v xml:space="preserve">NA </v>
      </c>
      <c r="BE152" s="840" t="str">
        <f t="shared" si="280"/>
        <v xml:space="preserve">NA </v>
      </c>
      <c r="BF152" s="840" t="str">
        <f t="shared" si="280"/>
        <v xml:space="preserve">NA </v>
      </c>
    </row>
    <row r="153" spans="2:65" s="7" customFormat="1">
      <c r="B153" s="887" t="str">
        <f>+B146</f>
        <v>Total operating income</v>
      </c>
      <c r="L153" s="842">
        <f>+IFERROR(L146/H146-1,"n/a ")</f>
        <v>0.14787788533134782</v>
      </c>
      <c r="M153" s="842">
        <f>+IFERROR(M146/I146-1,"n/a ")</f>
        <v>9.7912713472485757E-2</v>
      </c>
      <c r="N153" s="842">
        <f>+IFERROR(N146/J146-1,"n/a ")</f>
        <v>0.23337795626952262</v>
      </c>
      <c r="O153" s="842">
        <f>+IFERROR(O146/K146-1,"n/a ")</f>
        <v>0.35108044780005199</v>
      </c>
      <c r="P153" s="842">
        <f t="shared" si="270"/>
        <v>0.29151530877010901</v>
      </c>
      <c r="Q153" s="842">
        <f t="shared" si="270"/>
        <v>0.18193340246572176</v>
      </c>
      <c r="R153" s="842">
        <f t="shared" si="270"/>
        <v>0.2471056439942112</v>
      </c>
      <c r="S153" s="842">
        <f t="shared" si="270"/>
        <v>0.19520184988919942</v>
      </c>
      <c r="T153" s="842">
        <f t="shared" si="270"/>
        <v>0.27433450527373182</v>
      </c>
      <c r="U153" s="842">
        <f t="shared" si="270"/>
        <v>0.3541626047962565</v>
      </c>
      <c r="V153" s="842">
        <f t="shared" si="270"/>
        <v>0.25471424427038003</v>
      </c>
      <c r="W153" s="842">
        <f t="shared" si="270"/>
        <v>8.0773881499395461E-2</v>
      </c>
      <c r="X153" s="842">
        <f t="shared" si="270"/>
        <v>0.25145830048872764</v>
      </c>
      <c r="Y153" s="842">
        <f t="shared" si="270"/>
        <v>0.28838816499892017</v>
      </c>
      <c r="Z153" s="842">
        <f t="shared" si="270"/>
        <v>0.31391136801541419</v>
      </c>
      <c r="AA153" s="842">
        <f t="shared" si="270"/>
        <v>0.42425598567912282</v>
      </c>
      <c r="AB153" s="842">
        <f t="shared" si="270"/>
        <v>0.27475434618291761</v>
      </c>
      <c r="AC153" s="842">
        <f t="shared" si="270"/>
        <v>0.24305749566966539</v>
      </c>
      <c r="AD153" s="842">
        <f t="shared" si="270"/>
        <v>0.19450961989676219</v>
      </c>
      <c r="AE153" s="842">
        <f t="shared" si="270"/>
        <v>7.5360041895784269E-2</v>
      </c>
      <c r="AF153" s="842">
        <f t="shared" si="270"/>
        <v>6.3247356458147941E-2</v>
      </c>
      <c r="AG153" s="842">
        <f t="shared" si="270"/>
        <v>1.4979555634866415E-3</v>
      </c>
      <c r="AH153" s="842">
        <f t="shared" si="270"/>
        <v>1.4946339716879642E-2</v>
      </c>
      <c r="AI153" s="842">
        <f t="shared" si="270"/>
        <v>5.3903408159088118E-2</v>
      </c>
      <c r="AJ153" s="842"/>
      <c r="AK153" s="842"/>
      <c r="AL153" s="842"/>
      <c r="AM153" s="842"/>
      <c r="AN153" s="842"/>
      <c r="AO153" s="842"/>
      <c r="AP153" s="842"/>
      <c r="AQ153" s="842"/>
      <c r="AR153" s="842"/>
      <c r="AS153" s="842"/>
      <c r="AT153" s="842"/>
      <c r="AU153" s="842">
        <f t="shared" si="271"/>
        <v>1.025604245858136E-2</v>
      </c>
      <c r="AV153" s="842">
        <f t="shared" si="271"/>
        <v>-0.24421411330398979</v>
      </c>
      <c r="AW153" s="842">
        <f t="shared" si="271"/>
        <v>6.2934435468720684E-2</v>
      </c>
      <c r="AX153" s="842"/>
      <c r="AY153" s="1012">
        <f t="shared" ref="AY153" si="281">+AV153</f>
        <v>-0.24421411330398979</v>
      </c>
      <c r="AZ153" s="1012">
        <f t="shared" ref="AZ153" si="282">+AW153</f>
        <v>6.2934435468720684E-2</v>
      </c>
      <c r="BA153" s="842">
        <f t="shared" si="274"/>
        <v>0.20785529715762263</v>
      </c>
      <c r="BB153" s="842">
        <f t="shared" si="274"/>
        <v>0.22536938787152727</v>
      </c>
      <c r="BC153" s="842">
        <f t="shared" si="274"/>
        <v>0.23278009264647692</v>
      </c>
      <c r="BD153" s="842">
        <f t="shared" si="274"/>
        <v>0.3201910912215109</v>
      </c>
      <c r="BE153" s="842">
        <f t="shared" si="274"/>
        <v>0.19261685451112753</v>
      </c>
      <c r="BF153" s="842">
        <f t="shared" si="274"/>
        <v>3.2675064012498201E-2</v>
      </c>
    </row>
    <row r="154" spans="2:65" s="3" customFormat="1"/>
    <row r="155" spans="2:65" s="3" customFormat="1">
      <c r="B155" s="883" t="s">
        <v>115</v>
      </c>
    </row>
    <row r="156" spans="2:65" s="3" customFormat="1">
      <c r="B156" s="884" t="str">
        <f>+B142</f>
        <v>Productivity and Business Processes</v>
      </c>
      <c r="H156" s="228">
        <f t="shared" ref="H156:AF156" si="283">+IFERROR(H142/H114,"n/a ")</f>
        <v>0.45136730888750776</v>
      </c>
      <c r="I156" s="228">
        <f t="shared" si="283"/>
        <v>0.4252681431954311</v>
      </c>
      <c r="J156" s="228">
        <f t="shared" si="283"/>
        <v>0.32957052030621514</v>
      </c>
      <c r="K156" s="228">
        <f t="shared" si="283"/>
        <v>0.33820776789892371</v>
      </c>
      <c r="L156" s="228">
        <f t="shared" si="283"/>
        <v>0.36489439184268024</v>
      </c>
      <c r="M156" s="228">
        <f t="shared" si="283"/>
        <v>0.37272422651625153</v>
      </c>
      <c r="N156" s="228">
        <f t="shared" si="283"/>
        <v>0.34588052409504777</v>
      </c>
      <c r="O156" s="228">
        <f t="shared" si="283"/>
        <v>0.35850227554820024</v>
      </c>
      <c r="P156" s="228">
        <f t="shared" si="283"/>
        <v>0.3971957834407942</v>
      </c>
      <c r="Q156" s="228">
        <f t="shared" si="283"/>
        <v>0.39752475247524754</v>
      </c>
      <c r="R156" s="228">
        <f t="shared" si="283"/>
        <v>0.38849834016793594</v>
      </c>
      <c r="S156" s="228">
        <f t="shared" si="283"/>
        <v>0.3932289309314746</v>
      </c>
      <c r="T156" s="228">
        <f t="shared" si="283"/>
        <v>0.43170533537961542</v>
      </c>
      <c r="U156" s="228">
        <f t="shared" si="283"/>
        <v>0.43818704549298154</v>
      </c>
      <c r="V156" s="228">
        <f t="shared" si="283"/>
        <v>0.40773226603082685</v>
      </c>
      <c r="W156" s="228">
        <f t="shared" si="283"/>
        <v>0.33798502382573181</v>
      </c>
      <c r="X156" s="228">
        <f t="shared" si="283"/>
        <v>0.46318694699245067</v>
      </c>
      <c r="Y156" s="228">
        <f t="shared" si="283"/>
        <v>0.46289223395491652</v>
      </c>
      <c r="Z156" s="228">
        <f t="shared" si="283"/>
        <v>0.44487898465171194</v>
      </c>
      <c r="AA156" s="228">
        <f t="shared" si="283"/>
        <v>0.43802327955891363</v>
      </c>
      <c r="AB156" s="228">
        <f t="shared" si="283"/>
        <v>0.50408936764412526</v>
      </c>
      <c r="AC156" s="228">
        <f t="shared" si="283"/>
        <v>0.48242971887550201</v>
      </c>
      <c r="AD156" s="228">
        <f t="shared" si="283"/>
        <v>0.45500031667616697</v>
      </c>
      <c r="AE156" s="228">
        <f t="shared" si="283"/>
        <v>0.43578313253012047</v>
      </c>
      <c r="AF156" s="228">
        <f t="shared" si="283"/>
        <v>0.50549650774369881</v>
      </c>
      <c r="AG156" s="829">
        <f>+AF156+(AC156-AB156)</f>
        <v>0.48383685897507556</v>
      </c>
      <c r="AH156" s="829">
        <f t="shared" ref="AH156:AH157" si="284">+AG156+(AD156-AC156)</f>
        <v>0.45640745677574052</v>
      </c>
      <c r="AI156" s="829">
        <f>+AH156+(AE156-AD156)/3</f>
        <v>0.45000172872705835</v>
      </c>
      <c r="AJ156" s="228"/>
      <c r="AK156" s="228"/>
      <c r="AL156" s="228"/>
      <c r="AM156" s="228"/>
      <c r="AN156" s="228"/>
      <c r="AO156" s="228"/>
      <c r="AP156" s="228"/>
      <c r="AQ156" s="228"/>
      <c r="AR156" s="228"/>
      <c r="AS156" s="228"/>
      <c r="AT156" s="228">
        <f t="shared" ref="AT156:AW158" si="285">+IFERROR(AT142/AT114,"n/a ")</f>
        <v>0.52539294187425856</v>
      </c>
      <c r="AU156" s="228">
        <f t="shared" si="285"/>
        <v>0.50223231176693151</v>
      </c>
      <c r="AV156" s="228">
        <f t="shared" si="285"/>
        <v>0.46883376750858913</v>
      </c>
      <c r="AW156" s="228">
        <f t="shared" si="285"/>
        <v>0.39130863224280649</v>
      </c>
      <c r="AX156" s="228"/>
      <c r="AY156" s="1010">
        <f t="shared" ref="AY156:AY160" si="286">+AV156</f>
        <v>0.46883376750858913</v>
      </c>
      <c r="AZ156" s="1010">
        <f t="shared" ref="AZ156:AZ160" si="287">+AW156</f>
        <v>0.39130863224280649</v>
      </c>
      <c r="BA156" s="228">
        <f t="shared" ref="BA156:BF158" si="288">+IFERROR(BA142/BA114,"n/a ")</f>
        <v>0.3603513174404015</v>
      </c>
      <c r="BB156" s="228">
        <f t="shared" si="288"/>
        <v>0.39404761904761904</v>
      </c>
      <c r="BC156" s="228">
        <f t="shared" si="288"/>
        <v>0.40355187723608776</v>
      </c>
      <c r="BD156" s="228">
        <f t="shared" si="288"/>
        <v>0.45165538347398682</v>
      </c>
      <c r="BE156" s="228">
        <f t="shared" si="288"/>
        <v>0.46851524524966859</v>
      </c>
      <c r="BF156" s="228">
        <f t="shared" si="288"/>
        <v>0.4738895618430391</v>
      </c>
    </row>
    <row r="157" spans="2:65" s="3" customFormat="1">
      <c r="B157" s="884" t="str">
        <f>+B143</f>
        <v>Intelligent Cloud</v>
      </c>
      <c r="H157" s="228">
        <f t="shared" ref="H157:AF157" si="289">+IFERROR(H143/H115,"n/a ")</f>
        <v>0.29145481384287353</v>
      </c>
      <c r="I157" s="228">
        <f t="shared" si="289"/>
        <v>0.3390056229653744</v>
      </c>
      <c r="J157" s="228">
        <f t="shared" si="289"/>
        <v>0.31916790490341751</v>
      </c>
      <c r="K157" s="228">
        <f t="shared" si="289"/>
        <v>0.37215545896190233</v>
      </c>
      <c r="L157" s="228">
        <f t="shared" si="289"/>
        <v>0.30872580179138975</v>
      </c>
      <c r="M157" s="228">
        <f t="shared" si="289"/>
        <v>0.36330981398332263</v>
      </c>
      <c r="N157" s="228">
        <f t="shared" si="289"/>
        <v>0.33611955420466061</v>
      </c>
      <c r="O157" s="228">
        <f t="shared" si="289"/>
        <v>0.40610035394545074</v>
      </c>
      <c r="P157" s="228">
        <f t="shared" si="289"/>
        <v>0.34212676549550602</v>
      </c>
      <c r="Q157" s="228">
        <f t="shared" si="289"/>
        <v>0.34964811260396672</v>
      </c>
      <c r="R157" s="228">
        <f t="shared" si="289"/>
        <v>0.33246968597782156</v>
      </c>
      <c r="S157" s="228">
        <f t="shared" si="289"/>
        <v>0.39522429988587482</v>
      </c>
      <c r="T157" s="228">
        <f t="shared" si="289"/>
        <v>0.35859843245735362</v>
      </c>
      <c r="U157" s="228">
        <f t="shared" si="289"/>
        <v>0.38175077934114077</v>
      </c>
      <c r="V157" s="228">
        <f t="shared" si="289"/>
        <v>0.37130526830062699</v>
      </c>
      <c r="W157" s="228">
        <f t="shared" si="289"/>
        <v>0.39967092962381273</v>
      </c>
      <c r="X157" s="228">
        <f t="shared" si="289"/>
        <v>0.41752656707223162</v>
      </c>
      <c r="Y157" s="228">
        <f t="shared" si="289"/>
        <v>0.44462708033696324</v>
      </c>
      <c r="Z157" s="228">
        <f t="shared" si="289"/>
        <v>0.42499007805265249</v>
      </c>
      <c r="AA157" s="228">
        <f t="shared" si="289"/>
        <v>0.44817266187050359</v>
      </c>
      <c r="AB157" s="228">
        <f t="shared" si="289"/>
        <v>0.44576750766328699</v>
      </c>
      <c r="AC157" s="228">
        <f t="shared" si="289"/>
        <v>0.44726360015278005</v>
      </c>
      <c r="AD157" s="228">
        <f t="shared" si="289"/>
        <v>0.43467534512624006</v>
      </c>
      <c r="AE157" s="228">
        <f t="shared" si="289"/>
        <v>0.41518006600028695</v>
      </c>
      <c r="AF157" s="228">
        <f t="shared" si="289"/>
        <v>0.44172201722017218</v>
      </c>
      <c r="AG157" s="829">
        <f>+AF157+(AC157-AB157)</f>
        <v>0.44321810970966524</v>
      </c>
      <c r="AH157" s="829">
        <f t="shared" si="284"/>
        <v>0.43062985468312526</v>
      </c>
      <c r="AI157" s="829">
        <f t="shared" ref="AI157:AI158" si="290">+AH157+(AE157-AD157)/3</f>
        <v>0.42413142830780753</v>
      </c>
      <c r="AJ157" s="228"/>
      <c r="AK157" s="228"/>
      <c r="AL157" s="228"/>
      <c r="AM157" s="228"/>
      <c r="AN157" s="228"/>
      <c r="AO157" s="228"/>
      <c r="AP157" s="228"/>
      <c r="AQ157" s="228"/>
      <c r="AR157" s="228"/>
      <c r="AS157" s="228"/>
      <c r="AT157" s="228">
        <f t="shared" si="285"/>
        <v>0.38858983206809294</v>
      </c>
      <c r="AU157" s="228">
        <f t="shared" si="285"/>
        <v>0.41336706725701033</v>
      </c>
      <c r="AV157" s="228">
        <f t="shared" si="285"/>
        <v>0.37197508186247102</v>
      </c>
      <c r="AW157" s="228">
        <f t="shared" si="285"/>
        <v>0.33301749271137027</v>
      </c>
      <c r="AX157" s="228"/>
      <c r="AY157" s="904">
        <f t="shared" si="286"/>
        <v>0.37197508186247102</v>
      </c>
      <c r="AZ157" s="904">
        <f t="shared" si="287"/>
        <v>0.33301749271137027</v>
      </c>
      <c r="BA157" s="228">
        <f t="shared" si="288"/>
        <v>0.35767714702504733</v>
      </c>
      <c r="BB157" s="228">
        <f t="shared" si="288"/>
        <v>0.35706040784917276</v>
      </c>
      <c r="BC157" s="228">
        <f t="shared" si="288"/>
        <v>0.37886118347599551</v>
      </c>
      <c r="BD157" s="228">
        <f t="shared" si="288"/>
        <v>0.43485352862849536</v>
      </c>
      <c r="BE157" s="228">
        <f t="shared" si="288"/>
        <v>0.43482478638157634</v>
      </c>
      <c r="BF157" s="228">
        <f t="shared" si="288"/>
        <v>0.43446600807896041</v>
      </c>
    </row>
    <row r="158" spans="2:65" s="3" customFormat="1">
      <c r="B158" s="884" t="str">
        <f>+B144</f>
        <v>More Personal Computing</v>
      </c>
      <c r="H158" s="228">
        <f t="shared" ref="H158:AF158" si="291">+IFERROR(H144/H116,"n/a ")</f>
        <v>0.2163916977115487</v>
      </c>
      <c r="I158" s="228">
        <f t="shared" si="291"/>
        <v>0.21540920178316089</v>
      </c>
      <c r="J158" s="228">
        <f t="shared" si="291"/>
        <v>0.23190883190883191</v>
      </c>
      <c r="K158" s="228">
        <f t="shared" si="291"/>
        <v>0.23670817541959935</v>
      </c>
      <c r="L158" s="228">
        <f t="shared" si="291"/>
        <v>0.27351247600767753</v>
      </c>
      <c r="M158" s="228">
        <f t="shared" si="291"/>
        <v>0.20624486442070666</v>
      </c>
      <c r="N158" s="228">
        <f t="shared" si="291"/>
        <v>0.25441161641625493</v>
      </c>
      <c r="O158" s="228">
        <f t="shared" si="291"/>
        <v>0.27860512441032281</v>
      </c>
      <c r="P158" s="228">
        <f t="shared" si="291"/>
        <v>0.29248092313418944</v>
      </c>
      <c r="Q158" s="228">
        <f t="shared" si="291"/>
        <v>0.2281228353728931</v>
      </c>
      <c r="R158" s="228">
        <f t="shared" si="291"/>
        <v>0.29531835205992507</v>
      </c>
      <c r="S158" s="228">
        <f t="shared" si="291"/>
        <v>0.31554215799272983</v>
      </c>
      <c r="T158" s="228">
        <f t="shared" si="291"/>
        <v>0.3606395401059912</v>
      </c>
      <c r="U158" s="228">
        <f t="shared" si="291"/>
        <v>0.31625160850806144</v>
      </c>
      <c r="V158" s="228">
        <f t="shared" si="291"/>
        <v>0.32981722287896698</v>
      </c>
      <c r="W158" s="228">
        <f t="shared" si="291"/>
        <v>0.31688613477924088</v>
      </c>
      <c r="X158" s="228">
        <f t="shared" si="291"/>
        <v>0.40070892058401553</v>
      </c>
      <c r="Y158" s="228">
        <f t="shared" si="291"/>
        <v>0.34545695013887051</v>
      </c>
      <c r="Z158" s="228">
        <f t="shared" si="291"/>
        <v>0.35240871432954896</v>
      </c>
      <c r="AA158" s="228">
        <f t="shared" si="291"/>
        <v>0.34594632968905298</v>
      </c>
      <c r="AB158" s="228">
        <f t="shared" si="291"/>
        <v>0.38267988583445994</v>
      </c>
      <c r="AC158" s="228">
        <f t="shared" si="291"/>
        <v>0.3642713999427426</v>
      </c>
      <c r="AD158" s="228">
        <f t="shared" si="291"/>
        <v>0.33739669421487606</v>
      </c>
      <c r="AE158" s="228">
        <f t="shared" si="291"/>
        <v>0.32174700473669549</v>
      </c>
      <c r="AF158" s="228">
        <f t="shared" si="291"/>
        <v>0.3163066306630663</v>
      </c>
      <c r="AG158" s="829">
        <f>+AF158+(AC158-AB158)/1</f>
        <v>0.29789814477134896</v>
      </c>
      <c r="AH158" s="829">
        <f t="shared" ref="AH158" si="292">+AG158+(AD158-AC158)/1</f>
        <v>0.27102343904348242</v>
      </c>
      <c r="AI158" s="829">
        <f t="shared" si="290"/>
        <v>0.26580687588408891</v>
      </c>
      <c r="AJ158" s="228"/>
      <c r="AK158" s="228"/>
      <c r="AL158" s="228"/>
      <c r="AM158" s="228"/>
      <c r="AN158" s="228"/>
      <c r="AO158" s="228"/>
      <c r="AP158" s="228"/>
      <c r="AQ158" s="228"/>
      <c r="AR158" s="228"/>
      <c r="AS158" s="228"/>
      <c r="AT158" s="228">
        <f t="shared" si="285"/>
        <v>0.14573582943317734</v>
      </c>
      <c r="AU158" s="228">
        <f t="shared" si="285"/>
        <v>0.1173017152066306</v>
      </c>
      <c r="AV158" s="228">
        <f t="shared" si="285"/>
        <v>0.15338576445565613</v>
      </c>
      <c r="AW158" s="228">
        <f t="shared" si="285"/>
        <v>0.21375699584762592</v>
      </c>
      <c r="AX158" s="228"/>
      <c r="AY158" s="904">
        <f t="shared" si="286"/>
        <v>0.15338576445565613</v>
      </c>
      <c r="AZ158" s="904">
        <f t="shared" si="287"/>
        <v>0.21375699584762592</v>
      </c>
      <c r="BA158" s="228">
        <f t="shared" si="288"/>
        <v>0.25096981739048158</v>
      </c>
      <c r="BB158" s="228">
        <f t="shared" si="288"/>
        <v>0.28053744146352139</v>
      </c>
      <c r="BC158" s="228">
        <f t="shared" si="288"/>
        <v>0.3297548237342231</v>
      </c>
      <c r="BD158" s="228">
        <f t="shared" si="288"/>
        <v>0.359362579261642</v>
      </c>
      <c r="BE158" s="228">
        <f t="shared" si="288"/>
        <v>0.35160506244237699</v>
      </c>
      <c r="BF158" s="228">
        <f t="shared" si="288"/>
        <v>0.28791777306606359</v>
      </c>
    </row>
    <row r="159" spans="2:65" s="3" customFormat="1" ht="11.45">
      <c r="B159" s="884" t="str">
        <f>+B145</f>
        <v>Corporate and Other</v>
      </c>
      <c r="H159" s="840">
        <f t="shared" ref="H159:AF159" si="293">+IFERROR(H145/H118,"n/a ")</f>
        <v>0</v>
      </c>
      <c r="I159" s="840">
        <f t="shared" si="293"/>
        <v>0</v>
      </c>
      <c r="J159" s="840">
        <f t="shared" si="293"/>
        <v>0</v>
      </c>
      <c r="K159" s="840">
        <f t="shared" si="293"/>
        <v>-1.1950790861159929E-2</v>
      </c>
      <c r="L159" s="840">
        <f t="shared" si="293"/>
        <v>0</v>
      </c>
      <c r="M159" s="840">
        <f t="shared" si="293"/>
        <v>0</v>
      </c>
      <c r="N159" s="840">
        <f t="shared" si="293"/>
        <v>0</v>
      </c>
      <c r="O159" s="840">
        <f t="shared" si="293"/>
        <v>0</v>
      </c>
      <c r="P159" s="840">
        <f t="shared" si="293"/>
        <v>0</v>
      </c>
      <c r="Q159" s="840">
        <f t="shared" si="293"/>
        <v>0</v>
      </c>
      <c r="R159" s="840">
        <f t="shared" si="293"/>
        <v>0</v>
      </c>
      <c r="S159" s="840">
        <f t="shared" si="293"/>
        <v>0</v>
      </c>
      <c r="T159" s="840">
        <f t="shared" si="293"/>
        <v>0</v>
      </c>
      <c r="U159" s="840">
        <f t="shared" si="293"/>
        <v>0</v>
      </c>
      <c r="V159" s="840">
        <f t="shared" si="293"/>
        <v>0</v>
      </c>
      <c r="W159" s="840">
        <f t="shared" si="293"/>
        <v>0</v>
      </c>
      <c r="X159" s="840">
        <f t="shared" si="293"/>
        <v>0</v>
      </c>
      <c r="Y159" s="840">
        <f t="shared" si="293"/>
        <v>0</v>
      </c>
      <c r="Z159" s="840">
        <f t="shared" si="293"/>
        <v>0</v>
      </c>
      <c r="AA159" s="840">
        <f t="shared" si="293"/>
        <v>0</v>
      </c>
      <c r="AB159" s="840">
        <f t="shared" si="293"/>
        <v>0</v>
      </c>
      <c r="AC159" s="840">
        <f t="shared" si="293"/>
        <v>0</v>
      </c>
      <c r="AD159" s="840">
        <f t="shared" si="293"/>
        <v>0</v>
      </c>
      <c r="AE159" s="840">
        <f t="shared" si="293"/>
        <v>0</v>
      </c>
      <c r="AF159" s="840">
        <f t="shared" si="293"/>
        <v>0</v>
      </c>
      <c r="AG159" s="908">
        <v>0</v>
      </c>
      <c r="AH159" s="908">
        <f t="shared" ref="AH159:AI159" si="294">+AG159+(AD159-AC159)*1.05</f>
        <v>0</v>
      </c>
      <c r="AI159" s="908">
        <f t="shared" si="294"/>
        <v>0</v>
      </c>
      <c r="AJ159" s="840"/>
      <c r="AK159" s="840"/>
      <c r="AL159" s="840"/>
      <c r="AM159" s="840"/>
      <c r="AN159" s="840"/>
      <c r="AO159" s="840"/>
      <c r="AP159" s="840"/>
      <c r="AQ159" s="840"/>
      <c r="AR159" s="840"/>
      <c r="AS159" s="840"/>
      <c r="AT159" s="840">
        <f>+IFERROR(AT145/AT118,"n/a ")</f>
        <v>-3.8925293379245217E-3</v>
      </c>
      <c r="AU159" s="840">
        <f>+IFERROR(AU145/AU118,"n/a ")</f>
        <v>0</v>
      </c>
      <c r="AV159" s="840">
        <f>+IFERROR(AV145/AV118,"n/a ")</f>
        <v>-7.7859821847163613E-2</v>
      </c>
      <c r="AW159" s="840">
        <f>+IFERROR(AW145/AW118,"n/a ")</f>
        <v>-7.4563646470261258E-2</v>
      </c>
      <c r="AX159" s="840"/>
      <c r="AY159" s="1011">
        <f t="shared" si="286"/>
        <v>-7.7859821847163613E-2</v>
      </c>
      <c r="AZ159" s="1011">
        <f t="shared" si="287"/>
        <v>-7.4563646470261258E-2</v>
      </c>
      <c r="BA159" s="840">
        <f t="shared" ref="BA159:BF159" si="295">+IFERROR(BA145/BA118,"n/a ")</f>
        <v>0</v>
      </c>
      <c r="BB159" s="840">
        <f t="shared" si="295"/>
        <v>0</v>
      </c>
      <c r="BC159" s="840">
        <f t="shared" si="295"/>
        <v>0</v>
      </c>
      <c r="BD159" s="840">
        <f t="shared" si="295"/>
        <v>0</v>
      </c>
      <c r="BE159" s="840">
        <f t="shared" si="295"/>
        <v>0</v>
      </c>
      <c r="BF159" s="840">
        <f t="shared" si="295"/>
        <v>0</v>
      </c>
    </row>
    <row r="160" spans="2:65" s="7" customFormat="1">
      <c r="B160" s="887" t="str">
        <f>+B146</f>
        <v>Total operating income</v>
      </c>
      <c r="H160" s="842">
        <f t="shared" ref="H160:AI160" si="296">+IFERROR(H146/H118,"n/a ")</f>
        <v>0.30622947829259395</v>
      </c>
      <c r="I160" s="842">
        <f t="shared" si="296"/>
        <v>0.30608688918144505</v>
      </c>
      <c r="J160" s="842">
        <f t="shared" si="296"/>
        <v>0.28963467172152335</v>
      </c>
      <c r="K160" s="842">
        <f t="shared" si="296"/>
        <v>0.30001952743604765</v>
      </c>
      <c r="L160" s="842">
        <f t="shared" si="296"/>
        <v>0.3141250305648382</v>
      </c>
      <c r="M160" s="842">
        <f t="shared" si="296"/>
        <v>0.30012448993706342</v>
      </c>
      <c r="N160" s="842">
        <f t="shared" si="296"/>
        <v>0.30918378761325926</v>
      </c>
      <c r="O160" s="842">
        <f t="shared" si="296"/>
        <v>0.3449891972743892</v>
      </c>
      <c r="P160" s="842">
        <f t="shared" si="296"/>
        <v>0.34228441754916794</v>
      </c>
      <c r="Q160" s="842">
        <f t="shared" si="296"/>
        <v>0.3159126605278556</v>
      </c>
      <c r="R160" s="842">
        <f t="shared" si="296"/>
        <v>0.3382617513329626</v>
      </c>
      <c r="S160" s="842">
        <f t="shared" si="296"/>
        <v>0.3679152949550672</v>
      </c>
      <c r="T160" s="842">
        <f t="shared" si="296"/>
        <v>0.38378460142187265</v>
      </c>
      <c r="U160" s="842">
        <f t="shared" si="296"/>
        <v>0.37638866309001245</v>
      </c>
      <c r="V160" s="842">
        <f t="shared" si="296"/>
        <v>0.37049199051997372</v>
      </c>
      <c r="W160" s="842">
        <f t="shared" si="296"/>
        <v>0.35250966266137301</v>
      </c>
      <c r="X160" s="842">
        <f t="shared" si="296"/>
        <v>0.42730257845723207</v>
      </c>
      <c r="Y160" s="842">
        <f t="shared" si="296"/>
        <v>0.41547497446373849</v>
      </c>
      <c r="Z160" s="842">
        <f t="shared" si="296"/>
        <v>0.40876612477820939</v>
      </c>
      <c r="AA160" s="842">
        <f t="shared" si="296"/>
        <v>0.41374154966198645</v>
      </c>
      <c r="AB160" s="842">
        <f t="shared" si="296"/>
        <v>0.44658737339188381</v>
      </c>
      <c r="AC160" s="842">
        <f t="shared" si="296"/>
        <v>0.43007655428394681</v>
      </c>
      <c r="AD160" s="842">
        <f t="shared" si="296"/>
        <v>0.41256077795786061</v>
      </c>
      <c r="AE160" s="842">
        <f t="shared" si="296"/>
        <v>0.3959124650535043</v>
      </c>
      <c r="AF160" s="842">
        <f t="shared" si="296"/>
        <v>0.42931247755476637</v>
      </c>
      <c r="AG160" s="842">
        <f t="shared" si="296"/>
        <v>0.41576508625761166</v>
      </c>
      <c r="AH160" s="842">
        <f t="shared" si="296"/>
        <v>0.400784562589513</v>
      </c>
      <c r="AI160" s="842">
        <f t="shared" si="296"/>
        <v>0.3907500947808078</v>
      </c>
      <c r="AJ160" s="842"/>
      <c r="AK160" s="842"/>
      <c r="AL160" s="842"/>
      <c r="AM160" s="842"/>
      <c r="AN160" s="842"/>
      <c r="AO160" s="842"/>
      <c r="AP160" s="842"/>
      <c r="AQ160" s="842"/>
      <c r="AR160" s="842"/>
      <c r="AS160" s="842"/>
      <c r="AT160" s="842">
        <f>+IFERROR(AT146/AT118,"n/a ")</f>
        <v>0.32114518673776099</v>
      </c>
      <c r="AU160" s="842">
        <f>+IFERROR(AU146/AU118,"n/a ")</f>
        <v>0.30104723231459712</v>
      </c>
      <c r="AV160" s="842">
        <f>+IFERROR(AV146/AV118,"n/a ")</f>
        <v>0.24955461790904829</v>
      </c>
      <c r="AW160" s="842">
        <f>+IFERROR(AW146/AW118,"n/a ")</f>
        <v>0.25160644802668147</v>
      </c>
      <c r="AX160" s="842"/>
      <c r="AY160" s="1012">
        <f t="shared" si="286"/>
        <v>0.24955461790904829</v>
      </c>
      <c r="AZ160" s="1012">
        <f t="shared" si="287"/>
        <v>0.25160644802668147</v>
      </c>
      <c r="BA160" s="842">
        <f t="shared" ref="BA160:BF160" si="297">+IFERROR(BA146/BA118,"n/a ")</f>
        <v>0.31766944545125048</v>
      </c>
      <c r="BB160" s="842">
        <f t="shared" si="297"/>
        <v>0.3413698020549415</v>
      </c>
      <c r="BC160" s="842">
        <f t="shared" si="297"/>
        <v>0.37030381428521486</v>
      </c>
      <c r="BD160" s="842">
        <f t="shared" si="297"/>
        <v>0.41594878872971303</v>
      </c>
      <c r="BE160" s="842">
        <f t="shared" si="297"/>
        <v>0.4205527815604983</v>
      </c>
      <c r="BF160" s="842">
        <f t="shared" si="297"/>
        <v>0.4087447800188268</v>
      </c>
    </row>
    <row r="161" spans="2:59">
      <c r="AC161" s="909"/>
      <c r="AD161" s="909"/>
      <c r="AE161" s="909"/>
      <c r="AF161" s="909"/>
      <c r="AG161" s="909"/>
      <c r="AH161" s="909"/>
      <c r="AI161" s="909"/>
    </row>
    <row r="162" spans="2:59" ht="10.5">
      <c r="B162" s="5" t="s">
        <v>355</v>
      </c>
      <c r="C162" s="4"/>
    </row>
    <row r="163" spans="2:59">
      <c r="B163" s="19"/>
    </row>
    <row r="164" spans="2:59" ht="10.5">
      <c r="B164" s="45" t="s">
        <v>86</v>
      </c>
    </row>
    <row r="165" spans="2:59" ht="13.5">
      <c r="B165" t="s">
        <v>356</v>
      </c>
      <c r="H165" s="903"/>
      <c r="I165" s="821"/>
      <c r="J165" s="31"/>
      <c r="K165" s="31"/>
      <c r="L165" s="879">
        <v>5800</v>
      </c>
      <c r="M165" s="879">
        <v>6100</v>
      </c>
      <c r="N165" s="879">
        <v>6800</v>
      </c>
      <c r="O165" s="879">
        <v>7900</v>
      </c>
      <c r="P165" s="879">
        <v>8500</v>
      </c>
      <c r="Q165" s="879">
        <v>9000</v>
      </c>
      <c r="R165" s="879">
        <v>9600</v>
      </c>
      <c r="S165" s="879">
        <v>11000</v>
      </c>
      <c r="T165" s="879">
        <v>11600</v>
      </c>
      <c r="U165" s="879">
        <v>12500</v>
      </c>
      <c r="V165" s="879">
        <v>13300</v>
      </c>
      <c r="W165" s="879">
        <v>14300</v>
      </c>
      <c r="X165" s="879">
        <v>15200</v>
      </c>
      <c r="Y165" s="879">
        <v>16700</v>
      </c>
      <c r="Z165" s="879">
        <v>17700</v>
      </c>
      <c r="AA165" s="879">
        <v>19500</v>
      </c>
      <c r="AB165" s="879">
        <v>20700</v>
      </c>
      <c r="AC165" s="879">
        <v>22100</v>
      </c>
      <c r="AD165" s="879">
        <v>23400</v>
      </c>
      <c r="AE165" s="879">
        <v>25100</v>
      </c>
      <c r="AF165" s="879">
        <v>25700</v>
      </c>
      <c r="AG165" s="879"/>
      <c r="AH165" s="879"/>
      <c r="AI165" s="879"/>
      <c r="AT165" s="879">
        <v>2800</v>
      </c>
      <c r="AU165" s="879">
        <v>5800</v>
      </c>
      <c r="AV165" s="879">
        <v>9500</v>
      </c>
      <c r="AW165" s="879">
        <v>14900</v>
      </c>
      <c r="AX165" s="879"/>
      <c r="AY165" s="1014"/>
      <c r="AZ165" s="1014"/>
      <c r="BA165" s="880">
        <f>+SUM(L165:O165)</f>
        <v>26600</v>
      </c>
      <c r="BB165" s="880">
        <v>38100</v>
      </c>
      <c r="BC165" s="880">
        <f>SUM(T165:W165)</f>
        <v>51700</v>
      </c>
      <c r="BD165" s="880">
        <f>SUM(X165:AA165)</f>
        <v>69100</v>
      </c>
      <c r="BE165" s="880">
        <f>SUM(AB165:AE165)</f>
        <v>91300</v>
      </c>
      <c r="BF165" s="8"/>
      <c r="BG165" s="8"/>
    </row>
    <row r="166" spans="2:59" s="852" customFormat="1">
      <c r="B166" t="s">
        <v>357</v>
      </c>
      <c r="H166" s="853"/>
      <c r="I166" s="853"/>
      <c r="J166" s="853"/>
      <c r="K166" s="853"/>
      <c r="L166" s="853">
        <f t="shared" ref="L166:O166" si="298">+L167-L165</f>
        <v>18738</v>
      </c>
      <c r="M166" s="853">
        <f t="shared" si="298"/>
        <v>22818</v>
      </c>
      <c r="N166" s="853">
        <f t="shared" si="298"/>
        <v>20019</v>
      </c>
      <c r="O166" s="853">
        <f t="shared" si="298"/>
        <v>22185</v>
      </c>
      <c r="P166" s="853">
        <f>+P167-P165</f>
        <v>20584</v>
      </c>
      <c r="Q166" s="853">
        <f t="shared" ref="Q166:AF166" si="299">+Q167-Q165</f>
        <v>23471</v>
      </c>
      <c r="R166" s="853">
        <f t="shared" si="299"/>
        <v>20971</v>
      </c>
      <c r="S166" s="853">
        <f t="shared" si="299"/>
        <v>22717</v>
      </c>
      <c r="T166" s="853">
        <f t="shared" si="299"/>
        <v>21455</v>
      </c>
      <c r="U166" s="853">
        <f t="shared" si="299"/>
        <v>24406</v>
      </c>
      <c r="V166" s="853">
        <f t="shared" si="299"/>
        <v>21721</v>
      </c>
      <c r="W166" s="853">
        <f t="shared" si="299"/>
        <v>23733</v>
      </c>
      <c r="X166" s="853">
        <f t="shared" si="299"/>
        <v>21954</v>
      </c>
      <c r="Y166" s="853">
        <f t="shared" si="299"/>
        <v>26376</v>
      </c>
      <c r="Z166" s="853">
        <f t="shared" si="299"/>
        <v>24006</v>
      </c>
      <c r="AA166" s="853">
        <f t="shared" si="299"/>
        <v>26652</v>
      </c>
      <c r="AB166" s="853">
        <f t="shared" si="299"/>
        <v>24617</v>
      </c>
      <c r="AC166" s="853">
        <f t="shared" si="299"/>
        <v>29628</v>
      </c>
      <c r="AD166" s="853">
        <f t="shared" si="299"/>
        <v>25960</v>
      </c>
      <c r="AE166" s="853">
        <f t="shared" si="299"/>
        <v>26765</v>
      </c>
      <c r="AF166" s="853">
        <f t="shared" si="299"/>
        <v>24422</v>
      </c>
      <c r="AG166" s="853"/>
      <c r="AH166" s="853"/>
      <c r="AI166" s="853"/>
      <c r="AJ166" s="1001"/>
      <c r="AK166" s="1001"/>
      <c r="AL166" s="1001"/>
      <c r="AM166" s="1001"/>
      <c r="AN166" s="1001"/>
      <c r="AO166" s="1001"/>
      <c r="AP166" s="1001"/>
      <c r="AQ166" s="1001"/>
      <c r="AR166" s="1001"/>
      <c r="AS166" s="1001"/>
      <c r="AT166" s="1001">
        <f t="shared" ref="AT166:AW166" si="300">+AT167-AT165</f>
        <v>84033</v>
      </c>
      <c r="AU166" s="1001">
        <f t="shared" si="300"/>
        <v>87780</v>
      </c>
      <c r="AV166" s="1001">
        <f t="shared" si="300"/>
        <v>75820</v>
      </c>
      <c r="AW166" s="1001">
        <f t="shared" si="300"/>
        <v>75050</v>
      </c>
      <c r="AX166" s="1001"/>
      <c r="AY166" s="1015"/>
      <c r="AZ166" s="1015"/>
      <c r="BA166" s="853">
        <f>+BA167-BA165</f>
        <v>83760</v>
      </c>
      <c r="BB166" s="853">
        <f t="shared" ref="BB166:BE166" si="301">+BB167-BB165</f>
        <v>87743</v>
      </c>
      <c r="BC166" s="1000">
        <f t="shared" si="301"/>
        <v>91315</v>
      </c>
      <c r="BD166" s="1000">
        <f t="shared" si="301"/>
        <v>98988</v>
      </c>
      <c r="BE166" s="1000">
        <f t="shared" si="301"/>
        <v>106970</v>
      </c>
      <c r="BF166" s="853"/>
    </row>
    <row r="167" spans="2:59" s="1" customFormat="1" ht="10.5">
      <c r="B167" s="837" t="s">
        <v>341</v>
      </c>
      <c r="D167" s="838"/>
      <c r="E167" s="838"/>
      <c r="F167" s="838"/>
      <c r="G167" s="838"/>
      <c r="H167" s="838"/>
      <c r="I167" s="838"/>
      <c r="J167" s="838"/>
      <c r="K167" s="838"/>
      <c r="L167" s="838">
        <f t="shared" ref="L167:AF167" si="302">+L118</f>
        <v>24538</v>
      </c>
      <c r="M167" s="838">
        <f t="shared" si="302"/>
        <v>28918</v>
      </c>
      <c r="N167" s="838">
        <f t="shared" si="302"/>
        <v>26819</v>
      </c>
      <c r="O167" s="838">
        <f t="shared" si="302"/>
        <v>30085</v>
      </c>
      <c r="P167" s="838">
        <f t="shared" si="302"/>
        <v>29084</v>
      </c>
      <c r="Q167" s="838">
        <f t="shared" si="302"/>
        <v>32471</v>
      </c>
      <c r="R167" s="838">
        <f t="shared" si="302"/>
        <v>30571</v>
      </c>
      <c r="S167" s="838">
        <f t="shared" si="302"/>
        <v>33717</v>
      </c>
      <c r="T167" s="838">
        <f t="shared" si="302"/>
        <v>33055</v>
      </c>
      <c r="U167" s="838">
        <f t="shared" si="302"/>
        <v>36906</v>
      </c>
      <c r="V167" s="838">
        <f t="shared" si="302"/>
        <v>35021</v>
      </c>
      <c r="W167" s="838">
        <f t="shared" si="302"/>
        <v>38033</v>
      </c>
      <c r="X167" s="838">
        <f t="shared" si="302"/>
        <v>37154</v>
      </c>
      <c r="Y167" s="838">
        <f t="shared" si="302"/>
        <v>43076</v>
      </c>
      <c r="Z167" s="838">
        <f t="shared" si="302"/>
        <v>41706</v>
      </c>
      <c r="AA167" s="838">
        <f t="shared" si="302"/>
        <v>46152</v>
      </c>
      <c r="AB167" s="838">
        <f t="shared" si="302"/>
        <v>45317</v>
      </c>
      <c r="AC167" s="838">
        <f t="shared" si="302"/>
        <v>51728</v>
      </c>
      <c r="AD167" s="838">
        <f t="shared" si="302"/>
        <v>49360</v>
      </c>
      <c r="AE167" s="838">
        <f t="shared" si="302"/>
        <v>51865</v>
      </c>
      <c r="AF167" s="838">
        <f t="shared" si="302"/>
        <v>50122</v>
      </c>
      <c r="AG167" s="838"/>
      <c r="AH167" s="838"/>
      <c r="AI167" s="838"/>
      <c r="AJ167" s="838"/>
      <c r="AK167" s="838">
        <f t="shared" ref="AK167:AS167" si="303">+AK12</f>
        <v>39788</v>
      </c>
      <c r="AL167" s="838">
        <f t="shared" si="303"/>
        <v>44282</v>
      </c>
      <c r="AM167" s="838">
        <f t="shared" si="303"/>
        <v>51122</v>
      </c>
      <c r="AN167" s="838">
        <f t="shared" si="303"/>
        <v>60420</v>
      </c>
      <c r="AO167" s="838">
        <f t="shared" si="303"/>
        <v>58437</v>
      </c>
      <c r="AP167" s="838">
        <f t="shared" si="303"/>
        <v>62484</v>
      </c>
      <c r="AQ167" s="838">
        <f t="shared" si="303"/>
        <v>69943</v>
      </c>
      <c r="AR167" s="838">
        <f t="shared" si="303"/>
        <v>73723</v>
      </c>
      <c r="AS167" s="838">
        <f t="shared" si="303"/>
        <v>77849</v>
      </c>
      <c r="AT167" s="838">
        <f>+AT12</f>
        <v>86833</v>
      </c>
      <c r="AU167" s="838">
        <f>+AU118</f>
        <v>93580</v>
      </c>
      <c r="AV167" s="838">
        <f>+AV118</f>
        <v>85320</v>
      </c>
      <c r="AW167" s="838">
        <f>+AW118</f>
        <v>89950</v>
      </c>
      <c r="AX167" s="838"/>
      <c r="AY167" s="838">
        <f t="shared" ref="AY167:BE167" si="304">+AY118</f>
        <v>91154</v>
      </c>
      <c r="AZ167" s="838">
        <f t="shared" si="304"/>
        <v>96571</v>
      </c>
      <c r="BA167" s="838">
        <f t="shared" si="304"/>
        <v>110360</v>
      </c>
      <c r="BB167" s="838">
        <f t="shared" si="304"/>
        <v>125843</v>
      </c>
      <c r="BC167" s="838">
        <f t="shared" si="304"/>
        <v>143015</v>
      </c>
      <c r="BD167" s="838">
        <f t="shared" si="304"/>
        <v>168088</v>
      </c>
      <c r="BE167" s="838">
        <f t="shared" si="304"/>
        <v>198270</v>
      </c>
      <c r="BF167" s="838"/>
    </row>
    <row r="168" spans="2:59">
      <c r="B168" s="19"/>
    </row>
    <row r="169" spans="2:59" s="3" customFormat="1">
      <c r="B169" s="883" t="s">
        <v>113</v>
      </c>
    </row>
    <row r="170" spans="2:59" s="3" customFormat="1">
      <c r="B170" s="884" t="str">
        <f>+B165</f>
        <v>Cloud</v>
      </c>
      <c r="L170" s="228"/>
      <c r="M170" s="228"/>
      <c r="N170" s="228"/>
      <c r="O170" s="228"/>
      <c r="P170" s="228">
        <f t="shared" ref="P170:AF172" si="305">+IFERROR(P165/L165-1,"NA ")</f>
        <v>0.46551724137931028</v>
      </c>
      <c r="Q170" s="228">
        <f t="shared" si="305"/>
        <v>0.47540983606557385</v>
      </c>
      <c r="R170" s="228">
        <f t="shared" si="305"/>
        <v>0.41176470588235303</v>
      </c>
      <c r="S170" s="228">
        <f t="shared" si="305"/>
        <v>0.39240506329113933</v>
      </c>
      <c r="T170" s="228">
        <f t="shared" si="305"/>
        <v>0.36470588235294121</v>
      </c>
      <c r="U170" s="228">
        <f t="shared" si="305"/>
        <v>0.38888888888888884</v>
      </c>
      <c r="V170" s="228">
        <f t="shared" si="305"/>
        <v>0.38541666666666674</v>
      </c>
      <c r="W170" s="228">
        <f t="shared" si="305"/>
        <v>0.30000000000000004</v>
      </c>
      <c r="X170" s="228">
        <f t="shared" si="305"/>
        <v>0.31034482758620685</v>
      </c>
      <c r="Y170" s="228">
        <f t="shared" si="305"/>
        <v>0.33600000000000008</v>
      </c>
      <c r="Z170" s="228">
        <f t="shared" si="305"/>
        <v>0.33082706766917291</v>
      </c>
      <c r="AA170" s="228">
        <f t="shared" si="305"/>
        <v>0.36363636363636354</v>
      </c>
      <c r="AB170" s="228">
        <f t="shared" si="305"/>
        <v>0.36184210526315796</v>
      </c>
      <c r="AC170" s="228">
        <f t="shared" si="305"/>
        <v>0.32335329341317376</v>
      </c>
      <c r="AD170" s="228">
        <f t="shared" si="305"/>
        <v>0.32203389830508478</v>
      </c>
      <c r="AE170" s="228">
        <f t="shared" si="305"/>
        <v>0.28717948717948727</v>
      </c>
      <c r="AF170" s="228">
        <f t="shared" si="305"/>
        <v>0.24154589371980673</v>
      </c>
      <c r="AG170" s="228"/>
      <c r="AH170" s="228"/>
      <c r="AI170" s="228"/>
      <c r="AJ170" s="228"/>
      <c r="AK170" s="228"/>
      <c r="AL170" s="228"/>
      <c r="AM170" s="228"/>
      <c r="AN170" s="228"/>
      <c r="AO170" s="228"/>
      <c r="AP170" s="228"/>
      <c r="AQ170" s="228"/>
      <c r="AR170" s="228"/>
      <c r="AS170" s="228"/>
      <c r="AT170" s="228"/>
      <c r="AU170" s="228">
        <f t="shared" ref="AU170:AW170" si="306">+IFERROR(AU165/AT165-1,"n/a ")</f>
        <v>1.0714285714285716</v>
      </c>
      <c r="AV170" s="228">
        <f t="shared" si="306"/>
        <v>0.63793103448275867</v>
      </c>
      <c r="AW170" s="228">
        <f t="shared" si="306"/>
        <v>0.56842105263157894</v>
      </c>
      <c r="AX170" s="228"/>
      <c r="AY170" s="904">
        <f t="shared" ref="AY170" si="307">+AV170</f>
        <v>0.63793103448275867</v>
      </c>
      <c r="AZ170" s="904">
        <f t="shared" ref="AZ170" si="308">+AW170</f>
        <v>0.56842105263157894</v>
      </c>
      <c r="BA170" s="228" t="str">
        <f t="shared" ref="BA170:BE172" si="309">+IFERROR(BA165/AZ165-1,"NA ")</f>
        <v xml:space="preserve">NA </v>
      </c>
      <c r="BB170" s="228">
        <f t="shared" si="309"/>
        <v>0.43233082706766912</v>
      </c>
      <c r="BC170" s="228">
        <f t="shared" si="309"/>
        <v>0.35695538057742793</v>
      </c>
      <c r="BD170" s="228">
        <f t="shared" si="309"/>
        <v>0.33655705996131524</v>
      </c>
      <c r="BE170" s="228">
        <f t="shared" si="309"/>
        <v>0.32127351664254711</v>
      </c>
      <c r="BF170" s="228"/>
    </row>
    <row r="171" spans="2:59" s="3" customFormat="1" ht="11.45">
      <c r="B171" s="884" t="str">
        <f t="shared" ref="B171:B172" si="310">+B166</f>
        <v>Non-Cloud</v>
      </c>
      <c r="L171" s="840"/>
      <c r="M171" s="840"/>
      <c r="N171" s="840"/>
      <c r="O171" s="840"/>
      <c r="P171" s="840">
        <f t="shared" si="305"/>
        <v>9.8516383818977538E-2</v>
      </c>
      <c r="Q171" s="840">
        <f t="shared" si="305"/>
        <v>2.8617757910421648E-2</v>
      </c>
      <c r="R171" s="840">
        <f t="shared" si="305"/>
        <v>4.7554822918227657E-2</v>
      </c>
      <c r="S171" s="840">
        <f t="shared" si="305"/>
        <v>2.3980166779355327E-2</v>
      </c>
      <c r="T171" s="840">
        <f t="shared" si="305"/>
        <v>4.2314418966187262E-2</v>
      </c>
      <c r="U171" s="840">
        <f t="shared" si="305"/>
        <v>3.9836393847727081E-2</v>
      </c>
      <c r="V171" s="840">
        <f t="shared" si="305"/>
        <v>3.5763673644556793E-2</v>
      </c>
      <c r="W171" s="840">
        <f t="shared" si="305"/>
        <v>4.4724215345335994E-2</v>
      </c>
      <c r="X171" s="840">
        <f t="shared" si="305"/>
        <v>2.3257981822419005E-2</v>
      </c>
      <c r="Y171" s="840">
        <f t="shared" si="305"/>
        <v>8.071785626485295E-2</v>
      </c>
      <c r="Z171" s="840">
        <f t="shared" si="305"/>
        <v>0.10519773491091566</v>
      </c>
      <c r="AA171" s="840">
        <f t="shared" si="305"/>
        <v>0.12299330046770329</v>
      </c>
      <c r="AB171" s="840">
        <f t="shared" si="305"/>
        <v>0.12129907989432454</v>
      </c>
      <c r="AC171" s="840">
        <f t="shared" si="305"/>
        <v>0.12329390354868064</v>
      </c>
      <c r="AD171" s="840">
        <f t="shared" si="305"/>
        <v>8.139631758726984E-2</v>
      </c>
      <c r="AE171" s="840">
        <f t="shared" si="305"/>
        <v>4.2398319075491742E-3</v>
      </c>
      <c r="AF171" s="840">
        <f t="shared" si="305"/>
        <v>-7.9213551610675115E-3</v>
      </c>
      <c r="AG171" s="840"/>
      <c r="AH171" s="840"/>
      <c r="AI171" s="840"/>
      <c r="AJ171" s="840"/>
      <c r="AK171" s="840"/>
      <c r="AL171" s="840"/>
      <c r="AM171" s="840"/>
      <c r="AN171" s="840"/>
      <c r="AO171" s="840"/>
      <c r="AP171" s="840"/>
      <c r="AQ171" s="840"/>
      <c r="AR171" s="840"/>
      <c r="AS171" s="840"/>
      <c r="AT171" s="840"/>
      <c r="AU171" s="840">
        <f t="shared" ref="AU171:AV171" si="311">+IFERROR(AU166/AT166-1,"n/a ")</f>
        <v>4.458962550426615E-2</v>
      </c>
      <c r="AV171" s="840">
        <f t="shared" si="311"/>
        <v>-0.13624971519708362</v>
      </c>
      <c r="AW171" s="840">
        <f>+IFERROR(AW166/AV166-1,"n/a ")</f>
        <v>-1.0155631759430239E-2</v>
      </c>
      <c r="AX171" s="840"/>
      <c r="AY171" s="1011">
        <f t="shared" ref="AY171:AY172" si="312">+AV171</f>
        <v>-0.13624971519708362</v>
      </c>
      <c r="AZ171" s="1011">
        <f t="shared" ref="AZ171:AZ172" si="313">+AW171</f>
        <v>-1.0155631759430239E-2</v>
      </c>
      <c r="BA171" s="840" t="str">
        <f t="shared" si="309"/>
        <v xml:space="preserve">NA </v>
      </c>
      <c r="BB171" s="840">
        <f t="shared" si="309"/>
        <v>4.7552531041069823E-2</v>
      </c>
      <c r="BC171" s="840">
        <f t="shared" si="309"/>
        <v>4.0709800211982783E-2</v>
      </c>
      <c r="BD171" s="840">
        <f t="shared" si="309"/>
        <v>8.4027815802442118E-2</v>
      </c>
      <c r="BE171" s="840">
        <f t="shared" si="309"/>
        <v>8.0636036691316137E-2</v>
      </c>
      <c r="BF171" s="840"/>
    </row>
    <row r="172" spans="2:59" s="7" customFormat="1">
      <c r="B172" s="887" t="str">
        <f t="shared" si="310"/>
        <v>Total Revenue</v>
      </c>
      <c r="L172" s="842"/>
      <c r="M172" s="842"/>
      <c r="N172" s="842"/>
      <c r="O172" s="842"/>
      <c r="P172" s="842">
        <f t="shared" si="305"/>
        <v>0.18526367267095933</v>
      </c>
      <c r="Q172" s="842">
        <f t="shared" si="305"/>
        <v>0.12286465177398154</v>
      </c>
      <c r="R172" s="842">
        <f t="shared" si="305"/>
        <v>0.13990081658525666</v>
      </c>
      <c r="S172" s="842">
        <f t="shared" si="305"/>
        <v>0.12072461359481479</v>
      </c>
      <c r="T172" s="842">
        <f t="shared" si="305"/>
        <v>0.13653555219364599</v>
      </c>
      <c r="U172" s="842">
        <f t="shared" si="305"/>
        <v>0.13658341289150311</v>
      </c>
      <c r="V172" s="842">
        <f t="shared" si="305"/>
        <v>0.14556278826338698</v>
      </c>
      <c r="W172" s="842">
        <f t="shared" si="305"/>
        <v>0.12800664353293589</v>
      </c>
      <c r="X172" s="842">
        <f t="shared" si="305"/>
        <v>0.12400544546967174</v>
      </c>
      <c r="Y172" s="842">
        <f t="shared" si="305"/>
        <v>0.16718148810491518</v>
      </c>
      <c r="Z172" s="842">
        <f t="shared" si="305"/>
        <v>0.19088546871876866</v>
      </c>
      <c r="AA172" s="842">
        <f t="shared" si="305"/>
        <v>0.21347251071437956</v>
      </c>
      <c r="AB172" s="842">
        <f t="shared" si="305"/>
        <v>0.21970716477364483</v>
      </c>
      <c r="AC172" s="842">
        <f t="shared" si="305"/>
        <v>0.2008543040208004</v>
      </c>
      <c r="AD172" s="842">
        <f t="shared" si="305"/>
        <v>0.18352275451973332</v>
      </c>
      <c r="AE172" s="842">
        <f t="shared" si="305"/>
        <v>0.12378661813139202</v>
      </c>
      <c r="AF172" s="842">
        <f t="shared" si="305"/>
        <v>0.1060308493501334</v>
      </c>
      <c r="AG172" s="842"/>
      <c r="AH172" s="842"/>
      <c r="AI172" s="842"/>
      <c r="AJ172" s="842"/>
      <c r="AK172" s="842"/>
      <c r="AL172" s="842">
        <f t="shared" ref="AL172:AT172" si="314">+IFERROR(AL167/AK167-1,"n/a ")</f>
        <v>0.11294862772695291</v>
      </c>
      <c r="AM172" s="842">
        <f t="shared" si="314"/>
        <v>0.15446456799602548</v>
      </c>
      <c r="AN172" s="842">
        <f t="shared" si="314"/>
        <v>0.18187864324556946</v>
      </c>
      <c r="AO172" s="842">
        <f t="shared" si="314"/>
        <v>-3.2820258192651441E-2</v>
      </c>
      <c r="AP172" s="842">
        <f t="shared" si="314"/>
        <v>6.9254068484008391E-2</v>
      </c>
      <c r="AQ172" s="842">
        <f t="shared" si="314"/>
        <v>0.11937455988733126</v>
      </c>
      <c r="AR172" s="842">
        <f t="shared" si="314"/>
        <v>5.4044007263057026E-2</v>
      </c>
      <c r="AS172" s="842">
        <f t="shared" si="314"/>
        <v>5.5966252051598442E-2</v>
      </c>
      <c r="AT172" s="842">
        <f t="shared" si="314"/>
        <v>0.11540289534868786</v>
      </c>
      <c r="AU172" s="842">
        <f t="shared" ref="AU172:AW172" si="315">+IFERROR(AU167/AT167-1,"n/a ")</f>
        <v>7.7700874091647165E-2</v>
      </c>
      <c r="AV172" s="842">
        <f t="shared" si="315"/>
        <v>-8.8266723658901425E-2</v>
      </c>
      <c r="AW172" s="842">
        <f t="shared" si="315"/>
        <v>5.4266291608063844E-2</v>
      </c>
      <c r="AX172" s="842"/>
      <c r="AY172" s="1012">
        <f t="shared" si="312"/>
        <v>-8.8266723658901425E-2</v>
      </c>
      <c r="AZ172" s="1012">
        <f t="shared" si="313"/>
        <v>5.4266291608063844E-2</v>
      </c>
      <c r="BA172" s="842">
        <f t="shared" si="309"/>
        <v>0.14278613662486661</v>
      </c>
      <c r="BB172" s="842">
        <f t="shared" si="309"/>
        <v>0.14029539688292858</v>
      </c>
      <c r="BC172" s="842">
        <f t="shared" si="309"/>
        <v>0.13645574247276371</v>
      </c>
      <c r="BD172" s="842">
        <f t="shared" si="309"/>
        <v>0.17531727441177503</v>
      </c>
      <c r="BE172" s="842">
        <f t="shared" si="309"/>
        <v>0.17956070629670173</v>
      </c>
      <c r="BF172" s="842"/>
    </row>
    <row r="173" spans="2:59">
      <c r="B173" s="19"/>
    </row>
    <row r="174" spans="2:59" s="3" customFormat="1">
      <c r="B174" s="883" t="str">
        <f>+B128</f>
        <v>Constant-FX %</v>
      </c>
    </row>
    <row r="175" spans="2:59" s="3" customFormat="1">
      <c r="B175" s="884" t="str">
        <f>+B170</f>
        <v>Cloud</v>
      </c>
      <c r="L175" s="228"/>
      <c r="M175" s="228"/>
      <c r="N175" s="228"/>
      <c r="O175" s="228"/>
      <c r="P175" s="904">
        <v>0.46</v>
      </c>
      <c r="Q175" s="904">
        <v>0.47</v>
      </c>
      <c r="R175" s="904">
        <v>0.13</v>
      </c>
      <c r="S175" s="904">
        <v>0.42</v>
      </c>
      <c r="T175" s="904">
        <v>0.39</v>
      </c>
      <c r="U175" s="904">
        <v>0.41</v>
      </c>
      <c r="V175" s="904">
        <v>0.4</v>
      </c>
      <c r="W175" s="904">
        <v>0.32</v>
      </c>
      <c r="X175" s="904">
        <v>0.31</v>
      </c>
      <c r="Y175" s="904">
        <v>0.32</v>
      </c>
      <c r="Z175" s="904">
        <v>0.28999999999999998</v>
      </c>
      <c r="AA175" s="904">
        <v>0.31</v>
      </c>
      <c r="AB175" s="904">
        <v>0.34</v>
      </c>
      <c r="AC175" s="904">
        <v>0.32</v>
      </c>
      <c r="AD175" s="904">
        <v>0.35</v>
      </c>
      <c r="AE175" s="904">
        <v>0.33</v>
      </c>
      <c r="AF175" s="904">
        <v>0.31</v>
      </c>
      <c r="AG175" s="904"/>
      <c r="AH175" s="904"/>
      <c r="AI175" s="904"/>
      <c r="BA175" s="14" t="s">
        <v>271</v>
      </c>
      <c r="BB175" s="14">
        <f>+SUMPRODUCT(P175:S175,L165:O165)/BA165</f>
        <v>0.36605263157894735</v>
      </c>
      <c r="BC175" s="14">
        <f>+SUMPRODUCT(T175:W175,P165:S165)/BB165</f>
        <v>0.37703412073490816</v>
      </c>
      <c r="BD175" s="14">
        <f>+SUMPRODUCT(X175:AA175,T165:W165)/BC165</f>
        <v>0.30727272727272725</v>
      </c>
      <c r="BE175" s="14">
        <f>+SUMPRODUCT(AB175:AE175,X165:AA165)/BD165</f>
        <v>0.33490593342981184</v>
      </c>
      <c r="BF175" s="228"/>
    </row>
    <row r="176" spans="2:59" s="3" customFormat="1" ht="11.45">
      <c r="B176" s="884" t="str">
        <f t="shared" ref="B176:B177" si="316">+B171</f>
        <v>Non-Cloud</v>
      </c>
      <c r="L176" s="840"/>
      <c r="M176" s="840"/>
      <c r="N176" s="840"/>
      <c r="O176" s="840"/>
      <c r="P176" s="840">
        <f t="shared" ref="P176:AF176" si="317">+(P133*L118-P175*L165)/L166</f>
        <v>0.10048137474650441</v>
      </c>
      <c r="Q176" s="840">
        <f t="shared" si="317"/>
        <v>3.4435095100359359E-2</v>
      </c>
      <c r="R176" s="840">
        <f t="shared" si="317"/>
        <v>0.17019031919676308</v>
      </c>
      <c r="S176" s="840">
        <f t="shared" si="317"/>
        <v>4.4691458192472409E-2</v>
      </c>
      <c r="T176" s="840">
        <f t="shared" si="317"/>
        <v>5.6955888068402648E-2</v>
      </c>
      <c r="U176" s="840">
        <f t="shared" si="317"/>
        <v>5.3028418047803678E-2</v>
      </c>
      <c r="V176" s="840">
        <f t="shared" si="317"/>
        <v>4.8835534786133193E-2</v>
      </c>
      <c r="W176" s="840">
        <f t="shared" si="317"/>
        <v>6.0297517277809562E-2</v>
      </c>
      <c r="X176" s="840">
        <f t="shared" si="317"/>
        <v>1.8054556047541376E-2</v>
      </c>
      <c r="Y176" s="840">
        <f t="shared" si="317"/>
        <v>6.8428525772351062E-2</v>
      </c>
      <c r="Z176" s="840">
        <f t="shared" si="317"/>
        <v>8.3163901293678927E-2</v>
      </c>
      <c r="AA176" s="840">
        <f t="shared" si="317"/>
        <v>9.2790683857919345E-2</v>
      </c>
      <c r="AB176" s="840">
        <f t="shared" si="317"/>
        <v>0.10959275758403934</v>
      </c>
      <c r="AC176" s="840">
        <f t="shared" si="317"/>
        <v>0.12530382165605089</v>
      </c>
      <c r="AD176" s="840">
        <f t="shared" si="317"/>
        <v>9.2003524118970323E-2</v>
      </c>
      <c r="AE176" s="840">
        <f t="shared" si="317"/>
        <v>4.3572234729100996E-2</v>
      </c>
      <c r="AF176" s="840">
        <f t="shared" si="317"/>
        <v>2.8385209408132567E-2</v>
      </c>
      <c r="AG176" s="840"/>
      <c r="AH176" s="840"/>
      <c r="AI176" s="840"/>
      <c r="AJ176" s="840"/>
      <c r="AK176" s="840"/>
      <c r="AL176" s="840"/>
      <c r="AM176" s="840"/>
      <c r="AN176" s="840"/>
      <c r="AO176" s="840"/>
      <c r="AP176" s="840"/>
      <c r="AQ176" s="840"/>
      <c r="AR176" s="840"/>
      <c r="AS176" s="840"/>
      <c r="AT176" s="840"/>
      <c r="AU176" s="840"/>
      <c r="AV176" s="840"/>
      <c r="AW176" s="840"/>
      <c r="AX176" s="840"/>
      <c r="AY176" s="840"/>
      <c r="AZ176" s="840"/>
      <c r="BA176" s="840" t="s">
        <v>271</v>
      </c>
      <c r="BB176" s="840">
        <f>+SUMPRODUCT(P176:S176,L166:O166)/BA166</f>
        <v>8.4372970391595026E-2</v>
      </c>
      <c r="BC176" s="840">
        <f>+SUMPRODUCT(T176:W176,P166:S166)/BB166</f>
        <v>5.4829658206352633E-2</v>
      </c>
      <c r="BD176" s="840">
        <f>+SUMPRODUCT(X176:AA176,T166:W166)/BC166</f>
        <v>6.6429737721075396E-2</v>
      </c>
      <c r="BE176" s="840">
        <f>+SUMPRODUCT(AB176:AE176,X166:AA166)/BD166</f>
        <v>9.173775407120055E-2</v>
      </c>
      <c r="BF176" s="840"/>
    </row>
    <row r="177" spans="2:59" s="7" customFormat="1">
      <c r="B177" s="887" t="str">
        <f t="shared" si="316"/>
        <v>Total Revenue</v>
      </c>
      <c r="L177" s="842"/>
      <c r="M177" s="842"/>
      <c r="N177" s="842"/>
      <c r="O177" s="842"/>
      <c r="P177" s="842">
        <f t="shared" ref="P177:AF177" si="318">+P14</f>
        <v>0.18546010269785637</v>
      </c>
      <c r="Q177" s="842">
        <f t="shared" si="318"/>
        <v>0.12631371464139982</v>
      </c>
      <c r="R177" s="842">
        <f t="shared" si="318"/>
        <v>0.16</v>
      </c>
      <c r="S177" s="842">
        <f t="shared" si="318"/>
        <v>0.14324347681568889</v>
      </c>
      <c r="T177" s="842">
        <f t="shared" si="318"/>
        <v>0.15429033145372026</v>
      </c>
      <c r="U177" s="842">
        <f t="shared" si="318"/>
        <v>0.15197037356410337</v>
      </c>
      <c r="V177" s="842">
        <f t="shared" si="318"/>
        <v>0.15910928657878379</v>
      </c>
      <c r="W177" s="842">
        <f t="shared" si="318"/>
        <v>0.14502413322656227</v>
      </c>
      <c r="X177" s="842">
        <f t="shared" si="318"/>
        <v>0.12050704885796401</v>
      </c>
      <c r="Y177" s="842">
        <f t="shared" si="318"/>
        <v>0.15363536010404813</v>
      </c>
      <c r="Z177" s="842">
        <f t="shared" si="318"/>
        <v>0.16171448844978725</v>
      </c>
      <c r="AA177" s="842">
        <f t="shared" si="318"/>
        <v>0.17445905660873451</v>
      </c>
      <c r="AB177" s="842">
        <f t="shared" si="318"/>
        <v>0.20385421219787908</v>
      </c>
      <c r="AC177" s="842">
        <f t="shared" si="318"/>
        <v>0.20078497539232981</v>
      </c>
      <c r="AD177" s="842">
        <f t="shared" si="318"/>
        <v>0.20149706517047911</v>
      </c>
      <c r="AE177" s="842">
        <f t="shared" si="318"/>
        <v>0.16459280637892182</v>
      </c>
      <c r="AF177" s="842">
        <f t="shared" si="318"/>
        <v>0.15702183948628548</v>
      </c>
      <c r="AG177" s="842"/>
      <c r="AH177" s="842"/>
      <c r="AI177" s="842"/>
      <c r="AJ177" s="842"/>
      <c r="AK177" s="842"/>
      <c r="AL177" s="842"/>
      <c r="AM177" s="842"/>
      <c r="AN177" s="842"/>
      <c r="AO177" s="842"/>
      <c r="AP177" s="842"/>
      <c r="AQ177" s="842"/>
      <c r="AR177" s="842"/>
      <c r="AS177" s="842"/>
      <c r="AT177" s="842"/>
      <c r="AU177" s="842"/>
      <c r="AV177" s="842"/>
      <c r="AW177" s="842"/>
      <c r="AX177" s="842"/>
      <c r="AY177" s="1012"/>
      <c r="AZ177" s="1012"/>
      <c r="BA177" s="842">
        <f>+BA14</f>
        <v>0.12866916569156372</v>
      </c>
      <c r="BB177" s="842">
        <f>+BB14</f>
        <v>0.15088356288510332</v>
      </c>
      <c r="BC177" s="842">
        <f>+BC14</f>
        <v>0.15238217445818814</v>
      </c>
      <c r="BD177" s="842">
        <f>+BD14</f>
        <v>0.1534946089571024</v>
      </c>
      <c r="BE177" s="842">
        <f>+BE14</f>
        <v>0.19170277949645423</v>
      </c>
      <c r="BF177" s="842"/>
    </row>
    <row r="178" spans="2:59">
      <c r="B178" s="19"/>
    </row>
    <row r="179" spans="2:59" ht="10.5">
      <c r="B179" s="45" t="s">
        <v>276</v>
      </c>
    </row>
    <row r="180" spans="2:59" ht="13.5">
      <c r="B180" t="s">
        <v>356</v>
      </c>
      <c r="H180" s="903"/>
      <c r="I180" s="821"/>
      <c r="J180" s="31"/>
      <c r="K180" s="31"/>
      <c r="L180" s="8">
        <f t="shared" ref="L180:AF180" si="319">+L190*L165</f>
        <v>3363.9999999999995</v>
      </c>
      <c r="M180" s="8">
        <f t="shared" si="319"/>
        <v>3476.9999999999995</v>
      </c>
      <c r="N180" s="8">
        <f t="shared" si="319"/>
        <v>3943.9999999999995</v>
      </c>
      <c r="O180" s="8">
        <f t="shared" si="319"/>
        <v>4661</v>
      </c>
      <c r="P180" s="8">
        <f t="shared" si="319"/>
        <v>5270</v>
      </c>
      <c r="Q180" s="8">
        <f t="shared" si="319"/>
        <v>5580</v>
      </c>
      <c r="R180" s="8">
        <f t="shared" si="319"/>
        <v>6048</v>
      </c>
      <c r="S180" s="8">
        <f t="shared" si="319"/>
        <v>7150</v>
      </c>
      <c r="T180" s="8">
        <f t="shared" si="319"/>
        <v>7656</v>
      </c>
      <c r="U180" s="8">
        <f t="shared" si="319"/>
        <v>8375</v>
      </c>
      <c r="V180" s="8">
        <f t="shared" si="319"/>
        <v>8911</v>
      </c>
      <c r="W180" s="8">
        <f t="shared" si="319"/>
        <v>9438</v>
      </c>
      <c r="X180" s="8">
        <f t="shared" si="319"/>
        <v>10792</v>
      </c>
      <c r="Y180" s="8">
        <f t="shared" si="319"/>
        <v>11857</v>
      </c>
      <c r="Z180" s="8">
        <f t="shared" si="319"/>
        <v>12390</v>
      </c>
      <c r="AA180" s="8">
        <f t="shared" si="319"/>
        <v>13650</v>
      </c>
      <c r="AB180" s="8">
        <f t="shared" si="319"/>
        <v>14697</v>
      </c>
      <c r="AC180" s="8">
        <f t="shared" si="319"/>
        <v>15469.999999999998</v>
      </c>
      <c r="AD180" s="8">
        <f t="shared" si="319"/>
        <v>16379.999999999998</v>
      </c>
      <c r="AE180" s="8">
        <f t="shared" si="319"/>
        <v>17319</v>
      </c>
      <c r="AF180" s="8">
        <f t="shared" si="319"/>
        <v>18761</v>
      </c>
      <c r="AG180" s="8"/>
      <c r="AH180" s="8"/>
      <c r="AI180" s="8"/>
      <c r="AT180" s="8">
        <f>+AT190*AT165</f>
        <v>420</v>
      </c>
      <c r="AU180" s="8">
        <f>+AU190*AU165</f>
        <v>2552</v>
      </c>
      <c r="AV180" s="8">
        <f>+AV190*AV165</f>
        <v>4275</v>
      </c>
      <c r="AW180" s="8">
        <f>+AW190*AW165</f>
        <v>7152</v>
      </c>
      <c r="AY180" s="1016"/>
      <c r="AZ180" s="1016"/>
      <c r="BA180" s="880">
        <f>+SUM(L180:O180)</f>
        <v>15445.999999999998</v>
      </c>
      <c r="BB180" s="880">
        <f>SUM(P180:S180)</f>
        <v>24048</v>
      </c>
      <c r="BC180" s="880">
        <f>SUM(T180:W180)</f>
        <v>34380</v>
      </c>
      <c r="BD180" s="880">
        <f>SUM(X180:AA180)</f>
        <v>48689</v>
      </c>
      <c r="BE180" s="880">
        <f>SUM(AB180:AE180)</f>
        <v>63866</v>
      </c>
      <c r="BF180" s="8"/>
      <c r="BG180" s="8"/>
    </row>
    <row r="181" spans="2:59" s="953" customFormat="1" ht="11.45">
      <c r="B181" t="s">
        <v>357</v>
      </c>
      <c r="H181" s="10"/>
      <c r="I181" s="10"/>
      <c r="J181" s="10"/>
      <c r="K181" s="10"/>
      <c r="L181" s="10">
        <f t="shared" ref="L181:AF181" si="320">+L519-L180</f>
        <v>12896</v>
      </c>
      <c r="M181" s="10">
        <f t="shared" si="320"/>
        <v>14377</v>
      </c>
      <c r="N181" s="10">
        <f t="shared" si="320"/>
        <v>13606</v>
      </c>
      <c r="O181" s="10">
        <f t="shared" si="320"/>
        <v>15682</v>
      </c>
      <c r="P181" s="10">
        <f t="shared" si="320"/>
        <v>13909</v>
      </c>
      <c r="Q181" s="10">
        <f t="shared" si="320"/>
        <v>14468</v>
      </c>
      <c r="R181" s="10">
        <f t="shared" si="320"/>
        <v>14353</v>
      </c>
      <c r="S181" s="10">
        <f t="shared" si="320"/>
        <v>16155</v>
      </c>
      <c r="T181" s="10">
        <f t="shared" si="320"/>
        <v>14993</v>
      </c>
      <c r="U181" s="10">
        <f t="shared" si="320"/>
        <v>16173</v>
      </c>
      <c r="V181" s="10">
        <f t="shared" si="320"/>
        <v>15135</v>
      </c>
      <c r="W181" s="10">
        <f t="shared" si="320"/>
        <v>16256</v>
      </c>
      <c r="X181" s="10">
        <f t="shared" si="320"/>
        <v>15360</v>
      </c>
      <c r="Y181" s="10">
        <f t="shared" si="320"/>
        <v>17025</v>
      </c>
      <c r="Z181" s="10">
        <f t="shared" si="320"/>
        <v>16271</v>
      </c>
      <c r="AA181" s="10">
        <f t="shared" si="320"/>
        <v>18511</v>
      </c>
      <c r="AB181" s="10">
        <f t="shared" si="320"/>
        <v>16974</v>
      </c>
      <c r="AC181" s="10">
        <f t="shared" si="320"/>
        <v>19298</v>
      </c>
      <c r="AD181" s="10">
        <f t="shared" si="320"/>
        <v>17365</v>
      </c>
      <c r="AE181" s="10">
        <f t="shared" si="320"/>
        <v>18117</v>
      </c>
      <c r="AF181" s="10">
        <f t="shared" si="320"/>
        <v>15909</v>
      </c>
      <c r="AG181" s="10"/>
      <c r="AH181" s="10"/>
      <c r="AI181" s="10"/>
      <c r="AJ181" s="942"/>
      <c r="AK181" s="942"/>
      <c r="AL181" s="942"/>
      <c r="AM181" s="942"/>
      <c r="AN181" s="942"/>
      <c r="AO181" s="942"/>
      <c r="AP181" s="942"/>
      <c r="AQ181" s="942"/>
      <c r="AR181" s="942"/>
      <c r="AS181" s="942"/>
      <c r="AT181" s="10">
        <f>+AT519-AT180</f>
        <v>59335</v>
      </c>
      <c r="AU181" s="10">
        <f>+AU519-AU180</f>
        <v>57990</v>
      </c>
      <c r="AV181" s="10">
        <f>+AV519-AV180</f>
        <v>48265</v>
      </c>
      <c r="AW181" s="10">
        <f>+AW519-AW180</f>
        <v>48537</v>
      </c>
      <c r="AX181" s="942"/>
      <c r="AY181" s="1017"/>
      <c r="AZ181" s="1017"/>
      <c r="BA181" s="10">
        <f>+BA519-BA180</f>
        <v>56561</v>
      </c>
      <c r="BB181" s="10">
        <f>+BB519-BB180</f>
        <v>58885</v>
      </c>
      <c r="BC181" s="10">
        <f>+BC519-BC180</f>
        <v>62557</v>
      </c>
      <c r="BD181" s="10">
        <f>+BD519-BD180</f>
        <v>67167</v>
      </c>
      <c r="BE181" s="10">
        <f>+BE519-BE180</f>
        <v>71754</v>
      </c>
      <c r="BF181" s="10"/>
    </row>
    <row r="182" spans="2:59" s="1" customFormat="1" ht="10.5">
      <c r="B182" s="837" t="s">
        <v>358</v>
      </c>
      <c r="D182" s="838"/>
      <c r="E182" s="838"/>
      <c r="F182" s="838"/>
      <c r="G182" s="838"/>
      <c r="H182" s="838"/>
      <c r="I182" s="838"/>
      <c r="J182" s="838"/>
      <c r="K182" s="838"/>
      <c r="L182" s="838">
        <f>+SUM(L180:L181)</f>
        <v>16260</v>
      </c>
      <c r="M182" s="838">
        <f t="shared" ref="M182:AF182" si="321">+SUM(M180:M181)</f>
        <v>17854</v>
      </c>
      <c r="N182" s="838">
        <f t="shared" si="321"/>
        <v>17550</v>
      </c>
      <c r="O182" s="838">
        <f t="shared" si="321"/>
        <v>20343</v>
      </c>
      <c r="P182" s="838">
        <f t="shared" si="321"/>
        <v>19179</v>
      </c>
      <c r="Q182" s="838">
        <f t="shared" si="321"/>
        <v>20048</v>
      </c>
      <c r="R182" s="838">
        <f t="shared" si="321"/>
        <v>20401</v>
      </c>
      <c r="S182" s="838">
        <f t="shared" si="321"/>
        <v>23305</v>
      </c>
      <c r="T182" s="838">
        <f t="shared" si="321"/>
        <v>22649</v>
      </c>
      <c r="U182" s="838">
        <f t="shared" si="321"/>
        <v>24548</v>
      </c>
      <c r="V182" s="838">
        <f t="shared" si="321"/>
        <v>24046</v>
      </c>
      <c r="W182" s="838">
        <f t="shared" si="321"/>
        <v>25694</v>
      </c>
      <c r="X182" s="838">
        <f t="shared" si="321"/>
        <v>26152</v>
      </c>
      <c r="Y182" s="838">
        <f t="shared" si="321"/>
        <v>28882</v>
      </c>
      <c r="Z182" s="838">
        <f t="shared" si="321"/>
        <v>28661</v>
      </c>
      <c r="AA182" s="838">
        <f t="shared" si="321"/>
        <v>32161</v>
      </c>
      <c r="AB182" s="838">
        <f t="shared" si="321"/>
        <v>31671</v>
      </c>
      <c r="AC182" s="838">
        <f t="shared" si="321"/>
        <v>34768</v>
      </c>
      <c r="AD182" s="838">
        <f t="shared" si="321"/>
        <v>33745</v>
      </c>
      <c r="AE182" s="838">
        <f t="shared" si="321"/>
        <v>35436</v>
      </c>
      <c r="AF182" s="838">
        <f t="shared" si="321"/>
        <v>34670</v>
      </c>
      <c r="AG182" s="838"/>
      <c r="AH182" s="838"/>
      <c r="AI182" s="838"/>
      <c r="AJ182" s="838"/>
      <c r="AK182" s="838">
        <f t="shared" ref="AK182:AZ182" si="322">+AK519</f>
        <v>33757</v>
      </c>
      <c r="AL182" s="838">
        <f t="shared" si="322"/>
        <v>36632</v>
      </c>
      <c r="AM182" s="838">
        <f t="shared" si="322"/>
        <v>40429</v>
      </c>
      <c r="AN182" s="838">
        <f t="shared" si="322"/>
        <v>48822</v>
      </c>
      <c r="AO182" s="838">
        <f t="shared" si="322"/>
        <v>46282</v>
      </c>
      <c r="AP182" s="838">
        <f t="shared" si="322"/>
        <v>50089</v>
      </c>
      <c r="AQ182" s="838">
        <f t="shared" si="322"/>
        <v>54366</v>
      </c>
      <c r="AR182" s="838">
        <f t="shared" si="322"/>
        <v>56193</v>
      </c>
      <c r="AS182" s="838">
        <f t="shared" si="322"/>
        <v>57464</v>
      </c>
      <c r="AT182" s="838">
        <f t="shared" si="322"/>
        <v>59755</v>
      </c>
      <c r="AU182" s="838">
        <f t="shared" si="322"/>
        <v>60542</v>
      </c>
      <c r="AV182" s="838">
        <f t="shared" si="322"/>
        <v>52540</v>
      </c>
      <c r="AW182" s="838">
        <f t="shared" si="322"/>
        <v>55689</v>
      </c>
      <c r="AX182" s="838">
        <f t="shared" si="322"/>
        <v>0</v>
      </c>
      <c r="AY182" s="838">
        <f t="shared" si="322"/>
        <v>58374</v>
      </c>
      <c r="AZ182" s="838">
        <f t="shared" si="322"/>
        <v>62310</v>
      </c>
      <c r="BA182" s="838">
        <f t="shared" ref="BA182:BE182" si="323">+SUM(BA180:BA181)</f>
        <v>72007</v>
      </c>
      <c r="BB182" s="838">
        <f t="shared" si="323"/>
        <v>82933</v>
      </c>
      <c r="BC182" s="838">
        <f t="shared" si="323"/>
        <v>96937</v>
      </c>
      <c r="BD182" s="838">
        <f t="shared" si="323"/>
        <v>115856</v>
      </c>
      <c r="BE182" s="838">
        <f t="shared" si="323"/>
        <v>135620</v>
      </c>
      <c r="BF182" s="838"/>
    </row>
    <row r="183" spans="2:59">
      <c r="B183" s="19"/>
    </row>
    <row r="184" spans="2:59" s="3" customFormat="1">
      <c r="B184" s="883" t="s">
        <v>113</v>
      </c>
    </row>
    <row r="185" spans="2:59" s="3" customFormat="1">
      <c r="B185" s="884" t="str">
        <f>+B180</f>
        <v>Cloud</v>
      </c>
      <c r="L185" s="228"/>
      <c r="M185" s="228"/>
      <c r="N185" s="228"/>
      <c r="O185" s="228"/>
      <c r="P185" s="228">
        <f t="shared" ref="P185:AF187" si="324">+IFERROR(P180/L180-1,"NA ")</f>
        <v>0.5665873959571941</v>
      </c>
      <c r="Q185" s="228">
        <f t="shared" si="324"/>
        <v>0.60483175150992263</v>
      </c>
      <c r="R185" s="228">
        <f t="shared" si="324"/>
        <v>0.53346855983772845</v>
      </c>
      <c r="S185" s="228">
        <f t="shared" si="324"/>
        <v>0.53400557820210248</v>
      </c>
      <c r="T185" s="228">
        <f t="shared" si="324"/>
        <v>0.45275142314990502</v>
      </c>
      <c r="U185" s="228">
        <f t="shared" si="324"/>
        <v>0.50089605734767018</v>
      </c>
      <c r="V185" s="228">
        <f t="shared" si="324"/>
        <v>0.47337962962962954</v>
      </c>
      <c r="W185" s="228">
        <f t="shared" si="324"/>
        <v>0.32000000000000006</v>
      </c>
      <c r="X185" s="228">
        <f t="shared" si="324"/>
        <v>0.40961337513061657</v>
      </c>
      <c r="Y185" s="228">
        <f t="shared" si="324"/>
        <v>0.41576119402985068</v>
      </c>
      <c r="Z185" s="228">
        <f t="shared" si="324"/>
        <v>0.3904163393558524</v>
      </c>
      <c r="AA185" s="228">
        <f t="shared" si="324"/>
        <v>0.44628099173553726</v>
      </c>
      <c r="AB185" s="228">
        <f t="shared" si="324"/>
        <v>0.36184210526315796</v>
      </c>
      <c r="AC185" s="228">
        <f t="shared" si="324"/>
        <v>0.30471451463270616</v>
      </c>
      <c r="AD185" s="228">
        <f t="shared" si="324"/>
        <v>0.32203389830508455</v>
      </c>
      <c r="AE185" s="228">
        <f t="shared" si="324"/>
        <v>0.26879120879120877</v>
      </c>
      <c r="AF185" s="228">
        <f t="shared" si="324"/>
        <v>0.27651901748656194</v>
      </c>
      <c r="AG185" s="228"/>
      <c r="AH185" s="228"/>
      <c r="AI185" s="228"/>
      <c r="AJ185" s="228"/>
      <c r="AK185" s="228"/>
      <c r="AL185" s="228"/>
      <c r="AM185" s="228"/>
      <c r="AN185" s="228"/>
      <c r="AO185" s="228"/>
      <c r="AP185" s="228"/>
      <c r="AQ185" s="228"/>
      <c r="AR185" s="228"/>
      <c r="AS185" s="228"/>
      <c r="AT185" s="228"/>
      <c r="AU185" s="228">
        <f t="shared" ref="AU185:AW185" si="325">+IFERROR(AU180/AT180-1,"n/a ")</f>
        <v>5.0761904761904759</v>
      </c>
      <c r="AV185" s="228">
        <f t="shared" si="325"/>
        <v>0.67515673981191227</v>
      </c>
      <c r="AW185" s="228">
        <f t="shared" si="325"/>
        <v>0.67298245614035079</v>
      </c>
      <c r="AX185" s="228"/>
      <c r="AY185" s="904">
        <f t="shared" ref="AY185:AY187" si="326">+AV185</f>
        <v>0.67515673981191227</v>
      </c>
      <c r="AZ185" s="904">
        <f t="shared" ref="AZ185:AZ187" si="327">+AW185</f>
        <v>0.67298245614035079</v>
      </c>
      <c r="BA185" s="228" t="str">
        <f>+IFERROR(#REF!/#REF!-1,"NA ")</f>
        <v xml:space="preserve">NA </v>
      </c>
      <c r="BB185" s="228">
        <f t="shared" ref="BB185:BE186" si="328">+IFERROR(BB180/BA180-1,"NA ")</f>
        <v>0.55690793733005317</v>
      </c>
      <c r="BC185" s="228">
        <f t="shared" si="328"/>
        <v>0.42964071856287434</v>
      </c>
      <c r="BD185" s="228">
        <f t="shared" si="328"/>
        <v>0.41620127981384525</v>
      </c>
      <c r="BE185" s="228">
        <f t="shared" si="328"/>
        <v>0.31171311795272039</v>
      </c>
      <c r="BF185" s="228"/>
    </row>
    <row r="186" spans="2:59" s="3" customFormat="1" ht="11.45">
      <c r="B186" s="884" t="str">
        <f t="shared" ref="B186:B187" si="329">+B181</f>
        <v>Non-Cloud</v>
      </c>
      <c r="L186" s="840"/>
      <c r="M186" s="840"/>
      <c r="N186" s="840"/>
      <c r="O186" s="840"/>
      <c r="P186" s="840">
        <f t="shared" si="324"/>
        <v>7.8551488833746852E-2</v>
      </c>
      <c r="Q186" s="840">
        <f t="shared" si="324"/>
        <v>6.3295541489880591E-3</v>
      </c>
      <c r="R186" s="840">
        <f t="shared" si="324"/>
        <v>5.4902249007790616E-2</v>
      </c>
      <c r="S186" s="840">
        <f t="shared" si="324"/>
        <v>3.016196913658975E-2</v>
      </c>
      <c r="T186" s="840">
        <f t="shared" si="324"/>
        <v>7.7935149902940593E-2</v>
      </c>
      <c r="U186" s="840">
        <f t="shared" si="324"/>
        <v>0.11784628144871445</v>
      </c>
      <c r="V186" s="840">
        <f t="shared" si="324"/>
        <v>5.4483383264822605E-2</v>
      </c>
      <c r="W186" s="840">
        <f t="shared" si="324"/>
        <v>6.2519343856390908E-3</v>
      </c>
      <c r="X186" s="840">
        <f t="shared" si="324"/>
        <v>2.4478089775228362E-2</v>
      </c>
      <c r="Y186" s="840">
        <f t="shared" si="324"/>
        <v>5.2680393248005997E-2</v>
      </c>
      <c r="Z186" s="840">
        <f t="shared" si="324"/>
        <v>7.5057813016187636E-2</v>
      </c>
      <c r="AA186" s="840">
        <f t="shared" si="324"/>
        <v>0.13871801181102361</v>
      </c>
      <c r="AB186" s="840">
        <f t="shared" si="324"/>
        <v>0.10507812499999991</v>
      </c>
      <c r="AC186" s="840">
        <f t="shared" si="324"/>
        <v>0.13350954478707777</v>
      </c>
      <c r="AD186" s="840">
        <f t="shared" si="324"/>
        <v>6.7236187081310295E-2</v>
      </c>
      <c r="AE186" s="840">
        <f t="shared" si="324"/>
        <v>-2.1284641564475182E-2</v>
      </c>
      <c r="AF186" s="840">
        <f t="shared" si="324"/>
        <v>-6.2743018734535139E-2</v>
      </c>
      <c r="AG186" s="840"/>
      <c r="AH186" s="840"/>
      <c r="AI186" s="840"/>
      <c r="AJ186" s="840"/>
      <c r="AK186" s="840"/>
      <c r="AL186" s="840"/>
      <c r="AM186" s="840"/>
      <c r="AN186" s="840"/>
      <c r="AO186" s="840"/>
      <c r="AP186" s="840"/>
      <c r="AQ186" s="840"/>
      <c r="AR186" s="840"/>
      <c r="AS186" s="840"/>
      <c r="AT186" s="840"/>
      <c r="AU186" s="840">
        <f t="shared" ref="AU186:AW186" si="330">+IFERROR(AU181/AT181-1,"n/a ")</f>
        <v>-2.2667902587006017E-2</v>
      </c>
      <c r="AV186" s="840">
        <f t="shared" si="330"/>
        <v>-0.16770132781514058</v>
      </c>
      <c r="AW186" s="840">
        <f t="shared" si="330"/>
        <v>5.6355537138712553E-3</v>
      </c>
      <c r="AX186" s="840"/>
      <c r="AY186" s="1011">
        <f t="shared" si="326"/>
        <v>-0.16770132781514058</v>
      </c>
      <c r="AZ186" s="1011">
        <f t="shared" si="327"/>
        <v>5.6355537138712553E-3</v>
      </c>
      <c r="BA186" s="840" t="str">
        <f>+IFERROR(#REF!/#REF!-1,"NA ")</f>
        <v xml:space="preserve">NA </v>
      </c>
      <c r="BB186" s="840">
        <f t="shared" si="328"/>
        <v>4.1088382454341321E-2</v>
      </c>
      <c r="BC186" s="840">
        <f t="shared" si="328"/>
        <v>6.2358835017406911E-2</v>
      </c>
      <c r="BD186" s="840">
        <f t="shared" si="328"/>
        <v>7.3692792173537747E-2</v>
      </c>
      <c r="BE186" s="840">
        <f t="shared" si="328"/>
        <v>6.8292465049801132E-2</v>
      </c>
      <c r="BF186" s="840"/>
    </row>
    <row r="187" spans="2:59" s="7" customFormat="1">
      <c r="B187" s="887" t="str">
        <f t="shared" si="329"/>
        <v>Total Gross Profit</v>
      </c>
      <c r="L187" s="842"/>
      <c r="M187" s="842"/>
      <c r="N187" s="842"/>
      <c r="O187" s="842"/>
      <c r="P187" s="842">
        <f t="shared" si="324"/>
        <v>0.17952029520295198</v>
      </c>
      <c r="Q187" s="842">
        <f t="shared" si="324"/>
        <v>0.12288562787050528</v>
      </c>
      <c r="R187" s="842">
        <f t="shared" si="324"/>
        <v>0.16245014245014255</v>
      </c>
      <c r="S187" s="842">
        <f t="shared" si="324"/>
        <v>0.14560291009192361</v>
      </c>
      <c r="T187" s="842">
        <f t="shared" si="324"/>
        <v>0.1809270556337661</v>
      </c>
      <c r="U187" s="842">
        <f t="shared" si="324"/>
        <v>0.22446129289704708</v>
      </c>
      <c r="V187" s="842">
        <f t="shared" si="324"/>
        <v>0.17866771236704082</v>
      </c>
      <c r="W187" s="842">
        <f t="shared" si="324"/>
        <v>0.10251019094614899</v>
      </c>
      <c r="X187" s="842">
        <f t="shared" si="324"/>
        <v>0.15466466510662724</v>
      </c>
      <c r="Y187" s="842">
        <f t="shared" si="324"/>
        <v>0.17655206126772049</v>
      </c>
      <c r="Z187" s="842">
        <f t="shared" si="324"/>
        <v>0.19192381269233971</v>
      </c>
      <c r="AA187" s="842">
        <f t="shared" si="324"/>
        <v>0.25169300225733626</v>
      </c>
      <c r="AB187" s="842">
        <f t="shared" si="324"/>
        <v>0.2110354848577547</v>
      </c>
      <c r="AC187" s="842">
        <f t="shared" si="324"/>
        <v>0.20379475105602096</v>
      </c>
      <c r="AD187" s="842">
        <f t="shared" si="324"/>
        <v>0.17738390146889493</v>
      </c>
      <c r="AE187" s="842">
        <f t="shared" si="324"/>
        <v>0.10183141071484103</v>
      </c>
      <c r="AF187" s="842">
        <f t="shared" si="324"/>
        <v>9.4692305263490262E-2</v>
      </c>
      <c r="AG187" s="842"/>
      <c r="AH187" s="842"/>
      <c r="AI187" s="842"/>
      <c r="AJ187" s="842"/>
      <c r="AK187" s="842"/>
      <c r="AL187" s="842">
        <f t="shared" ref="AL187:AT187" si="331">+IFERROR(AL182/AK182-1,"n/a ")</f>
        <v>8.5167520810498498E-2</v>
      </c>
      <c r="AM187" s="842">
        <f t="shared" si="331"/>
        <v>0.10365254422362957</v>
      </c>
      <c r="AN187" s="842">
        <f t="shared" si="331"/>
        <v>0.20759850602290442</v>
      </c>
      <c r="AO187" s="842">
        <f t="shared" si="331"/>
        <v>-5.2025726107082892E-2</v>
      </c>
      <c r="AP187" s="842">
        <f t="shared" si="331"/>
        <v>8.2256600838338967E-2</v>
      </c>
      <c r="AQ187" s="842">
        <f t="shared" si="331"/>
        <v>8.5388009343368765E-2</v>
      </c>
      <c r="AR187" s="842">
        <f t="shared" si="331"/>
        <v>3.3605562299966918E-2</v>
      </c>
      <c r="AS187" s="842">
        <f t="shared" si="331"/>
        <v>2.2618475610841182E-2</v>
      </c>
      <c r="AT187" s="842">
        <f t="shared" si="331"/>
        <v>3.9868439370736475E-2</v>
      </c>
      <c r="AU187" s="842">
        <f t="shared" ref="AU187:AV187" si="332">+IFERROR(AU182/AT182-1,"n/a ")</f>
        <v>1.3170445987783497E-2</v>
      </c>
      <c r="AV187" s="842">
        <f t="shared" si="332"/>
        <v>-0.13217270655082425</v>
      </c>
      <c r="AW187" s="842">
        <f>+IFERROR(AW182/AV182-1,"n/a ")</f>
        <v>5.9935287400076032E-2</v>
      </c>
      <c r="AX187" s="842"/>
      <c r="AY187" s="1012">
        <f t="shared" si="326"/>
        <v>-0.13217270655082425</v>
      </c>
      <c r="AZ187" s="1012">
        <f t="shared" si="327"/>
        <v>5.9935287400076032E-2</v>
      </c>
      <c r="BA187" s="842">
        <f t="shared" ref="BA187:BE187" si="333">+IFERROR(BA182/AZ182-1,"NA ")</f>
        <v>0.15562510030492693</v>
      </c>
      <c r="BB187" s="842">
        <f t="shared" si="333"/>
        <v>0.15173524796200377</v>
      </c>
      <c r="BC187" s="842">
        <f t="shared" si="333"/>
        <v>0.16885919959485363</v>
      </c>
      <c r="BD187" s="842">
        <f t="shared" si="333"/>
        <v>0.19516799570855303</v>
      </c>
      <c r="BE187" s="842">
        <f t="shared" si="333"/>
        <v>0.17059107858030664</v>
      </c>
      <c r="BF187" s="842"/>
    </row>
    <row r="188" spans="2:59">
      <c r="B188" s="19"/>
    </row>
    <row r="189" spans="2:59" s="3" customFormat="1">
      <c r="B189" s="883" t="s">
        <v>115</v>
      </c>
    </row>
    <row r="190" spans="2:59" s="3" customFormat="1">
      <c r="B190" s="884" t="str">
        <f>+B185</f>
        <v>Cloud</v>
      </c>
      <c r="L190" s="904">
        <v>0.57999999999999996</v>
      </c>
      <c r="M190" s="904">
        <v>0.56999999999999995</v>
      </c>
      <c r="N190" s="904">
        <v>0.57999999999999996</v>
      </c>
      <c r="O190" s="904">
        <v>0.59</v>
      </c>
      <c r="P190" s="904">
        <v>0.62</v>
      </c>
      <c r="Q190" s="904">
        <v>0.62</v>
      </c>
      <c r="R190" s="904">
        <v>0.63</v>
      </c>
      <c r="S190" s="904">
        <v>0.65</v>
      </c>
      <c r="T190" s="904">
        <v>0.66</v>
      </c>
      <c r="U190" s="904">
        <v>0.67</v>
      </c>
      <c r="V190" s="904">
        <v>0.67</v>
      </c>
      <c r="W190" s="904">
        <v>0.66</v>
      </c>
      <c r="X190" s="904">
        <v>0.71</v>
      </c>
      <c r="Y190" s="904">
        <v>0.71</v>
      </c>
      <c r="Z190" s="904">
        <v>0.7</v>
      </c>
      <c r="AA190" s="904">
        <v>0.7</v>
      </c>
      <c r="AB190" s="904">
        <v>0.71</v>
      </c>
      <c r="AC190" s="904">
        <v>0.7</v>
      </c>
      <c r="AD190" s="904">
        <v>0.7</v>
      </c>
      <c r="AE190" s="904">
        <v>0.69</v>
      </c>
      <c r="AF190" s="904">
        <v>0.73</v>
      </c>
      <c r="AG190" s="904"/>
      <c r="AH190" s="904"/>
      <c r="AI190" s="904"/>
      <c r="AT190" s="904">
        <v>0.15</v>
      </c>
      <c r="AU190" s="904">
        <v>0.44</v>
      </c>
      <c r="AV190" s="904">
        <v>0.45</v>
      </c>
      <c r="AW190" s="851">
        <v>0.48</v>
      </c>
      <c r="AY190" s="904">
        <f t="shared" ref="AY190:AY192" si="334">+AV190</f>
        <v>0.45</v>
      </c>
      <c r="AZ190" s="904">
        <f t="shared" ref="AZ190:AZ192" si="335">+AW190</f>
        <v>0.48</v>
      </c>
      <c r="BA190" s="33">
        <f t="shared" ref="BA190:BE191" si="336">+BA180/BA165</f>
        <v>0.58067669172932324</v>
      </c>
      <c r="BB190" s="33">
        <f t="shared" si="336"/>
        <v>0.6311811023622047</v>
      </c>
      <c r="BC190" s="33">
        <f t="shared" si="336"/>
        <v>0.66499032882011611</v>
      </c>
      <c r="BD190" s="33">
        <f t="shared" si="336"/>
        <v>0.70461649782923297</v>
      </c>
      <c r="BE190" s="33">
        <f t="shared" si="336"/>
        <v>0.69951807228915663</v>
      </c>
      <c r="BF190" s="228"/>
    </row>
    <row r="191" spans="2:59" s="3" customFormat="1" ht="11.45">
      <c r="B191" s="884" t="str">
        <f t="shared" ref="B191:B192" si="337">+B186</f>
        <v>Non-Cloud</v>
      </c>
      <c r="L191" s="840">
        <f t="shared" ref="L191:AF191" si="338">+L181/L166</f>
        <v>0.68822713203116659</v>
      </c>
      <c r="M191" s="840">
        <f t="shared" si="338"/>
        <v>0.630072749583662</v>
      </c>
      <c r="N191" s="840">
        <f t="shared" si="338"/>
        <v>0.67965432838803141</v>
      </c>
      <c r="O191" s="840">
        <f t="shared" si="338"/>
        <v>0.70687401397340544</v>
      </c>
      <c r="P191" s="840">
        <f t="shared" si="338"/>
        <v>0.67571900505246796</v>
      </c>
      <c r="Q191" s="840">
        <f t="shared" si="338"/>
        <v>0.61642026330365129</v>
      </c>
      <c r="R191" s="840">
        <f t="shared" si="338"/>
        <v>0.68442134376043107</v>
      </c>
      <c r="S191" s="840">
        <f t="shared" si="338"/>
        <v>0.71114143592903989</v>
      </c>
      <c r="T191" s="840">
        <f t="shared" si="338"/>
        <v>0.69881146585877418</v>
      </c>
      <c r="U191" s="840">
        <f t="shared" si="338"/>
        <v>0.66266491846267306</v>
      </c>
      <c r="V191" s="840">
        <f t="shared" si="338"/>
        <v>0.69679112379724695</v>
      </c>
      <c r="W191" s="840">
        <f t="shared" si="338"/>
        <v>0.68495344035730843</v>
      </c>
      <c r="X191" s="840">
        <f t="shared" si="338"/>
        <v>0.6996447116698552</v>
      </c>
      <c r="Y191" s="840">
        <f t="shared" si="338"/>
        <v>0.64547315741583255</v>
      </c>
      <c r="Z191" s="840">
        <f t="shared" si="338"/>
        <v>0.67778888611180543</v>
      </c>
      <c r="AA191" s="840">
        <f t="shared" si="338"/>
        <v>0.69454449947471109</v>
      </c>
      <c r="AB191" s="840">
        <f t="shared" si="338"/>
        <v>0.68952350002031115</v>
      </c>
      <c r="AC191" s="840">
        <f t="shared" si="338"/>
        <v>0.65134332388281357</v>
      </c>
      <c r="AD191" s="840">
        <f t="shared" si="338"/>
        <v>0.66891371340523886</v>
      </c>
      <c r="AE191" s="840">
        <f t="shared" si="338"/>
        <v>0.67689146273117873</v>
      </c>
      <c r="AF191" s="840">
        <f t="shared" si="338"/>
        <v>0.65142085005323069</v>
      </c>
      <c r="AG191" s="840"/>
      <c r="AH191" s="840"/>
      <c r="AI191" s="840"/>
      <c r="AJ191" s="840"/>
      <c r="AK191" s="840"/>
      <c r="AL191" s="840"/>
      <c r="AM191" s="840"/>
      <c r="AN191" s="840"/>
      <c r="AO191" s="840"/>
      <c r="AP191" s="840"/>
      <c r="AQ191" s="840"/>
      <c r="AR191" s="840"/>
      <c r="AS191" s="840"/>
      <c r="AT191" s="840">
        <f>+AT181/AT166</f>
        <v>0.70609165446907762</v>
      </c>
      <c r="AU191" s="840">
        <f>+AU181/AU166</f>
        <v>0.66062884483937112</v>
      </c>
      <c r="AV191" s="840">
        <f>+AV181/AV166</f>
        <v>0.63657346346610388</v>
      </c>
      <c r="AW191" s="840">
        <f>+AW181/AW166</f>
        <v>0.64672884743504333</v>
      </c>
      <c r="AX191" s="840"/>
      <c r="AY191" s="1011">
        <f t="shared" si="334"/>
        <v>0.63657346346610388</v>
      </c>
      <c r="AZ191" s="1011">
        <f t="shared" si="335"/>
        <v>0.64672884743504333</v>
      </c>
      <c r="BA191" s="840">
        <f t="shared" si="336"/>
        <v>0.67527459407831902</v>
      </c>
      <c r="BB191" s="840">
        <f t="shared" si="336"/>
        <v>0.67110766670845534</v>
      </c>
      <c r="BC191" s="840">
        <f t="shared" si="336"/>
        <v>0.68506817061818981</v>
      </c>
      <c r="BD191" s="840">
        <f t="shared" si="336"/>
        <v>0.67853679233846531</v>
      </c>
      <c r="BE191" s="840">
        <f t="shared" si="336"/>
        <v>0.67078620173880532</v>
      </c>
      <c r="BF191" s="840"/>
    </row>
    <row r="192" spans="2:59" s="7" customFormat="1">
      <c r="B192" s="887" t="str">
        <f t="shared" si="337"/>
        <v>Total Gross Profit</v>
      </c>
      <c r="L192" s="842">
        <f t="shared" ref="L192:AF192" si="339">+L182/L167</f>
        <v>0.66264569239546822</v>
      </c>
      <c r="M192" s="842">
        <f t="shared" si="339"/>
        <v>0.6174009267584204</v>
      </c>
      <c r="N192" s="842">
        <f t="shared" si="339"/>
        <v>0.65438681531749876</v>
      </c>
      <c r="O192" s="842">
        <f t="shared" si="339"/>
        <v>0.67618414492271894</v>
      </c>
      <c r="P192" s="842">
        <f t="shared" si="339"/>
        <v>0.65943474075092834</v>
      </c>
      <c r="Q192" s="842">
        <f t="shared" si="339"/>
        <v>0.61741246034923469</v>
      </c>
      <c r="R192" s="842">
        <f t="shared" si="339"/>
        <v>0.66733178502502366</v>
      </c>
      <c r="S192" s="842">
        <f t="shared" si="339"/>
        <v>0.69119435299700449</v>
      </c>
      <c r="T192" s="842">
        <f t="shared" si="339"/>
        <v>0.6851913477537438</v>
      </c>
      <c r="U192" s="842">
        <f t="shared" si="339"/>
        <v>0.66514929821709212</v>
      </c>
      <c r="V192" s="842">
        <f t="shared" si="339"/>
        <v>0.68661660146769077</v>
      </c>
      <c r="W192" s="842">
        <f t="shared" si="339"/>
        <v>0.67557121447164303</v>
      </c>
      <c r="X192" s="842">
        <f t="shared" si="339"/>
        <v>0.70388114334930285</v>
      </c>
      <c r="Y192" s="842">
        <f t="shared" si="339"/>
        <v>0.67048936762930633</v>
      </c>
      <c r="Z192" s="842">
        <f t="shared" si="339"/>
        <v>0.68721526878626582</v>
      </c>
      <c r="AA192" s="842">
        <f t="shared" si="339"/>
        <v>0.69684954064829263</v>
      </c>
      <c r="AB192" s="842">
        <f t="shared" si="339"/>
        <v>0.6988768012004325</v>
      </c>
      <c r="AC192" s="842">
        <f t="shared" si="339"/>
        <v>0.67213114754098358</v>
      </c>
      <c r="AD192" s="842">
        <f t="shared" si="339"/>
        <v>0.68365072933549431</v>
      </c>
      <c r="AE192" s="842">
        <f t="shared" si="339"/>
        <v>0.68323532247180174</v>
      </c>
      <c r="AF192" s="842">
        <f t="shared" si="339"/>
        <v>0.69171222217788597</v>
      </c>
      <c r="AG192" s="842"/>
      <c r="AH192" s="842"/>
      <c r="AI192" s="842"/>
      <c r="AJ192" s="842"/>
      <c r="AK192" s="842">
        <f t="shared" ref="AK192:AS192" si="340">+AK182/AK167</f>
        <v>0.84842163466371767</v>
      </c>
      <c r="AL192" s="842">
        <f t="shared" si="340"/>
        <v>0.82724357526760306</v>
      </c>
      <c r="AM192" s="842">
        <f t="shared" si="340"/>
        <v>0.79083369195258402</v>
      </c>
      <c r="AN192" s="842">
        <f t="shared" si="340"/>
        <v>0.80804369414101296</v>
      </c>
      <c r="AO192" s="842">
        <f t="shared" si="340"/>
        <v>0.79199822030562828</v>
      </c>
      <c r="AP192" s="842">
        <f t="shared" si="340"/>
        <v>0.80162921707957235</v>
      </c>
      <c r="AQ192" s="842">
        <f t="shared" si="340"/>
        <v>0.77729007906438097</v>
      </c>
      <c r="AR192" s="842">
        <f t="shared" si="340"/>
        <v>0.76221803236439101</v>
      </c>
      <c r="AS192" s="842">
        <f t="shared" si="340"/>
        <v>0.73814692545825888</v>
      </c>
      <c r="AT192" s="842">
        <f t="shared" ref="AT192:AW192" si="341">+AT182/AT167</f>
        <v>0.68816003132449644</v>
      </c>
      <c r="AU192" s="842">
        <f t="shared" si="341"/>
        <v>0.64695447745244705</v>
      </c>
      <c r="AV192" s="842">
        <f t="shared" si="341"/>
        <v>0.61579934364744493</v>
      </c>
      <c r="AW192" s="842">
        <f t="shared" si="341"/>
        <v>0.61911061700944969</v>
      </c>
      <c r="AX192" s="842"/>
      <c r="AY192" s="1012">
        <f t="shared" si="334"/>
        <v>0.61579934364744493</v>
      </c>
      <c r="AZ192" s="1012">
        <f t="shared" si="335"/>
        <v>0.61911061700944969</v>
      </c>
      <c r="BA192" s="842">
        <f t="shared" ref="BA192:BE192" si="342">+BA182/BA167</f>
        <v>0.65247372236317502</v>
      </c>
      <c r="BB192" s="842">
        <f t="shared" si="342"/>
        <v>0.65901957200638894</v>
      </c>
      <c r="BC192" s="842">
        <f t="shared" si="342"/>
        <v>0.67781001992797962</v>
      </c>
      <c r="BD192" s="842">
        <f t="shared" si="342"/>
        <v>0.68925800771024703</v>
      </c>
      <c r="BE192" s="842">
        <f t="shared" si="342"/>
        <v>0.68401674484289099</v>
      </c>
      <c r="BF192" s="842"/>
    </row>
    <row r="193" spans="2:58">
      <c r="B193" s="19"/>
    </row>
    <row r="194" spans="2:58" ht="10.5" outlineLevel="1">
      <c r="B194" s="5" t="s">
        <v>359</v>
      </c>
      <c r="C194" s="4"/>
    </row>
    <row r="195" spans="2:58" outlineLevel="1"/>
    <row r="196" spans="2:58" outlineLevel="1">
      <c r="B196" t="s">
        <v>360</v>
      </c>
      <c r="H196" s="911">
        <v>0.18</v>
      </c>
      <c r="I196" s="911">
        <v>7.0000000000000007E-2</v>
      </c>
      <c r="J196" s="911">
        <v>0.12</v>
      </c>
      <c r="K196" s="911">
        <v>0.3</v>
      </c>
      <c r="L196" s="911">
        <v>0.14000000000000001</v>
      </c>
      <c r="M196" s="911">
        <v>7.0000000000000007E-2</v>
      </c>
      <c r="N196" s="911">
        <v>0.26</v>
      </c>
      <c r="O196" s="911">
        <v>0.18</v>
      </c>
      <c r="P196" s="911">
        <v>0.15</v>
      </c>
      <c r="Q196" s="911">
        <v>0.18</v>
      </c>
      <c r="R196" s="911">
        <v>0.3</v>
      </c>
      <c r="S196" s="911">
        <v>0.22</v>
      </c>
      <c r="T196" s="911">
        <v>0.3</v>
      </c>
      <c r="U196" s="911">
        <v>0.31</v>
      </c>
      <c r="V196" s="911">
        <v>7.0000000000000007E-2</v>
      </c>
      <c r="W196" s="911">
        <v>0.12</v>
      </c>
      <c r="X196" s="911">
        <v>0.23</v>
      </c>
      <c r="Y196" s="911">
        <v>0.19</v>
      </c>
      <c r="Z196" s="911">
        <v>0.39</v>
      </c>
      <c r="AA196" s="911">
        <v>0.3</v>
      </c>
      <c r="AB196" s="911">
        <v>0.11</v>
      </c>
      <c r="AC196" s="911">
        <v>0.32</v>
      </c>
      <c r="AD196" s="911">
        <v>0.28000000000000003</v>
      </c>
      <c r="AE196" s="911">
        <v>0.25</v>
      </c>
      <c r="AF196" s="911">
        <v>-0.03</v>
      </c>
      <c r="AG196" s="911"/>
      <c r="AH196" s="911"/>
      <c r="AI196" s="911"/>
      <c r="AZ196" s="912">
        <f>+AVERAGE(H196:K196)</f>
        <v>0.16749999999999998</v>
      </c>
      <c r="BA196" s="912">
        <f>+AVERAGE(L196:O196)</f>
        <v>0.16250000000000001</v>
      </c>
      <c r="BB196" s="912">
        <f>+AVERAGE(P196:S196)</f>
        <v>0.21249999999999997</v>
      </c>
      <c r="BC196" s="912">
        <f>AVERAGE(T196:W196)</f>
        <v>0.19999999999999998</v>
      </c>
      <c r="BD196" s="21">
        <f>AVERAGE(X196:AA196)</f>
        <v>0.27750000000000002</v>
      </c>
      <c r="BE196" s="21">
        <f>AVERAGE(AB196:AE196)</f>
        <v>0.24</v>
      </c>
      <c r="BF196" s="912"/>
    </row>
    <row r="197" spans="2:58" outlineLevel="1">
      <c r="B197" s="12" t="s">
        <v>361</v>
      </c>
      <c r="H197" s="911">
        <v>0.18</v>
      </c>
      <c r="I197" s="911">
        <v>0.12</v>
      </c>
      <c r="J197" s="911">
        <v>0.11</v>
      </c>
      <c r="K197" s="911">
        <v>0.3</v>
      </c>
      <c r="L197" s="911">
        <v>0.09</v>
      </c>
      <c r="M197" s="911">
        <v>0.04</v>
      </c>
      <c r="N197" s="911">
        <v>0.18</v>
      </c>
      <c r="O197" s="911">
        <v>0.18</v>
      </c>
      <c r="P197" s="911">
        <v>0.16</v>
      </c>
      <c r="Q197" s="911">
        <v>0.22</v>
      </c>
      <c r="R197" s="911">
        <v>0.34</v>
      </c>
      <c r="S197" s="911">
        <v>0.25</v>
      </c>
      <c r="T197" s="911">
        <v>0.35</v>
      </c>
      <c r="U197" s="911">
        <v>0.3</v>
      </c>
      <c r="V197" s="911">
        <v>0.12</v>
      </c>
      <c r="W197" s="911">
        <v>0.14000000000000001</v>
      </c>
      <c r="X197" s="911">
        <v>0.18</v>
      </c>
      <c r="Y197" s="911">
        <v>0.11</v>
      </c>
      <c r="Z197" s="911">
        <v>0.38</v>
      </c>
      <c r="AA197" s="911">
        <v>0.25</v>
      </c>
      <c r="AB197" s="911">
        <v>0.14000000000000001</v>
      </c>
      <c r="AC197" s="911">
        <v>0.37</v>
      </c>
      <c r="AD197" s="911">
        <v>0.35</v>
      </c>
      <c r="AE197" s="911">
        <v>0.35</v>
      </c>
      <c r="AF197" s="911">
        <v>0.16</v>
      </c>
      <c r="AG197" s="911"/>
      <c r="AH197" s="911"/>
      <c r="AI197" s="911"/>
      <c r="AZ197" s="912">
        <f>+AVERAGE(H197:K197)</f>
        <v>0.17749999999999999</v>
      </c>
      <c r="BA197" s="912">
        <f>+AVERAGE(L197:O197)</f>
        <v>0.1225</v>
      </c>
      <c r="BB197" s="912">
        <f>+AVERAGE(P197:S197)</f>
        <v>0.24249999999999999</v>
      </c>
      <c r="BC197" s="912">
        <f>AVERAGE(T197:W197)</f>
        <v>0.22749999999999998</v>
      </c>
      <c r="BD197" s="912">
        <f>AVERAGE(X197:AA197)</f>
        <v>0.22999999999999998</v>
      </c>
      <c r="BE197" s="912">
        <f>AVERAGE(AB197:AE197)</f>
        <v>0.30249999999999999</v>
      </c>
      <c r="BF197" s="912"/>
    </row>
    <row r="198" spans="2:58" outlineLevel="1">
      <c r="B198" s="13"/>
      <c r="H198" s="879"/>
      <c r="I198" s="879"/>
      <c r="J198" s="879"/>
      <c r="K198" s="879"/>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c r="AZ198" s="8"/>
      <c r="BA198" s="33"/>
      <c r="BB198" s="33"/>
      <c r="BC198" s="33"/>
      <c r="BD198" s="33"/>
      <c r="BE198" s="33"/>
      <c r="BF198" s="33"/>
    </row>
    <row r="199" spans="2:58" outlineLevel="1">
      <c r="B199" t="s">
        <v>362</v>
      </c>
      <c r="H199" s="911">
        <v>0.87</v>
      </c>
      <c r="I199" s="911">
        <v>0.83</v>
      </c>
      <c r="J199" s="911">
        <v>0.87</v>
      </c>
      <c r="K199" s="911">
        <v>0.86</v>
      </c>
      <c r="L199" s="911">
        <v>0.89</v>
      </c>
      <c r="M199" s="911">
        <v>0.86</v>
      </c>
      <c r="N199" s="911">
        <v>0.89</v>
      </c>
      <c r="O199" s="911">
        <v>0.89</v>
      </c>
      <c r="P199" s="911">
        <v>0.9</v>
      </c>
      <c r="Q199" s="911">
        <v>0.89</v>
      </c>
      <c r="R199" s="911">
        <v>0.9</v>
      </c>
      <c r="S199" s="911">
        <v>0.9</v>
      </c>
      <c r="T199" s="911">
        <v>0.91</v>
      </c>
      <c r="U199" s="911">
        <v>0.89</v>
      </c>
      <c r="V199" s="911">
        <v>0.92</v>
      </c>
      <c r="W199" s="911">
        <v>0.94</v>
      </c>
      <c r="X199" s="911">
        <v>0.93</v>
      </c>
      <c r="Y199" s="911">
        <v>0.93</v>
      </c>
      <c r="Z199" s="911">
        <v>0.94</v>
      </c>
      <c r="AA199" s="911">
        <v>0.95</v>
      </c>
      <c r="AB199" s="911">
        <v>0.95</v>
      </c>
      <c r="AC199" s="911">
        <v>0.94</v>
      </c>
      <c r="AD199" s="911">
        <v>0.96</v>
      </c>
      <c r="AE199" s="911">
        <v>0.96</v>
      </c>
      <c r="AF199" s="911">
        <v>0.96</v>
      </c>
      <c r="AG199" s="911"/>
      <c r="AH199" s="911"/>
      <c r="AI199" s="911"/>
      <c r="AZ199" s="912">
        <f>+AVERAGE(H199:K199)</f>
        <v>0.85749999999999993</v>
      </c>
      <c r="BA199" s="912">
        <f>+AVERAGE(L199:O199)</f>
        <v>0.88250000000000006</v>
      </c>
      <c r="BB199" s="912">
        <f>+AVERAGE(P199:S199)</f>
        <v>0.89749999999999996</v>
      </c>
      <c r="BC199" s="913">
        <f>+AVERAGE(T199:W199)</f>
        <v>0.91500000000000004</v>
      </c>
      <c r="BD199" s="913">
        <f>+AVERAGE(X199:AA199)</f>
        <v>0.9375</v>
      </c>
      <c r="BE199" s="912">
        <f>AVERAGE(AB199:AE199)</f>
        <v>0.9524999999999999</v>
      </c>
      <c r="BF199" s="912"/>
    </row>
    <row r="200" spans="2:58">
      <c r="H200" s="911"/>
      <c r="I200" s="911"/>
      <c r="J200" s="911"/>
      <c r="K200" s="911"/>
      <c r="L200" s="911"/>
      <c r="M200" s="911"/>
      <c r="N200" s="911"/>
      <c r="O200" s="911"/>
      <c r="P200" s="911"/>
      <c r="Q200" s="911"/>
      <c r="R200" s="911"/>
      <c r="S200" s="911"/>
      <c r="T200" s="911"/>
      <c r="U200" s="911"/>
      <c r="V200" s="911"/>
      <c r="W200" s="911"/>
      <c r="X200" s="911"/>
      <c r="Y200" s="911"/>
      <c r="Z200" s="911"/>
      <c r="AA200" s="911"/>
      <c r="AB200" s="911"/>
      <c r="AC200" s="911"/>
      <c r="AD200" s="911"/>
      <c r="AE200" s="911"/>
      <c r="AF200" s="911"/>
      <c r="AG200" s="911"/>
      <c r="AH200" s="911"/>
      <c r="AI200" s="911"/>
      <c r="AZ200" s="912"/>
      <c r="BA200" s="912"/>
      <c r="BB200" s="912"/>
      <c r="BC200" s="912"/>
      <c r="BD200" s="912"/>
      <c r="BE200" s="912"/>
      <c r="BF200" s="912"/>
    </row>
    <row r="201" spans="2:58" ht="10.5" hidden="1" outlineLevel="1">
      <c r="B201" s="45" t="s">
        <v>1196</v>
      </c>
      <c r="H201" s="911"/>
      <c r="I201" s="911"/>
      <c r="J201" s="911"/>
      <c r="K201" s="911"/>
      <c r="L201" s="911"/>
      <c r="M201" s="911"/>
      <c r="N201" s="911"/>
      <c r="O201" s="911"/>
      <c r="P201" s="911"/>
      <c r="Q201" s="911"/>
      <c r="R201" s="911"/>
      <c r="S201" s="911"/>
      <c r="T201" s="911"/>
      <c r="U201" s="911"/>
      <c r="V201" s="911"/>
      <c r="W201" s="911"/>
      <c r="X201" s="911"/>
      <c r="Y201" s="911"/>
      <c r="Z201" s="911"/>
      <c r="AA201" s="911"/>
      <c r="AB201" s="911"/>
      <c r="AC201" s="911"/>
      <c r="AD201" s="911"/>
      <c r="AE201" s="911"/>
      <c r="AF201" s="911"/>
      <c r="AG201" s="911"/>
      <c r="AH201" s="911"/>
      <c r="AI201" s="911"/>
      <c r="AZ201" s="912"/>
      <c r="BA201" s="912"/>
      <c r="BB201" s="912"/>
      <c r="BC201" s="912"/>
      <c r="BD201" s="912"/>
      <c r="BE201" s="912"/>
      <c r="BF201" s="912"/>
    </row>
    <row r="202" spans="2:58" hidden="1" outlineLevel="1">
      <c r="H202" s="911"/>
      <c r="I202" s="911"/>
      <c r="J202" s="911"/>
      <c r="K202" s="911"/>
      <c r="L202" s="911"/>
      <c r="M202" s="911"/>
      <c r="N202" s="911"/>
      <c r="O202" s="911"/>
      <c r="P202" s="911"/>
      <c r="Q202" s="911"/>
      <c r="R202" s="911"/>
      <c r="S202" s="911"/>
      <c r="T202" s="911"/>
      <c r="U202" s="911"/>
      <c r="V202" s="911"/>
      <c r="W202" s="911"/>
      <c r="X202" s="911"/>
      <c r="Y202" s="911"/>
      <c r="Z202" s="911"/>
      <c r="AA202" s="911"/>
      <c r="AB202" s="911"/>
      <c r="AC202" s="911"/>
      <c r="AD202" s="911"/>
      <c r="AE202" s="911"/>
      <c r="AF202" s="911"/>
      <c r="AG202" s="911"/>
      <c r="AH202" s="911"/>
      <c r="AI202" s="911"/>
      <c r="AZ202" s="912"/>
      <c r="BA202" s="912"/>
      <c r="BB202" s="912"/>
      <c r="BC202" s="912"/>
      <c r="BD202" s="912"/>
      <c r="BE202" s="912"/>
      <c r="BF202" s="912"/>
    </row>
    <row r="203" spans="2:58" hidden="1" outlineLevel="1">
      <c r="B203" t="s">
        <v>1197</v>
      </c>
      <c r="H203" s="911"/>
      <c r="I203" s="911"/>
      <c r="J203" s="911"/>
      <c r="K203" s="911"/>
      <c r="L203" s="911"/>
      <c r="M203" s="911"/>
      <c r="N203" s="911"/>
      <c r="O203" s="911"/>
      <c r="P203" s="911"/>
      <c r="Q203" s="911"/>
      <c r="R203" s="911"/>
      <c r="S203" s="911"/>
      <c r="T203" s="911"/>
      <c r="U203" s="911"/>
      <c r="V203" s="911"/>
      <c r="W203" s="911"/>
      <c r="X203" s="911"/>
      <c r="Y203" s="911"/>
      <c r="Z203" s="911"/>
      <c r="AA203" s="911"/>
      <c r="AB203" s="911"/>
      <c r="AC203" s="911"/>
      <c r="AD203" s="911"/>
      <c r="AE203" s="911"/>
      <c r="AF203" s="911"/>
      <c r="AG203" s="911"/>
      <c r="AH203" s="911"/>
      <c r="AI203" s="911"/>
      <c r="AZ203" s="912"/>
      <c r="BA203" s="912"/>
      <c r="BB203" s="912"/>
      <c r="BC203" s="912"/>
      <c r="BD203" s="912"/>
      <c r="BE203" s="912"/>
      <c r="BF203" s="912"/>
    </row>
    <row r="204" spans="2:58" hidden="1" outlineLevel="1">
      <c r="B204" s="914" t="s">
        <v>1198</v>
      </c>
      <c r="H204" s="911"/>
      <c r="I204" s="911"/>
      <c r="J204" s="911"/>
      <c r="K204" s="911"/>
      <c r="L204" s="911"/>
      <c r="M204" s="911"/>
      <c r="N204" s="911"/>
      <c r="O204" s="911"/>
      <c r="P204" s="911"/>
      <c r="Q204" s="911"/>
      <c r="R204" s="911"/>
      <c r="S204" s="911"/>
      <c r="T204" s="911"/>
      <c r="U204" s="911"/>
      <c r="V204" s="911"/>
      <c r="W204" s="911"/>
      <c r="X204" s="911"/>
      <c r="Y204" s="911"/>
      <c r="Z204" s="911"/>
      <c r="AA204" s="911"/>
      <c r="AB204" s="911"/>
      <c r="AC204" s="911"/>
      <c r="AD204" s="911"/>
      <c r="AE204" s="911"/>
      <c r="AF204" s="911"/>
      <c r="AG204" s="911"/>
      <c r="AH204" s="911"/>
      <c r="AI204" s="911"/>
      <c r="AR204" s="29">
        <v>19495</v>
      </c>
      <c r="AS204" s="29">
        <v>19427</v>
      </c>
      <c r="AT204" s="29">
        <v>19528</v>
      </c>
      <c r="AU204" s="29">
        <v>14969</v>
      </c>
      <c r="AZ204" s="912"/>
      <c r="BA204" s="912"/>
      <c r="BB204" s="912"/>
      <c r="BC204" s="912"/>
      <c r="BD204" s="912"/>
      <c r="BE204" s="912"/>
      <c r="BF204" s="912"/>
    </row>
    <row r="205" spans="2:58" hidden="1" outlineLevel="1">
      <c r="B205" s="915" t="s">
        <v>1199</v>
      </c>
      <c r="H205" s="911"/>
      <c r="I205" s="911"/>
      <c r="J205" s="911"/>
      <c r="K205" s="911"/>
      <c r="L205" s="911"/>
      <c r="M205" s="911"/>
      <c r="N205" s="911"/>
      <c r="O205" s="911"/>
      <c r="P205" s="911"/>
      <c r="Q205" s="911"/>
      <c r="R205" s="911"/>
      <c r="S205" s="911"/>
      <c r="T205" s="911"/>
      <c r="U205" s="911"/>
      <c r="V205" s="911"/>
      <c r="W205" s="911"/>
      <c r="X205" s="911"/>
      <c r="Y205" s="911"/>
      <c r="Z205" s="911"/>
      <c r="AA205" s="911"/>
      <c r="AB205" s="911"/>
      <c r="AC205" s="911"/>
      <c r="AD205" s="911"/>
      <c r="AE205" s="911"/>
      <c r="AF205" s="911"/>
      <c r="AG205" s="911"/>
      <c r="AH205" s="911"/>
      <c r="AI205" s="911"/>
      <c r="AR205" s="29">
        <v>6740</v>
      </c>
      <c r="AS205" s="29">
        <v>6149</v>
      </c>
      <c r="AT205" s="29">
        <v>9093</v>
      </c>
      <c r="AU205" s="29">
        <v>10183</v>
      </c>
      <c r="AZ205" s="912"/>
      <c r="BA205" s="912"/>
      <c r="BB205" s="912"/>
      <c r="BC205" s="912"/>
      <c r="BD205" s="912"/>
      <c r="BE205" s="912"/>
      <c r="BF205" s="912"/>
    </row>
    <row r="206" spans="2:58" ht="11.45" hidden="1" outlineLevel="1">
      <c r="B206" s="915" t="s">
        <v>1200</v>
      </c>
      <c r="H206" s="911"/>
      <c r="I206" s="911"/>
      <c r="J206" s="911"/>
      <c r="K206" s="911"/>
      <c r="L206" s="911"/>
      <c r="M206" s="911"/>
      <c r="N206" s="911"/>
      <c r="O206" s="911"/>
      <c r="P206" s="911"/>
      <c r="Q206" s="911"/>
      <c r="R206" s="911"/>
      <c r="S206" s="911"/>
      <c r="T206" s="911"/>
      <c r="U206" s="911"/>
      <c r="V206" s="911"/>
      <c r="W206" s="911"/>
      <c r="X206" s="911"/>
      <c r="Y206" s="911"/>
      <c r="Z206" s="911"/>
      <c r="AA206" s="911"/>
      <c r="AB206" s="911"/>
      <c r="AC206" s="911"/>
      <c r="AD206" s="911"/>
      <c r="AE206" s="911"/>
      <c r="AF206" s="911"/>
      <c r="AG206" s="911"/>
      <c r="AH206" s="911"/>
      <c r="AI206" s="911"/>
      <c r="AR206" s="30">
        <v>0</v>
      </c>
      <c r="AS206" s="30">
        <v>0</v>
      </c>
      <c r="AT206" s="30">
        <v>1982</v>
      </c>
      <c r="AU206" s="30">
        <v>7524</v>
      </c>
      <c r="AZ206" s="912"/>
      <c r="BA206" s="912"/>
      <c r="BB206" s="912"/>
      <c r="BC206" s="912"/>
      <c r="BD206" s="912"/>
      <c r="BE206" s="912"/>
      <c r="BF206" s="912"/>
    </row>
    <row r="207" spans="2:58" hidden="1" outlineLevel="1">
      <c r="B207" s="914" t="s">
        <v>1201</v>
      </c>
      <c r="H207" s="911"/>
      <c r="I207" s="911"/>
      <c r="J207" s="911"/>
      <c r="K207" s="911"/>
      <c r="L207" s="911"/>
      <c r="M207" s="911"/>
      <c r="N207" s="911"/>
      <c r="O207" s="911"/>
      <c r="P207" s="911"/>
      <c r="Q207" s="911"/>
      <c r="R207" s="911"/>
      <c r="S207" s="911"/>
      <c r="T207" s="911"/>
      <c r="U207" s="911"/>
      <c r="V207" s="911"/>
      <c r="W207" s="911"/>
      <c r="X207" s="911"/>
      <c r="Y207" s="911"/>
      <c r="Z207" s="911"/>
      <c r="AA207" s="911"/>
      <c r="AB207" s="911"/>
      <c r="AC207" s="911"/>
      <c r="AD207" s="911"/>
      <c r="AE207" s="911"/>
      <c r="AF207" s="911"/>
      <c r="AG207" s="911"/>
      <c r="AH207" s="911"/>
      <c r="AI207" s="911"/>
      <c r="AR207" s="11">
        <f>+SUM(AR205:AR206)</f>
        <v>6740</v>
      </c>
      <c r="AS207" s="11">
        <f>+SUM(AS205:AS206)</f>
        <v>6149</v>
      </c>
      <c r="AT207" s="11">
        <f>+SUM(AT205:AT206)</f>
        <v>11075</v>
      </c>
      <c r="AU207" s="11">
        <f>+SUM(AU205:AU206)</f>
        <v>17707</v>
      </c>
      <c r="AZ207" s="912"/>
      <c r="BA207" s="912"/>
      <c r="BB207" s="912"/>
      <c r="BC207" s="912"/>
      <c r="BD207" s="912"/>
      <c r="BE207" s="912"/>
      <c r="BF207" s="912"/>
    </row>
    <row r="208" spans="2:58" ht="11.45" hidden="1" outlineLevel="1">
      <c r="B208" s="914" t="s">
        <v>1202</v>
      </c>
      <c r="H208" s="911"/>
      <c r="I208" s="911"/>
      <c r="J208" s="911"/>
      <c r="K208" s="911"/>
      <c r="L208" s="911"/>
      <c r="M208" s="911"/>
      <c r="N208" s="911"/>
      <c r="O208" s="911"/>
      <c r="P208" s="911"/>
      <c r="Q208" s="911"/>
      <c r="R208" s="911"/>
      <c r="S208" s="911"/>
      <c r="T208" s="911"/>
      <c r="U208" s="911"/>
      <c r="V208" s="911"/>
      <c r="W208" s="911"/>
      <c r="X208" s="911"/>
      <c r="Y208" s="911"/>
      <c r="Z208" s="911"/>
      <c r="AA208" s="911"/>
      <c r="AB208" s="911"/>
      <c r="AC208" s="911"/>
      <c r="AD208" s="911"/>
      <c r="AE208" s="911"/>
      <c r="AF208" s="911"/>
      <c r="AG208" s="911"/>
      <c r="AH208" s="911"/>
      <c r="AI208" s="911"/>
      <c r="AR208" s="30">
        <v>6203</v>
      </c>
      <c r="AS208" s="30">
        <v>6431</v>
      </c>
      <c r="AT208" s="30">
        <v>7014</v>
      </c>
      <c r="AU208" s="30">
        <v>8825</v>
      </c>
      <c r="AZ208" s="912"/>
      <c r="BA208" s="912"/>
      <c r="BB208" s="912"/>
      <c r="BC208" s="912"/>
      <c r="BD208" s="912"/>
      <c r="BE208" s="912"/>
      <c r="BF208" s="912"/>
    </row>
    <row r="209" spans="2:58" hidden="1" outlineLevel="1">
      <c r="B209" s="916" t="s">
        <v>1203</v>
      </c>
      <c r="H209" s="911"/>
      <c r="I209" s="911"/>
      <c r="J209" s="911"/>
      <c r="K209" s="911"/>
      <c r="L209" s="911"/>
      <c r="M209" s="911"/>
      <c r="N209" s="911"/>
      <c r="O209" s="911"/>
      <c r="P209" s="911"/>
      <c r="Q209" s="911"/>
      <c r="R209" s="911"/>
      <c r="S209" s="911"/>
      <c r="T209" s="911"/>
      <c r="U209" s="911"/>
      <c r="V209" s="911"/>
      <c r="W209" s="911"/>
      <c r="X209" s="911"/>
      <c r="Y209" s="911"/>
      <c r="Z209" s="911"/>
      <c r="AA209" s="911"/>
      <c r="AB209" s="911"/>
      <c r="AC209" s="911"/>
      <c r="AD209" s="911"/>
      <c r="AE209" s="911"/>
      <c r="AF209" s="911"/>
      <c r="AG209" s="911"/>
      <c r="AH209" s="911"/>
      <c r="AI209" s="911"/>
      <c r="AR209" s="8">
        <f>+AR204+AR207+AR208</f>
        <v>32438</v>
      </c>
      <c r="AS209" s="8">
        <f t="shared" ref="AS209:AU209" si="343">+AS204+AS207+AS208</f>
        <v>32007</v>
      </c>
      <c r="AT209" s="8">
        <f t="shared" si="343"/>
        <v>37617</v>
      </c>
      <c r="AU209" s="8">
        <f t="shared" si="343"/>
        <v>41501</v>
      </c>
      <c r="AZ209" s="912"/>
      <c r="BA209" s="912"/>
      <c r="BB209" s="912"/>
      <c r="BC209" s="912"/>
      <c r="BD209" s="912"/>
      <c r="BE209" s="912"/>
      <c r="BF209" s="912"/>
    </row>
    <row r="210" spans="2:58" hidden="1" outlineLevel="1">
      <c r="B210" s="914" t="s">
        <v>1204</v>
      </c>
      <c r="H210" s="911"/>
      <c r="I210" s="911"/>
      <c r="J210" s="911"/>
      <c r="K210" s="911"/>
      <c r="L210" s="911"/>
      <c r="M210" s="911"/>
      <c r="N210" s="911"/>
      <c r="O210" s="911"/>
      <c r="P210" s="911"/>
      <c r="Q210" s="911"/>
      <c r="R210" s="911"/>
      <c r="S210" s="911"/>
      <c r="T210" s="911"/>
      <c r="U210" s="911"/>
      <c r="V210" s="911"/>
      <c r="W210" s="911"/>
      <c r="X210" s="911"/>
      <c r="Y210" s="911"/>
      <c r="Z210" s="911"/>
      <c r="AA210" s="911"/>
      <c r="AB210" s="911"/>
      <c r="AC210" s="911"/>
      <c r="AD210" s="911"/>
      <c r="AE210" s="911"/>
      <c r="AF210" s="911"/>
      <c r="AG210" s="911"/>
      <c r="AH210" s="911"/>
      <c r="AI210" s="911"/>
      <c r="AR210" s="29">
        <v>37126</v>
      </c>
      <c r="AS210" s="29">
        <v>39778</v>
      </c>
      <c r="AT210" s="29">
        <v>42085</v>
      </c>
      <c r="AU210" s="29">
        <v>41039</v>
      </c>
      <c r="AZ210" s="912"/>
      <c r="BA210" s="912"/>
      <c r="BB210" s="912"/>
      <c r="BC210" s="912"/>
      <c r="BD210" s="912"/>
      <c r="BE210" s="912"/>
      <c r="BF210" s="912"/>
    </row>
    <row r="211" spans="2:58" ht="11.45" hidden="1" outlineLevel="1">
      <c r="B211" s="914" t="s">
        <v>1205</v>
      </c>
      <c r="H211" s="911"/>
      <c r="I211" s="911"/>
      <c r="J211" s="911"/>
      <c r="K211" s="911"/>
      <c r="L211" s="911"/>
      <c r="M211" s="911"/>
      <c r="N211" s="911"/>
      <c r="O211" s="911"/>
      <c r="P211" s="911"/>
      <c r="Q211" s="911"/>
      <c r="R211" s="911"/>
      <c r="S211" s="911"/>
      <c r="T211" s="911"/>
      <c r="U211" s="911"/>
      <c r="V211" s="911"/>
      <c r="W211" s="911"/>
      <c r="X211" s="911"/>
      <c r="Y211" s="911"/>
      <c r="Z211" s="911"/>
      <c r="AA211" s="911"/>
      <c r="AB211" s="911"/>
      <c r="AC211" s="911"/>
      <c r="AD211" s="911"/>
      <c r="AE211" s="911"/>
      <c r="AF211" s="911"/>
      <c r="AG211" s="911"/>
      <c r="AH211" s="911"/>
      <c r="AI211" s="911"/>
      <c r="AR211" s="30">
        <v>4644</v>
      </c>
      <c r="AS211" s="30">
        <v>5661</v>
      </c>
      <c r="AT211" s="30">
        <v>7546</v>
      </c>
      <c r="AU211" s="30">
        <v>10836</v>
      </c>
      <c r="AZ211" s="912"/>
      <c r="BA211" s="912"/>
      <c r="BB211" s="912"/>
      <c r="BC211" s="912"/>
      <c r="BD211" s="912"/>
      <c r="BE211" s="912"/>
      <c r="BF211" s="912"/>
    </row>
    <row r="212" spans="2:58" hidden="1" outlineLevel="1">
      <c r="B212" s="916" t="s">
        <v>1206</v>
      </c>
      <c r="H212" s="911"/>
      <c r="I212" s="911"/>
      <c r="J212" s="911"/>
      <c r="K212" s="911"/>
      <c r="L212" s="911"/>
      <c r="M212" s="911"/>
      <c r="N212" s="911"/>
      <c r="O212" s="911"/>
      <c r="P212" s="911"/>
      <c r="Q212" s="911"/>
      <c r="R212" s="911"/>
      <c r="S212" s="911"/>
      <c r="T212" s="911"/>
      <c r="U212" s="911"/>
      <c r="V212" s="911"/>
      <c r="W212" s="911"/>
      <c r="X212" s="911"/>
      <c r="Y212" s="911"/>
      <c r="Z212" s="911"/>
      <c r="AA212" s="911"/>
      <c r="AB212" s="911"/>
      <c r="AC212" s="911"/>
      <c r="AD212" s="911"/>
      <c r="AE212" s="911"/>
      <c r="AF212" s="911"/>
      <c r="AG212" s="911"/>
      <c r="AH212" s="911"/>
      <c r="AI212" s="911"/>
      <c r="AR212" s="8">
        <f>+SUM(AR210:AR211)</f>
        <v>41770</v>
      </c>
      <c r="AS212" s="8">
        <f>+SUM(AS210:AS211)</f>
        <v>45439</v>
      </c>
      <c r="AT212" s="8">
        <f t="shared" ref="AT212:AU212" si="344">+SUM(AT210:AT211)</f>
        <v>49631</v>
      </c>
      <c r="AU212" s="8">
        <f t="shared" si="344"/>
        <v>51875</v>
      </c>
      <c r="AZ212" s="912"/>
      <c r="BA212" s="912"/>
      <c r="BB212" s="912"/>
      <c r="BC212" s="912"/>
      <c r="BD212" s="912"/>
      <c r="BE212" s="912"/>
      <c r="BF212" s="912"/>
    </row>
    <row r="213" spans="2:58" ht="11.45" hidden="1" outlineLevel="1">
      <c r="B213" s="916" t="s">
        <v>340</v>
      </c>
      <c r="H213" s="911"/>
      <c r="I213" s="911"/>
      <c r="J213" s="911"/>
      <c r="K213" s="911"/>
      <c r="L213" s="911"/>
      <c r="M213" s="911"/>
      <c r="N213" s="911"/>
      <c r="O213" s="911"/>
      <c r="P213" s="911"/>
      <c r="Q213" s="911"/>
      <c r="R213" s="911"/>
      <c r="S213" s="911"/>
      <c r="T213" s="911"/>
      <c r="U213" s="911"/>
      <c r="V213" s="911"/>
      <c r="W213" s="911"/>
      <c r="X213" s="911"/>
      <c r="Y213" s="911"/>
      <c r="Z213" s="911"/>
      <c r="AA213" s="911"/>
      <c r="AB213" s="911"/>
      <c r="AC213" s="911"/>
      <c r="AD213" s="911"/>
      <c r="AE213" s="911"/>
      <c r="AF213" s="911"/>
      <c r="AG213" s="911"/>
      <c r="AH213" s="911"/>
      <c r="AI213" s="911"/>
      <c r="AR213" s="30">
        <v>-485</v>
      </c>
      <c r="AS213" s="30">
        <v>403</v>
      </c>
      <c r="AT213" s="30">
        <v>-415</v>
      </c>
      <c r="AU213" s="30">
        <v>204</v>
      </c>
      <c r="AZ213" s="912"/>
      <c r="BA213" s="912"/>
      <c r="BB213" s="912"/>
      <c r="BC213" s="912"/>
      <c r="BD213" s="912"/>
      <c r="BE213" s="912"/>
      <c r="BF213" s="912"/>
    </row>
    <row r="214" spans="2:58" hidden="1" outlineLevel="1">
      <c r="B214" s="917" t="s">
        <v>526</v>
      </c>
      <c r="H214" s="911"/>
      <c r="I214" s="911"/>
      <c r="J214" s="911"/>
      <c r="K214" s="911"/>
      <c r="L214" s="911"/>
      <c r="M214" s="911"/>
      <c r="N214" s="911"/>
      <c r="O214" s="911"/>
      <c r="P214" s="911"/>
      <c r="Q214" s="911"/>
      <c r="R214" s="911"/>
      <c r="S214" s="911"/>
      <c r="T214" s="911"/>
      <c r="U214" s="911"/>
      <c r="V214" s="911"/>
      <c r="W214" s="911"/>
      <c r="X214" s="911"/>
      <c r="Y214" s="911"/>
      <c r="Z214" s="911"/>
      <c r="AA214" s="911"/>
      <c r="AB214" s="911"/>
      <c r="AC214" s="911"/>
      <c r="AD214" s="911"/>
      <c r="AE214" s="911"/>
      <c r="AF214" s="911"/>
      <c r="AG214" s="911"/>
      <c r="AH214" s="911"/>
      <c r="AI214" s="911"/>
      <c r="AR214" s="8">
        <f>+SUM(AR209,AR212:AR213)</f>
        <v>73723</v>
      </c>
      <c r="AS214" s="8">
        <f>+SUM(AS209,AS212:AS213)</f>
        <v>77849</v>
      </c>
      <c r="AT214" s="8">
        <f t="shared" ref="AT214:AU214" si="345">+SUM(AT209,AT212:AT213)</f>
        <v>86833</v>
      </c>
      <c r="AU214" s="8">
        <f t="shared" si="345"/>
        <v>93580</v>
      </c>
      <c r="AZ214" s="912"/>
      <c r="BA214" s="912"/>
      <c r="BB214" s="912"/>
      <c r="BC214" s="912"/>
      <c r="BD214" s="912"/>
      <c r="BE214" s="912"/>
      <c r="BF214" s="912"/>
    </row>
    <row r="215" spans="2:58" hidden="1" outlineLevel="1">
      <c r="H215" s="911"/>
      <c r="I215" s="911"/>
      <c r="J215" s="911"/>
      <c r="K215" s="911"/>
      <c r="L215" s="911"/>
      <c r="M215" s="911"/>
      <c r="N215" s="911"/>
      <c r="O215" s="911"/>
      <c r="P215" s="911"/>
      <c r="Q215" s="911"/>
      <c r="R215" s="911"/>
      <c r="S215" s="911"/>
      <c r="T215" s="911"/>
      <c r="U215" s="911"/>
      <c r="V215" s="911"/>
      <c r="W215" s="911"/>
      <c r="X215" s="911"/>
      <c r="Y215" s="911"/>
      <c r="Z215" s="911"/>
      <c r="AA215" s="911"/>
      <c r="AB215" s="911"/>
      <c r="AC215" s="911"/>
      <c r="AD215" s="911"/>
      <c r="AE215" s="911"/>
      <c r="AF215" s="911"/>
      <c r="AG215" s="911"/>
      <c r="AH215" s="911"/>
      <c r="AI215" s="911"/>
      <c r="AZ215" s="912"/>
      <c r="BA215" s="912"/>
      <c r="BB215" s="912"/>
      <c r="BC215" s="912"/>
      <c r="BD215" s="912"/>
      <c r="BE215" s="912"/>
      <c r="BF215" s="912"/>
    </row>
    <row r="216" spans="2:58" hidden="1" outlineLevel="1">
      <c r="B216" s="12" t="s">
        <v>1207</v>
      </c>
      <c r="H216" s="911"/>
      <c r="I216" s="911"/>
      <c r="J216" s="911"/>
      <c r="K216" s="911"/>
      <c r="L216" s="911"/>
      <c r="M216" s="911"/>
      <c r="N216" s="911"/>
      <c r="O216" s="911"/>
      <c r="P216" s="911"/>
      <c r="Q216" s="911"/>
      <c r="R216" s="911"/>
      <c r="S216" s="911"/>
      <c r="T216" s="911"/>
      <c r="U216" s="911"/>
      <c r="V216" s="911"/>
      <c r="W216" s="911"/>
      <c r="X216" s="911"/>
      <c r="Y216" s="911"/>
      <c r="Z216" s="911"/>
      <c r="AA216" s="911"/>
      <c r="AB216" s="911"/>
      <c r="AC216" s="911"/>
      <c r="AD216" s="911"/>
      <c r="AE216" s="911"/>
      <c r="AF216" s="911"/>
      <c r="AG216" s="911"/>
      <c r="AH216" s="911"/>
      <c r="AI216" s="911"/>
      <c r="AZ216" s="912"/>
      <c r="BA216" s="912"/>
      <c r="BB216" s="912"/>
      <c r="BC216" s="912"/>
      <c r="BD216" s="912"/>
      <c r="BE216" s="912"/>
      <c r="BF216" s="912"/>
    </row>
    <row r="217" spans="2:58" hidden="1" outlineLevel="1">
      <c r="B217" s="915" t="s">
        <v>1198</v>
      </c>
      <c r="H217" s="911"/>
      <c r="I217" s="911"/>
      <c r="J217" s="911"/>
      <c r="K217" s="911"/>
      <c r="L217" s="911"/>
      <c r="M217" s="911"/>
      <c r="N217" s="911"/>
      <c r="O217" s="911"/>
      <c r="P217" s="911"/>
      <c r="Q217" s="911"/>
      <c r="R217" s="911"/>
      <c r="S217" s="911"/>
      <c r="T217" s="911"/>
      <c r="U217" s="911"/>
      <c r="V217" s="911"/>
      <c r="W217" s="911"/>
      <c r="X217" s="911"/>
      <c r="Y217" s="911"/>
      <c r="Z217" s="911"/>
      <c r="AA217" s="911"/>
      <c r="AB217" s="911"/>
      <c r="AC217" s="911"/>
      <c r="AD217" s="911"/>
      <c r="AE217" s="911"/>
      <c r="AF217" s="911"/>
      <c r="AG217" s="911"/>
      <c r="AH217" s="911"/>
      <c r="AI217" s="911"/>
      <c r="AS217" s="35">
        <f>+IFERROR(AS204/AR204-1,"n/a ")</f>
        <v>-3.4880738650936438E-3</v>
      </c>
      <c r="AT217" s="35">
        <f t="shared" ref="AT217:AU217" si="346">+IFERROR(AT204/AS204-1,"n/a ")</f>
        <v>5.1989499150666418E-3</v>
      </c>
      <c r="AU217" s="35">
        <f t="shared" si="346"/>
        <v>-0.23345964768537486</v>
      </c>
      <c r="AZ217" s="912"/>
      <c r="BA217" s="912"/>
      <c r="BB217" s="912"/>
      <c r="BC217" s="912"/>
      <c r="BD217" s="912"/>
      <c r="BE217" s="912"/>
      <c r="BF217" s="912"/>
    </row>
    <row r="218" spans="2:58" hidden="1" outlineLevel="1">
      <c r="B218" s="918" t="s">
        <v>1199</v>
      </c>
      <c r="H218" s="911"/>
      <c r="I218" s="911"/>
      <c r="J218" s="911"/>
      <c r="K218" s="911"/>
      <c r="L218" s="911"/>
      <c r="M218" s="911"/>
      <c r="N218" s="911"/>
      <c r="O218" s="911"/>
      <c r="P218" s="911"/>
      <c r="Q218" s="911"/>
      <c r="R218" s="911"/>
      <c r="S218" s="911"/>
      <c r="T218" s="911"/>
      <c r="U218" s="911"/>
      <c r="V218" s="911"/>
      <c r="W218" s="911"/>
      <c r="X218" s="911"/>
      <c r="Y218" s="911"/>
      <c r="Z218" s="911"/>
      <c r="AA218" s="911"/>
      <c r="AB218" s="911"/>
      <c r="AC218" s="911"/>
      <c r="AD218" s="911"/>
      <c r="AE218" s="911"/>
      <c r="AF218" s="911"/>
      <c r="AG218" s="911"/>
      <c r="AH218" s="911"/>
      <c r="AI218" s="911"/>
      <c r="AS218" s="35">
        <f t="shared" ref="AS218:AU227" si="347">+IFERROR(AS205/AR205-1,"n/a ")</f>
        <v>-8.7685459940652799E-2</v>
      </c>
      <c r="AT218" s="35">
        <f t="shared" si="347"/>
        <v>0.47877703691657181</v>
      </c>
      <c r="AU218" s="35">
        <f t="shared" si="347"/>
        <v>0.11987242934125142</v>
      </c>
      <c r="AZ218" s="912"/>
      <c r="BA218" s="912"/>
      <c r="BB218" s="912"/>
      <c r="BC218" s="912"/>
      <c r="BD218" s="912"/>
      <c r="BE218" s="912"/>
      <c r="BF218" s="912"/>
    </row>
    <row r="219" spans="2:58" hidden="1" outlineLevel="1">
      <c r="B219" s="918" t="s">
        <v>1200</v>
      </c>
      <c r="H219" s="911"/>
      <c r="I219" s="911"/>
      <c r="J219" s="911"/>
      <c r="K219" s="911"/>
      <c r="L219" s="911"/>
      <c r="M219" s="911"/>
      <c r="N219" s="911"/>
      <c r="O219" s="911"/>
      <c r="P219" s="911"/>
      <c r="Q219" s="911"/>
      <c r="R219" s="911"/>
      <c r="S219" s="911"/>
      <c r="T219" s="911"/>
      <c r="U219" s="911"/>
      <c r="V219" s="911"/>
      <c r="W219" s="911"/>
      <c r="X219" s="911"/>
      <c r="Y219" s="911"/>
      <c r="Z219" s="911"/>
      <c r="AA219" s="911"/>
      <c r="AB219" s="911"/>
      <c r="AC219" s="911"/>
      <c r="AD219" s="911"/>
      <c r="AE219" s="911"/>
      <c r="AF219" s="911"/>
      <c r="AG219" s="911"/>
      <c r="AH219" s="911"/>
      <c r="AI219" s="911"/>
      <c r="AS219" s="35" t="str">
        <f t="shared" si="347"/>
        <v xml:space="preserve">n/a </v>
      </c>
      <c r="AT219" s="35" t="str">
        <f t="shared" si="347"/>
        <v xml:space="preserve">n/a </v>
      </c>
      <c r="AU219" s="35">
        <f t="shared" si="347"/>
        <v>2.7961654894046419</v>
      </c>
      <c r="AZ219" s="912"/>
      <c r="BA219" s="912"/>
      <c r="BB219" s="912"/>
      <c r="BC219" s="912"/>
      <c r="BD219" s="912"/>
      <c r="BE219" s="912"/>
      <c r="BF219" s="912"/>
    </row>
    <row r="220" spans="2:58" hidden="1" outlineLevel="1">
      <c r="B220" s="915" t="s">
        <v>1201</v>
      </c>
      <c r="H220" s="911"/>
      <c r="I220" s="911"/>
      <c r="J220" s="911"/>
      <c r="K220" s="911"/>
      <c r="L220" s="911"/>
      <c r="M220" s="911"/>
      <c r="N220" s="911"/>
      <c r="O220" s="911"/>
      <c r="P220" s="911"/>
      <c r="Q220" s="911"/>
      <c r="R220" s="911"/>
      <c r="S220" s="911"/>
      <c r="T220" s="911"/>
      <c r="U220" s="911"/>
      <c r="V220" s="911"/>
      <c r="W220" s="911"/>
      <c r="X220" s="911"/>
      <c r="Y220" s="911"/>
      <c r="Z220" s="911"/>
      <c r="AA220" s="911"/>
      <c r="AB220" s="911"/>
      <c r="AC220" s="911"/>
      <c r="AD220" s="911"/>
      <c r="AE220" s="911"/>
      <c r="AF220" s="911"/>
      <c r="AG220" s="911"/>
      <c r="AH220" s="911"/>
      <c r="AI220" s="911"/>
      <c r="AS220" s="35">
        <f t="shared" si="347"/>
        <v>-8.7685459940652799E-2</v>
      </c>
      <c r="AT220" s="35">
        <f t="shared" si="347"/>
        <v>0.80110587087331275</v>
      </c>
      <c r="AU220" s="35">
        <f t="shared" si="347"/>
        <v>0.59882618510158014</v>
      </c>
      <c r="AZ220" s="912"/>
      <c r="BA220" s="912"/>
      <c r="BB220" s="912"/>
      <c r="BC220" s="912"/>
      <c r="BD220" s="912"/>
      <c r="BE220" s="912"/>
      <c r="BF220" s="912"/>
    </row>
    <row r="221" spans="2:58" hidden="1" outlineLevel="1">
      <c r="B221" s="915" t="s">
        <v>1202</v>
      </c>
      <c r="H221" s="911"/>
      <c r="I221" s="911"/>
      <c r="J221" s="911"/>
      <c r="K221" s="911"/>
      <c r="L221" s="911"/>
      <c r="M221" s="911"/>
      <c r="N221" s="911"/>
      <c r="O221" s="911"/>
      <c r="P221" s="911"/>
      <c r="Q221" s="911"/>
      <c r="R221" s="911"/>
      <c r="S221" s="911"/>
      <c r="T221" s="911"/>
      <c r="U221" s="911"/>
      <c r="V221" s="911"/>
      <c r="W221" s="911"/>
      <c r="X221" s="911"/>
      <c r="Y221" s="911"/>
      <c r="Z221" s="911"/>
      <c r="AA221" s="911"/>
      <c r="AB221" s="911"/>
      <c r="AC221" s="911"/>
      <c r="AD221" s="911"/>
      <c r="AE221" s="911"/>
      <c r="AF221" s="911"/>
      <c r="AG221" s="911"/>
      <c r="AH221" s="911"/>
      <c r="AI221" s="911"/>
      <c r="AS221" s="35">
        <f t="shared" si="347"/>
        <v>3.6756408189585699E-2</v>
      </c>
      <c r="AT221" s="35">
        <f t="shared" si="347"/>
        <v>9.0654641579847706E-2</v>
      </c>
      <c r="AU221" s="35">
        <f t="shared" si="347"/>
        <v>0.25819788993441684</v>
      </c>
      <c r="AZ221" s="912"/>
      <c r="BA221" s="912"/>
      <c r="BB221" s="912"/>
      <c r="BC221" s="912"/>
      <c r="BD221" s="912"/>
      <c r="BE221" s="912"/>
      <c r="BF221" s="912"/>
    </row>
    <row r="222" spans="2:58" hidden="1" outlineLevel="1">
      <c r="B222" s="914" t="s">
        <v>1203</v>
      </c>
      <c r="H222" s="911"/>
      <c r="I222" s="911"/>
      <c r="J222" s="911"/>
      <c r="K222" s="911"/>
      <c r="L222" s="911"/>
      <c r="M222" s="911"/>
      <c r="N222" s="911"/>
      <c r="O222" s="911"/>
      <c r="P222" s="911"/>
      <c r="Q222" s="911"/>
      <c r="R222" s="911"/>
      <c r="S222" s="911"/>
      <c r="T222" s="911"/>
      <c r="U222" s="911"/>
      <c r="V222" s="911"/>
      <c r="W222" s="911"/>
      <c r="X222" s="911"/>
      <c r="Y222" s="911"/>
      <c r="Z222" s="911"/>
      <c r="AA222" s="911"/>
      <c r="AB222" s="911"/>
      <c r="AC222" s="911"/>
      <c r="AD222" s="911"/>
      <c r="AE222" s="911"/>
      <c r="AF222" s="911"/>
      <c r="AG222" s="911"/>
      <c r="AH222" s="911"/>
      <c r="AI222" s="911"/>
      <c r="AS222" s="35">
        <f t="shared" si="347"/>
        <v>-1.3286885751279343E-2</v>
      </c>
      <c r="AT222" s="35">
        <f t="shared" si="347"/>
        <v>0.17527415877776731</v>
      </c>
      <c r="AU222" s="35">
        <f t="shared" si="347"/>
        <v>0.10325118962171365</v>
      </c>
      <c r="AZ222" s="912"/>
      <c r="BA222" s="912"/>
      <c r="BB222" s="912"/>
      <c r="BC222" s="912"/>
      <c r="BD222" s="912"/>
      <c r="BE222" s="912"/>
      <c r="BF222" s="912"/>
    </row>
    <row r="223" spans="2:58" hidden="1" outlineLevel="1">
      <c r="B223" s="915" t="s">
        <v>1204</v>
      </c>
      <c r="H223" s="911"/>
      <c r="I223" s="911"/>
      <c r="J223" s="911"/>
      <c r="K223" s="911"/>
      <c r="L223" s="911"/>
      <c r="M223" s="911"/>
      <c r="N223" s="911"/>
      <c r="O223" s="911"/>
      <c r="P223" s="911"/>
      <c r="Q223" s="911"/>
      <c r="R223" s="911"/>
      <c r="S223" s="911"/>
      <c r="T223" s="911"/>
      <c r="U223" s="911"/>
      <c r="V223" s="911"/>
      <c r="W223" s="911"/>
      <c r="X223" s="911"/>
      <c r="Y223" s="911"/>
      <c r="Z223" s="911"/>
      <c r="AA223" s="911"/>
      <c r="AB223" s="911"/>
      <c r="AC223" s="911"/>
      <c r="AD223" s="911"/>
      <c r="AE223" s="911"/>
      <c r="AF223" s="911"/>
      <c r="AG223" s="911"/>
      <c r="AH223" s="911"/>
      <c r="AI223" s="911"/>
      <c r="AS223" s="35">
        <f t="shared" si="347"/>
        <v>7.1432419328772312E-2</v>
      </c>
      <c r="AT223" s="35">
        <f t="shared" si="347"/>
        <v>5.7996882698979402E-2</v>
      </c>
      <c r="AU223" s="35">
        <f t="shared" si="347"/>
        <v>-2.4854461209457002E-2</v>
      </c>
      <c r="AZ223" s="912"/>
      <c r="BA223" s="912"/>
      <c r="BB223" s="912"/>
      <c r="BC223" s="912"/>
      <c r="BD223" s="912"/>
      <c r="BE223" s="912"/>
      <c r="BF223" s="912"/>
    </row>
    <row r="224" spans="2:58" hidden="1" outlineLevel="1">
      <c r="B224" s="915" t="s">
        <v>1205</v>
      </c>
      <c r="H224" s="911"/>
      <c r="I224" s="911"/>
      <c r="J224" s="911"/>
      <c r="K224" s="911"/>
      <c r="L224" s="911"/>
      <c r="M224" s="911"/>
      <c r="N224" s="911"/>
      <c r="O224" s="911"/>
      <c r="P224" s="911"/>
      <c r="Q224" s="911"/>
      <c r="R224" s="911"/>
      <c r="S224" s="911"/>
      <c r="T224" s="911"/>
      <c r="U224" s="911"/>
      <c r="V224" s="911"/>
      <c r="W224" s="911"/>
      <c r="X224" s="911"/>
      <c r="Y224" s="911"/>
      <c r="Z224" s="911"/>
      <c r="AA224" s="911"/>
      <c r="AB224" s="911"/>
      <c r="AC224" s="911"/>
      <c r="AD224" s="911"/>
      <c r="AE224" s="911"/>
      <c r="AF224" s="911"/>
      <c r="AG224" s="911"/>
      <c r="AH224" s="911"/>
      <c r="AI224" s="911"/>
      <c r="AS224" s="35">
        <f t="shared" si="347"/>
        <v>0.21899224806201545</v>
      </c>
      <c r="AT224" s="35">
        <f t="shared" si="347"/>
        <v>0.3329800388623918</v>
      </c>
      <c r="AU224" s="35">
        <f t="shared" si="347"/>
        <v>0.43599257884972165</v>
      </c>
      <c r="AZ224" s="912"/>
      <c r="BA224" s="912"/>
      <c r="BB224" s="912"/>
      <c r="BC224" s="912"/>
      <c r="BD224" s="912"/>
      <c r="BE224" s="912"/>
      <c r="BF224" s="912"/>
    </row>
    <row r="225" spans="2:58" hidden="1" outlineLevel="1">
      <c r="B225" s="914" t="s">
        <v>1206</v>
      </c>
      <c r="H225" s="911"/>
      <c r="I225" s="911"/>
      <c r="J225" s="911"/>
      <c r="K225" s="911"/>
      <c r="L225" s="911"/>
      <c r="M225" s="911"/>
      <c r="N225" s="911"/>
      <c r="O225" s="911"/>
      <c r="P225" s="911"/>
      <c r="Q225" s="911"/>
      <c r="R225" s="911"/>
      <c r="S225" s="911"/>
      <c r="T225" s="911"/>
      <c r="U225" s="911"/>
      <c r="V225" s="911"/>
      <c r="W225" s="911"/>
      <c r="X225" s="911"/>
      <c r="Y225" s="911"/>
      <c r="Z225" s="911"/>
      <c r="AA225" s="911"/>
      <c r="AB225" s="911"/>
      <c r="AC225" s="911"/>
      <c r="AD225" s="911"/>
      <c r="AE225" s="911"/>
      <c r="AF225" s="911"/>
      <c r="AG225" s="911"/>
      <c r="AH225" s="911"/>
      <c r="AI225" s="911"/>
      <c r="AS225" s="35">
        <f t="shared" si="347"/>
        <v>8.7838161359827582E-2</v>
      </c>
      <c r="AT225" s="35">
        <f t="shared" si="347"/>
        <v>9.2255551398578328E-2</v>
      </c>
      <c r="AU225" s="35">
        <f t="shared" si="347"/>
        <v>4.521367693578604E-2</v>
      </c>
      <c r="AZ225" s="912"/>
      <c r="BA225" s="912"/>
      <c r="BB225" s="912"/>
      <c r="BC225" s="912"/>
      <c r="BD225" s="912"/>
      <c r="BE225" s="912"/>
      <c r="BF225" s="912"/>
    </row>
    <row r="226" spans="2:58" hidden="1" outlineLevel="1">
      <c r="B226" s="914" t="s">
        <v>340</v>
      </c>
      <c r="H226" s="911"/>
      <c r="I226" s="911"/>
      <c r="J226" s="911"/>
      <c r="K226" s="911"/>
      <c r="L226" s="911"/>
      <c r="M226" s="911"/>
      <c r="N226" s="911"/>
      <c r="O226" s="911"/>
      <c r="P226" s="911"/>
      <c r="Q226" s="911"/>
      <c r="R226" s="911"/>
      <c r="S226" s="911"/>
      <c r="T226" s="911"/>
      <c r="U226" s="911"/>
      <c r="V226" s="911"/>
      <c r="W226" s="911"/>
      <c r="X226" s="911"/>
      <c r="Y226" s="911"/>
      <c r="Z226" s="911"/>
      <c r="AA226" s="911"/>
      <c r="AB226" s="911"/>
      <c r="AC226" s="911"/>
      <c r="AD226" s="911"/>
      <c r="AE226" s="911"/>
      <c r="AF226" s="911"/>
      <c r="AG226" s="911"/>
      <c r="AH226" s="911"/>
      <c r="AI226" s="911"/>
      <c r="AS226" s="35">
        <f t="shared" si="347"/>
        <v>-1.8309278350515465</v>
      </c>
      <c r="AT226" s="35">
        <f t="shared" si="347"/>
        <v>-2.0297766749379651</v>
      </c>
      <c r="AU226" s="35">
        <f t="shared" si="347"/>
        <v>-1.491566265060241</v>
      </c>
      <c r="AZ226" s="912"/>
      <c r="BA226" s="912"/>
      <c r="BB226" s="912"/>
      <c r="BC226" s="912"/>
      <c r="BD226" s="912"/>
      <c r="BE226" s="912"/>
      <c r="BF226" s="912"/>
    </row>
    <row r="227" spans="2:58" hidden="1" outlineLevel="1">
      <c r="B227" s="916" t="s">
        <v>526</v>
      </c>
      <c r="H227" s="911"/>
      <c r="I227" s="911"/>
      <c r="J227" s="911"/>
      <c r="K227" s="911"/>
      <c r="L227" s="911"/>
      <c r="M227" s="911"/>
      <c r="N227" s="911"/>
      <c r="O227" s="911"/>
      <c r="P227" s="911"/>
      <c r="Q227" s="911"/>
      <c r="R227" s="911"/>
      <c r="S227" s="911"/>
      <c r="T227" s="911"/>
      <c r="U227" s="911"/>
      <c r="V227" s="911"/>
      <c r="W227" s="911"/>
      <c r="X227" s="911"/>
      <c r="Y227" s="911"/>
      <c r="Z227" s="911"/>
      <c r="AA227" s="911"/>
      <c r="AB227" s="911"/>
      <c r="AC227" s="911"/>
      <c r="AD227" s="911"/>
      <c r="AE227" s="911"/>
      <c r="AF227" s="911"/>
      <c r="AG227" s="911"/>
      <c r="AH227" s="911"/>
      <c r="AI227" s="911"/>
      <c r="AS227" s="35">
        <f t="shared" si="347"/>
        <v>5.5966252051598442E-2</v>
      </c>
      <c r="AT227" s="35">
        <f t="shared" si="347"/>
        <v>0.11540289534868786</v>
      </c>
      <c r="AU227" s="35">
        <f t="shared" si="347"/>
        <v>7.7700874091647165E-2</v>
      </c>
      <c r="AZ227" s="912"/>
      <c r="BA227" s="912"/>
      <c r="BB227" s="912"/>
      <c r="BC227" s="912"/>
      <c r="BD227" s="912"/>
      <c r="BE227" s="912"/>
      <c r="BF227" s="912"/>
    </row>
    <row r="228" spans="2:58" hidden="1" outlineLevel="1">
      <c r="H228" s="911"/>
      <c r="I228" s="911"/>
      <c r="J228" s="911"/>
      <c r="K228" s="911"/>
      <c r="L228" s="911"/>
      <c r="M228" s="911"/>
      <c r="N228" s="911"/>
      <c r="O228" s="911"/>
      <c r="P228" s="911"/>
      <c r="Q228" s="911"/>
      <c r="R228" s="911"/>
      <c r="S228" s="911"/>
      <c r="T228" s="911"/>
      <c r="U228" s="911"/>
      <c r="V228" s="911"/>
      <c r="W228" s="911"/>
      <c r="X228" s="911"/>
      <c r="Y228" s="911"/>
      <c r="Z228" s="911"/>
      <c r="AA228" s="911"/>
      <c r="AB228" s="911"/>
      <c r="AC228" s="911"/>
      <c r="AD228" s="911"/>
      <c r="AE228" s="911"/>
      <c r="AF228" s="911"/>
      <c r="AG228" s="911"/>
      <c r="AH228" s="911"/>
      <c r="AI228" s="911"/>
      <c r="AZ228" s="912"/>
      <c r="BA228" s="912"/>
      <c r="BB228" s="912"/>
      <c r="BC228" s="912"/>
      <c r="BD228" s="912"/>
      <c r="BE228" s="912"/>
      <c r="BF228" s="912"/>
    </row>
    <row r="229" spans="2:58" hidden="1" outlineLevel="1">
      <c r="B229" t="s">
        <v>1208</v>
      </c>
      <c r="H229" s="911"/>
      <c r="I229" s="911"/>
      <c r="J229" s="911"/>
      <c r="K229" s="911"/>
      <c r="L229" s="911"/>
      <c r="M229" s="911"/>
      <c r="N229" s="911"/>
      <c r="O229" s="911"/>
      <c r="P229" s="911"/>
      <c r="Q229" s="911"/>
      <c r="R229" s="911"/>
      <c r="S229" s="911"/>
      <c r="T229" s="911"/>
      <c r="U229" s="911"/>
      <c r="V229" s="911"/>
      <c r="W229" s="911"/>
      <c r="X229" s="911"/>
      <c r="Y229" s="911"/>
      <c r="Z229" s="911"/>
      <c r="AA229" s="911"/>
      <c r="AB229" s="911"/>
      <c r="AC229" s="911"/>
      <c r="AD229" s="911"/>
      <c r="AE229" s="911"/>
      <c r="AF229" s="911"/>
      <c r="AG229" s="911"/>
      <c r="AH229" s="911"/>
      <c r="AI229" s="911"/>
      <c r="AZ229" s="912"/>
      <c r="BA229" s="912"/>
      <c r="BB229" s="912"/>
      <c r="BC229" s="912"/>
      <c r="BD229" s="912"/>
      <c r="BE229" s="912"/>
      <c r="BF229" s="912"/>
    </row>
    <row r="230" spans="2:58" hidden="1" outlineLevel="1">
      <c r="B230" s="914" t="s">
        <v>1198</v>
      </c>
      <c r="H230" s="911"/>
      <c r="I230" s="911"/>
      <c r="J230" s="911"/>
      <c r="K230" s="911"/>
      <c r="L230" s="911"/>
      <c r="M230" s="911"/>
      <c r="N230" s="911"/>
      <c r="O230" s="911"/>
      <c r="P230" s="911"/>
      <c r="Q230" s="911"/>
      <c r="R230" s="911"/>
      <c r="S230" s="911"/>
      <c r="T230" s="911"/>
      <c r="U230" s="911"/>
      <c r="V230" s="911"/>
      <c r="W230" s="911"/>
      <c r="X230" s="911"/>
      <c r="Y230" s="911"/>
      <c r="Z230" s="911"/>
      <c r="AA230" s="911"/>
      <c r="AB230" s="911"/>
      <c r="AC230" s="911"/>
      <c r="AD230" s="911"/>
      <c r="AE230" s="911"/>
      <c r="AF230" s="911"/>
      <c r="AG230" s="911"/>
      <c r="AH230" s="911"/>
      <c r="AI230" s="911"/>
      <c r="AR230" s="29">
        <v>17240</v>
      </c>
      <c r="AS230" s="29">
        <v>16985</v>
      </c>
      <c r="AT230" s="29">
        <v>17439</v>
      </c>
      <c r="AU230" s="29">
        <v>13870</v>
      </c>
      <c r="AZ230" s="912"/>
      <c r="BA230" s="912"/>
      <c r="BB230" s="912"/>
      <c r="BC230" s="912"/>
      <c r="BD230" s="912"/>
      <c r="BE230" s="912"/>
      <c r="BF230" s="912"/>
    </row>
    <row r="231" spans="2:58" hidden="1" outlineLevel="1">
      <c r="B231" s="915" t="s">
        <v>1199</v>
      </c>
      <c r="H231" s="911"/>
      <c r="I231" s="911"/>
      <c r="J231" s="911"/>
      <c r="K231" s="911"/>
      <c r="L231" s="911"/>
      <c r="M231" s="911"/>
      <c r="N231" s="911"/>
      <c r="O231" s="911"/>
      <c r="P231" s="911"/>
      <c r="Q231" s="911"/>
      <c r="R231" s="911"/>
      <c r="S231" s="911"/>
      <c r="T231" s="911"/>
      <c r="U231" s="911"/>
      <c r="V231" s="911"/>
      <c r="W231" s="911"/>
      <c r="X231" s="911"/>
      <c r="Y231" s="911"/>
      <c r="Z231" s="911"/>
      <c r="AA231" s="911"/>
      <c r="AB231" s="911"/>
      <c r="AC231" s="911"/>
      <c r="AD231" s="911"/>
      <c r="AE231" s="911"/>
      <c r="AF231" s="911"/>
      <c r="AG231" s="911"/>
      <c r="AH231" s="911"/>
      <c r="AI231" s="911"/>
      <c r="AR231" s="29">
        <v>2495</v>
      </c>
      <c r="AS231" s="29">
        <v>956</v>
      </c>
      <c r="AT231" s="29">
        <v>892</v>
      </c>
      <c r="AU231" s="29">
        <v>1788</v>
      </c>
      <c r="AZ231" s="912"/>
      <c r="BA231" s="912"/>
      <c r="BB231" s="912"/>
      <c r="BC231" s="912"/>
      <c r="BD231" s="912"/>
      <c r="BE231" s="912"/>
      <c r="BF231" s="912"/>
    </row>
    <row r="232" spans="2:58" ht="11.45" hidden="1" outlineLevel="1">
      <c r="B232" s="915" t="s">
        <v>1200</v>
      </c>
      <c r="H232" s="911"/>
      <c r="I232" s="911"/>
      <c r="J232" s="911"/>
      <c r="K232" s="911"/>
      <c r="L232" s="911"/>
      <c r="M232" s="911"/>
      <c r="N232" s="911"/>
      <c r="O232" s="911"/>
      <c r="P232" s="911"/>
      <c r="Q232" s="911"/>
      <c r="R232" s="911"/>
      <c r="S232" s="911"/>
      <c r="T232" s="911"/>
      <c r="U232" s="911"/>
      <c r="V232" s="911"/>
      <c r="W232" s="911"/>
      <c r="X232" s="911"/>
      <c r="Y232" s="911"/>
      <c r="Z232" s="911"/>
      <c r="AA232" s="911"/>
      <c r="AB232" s="911"/>
      <c r="AC232" s="911"/>
      <c r="AD232" s="911"/>
      <c r="AE232" s="911"/>
      <c r="AF232" s="911"/>
      <c r="AG232" s="911"/>
      <c r="AH232" s="911"/>
      <c r="AI232" s="911"/>
      <c r="AR232" s="30">
        <v>0</v>
      </c>
      <c r="AS232" s="30">
        <v>0</v>
      </c>
      <c r="AT232" s="30">
        <v>54</v>
      </c>
      <c r="AU232" s="30">
        <v>701</v>
      </c>
      <c r="AZ232" s="912"/>
      <c r="BA232" s="912"/>
      <c r="BB232" s="912"/>
      <c r="BC232" s="912"/>
      <c r="BD232" s="912"/>
      <c r="BE232" s="912"/>
      <c r="BF232" s="912"/>
    </row>
    <row r="233" spans="2:58" hidden="1" outlineLevel="1">
      <c r="B233" s="914" t="s">
        <v>1201</v>
      </c>
      <c r="H233" s="911"/>
      <c r="I233" s="911"/>
      <c r="J233" s="911"/>
      <c r="K233" s="911"/>
      <c r="L233" s="911"/>
      <c r="M233" s="911"/>
      <c r="N233" s="911"/>
      <c r="O233" s="911"/>
      <c r="P233" s="911"/>
      <c r="Q233" s="911"/>
      <c r="R233" s="911"/>
      <c r="S233" s="911"/>
      <c r="T233" s="911"/>
      <c r="U233" s="911"/>
      <c r="V233" s="911"/>
      <c r="W233" s="911"/>
      <c r="X233" s="911"/>
      <c r="Y233" s="911"/>
      <c r="Z233" s="911"/>
      <c r="AA233" s="911"/>
      <c r="AB233" s="911"/>
      <c r="AC233" s="911"/>
      <c r="AD233" s="911"/>
      <c r="AE233" s="911"/>
      <c r="AF233" s="911"/>
      <c r="AG233" s="911"/>
      <c r="AH233" s="911"/>
      <c r="AI233" s="911"/>
      <c r="AR233" s="11">
        <f>+SUM(AR231:AR232)</f>
        <v>2495</v>
      </c>
      <c r="AS233" s="11">
        <f>+SUM(AS231:AS232)</f>
        <v>956</v>
      </c>
      <c r="AT233" s="11">
        <f t="shared" ref="AT233:AU233" si="348">+SUM(AT231:AT232)</f>
        <v>946</v>
      </c>
      <c r="AU233" s="11">
        <f t="shared" si="348"/>
        <v>2489</v>
      </c>
      <c r="AZ233" s="912"/>
      <c r="BA233" s="912"/>
      <c r="BB233" s="912"/>
      <c r="BC233" s="912"/>
      <c r="BD233" s="912"/>
      <c r="BE233" s="912"/>
      <c r="BF233" s="912"/>
    </row>
    <row r="234" spans="2:58" ht="11.45" hidden="1" outlineLevel="1">
      <c r="B234" s="914" t="s">
        <v>1202</v>
      </c>
      <c r="H234" s="911"/>
      <c r="I234" s="911"/>
      <c r="J234" s="911"/>
      <c r="K234" s="911"/>
      <c r="L234" s="911"/>
      <c r="M234" s="911"/>
      <c r="N234" s="911"/>
      <c r="O234" s="911"/>
      <c r="P234" s="911"/>
      <c r="Q234" s="911"/>
      <c r="R234" s="911"/>
      <c r="S234" s="911"/>
      <c r="T234" s="911"/>
      <c r="U234" s="911"/>
      <c r="V234" s="911"/>
      <c r="W234" s="911"/>
      <c r="X234" s="911"/>
      <c r="Y234" s="911"/>
      <c r="Z234" s="911"/>
      <c r="AA234" s="911"/>
      <c r="AB234" s="911"/>
      <c r="AC234" s="911"/>
      <c r="AD234" s="911"/>
      <c r="AE234" s="911"/>
      <c r="AF234" s="911"/>
      <c r="AG234" s="911"/>
      <c r="AH234" s="911"/>
      <c r="AI234" s="911"/>
      <c r="AR234" s="30">
        <v>1998</v>
      </c>
      <c r="AS234" s="30">
        <v>1951</v>
      </c>
      <c r="AT234" s="30">
        <v>1393</v>
      </c>
      <c r="AU234" s="30">
        <v>2022</v>
      </c>
      <c r="AZ234" s="912"/>
      <c r="BA234" s="912"/>
      <c r="BB234" s="912"/>
      <c r="BC234" s="912"/>
      <c r="BD234" s="912"/>
      <c r="BE234" s="912"/>
      <c r="BF234" s="912"/>
    </row>
    <row r="235" spans="2:58" hidden="1" outlineLevel="1">
      <c r="B235" s="916" t="s">
        <v>1203</v>
      </c>
      <c r="H235" s="911"/>
      <c r="I235" s="911"/>
      <c r="J235" s="911"/>
      <c r="K235" s="911"/>
      <c r="L235" s="911"/>
      <c r="M235" s="911"/>
      <c r="N235" s="911"/>
      <c r="O235" s="911"/>
      <c r="P235" s="911"/>
      <c r="Q235" s="911"/>
      <c r="R235" s="911"/>
      <c r="S235" s="911"/>
      <c r="T235" s="911"/>
      <c r="U235" s="911"/>
      <c r="V235" s="911"/>
      <c r="W235" s="911"/>
      <c r="X235" s="911"/>
      <c r="Y235" s="911"/>
      <c r="Z235" s="911"/>
      <c r="AA235" s="911"/>
      <c r="AB235" s="911"/>
      <c r="AC235" s="911"/>
      <c r="AD235" s="911"/>
      <c r="AE235" s="911"/>
      <c r="AF235" s="911"/>
      <c r="AG235" s="911"/>
      <c r="AH235" s="911"/>
      <c r="AI235" s="911"/>
      <c r="AR235" s="8">
        <f>+AR230+AR233+AR234</f>
        <v>21733</v>
      </c>
      <c r="AS235" s="8">
        <f>+AS230+AS233+AS234</f>
        <v>19892</v>
      </c>
      <c r="AT235" s="8">
        <f t="shared" ref="AT235:AU235" si="349">+AT230+AT233+AT234</f>
        <v>19778</v>
      </c>
      <c r="AU235" s="8">
        <f t="shared" si="349"/>
        <v>18381</v>
      </c>
      <c r="AZ235" s="912"/>
      <c r="BA235" s="912"/>
      <c r="BB235" s="912"/>
      <c r="BC235" s="912"/>
      <c r="BD235" s="912"/>
      <c r="BE235" s="912"/>
      <c r="BF235" s="912"/>
    </row>
    <row r="236" spans="2:58" hidden="1" outlineLevel="1">
      <c r="B236" s="914" t="s">
        <v>1204</v>
      </c>
      <c r="H236" s="911"/>
      <c r="I236" s="911"/>
      <c r="J236" s="911"/>
      <c r="K236" s="911"/>
      <c r="L236" s="911"/>
      <c r="M236" s="911"/>
      <c r="N236" s="911"/>
      <c r="O236" s="911"/>
      <c r="P236" s="911"/>
      <c r="Q236" s="911"/>
      <c r="R236" s="911"/>
      <c r="S236" s="911"/>
      <c r="T236" s="911"/>
      <c r="U236" s="911"/>
      <c r="V236" s="911"/>
      <c r="W236" s="911"/>
      <c r="X236" s="911"/>
      <c r="Y236" s="911"/>
      <c r="Z236" s="911"/>
      <c r="AA236" s="911"/>
      <c r="AB236" s="911"/>
      <c r="AC236" s="911"/>
      <c r="AD236" s="911"/>
      <c r="AE236" s="911"/>
      <c r="AF236" s="911"/>
      <c r="AG236" s="911"/>
      <c r="AH236" s="911"/>
      <c r="AI236" s="911"/>
      <c r="AR236" s="29">
        <v>34463</v>
      </c>
      <c r="AS236" s="29">
        <v>36280</v>
      </c>
      <c r="AT236" s="29">
        <v>38615</v>
      </c>
      <c r="AU236" s="29">
        <v>37830</v>
      </c>
      <c r="AZ236" s="912"/>
      <c r="BA236" s="912"/>
      <c r="BB236" s="912"/>
      <c r="BC236" s="912"/>
      <c r="BD236" s="912"/>
      <c r="BE236" s="912"/>
      <c r="BF236" s="912"/>
    </row>
    <row r="237" spans="2:58" ht="11.45" hidden="1" outlineLevel="1">
      <c r="B237" s="914" t="s">
        <v>1205</v>
      </c>
      <c r="H237" s="911"/>
      <c r="I237" s="911"/>
      <c r="J237" s="911"/>
      <c r="K237" s="911"/>
      <c r="L237" s="911"/>
      <c r="M237" s="911"/>
      <c r="N237" s="911"/>
      <c r="O237" s="911"/>
      <c r="P237" s="911"/>
      <c r="Q237" s="911"/>
      <c r="R237" s="911"/>
      <c r="S237" s="911"/>
      <c r="T237" s="911"/>
      <c r="U237" s="911"/>
      <c r="V237" s="911"/>
      <c r="W237" s="911"/>
      <c r="X237" s="911"/>
      <c r="Y237" s="911"/>
      <c r="Z237" s="911"/>
      <c r="AA237" s="911"/>
      <c r="AB237" s="911"/>
      <c r="AC237" s="911"/>
      <c r="AD237" s="911"/>
      <c r="AE237" s="911"/>
      <c r="AF237" s="911"/>
      <c r="AG237" s="911"/>
      <c r="AH237" s="911"/>
      <c r="AI237" s="911"/>
      <c r="AR237" s="30">
        <v>579</v>
      </c>
      <c r="AS237" s="30">
        <v>922</v>
      </c>
      <c r="AT237" s="30">
        <v>1855</v>
      </c>
      <c r="AU237" s="30">
        <v>4199</v>
      </c>
      <c r="AZ237" s="912"/>
      <c r="BA237" s="912"/>
      <c r="BB237" s="912"/>
      <c r="BC237" s="912"/>
      <c r="BD237" s="912"/>
      <c r="BE237" s="912"/>
      <c r="BF237" s="912"/>
    </row>
    <row r="238" spans="2:58" hidden="1" outlineLevel="1">
      <c r="B238" s="916" t="s">
        <v>1206</v>
      </c>
      <c r="H238" s="911"/>
      <c r="I238" s="911"/>
      <c r="J238" s="911"/>
      <c r="K238" s="911"/>
      <c r="L238" s="911"/>
      <c r="M238" s="911"/>
      <c r="N238" s="911"/>
      <c r="O238" s="911"/>
      <c r="P238" s="911"/>
      <c r="Q238" s="911"/>
      <c r="R238" s="911"/>
      <c r="S238" s="911"/>
      <c r="T238" s="911"/>
      <c r="U238" s="911"/>
      <c r="V238" s="911"/>
      <c r="W238" s="911"/>
      <c r="X238" s="911"/>
      <c r="Y238" s="911"/>
      <c r="Z238" s="911"/>
      <c r="AA238" s="911"/>
      <c r="AB238" s="911"/>
      <c r="AC238" s="911"/>
      <c r="AD238" s="911"/>
      <c r="AE238" s="911"/>
      <c r="AF238" s="911"/>
      <c r="AG238" s="911"/>
      <c r="AH238" s="911"/>
      <c r="AI238" s="911"/>
      <c r="AR238" s="8">
        <f>+SUM(AR236:AR237)</f>
        <v>35042</v>
      </c>
      <c r="AS238" s="8">
        <f>+SUM(AS236:AS237)</f>
        <v>37202</v>
      </c>
      <c r="AT238" s="8">
        <f t="shared" ref="AT238:AU238" si="350">+SUM(AT236:AT237)</f>
        <v>40470</v>
      </c>
      <c r="AU238" s="8">
        <f t="shared" si="350"/>
        <v>42029</v>
      </c>
      <c r="AZ238" s="912"/>
      <c r="BA238" s="912"/>
      <c r="BB238" s="912"/>
      <c r="BC238" s="912"/>
      <c r="BD238" s="912"/>
      <c r="BE238" s="912"/>
      <c r="BF238" s="912"/>
    </row>
    <row r="239" spans="2:58" ht="11.45" hidden="1" outlineLevel="1">
      <c r="B239" s="916" t="s">
        <v>340</v>
      </c>
      <c r="H239" s="911"/>
      <c r="I239" s="911"/>
      <c r="J239" s="911"/>
      <c r="K239" s="911"/>
      <c r="L239" s="911"/>
      <c r="M239" s="911"/>
      <c r="N239" s="911"/>
      <c r="O239" s="911"/>
      <c r="P239" s="911"/>
      <c r="Q239" s="911"/>
      <c r="R239" s="911"/>
      <c r="S239" s="911"/>
      <c r="T239" s="911"/>
      <c r="U239" s="911"/>
      <c r="V239" s="911"/>
      <c r="W239" s="911"/>
      <c r="X239" s="911"/>
      <c r="Y239" s="911"/>
      <c r="Z239" s="911"/>
      <c r="AA239" s="911"/>
      <c r="AB239" s="911"/>
      <c r="AC239" s="911"/>
      <c r="AD239" s="911"/>
      <c r="AE239" s="911"/>
      <c r="AF239" s="911"/>
      <c r="AG239" s="911"/>
      <c r="AH239" s="911"/>
      <c r="AI239" s="911"/>
      <c r="AR239" s="30">
        <v>-582</v>
      </c>
      <c r="AS239" s="30">
        <v>370</v>
      </c>
      <c r="AT239" s="30">
        <v>-493</v>
      </c>
      <c r="AU239" s="30">
        <v>132</v>
      </c>
      <c r="AZ239" s="912"/>
      <c r="BA239" s="912"/>
      <c r="BB239" s="912"/>
      <c r="BC239" s="912"/>
      <c r="BD239" s="912"/>
      <c r="BE239" s="912"/>
      <c r="BF239" s="912"/>
    </row>
    <row r="240" spans="2:58" hidden="1" outlineLevel="1">
      <c r="B240" s="917" t="s">
        <v>526</v>
      </c>
      <c r="H240" s="911"/>
      <c r="I240" s="911"/>
      <c r="J240" s="911"/>
      <c r="K240" s="911"/>
      <c r="L240" s="911"/>
      <c r="M240" s="911"/>
      <c r="N240" s="911"/>
      <c r="O240" s="911"/>
      <c r="P240" s="911"/>
      <c r="Q240" s="911"/>
      <c r="R240" s="911"/>
      <c r="S240" s="911"/>
      <c r="T240" s="911"/>
      <c r="U240" s="911"/>
      <c r="V240" s="911"/>
      <c r="W240" s="911"/>
      <c r="X240" s="911"/>
      <c r="Y240" s="911"/>
      <c r="Z240" s="911"/>
      <c r="AA240" s="911"/>
      <c r="AB240" s="911"/>
      <c r="AC240" s="911"/>
      <c r="AD240" s="911"/>
      <c r="AE240" s="911"/>
      <c r="AF240" s="911"/>
      <c r="AG240" s="911"/>
      <c r="AH240" s="911"/>
      <c r="AI240" s="911"/>
      <c r="AR240" s="8">
        <f>+SUM(AR235,AR238:AR239)</f>
        <v>56193</v>
      </c>
      <c r="AS240" s="8">
        <f>+SUM(AS235,AS238:AS239)</f>
        <v>57464</v>
      </c>
      <c r="AT240" s="8">
        <f t="shared" ref="AT240:AU240" si="351">+SUM(AT235,AT238:AT239)</f>
        <v>59755</v>
      </c>
      <c r="AU240" s="8">
        <f t="shared" si="351"/>
        <v>60542</v>
      </c>
      <c r="AZ240" s="912"/>
      <c r="BA240" s="912"/>
      <c r="BB240" s="912"/>
      <c r="BC240" s="912"/>
      <c r="BD240" s="912"/>
      <c r="BE240" s="912"/>
      <c r="BF240" s="912"/>
    </row>
    <row r="241" spans="2:58" hidden="1" outlineLevel="1">
      <c r="H241" s="911"/>
      <c r="I241" s="911"/>
      <c r="J241" s="911"/>
      <c r="K241" s="911"/>
      <c r="L241" s="911"/>
      <c r="M241" s="911"/>
      <c r="N241" s="911"/>
      <c r="O241" s="911"/>
      <c r="P241" s="911"/>
      <c r="Q241" s="911"/>
      <c r="R241" s="911"/>
      <c r="S241" s="911"/>
      <c r="T241" s="911"/>
      <c r="U241" s="911"/>
      <c r="V241" s="911"/>
      <c r="W241" s="911"/>
      <c r="X241" s="911"/>
      <c r="Y241" s="911"/>
      <c r="Z241" s="911"/>
      <c r="AA241" s="911"/>
      <c r="AB241" s="911"/>
      <c r="AC241" s="911"/>
      <c r="AD241" s="911"/>
      <c r="AE241" s="911"/>
      <c r="AF241" s="911"/>
      <c r="AG241" s="911"/>
      <c r="AH241" s="911"/>
      <c r="AI241" s="911"/>
      <c r="AZ241" s="912"/>
      <c r="BA241" s="912"/>
      <c r="BB241" s="912"/>
      <c r="BC241" s="912"/>
      <c r="BD241" s="912"/>
      <c r="BE241" s="912"/>
      <c r="BF241" s="912"/>
    </row>
    <row r="242" spans="2:58" hidden="1" outlineLevel="1">
      <c r="B242" s="12" t="s">
        <v>1207</v>
      </c>
      <c r="H242" s="911"/>
      <c r="I242" s="911"/>
      <c r="J242" s="911"/>
      <c r="K242" s="911"/>
      <c r="L242" s="911"/>
      <c r="M242" s="911"/>
      <c r="N242" s="911"/>
      <c r="O242" s="911"/>
      <c r="P242" s="911"/>
      <c r="Q242" s="911"/>
      <c r="R242" s="911"/>
      <c r="S242" s="911"/>
      <c r="T242" s="911"/>
      <c r="U242" s="911"/>
      <c r="V242" s="911"/>
      <c r="W242" s="911"/>
      <c r="X242" s="911"/>
      <c r="Y242" s="911"/>
      <c r="Z242" s="911"/>
      <c r="AA242" s="911"/>
      <c r="AB242" s="911"/>
      <c r="AC242" s="911"/>
      <c r="AD242" s="911"/>
      <c r="AE242" s="911"/>
      <c r="AF242" s="911"/>
      <c r="AG242" s="911"/>
      <c r="AH242" s="911"/>
      <c r="AI242" s="911"/>
      <c r="AZ242" s="912"/>
      <c r="BA242" s="912"/>
      <c r="BB242" s="912"/>
      <c r="BC242" s="912"/>
      <c r="BD242" s="912"/>
      <c r="BE242" s="912"/>
      <c r="BF242" s="912"/>
    </row>
    <row r="243" spans="2:58" hidden="1" outlineLevel="1">
      <c r="B243" s="915" t="s">
        <v>1198</v>
      </c>
      <c r="H243" s="911"/>
      <c r="I243" s="911"/>
      <c r="J243" s="911"/>
      <c r="K243" s="911"/>
      <c r="L243" s="911"/>
      <c r="M243" s="911"/>
      <c r="N243" s="911"/>
      <c r="O243" s="911"/>
      <c r="P243" s="911"/>
      <c r="Q243" s="911"/>
      <c r="R243" s="911"/>
      <c r="S243" s="911"/>
      <c r="T243" s="911"/>
      <c r="U243" s="911"/>
      <c r="V243" s="911"/>
      <c r="W243" s="911"/>
      <c r="X243" s="911"/>
      <c r="Y243" s="911"/>
      <c r="Z243" s="911"/>
      <c r="AA243" s="911"/>
      <c r="AB243" s="911"/>
      <c r="AC243" s="911"/>
      <c r="AD243" s="911"/>
      <c r="AE243" s="911"/>
      <c r="AF243" s="911"/>
      <c r="AG243" s="911"/>
      <c r="AH243" s="911"/>
      <c r="AI243" s="911"/>
      <c r="AS243" s="35">
        <f>+IFERROR(AS230/AR230-1,"n/a ")</f>
        <v>-1.4791183294663557E-2</v>
      </c>
      <c r="AT243" s="35">
        <f t="shared" ref="AT243:AU243" si="352">+IFERROR(AT230/AS230-1,"n/a ")</f>
        <v>2.6729467176920707E-2</v>
      </c>
      <c r="AU243" s="35">
        <f t="shared" si="352"/>
        <v>-0.20465623028843394</v>
      </c>
      <c r="AZ243" s="912"/>
      <c r="BA243" s="912"/>
      <c r="BB243" s="912"/>
      <c r="BC243" s="912"/>
      <c r="BD243" s="912"/>
      <c r="BE243" s="912"/>
      <c r="BF243" s="912"/>
    </row>
    <row r="244" spans="2:58" hidden="1" outlineLevel="1">
      <c r="B244" s="918" t="s">
        <v>1199</v>
      </c>
      <c r="H244" s="911"/>
      <c r="I244" s="911"/>
      <c r="J244" s="911"/>
      <c r="K244" s="911"/>
      <c r="L244" s="911"/>
      <c r="M244" s="911"/>
      <c r="N244" s="911"/>
      <c r="O244" s="911"/>
      <c r="P244" s="911"/>
      <c r="Q244" s="911"/>
      <c r="R244" s="911"/>
      <c r="S244" s="911"/>
      <c r="T244" s="911"/>
      <c r="U244" s="911"/>
      <c r="V244" s="911"/>
      <c r="W244" s="911"/>
      <c r="X244" s="911"/>
      <c r="Y244" s="911"/>
      <c r="Z244" s="911"/>
      <c r="AA244" s="911"/>
      <c r="AB244" s="911"/>
      <c r="AC244" s="911"/>
      <c r="AD244" s="911"/>
      <c r="AE244" s="911"/>
      <c r="AF244" s="911"/>
      <c r="AG244" s="911"/>
      <c r="AH244" s="911"/>
      <c r="AI244" s="911"/>
      <c r="AS244" s="35">
        <f t="shared" ref="AS244:AU253" si="353">+IFERROR(AS231/AR231-1,"n/a ")</f>
        <v>-0.61683366733466927</v>
      </c>
      <c r="AT244" s="35">
        <f t="shared" si="353"/>
        <v>-6.6945606694560622E-2</v>
      </c>
      <c r="AU244" s="35">
        <f t="shared" si="353"/>
        <v>1.0044843049327352</v>
      </c>
      <c r="AZ244" s="912"/>
      <c r="BA244" s="912"/>
      <c r="BB244" s="912"/>
      <c r="BC244" s="912"/>
      <c r="BD244" s="912"/>
      <c r="BE244" s="912"/>
      <c r="BF244" s="912"/>
    </row>
    <row r="245" spans="2:58" hidden="1" outlineLevel="1">
      <c r="B245" s="918" t="s">
        <v>1200</v>
      </c>
      <c r="H245" s="911"/>
      <c r="I245" s="911"/>
      <c r="J245" s="911"/>
      <c r="K245" s="911"/>
      <c r="L245" s="911"/>
      <c r="M245" s="911"/>
      <c r="N245" s="911"/>
      <c r="O245" s="911"/>
      <c r="P245" s="911"/>
      <c r="Q245" s="911"/>
      <c r="R245" s="911"/>
      <c r="S245" s="911"/>
      <c r="T245" s="911"/>
      <c r="U245" s="911"/>
      <c r="V245" s="911"/>
      <c r="W245" s="911"/>
      <c r="X245" s="911"/>
      <c r="Y245" s="911"/>
      <c r="Z245" s="911"/>
      <c r="AA245" s="911"/>
      <c r="AB245" s="911"/>
      <c r="AC245" s="911"/>
      <c r="AD245" s="911"/>
      <c r="AE245" s="911"/>
      <c r="AF245" s="911"/>
      <c r="AG245" s="911"/>
      <c r="AH245" s="911"/>
      <c r="AI245" s="911"/>
      <c r="AS245" s="35" t="str">
        <f t="shared" si="353"/>
        <v xml:space="preserve">n/a </v>
      </c>
      <c r="AT245" s="35" t="str">
        <f t="shared" si="353"/>
        <v xml:space="preserve">n/a </v>
      </c>
      <c r="AU245" s="35">
        <f t="shared" si="353"/>
        <v>11.981481481481481</v>
      </c>
      <c r="AZ245" s="912"/>
      <c r="BA245" s="912"/>
      <c r="BB245" s="912"/>
      <c r="BC245" s="912"/>
      <c r="BD245" s="912"/>
      <c r="BE245" s="912"/>
      <c r="BF245" s="912"/>
    </row>
    <row r="246" spans="2:58" hidden="1" outlineLevel="1">
      <c r="B246" s="915" t="s">
        <v>1201</v>
      </c>
      <c r="H246" s="911"/>
      <c r="I246" s="911"/>
      <c r="J246" s="911"/>
      <c r="K246" s="911"/>
      <c r="L246" s="911"/>
      <c r="M246" s="911"/>
      <c r="N246" s="911"/>
      <c r="O246" s="911"/>
      <c r="P246" s="911"/>
      <c r="Q246" s="911"/>
      <c r="R246" s="911"/>
      <c r="S246" s="911"/>
      <c r="T246" s="911"/>
      <c r="U246" s="911"/>
      <c r="V246" s="911"/>
      <c r="W246" s="911"/>
      <c r="X246" s="911"/>
      <c r="Y246" s="911"/>
      <c r="Z246" s="911"/>
      <c r="AA246" s="911"/>
      <c r="AB246" s="911"/>
      <c r="AC246" s="911"/>
      <c r="AD246" s="911"/>
      <c r="AE246" s="911"/>
      <c r="AF246" s="911"/>
      <c r="AG246" s="911"/>
      <c r="AH246" s="911"/>
      <c r="AI246" s="911"/>
      <c r="AS246" s="35">
        <f t="shared" si="353"/>
        <v>-0.61683366733466927</v>
      </c>
      <c r="AT246" s="35">
        <f t="shared" si="353"/>
        <v>-1.0460251046025104E-2</v>
      </c>
      <c r="AU246" s="35">
        <f t="shared" si="353"/>
        <v>1.6310782241014801</v>
      </c>
      <c r="AZ246" s="912"/>
      <c r="BA246" s="912"/>
      <c r="BB246" s="912"/>
      <c r="BC246" s="912"/>
      <c r="BD246" s="912"/>
      <c r="BE246" s="912"/>
      <c r="BF246" s="912"/>
    </row>
    <row r="247" spans="2:58" hidden="1" outlineLevel="1">
      <c r="B247" s="915" t="s">
        <v>1202</v>
      </c>
      <c r="H247" s="911"/>
      <c r="I247" s="911"/>
      <c r="J247" s="911"/>
      <c r="K247" s="911"/>
      <c r="L247" s="911"/>
      <c r="M247" s="911"/>
      <c r="N247" s="911"/>
      <c r="O247" s="911"/>
      <c r="P247" s="911"/>
      <c r="Q247" s="911"/>
      <c r="R247" s="911"/>
      <c r="S247" s="911"/>
      <c r="T247" s="911"/>
      <c r="U247" s="911"/>
      <c r="V247" s="911"/>
      <c r="W247" s="911"/>
      <c r="X247" s="911"/>
      <c r="Y247" s="911"/>
      <c r="Z247" s="911"/>
      <c r="AA247" s="911"/>
      <c r="AB247" s="911"/>
      <c r="AC247" s="911"/>
      <c r="AD247" s="911"/>
      <c r="AE247" s="911"/>
      <c r="AF247" s="911"/>
      <c r="AG247" s="911"/>
      <c r="AH247" s="911"/>
      <c r="AI247" s="911"/>
      <c r="AS247" s="35">
        <f t="shared" si="353"/>
        <v>-2.3523523523523493E-2</v>
      </c>
      <c r="AT247" s="35">
        <f t="shared" si="353"/>
        <v>-0.2860071758072783</v>
      </c>
      <c r="AU247" s="35">
        <f t="shared" si="353"/>
        <v>0.45154343144292897</v>
      </c>
      <c r="AZ247" s="912"/>
      <c r="BA247" s="912"/>
      <c r="BB247" s="912"/>
      <c r="BC247" s="912"/>
      <c r="BD247" s="912"/>
      <c r="BE247" s="912"/>
      <c r="BF247" s="912"/>
    </row>
    <row r="248" spans="2:58" hidden="1" outlineLevel="1">
      <c r="B248" s="914" t="s">
        <v>1203</v>
      </c>
      <c r="H248" s="911"/>
      <c r="I248" s="911"/>
      <c r="J248" s="911"/>
      <c r="K248" s="911"/>
      <c r="L248" s="911"/>
      <c r="M248" s="911"/>
      <c r="N248" s="911"/>
      <c r="O248" s="911"/>
      <c r="P248" s="911"/>
      <c r="Q248" s="911"/>
      <c r="R248" s="911"/>
      <c r="S248" s="911"/>
      <c r="T248" s="911"/>
      <c r="U248" s="911"/>
      <c r="V248" s="911"/>
      <c r="W248" s="911"/>
      <c r="X248" s="911"/>
      <c r="Y248" s="911"/>
      <c r="Z248" s="911"/>
      <c r="AA248" s="911"/>
      <c r="AB248" s="911"/>
      <c r="AC248" s="911"/>
      <c r="AD248" s="911"/>
      <c r="AE248" s="911"/>
      <c r="AF248" s="911"/>
      <c r="AG248" s="911"/>
      <c r="AH248" s="911"/>
      <c r="AI248" s="911"/>
      <c r="AS248" s="35">
        <f t="shared" si="353"/>
        <v>-8.470988818846914E-2</v>
      </c>
      <c r="AT248" s="35">
        <f t="shared" si="353"/>
        <v>-5.7309471144179058E-3</v>
      </c>
      <c r="AU248" s="35">
        <f t="shared" si="353"/>
        <v>-7.0634037819799822E-2</v>
      </c>
      <c r="AZ248" s="912"/>
      <c r="BA248" s="912"/>
      <c r="BB248" s="912"/>
      <c r="BC248" s="912"/>
      <c r="BD248" s="912"/>
      <c r="BE248" s="912"/>
      <c r="BF248" s="912"/>
    </row>
    <row r="249" spans="2:58" hidden="1" outlineLevel="1">
      <c r="B249" s="915" t="s">
        <v>1204</v>
      </c>
      <c r="H249" s="911"/>
      <c r="I249" s="911"/>
      <c r="J249" s="911"/>
      <c r="K249" s="911"/>
      <c r="L249" s="911"/>
      <c r="M249" s="911"/>
      <c r="N249" s="911"/>
      <c r="O249" s="911"/>
      <c r="P249" s="911"/>
      <c r="Q249" s="911"/>
      <c r="R249" s="911"/>
      <c r="S249" s="911"/>
      <c r="T249" s="911"/>
      <c r="U249" s="911"/>
      <c r="V249" s="911"/>
      <c r="W249" s="911"/>
      <c r="X249" s="911"/>
      <c r="Y249" s="911"/>
      <c r="Z249" s="911"/>
      <c r="AA249" s="911"/>
      <c r="AB249" s="911"/>
      <c r="AC249" s="911"/>
      <c r="AD249" s="911"/>
      <c r="AE249" s="911"/>
      <c r="AF249" s="911"/>
      <c r="AG249" s="911"/>
      <c r="AH249" s="911"/>
      <c r="AI249" s="911"/>
      <c r="AS249" s="35">
        <f t="shared" si="353"/>
        <v>5.2723210399558962E-2</v>
      </c>
      <c r="AT249" s="35">
        <f t="shared" si="353"/>
        <v>6.4360529217199591E-2</v>
      </c>
      <c r="AU249" s="35">
        <f t="shared" si="353"/>
        <v>-2.0328887737925627E-2</v>
      </c>
      <c r="AZ249" s="912"/>
      <c r="BA249" s="912"/>
      <c r="BB249" s="912"/>
      <c r="BC249" s="912"/>
      <c r="BD249" s="912"/>
      <c r="BE249" s="912"/>
      <c r="BF249" s="912"/>
    </row>
    <row r="250" spans="2:58" hidden="1" outlineLevel="1">
      <c r="B250" s="915" t="s">
        <v>1205</v>
      </c>
      <c r="H250" s="911"/>
      <c r="I250" s="911"/>
      <c r="J250" s="911"/>
      <c r="K250" s="911"/>
      <c r="L250" s="911"/>
      <c r="M250" s="911"/>
      <c r="N250" s="911"/>
      <c r="O250" s="911"/>
      <c r="P250" s="911"/>
      <c r="Q250" s="911"/>
      <c r="R250" s="911"/>
      <c r="S250" s="911"/>
      <c r="T250" s="911"/>
      <c r="U250" s="911"/>
      <c r="V250" s="911"/>
      <c r="W250" s="911"/>
      <c r="X250" s="911"/>
      <c r="Y250" s="911"/>
      <c r="Z250" s="911"/>
      <c r="AA250" s="911"/>
      <c r="AB250" s="911"/>
      <c r="AC250" s="911"/>
      <c r="AD250" s="911"/>
      <c r="AE250" s="911"/>
      <c r="AF250" s="911"/>
      <c r="AG250" s="911"/>
      <c r="AH250" s="911"/>
      <c r="AI250" s="911"/>
      <c r="AS250" s="35">
        <f t="shared" si="353"/>
        <v>0.59240069084628666</v>
      </c>
      <c r="AT250" s="35">
        <f t="shared" si="353"/>
        <v>1.011930585683297</v>
      </c>
      <c r="AU250" s="35">
        <f t="shared" si="353"/>
        <v>1.2636118598382748</v>
      </c>
      <c r="AZ250" s="912"/>
      <c r="BA250" s="912"/>
      <c r="BB250" s="912"/>
      <c r="BC250" s="912"/>
      <c r="BD250" s="912"/>
      <c r="BE250" s="912"/>
      <c r="BF250" s="912"/>
    </row>
    <row r="251" spans="2:58" hidden="1" outlineLevel="1">
      <c r="B251" s="914" t="s">
        <v>1206</v>
      </c>
      <c r="H251" s="911"/>
      <c r="I251" s="911"/>
      <c r="J251" s="911"/>
      <c r="K251" s="911"/>
      <c r="L251" s="911"/>
      <c r="M251" s="911"/>
      <c r="N251" s="911"/>
      <c r="O251" s="911"/>
      <c r="P251" s="911"/>
      <c r="Q251" s="911"/>
      <c r="R251" s="911"/>
      <c r="S251" s="911"/>
      <c r="T251" s="911"/>
      <c r="U251" s="911"/>
      <c r="V251" s="911"/>
      <c r="W251" s="911"/>
      <c r="X251" s="911"/>
      <c r="Y251" s="911"/>
      <c r="Z251" s="911"/>
      <c r="AA251" s="911"/>
      <c r="AB251" s="911"/>
      <c r="AC251" s="911"/>
      <c r="AD251" s="911"/>
      <c r="AE251" s="911"/>
      <c r="AF251" s="911"/>
      <c r="AG251" s="911"/>
      <c r="AH251" s="911"/>
      <c r="AI251" s="911"/>
      <c r="AS251" s="35">
        <f t="shared" si="353"/>
        <v>6.1640317333485628E-2</v>
      </c>
      <c r="AT251" s="35">
        <f t="shared" si="353"/>
        <v>8.7844739530132721E-2</v>
      </c>
      <c r="AU251" s="35">
        <f t="shared" si="353"/>
        <v>3.8522362243637254E-2</v>
      </c>
      <c r="AZ251" s="912"/>
      <c r="BA251" s="912"/>
      <c r="BB251" s="912"/>
      <c r="BC251" s="912"/>
      <c r="BD251" s="912"/>
      <c r="BE251" s="912"/>
      <c r="BF251" s="912"/>
    </row>
    <row r="252" spans="2:58" hidden="1" outlineLevel="1">
      <c r="B252" s="914" t="s">
        <v>340</v>
      </c>
      <c r="H252" s="911"/>
      <c r="I252" s="911"/>
      <c r="J252" s="911"/>
      <c r="K252" s="911"/>
      <c r="L252" s="911"/>
      <c r="M252" s="911"/>
      <c r="N252" s="911"/>
      <c r="O252" s="911"/>
      <c r="P252" s="911"/>
      <c r="Q252" s="911"/>
      <c r="R252" s="911"/>
      <c r="S252" s="911"/>
      <c r="T252" s="911"/>
      <c r="U252" s="911"/>
      <c r="V252" s="911"/>
      <c r="W252" s="911"/>
      <c r="X252" s="911"/>
      <c r="Y252" s="911"/>
      <c r="Z252" s="911"/>
      <c r="AA252" s="911"/>
      <c r="AB252" s="911"/>
      <c r="AC252" s="911"/>
      <c r="AD252" s="911"/>
      <c r="AE252" s="911"/>
      <c r="AF252" s="911"/>
      <c r="AG252" s="911"/>
      <c r="AH252" s="911"/>
      <c r="AI252" s="911"/>
      <c r="AS252" s="35">
        <f t="shared" si="353"/>
        <v>-1.6357388316151202</v>
      </c>
      <c r="AT252" s="35">
        <f t="shared" si="353"/>
        <v>-2.3324324324324324</v>
      </c>
      <c r="AU252" s="35">
        <f t="shared" si="353"/>
        <v>-1.2677484787018256</v>
      </c>
      <c r="AZ252" s="912"/>
      <c r="BA252" s="912"/>
      <c r="BB252" s="912"/>
      <c r="BC252" s="912"/>
      <c r="BD252" s="912"/>
      <c r="BE252" s="912"/>
      <c r="BF252" s="912"/>
    </row>
    <row r="253" spans="2:58" hidden="1" outlineLevel="1">
      <c r="B253" s="916" t="s">
        <v>526</v>
      </c>
      <c r="H253" s="911"/>
      <c r="I253" s="911"/>
      <c r="J253" s="911"/>
      <c r="K253" s="911"/>
      <c r="L253" s="911"/>
      <c r="M253" s="911"/>
      <c r="N253" s="911"/>
      <c r="O253" s="911"/>
      <c r="P253" s="911"/>
      <c r="Q253" s="911"/>
      <c r="R253" s="911"/>
      <c r="S253" s="911"/>
      <c r="T253" s="911"/>
      <c r="U253" s="911"/>
      <c r="V253" s="911"/>
      <c r="W253" s="911"/>
      <c r="X253" s="911"/>
      <c r="Y253" s="911"/>
      <c r="Z253" s="911"/>
      <c r="AA253" s="911"/>
      <c r="AB253" s="911"/>
      <c r="AC253" s="911"/>
      <c r="AD253" s="911"/>
      <c r="AE253" s="911"/>
      <c r="AF253" s="911"/>
      <c r="AG253" s="911"/>
      <c r="AH253" s="911"/>
      <c r="AI253" s="911"/>
      <c r="AS253" s="35">
        <f t="shared" si="353"/>
        <v>2.2618475610841182E-2</v>
      </c>
      <c r="AT253" s="35">
        <f t="shared" si="353"/>
        <v>3.9868439370736475E-2</v>
      </c>
      <c r="AU253" s="35">
        <f t="shared" si="353"/>
        <v>1.3170445987783497E-2</v>
      </c>
      <c r="AZ253" s="912"/>
      <c r="BA253" s="912"/>
      <c r="BB253" s="912"/>
      <c r="BC253" s="912"/>
      <c r="BD253" s="912"/>
      <c r="BE253" s="912"/>
      <c r="BF253" s="912"/>
    </row>
    <row r="254" spans="2:58" hidden="1" outlineLevel="1">
      <c r="B254" s="916"/>
      <c r="H254" s="911"/>
      <c r="I254" s="911"/>
      <c r="J254" s="911"/>
      <c r="K254" s="911"/>
      <c r="L254" s="911"/>
      <c r="M254" s="911"/>
      <c r="N254" s="911"/>
      <c r="O254" s="911"/>
      <c r="P254" s="911"/>
      <c r="Q254" s="911"/>
      <c r="R254" s="911"/>
      <c r="S254" s="911"/>
      <c r="T254" s="911"/>
      <c r="U254" s="911"/>
      <c r="V254" s="911"/>
      <c r="W254" s="911"/>
      <c r="X254" s="911"/>
      <c r="Y254" s="911"/>
      <c r="Z254" s="911"/>
      <c r="AA254" s="911"/>
      <c r="AB254" s="911"/>
      <c r="AC254" s="911"/>
      <c r="AD254" s="911"/>
      <c r="AE254" s="911"/>
      <c r="AF254" s="911"/>
      <c r="AG254" s="911"/>
      <c r="AH254" s="911"/>
      <c r="AI254" s="911"/>
      <c r="AS254" s="35"/>
      <c r="AT254" s="35"/>
      <c r="AU254" s="35"/>
      <c r="AZ254" s="912"/>
      <c r="BA254" s="912"/>
      <c r="BB254" s="912"/>
      <c r="BC254" s="912"/>
      <c r="BD254" s="912"/>
      <c r="BE254" s="912"/>
      <c r="BF254" s="912"/>
    </row>
    <row r="255" spans="2:58" hidden="1" outlineLevel="1">
      <c r="B255" s="12" t="s">
        <v>1209</v>
      </c>
      <c r="H255" s="911"/>
      <c r="I255" s="911"/>
      <c r="J255" s="911"/>
      <c r="K255" s="911"/>
      <c r="L255" s="911"/>
      <c r="M255" s="911"/>
      <c r="N255" s="911"/>
      <c r="O255" s="911"/>
      <c r="P255" s="911"/>
      <c r="Q255" s="911"/>
      <c r="R255" s="911"/>
      <c r="S255" s="911"/>
      <c r="T255" s="911"/>
      <c r="U255" s="911"/>
      <c r="V255" s="911"/>
      <c r="W255" s="911"/>
      <c r="X255" s="911"/>
      <c r="Y255" s="911"/>
      <c r="Z255" s="911"/>
      <c r="AA255" s="911"/>
      <c r="AB255" s="911"/>
      <c r="AC255" s="911"/>
      <c r="AD255" s="911"/>
      <c r="AE255" s="911"/>
      <c r="AF255" s="911"/>
      <c r="AG255" s="911"/>
      <c r="AH255" s="911"/>
      <c r="AI255" s="911"/>
      <c r="AS255" s="35"/>
      <c r="AT255" s="35"/>
      <c r="AU255" s="35"/>
      <c r="AZ255" s="912"/>
      <c r="BA255" s="912"/>
      <c r="BB255" s="912"/>
      <c r="BC255" s="912"/>
      <c r="BD255" s="912"/>
      <c r="BE255" s="912"/>
      <c r="BF255" s="912"/>
    </row>
    <row r="256" spans="2:58" hidden="1" outlineLevel="1">
      <c r="B256" s="915" t="s">
        <v>1198</v>
      </c>
      <c r="H256" s="911"/>
      <c r="I256" s="911"/>
      <c r="J256" s="911"/>
      <c r="K256" s="911"/>
      <c r="L256" s="911"/>
      <c r="M256" s="911"/>
      <c r="N256" s="911"/>
      <c r="O256" s="911"/>
      <c r="P256" s="911"/>
      <c r="Q256" s="911"/>
      <c r="R256" s="911"/>
      <c r="S256" s="911"/>
      <c r="T256" s="911"/>
      <c r="U256" s="911"/>
      <c r="V256" s="911"/>
      <c r="W256" s="911"/>
      <c r="X256" s="911"/>
      <c r="Y256" s="911"/>
      <c r="Z256" s="911"/>
      <c r="AA256" s="911"/>
      <c r="AB256" s="911"/>
      <c r="AC256" s="911"/>
      <c r="AD256" s="911"/>
      <c r="AE256" s="911"/>
      <c r="AF256" s="911"/>
      <c r="AG256" s="911"/>
      <c r="AH256" s="911"/>
      <c r="AI256" s="911"/>
      <c r="AR256" s="35">
        <f>+IFERROR(AR230/AR204,"n/a ")</f>
        <v>0.88432931520902791</v>
      </c>
      <c r="AS256" s="35">
        <f t="shared" ref="AS256:AU256" si="354">+IFERROR(AS230/AS204,"n/a ")</f>
        <v>0.87429865650898231</v>
      </c>
      <c r="AT256" s="35">
        <f t="shared" si="354"/>
        <v>0.89302539942646453</v>
      </c>
      <c r="AU256" s="35">
        <f t="shared" si="354"/>
        <v>0.92658160197742001</v>
      </c>
      <c r="AZ256" s="912"/>
      <c r="BA256" s="912"/>
      <c r="BB256" s="912"/>
      <c r="BC256" s="912"/>
      <c r="BD256" s="912"/>
      <c r="BE256" s="912"/>
      <c r="BF256" s="912"/>
    </row>
    <row r="257" spans="2:58" hidden="1" outlineLevel="1">
      <c r="B257" s="918" t="s">
        <v>1199</v>
      </c>
      <c r="H257" s="911"/>
      <c r="I257" s="911"/>
      <c r="J257" s="911"/>
      <c r="K257" s="911"/>
      <c r="L257" s="911"/>
      <c r="M257" s="911"/>
      <c r="N257" s="911"/>
      <c r="O257" s="911"/>
      <c r="P257" s="911"/>
      <c r="Q257" s="911"/>
      <c r="R257" s="911"/>
      <c r="S257" s="911"/>
      <c r="T257" s="911"/>
      <c r="U257" s="911"/>
      <c r="V257" s="911"/>
      <c r="W257" s="911"/>
      <c r="X257" s="911"/>
      <c r="Y257" s="911"/>
      <c r="Z257" s="911"/>
      <c r="AA257" s="911"/>
      <c r="AB257" s="911"/>
      <c r="AC257" s="911"/>
      <c r="AD257" s="911"/>
      <c r="AE257" s="911"/>
      <c r="AF257" s="911"/>
      <c r="AG257" s="911"/>
      <c r="AH257" s="911"/>
      <c r="AI257" s="911"/>
      <c r="AR257" s="35">
        <f t="shared" ref="AR257:AU266" si="355">+IFERROR(AR231/AR205,"n/a ")</f>
        <v>0.37017804154302669</v>
      </c>
      <c r="AS257" s="35">
        <f t="shared" si="355"/>
        <v>0.15547243454220197</v>
      </c>
      <c r="AT257" s="35">
        <f t="shared" si="355"/>
        <v>9.809743758935445E-2</v>
      </c>
      <c r="AU257" s="35">
        <f t="shared" si="355"/>
        <v>0.17558676225081019</v>
      </c>
      <c r="AZ257" s="912"/>
      <c r="BA257" s="912"/>
      <c r="BB257" s="912"/>
      <c r="BC257" s="912"/>
      <c r="BD257" s="912"/>
      <c r="BE257" s="912"/>
      <c r="BF257" s="912"/>
    </row>
    <row r="258" spans="2:58" hidden="1" outlineLevel="1">
      <c r="B258" s="918" t="s">
        <v>1200</v>
      </c>
      <c r="H258" s="911"/>
      <c r="I258" s="911"/>
      <c r="J258" s="911"/>
      <c r="K258" s="911"/>
      <c r="L258" s="911"/>
      <c r="M258" s="911"/>
      <c r="N258" s="911"/>
      <c r="O258" s="911"/>
      <c r="P258" s="911"/>
      <c r="Q258" s="911"/>
      <c r="R258" s="911"/>
      <c r="S258" s="911"/>
      <c r="T258" s="911"/>
      <c r="U258" s="911"/>
      <c r="V258" s="911"/>
      <c r="W258" s="911"/>
      <c r="X258" s="911"/>
      <c r="Y258" s="911"/>
      <c r="Z258" s="911"/>
      <c r="AA258" s="911"/>
      <c r="AB258" s="911"/>
      <c r="AC258" s="911"/>
      <c r="AD258" s="911"/>
      <c r="AE258" s="911"/>
      <c r="AF258" s="911"/>
      <c r="AG258" s="911"/>
      <c r="AH258" s="911"/>
      <c r="AI258" s="911"/>
      <c r="AR258" s="35" t="str">
        <f t="shared" si="355"/>
        <v xml:space="preserve">n/a </v>
      </c>
      <c r="AS258" s="35" t="str">
        <f t="shared" si="355"/>
        <v xml:space="preserve">n/a </v>
      </c>
      <c r="AT258" s="35">
        <f t="shared" si="355"/>
        <v>2.7245206861755803E-2</v>
      </c>
      <c r="AU258" s="35">
        <f t="shared" si="355"/>
        <v>9.3168527379053692E-2</v>
      </c>
      <c r="AZ258" s="912"/>
      <c r="BA258" s="912"/>
      <c r="BB258" s="912"/>
      <c r="BC258" s="912"/>
      <c r="BD258" s="912"/>
      <c r="BE258" s="912"/>
      <c r="BF258" s="912"/>
    </row>
    <row r="259" spans="2:58" hidden="1" outlineLevel="1">
      <c r="B259" s="915" t="s">
        <v>1201</v>
      </c>
      <c r="H259" s="911"/>
      <c r="I259" s="911"/>
      <c r="J259" s="911"/>
      <c r="K259" s="911"/>
      <c r="L259" s="911"/>
      <c r="M259" s="911"/>
      <c r="N259" s="911"/>
      <c r="O259" s="911"/>
      <c r="P259" s="911"/>
      <c r="Q259" s="911"/>
      <c r="R259" s="911"/>
      <c r="S259" s="911"/>
      <c r="T259" s="911"/>
      <c r="U259" s="911"/>
      <c r="V259" s="911"/>
      <c r="W259" s="911"/>
      <c r="X259" s="911"/>
      <c r="Y259" s="911"/>
      <c r="Z259" s="911"/>
      <c r="AA259" s="911"/>
      <c r="AB259" s="911"/>
      <c r="AC259" s="911"/>
      <c r="AD259" s="911"/>
      <c r="AE259" s="911"/>
      <c r="AF259" s="911"/>
      <c r="AG259" s="911"/>
      <c r="AH259" s="911"/>
      <c r="AI259" s="911"/>
      <c r="AR259" s="35">
        <f t="shared" si="355"/>
        <v>0.37017804154302669</v>
      </c>
      <c r="AS259" s="35">
        <f t="shared" si="355"/>
        <v>0.15547243454220197</v>
      </c>
      <c r="AT259" s="35">
        <f t="shared" si="355"/>
        <v>8.54176072234763E-2</v>
      </c>
      <c r="AU259" s="35">
        <f t="shared" si="355"/>
        <v>0.14056587790139494</v>
      </c>
      <c r="AZ259" s="912"/>
      <c r="BA259" s="912"/>
      <c r="BB259" s="912"/>
      <c r="BC259" s="912"/>
      <c r="BD259" s="912"/>
      <c r="BE259" s="912"/>
      <c r="BF259" s="912"/>
    </row>
    <row r="260" spans="2:58" hidden="1" outlineLevel="1">
      <c r="B260" s="915" t="s">
        <v>1202</v>
      </c>
      <c r="H260" s="911"/>
      <c r="I260" s="911"/>
      <c r="J260" s="911"/>
      <c r="K260" s="911"/>
      <c r="L260" s="911"/>
      <c r="M260" s="911"/>
      <c r="N260" s="911"/>
      <c r="O260" s="911"/>
      <c r="P260" s="911"/>
      <c r="Q260" s="911"/>
      <c r="R260" s="911"/>
      <c r="S260" s="911"/>
      <c r="T260" s="911"/>
      <c r="U260" s="911"/>
      <c r="V260" s="911"/>
      <c r="W260" s="911"/>
      <c r="X260" s="911"/>
      <c r="Y260" s="911"/>
      <c r="Z260" s="911"/>
      <c r="AA260" s="911"/>
      <c r="AB260" s="911"/>
      <c r="AC260" s="911"/>
      <c r="AD260" s="911"/>
      <c r="AE260" s="911"/>
      <c r="AF260" s="911"/>
      <c r="AG260" s="911"/>
      <c r="AH260" s="911"/>
      <c r="AI260" s="911"/>
      <c r="AR260" s="35">
        <f t="shared" si="355"/>
        <v>0.32210220860873773</v>
      </c>
      <c r="AS260" s="35">
        <f t="shared" si="355"/>
        <v>0.30337428082724305</v>
      </c>
      <c r="AT260" s="35">
        <f t="shared" si="355"/>
        <v>0.19860279441117765</v>
      </c>
      <c r="AU260" s="35">
        <f t="shared" si="355"/>
        <v>0.22912181303116147</v>
      </c>
      <c r="AZ260" s="912"/>
      <c r="BA260" s="912"/>
      <c r="BB260" s="912"/>
      <c r="BC260" s="912"/>
      <c r="BD260" s="912"/>
      <c r="BE260" s="912"/>
      <c r="BF260" s="912"/>
    </row>
    <row r="261" spans="2:58" hidden="1" outlineLevel="1">
      <c r="B261" s="914" t="s">
        <v>1203</v>
      </c>
      <c r="H261" s="911"/>
      <c r="I261" s="911"/>
      <c r="J261" s="911"/>
      <c r="K261" s="911"/>
      <c r="L261" s="911"/>
      <c r="M261" s="911"/>
      <c r="N261" s="911"/>
      <c r="O261" s="911"/>
      <c r="P261" s="911"/>
      <c r="Q261" s="911"/>
      <c r="R261" s="911"/>
      <c r="S261" s="911"/>
      <c r="T261" s="911"/>
      <c r="U261" s="911"/>
      <c r="V261" s="911"/>
      <c r="W261" s="911"/>
      <c r="X261" s="911"/>
      <c r="Y261" s="911"/>
      <c r="Z261" s="911"/>
      <c r="AA261" s="911"/>
      <c r="AB261" s="911"/>
      <c r="AC261" s="911"/>
      <c r="AD261" s="911"/>
      <c r="AE261" s="911"/>
      <c r="AF261" s="911"/>
      <c r="AG261" s="911"/>
      <c r="AH261" s="911"/>
      <c r="AI261" s="911"/>
      <c r="AR261" s="35">
        <f t="shared" si="355"/>
        <v>0.66998581910105437</v>
      </c>
      <c r="AS261" s="35">
        <f t="shared" si="355"/>
        <v>0.6214890492704721</v>
      </c>
      <c r="AT261" s="35">
        <f t="shared" si="355"/>
        <v>0.52577292181726343</v>
      </c>
      <c r="AU261" s="35">
        <f t="shared" si="355"/>
        <v>0.442904990241199</v>
      </c>
      <c r="AZ261" s="912"/>
      <c r="BA261" s="912"/>
      <c r="BB261" s="912"/>
      <c r="BC261" s="912"/>
      <c r="BD261" s="912"/>
      <c r="BE261" s="912"/>
      <c r="BF261" s="912"/>
    </row>
    <row r="262" spans="2:58" hidden="1" outlineLevel="1">
      <c r="B262" s="915" t="s">
        <v>1204</v>
      </c>
      <c r="H262" s="911"/>
      <c r="I262" s="911"/>
      <c r="J262" s="911"/>
      <c r="K262" s="911"/>
      <c r="L262" s="911"/>
      <c r="M262" s="911"/>
      <c r="N262" s="911"/>
      <c r="O262" s="911"/>
      <c r="P262" s="911"/>
      <c r="Q262" s="911"/>
      <c r="R262" s="911"/>
      <c r="S262" s="911"/>
      <c r="T262" s="911"/>
      <c r="U262" s="911"/>
      <c r="V262" s="911"/>
      <c r="W262" s="911"/>
      <c r="X262" s="911"/>
      <c r="Y262" s="911"/>
      <c r="Z262" s="911"/>
      <c r="AA262" s="911"/>
      <c r="AB262" s="911"/>
      <c r="AC262" s="911"/>
      <c r="AD262" s="911"/>
      <c r="AE262" s="911"/>
      <c r="AF262" s="911"/>
      <c r="AG262" s="911"/>
      <c r="AH262" s="911"/>
      <c r="AI262" s="911"/>
      <c r="AR262" s="35">
        <f t="shared" si="355"/>
        <v>0.92827129235576145</v>
      </c>
      <c r="AS262" s="35">
        <f t="shared" si="355"/>
        <v>0.91206194378802352</v>
      </c>
      <c r="AT262" s="35">
        <f t="shared" si="355"/>
        <v>0.91754781988832124</v>
      </c>
      <c r="AU262" s="35">
        <f t="shared" si="355"/>
        <v>0.92180608689295551</v>
      </c>
      <c r="AZ262" s="912"/>
      <c r="BA262" s="912"/>
      <c r="BB262" s="912"/>
      <c r="BC262" s="912"/>
      <c r="BD262" s="912"/>
      <c r="BE262" s="912"/>
      <c r="BF262" s="912"/>
    </row>
    <row r="263" spans="2:58" hidden="1" outlineLevel="1">
      <c r="B263" s="915" t="s">
        <v>1205</v>
      </c>
      <c r="H263" s="911"/>
      <c r="I263" s="911"/>
      <c r="J263" s="911"/>
      <c r="K263" s="911"/>
      <c r="L263" s="911"/>
      <c r="M263" s="911"/>
      <c r="N263" s="911"/>
      <c r="O263" s="911"/>
      <c r="P263" s="911"/>
      <c r="Q263" s="911"/>
      <c r="R263" s="911"/>
      <c r="S263" s="911"/>
      <c r="T263" s="911"/>
      <c r="U263" s="911"/>
      <c r="V263" s="911"/>
      <c r="W263" s="911"/>
      <c r="X263" s="911"/>
      <c r="Y263" s="911"/>
      <c r="Z263" s="911"/>
      <c r="AA263" s="911"/>
      <c r="AB263" s="911"/>
      <c r="AC263" s="911"/>
      <c r="AD263" s="911"/>
      <c r="AE263" s="911"/>
      <c r="AF263" s="911"/>
      <c r="AG263" s="911"/>
      <c r="AH263" s="911"/>
      <c r="AI263" s="911"/>
      <c r="AR263" s="35">
        <f t="shared" si="355"/>
        <v>0.12467700258397933</v>
      </c>
      <c r="AS263" s="35">
        <f t="shared" si="355"/>
        <v>0.16286875110404522</v>
      </c>
      <c r="AT263" s="35">
        <f t="shared" si="355"/>
        <v>0.24582560296846012</v>
      </c>
      <c r="AU263" s="35">
        <f t="shared" si="355"/>
        <v>0.38750461424880028</v>
      </c>
      <c r="AZ263" s="912"/>
      <c r="BA263" s="912"/>
      <c r="BB263" s="912"/>
      <c r="BC263" s="912"/>
      <c r="BD263" s="912"/>
      <c r="BE263" s="912"/>
      <c r="BF263" s="912"/>
    </row>
    <row r="264" spans="2:58" hidden="1" outlineLevel="1">
      <c r="B264" s="914" t="s">
        <v>1206</v>
      </c>
      <c r="H264" s="911"/>
      <c r="I264" s="911"/>
      <c r="J264" s="911"/>
      <c r="K264" s="911"/>
      <c r="L264" s="911"/>
      <c r="M264" s="911"/>
      <c r="N264" s="911"/>
      <c r="O264" s="911"/>
      <c r="P264" s="911"/>
      <c r="Q264" s="911"/>
      <c r="R264" s="911"/>
      <c r="S264" s="911"/>
      <c r="T264" s="911"/>
      <c r="U264" s="911"/>
      <c r="V264" s="911"/>
      <c r="W264" s="911"/>
      <c r="X264" s="911"/>
      <c r="Y264" s="911"/>
      <c r="Z264" s="911"/>
      <c r="AA264" s="911"/>
      <c r="AB264" s="911"/>
      <c r="AC264" s="911"/>
      <c r="AD264" s="911"/>
      <c r="AE264" s="911"/>
      <c r="AF264" s="911"/>
      <c r="AG264" s="911"/>
      <c r="AH264" s="911"/>
      <c r="AI264" s="911"/>
      <c r="AR264" s="35">
        <f t="shared" si="355"/>
        <v>0.83892745989944939</v>
      </c>
      <c r="AS264" s="35">
        <f t="shared" si="355"/>
        <v>0.81872400360923436</v>
      </c>
      <c r="AT264" s="35">
        <f t="shared" si="355"/>
        <v>0.81541778324031355</v>
      </c>
      <c r="AU264" s="35">
        <f t="shared" si="355"/>
        <v>0.81019759036144579</v>
      </c>
      <c r="AZ264" s="912"/>
      <c r="BA264" s="912"/>
      <c r="BB264" s="912"/>
      <c r="BC264" s="912"/>
      <c r="BD264" s="912"/>
      <c r="BE264" s="912"/>
      <c r="BF264" s="912"/>
    </row>
    <row r="265" spans="2:58" hidden="1" outlineLevel="1">
      <c r="B265" s="914" t="s">
        <v>340</v>
      </c>
      <c r="H265" s="911"/>
      <c r="I265" s="911"/>
      <c r="J265" s="911"/>
      <c r="K265" s="911"/>
      <c r="L265" s="911"/>
      <c r="M265" s="911"/>
      <c r="N265" s="911"/>
      <c r="O265" s="911"/>
      <c r="P265" s="911"/>
      <c r="Q265" s="911"/>
      <c r="R265" s="911"/>
      <c r="S265" s="911"/>
      <c r="T265" s="911"/>
      <c r="U265" s="911"/>
      <c r="V265" s="911"/>
      <c r="W265" s="911"/>
      <c r="X265" s="911"/>
      <c r="Y265" s="911"/>
      <c r="Z265" s="911"/>
      <c r="AA265" s="911"/>
      <c r="AB265" s="911"/>
      <c r="AC265" s="911"/>
      <c r="AD265" s="911"/>
      <c r="AE265" s="911"/>
      <c r="AF265" s="911"/>
      <c r="AG265" s="911"/>
      <c r="AH265" s="911"/>
      <c r="AI265" s="911"/>
      <c r="AR265" s="35">
        <f t="shared" si="355"/>
        <v>1.2</v>
      </c>
      <c r="AS265" s="35">
        <f t="shared" si="355"/>
        <v>0.91811414392059554</v>
      </c>
      <c r="AT265" s="35">
        <f t="shared" si="355"/>
        <v>1.1879518072289157</v>
      </c>
      <c r="AU265" s="35">
        <f t="shared" si="355"/>
        <v>0.6470588235294118</v>
      </c>
      <c r="AZ265" s="912"/>
      <c r="BA265" s="912"/>
      <c r="BB265" s="912"/>
      <c r="BC265" s="912"/>
      <c r="BD265" s="912"/>
      <c r="BE265" s="912"/>
      <c r="BF265" s="912"/>
    </row>
    <row r="266" spans="2:58" hidden="1" outlineLevel="1">
      <c r="B266" s="916" t="s">
        <v>526</v>
      </c>
      <c r="H266" s="911"/>
      <c r="I266" s="911"/>
      <c r="J266" s="911"/>
      <c r="K266" s="911"/>
      <c r="L266" s="911"/>
      <c r="M266" s="911"/>
      <c r="N266" s="911"/>
      <c r="O266" s="911"/>
      <c r="P266" s="911"/>
      <c r="Q266" s="911"/>
      <c r="R266" s="911"/>
      <c r="S266" s="911"/>
      <c r="T266" s="911"/>
      <c r="U266" s="911"/>
      <c r="V266" s="911"/>
      <c r="W266" s="911"/>
      <c r="X266" s="911"/>
      <c r="Y266" s="911"/>
      <c r="Z266" s="911"/>
      <c r="AA266" s="911"/>
      <c r="AB266" s="911"/>
      <c r="AC266" s="911"/>
      <c r="AD266" s="911"/>
      <c r="AE266" s="911"/>
      <c r="AF266" s="911"/>
      <c r="AG266" s="911"/>
      <c r="AH266" s="911"/>
      <c r="AI266" s="911"/>
      <c r="AR266" s="35">
        <f t="shared" si="355"/>
        <v>0.76221803236439101</v>
      </c>
      <c r="AS266" s="35">
        <f t="shared" si="355"/>
        <v>0.73814692545825888</v>
      </c>
      <c r="AT266" s="35">
        <f t="shared" si="355"/>
        <v>0.68816003132449644</v>
      </c>
      <c r="AU266" s="35">
        <f t="shared" si="355"/>
        <v>0.64695447745244705</v>
      </c>
      <c r="AZ266" s="912"/>
      <c r="BA266" s="912"/>
      <c r="BB266" s="912"/>
      <c r="BC266" s="912"/>
      <c r="BD266" s="912"/>
      <c r="BE266" s="912"/>
      <c r="BF266" s="912"/>
    </row>
    <row r="267" spans="2:58" hidden="1" outlineLevel="1">
      <c r="B267" s="916"/>
      <c r="H267" s="911"/>
      <c r="I267" s="911"/>
      <c r="J267" s="911"/>
      <c r="K267" s="911"/>
      <c r="L267" s="911"/>
      <c r="M267" s="911"/>
      <c r="N267" s="911"/>
      <c r="O267" s="911"/>
      <c r="P267" s="911"/>
      <c r="Q267" s="911"/>
      <c r="R267" s="911"/>
      <c r="S267" s="911"/>
      <c r="T267" s="911"/>
      <c r="U267" s="911"/>
      <c r="V267" s="911"/>
      <c r="W267" s="911"/>
      <c r="X267" s="911"/>
      <c r="Y267" s="911"/>
      <c r="Z267" s="911"/>
      <c r="AA267" s="911"/>
      <c r="AB267" s="911"/>
      <c r="AC267" s="911"/>
      <c r="AD267" s="911"/>
      <c r="AE267" s="911"/>
      <c r="AF267" s="911"/>
      <c r="AG267" s="911"/>
      <c r="AH267" s="911"/>
      <c r="AI267" s="911"/>
      <c r="AS267" s="35"/>
      <c r="AT267" s="35"/>
      <c r="AU267" s="35"/>
      <c r="AZ267" s="912"/>
      <c r="BA267" s="912"/>
      <c r="BB267" s="912"/>
      <c r="BC267" s="912"/>
      <c r="BD267" s="912"/>
      <c r="BE267" s="912"/>
      <c r="BF267" s="912"/>
    </row>
    <row r="268" spans="2:58" hidden="1" outlineLevel="1">
      <c r="B268" t="s">
        <v>1210</v>
      </c>
      <c r="H268" s="911"/>
      <c r="I268" s="911"/>
      <c r="J268" s="911"/>
      <c r="K268" s="911"/>
      <c r="L268" s="911"/>
      <c r="M268" s="911"/>
      <c r="N268" s="911"/>
      <c r="O268" s="911"/>
      <c r="P268" s="911"/>
      <c r="Q268" s="911"/>
      <c r="R268" s="911"/>
      <c r="S268" s="911"/>
      <c r="T268" s="911"/>
      <c r="U268" s="911"/>
      <c r="V268" s="911"/>
      <c r="W268" s="911"/>
      <c r="X268" s="911"/>
      <c r="Y268" s="911"/>
      <c r="Z268" s="911"/>
      <c r="AA268" s="911"/>
      <c r="AB268" s="911"/>
      <c r="AC268" s="911"/>
      <c r="AD268" s="911"/>
      <c r="AE268" s="911"/>
      <c r="AF268" s="911"/>
      <c r="AG268" s="911"/>
      <c r="AH268" s="911"/>
      <c r="AI268" s="911"/>
      <c r="AZ268" s="912"/>
      <c r="BA268" s="912"/>
      <c r="BB268" s="912"/>
      <c r="BC268" s="912"/>
      <c r="BD268" s="912"/>
      <c r="BE268" s="912"/>
      <c r="BF268" s="912"/>
    </row>
    <row r="269" spans="2:58" hidden="1" outlineLevel="1">
      <c r="B269" s="916" t="s">
        <v>1203</v>
      </c>
      <c r="H269" s="911"/>
      <c r="I269" s="911"/>
      <c r="J269" s="911"/>
      <c r="K269" s="911"/>
      <c r="L269" s="911"/>
      <c r="M269" s="911"/>
      <c r="N269" s="911"/>
      <c r="O269" s="911"/>
      <c r="P269" s="911"/>
      <c r="Q269" s="911"/>
      <c r="R269" s="911"/>
      <c r="S269" s="911"/>
      <c r="T269" s="911"/>
      <c r="U269" s="911"/>
      <c r="V269" s="911"/>
      <c r="W269" s="911"/>
      <c r="X269" s="911"/>
      <c r="Y269" s="911"/>
      <c r="Z269" s="911"/>
      <c r="AA269" s="911"/>
      <c r="AB269" s="911"/>
      <c r="AC269" s="911"/>
      <c r="AD269" s="911"/>
      <c r="AE269" s="911"/>
      <c r="AF269" s="911"/>
      <c r="AG269" s="911"/>
      <c r="AH269" s="911"/>
      <c r="AI269" s="911"/>
      <c r="AR269" s="29">
        <v>6051</v>
      </c>
      <c r="AS269" s="29">
        <v>9267</v>
      </c>
      <c r="AT269" s="29">
        <v>8559</v>
      </c>
      <c r="AU269" s="29">
        <v>6876</v>
      </c>
      <c r="AZ269" s="912"/>
      <c r="BA269" s="912"/>
      <c r="BB269" s="912"/>
      <c r="BC269" s="912"/>
      <c r="BD269" s="912"/>
      <c r="BE269" s="912"/>
      <c r="BF269" s="912"/>
    </row>
    <row r="270" spans="2:58" hidden="1" outlineLevel="1">
      <c r="B270" s="916" t="s">
        <v>1206</v>
      </c>
      <c r="H270" s="911"/>
      <c r="I270" s="911"/>
      <c r="J270" s="911"/>
      <c r="K270" s="911"/>
      <c r="L270" s="911"/>
      <c r="M270" s="911"/>
      <c r="N270" s="911"/>
      <c r="O270" s="911"/>
      <c r="P270" s="911"/>
      <c r="Q270" s="911"/>
      <c r="R270" s="911"/>
      <c r="S270" s="911"/>
      <c r="T270" s="911"/>
      <c r="U270" s="911"/>
      <c r="V270" s="911"/>
      <c r="W270" s="911"/>
      <c r="X270" s="911"/>
      <c r="Y270" s="911"/>
      <c r="Z270" s="911"/>
      <c r="AA270" s="911"/>
      <c r="AB270" s="911"/>
      <c r="AC270" s="911"/>
      <c r="AD270" s="911"/>
      <c r="AE270" s="911"/>
      <c r="AF270" s="911"/>
      <c r="AG270" s="911"/>
      <c r="AH270" s="911"/>
      <c r="AI270" s="911"/>
      <c r="AR270" s="29">
        <v>19978</v>
      </c>
      <c r="AS270" s="29">
        <v>21152</v>
      </c>
      <c r="AT270" s="29">
        <v>23477</v>
      </c>
      <c r="AU270" s="29">
        <v>24852</v>
      </c>
      <c r="AZ270" s="912"/>
      <c r="BA270" s="912"/>
      <c r="BB270" s="912"/>
      <c r="BC270" s="912"/>
      <c r="BD270" s="912"/>
      <c r="BE270" s="912"/>
      <c r="BF270" s="912"/>
    </row>
    <row r="271" spans="2:58" ht="11.45" hidden="1" outlineLevel="1">
      <c r="B271" s="916" t="s">
        <v>340</v>
      </c>
      <c r="H271" s="911"/>
      <c r="I271" s="911"/>
      <c r="J271" s="911"/>
      <c r="K271" s="911"/>
      <c r="L271" s="911"/>
      <c r="M271" s="911"/>
      <c r="N271" s="911"/>
      <c r="O271" s="911"/>
      <c r="P271" s="911"/>
      <c r="Q271" s="911"/>
      <c r="R271" s="911"/>
      <c r="S271" s="911"/>
      <c r="T271" s="911"/>
      <c r="U271" s="911"/>
      <c r="V271" s="911"/>
      <c r="W271" s="911"/>
      <c r="X271" s="911"/>
      <c r="Y271" s="911"/>
      <c r="Z271" s="911"/>
      <c r="AA271" s="911"/>
      <c r="AB271" s="911"/>
      <c r="AC271" s="911"/>
      <c r="AD271" s="911"/>
      <c r="AE271" s="911"/>
      <c r="AF271" s="911"/>
      <c r="AG271" s="911"/>
      <c r="AH271" s="911"/>
      <c r="AI271" s="911"/>
      <c r="AR271" s="30">
        <v>-4266</v>
      </c>
      <c r="AS271" s="30">
        <v>-3655</v>
      </c>
      <c r="AT271" s="30">
        <v>-4277</v>
      </c>
      <c r="AU271" s="30">
        <v>-13567</v>
      </c>
      <c r="AZ271" s="912"/>
      <c r="BA271" s="912"/>
      <c r="BB271" s="912"/>
      <c r="BC271" s="912"/>
      <c r="BD271" s="912"/>
      <c r="BE271" s="912"/>
      <c r="BF271" s="912"/>
    </row>
    <row r="272" spans="2:58" hidden="1" outlineLevel="1">
      <c r="B272" s="917" t="s">
        <v>526</v>
      </c>
      <c r="H272" s="911"/>
      <c r="I272" s="911"/>
      <c r="J272" s="911"/>
      <c r="K272" s="911"/>
      <c r="L272" s="911"/>
      <c r="M272" s="911"/>
      <c r="N272" s="911"/>
      <c r="O272" s="911"/>
      <c r="P272" s="911"/>
      <c r="Q272" s="911"/>
      <c r="R272" s="911"/>
      <c r="S272" s="911"/>
      <c r="T272" s="911"/>
      <c r="U272" s="911"/>
      <c r="V272" s="911"/>
      <c r="W272" s="911"/>
      <c r="X272" s="911"/>
      <c r="Y272" s="911"/>
      <c r="Z272" s="911"/>
      <c r="AA272" s="911"/>
      <c r="AB272" s="911"/>
      <c r="AC272" s="911"/>
      <c r="AD272" s="911"/>
      <c r="AE272" s="911"/>
      <c r="AF272" s="911"/>
      <c r="AG272" s="911"/>
      <c r="AH272" s="911"/>
      <c r="AI272" s="911"/>
      <c r="AR272" s="8">
        <f>SUM(AR269:AR271)</f>
        <v>21763</v>
      </c>
      <c r="AS272" s="8">
        <f>SUM(AS269:AS271)</f>
        <v>26764</v>
      </c>
      <c r="AT272" s="8">
        <f>SUM(AT269:AT271)</f>
        <v>27759</v>
      </c>
      <c r="AU272" s="8">
        <f>SUM(AU269:AU271)</f>
        <v>18161</v>
      </c>
      <c r="AZ272" s="912"/>
      <c r="BA272" s="912"/>
      <c r="BB272" s="912"/>
      <c r="BC272" s="912"/>
      <c r="BD272" s="912"/>
      <c r="BE272" s="912"/>
      <c r="BF272" s="912"/>
    </row>
    <row r="273" spans="2:58" hidden="1" outlineLevel="1">
      <c r="B273" s="917"/>
      <c r="H273" s="911"/>
      <c r="I273" s="911"/>
      <c r="J273" s="911"/>
      <c r="K273" s="911"/>
      <c r="L273" s="911"/>
      <c r="M273" s="911"/>
      <c r="N273" s="911"/>
      <c r="O273" s="911"/>
      <c r="P273" s="911"/>
      <c r="Q273" s="911"/>
      <c r="R273" s="911"/>
      <c r="S273" s="911"/>
      <c r="T273" s="911"/>
      <c r="U273" s="911"/>
      <c r="V273" s="911"/>
      <c r="W273" s="911"/>
      <c r="X273" s="911"/>
      <c r="Y273" s="911"/>
      <c r="Z273" s="911"/>
      <c r="AA273" s="911"/>
      <c r="AB273" s="911"/>
      <c r="AC273" s="911"/>
      <c r="AD273" s="911"/>
      <c r="AE273" s="911"/>
      <c r="AF273" s="911"/>
      <c r="AG273" s="911"/>
      <c r="AH273" s="911"/>
      <c r="AI273" s="911"/>
      <c r="AR273" s="8"/>
      <c r="AS273" s="8"/>
      <c r="AT273" s="8"/>
      <c r="AU273" s="8"/>
      <c r="AZ273" s="912"/>
      <c r="BA273" s="912"/>
      <c r="BB273" s="912"/>
      <c r="BC273" s="912"/>
      <c r="BD273" s="912"/>
      <c r="BE273" s="912"/>
      <c r="BF273" s="912"/>
    </row>
    <row r="274" spans="2:58" hidden="1" outlineLevel="1">
      <c r="B274" s="12" t="s">
        <v>1207</v>
      </c>
      <c r="H274" s="911"/>
      <c r="I274" s="911"/>
      <c r="J274" s="911"/>
      <c r="K274" s="911"/>
      <c r="L274" s="911"/>
      <c r="M274" s="911"/>
      <c r="N274" s="911"/>
      <c r="O274" s="911"/>
      <c r="P274" s="911"/>
      <c r="Q274" s="911"/>
      <c r="R274" s="911"/>
      <c r="S274" s="911"/>
      <c r="T274" s="911"/>
      <c r="U274" s="911"/>
      <c r="V274" s="911"/>
      <c r="W274" s="911"/>
      <c r="X274" s="911"/>
      <c r="Y274" s="911"/>
      <c r="Z274" s="911"/>
      <c r="AA274" s="911"/>
      <c r="AB274" s="911"/>
      <c r="AC274" s="911"/>
      <c r="AD274" s="911"/>
      <c r="AE274" s="911"/>
      <c r="AF274" s="911"/>
      <c r="AG274" s="911"/>
      <c r="AH274" s="911"/>
      <c r="AI274" s="911"/>
      <c r="AR274" s="8"/>
      <c r="AS274" s="8"/>
      <c r="AT274" s="8"/>
      <c r="AU274" s="8"/>
      <c r="AZ274" s="912"/>
      <c r="BA274" s="912"/>
      <c r="BB274" s="912"/>
      <c r="BC274" s="912"/>
      <c r="BD274" s="912"/>
      <c r="BE274" s="912"/>
      <c r="BF274" s="912"/>
    </row>
    <row r="275" spans="2:58" hidden="1" outlineLevel="1">
      <c r="B275" s="914" t="s">
        <v>1203</v>
      </c>
      <c r="H275" s="911"/>
      <c r="I275" s="911"/>
      <c r="J275" s="911"/>
      <c r="K275" s="911"/>
      <c r="L275" s="911"/>
      <c r="M275" s="911"/>
      <c r="N275" s="911"/>
      <c r="O275" s="911"/>
      <c r="P275" s="911"/>
      <c r="Q275" s="911"/>
      <c r="R275" s="911"/>
      <c r="S275" s="911"/>
      <c r="T275" s="911"/>
      <c r="U275" s="911"/>
      <c r="V275" s="911"/>
      <c r="W275" s="911"/>
      <c r="X275" s="911"/>
      <c r="Y275" s="911"/>
      <c r="Z275" s="911"/>
      <c r="AA275" s="911"/>
      <c r="AB275" s="911"/>
      <c r="AC275" s="911"/>
      <c r="AD275" s="911"/>
      <c r="AE275" s="911"/>
      <c r="AF275" s="911"/>
      <c r="AG275" s="911"/>
      <c r="AH275" s="911"/>
      <c r="AI275" s="911"/>
      <c r="AR275" s="8"/>
      <c r="AS275" s="35">
        <f t="shared" ref="AS275:AU278" si="356">+IFERROR(AS269/AR269-1,"n/a ")</f>
        <v>0.53148239960337129</v>
      </c>
      <c r="AT275" s="35">
        <f t="shared" si="356"/>
        <v>-7.6400129491744906E-2</v>
      </c>
      <c r="AU275" s="35">
        <f t="shared" si="356"/>
        <v>-0.19663512092534174</v>
      </c>
      <c r="AZ275" s="912"/>
      <c r="BA275" s="912"/>
      <c r="BB275" s="912"/>
      <c r="BC275" s="912"/>
      <c r="BD275" s="912"/>
      <c r="BE275" s="912"/>
      <c r="BF275" s="912"/>
    </row>
    <row r="276" spans="2:58" hidden="1" outlineLevel="1">
      <c r="B276" s="914" t="s">
        <v>1206</v>
      </c>
      <c r="H276" s="911"/>
      <c r="I276" s="911"/>
      <c r="J276" s="911"/>
      <c r="K276" s="911"/>
      <c r="L276" s="911"/>
      <c r="M276" s="911"/>
      <c r="N276" s="911"/>
      <c r="O276" s="911"/>
      <c r="P276" s="911"/>
      <c r="Q276" s="911"/>
      <c r="R276" s="911"/>
      <c r="S276" s="911"/>
      <c r="T276" s="911"/>
      <c r="U276" s="911"/>
      <c r="V276" s="911"/>
      <c r="W276" s="911"/>
      <c r="X276" s="911"/>
      <c r="Y276" s="911"/>
      <c r="Z276" s="911"/>
      <c r="AA276" s="911"/>
      <c r="AB276" s="911"/>
      <c r="AC276" s="911"/>
      <c r="AD276" s="911"/>
      <c r="AE276" s="911"/>
      <c r="AF276" s="911"/>
      <c r="AG276" s="911"/>
      <c r="AH276" s="911"/>
      <c r="AI276" s="911"/>
      <c r="AR276" s="8"/>
      <c r="AS276" s="35">
        <f t="shared" si="356"/>
        <v>5.8764641105215842E-2</v>
      </c>
      <c r="AT276" s="35">
        <f t="shared" si="356"/>
        <v>0.10991868381240555</v>
      </c>
      <c r="AU276" s="35">
        <f t="shared" si="356"/>
        <v>5.8567960131192143E-2</v>
      </c>
      <c r="AZ276" s="912"/>
      <c r="BA276" s="912"/>
      <c r="BB276" s="912"/>
      <c r="BC276" s="912"/>
      <c r="BD276" s="912"/>
      <c r="BE276" s="912"/>
      <c r="BF276" s="912"/>
    </row>
    <row r="277" spans="2:58" hidden="1" outlineLevel="1">
      <c r="B277" s="914" t="s">
        <v>340</v>
      </c>
      <c r="H277" s="911"/>
      <c r="I277" s="911"/>
      <c r="J277" s="911"/>
      <c r="K277" s="911"/>
      <c r="L277" s="911"/>
      <c r="M277" s="911"/>
      <c r="N277" s="911"/>
      <c r="O277" s="911"/>
      <c r="P277" s="911"/>
      <c r="Q277" s="911"/>
      <c r="R277" s="911"/>
      <c r="S277" s="911"/>
      <c r="T277" s="911"/>
      <c r="U277" s="911"/>
      <c r="V277" s="911"/>
      <c r="W277" s="911"/>
      <c r="X277" s="911"/>
      <c r="Y277" s="911"/>
      <c r="Z277" s="911"/>
      <c r="AA277" s="911"/>
      <c r="AB277" s="911"/>
      <c r="AC277" s="911"/>
      <c r="AD277" s="911"/>
      <c r="AE277" s="911"/>
      <c r="AF277" s="911"/>
      <c r="AG277" s="911"/>
      <c r="AH277" s="911"/>
      <c r="AI277" s="911"/>
      <c r="AR277" s="8"/>
      <c r="AS277" s="35">
        <f t="shared" si="356"/>
        <v>-0.14322550398499767</v>
      </c>
      <c r="AT277" s="35">
        <f t="shared" si="356"/>
        <v>0.17017783857729141</v>
      </c>
      <c r="AU277" s="35">
        <f t="shared" si="356"/>
        <v>2.1720832359130231</v>
      </c>
      <c r="AZ277" s="912"/>
      <c r="BA277" s="912"/>
      <c r="BB277" s="912"/>
      <c r="BC277" s="912"/>
      <c r="BD277" s="912"/>
      <c r="BE277" s="912"/>
      <c r="BF277" s="912"/>
    </row>
    <row r="278" spans="2:58" hidden="1" outlineLevel="1">
      <c r="B278" s="916" t="s">
        <v>526</v>
      </c>
      <c r="H278" s="911"/>
      <c r="I278" s="911"/>
      <c r="J278" s="911"/>
      <c r="K278" s="911"/>
      <c r="L278" s="911"/>
      <c r="M278" s="911"/>
      <c r="N278" s="911"/>
      <c r="O278" s="911"/>
      <c r="P278" s="911"/>
      <c r="Q278" s="911"/>
      <c r="R278" s="911"/>
      <c r="S278" s="911"/>
      <c r="T278" s="911"/>
      <c r="U278" s="911"/>
      <c r="V278" s="911"/>
      <c r="W278" s="911"/>
      <c r="X278" s="911"/>
      <c r="Y278" s="911"/>
      <c r="Z278" s="911"/>
      <c r="AA278" s="911"/>
      <c r="AB278" s="911"/>
      <c r="AC278" s="911"/>
      <c r="AD278" s="911"/>
      <c r="AE278" s="911"/>
      <c r="AF278" s="911"/>
      <c r="AG278" s="911"/>
      <c r="AH278" s="911"/>
      <c r="AI278" s="911"/>
      <c r="AR278" s="8"/>
      <c r="AS278" s="35">
        <f t="shared" si="356"/>
        <v>0.22979368653218768</v>
      </c>
      <c r="AT278" s="35">
        <f t="shared" si="356"/>
        <v>3.7176804662980123E-2</v>
      </c>
      <c r="AU278" s="35">
        <f t="shared" si="356"/>
        <v>-0.34576173493281459</v>
      </c>
      <c r="AZ278" s="912"/>
      <c r="BA278" s="912"/>
      <c r="BB278" s="912"/>
      <c r="BC278" s="912"/>
      <c r="BD278" s="912"/>
      <c r="BE278" s="912"/>
      <c r="BF278" s="912"/>
    </row>
    <row r="279" spans="2:58" hidden="1" outlineLevel="1">
      <c r="B279" s="917"/>
      <c r="H279" s="911"/>
      <c r="I279" s="911"/>
      <c r="J279" s="911"/>
      <c r="K279" s="911"/>
      <c r="L279" s="911"/>
      <c r="M279" s="911"/>
      <c r="N279" s="911"/>
      <c r="O279" s="911"/>
      <c r="P279" s="911"/>
      <c r="Q279" s="911"/>
      <c r="R279" s="911"/>
      <c r="S279" s="911"/>
      <c r="T279" s="911"/>
      <c r="U279" s="911"/>
      <c r="V279" s="911"/>
      <c r="W279" s="911"/>
      <c r="X279" s="911"/>
      <c r="Y279" s="911"/>
      <c r="Z279" s="911"/>
      <c r="AA279" s="911"/>
      <c r="AB279" s="911"/>
      <c r="AC279" s="911"/>
      <c r="AD279" s="911"/>
      <c r="AE279" s="911"/>
      <c r="AF279" s="911"/>
      <c r="AG279" s="911"/>
      <c r="AH279" s="911"/>
      <c r="AI279" s="911"/>
      <c r="AR279" s="8"/>
      <c r="AS279" s="8"/>
      <c r="AT279" s="8"/>
      <c r="AU279" s="8"/>
      <c r="AZ279" s="912"/>
      <c r="BA279" s="912"/>
      <c r="BB279" s="912"/>
      <c r="BC279" s="912"/>
      <c r="BD279" s="912"/>
      <c r="BE279" s="912"/>
      <c r="BF279" s="912"/>
    </row>
    <row r="280" spans="2:58" hidden="1" outlineLevel="1">
      <c r="B280" s="12" t="s">
        <v>1209</v>
      </c>
      <c r="H280" s="911"/>
      <c r="I280" s="911"/>
      <c r="J280" s="911"/>
      <c r="K280" s="911"/>
      <c r="L280" s="911"/>
      <c r="M280" s="911"/>
      <c r="N280" s="911"/>
      <c r="O280" s="911"/>
      <c r="P280" s="911"/>
      <c r="Q280" s="911"/>
      <c r="R280" s="911"/>
      <c r="S280" s="911"/>
      <c r="T280" s="911"/>
      <c r="U280" s="911"/>
      <c r="V280" s="911"/>
      <c r="W280" s="911"/>
      <c r="X280" s="911"/>
      <c r="Y280" s="911"/>
      <c r="Z280" s="911"/>
      <c r="AA280" s="911"/>
      <c r="AB280" s="911"/>
      <c r="AC280" s="911"/>
      <c r="AD280" s="911"/>
      <c r="AE280" s="911"/>
      <c r="AF280" s="911"/>
      <c r="AG280" s="911"/>
      <c r="AH280" s="911"/>
      <c r="AI280" s="911"/>
      <c r="AR280" s="8"/>
      <c r="AS280" s="8"/>
      <c r="AT280" s="8"/>
      <c r="AU280" s="8"/>
      <c r="AZ280" s="912"/>
      <c r="BA280" s="912"/>
      <c r="BB280" s="912"/>
      <c r="BC280" s="912"/>
      <c r="BD280" s="912"/>
      <c r="BE280" s="912"/>
      <c r="BF280" s="912"/>
    </row>
    <row r="281" spans="2:58" hidden="1" outlineLevel="1">
      <c r="B281" s="914" t="s">
        <v>1203</v>
      </c>
      <c r="H281" s="911"/>
      <c r="I281" s="911"/>
      <c r="J281" s="911"/>
      <c r="K281" s="911"/>
      <c r="L281" s="911"/>
      <c r="M281" s="911"/>
      <c r="N281" s="911"/>
      <c r="O281" s="911"/>
      <c r="P281" s="911"/>
      <c r="Q281" s="911"/>
      <c r="R281" s="911"/>
      <c r="S281" s="911"/>
      <c r="T281" s="911"/>
      <c r="U281" s="911"/>
      <c r="V281" s="911"/>
      <c r="W281" s="911"/>
      <c r="X281" s="911"/>
      <c r="Y281" s="911"/>
      <c r="Z281" s="911"/>
      <c r="AA281" s="911"/>
      <c r="AB281" s="911"/>
      <c r="AC281" s="911"/>
      <c r="AD281" s="911"/>
      <c r="AE281" s="911"/>
      <c r="AF281" s="911"/>
      <c r="AG281" s="911"/>
      <c r="AH281" s="911"/>
      <c r="AI281" s="911"/>
      <c r="AR281" s="35">
        <f>+IFERROR(AR269/AR209,"n/a ")</f>
        <v>0.18654047721807757</v>
      </c>
      <c r="AS281" s="35">
        <f>+IFERROR(AS269/AS209,"n/a ")</f>
        <v>0.28953041522167028</v>
      </c>
      <c r="AT281" s="35">
        <f>+IFERROR(AT269/AT209,"n/a ")</f>
        <v>0.22753010606906451</v>
      </c>
      <c r="AU281" s="35">
        <f>+IFERROR(AU269/AU209,"n/a ")</f>
        <v>0.16568275463241849</v>
      </c>
      <c r="AZ281" s="912"/>
      <c r="BA281" s="912"/>
      <c r="BB281" s="912"/>
      <c r="BC281" s="912"/>
      <c r="BD281" s="912"/>
      <c r="BE281" s="912"/>
      <c r="BF281" s="912"/>
    </row>
    <row r="282" spans="2:58" hidden="1" outlineLevel="1">
      <c r="B282" s="914" t="s">
        <v>1206</v>
      </c>
      <c r="H282" s="911"/>
      <c r="I282" s="911"/>
      <c r="J282" s="911"/>
      <c r="K282" s="911"/>
      <c r="L282" s="911"/>
      <c r="M282" s="911"/>
      <c r="N282" s="911"/>
      <c r="O282" s="911"/>
      <c r="P282" s="911"/>
      <c r="Q282" s="911"/>
      <c r="R282" s="911"/>
      <c r="S282" s="911"/>
      <c r="T282" s="911"/>
      <c r="U282" s="911"/>
      <c r="V282" s="911"/>
      <c r="W282" s="911"/>
      <c r="X282" s="911"/>
      <c r="Y282" s="911"/>
      <c r="Z282" s="911"/>
      <c r="AA282" s="911"/>
      <c r="AB282" s="911"/>
      <c r="AC282" s="911"/>
      <c r="AD282" s="911"/>
      <c r="AE282" s="911"/>
      <c r="AF282" s="911"/>
      <c r="AG282" s="911"/>
      <c r="AH282" s="911"/>
      <c r="AI282" s="911"/>
      <c r="AR282" s="35">
        <f>+IFERROR(AR270/AR212,"n/a ")</f>
        <v>0.47828585108929855</v>
      </c>
      <c r="AS282" s="35">
        <f>+IFERROR(AS270/AS212,"n/a ")</f>
        <v>0.46550320209511653</v>
      </c>
      <c r="AT282" s="35">
        <f>+IFERROR(AT270/AT212,"n/a ")</f>
        <v>0.4730309685478834</v>
      </c>
      <c r="AU282" s="35">
        <f>+IFERROR(AU270/AU212,"n/a ")</f>
        <v>0.47907469879518072</v>
      </c>
      <c r="AZ282" s="912"/>
      <c r="BA282" s="912"/>
      <c r="BB282" s="912"/>
      <c r="BC282" s="912"/>
      <c r="BD282" s="912"/>
      <c r="BE282" s="912"/>
      <c r="BF282" s="912"/>
    </row>
    <row r="283" spans="2:58" hidden="1" outlineLevel="1">
      <c r="B283" s="914" t="s">
        <v>1211</v>
      </c>
      <c r="H283" s="911"/>
      <c r="I283" s="911"/>
      <c r="J283" s="911"/>
      <c r="K283" s="911"/>
      <c r="L283" s="911"/>
      <c r="M283" s="911"/>
      <c r="N283" s="911"/>
      <c r="O283" s="911"/>
      <c r="P283" s="911"/>
      <c r="Q283" s="911"/>
      <c r="R283" s="911"/>
      <c r="S283" s="911"/>
      <c r="T283" s="911"/>
      <c r="U283" s="911"/>
      <c r="V283" s="911"/>
      <c r="W283" s="911"/>
      <c r="X283" s="911"/>
      <c r="Y283" s="911"/>
      <c r="Z283" s="911"/>
      <c r="AA283" s="911"/>
      <c r="AB283" s="911"/>
      <c r="AC283" s="911"/>
      <c r="AD283" s="911"/>
      <c r="AE283" s="911"/>
      <c r="AF283" s="911"/>
      <c r="AG283" s="911"/>
      <c r="AH283" s="911"/>
      <c r="AI283" s="911"/>
      <c r="AR283" s="35">
        <f>+IFERROR(AR271/AR214,"n/a ")</f>
        <v>-5.7865252363577174E-2</v>
      </c>
      <c r="AS283" s="35">
        <f>+IFERROR(AS271/AS214,"n/a ")</f>
        <v>-4.694986448123932E-2</v>
      </c>
      <c r="AT283" s="35">
        <f>+IFERROR(AT271/AT214,"n/a ")</f>
        <v>-4.9255467391429525E-2</v>
      </c>
      <c r="AU283" s="35">
        <f>+IFERROR(AU271/AU214,"n/a ")</f>
        <v>-0.14497755930754436</v>
      </c>
      <c r="AZ283" s="912"/>
      <c r="BA283" s="912"/>
      <c r="BB283" s="912"/>
      <c r="BC283" s="912"/>
      <c r="BD283" s="912"/>
      <c r="BE283" s="912"/>
      <c r="BF283" s="912"/>
    </row>
    <row r="284" spans="2:58" hidden="1" outlineLevel="1">
      <c r="B284" s="916" t="s">
        <v>526</v>
      </c>
      <c r="H284" s="911"/>
      <c r="I284" s="911"/>
      <c r="J284" s="911"/>
      <c r="K284" s="911"/>
      <c r="L284" s="911"/>
      <c r="M284" s="911"/>
      <c r="N284" s="911"/>
      <c r="O284" s="911"/>
      <c r="P284" s="911"/>
      <c r="Q284" s="911"/>
      <c r="R284" s="911"/>
      <c r="S284" s="911"/>
      <c r="T284" s="911"/>
      <c r="U284" s="911"/>
      <c r="V284" s="911"/>
      <c r="W284" s="911"/>
      <c r="X284" s="911"/>
      <c r="Y284" s="911"/>
      <c r="Z284" s="911"/>
      <c r="AA284" s="911"/>
      <c r="AB284" s="911"/>
      <c r="AC284" s="911"/>
      <c r="AD284" s="911"/>
      <c r="AE284" s="911"/>
      <c r="AF284" s="911"/>
      <c r="AG284" s="911"/>
      <c r="AH284" s="911"/>
      <c r="AI284" s="911"/>
      <c r="AR284" s="35">
        <f>+IFERROR(AR272/AR214,"n/a ")</f>
        <v>0.29519959849707689</v>
      </c>
      <c r="AS284" s="35">
        <f>+IFERROR(AS272/AS214,"n/a ")</f>
        <v>0.34379375457616668</v>
      </c>
      <c r="AT284" s="35">
        <f>+IFERROR(AT272/AT214,"n/a ")</f>
        <v>0.31968260914629232</v>
      </c>
      <c r="AU284" s="35">
        <f>+IFERROR(AU272/AU214,"n/a ")</f>
        <v>0.19406924556529173</v>
      </c>
      <c r="AZ284" s="912"/>
      <c r="BA284" s="912"/>
      <c r="BB284" s="912"/>
      <c r="BC284" s="912"/>
      <c r="BD284" s="912"/>
      <c r="BE284" s="912"/>
      <c r="BF284" s="912"/>
    </row>
    <row r="285" spans="2:58" hidden="1" outlineLevel="1"/>
    <row r="286" spans="2:58" ht="10.5" collapsed="1">
      <c r="B286" s="5" t="s">
        <v>471</v>
      </c>
      <c r="C286" s="4"/>
    </row>
    <row r="287" spans="2:58" ht="10.5">
      <c r="B287" s="910"/>
    </row>
    <row r="288" spans="2:58" ht="10.5">
      <c r="B288" s="910" t="s">
        <v>86</v>
      </c>
      <c r="W288" s="919"/>
    </row>
    <row r="289" spans="2:62">
      <c r="B289" t="s">
        <v>472</v>
      </c>
      <c r="H289" s="879">
        <v>5982</v>
      </c>
      <c r="I289" s="879">
        <v>6439</v>
      </c>
      <c r="J289" s="879">
        <v>6234</v>
      </c>
      <c r="K289" s="8">
        <f t="shared" ref="K289:K297" si="357">+AZ289-SUM(H289:J289)</f>
        <v>6918</v>
      </c>
      <c r="L289" s="879">
        <v>6575</v>
      </c>
      <c r="M289" s="879">
        <v>7075</v>
      </c>
      <c r="N289" s="879">
        <v>7088</v>
      </c>
      <c r="O289" s="8">
        <f t="shared" ref="O289:O297" si="358">+BA289-SUM(L289:N289)</f>
        <v>7578</v>
      </c>
      <c r="P289" s="879">
        <v>7622</v>
      </c>
      <c r="Q289" s="879">
        <v>7747</v>
      </c>
      <c r="R289" s="879">
        <v>7889</v>
      </c>
      <c r="S289" s="8">
        <f t="shared" ref="S289:S297" si="359">+BB289-SUM(P289:R289)</f>
        <v>8511</v>
      </c>
      <c r="T289" s="879">
        <v>8466</v>
      </c>
      <c r="U289" s="879">
        <v>8983</v>
      </c>
      <c r="V289" s="879">
        <v>8920</v>
      </c>
      <c r="W289" s="880">
        <f t="shared" ref="W289:W297" si="360">+BC289-SUM(T289:V289)</f>
        <v>8947</v>
      </c>
      <c r="X289" s="879">
        <v>9278</v>
      </c>
      <c r="Y289" s="879">
        <v>9881</v>
      </c>
      <c r="Z289" s="879">
        <v>10016</v>
      </c>
      <c r="AA289" s="880">
        <f>+BD289-SUM(X289:Z289)</f>
        <v>10697</v>
      </c>
      <c r="AB289" s="879">
        <f>22059-AC289</f>
        <v>10808</v>
      </c>
      <c r="AC289" s="879">
        <v>11251</v>
      </c>
      <c r="AD289" s="879">
        <v>11164</v>
      </c>
      <c r="AE289" s="880">
        <f>BE289-SUM(AB289:AD289)</f>
        <v>11639</v>
      </c>
      <c r="AF289" s="879">
        <v>11548</v>
      </c>
      <c r="AG289" s="8"/>
      <c r="AH289" s="8"/>
      <c r="AI289" s="8"/>
      <c r="AN289" s="879">
        <v>18083</v>
      </c>
      <c r="AO289" s="879">
        <v>17998</v>
      </c>
      <c r="AP289" s="879">
        <v>17754</v>
      </c>
      <c r="AQ289" s="879">
        <v>20730</v>
      </c>
      <c r="AR289" s="879">
        <v>22299</v>
      </c>
      <c r="AS289" s="879">
        <v>22995</v>
      </c>
      <c r="AT289" s="879">
        <v>24323</v>
      </c>
      <c r="AU289" s="879">
        <v>23538</v>
      </c>
      <c r="AV289" s="879">
        <v>23588</v>
      </c>
      <c r="AW289" s="879">
        <v>25389</v>
      </c>
      <c r="AX289" s="879"/>
      <c r="AY289" s="879">
        <v>23868</v>
      </c>
      <c r="AZ289" s="879">
        <v>25573</v>
      </c>
      <c r="BA289" s="879">
        <v>28316</v>
      </c>
      <c r="BB289" s="879">
        <v>31769</v>
      </c>
      <c r="BC289" s="879">
        <v>35316</v>
      </c>
      <c r="BD289" s="879">
        <v>39872</v>
      </c>
      <c r="BE289" s="879">
        <v>44862</v>
      </c>
      <c r="BF289" s="879"/>
    </row>
    <row r="290" spans="2:62">
      <c r="B290" t="s">
        <v>473</v>
      </c>
      <c r="H290" s="879">
        <v>4689</v>
      </c>
      <c r="I290" s="879">
        <v>5332</v>
      </c>
      <c r="J290" s="879">
        <v>5297</v>
      </c>
      <c r="K290" s="8">
        <f t="shared" si="357"/>
        <v>6331</v>
      </c>
      <c r="L290" s="879">
        <v>5496</v>
      </c>
      <c r="M290" s="879">
        <v>6299</v>
      </c>
      <c r="N290" s="879">
        <v>6343</v>
      </c>
      <c r="O290" s="8">
        <f t="shared" si="358"/>
        <v>7991</v>
      </c>
      <c r="P290" s="879">
        <v>7058</v>
      </c>
      <c r="Q290" s="879">
        <v>7791</v>
      </c>
      <c r="R290" s="879">
        <v>8053</v>
      </c>
      <c r="S290" s="8">
        <f t="shared" si="359"/>
        <v>9720</v>
      </c>
      <c r="T290" s="879">
        <v>9192</v>
      </c>
      <c r="U290" s="879">
        <v>10119</v>
      </c>
      <c r="V290" s="879">
        <v>10490</v>
      </c>
      <c r="W290" s="880">
        <f t="shared" si="360"/>
        <v>11578</v>
      </c>
      <c r="X290" s="879">
        <v>11195</v>
      </c>
      <c r="Y290" s="879">
        <v>12729</v>
      </c>
      <c r="Z290" s="879">
        <v>13204</v>
      </c>
      <c r="AA290" s="880">
        <f t="shared" ref="AA290:AA297" si="361">+BD290-SUM(X290:Z290)</f>
        <v>15461</v>
      </c>
      <c r="AB290" s="879">
        <f>31444-AC290</f>
        <v>15069</v>
      </c>
      <c r="AC290" s="879">
        <v>16375</v>
      </c>
      <c r="AD290" s="879">
        <v>17038</v>
      </c>
      <c r="AE290" s="880">
        <f t="shared" ref="AE290:AE297" si="362">BE290-SUM(AB290:AD290)</f>
        <v>18839</v>
      </c>
      <c r="AF290" s="879">
        <v>18388</v>
      </c>
      <c r="AG290" s="8"/>
      <c r="AH290" s="8"/>
      <c r="AI290" s="8"/>
      <c r="AN290" s="879">
        <v>10611</v>
      </c>
      <c r="AO290" s="879">
        <v>11344</v>
      </c>
      <c r="AP290" s="879">
        <v>12007</v>
      </c>
      <c r="AQ290" s="879">
        <v>13251</v>
      </c>
      <c r="AR290" s="879">
        <v>14232</v>
      </c>
      <c r="AS290" s="879">
        <v>15408</v>
      </c>
      <c r="AT290" s="879">
        <v>17055</v>
      </c>
      <c r="AU290" s="879">
        <v>18612</v>
      </c>
      <c r="AV290" s="879">
        <v>19177</v>
      </c>
      <c r="AW290" s="879">
        <v>21758</v>
      </c>
      <c r="AX290" s="879"/>
      <c r="AY290" s="879">
        <v>19062</v>
      </c>
      <c r="AZ290" s="879">
        <v>21649</v>
      </c>
      <c r="BA290" s="879">
        <v>26129</v>
      </c>
      <c r="BB290" s="879">
        <v>32622</v>
      </c>
      <c r="BC290" s="879">
        <v>41379</v>
      </c>
      <c r="BD290" s="879">
        <v>52589</v>
      </c>
      <c r="BE290" s="879">
        <v>67321</v>
      </c>
      <c r="BF290" s="879"/>
    </row>
    <row r="291" spans="2:62">
      <c r="B291" t="s">
        <v>439</v>
      </c>
      <c r="H291" s="879">
        <v>1885</v>
      </c>
      <c r="I291" s="879">
        <v>3617</v>
      </c>
      <c r="J291" s="879">
        <v>1906</v>
      </c>
      <c r="K291" s="8">
        <f t="shared" si="357"/>
        <v>1643</v>
      </c>
      <c r="L291" s="879">
        <v>1896</v>
      </c>
      <c r="M291" s="879">
        <v>3920</v>
      </c>
      <c r="N291" s="879">
        <v>2251</v>
      </c>
      <c r="O291" s="8">
        <f t="shared" si="358"/>
        <v>2286</v>
      </c>
      <c r="P291" s="879">
        <v>2738</v>
      </c>
      <c r="Q291" s="879">
        <v>4232</v>
      </c>
      <c r="R291" s="879">
        <v>2363</v>
      </c>
      <c r="S291" s="8">
        <f t="shared" si="359"/>
        <v>2053</v>
      </c>
      <c r="T291" s="879">
        <v>2542</v>
      </c>
      <c r="U291" s="879">
        <v>3327</v>
      </c>
      <c r="V291" s="879">
        <v>2349</v>
      </c>
      <c r="W291" s="880">
        <f t="shared" si="360"/>
        <v>3357</v>
      </c>
      <c r="X291" s="879">
        <v>3092</v>
      </c>
      <c r="Y291" s="879">
        <v>5031</v>
      </c>
      <c r="Z291" s="879">
        <v>3533</v>
      </c>
      <c r="AA291" s="880">
        <f t="shared" si="361"/>
        <v>3714</v>
      </c>
      <c r="AB291" s="879">
        <f>9035-AC291</f>
        <v>3593</v>
      </c>
      <c r="AC291" s="879">
        <v>5442</v>
      </c>
      <c r="AD291" s="879">
        <v>3740</v>
      </c>
      <c r="AE291" s="880">
        <f t="shared" si="362"/>
        <v>3455</v>
      </c>
      <c r="AF291" s="879">
        <v>3610</v>
      </c>
      <c r="AG291" s="8"/>
      <c r="AH291" s="8"/>
      <c r="AI291" s="8"/>
      <c r="AN291" s="879">
        <v>5598</v>
      </c>
      <c r="AO291" s="879">
        <v>5475</v>
      </c>
      <c r="AP291" s="879">
        <v>5456</v>
      </c>
      <c r="AQ291" s="879">
        <v>8103</v>
      </c>
      <c r="AR291" s="879">
        <v>8045</v>
      </c>
      <c r="AS291" s="879">
        <v>7100</v>
      </c>
      <c r="AT291" s="879">
        <v>8643</v>
      </c>
      <c r="AU291" s="879">
        <v>9121</v>
      </c>
      <c r="AV291" s="879">
        <v>9395</v>
      </c>
      <c r="AW291" s="879">
        <v>9256</v>
      </c>
      <c r="AX291" s="879"/>
      <c r="AY291" s="879">
        <v>9202</v>
      </c>
      <c r="AZ291" s="879">
        <v>9051</v>
      </c>
      <c r="BA291" s="879">
        <v>10353</v>
      </c>
      <c r="BB291" s="879">
        <v>11386</v>
      </c>
      <c r="BC291" s="879">
        <v>11575</v>
      </c>
      <c r="BD291" s="879">
        <v>15370</v>
      </c>
      <c r="BE291" s="879">
        <v>16230</v>
      </c>
      <c r="BF291" s="879"/>
    </row>
    <row r="292" spans="2:62">
      <c r="B292" t="s">
        <v>474</v>
      </c>
      <c r="H292" s="879">
        <v>4643</v>
      </c>
      <c r="I292" s="879">
        <v>4805</v>
      </c>
      <c r="J292" s="879">
        <v>4253</v>
      </c>
      <c r="K292" s="8">
        <f t="shared" si="357"/>
        <v>4892</v>
      </c>
      <c r="L292" s="879">
        <v>4643</v>
      </c>
      <c r="M292" s="879">
        <v>4839</v>
      </c>
      <c r="N292" s="879">
        <v>4612</v>
      </c>
      <c r="O292" s="8">
        <f t="shared" si="358"/>
        <v>5424</v>
      </c>
      <c r="P292" s="879">
        <v>4901</v>
      </c>
      <c r="Q292" s="879">
        <v>4758</v>
      </c>
      <c r="R292" s="879">
        <v>4944</v>
      </c>
      <c r="S292" s="8">
        <f t="shared" si="359"/>
        <v>5792</v>
      </c>
      <c r="T292" s="879">
        <v>5353</v>
      </c>
      <c r="U292" s="879">
        <v>5593</v>
      </c>
      <c r="V292" s="879">
        <v>5220</v>
      </c>
      <c r="W292" s="880">
        <f t="shared" si="360"/>
        <v>6128</v>
      </c>
      <c r="X292" s="879">
        <v>5305</v>
      </c>
      <c r="Y292" s="879">
        <v>5716</v>
      </c>
      <c r="Z292" s="879">
        <v>5646</v>
      </c>
      <c r="AA292" s="880">
        <f t="shared" si="361"/>
        <v>6560</v>
      </c>
      <c r="AB292" s="879">
        <f>12276-AC292</f>
        <v>5676</v>
      </c>
      <c r="AC292" s="879">
        <v>6600</v>
      </c>
      <c r="AD292" s="879">
        <v>6077</v>
      </c>
      <c r="AE292" s="880">
        <f t="shared" si="362"/>
        <v>6408</v>
      </c>
      <c r="AF292" s="879">
        <v>5313</v>
      </c>
      <c r="AG292" s="8"/>
      <c r="AH292" s="8"/>
      <c r="AI292" s="8"/>
      <c r="AN292" s="879">
        <v>16838</v>
      </c>
      <c r="AO292" s="879">
        <v>14653</v>
      </c>
      <c r="AP292" s="879">
        <v>18225</v>
      </c>
      <c r="AQ292" s="879">
        <v>17825</v>
      </c>
      <c r="AR292" s="879">
        <v>17320</v>
      </c>
      <c r="AS292" s="879">
        <v>17529</v>
      </c>
      <c r="AT292" s="879">
        <v>16856</v>
      </c>
      <c r="AU292" s="879">
        <v>14826</v>
      </c>
      <c r="AV292" s="879">
        <v>8104</v>
      </c>
      <c r="AW292" s="879">
        <v>8625</v>
      </c>
      <c r="AX292" s="879"/>
      <c r="AY292" s="879">
        <v>17548</v>
      </c>
      <c r="AZ292" s="879">
        <v>18593</v>
      </c>
      <c r="BA292" s="879">
        <v>19518</v>
      </c>
      <c r="BB292" s="879">
        <v>20395</v>
      </c>
      <c r="BC292" s="879">
        <v>22294</v>
      </c>
      <c r="BD292" s="879">
        <v>23227</v>
      </c>
      <c r="BE292" s="879">
        <v>24761</v>
      </c>
      <c r="BF292" s="879"/>
    </row>
    <row r="293" spans="2:62">
      <c r="B293" t="s">
        <v>475</v>
      </c>
      <c r="H293" s="879">
        <v>1429</v>
      </c>
      <c r="I293" s="879">
        <v>1605</v>
      </c>
      <c r="J293" s="879">
        <v>1599</v>
      </c>
      <c r="K293" s="8">
        <f t="shared" si="357"/>
        <v>1586</v>
      </c>
      <c r="L293" s="879">
        <v>1639</v>
      </c>
      <c r="M293" s="879">
        <v>1820</v>
      </c>
      <c r="N293" s="879">
        <v>1784</v>
      </c>
      <c r="O293" s="8">
        <f t="shared" si="358"/>
        <v>1769</v>
      </c>
      <c r="P293" s="879">
        <v>1788</v>
      </c>
      <c r="Q293" s="879">
        <v>1976</v>
      </c>
      <c r="R293" s="879">
        <v>1911</v>
      </c>
      <c r="S293" s="8">
        <f t="shared" si="359"/>
        <v>1953</v>
      </c>
      <c r="T293" s="879">
        <v>1991</v>
      </c>
      <c r="U293" s="879">
        <v>2163</v>
      </c>
      <c r="V293" s="879">
        <v>1986</v>
      </c>
      <c r="W293" s="880">
        <f t="shared" si="360"/>
        <v>1600</v>
      </c>
      <c r="X293" s="879">
        <v>1789</v>
      </c>
      <c r="Y293" s="879">
        <v>2184</v>
      </c>
      <c r="Z293" s="879">
        <v>2218</v>
      </c>
      <c r="AA293" s="880">
        <f t="shared" si="361"/>
        <v>2337</v>
      </c>
      <c r="AB293" s="879">
        <f>5720-AC293</f>
        <v>2656</v>
      </c>
      <c r="AC293" s="879">
        <v>3064</v>
      </c>
      <c r="AD293" s="879">
        <v>2945</v>
      </c>
      <c r="AE293" s="880">
        <f t="shared" si="362"/>
        <v>2926</v>
      </c>
      <c r="AF293" s="879">
        <v>2928</v>
      </c>
      <c r="AG293" s="8"/>
      <c r="AH293" s="8"/>
      <c r="AI293" s="8"/>
      <c r="AN293" s="879">
        <v>2425</v>
      </c>
      <c r="AO293" s="879">
        <v>2345</v>
      </c>
      <c r="AP293" s="879">
        <v>2528</v>
      </c>
      <c r="AQ293" s="879">
        <v>2913</v>
      </c>
      <c r="AR293" s="879">
        <v>3181</v>
      </c>
      <c r="AS293" s="879">
        <v>3387</v>
      </c>
      <c r="AT293" s="879">
        <v>4016</v>
      </c>
      <c r="AU293" s="879">
        <v>4557</v>
      </c>
      <c r="AV293" s="879">
        <v>6098</v>
      </c>
      <c r="AW293" s="879">
        <v>6971</v>
      </c>
      <c r="AX293" s="879"/>
      <c r="AY293" s="879">
        <v>5428</v>
      </c>
      <c r="AZ293" s="879">
        <v>6219</v>
      </c>
      <c r="BA293" s="879">
        <v>7012</v>
      </c>
      <c r="BB293" s="879">
        <v>7628</v>
      </c>
      <c r="BC293" s="879">
        <v>7740</v>
      </c>
      <c r="BD293" s="879">
        <v>8528</v>
      </c>
      <c r="BE293" s="879">
        <v>11591</v>
      </c>
      <c r="BF293" s="879"/>
    </row>
    <row r="294" spans="2:62">
      <c r="B294" t="s">
        <v>416</v>
      </c>
      <c r="H294" s="879">
        <v>1355</v>
      </c>
      <c r="I294" s="879">
        <v>1371</v>
      </c>
      <c r="J294" s="879">
        <v>1383</v>
      </c>
      <c r="K294" s="8">
        <f t="shared" si="357"/>
        <v>1433</v>
      </c>
      <c r="L294" s="879">
        <v>1371</v>
      </c>
      <c r="M294" s="879">
        <v>1435</v>
      </c>
      <c r="N294" s="879">
        <v>1489</v>
      </c>
      <c r="O294" s="8">
        <f t="shared" si="358"/>
        <v>1551</v>
      </c>
      <c r="P294" s="879">
        <v>1450</v>
      </c>
      <c r="Q294" s="879">
        <v>1521</v>
      </c>
      <c r="R294" s="879">
        <v>1542</v>
      </c>
      <c r="S294" s="8">
        <f t="shared" si="359"/>
        <v>1611</v>
      </c>
      <c r="T294" s="879">
        <v>1545</v>
      </c>
      <c r="U294" s="879">
        <v>1612</v>
      </c>
      <c r="V294" s="879">
        <v>1633</v>
      </c>
      <c r="W294" s="880">
        <f t="shared" si="360"/>
        <v>1619</v>
      </c>
      <c r="X294" s="879">
        <v>1637</v>
      </c>
      <c r="Y294" s="879">
        <v>1695</v>
      </c>
      <c r="Z294" s="879">
        <v>1803</v>
      </c>
      <c r="AA294" s="880">
        <f t="shared" si="361"/>
        <v>1808</v>
      </c>
      <c r="AB294" s="879">
        <f>3614-AC294</f>
        <v>1791</v>
      </c>
      <c r="AC294" s="879">
        <v>1823</v>
      </c>
      <c r="AD294" s="879">
        <v>1891</v>
      </c>
      <c r="AE294" s="880">
        <f t="shared" si="362"/>
        <v>1902</v>
      </c>
      <c r="AF294" s="879">
        <v>1876</v>
      </c>
      <c r="AG294" s="8"/>
      <c r="AH294" s="8"/>
      <c r="AI294" s="8"/>
      <c r="AN294" s="879">
        <v>2743</v>
      </c>
      <c r="AO294" s="879">
        <v>3024</v>
      </c>
      <c r="AP294" s="879">
        <v>3036</v>
      </c>
      <c r="AQ294" s="879">
        <v>3372</v>
      </c>
      <c r="AR294" s="879">
        <v>3976</v>
      </c>
      <c r="AS294" s="879">
        <v>4372</v>
      </c>
      <c r="AT294" s="879">
        <v>4767</v>
      </c>
      <c r="AU294" s="879">
        <v>5090</v>
      </c>
      <c r="AV294" s="879">
        <v>5641</v>
      </c>
      <c r="AW294" s="879">
        <v>5588</v>
      </c>
      <c r="AX294" s="879"/>
      <c r="AY294" s="879">
        <v>5659</v>
      </c>
      <c r="AZ294" s="879">
        <v>5542</v>
      </c>
      <c r="BA294" s="879">
        <v>5846</v>
      </c>
      <c r="BB294" s="879">
        <v>6124</v>
      </c>
      <c r="BC294" s="879">
        <v>6409</v>
      </c>
      <c r="BD294" s="879">
        <v>6943</v>
      </c>
      <c r="BE294" s="879">
        <v>7407</v>
      </c>
      <c r="BF294" s="879"/>
    </row>
    <row r="295" spans="2:62">
      <c r="B295" t="s">
        <v>476</v>
      </c>
      <c r="H295" s="879">
        <v>1362</v>
      </c>
      <c r="I295" s="879">
        <v>1697</v>
      </c>
      <c r="J295" s="879">
        <v>958</v>
      </c>
      <c r="K295" s="8">
        <f t="shared" si="357"/>
        <v>1045</v>
      </c>
      <c r="L295" s="879">
        <v>1154</v>
      </c>
      <c r="M295" s="879">
        <v>1478</v>
      </c>
      <c r="N295" s="879">
        <v>1219</v>
      </c>
      <c r="O295" s="8">
        <f t="shared" si="358"/>
        <v>1283</v>
      </c>
      <c r="P295" s="879">
        <v>1261</v>
      </c>
      <c r="Q295" s="879">
        <v>1948</v>
      </c>
      <c r="R295" s="879">
        <v>1423</v>
      </c>
      <c r="S295" s="8">
        <f t="shared" si="359"/>
        <v>1463</v>
      </c>
      <c r="T295" s="879">
        <v>1202</v>
      </c>
      <c r="U295" s="879">
        <v>2048</v>
      </c>
      <c r="V295" s="879">
        <v>1412</v>
      </c>
      <c r="W295" s="880">
        <f t="shared" si="360"/>
        <v>1795</v>
      </c>
      <c r="X295" s="879">
        <v>1620</v>
      </c>
      <c r="Y295" s="879">
        <v>2120</v>
      </c>
      <c r="Z295" s="879">
        <v>1599</v>
      </c>
      <c r="AA295" s="880">
        <f t="shared" si="361"/>
        <v>1452</v>
      </c>
      <c r="AB295" s="879">
        <f>3646-AC295</f>
        <v>1361</v>
      </c>
      <c r="AC295" s="879">
        <v>2285</v>
      </c>
      <c r="AD295" s="879">
        <v>1764</v>
      </c>
      <c r="AE295" s="880">
        <f t="shared" si="362"/>
        <v>1581</v>
      </c>
      <c r="AF295" s="879">
        <v>1448</v>
      </c>
      <c r="AG295" s="8"/>
      <c r="AH295" s="8"/>
      <c r="AI295" s="8"/>
      <c r="AN295" s="879">
        <v>0</v>
      </c>
      <c r="AO295" s="879">
        <v>0</v>
      </c>
      <c r="AP295" s="879">
        <v>0</v>
      </c>
      <c r="AQ295" s="879">
        <v>0</v>
      </c>
      <c r="AR295" s="879">
        <f>162+0</f>
        <v>162</v>
      </c>
      <c r="AS295" s="879">
        <f>615+853</f>
        <v>1468</v>
      </c>
      <c r="AT295" s="879">
        <f>1883+3073</f>
        <v>4956</v>
      </c>
      <c r="AU295" s="879">
        <v>11602</v>
      </c>
      <c r="AV295" s="879">
        <v>7466</v>
      </c>
      <c r="AW295" s="879">
        <v>4557</v>
      </c>
      <c r="AX295" s="879"/>
      <c r="AY295" s="879">
        <v>7888</v>
      </c>
      <c r="AZ295" s="879">
        <v>5062</v>
      </c>
      <c r="BA295" s="879">
        <v>5134</v>
      </c>
      <c r="BB295" s="879">
        <v>6095</v>
      </c>
      <c r="BC295" s="879">
        <v>6457</v>
      </c>
      <c r="BD295" s="879">
        <v>6791</v>
      </c>
      <c r="BE295" s="879">
        <v>6991</v>
      </c>
      <c r="BF295" s="879"/>
    </row>
    <row r="296" spans="2:62">
      <c r="B296" t="s">
        <v>385</v>
      </c>
      <c r="H296" s="879">
        <v>0</v>
      </c>
      <c r="I296" s="879">
        <v>228</v>
      </c>
      <c r="J296" s="879">
        <v>976</v>
      </c>
      <c r="K296" s="8">
        <f t="shared" si="357"/>
        <v>1067</v>
      </c>
      <c r="L296" s="879">
        <v>1148</v>
      </c>
      <c r="M296" s="879">
        <v>1312</v>
      </c>
      <c r="N296" s="879">
        <v>1335</v>
      </c>
      <c r="O296" s="8">
        <f t="shared" si="358"/>
        <v>1464</v>
      </c>
      <c r="P296" s="879">
        <v>1530</v>
      </c>
      <c r="Q296" s="879">
        <v>1693</v>
      </c>
      <c r="R296" s="879">
        <v>1696</v>
      </c>
      <c r="S296" s="8">
        <f t="shared" si="359"/>
        <v>1835</v>
      </c>
      <c r="T296" s="879">
        <v>1909</v>
      </c>
      <c r="U296" s="879">
        <v>2102</v>
      </c>
      <c r="V296" s="879">
        <v>2050</v>
      </c>
      <c r="W296" s="880">
        <f t="shared" si="360"/>
        <v>2016</v>
      </c>
      <c r="X296" s="879">
        <v>2206</v>
      </c>
      <c r="Y296" s="879">
        <v>2577</v>
      </c>
      <c r="Z296" s="879">
        <v>2562</v>
      </c>
      <c r="AA296" s="880">
        <f t="shared" si="361"/>
        <v>2944</v>
      </c>
      <c r="AB296" s="879">
        <f>6667-AC296</f>
        <v>3136</v>
      </c>
      <c r="AC296" s="879">
        <v>3531</v>
      </c>
      <c r="AD296" s="879">
        <v>3437</v>
      </c>
      <c r="AE296" s="880">
        <f t="shared" si="362"/>
        <v>3712</v>
      </c>
      <c r="AF296" s="879">
        <v>3663</v>
      </c>
      <c r="AG296" s="8"/>
      <c r="AH296" s="8"/>
      <c r="AI296" s="8"/>
      <c r="AN296" s="879">
        <v>0</v>
      </c>
      <c r="AO296" s="879">
        <v>0</v>
      </c>
      <c r="AP296" s="879">
        <v>0</v>
      </c>
      <c r="AQ296" s="879">
        <v>0</v>
      </c>
      <c r="AR296" s="879">
        <v>0</v>
      </c>
      <c r="AS296" s="879">
        <v>0</v>
      </c>
      <c r="AT296" s="879">
        <v>0</v>
      </c>
      <c r="AU296" s="879">
        <v>0</v>
      </c>
      <c r="AV296" s="879">
        <v>0</v>
      </c>
      <c r="AW296" s="879">
        <v>2268</v>
      </c>
      <c r="AX296" s="879"/>
      <c r="AY296" s="879">
        <v>0</v>
      </c>
      <c r="AZ296" s="879">
        <v>2271</v>
      </c>
      <c r="BA296" s="879">
        <v>5259</v>
      </c>
      <c r="BB296" s="879">
        <v>6754</v>
      </c>
      <c r="BC296" s="879">
        <v>8077</v>
      </c>
      <c r="BD296" s="879">
        <v>10289</v>
      </c>
      <c r="BE296" s="879">
        <v>13816</v>
      </c>
      <c r="BF296" s="879"/>
    </row>
    <row r="297" spans="2:62" ht="11.45">
      <c r="B297" t="s">
        <v>198</v>
      </c>
      <c r="H297" s="905">
        <v>583</v>
      </c>
      <c r="I297" s="905">
        <v>732</v>
      </c>
      <c r="J297" s="905">
        <v>606</v>
      </c>
      <c r="K297" s="10">
        <f t="shared" si="357"/>
        <v>690</v>
      </c>
      <c r="L297" s="905">
        <v>616</v>
      </c>
      <c r="M297" s="905">
        <v>740</v>
      </c>
      <c r="N297" s="905">
        <v>698</v>
      </c>
      <c r="O297" s="10">
        <f t="shared" si="358"/>
        <v>739</v>
      </c>
      <c r="P297" s="905">
        <v>736</v>
      </c>
      <c r="Q297" s="905">
        <v>805</v>
      </c>
      <c r="R297" s="905">
        <v>750</v>
      </c>
      <c r="S297" s="10">
        <f t="shared" si="359"/>
        <v>779</v>
      </c>
      <c r="T297" s="905">
        <v>855</v>
      </c>
      <c r="U297" s="905">
        <v>959</v>
      </c>
      <c r="V297" s="905">
        <v>961</v>
      </c>
      <c r="W297" s="906">
        <f t="shared" si="360"/>
        <v>993</v>
      </c>
      <c r="X297" s="905">
        <v>1032</v>
      </c>
      <c r="Y297" s="905">
        <v>1143</v>
      </c>
      <c r="Z297" s="905">
        <v>1125</v>
      </c>
      <c r="AA297" s="906">
        <f t="shared" si="361"/>
        <v>1179</v>
      </c>
      <c r="AB297" s="905">
        <f>2584-AC297</f>
        <v>1227</v>
      </c>
      <c r="AC297" s="905">
        <v>1357</v>
      </c>
      <c r="AD297" s="905">
        <v>1304</v>
      </c>
      <c r="AE297" s="906">
        <f t="shared" si="362"/>
        <v>1403</v>
      </c>
      <c r="AF297" s="905">
        <v>1348</v>
      </c>
      <c r="AG297" s="10"/>
      <c r="AH297" s="10"/>
      <c r="AI297" s="10"/>
      <c r="AN297" s="905">
        <v>4122</v>
      </c>
      <c r="AO297" s="905">
        <v>3598</v>
      </c>
      <c r="AP297" s="905">
        <v>3478</v>
      </c>
      <c r="AQ297" s="905">
        <v>3749</v>
      </c>
      <c r="AR297" s="905">
        <v>4508</v>
      </c>
      <c r="AS297" s="905">
        <v>5590</v>
      </c>
      <c r="AT297" s="905">
        <v>6217</v>
      </c>
      <c r="AU297" s="905">
        <v>6234</v>
      </c>
      <c r="AV297" s="905">
        <v>5851</v>
      </c>
      <c r="AW297" s="905">
        <v>5538</v>
      </c>
      <c r="AX297" s="905"/>
      <c r="AY297" s="905">
        <v>2499</v>
      </c>
      <c r="AZ297" s="905">
        <v>2611</v>
      </c>
      <c r="BA297" s="905">
        <v>2793</v>
      </c>
      <c r="BB297" s="905">
        <v>3070</v>
      </c>
      <c r="BC297" s="905">
        <v>3768</v>
      </c>
      <c r="BD297" s="905">
        <v>4479</v>
      </c>
      <c r="BE297" s="905">
        <v>5291</v>
      </c>
      <c r="BF297" s="905"/>
    </row>
    <row r="298" spans="2:62" s="1" customFormat="1" ht="10.5">
      <c r="B298" s="837" t="s">
        <v>477</v>
      </c>
      <c r="H298" s="838">
        <f t="shared" ref="H298:Q298" si="363">SUM(H289:H297)</f>
        <v>21928</v>
      </c>
      <c r="I298" s="838">
        <f t="shared" si="363"/>
        <v>25826</v>
      </c>
      <c r="J298" s="838">
        <f t="shared" si="363"/>
        <v>23212</v>
      </c>
      <c r="K298" s="838">
        <f t="shared" si="363"/>
        <v>25605</v>
      </c>
      <c r="L298" s="838">
        <f t="shared" si="363"/>
        <v>24538</v>
      </c>
      <c r="M298" s="838">
        <f t="shared" si="363"/>
        <v>28918</v>
      </c>
      <c r="N298" s="838">
        <f t="shared" si="363"/>
        <v>26819</v>
      </c>
      <c r="O298" s="838">
        <f t="shared" si="363"/>
        <v>30085</v>
      </c>
      <c r="P298" s="838">
        <f t="shared" si="363"/>
        <v>29084</v>
      </c>
      <c r="Q298" s="838">
        <f t="shared" si="363"/>
        <v>32471</v>
      </c>
      <c r="R298" s="838">
        <f t="shared" ref="R298:AF298" si="364">SUM(R289:R297)</f>
        <v>30571</v>
      </c>
      <c r="S298" s="838">
        <f t="shared" si="364"/>
        <v>33717</v>
      </c>
      <c r="T298" s="838">
        <f t="shared" si="364"/>
        <v>33055</v>
      </c>
      <c r="U298" s="838">
        <f t="shared" si="364"/>
        <v>36906</v>
      </c>
      <c r="V298" s="838">
        <f t="shared" si="364"/>
        <v>35021</v>
      </c>
      <c r="W298" s="849">
        <f t="shared" si="364"/>
        <v>38033</v>
      </c>
      <c r="X298" s="838">
        <f t="shared" si="364"/>
        <v>37154</v>
      </c>
      <c r="Y298" s="838">
        <f t="shared" si="364"/>
        <v>43076</v>
      </c>
      <c r="Z298" s="838">
        <f t="shared" si="364"/>
        <v>41706</v>
      </c>
      <c r="AA298" s="849">
        <f t="shared" si="364"/>
        <v>46152</v>
      </c>
      <c r="AB298" s="838">
        <f t="shared" si="364"/>
        <v>45317</v>
      </c>
      <c r="AC298" s="838">
        <f t="shared" si="364"/>
        <v>51728</v>
      </c>
      <c r="AD298" s="838">
        <f t="shared" si="364"/>
        <v>49360</v>
      </c>
      <c r="AE298" s="849">
        <f t="shared" si="364"/>
        <v>51865</v>
      </c>
      <c r="AF298" s="838">
        <f t="shared" si="364"/>
        <v>50122</v>
      </c>
      <c r="AG298" s="838"/>
      <c r="AH298" s="838"/>
      <c r="AI298" s="838"/>
      <c r="AN298" s="838">
        <f t="shared" ref="AN298:AW298" si="365">SUM(AN289:AN297)</f>
        <v>60420</v>
      </c>
      <c r="AO298" s="838">
        <f t="shared" si="365"/>
        <v>58437</v>
      </c>
      <c r="AP298" s="838">
        <f t="shared" si="365"/>
        <v>62484</v>
      </c>
      <c r="AQ298" s="838">
        <f t="shared" si="365"/>
        <v>69943</v>
      </c>
      <c r="AR298" s="838">
        <f t="shared" si="365"/>
        <v>73723</v>
      </c>
      <c r="AS298" s="838">
        <f t="shared" si="365"/>
        <v>77849</v>
      </c>
      <c r="AT298" s="838">
        <f t="shared" si="365"/>
        <v>86833</v>
      </c>
      <c r="AU298" s="838">
        <f t="shared" si="365"/>
        <v>93580</v>
      </c>
      <c r="AV298" s="838">
        <f t="shared" si="365"/>
        <v>85320</v>
      </c>
      <c r="AW298" s="838">
        <f t="shared" si="365"/>
        <v>89950</v>
      </c>
      <c r="AX298" s="838"/>
      <c r="AY298" s="838">
        <f>SUM(AY289:AY297)</f>
        <v>91154</v>
      </c>
      <c r="AZ298" s="838">
        <f t="shared" ref="AZ298:BE298" si="366">SUM(AZ289:AZ297)</f>
        <v>96571</v>
      </c>
      <c r="BA298" s="838">
        <f t="shared" si="366"/>
        <v>110360</v>
      </c>
      <c r="BB298" s="838">
        <f t="shared" si="366"/>
        <v>125843</v>
      </c>
      <c r="BC298" s="838">
        <f t="shared" si="366"/>
        <v>143015</v>
      </c>
      <c r="BD298" s="838">
        <f t="shared" si="366"/>
        <v>168088</v>
      </c>
      <c r="BE298" s="838">
        <f t="shared" si="366"/>
        <v>198270</v>
      </c>
      <c r="BF298" s="838"/>
      <c r="BJ298"/>
    </row>
    <row r="299" spans="2:62">
      <c r="B299" s="18"/>
      <c r="AF299" s="228"/>
      <c r="AN299" s="8"/>
      <c r="AO299" s="8"/>
      <c r="AP299" s="8"/>
      <c r="AQ299" s="8"/>
      <c r="AR299" s="8"/>
      <c r="AS299" s="900"/>
      <c r="AT299" s="900"/>
      <c r="AU299" s="900"/>
      <c r="AV299" s="900"/>
      <c r="AW299" s="900"/>
    </row>
    <row r="300" spans="2:62" s="3" customFormat="1">
      <c r="B300" s="24" t="s">
        <v>113</v>
      </c>
      <c r="AF300" s="228"/>
      <c r="AR300" s="92"/>
      <c r="AS300" s="92"/>
      <c r="AT300" s="92"/>
      <c r="AU300" s="92"/>
      <c r="AV300" s="92"/>
      <c r="AW300" s="92"/>
      <c r="AX300" s="92"/>
      <c r="AY300" s="92"/>
      <c r="AZ300" s="92"/>
      <c r="BJ300"/>
    </row>
    <row r="301" spans="2:62" s="3" customFormat="1">
      <c r="B301" s="13" t="str">
        <f>+B289</f>
        <v>Office products and cloud services</v>
      </c>
      <c r="L301" s="228">
        <f t="shared" ref="L301:AF310" si="367">+IFERROR(L289/H289-1,"n/a ")</f>
        <v>9.9130725509863016E-2</v>
      </c>
      <c r="M301" s="228">
        <f t="shared" si="367"/>
        <v>9.8773101413262898E-2</v>
      </c>
      <c r="N301" s="228">
        <f t="shared" si="367"/>
        <v>0.13699069618222648</v>
      </c>
      <c r="O301" s="228">
        <f t="shared" si="367"/>
        <v>9.5403295750216888E-2</v>
      </c>
      <c r="P301" s="228">
        <f t="shared" si="367"/>
        <v>0.15923954372623572</v>
      </c>
      <c r="Q301" s="228">
        <f t="shared" si="367"/>
        <v>9.4982332155477023E-2</v>
      </c>
      <c r="R301" s="228">
        <f t="shared" si="367"/>
        <v>0.1130079006772009</v>
      </c>
      <c r="S301" s="228">
        <f t="shared" si="367"/>
        <v>0.12311955661124308</v>
      </c>
      <c r="T301" s="228">
        <f t="shared" si="367"/>
        <v>0.11073209131461548</v>
      </c>
      <c r="U301" s="228">
        <f t="shared" si="367"/>
        <v>0.15954563056667093</v>
      </c>
      <c r="V301" s="228">
        <f t="shared" si="367"/>
        <v>0.1306883001647865</v>
      </c>
      <c r="W301" s="228">
        <f t="shared" si="367"/>
        <v>5.1227822817530244E-2</v>
      </c>
      <c r="X301" s="228">
        <f t="shared" si="367"/>
        <v>9.5913064020789029E-2</v>
      </c>
      <c r="Y301" s="228">
        <f t="shared" si="367"/>
        <v>9.9966603584548563E-2</v>
      </c>
      <c r="Z301" s="228">
        <f t="shared" si="367"/>
        <v>0.12286995515695076</v>
      </c>
      <c r="AA301" s="228">
        <f t="shared" si="367"/>
        <v>0.19559628925896955</v>
      </c>
      <c r="AB301" s="228">
        <f t="shared" si="367"/>
        <v>0.16490622979090319</v>
      </c>
      <c r="AC301" s="228">
        <f t="shared" si="367"/>
        <v>0.13864993421718452</v>
      </c>
      <c r="AD301" s="228">
        <f t="shared" si="367"/>
        <v>0.11461661341853024</v>
      </c>
      <c r="AE301" s="228">
        <f t="shared" si="367"/>
        <v>8.8062073478545333E-2</v>
      </c>
      <c r="AF301" s="228">
        <f t="shared" si="367"/>
        <v>6.8467801628423475E-2</v>
      </c>
      <c r="AG301" s="228"/>
      <c r="AH301" s="228"/>
      <c r="AI301" s="228"/>
      <c r="AJ301" s="228"/>
      <c r="AK301" s="228"/>
      <c r="AL301" s="228"/>
      <c r="AM301" s="228"/>
      <c r="AN301" s="228"/>
      <c r="AO301" s="228">
        <f t="shared" ref="AO301:AW310" si="368">+IFERROR(AO289/AN289-1,"n/a ")</f>
        <v>-4.700547475529504E-3</v>
      </c>
      <c r="AP301" s="228">
        <f t="shared" si="368"/>
        <v>-1.355706189576622E-2</v>
      </c>
      <c r="AQ301" s="228">
        <f t="shared" si="368"/>
        <v>0.16762419736397427</v>
      </c>
      <c r="AR301" s="228">
        <f t="shared" si="368"/>
        <v>7.5687409551374873E-2</v>
      </c>
      <c r="AS301" s="228">
        <f t="shared" si="368"/>
        <v>3.1212161980357811E-2</v>
      </c>
      <c r="AT301" s="228">
        <f t="shared" si="368"/>
        <v>5.7751685148945464E-2</v>
      </c>
      <c r="AU301" s="228">
        <f t="shared" si="368"/>
        <v>-3.2273979361098548E-2</v>
      </c>
      <c r="AV301" s="228">
        <f t="shared" si="368"/>
        <v>2.1242246579997737E-3</v>
      </c>
      <c r="AW301" s="228">
        <f t="shared" si="368"/>
        <v>7.6352382567407062E-2</v>
      </c>
      <c r="AX301" s="228"/>
      <c r="AY301" s="904">
        <f t="shared" ref="AY301" si="369">+AV301</f>
        <v>2.1242246579997737E-3</v>
      </c>
      <c r="AZ301" s="904">
        <f t="shared" ref="AZ301" si="370">+AW301</f>
        <v>7.6352382567407062E-2</v>
      </c>
      <c r="BA301" s="228">
        <f t="shared" ref="BA301:BE310" si="371">+IFERROR(BA289/AZ289-1,"n/a ")</f>
        <v>0.10726156493176386</v>
      </c>
      <c r="BB301" s="228">
        <f t="shared" si="371"/>
        <v>0.12194518999858728</v>
      </c>
      <c r="BC301" s="228">
        <f t="shared" si="371"/>
        <v>0.11164972142654794</v>
      </c>
      <c r="BD301" s="228">
        <f t="shared" si="371"/>
        <v>0.12900668252350211</v>
      </c>
      <c r="BE301" s="228">
        <f t="shared" si="371"/>
        <v>0.125150481540931</v>
      </c>
      <c r="BF301" s="23"/>
      <c r="BJ301"/>
    </row>
    <row r="302" spans="2:62" s="3" customFormat="1">
      <c r="B302" s="13" t="str">
        <f t="shared" ref="B302:B310" si="372">+B290</f>
        <v>Server products and cloud services</v>
      </c>
      <c r="L302" s="228">
        <f t="shared" si="367"/>
        <v>0.17210492642354436</v>
      </c>
      <c r="M302" s="228">
        <f t="shared" si="367"/>
        <v>0.18135783945986494</v>
      </c>
      <c r="N302" s="228">
        <f t="shared" si="367"/>
        <v>0.19747026618840846</v>
      </c>
      <c r="O302" s="228">
        <f t="shared" si="367"/>
        <v>0.26220186384457422</v>
      </c>
      <c r="P302" s="228">
        <f t="shared" si="367"/>
        <v>0.28420669577874813</v>
      </c>
      <c r="Q302" s="228">
        <f t="shared" si="367"/>
        <v>0.23686299412605183</v>
      </c>
      <c r="R302" s="228">
        <f t="shared" si="367"/>
        <v>0.26958852278101841</v>
      </c>
      <c r="S302" s="228">
        <f t="shared" si="367"/>
        <v>0.21636841446627453</v>
      </c>
      <c r="T302" s="228">
        <f t="shared" si="367"/>
        <v>0.30235194105979035</v>
      </c>
      <c r="U302" s="228">
        <f t="shared" si="367"/>
        <v>0.29880631497882182</v>
      </c>
      <c r="V302" s="228">
        <f t="shared" si="367"/>
        <v>0.30262014156215078</v>
      </c>
      <c r="W302" s="228">
        <f t="shared" si="367"/>
        <v>0.19115226337448554</v>
      </c>
      <c r="X302" s="228">
        <f t="shared" si="367"/>
        <v>0.21790687554395127</v>
      </c>
      <c r="Y302" s="228">
        <f t="shared" si="367"/>
        <v>0.25793062555588486</v>
      </c>
      <c r="Z302" s="228">
        <f t="shared" si="367"/>
        <v>0.25872259294566247</v>
      </c>
      <c r="AA302" s="228">
        <f t="shared" si="367"/>
        <v>0.33537743997236147</v>
      </c>
      <c r="AB302" s="228">
        <f t="shared" si="367"/>
        <v>0.34604734256364456</v>
      </c>
      <c r="AC302" s="228">
        <f t="shared" si="367"/>
        <v>0.28643255558174241</v>
      </c>
      <c r="AD302" s="228">
        <f t="shared" si="367"/>
        <v>0.29036655558921542</v>
      </c>
      <c r="AE302" s="228">
        <f t="shared" si="367"/>
        <v>0.21848522087833899</v>
      </c>
      <c r="AF302" s="228">
        <f t="shared" si="367"/>
        <v>0.220253500564072</v>
      </c>
      <c r="AG302" s="228"/>
      <c r="AH302" s="228"/>
      <c r="AI302" s="228"/>
      <c r="AJ302" s="228"/>
      <c r="AK302" s="228"/>
      <c r="AL302" s="228"/>
      <c r="AM302" s="228"/>
      <c r="AN302" s="228"/>
      <c r="AO302" s="228">
        <f t="shared" si="368"/>
        <v>6.9079257374422776E-2</v>
      </c>
      <c r="AP302" s="228">
        <f t="shared" si="368"/>
        <v>5.8444992947813912E-2</v>
      </c>
      <c r="AQ302" s="228">
        <f t="shared" si="368"/>
        <v>0.10360622969934208</v>
      </c>
      <c r="AR302" s="228">
        <f t="shared" si="368"/>
        <v>7.4032148517092944E-2</v>
      </c>
      <c r="AS302" s="228">
        <f t="shared" si="368"/>
        <v>8.2630691399662837E-2</v>
      </c>
      <c r="AT302" s="228">
        <f t="shared" si="368"/>
        <v>0.10689252336448596</v>
      </c>
      <c r="AU302" s="228">
        <f t="shared" si="368"/>
        <v>9.1292875989446021E-2</v>
      </c>
      <c r="AV302" s="228">
        <f t="shared" si="368"/>
        <v>3.0356759080163442E-2</v>
      </c>
      <c r="AW302" s="228">
        <f t="shared" si="368"/>
        <v>0.13458830891171725</v>
      </c>
      <c r="AX302" s="228"/>
      <c r="AY302" s="1010">
        <f t="shared" ref="AY302:AY310" si="373">+AV302</f>
        <v>3.0356759080163442E-2</v>
      </c>
      <c r="AZ302" s="1010">
        <f t="shared" ref="AZ302:AZ310" si="374">+AW302</f>
        <v>0.13458830891171725</v>
      </c>
      <c r="BA302" s="228">
        <f t="shared" si="371"/>
        <v>0.20693796480206927</v>
      </c>
      <c r="BB302" s="228">
        <f t="shared" si="371"/>
        <v>0.24849783765165134</v>
      </c>
      <c r="BC302" s="228">
        <f t="shared" si="371"/>
        <v>0.26843847710134261</v>
      </c>
      <c r="BD302" s="228">
        <f t="shared" si="371"/>
        <v>0.27091036516107203</v>
      </c>
      <c r="BE302" s="228">
        <f t="shared" si="371"/>
        <v>0.28013462891479213</v>
      </c>
      <c r="BF302" s="23"/>
    </row>
    <row r="303" spans="2:62" s="3" customFormat="1">
      <c r="B303" s="13" t="str">
        <f t="shared" si="372"/>
        <v>Gaming</v>
      </c>
      <c r="L303" s="228">
        <f t="shared" si="367"/>
        <v>5.8355437665782439E-3</v>
      </c>
      <c r="M303" s="228">
        <f t="shared" si="367"/>
        <v>8.3771081006358772E-2</v>
      </c>
      <c r="N303" s="228">
        <f t="shared" si="367"/>
        <v>0.18100734522560336</v>
      </c>
      <c r="O303" s="228">
        <f t="shared" si="367"/>
        <v>0.39135727328058434</v>
      </c>
      <c r="P303" s="228">
        <f t="shared" si="367"/>
        <v>0.44409282700421948</v>
      </c>
      <c r="Q303" s="228">
        <f t="shared" si="367"/>
        <v>7.9591836734693944E-2</v>
      </c>
      <c r="R303" s="228">
        <f t="shared" si="367"/>
        <v>4.9755664149266909E-2</v>
      </c>
      <c r="S303" s="228">
        <f t="shared" si="367"/>
        <v>-0.10192475940507439</v>
      </c>
      <c r="T303" s="228">
        <f t="shared" si="367"/>
        <v>-7.1585098612125586E-2</v>
      </c>
      <c r="U303" s="228">
        <f t="shared" si="367"/>
        <v>-0.21384688090737236</v>
      </c>
      <c r="V303" s="228">
        <f t="shared" si="367"/>
        <v>-5.9246720270842435E-3</v>
      </c>
      <c r="W303" s="228">
        <f t="shared" si="367"/>
        <v>0.63516804676083782</v>
      </c>
      <c r="X303" s="228">
        <f t="shared" si="367"/>
        <v>0.21636506687647517</v>
      </c>
      <c r="Y303" s="228">
        <f t="shared" si="367"/>
        <v>0.51217312894499556</v>
      </c>
      <c r="Z303" s="228">
        <f t="shared" si="367"/>
        <v>0.5040442741592166</v>
      </c>
      <c r="AA303" s="228">
        <f t="shared" si="367"/>
        <v>0.10634495084897222</v>
      </c>
      <c r="AB303" s="228">
        <f t="shared" si="367"/>
        <v>0.16203104786545919</v>
      </c>
      <c r="AC303" s="228">
        <f t="shared" si="367"/>
        <v>8.1693500298151367E-2</v>
      </c>
      <c r="AD303" s="228">
        <f t="shared" si="367"/>
        <v>5.8590433059722669E-2</v>
      </c>
      <c r="AE303" s="228">
        <f t="shared" si="367"/>
        <v>-6.9736133548734536E-2</v>
      </c>
      <c r="AF303" s="228">
        <f t="shared" si="367"/>
        <v>4.7314222098524539E-3</v>
      </c>
      <c r="AG303" s="228"/>
      <c r="AH303" s="228"/>
      <c r="AI303" s="228"/>
      <c r="AJ303" s="228"/>
      <c r="AK303" s="228"/>
      <c r="AL303" s="228"/>
      <c r="AM303" s="228"/>
      <c r="AN303" s="228"/>
      <c r="AO303" s="228">
        <f t="shared" si="368"/>
        <v>-2.1972132904608754E-2</v>
      </c>
      <c r="AP303" s="228">
        <f t="shared" si="368"/>
        <v>-3.4703196347032339E-3</v>
      </c>
      <c r="AQ303" s="228">
        <f t="shared" si="368"/>
        <v>0.48515395894428148</v>
      </c>
      <c r="AR303" s="228">
        <f t="shared" si="368"/>
        <v>-7.157842774281109E-3</v>
      </c>
      <c r="AS303" s="228">
        <f t="shared" si="368"/>
        <v>-0.11746426351771289</v>
      </c>
      <c r="AT303" s="228">
        <f t="shared" si="368"/>
        <v>0.21732394366197183</v>
      </c>
      <c r="AU303" s="228">
        <f t="shared" si="368"/>
        <v>5.5304870993867938E-2</v>
      </c>
      <c r="AV303" s="228">
        <f t="shared" si="368"/>
        <v>3.004056572744207E-2</v>
      </c>
      <c r="AW303" s="228">
        <f t="shared" si="368"/>
        <v>-1.4795103778605601E-2</v>
      </c>
      <c r="AX303" s="228"/>
      <c r="AY303" s="1010">
        <f t="shared" si="373"/>
        <v>3.004056572744207E-2</v>
      </c>
      <c r="AZ303" s="1010">
        <f t="shared" si="374"/>
        <v>-1.4795103778605601E-2</v>
      </c>
      <c r="BA303" s="228">
        <f t="shared" si="371"/>
        <v>0.14385150812064973</v>
      </c>
      <c r="BB303" s="228">
        <f t="shared" si="371"/>
        <v>9.9777842171351327E-2</v>
      </c>
      <c r="BC303" s="228">
        <f t="shared" si="371"/>
        <v>1.6599332513613119E-2</v>
      </c>
      <c r="BD303" s="228">
        <f t="shared" si="371"/>
        <v>0.32786177105831538</v>
      </c>
      <c r="BE303" s="228">
        <f t="shared" si="371"/>
        <v>5.595315549772284E-2</v>
      </c>
      <c r="BF303" s="23"/>
    </row>
    <row r="304" spans="2:62" s="3" customFormat="1">
      <c r="B304" s="13" t="str">
        <f t="shared" si="372"/>
        <v>Windows</v>
      </c>
      <c r="L304" s="228">
        <f t="shared" si="367"/>
        <v>0</v>
      </c>
      <c r="M304" s="228">
        <f t="shared" si="367"/>
        <v>7.0759625390217629E-3</v>
      </c>
      <c r="N304" s="228">
        <f t="shared" si="367"/>
        <v>8.441100399717838E-2</v>
      </c>
      <c r="O304" s="228">
        <f t="shared" si="367"/>
        <v>0.10874897792313987</v>
      </c>
      <c r="P304" s="228">
        <f t="shared" si="367"/>
        <v>5.5567520999353803E-2</v>
      </c>
      <c r="Q304" s="228">
        <f t="shared" si="367"/>
        <v>-1.6738995660260381E-2</v>
      </c>
      <c r="R304" s="228">
        <f t="shared" si="367"/>
        <v>7.1986123156981829E-2</v>
      </c>
      <c r="S304" s="228">
        <f t="shared" si="367"/>
        <v>6.7846607669616477E-2</v>
      </c>
      <c r="T304" s="228">
        <f t="shared" si="367"/>
        <v>9.2226076310957028E-2</v>
      </c>
      <c r="U304" s="228">
        <f t="shared" si="367"/>
        <v>0.17549390500210182</v>
      </c>
      <c r="V304" s="228">
        <f t="shared" si="367"/>
        <v>5.5825242718446688E-2</v>
      </c>
      <c r="W304" s="228">
        <f t="shared" si="367"/>
        <v>5.8011049723756924E-2</v>
      </c>
      <c r="X304" s="228">
        <f t="shared" si="367"/>
        <v>-8.9669344292919728E-3</v>
      </c>
      <c r="Y304" s="228">
        <f t="shared" si="367"/>
        <v>2.1991775433577665E-2</v>
      </c>
      <c r="Z304" s="228">
        <f t="shared" si="367"/>
        <v>8.1609195402298829E-2</v>
      </c>
      <c r="AA304" s="228">
        <f t="shared" si="367"/>
        <v>7.0496083550913857E-2</v>
      </c>
      <c r="AB304" s="228">
        <f t="shared" si="367"/>
        <v>6.9934024505183823E-2</v>
      </c>
      <c r="AC304" s="228">
        <f t="shared" si="367"/>
        <v>0.15465360391882443</v>
      </c>
      <c r="AD304" s="228">
        <f t="shared" si="367"/>
        <v>7.6337229897272429E-2</v>
      </c>
      <c r="AE304" s="228">
        <f t="shared" si="367"/>
        <v>-2.3170731707317094E-2</v>
      </c>
      <c r="AF304" s="228">
        <f t="shared" si="367"/>
        <v>-6.3953488372093026E-2</v>
      </c>
      <c r="AG304" s="228"/>
      <c r="AH304" s="228"/>
      <c r="AI304" s="228"/>
      <c r="AJ304" s="228"/>
      <c r="AK304" s="228"/>
      <c r="AL304" s="228"/>
      <c r="AM304" s="228"/>
      <c r="AN304" s="228"/>
      <c r="AO304" s="228">
        <f t="shared" si="368"/>
        <v>-0.12976600546383177</v>
      </c>
      <c r="AP304" s="228">
        <f t="shared" si="368"/>
        <v>0.24377260629222675</v>
      </c>
      <c r="AQ304" s="228">
        <f t="shared" si="368"/>
        <v>-2.1947873799725626E-2</v>
      </c>
      <c r="AR304" s="228">
        <f t="shared" si="368"/>
        <v>-2.8330995792426372E-2</v>
      </c>
      <c r="AS304" s="228">
        <f t="shared" si="368"/>
        <v>1.206697459584305E-2</v>
      </c>
      <c r="AT304" s="228">
        <f t="shared" si="368"/>
        <v>-3.8393519310856328E-2</v>
      </c>
      <c r="AU304" s="228">
        <f t="shared" si="368"/>
        <v>-0.12043189368770768</v>
      </c>
      <c r="AV304" s="228">
        <f t="shared" si="368"/>
        <v>-0.45339268852016723</v>
      </c>
      <c r="AW304" s="228">
        <f t="shared" si="368"/>
        <v>6.4289239881540006E-2</v>
      </c>
      <c r="AX304" s="228"/>
      <c r="AY304" s="1010">
        <f t="shared" si="373"/>
        <v>-0.45339268852016723</v>
      </c>
      <c r="AZ304" s="1010">
        <f t="shared" si="374"/>
        <v>6.4289239881540006E-2</v>
      </c>
      <c r="BA304" s="228">
        <f t="shared" si="371"/>
        <v>4.9749905878556433E-2</v>
      </c>
      <c r="BB304" s="228">
        <f t="shared" si="371"/>
        <v>4.4932882467465962E-2</v>
      </c>
      <c r="BC304" s="228">
        <f t="shared" si="371"/>
        <v>9.3111056631527411E-2</v>
      </c>
      <c r="BD304" s="228">
        <f t="shared" si="371"/>
        <v>4.184982506503987E-2</v>
      </c>
      <c r="BE304" s="228">
        <f t="shared" si="371"/>
        <v>6.6043828303267826E-2</v>
      </c>
      <c r="BF304" s="23"/>
    </row>
    <row r="305" spans="2:58" s="3" customFormat="1">
      <c r="B305" s="13" t="str">
        <f t="shared" si="372"/>
        <v xml:space="preserve">Search and news advertising </v>
      </c>
      <c r="L305" s="228">
        <f t="shared" si="367"/>
        <v>0.1469559132260323</v>
      </c>
      <c r="M305" s="228">
        <f t="shared" si="367"/>
        <v>0.13395638629283479</v>
      </c>
      <c r="N305" s="228">
        <f t="shared" si="367"/>
        <v>0.11569731081926204</v>
      </c>
      <c r="O305" s="228">
        <f t="shared" si="367"/>
        <v>0.11538461538461542</v>
      </c>
      <c r="P305" s="228">
        <f t="shared" si="367"/>
        <v>9.0909090909090828E-2</v>
      </c>
      <c r="Q305" s="228">
        <f t="shared" si="367"/>
        <v>8.5714285714285632E-2</v>
      </c>
      <c r="R305" s="228">
        <f t="shared" si="367"/>
        <v>7.1188340807174955E-2</v>
      </c>
      <c r="S305" s="228">
        <f t="shared" si="367"/>
        <v>0.10401356698699837</v>
      </c>
      <c r="T305" s="228">
        <f t="shared" si="367"/>
        <v>0.11353467561521247</v>
      </c>
      <c r="U305" s="228">
        <f t="shared" si="367"/>
        <v>9.4635627530364363E-2</v>
      </c>
      <c r="V305" s="228">
        <f t="shared" si="367"/>
        <v>3.9246467817896313E-2</v>
      </c>
      <c r="W305" s="228">
        <f t="shared" si="367"/>
        <v>-0.18074756784434198</v>
      </c>
      <c r="X305" s="228">
        <f t="shared" si="367"/>
        <v>-0.1014565544952285</v>
      </c>
      <c r="Y305" s="228">
        <f t="shared" si="367"/>
        <v>9.7087378640776656E-3</v>
      </c>
      <c r="Z305" s="228">
        <f t="shared" si="367"/>
        <v>0.11681772406847934</v>
      </c>
      <c r="AA305" s="228">
        <f t="shared" si="367"/>
        <v>0.46062500000000006</v>
      </c>
      <c r="AB305" s="228">
        <f t="shared" si="367"/>
        <v>0.48462828395751822</v>
      </c>
      <c r="AC305" s="228">
        <f t="shared" si="367"/>
        <v>0.40293040293040283</v>
      </c>
      <c r="AD305" s="228">
        <f t="shared" si="367"/>
        <v>0.32777276825969337</v>
      </c>
      <c r="AE305" s="228">
        <f t="shared" si="367"/>
        <v>0.25203252032520318</v>
      </c>
      <c r="AF305" s="228">
        <f t="shared" si="367"/>
        <v>0.10240963855421681</v>
      </c>
      <c r="AG305" s="228"/>
      <c r="AH305" s="228"/>
      <c r="AI305" s="228"/>
      <c r="AJ305" s="228"/>
      <c r="AK305" s="228"/>
      <c r="AL305" s="228"/>
      <c r="AM305" s="228"/>
      <c r="AN305" s="228"/>
      <c r="AO305" s="228">
        <f t="shared" si="368"/>
        <v>-3.2989690721649478E-2</v>
      </c>
      <c r="AP305" s="228">
        <f t="shared" si="368"/>
        <v>7.8038379530916746E-2</v>
      </c>
      <c r="AQ305" s="228">
        <f t="shared" si="368"/>
        <v>0.15229430379746844</v>
      </c>
      <c r="AR305" s="228">
        <f t="shared" si="368"/>
        <v>9.2001373154823263E-2</v>
      </c>
      <c r="AS305" s="228">
        <f t="shared" si="368"/>
        <v>6.4759509588179887E-2</v>
      </c>
      <c r="AT305" s="228">
        <f t="shared" si="368"/>
        <v>0.18571006790670208</v>
      </c>
      <c r="AU305" s="228">
        <f t="shared" si="368"/>
        <v>0.1347111553784861</v>
      </c>
      <c r="AV305" s="228">
        <f t="shared" si="368"/>
        <v>0.33816107087996494</v>
      </c>
      <c r="AW305" s="228">
        <f t="shared" si="368"/>
        <v>0.14316169235815024</v>
      </c>
      <c r="AX305" s="228"/>
      <c r="AY305" s="1010">
        <f t="shared" si="373"/>
        <v>0.33816107087996494</v>
      </c>
      <c r="AZ305" s="1010">
        <f t="shared" si="374"/>
        <v>0.14316169235815024</v>
      </c>
      <c r="BA305" s="228">
        <f t="shared" si="371"/>
        <v>0.12751246181058051</v>
      </c>
      <c r="BB305" s="228">
        <f t="shared" si="371"/>
        <v>8.7849401026811158E-2</v>
      </c>
      <c r="BC305" s="228">
        <f t="shared" si="371"/>
        <v>1.4682747771368687E-2</v>
      </c>
      <c r="BD305" s="228">
        <f t="shared" si="371"/>
        <v>0.10180878552971584</v>
      </c>
      <c r="BE305" s="228">
        <f t="shared" si="371"/>
        <v>0.3591697936210132</v>
      </c>
      <c r="BF305" s="23"/>
    </row>
    <row r="306" spans="2:58" s="3" customFormat="1">
      <c r="B306" s="13" t="str">
        <f t="shared" si="372"/>
        <v>Enterprise Services</v>
      </c>
      <c r="L306" s="228">
        <f t="shared" si="367"/>
        <v>1.1808118081180874E-2</v>
      </c>
      <c r="M306" s="228">
        <f t="shared" si="367"/>
        <v>4.6681254558716301E-2</v>
      </c>
      <c r="N306" s="228">
        <f t="shared" si="367"/>
        <v>7.6644974692696932E-2</v>
      </c>
      <c r="O306" s="228">
        <f t="shared" si="367"/>
        <v>8.2344731332868015E-2</v>
      </c>
      <c r="P306" s="228">
        <f t="shared" si="367"/>
        <v>5.7622173595915482E-2</v>
      </c>
      <c r="Q306" s="228">
        <f t="shared" si="367"/>
        <v>5.9930313588850259E-2</v>
      </c>
      <c r="R306" s="228">
        <f t="shared" si="367"/>
        <v>3.5594358629952971E-2</v>
      </c>
      <c r="S306" s="228">
        <f t="shared" si="367"/>
        <v>3.8684719535783341E-2</v>
      </c>
      <c r="T306" s="228">
        <f t="shared" si="367"/>
        <v>6.5517241379310365E-2</v>
      </c>
      <c r="U306" s="228">
        <f t="shared" si="367"/>
        <v>5.9829059829059839E-2</v>
      </c>
      <c r="V306" s="228">
        <f t="shared" si="367"/>
        <v>5.9014267185473424E-2</v>
      </c>
      <c r="W306" s="228">
        <f t="shared" si="367"/>
        <v>4.9658597144630612E-3</v>
      </c>
      <c r="X306" s="228">
        <f t="shared" si="367"/>
        <v>5.9546925566343001E-2</v>
      </c>
      <c r="Y306" s="228">
        <f t="shared" si="367"/>
        <v>5.1488833746898166E-2</v>
      </c>
      <c r="Z306" s="228">
        <f t="shared" si="367"/>
        <v>0.10410287813839569</v>
      </c>
      <c r="AA306" s="228">
        <f t="shared" si="367"/>
        <v>0.11673872760963566</v>
      </c>
      <c r="AB306" s="228">
        <f t="shared" si="367"/>
        <v>9.4074526572999417E-2</v>
      </c>
      <c r="AC306" s="228">
        <f t="shared" si="367"/>
        <v>7.5516224188790559E-2</v>
      </c>
      <c r="AD306" s="228">
        <f t="shared" si="367"/>
        <v>4.8807542983915653E-2</v>
      </c>
      <c r="AE306" s="228">
        <f t="shared" si="367"/>
        <v>5.1991150442477929E-2</v>
      </c>
      <c r="AF306" s="228">
        <f t="shared" si="367"/>
        <v>4.7459519821328788E-2</v>
      </c>
      <c r="AG306" s="228"/>
      <c r="AH306" s="228"/>
      <c r="AI306" s="228"/>
      <c r="AJ306" s="228"/>
      <c r="AK306" s="228"/>
      <c r="AL306" s="228"/>
      <c r="AM306" s="228"/>
      <c r="AN306" s="228"/>
      <c r="AO306" s="228">
        <f t="shared" si="368"/>
        <v>0.10244258111556692</v>
      </c>
      <c r="AP306" s="228">
        <f t="shared" si="368"/>
        <v>3.9682539682539542E-3</v>
      </c>
      <c r="AQ306" s="228">
        <f t="shared" si="368"/>
        <v>0.11067193675889331</v>
      </c>
      <c r="AR306" s="228">
        <f t="shared" si="368"/>
        <v>0.17912218268090152</v>
      </c>
      <c r="AS306" s="228">
        <f t="shared" si="368"/>
        <v>9.9597585513078402E-2</v>
      </c>
      <c r="AT306" s="228">
        <f t="shared" si="368"/>
        <v>9.0347666971637652E-2</v>
      </c>
      <c r="AU306" s="228">
        <f t="shared" si="368"/>
        <v>6.77574994755612E-2</v>
      </c>
      <c r="AV306" s="228">
        <f t="shared" si="368"/>
        <v>0.10825147347740671</v>
      </c>
      <c r="AW306" s="228">
        <f t="shared" si="368"/>
        <v>-9.3954972522601876E-3</v>
      </c>
      <c r="AX306" s="228"/>
      <c r="AY306" s="1010">
        <f t="shared" si="373"/>
        <v>0.10825147347740671</v>
      </c>
      <c r="AZ306" s="1010">
        <f t="shared" si="374"/>
        <v>-9.3954972522601876E-3</v>
      </c>
      <c r="BA306" s="228">
        <f t="shared" si="371"/>
        <v>5.4853843377841827E-2</v>
      </c>
      <c r="BB306" s="228">
        <f t="shared" si="371"/>
        <v>4.7553882996920871E-2</v>
      </c>
      <c r="BC306" s="228">
        <f t="shared" si="371"/>
        <v>4.6538210320052231E-2</v>
      </c>
      <c r="BD306" s="228">
        <f t="shared" si="371"/>
        <v>8.3320330784833807E-2</v>
      </c>
      <c r="BE306" s="228">
        <f t="shared" si="371"/>
        <v>6.6829900619328919E-2</v>
      </c>
      <c r="BF306" s="23"/>
    </row>
    <row r="307" spans="2:58" s="3" customFormat="1">
      <c r="B307" s="13" t="str">
        <f t="shared" si="372"/>
        <v>Devices</v>
      </c>
      <c r="L307" s="228">
        <f t="shared" si="367"/>
        <v>-0.15271659324522757</v>
      </c>
      <c r="M307" s="228">
        <f t="shared" si="367"/>
        <v>-0.1290512669416618</v>
      </c>
      <c r="N307" s="228">
        <f t="shared" si="367"/>
        <v>0.27244258872651361</v>
      </c>
      <c r="O307" s="228">
        <f t="shared" si="367"/>
        <v>0.2277511961722487</v>
      </c>
      <c r="P307" s="228">
        <f t="shared" si="367"/>
        <v>9.2720970537261804E-2</v>
      </c>
      <c r="Q307" s="228">
        <f t="shared" si="367"/>
        <v>0.31799729364005414</v>
      </c>
      <c r="R307" s="228">
        <f t="shared" si="367"/>
        <v>0.16735028712059075</v>
      </c>
      <c r="S307" s="228">
        <f t="shared" si="367"/>
        <v>0.14029618082618867</v>
      </c>
      <c r="T307" s="228">
        <f t="shared" si="367"/>
        <v>-4.6788263283108589E-2</v>
      </c>
      <c r="U307" s="228">
        <f t="shared" si="367"/>
        <v>5.1334702258726939E-2</v>
      </c>
      <c r="V307" s="228">
        <f t="shared" si="367"/>
        <v>-7.730147575544577E-3</v>
      </c>
      <c r="W307" s="228">
        <f t="shared" si="367"/>
        <v>0.22693096377306898</v>
      </c>
      <c r="X307" s="228">
        <f t="shared" si="367"/>
        <v>0.34775374376039925</v>
      </c>
      <c r="Y307" s="228">
        <f t="shared" si="367"/>
        <v>3.515625E-2</v>
      </c>
      <c r="Z307" s="228">
        <f t="shared" si="367"/>
        <v>0.13243626062322944</v>
      </c>
      <c r="AA307" s="228">
        <f t="shared" si="367"/>
        <v>-0.19108635097493032</v>
      </c>
      <c r="AB307" s="228">
        <f t="shared" si="367"/>
        <v>-0.15987654320987654</v>
      </c>
      <c r="AC307" s="228">
        <f t="shared" si="367"/>
        <v>7.7830188679245182E-2</v>
      </c>
      <c r="AD307" s="228">
        <f t="shared" si="367"/>
        <v>0.1031894934333959</v>
      </c>
      <c r="AE307" s="228">
        <f t="shared" si="367"/>
        <v>8.8842975206611552E-2</v>
      </c>
      <c r="AF307" s="228">
        <f t="shared" si="367"/>
        <v>6.3923585598824495E-2</v>
      </c>
      <c r="AG307" s="228"/>
      <c r="AH307" s="228"/>
      <c r="AI307" s="228"/>
      <c r="AJ307" s="228"/>
      <c r="AK307" s="228"/>
      <c r="AL307" s="228"/>
      <c r="AM307" s="228"/>
      <c r="AN307" s="228"/>
      <c r="AO307" s="228" t="str">
        <f t="shared" si="368"/>
        <v xml:space="preserve">n/a </v>
      </c>
      <c r="AP307" s="228" t="str">
        <f t="shared" si="368"/>
        <v xml:space="preserve">n/a </v>
      </c>
      <c r="AQ307" s="228" t="str">
        <f t="shared" si="368"/>
        <v xml:space="preserve">n/a </v>
      </c>
      <c r="AR307" s="228" t="str">
        <f t="shared" si="368"/>
        <v xml:space="preserve">n/a </v>
      </c>
      <c r="AS307" s="228">
        <f t="shared" si="368"/>
        <v>8.0617283950617278</v>
      </c>
      <c r="AT307" s="228">
        <f t="shared" si="368"/>
        <v>2.3760217983651226</v>
      </c>
      <c r="AU307" s="228">
        <f t="shared" si="368"/>
        <v>1.3410008071025019</v>
      </c>
      <c r="AV307" s="228">
        <f t="shared" si="368"/>
        <v>-0.35649026029994824</v>
      </c>
      <c r="AW307" s="228">
        <f t="shared" si="368"/>
        <v>-0.38963300294669168</v>
      </c>
      <c r="AX307" s="228"/>
      <c r="AY307" s="1010">
        <f t="shared" si="373"/>
        <v>-0.35649026029994824</v>
      </c>
      <c r="AZ307" s="1010">
        <f t="shared" si="374"/>
        <v>-0.38963300294669168</v>
      </c>
      <c r="BA307" s="228">
        <f t="shared" si="371"/>
        <v>1.4223627024891439E-2</v>
      </c>
      <c r="BB307" s="228">
        <f t="shared" si="371"/>
        <v>0.18718348266458906</v>
      </c>
      <c r="BC307" s="228">
        <f t="shared" si="371"/>
        <v>5.9392945036915501E-2</v>
      </c>
      <c r="BD307" s="228">
        <f t="shared" si="371"/>
        <v>5.1726808115223788E-2</v>
      </c>
      <c r="BE307" s="228">
        <f t="shared" si="371"/>
        <v>2.9450743631276755E-2</v>
      </c>
      <c r="BF307" s="23"/>
    </row>
    <row r="308" spans="2:58" s="3" customFormat="1">
      <c r="B308" s="13" t="str">
        <f t="shared" si="372"/>
        <v>LinkedIn</v>
      </c>
      <c r="L308" s="228" t="str">
        <f t="shared" si="367"/>
        <v xml:space="preserve">n/a </v>
      </c>
      <c r="M308" s="228">
        <f t="shared" si="367"/>
        <v>4.7543859649122808</v>
      </c>
      <c r="N308" s="228">
        <f t="shared" si="367"/>
        <v>0.36782786885245899</v>
      </c>
      <c r="O308" s="228">
        <f t="shared" si="367"/>
        <v>0.37207122774133072</v>
      </c>
      <c r="P308" s="228">
        <f t="shared" si="367"/>
        <v>0.33275261324041816</v>
      </c>
      <c r="Q308" s="228">
        <f t="shared" si="367"/>
        <v>0.29039634146341453</v>
      </c>
      <c r="R308" s="228">
        <f t="shared" si="367"/>
        <v>0.27041198501872654</v>
      </c>
      <c r="S308" s="228">
        <f t="shared" si="367"/>
        <v>0.25341530054644812</v>
      </c>
      <c r="T308" s="228">
        <f t="shared" si="367"/>
        <v>0.2477124183006536</v>
      </c>
      <c r="U308" s="228">
        <f t="shared" si="367"/>
        <v>0.24158298877731843</v>
      </c>
      <c r="V308" s="228">
        <f t="shared" si="367"/>
        <v>0.20872641509433953</v>
      </c>
      <c r="W308" s="228">
        <f t="shared" si="367"/>
        <v>9.8637602179836525E-2</v>
      </c>
      <c r="X308" s="228">
        <f t="shared" si="367"/>
        <v>0.15557883708748044</v>
      </c>
      <c r="Y308" s="228">
        <f t="shared" si="367"/>
        <v>0.22597526165556614</v>
      </c>
      <c r="Z308" s="228">
        <f t="shared" si="367"/>
        <v>0.24975609756097561</v>
      </c>
      <c r="AA308" s="228">
        <f t="shared" si="367"/>
        <v>0.46031746031746024</v>
      </c>
      <c r="AB308" s="228">
        <f t="shared" si="367"/>
        <v>0.4215775158658206</v>
      </c>
      <c r="AC308" s="228">
        <f t="shared" si="367"/>
        <v>0.37019790454016288</v>
      </c>
      <c r="AD308" s="228">
        <f t="shared" si="367"/>
        <v>0.34153005464480879</v>
      </c>
      <c r="AE308" s="228">
        <f t="shared" si="367"/>
        <v>0.26086956521739135</v>
      </c>
      <c r="AF308" s="228">
        <f t="shared" si="367"/>
        <v>0.16804846938775508</v>
      </c>
      <c r="AG308" s="228"/>
      <c r="AH308" s="228"/>
      <c r="AI308" s="228"/>
      <c r="AJ308" s="228"/>
      <c r="AK308" s="228"/>
      <c r="AL308" s="228"/>
      <c r="AM308" s="228"/>
      <c r="AN308" s="228"/>
      <c r="AO308" s="228" t="str">
        <f t="shared" si="368"/>
        <v xml:space="preserve">n/a </v>
      </c>
      <c r="AP308" s="228" t="str">
        <f t="shared" si="368"/>
        <v xml:space="preserve">n/a </v>
      </c>
      <c r="AQ308" s="228" t="str">
        <f t="shared" si="368"/>
        <v xml:space="preserve">n/a </v>
      </c>
      <c r="AR308" s="228" t="str">
        <f t="shared" si="368"/>
        <v xml:space="preserve">n/a </v>
      </c>
      <c r="AS308" s="228" t="str">
        <f t="shared" si="368"/>
        <v xml:space="preserve">n/a </v>
      </c>
      <c r="AT308" s="228" t="str">
        <f t="shared" si="368"/>
        <v xml:space="preserve">n/a </v>
      </c>
      <c r="AU308" s="228" t="str">
        <f t="shared" si="368"/>
        <v xml:space="preserve">n/a </v>
      </c>
      <c r="AV308" s="228" t="str">
        <f t="shared" si="368"/>
        <v xml:space="preserve">n/a </v>
      </c>
      <c r="AW308" s="228" t="str">
        <f t="shared" si="368"/>
        <v xml:space="preserve">n/a </v>
      </c>
      <c r="AX308" s="228"/>
      <c r="AY308" s="1010" t="str">
        <f t="shared" si="373"/>
        <v xml:space="preserve">n/a </v>
      </c>
      <c r="AZ308" s="1010" t="str">
        <f t="shared" si="374"/>
        <v xml:space="preserve">n/a </v>
      </c>
      <c r="BA308" s="228">
        <f t="shared" si="371"/>
        <v>1.3157199471598413</v>
      </c>
      <c r="BB308" s="228">
        <f t="shared" si="371"/>
        <v>0.28427457691576352</v>
      </c>
      <c r="BC308" s="228">
        <f t="shared" si="371"/>
        <v>0.19588392063962101</v>
      </c>
      <c r="BD308" s="228">
        <f t="shared" si="371"/>
        <v>0.27386405843753869</v>
      </c>
      <c r="BE308" s="228">
        <f t="shared" si="371"/>
        <v>0.34279327437068718</v>
      </c>
      <c r="BF308" s="23"/>
    </row>
    <row r="309" spans="2:58" s="839" customFormat="1" ht="11.45">
      <c r="B309" s="13" t="str">
        <f t="shared" si="372"/>
        <v>Other</v>
      </c>
      <c r="L309" s="840">
        <f t="shared" si="367"/>
        <v>5.6603773584905648E-2</v>
      </c>
      <c r="M309" s="840">
        <f t="shared" si="367"/>
        <v>1.0928961748633892E-2</v>
      </c>
      <c r="N309" s="840">
        <f t="shared" si="367"/>
        <v>0.15181518151815188</v>
      </c>
      <c r="O309" s="840">
        <f t="shared" si="367"/>
        <v>7.1014492753623149E-2</v>
      </c>
      <c r="P309" s="840">
        <f t="shared" si="367"/>
        <v>0.19480519480519476</v>
      </c>
      <c r="Q309" s="840">
        <f t="shared" si="367"/>
        <v>8.783783783783794E-2</v>
      </c>
      <c r="R309" s="840">
        <f t="shared" si="367"/>
        <v>7.4498567335243626E-2</v>
      </c>
      <c r="S309" s="840">
        <f t="shared" si="367"/>
        <v>5.4127198917456099E-2</v>
      </c>
      <c r="T309" s="840">
        <f t="shared" si="367"/>
        <v>0.16168478260869557</v>
      </c>
      <c r="U309" s="840">
        <f t="shared" si="367"/>
        <v>0.19130434782608696</v>
      </c>
      <c r="V309" s="840">
        <f t="shared" si="367"/>
        <v>0.28133333333333344</v>
      </c>
      <c r="W309" s="840">
        <f t="shared" si="367"/>
        <v>0.27471116816431329</v>
      </c>
      <c r="X309" s="840">
        <f t="shared" si="367"/>
        <v>0.2070175438596491</v>
      </c>
      <c r="Y309" s="840">
        <f t="shared" si="367"/>
        <v>0.19186652763295098</v>
      </c>
      <c r="Z309" s="840">
        <f t="shared" si="367"/>
        <v>0.17065556711758578</v>
      </c>
      <c r="AA309" s="840">
        <f t="shared" si="367"/>
        <v>0.18731117824773413</v>
      </c>
      <c r="AB309" s="840">
        <f t="shared" si="367"/>
        <v>0.18895348837209291</v>
      </c>
      <c r="AC309" s="840">
        <f t="shared" si="367"/>
        <v>0.18722659667541564</v>
      </c>
      <c r="AD309" s="840">
        <f t="shared" si="367"/>
        <v>0.1591111111111112</v>
      </c>
      <c r="AE309" s="840">
        <f t="shared" si="367"/>
        <v>0.18999151823579297</v>
      </c>
      <c r="AF309" s="840">
        <f t="shared" si="367"/>
        <v>9.8614506927465317E-2</v>
      </c>
      <c r="AG309" s="840"/>
      <c r="AH309" s="840"/>
      <c r="AI309" s="840"/>
      <c r="AJ309" s="840"/>
      <c r="AK309" s="840"/>
      <c r="AL309" s="840"/>
      <c r="AM309" s="840"/>
      <c r="AN309" s="840"/>
      <c r="AO309" s="840">
        <f t="shared" si="368"/>
        <v>-0.12712275594371669</v>
      </c>
      <c r="AP309" s="840">
        <f t="shared" si="368"/>
        <v>-3.3351862145636457E-2</v>
      </c>
      <c r="AQ309" s="840">
        <f t="shared" si="368"/>
        <v>7.7918343875790663E-2</v>
      </c>
      <c r="AR309" s="840">
        <f t="shared" si="368"/>
        <v>0.20245398773006129</v>
      </c>
      <c r="AS309" s="840">
        <f t="shared" si="368"/>
        <v>0.24001774622892635</v>
      </c>
      <c r="AT309" s="840">
        <f t="shared" si="368"/>
        <v>0.11216457960644011</v>
      </c>
      <c r="AU309" s="840">
        <f t="shared" si="368"/>
        <v>2.734437831751757E-3</v>
      </c>
      <c r="AV309" s="840">
        <f t="shared" si="368"/>
        <v>-6.1437279435354486E-2</v>
      </c>
      <c r="AW309" s="840">
        <f t="shared" si="368"/>
        <v>-5.3495129037771316E-2</v>
      </c>
      <c r="AX309" s="840"/>
      <c r="AY309" s="1011">
        <f t="shared" si="373"/>
        <v>-6.1437279435354486E-2</v>
      </c>
      <c r="AZ309" s="1011">
        <f t="shared" si="374"/>
        <v>-5.3495129037771316E-2</v>
      </c>
      <c r="BA309" s="840">
        <f t="shared" si="371"/>
        <v>6.9705093833780207E-2</v>
      </c>
      <c r="BB309" s="840">
        <f t="shared" si="371"/>
        <v>9.917651271034722E-2</v>
      </c>
      <c r="BC309" s="840">
        <f t="shared" si="371"/>
        <v>0.22736156351791537</v>
      </c>
      <c r="BD309" s="840">
        <f t="shared" si="371"/>
        <v>0.18869426751592355</v>
      </c>
      <c r="BE309" s="840">
        <f t="shared" si="371"/>
        <v>0.18129046662201387</v>
      </c>
      <c r="BF309" s="920"/>
    </row>
    <row r="310" spans="2:58" s="7" customFormat="1">
      <c r="B310" s="841" t="str">
        <f t="shared" si="372"/>
        <v>Total revenue</v>
      </c>
      <c r="L310" s="842">
        <f t="shared" si="367"/>
        <v>0.11902590295512594</v>
      </c>
      <c r="M310" s="842">
        <f t="shared" si="367"/>
        <v>0.11972430883605667</v>
      </c>
      <c r="N310" s="842">
        <f t="shared" si="367"/>
        <v>0.15539376184732046</v>
      </c>
      <c r="O310" s="842">
        <f t="shared" si="367"/>
        <v>0.17496582698691654</v>
      </c>
      <c r="P310" s="842">
        <f t="shared" si="367"/>
        <v>0.18526367267095933</v>
      </c>
      <c r="Q310" s="842">
        <f t="shared" si="367"/>
        <v>0.12286465177398154</v>
      </c>
      <c r="R310" s="842">
        <f t="shared" si="367"/>
        <v>0.13990081658525666</v>
      </c>
      <c r="S310" s="842">
        <f t="shared" si="367"/>
        <v>0.12072461359481479</v>
      </c>
      <c r="T310" s="842">
        <f t="shared" si="367"/>
        <v>0.13653555219364599</v>
      </c>
      <c r="U310" s="842">
        <f t="shared" si="367"/>
        <v>0.13658341289150311</v>
      </c>
      <c r="V310" s="842">
        <f t="shared" si="367"/>
        <v>0.14556278826338698</v>
      </c>
      <c r="W310" s="842">
        <f t="shared" si="367"/>
        <v>0.12800664353293589</v>
      </c>
      <c r="X310" s="842">
        <f t="shared" si="367"/>
        <v>0.12400544546967174</v>
      </c>
      <c r="Y310" s="842">
        <f t="shared" si="367"/>
        <v>0.16718148810491518</v>
      </c>
      <c r="Z310" s="842">
        <f t="shared" si="367"/>
        <v>0.19088546871876866</v>
      </c>
      <c r="AA310" s="842">
        <f t="shared" si="367"/>
        <v>0.21347251071437956</v>
      </c>
      <c r="AB310" s="842">
        <f t="shared" si="367"/>
        <v>0.21970716477364483</v>
      </c>
      <c r="AC310" s="842">
        <f t="shared" si="367"/>
        <v>0.2008543040208004</v>
      </c>
      <c r="AD310" s="842">
        <f t="shared" si="367"/>
        <v>0.18352275451973332</v>
      </c>
      <c r="AE310" s="842">
        <f t="shared" si="367"/>
        <v>0.12378661813139202</v>
      </c>
      <c r="AF310" s="842">
        <f t="shared" si="367"/>
        <v>0.1060308493501334</v>
      </c>
      <c r="AG310" s="842"/>
      <c r="AH310" s="842"/>
      <c r="AI310" s="842"/>
      <c r="AJ310" s="842"/>
      <c r="AK310" s="842"/>
      <c r="AL310" s="842"/>
      <c r="AM310" s="842"/>
      <c r="AN310" s="842"/>
      <c r="AO310" s="842">
        <f t="shared" si="368"/>
        <v>-3.2820258192651441E-2</v>
      </c>
      <c r="AP310" s="842">
        <f t="shared" si="368"/>
        <v>6.9254068484008391E-2</v>
      </c>
      <c r="AQ310" s="842">
        <f t="shared" si="368"/>
        <v>0.11937455988733126</v>
      </c>
      <c r="AR310" s="842">
        <f t="shared" si="368"/>
        <v>5.4044007263057026E-2</v>
      </c>
      <c r="AS310" s="842">
        <f t="shared" si="368"/>
        <v>5.5966252051598442E-2</v>
      </c>
      <c r="AT310" s="842">
        <f t="shared" si="368"/>
        <v>0.11540289534868786</v>
      </c>
      <c r="AU310" s="842">
        <f t="shared" si="368"/>
        <v>7.7700874091647165E-2</v>
      </c>
      <c r="AV310" s="842">
        <f t="shared" si="368"/>
        <v>-8.8266723658901425E-2</v>
      </c>
      <c r="AW310" s="842">
        <f t="shared" si="368"/>
        <v>5.4266291608063844E-2</v>
      </c>
      <c r="AX310" s="842"/>
      <c r="AY310" s="1012">
        <f t="shared" si="373"/>
        <v>-8.8266723658901425E-2</v>
      </c>
      <c r="AZ310" s="1012">
        <f t="shared" si="374"/>
        <v>5.4266291608063844E-2</v>
      </c>
      <c r="BA310" s="842">
        <f t="shared" si="371"/>
        <v>0.14278613662486661</v>
      </c>
      <c r="BB310" s="842">
        <f t="shared" si="371"/>
        <v>0.14029539688292858</v>
      </c>
      <c r="BC310" s="842">
        <f t="shared" si="371"/>
        <v>0.13645574247276371</v>
      </c>
      <c r="BD310" s="842">
        <f t="shared" si="371"/>
        <v>0.17531727441177503</v>
      </c>
      <c r="BE310" s="842">
        <f t="shared" si="371"/>
        <v>0.17956070629670173</v>
      </c>
      <c r="BF310" s="895"/>
    </row>
    <row r="311" spans="2:58" s="3" customFormat="1">
      <c r="B311" s="921"/>
    </row>
    <row r="312" spans="2:58" s="3" customFormat="1">
      <c r="B312" s="24" t="s">
        <v>172</v>
      </c>
    </row>
    <row r="313" spans="2:58" s="3" customFormat="1">
      <c r="B313" s="13" t="s">
        <v>478</v>
      </c>
      <c r="H313" s="21">
        <f t="shared" ref="H313:AF313" si="375">+H289/H$298</f>
        <v>0.2728018971178402</v>
      </c>
      <c r="I313" s="21">
        <f t="shared" si="375"/>
        <v>0.24932238829086967</v>
      </c>
      <c r="J313" s="21">
        <f t="shared" si="375"/>
        <v>0.2685679820782354</v>
      </c>
      <c r="K313" s="21">
        <f t="shared" si="375"/>
        <v>0.27018160515524314</v>
      </c>
      <c r="L313" s="21">
        <f t="shared" si="375"/>
        <v>0.26795174830874563</v>
      </c>
      <c r="M313" s="21">
        <f t="shared" si="375"/>
        <v>0.24465730686769485</v>
      </c>
      <c r="N313" s="21">
        <f t="shared" si="375"/>
        <v>0.26429024199261719</v>
      </c>
      <c r="O313" s="21">
        <f t="shared" si="375"/>
        <v>0.25188632208741896</v>
      </c>
      <c r="P313" s="21">
        <f t="shared" si="375"/>
        <v>0.26206849126667586</v>
      </c>
      <c r="Q313" s="21">
        <f t="shared" si="375"/>
        <v>0.23858211942964491</v>
      </c>
      <c r="R313" s="21">
        <f t="shared" si="375"/>
        <v>0.25805501946288967</v>
      </c>
      <c r="S313" s="21">
        <f t="shared" si="375"/>
        <v>0.25242459293531455</v>
      </c>
      <c r="T313" s="21">
        <f t="shared" si="375"/>
        <v>0.25611859022840722</v>
      </c>
      <c r="U313" s="21">
        <f t="shared" si="375"/>
        <v>0.24340215683086761</v>
      </c>
      <c r="V313" s="21">
        <f t="shared" si="375"/>
        <v>0.25470432026498385</v>
      </c>
      <c r="W313" s="21">
        <f t="shared" si="375"/>
        <v>0.2352430783793022</v>
      </c>
      <c r="X313" s="21">
        <f t="shared" si="375"/>
        <v>0.24971739247456531</v>
      </c>
      <c r="Y313" s="21">
        <f t="shared" si="375"/>
        <v>0.22938527254155447</v>
      </c>
      <c r="Z313" s="21">
        <f t="shared" si="375"/>
        <v>0.24015729151680815</v>
      </c>
      <c r="AA313" s="21">
        <f t="shared" si="375"/>
        <v>0.23177760443751083</v>
      </c>
      <c r="AB313" s="21">
        <f t="shared" si="375"/>
        <v>0.23849769402211091</v>
      </c>
      <c r="AC313" s="21">
        <f t="shared" si="375"/>
        <v>0.21750309310238169</v>
      </c>
      <c r="AD313" s="21">
        <f t="shared" si="375"/>
        <v>0.22617504051863857</v>
      </c>
      <c r="AE313" s="21">
        <f t="shared" si="375"/>
        <v>0.22440952472765835</v>
      </c>
      <c r="AF313" s="21">
        <f t="shared" si="375"/>
        <v>0.2303978292965165</v>
      </c>
      <c r="AG313" s="21"/>
      <c r="AH313" s="21"/>
      <c r="AI313" s="21"/>
      <c r="AJ313" s="21"/>
      <c r="AK313" s="21"/>
      <c r="AL313" s="21"/>
      <c r="AM313" s="21"/>
      <c r="AN313" s="21">
        <f t="shared" ref="AN313:AW313" si="376">+AN289/AN$298</f>
        <v>0.29928831512744125</v>
      </c>
      <c r="AO313" s="21">
        <f t="shared" si="376"/>
        <v>0.30798980098225437</v>
      </c>
      <c r="AP313" s="21">
        <f t="shared" si="376"/>
        <v>0.28413673900518532</v>
      </c>
      <c r="AQ313" s="21">
        <f t="shared" si="376"/>
        <v>0.29638419856168596</v>
      </c>
      <c r="AR313" s="21">
        <f t="shared" si="376"/>
        <v>0.30247005683436651</v>
      </c>
      <c r="AS313" s="21">
        <f t="shared" si="376"/>
        <v>0.29537951675679841</v>
      </c>
      <c r="AT313" s="21">
        <f t="shared" si="376"/>
        <v>0.28011239966372231</v>
      </c>
      <c r="AU313" s="21">
        <f t="shared" si="376"/>
        <v>0.2515281042957897</v>
      </c>
      <c r="AV313" s="21">
        <f t="shared" si="376"/>
        <v>0.27646507266760434</v>
      </c>
      <c r="AW313" s="21">
        <f t="shared" si="376"/>
        <v>0.28225680933852137</v>
      </c>
      <c r="AX313" s="21"/>
      <c r="AY313" s="21">
        <f t="shared" ref="AY313:BE322" si="377">+AY289/AY$298</f>
        <v>0.26184259604625137</v>
      </c>
      <c r="AZ313" s="21">
        <f t="shared" si="377"/>
        <v>0.26481034679147986</v>
      </c>
      <c r="BA313" s="21">
        <f t="shared" si="377"/>
        <v>0.25657847046031168</v>
      </c>
      <c r="BB313" s="21">
        <f t="shared" si="377"/>
        <v>0.25244948070214474</v>
      </c>
      <c r="BC313" s="21">
        <f t="shared" si="377"/>
        <v>0.24693913225885397</v>
      </c>
      <c r="BD313" s="21">
        <f t="shared" si="377"/>
        <v>0.23720908095759363</v>
      </c>
      <c r="BE313" s="21">
        <f t="shared" si="377"/>
        <v>0.22626721137842337</v>
      </c>
      <c r="BF313" s="21"/>
    </row>
    <row r="314" spans="2:58" s="3" customFormat="1">
      <c r="B314" s="13" t="s">
        <v>479</v>
      </c>
      <c r="H314" s="21">
        <f t="shared" ref="H314:AF314" si="378">+H290/H$298</f>
        <v>0.21383619117110544</v>
      </c>
      <c r="I314" s="21">
        <f t="shared" si="378"/>
        <v>0.20645860760473941</v>
      </c>
      <c r="J314" s="21">
        <f t="shared" si="378"/>
        <v>0.22820093055316215</v>
      </c>
      <c r="K314" s="21">
        <f t="shared" si="378"/>
        <v>0.2472563952353056</v>
      </c>
      <c r="L314" s="21">
        <f t="shared" si="378"/>
        <v>0.22397913440378189</v>
      </c>
      <c r="M314" s="21">
        <f t="shared" si="378"/>
        <v>0.21782280932291306</v>
      </c>
      <c r="N314" s="21">
        <f t="shared" si="378"/>
        <v>0.23651142846489429</v>
      </c>
      <c r="O314" s="21">
        <f t="shared" si="378"/>
        <v>0.26561409340202757</v>
      </c>
      <c r="P314" s="21">
        <f t="shared" si="378"/>
        <v>0.24267638564158989</v>
      </c>
      <c r="Q314" s="21">
        <f t="shared" si="378"/>
        <v>0.23993717470974099</v>
      </c>
      <c r="R314" s="21">
        <f t="shared" si="378"/>
        <v>0.26341958064832682</v>
      </c>
      <c r="S314" s="21">
        <f t="shared" si="378"/>
        <v>0.2882818756117092</v>
      </c>
      <c r="T314" s="21">
        <f t="shared" si="378"/>
        <v>0.27808198457116928</v>
      </c>
      <c r="U314" s="21">
        <f t="shared" si="378"/>
        <v>0.2741830596650951</v>
      </c>
      <c r="V314" s="21">
        <f t="shared" si="378"/>
        <v>0.29953456497530051</v>
      </c>
      <c r="W314" s="21">
        <f t="shared" si="378"/>
        <v>0.30441984592327714</v>
      </c>
      <c r="X314" s="21">
        <f t="shared" si="378"/>
        <v>0.3013134521182107</v>
      </c>
      <c r="Y314" s="21">
        <f t="shared" si="378"/>
        <v>0.29550097502089329</v>
      </c>
      <c r="Z314" s="21">
        <f t="shared" si="378"/>
        <v>0.31659713230710207</v>
      </c>
      <c r="AA314" s="21">
        <f t="shared" si="378"/>
        <v>0.33500173340266942</v>
      </c>
      <c r="AB314" s="21">
        <f t="shared" si="378"/>
        <v>0.33252421828452899</v>
      </c>
      <c r="AC314" s="21">
        <f t="shared" si="378"/>
        <v>0.31655969687596658</v>
      </c>
      <c r="AD314" s="21">
        <f t="shared" si="378"/>
        <v>0.34517828200972445</v>
      </c>
      <c r="AE314" s="21">
        <f t="shared" si="378"/>
        <v>0.36323146630675796</v>
      </c>
      <c r="AF314" s="21">
        <f t="shared" si="378"/>
        <v>0.36686484976656958</v>
      </c>
      <c r="AG314" s="21"/>
      <c r="AH314" s="21"/>
      <c r="AI314" s="21"/>
      <c r="AJ314" s="21"/>
      <c r="AK314" s="21"/>
      <c r="AL314" s="21"/>
      <c r="AM314" s="21"/>
      <c r="AN314" s="21">
        <f t="shared" ref="AN314:AW314" si="379">+AN290/AN$298</f>
        <v>0.17562065541211519</v>
      </c>
      <c r="AO314" s="21">
        <f t="shared" si="379"/>
        <v>0.194123586084159</v>
      </c>
      <c r="AP314" s="21">
        <f t="shared" si="379"/>
        <v>0.19216119326547595</v>
      </c>
      <c r="AQ314" s="21">
        <f t="shared" si="379"/>
        <v>0.18945426990549447</v>
      </c>
      <c r="AR314" s="21">
        <f t="shared" si="379"/>
        <v>0.19304694600056971</v>
      </c>
      <c r="AS314" s="21">
        <f t="shared" si="379"/>
        <v>0.19792161749026962</v>
      </c>
      <c r="AT314" s="21">
        <f t="shared" si="379"/>
        <v>0.19641150253935716</v>
      </c>
      <c r="AU314" s="21">
        <f t="shared" si="379"/>
        <v>0.19888865142124384</v>
      </c>
      <c r="AV314" s="21">
        <f t="shared" si="379"/>
        <v>0.22476558837318331</v>
      </c>
      <c r="AW314" s="21">
        <f t="shared" si="379"/>
        <v>0.24188993885491941</v>
      </c>
      <c r="AX314" s="21"/>
      <c r="AY314" s="21">
        <f t="shared" si="377"/>
        <v>0.20911863439892928</v>
      </c>
      <c r="AZ314" s="21">
        <f t="shared" si="377"/>
        <v>0.22417703037143655</v>
      </c>
      <c r="BA314" s="21">
        <f t="shared" si="377"/>
        <v>0.23676150779267852</v>
      </c>
      <c r="BB314" s="21">
        <f t="shared" si="377"/>
        <v>0.25922776793305946</v>
      </c>
      <c r="BC314" s="21">
        <f t="shared" si="377"/>
        <v>0.28933328671817643</v>
      </c>
      <c r="BD314" s="21">
        <f t="shared" si="377"/>
        <v>0.31286587977725955</v>
      </c>
      <c r="BE314" s="21">
        <f t="shared" si="377"/>
        <v>0.33954203863418569</v>
      </c>
      <c r="BF314" s="21"/>
    </row>
    <row r="315" spans="2:58" s="3" customFormat="1">
      <c r="B315" s="13" t="s">
        <v>480</v>
      </c>
      <c r="H315" s="21">
        <f t="shared" ref="H315:AF315" si="380">+H291/H$298</f>
        <v>8.5963152134257564E-2</v>
      </c>
      <c r="I315" s="21">
        <f t="shared" si="380"/>
        <v>0.1400526601099667</v>
      </c>
      <c r="J315" s="21">
        <f t="shared" si="380"/>
        <v>8.2112700327416854E-2</v>
      </c>
      <c r="K315" s="21">
        <f t="shared" si="380"/>
        <v>6.4167154852567854E-2</v>
      </c>
      <c r="L315" s="21">
        <f t="shared" si="380"/>
        <v>7.7267910995191133E-2</v>
      </c>
      <c r="M315" s="21">
        <f t="shared" si="380"/>
        <v>0.13555570924683588</v>
      </c>
      <c r="N315" s="21">
        <f t="shared" si="380"/>
        <v>8.3933032551549269E-2</v>
      </c>
      <c r="O315" s="21">
        <f t="shared" si="380"/>
        <v>7.5984709988366289E-2</v>
      </c>
      <c r="P315" s="21">
        <f t="shared" si="380"/>
        <v>9.4141108513271898E-2</v>
      </c>
      <c r="Q315" s="21">
        <f t="shared" si="380"/>
        <v>0.13033168057651442</v>
      </c>
      <c r="R315" s="21">
        <f t="shared" si="380"/>
        <v>7.7295476104805208E-2</v>
      </c>
      <c r="S315" s="21">
        <f t="shared" si="380"/>
        <v>6.0889165702761219E-2</v>
      </c>
      <c r="T315" s="21">
        <f t="shared" si="380"/>
        <v>7.6902132808954776E-2</v>
      </c>
      <c r="U315" s="21">
        <f t="shared" si="380"/>
        <v>9.0147943423833518E-2</v>
      </c>
      <c r="V315" s="21">
        <f t="shared" si="380"/>
        <v>6.7074041289512012E-2</v>
      </c>
      <c r="W315" s="21">
        <f t="shared" si="380"/>
        <v>8.8265453684957806E-2</v>
      </c>
      <c r="X315" s="21">
        <f t="shared" si="380"/>
        <v>8.3221187489906881E-2</v>
      </c>
      <c r="Y315" s="21">
        <f t="shared" si="380"/>
        <v>0.11679357414801746</v>
      </c>
      <c r="Z315" s="21">
        <f t="shared" si="380"/>
        <v>8.4712031841941204E-2</v>
      </c>
      <c r="AA315" s="21">
        <f t="shared" si="380"/>
        <v>8.0473218928757154E-2</v>
      </c>
      <c r="AB315" s="21">
        <f t="shared" si="380"/>
        <v>7.9285919191473403E-2</v>
      </c>
      <c r="AC315" s="21">
        <f t="shared" si="380"/>
        <v>0.10520414475719146</v>
      </c>
      <c r="AD315" s="21">
        <f t="shared" si="380"/>
        <v>7.5769854132901132E-2</v>
      </c>
      <c r="AE315" s="21">
        <f t="shared" si="380"/>
        <v>6.6615251132748479E-2</v>
      </c>
      <c r="AF315" s="21">
        <f t="shared" si="380"/>
        <v>7.202426080363912E-2</v>
      </c>
      <c r="AG315" s="21"/>
      <c r="AH315" s="21"/>
      <c r="AI315" s="21"/>
      <c r="AJ315" s="21"/>
      <c r="AK315" s="21"/>
      <c r="AL315" s="21"/>
      <c r="AM315" s="21"/>
      <c r="AN315" s="21">
        <f t="shared" ref="AN315:AW315" si="381">+AN291/AN$298</f>
        <v>9.2651439920556106E-2</v>
      </c>
      <c r="AO315" s="21">
        <f t="shared" si="381"/>
        <v>9.3690641203347191E-2</v>
      </c>
      <c r="AP315" s="21">
        <f t="shared" si="381"/>
        <v>8.7318353498495621E-2</v>
      </c>
      <c r="AQ315" s="21">
        <f t="shared" si="381"/>
        <v>0.11585147906152153</v>
      </c>
      <c r="AR315" s="21">
        <f t="shared" si="381"/>
        <v>0.10912469649905729</v>
      </c>
      <c r="AS315" s="21">
        <f t="shared" si="381"/>
        <v>9.1202199129083228E-2</v>
      </c>
      <c r="AT315" s="21">
        <f t="shared" si="381"/>
        <v>9.9535890732785917E-2</v>
      </c>
      <c r="AU315" s="21">
        <f t="shared" si="381"/>
        <v>9.7467407565719172E-2</v>
      </c>
      <c r="AV315" s="21">
        <f t="shared" si="381"/>
        <v>0.11011486169714017</v>
      </c>
      <c r="AW315" s="21">
        <f t="shared" si="381"/>
        <v>0.10290161200667038</v>
      </c>
      <c r="AX315" s="21"/>
      <c r="AY315" s="21">
        <f t="shared" si="377"/>
        <v>0.1009500405906488</v>
      </c>
      <c r="AZ315" s="21">
        <f t="shared" si="377"/>
        <v>9.3723788715038669E-2</v>
      </c>
      <c r="BA315" s="21">
        <f t="shared" si="377"/>
        <v>9.3811163465023564E-2</v>
      </c>
      <c r="BB315" s="21">
        <f t="shared" si="377"/>
        <v>9.0477817598118293E-2</v>
      </c>
      <c r="BC315" s="21">
        <f t="shared" si="377"/>
        <v>8.0935566199349718E-2</v>
      </c>
      <c r="BD315" s="21">
        <f t="shared" si="377"/>
        <v>9.1440197991528249E-2</v>
      </c>
      <c r="BE315" s="21">
        <f t="shared" si="377"/>
        <v>8.1858072325616579E-2</v>
      </c>
      <c r="BF315" s="21"/>
    </row>
    <row r="316" spans="2:58" s="3" customFormat="1">
      <c r="B316" s="13" t="s">
        <v>481</v>
      </c>
      <c r="H316" s="21">
        <f t="shared" ref="H316:AF316" si="382">+H292/H$298</f>
        <v>0.21173841663626414</v>
      </c>
      <c r="I316" s="21">
        <f t="shared" si="382"/>
        <v>0.18605281499264306</v>
      </c>
      <c r="J316" s="21">
        <f t="shared" si="382"/>
        <v>0.1832241943822161</v>
      </c>
      <c r="K316" s="21">
        <f t="shared" si="382"/>
        <v>0.19105643429017771</v>
      </c>
      <c r="L316" s="21">
        <f t="shared" si="382"/>
        <v>0.18921672507946857</v>
      </c>
      <c r="M316" s="21">
        <f t="shared" si="382"/>
        <v>0.16733522373608134</v>
      </c>
      <c r="N316" s="21">
        <f t="shared" si="382"/>
        <v>0.17196763488571534</v>
      </c>
      <c r="O316" s="21">
        <f t="shared" si="382"/>
        <v>0.18028918065481137</v>
      </c>
      <c r="P316" s="21">
        <f t="shared" si="382"/>
        <v>0.16851189657543666</v>
      </c>
      <c r="Q316" s="21">
        <f t="shared" si="382"/>
        <v>0.14653075051584491</v>
      </c>
      <c r="R316" s="21">
        <f t="shared" si="382"/>
        <v>0.16172189329756959</v>
      </c>
      <c r="S316" s="21">
        <f t="shared" si="382"/>
        <v>0.17178278019989915</v>
      </c>
      <c r="T316" s="21">
        <f t="shared" si="382"/>
        <v>0.16194221751626078</v>
      </c>
      <c r="U316" s="21">
        <f t="shared" si="382"/>
        <v>0.15154717390126266</v>
      </c>
      <c r="V316" s="21">
        <f t="shared" si="382"/>
        <v>0.14905342508780445</v>
      </c>
      <c r="W316" s="21">
        <f t="shared" si="382"/>
        <v>0.16112323508532064</v>
      </c>
      <c r="X316" s="21">
        <f t="shared" si="382"/>
        <v>0.1427840878505679</v>
      </c>
      <c r="Y316" s="21">
        <f t="shared" si="382"/>
        <v>0.13269570062215619</v>
      </c>
      <c r="Z316" s="21">
        <f t="shared" si="382"/>
        <v>0.13537620486260971</v>
      </c>
      <c r="AA316" s="21">
        <f t="shared" si="382"/>
        <v>0.14213901889408909</v>
      </c>
      <c r="AB316" s="21">
        <f t="shared" si="382"/>
        <v>0.12525100955491317</v>
      </c>
      <c r="AC316" s="21">
        <f t="shared" si="382"/>
        <v>0.12759047324466441</v>
      </c>
      <c r="AD316" s="21">
        <f t="shared" si="382"/>
        <v>0.12311588330632091</v>
      </c>
      <c r="AE316" s="21">
        <f t="shared" si="382"/>
        <v>0.12355152800539863</v>
      </c>
      <c r="AF316" s="21">
        <f t="shared" si="382"/>
        <v>0.10600135668967718</v>
      </c>
      <c r="AG316" s="21"/>
      <c r="AH316" s="21"/>
      <c r="AI316" s="21"/>
      <c r="AJ316" s="21"/>
      <c r="AK316" s="21"/>
      <c r="AL316" s="21"/>
      <c r="AM316" s="21"/>
      <c r="AN316" s="21">
        <f t="shared" ref="AN316:AW316" si="383">+AN292/AN$298</f>
        <v>0.27868255544521681</v>
      </c>
      <c r="AO316" s="21">
        <f t="shared" si="383"/>
        <v>0.25074866950733266</v>
      </c>
      <c r="AP316" s="21">
        <f t="shared" si="383"/>
        <v>0.2916746687151911</v>
      </c>
      <c r="AQ316" s="21">
        <f t="shared" si="383"/>
        <v>0.25485037816507727</v>
      </c>
      <c r="AR316" s="21">
        <f t="shared" si="383"/>
        <v>0.23493346716764105</v>
      </c>
      <c r="AS316" s="21">
        <f t="shared" si="383"/>
        <v>0.22516666880756336</v>
      </c>
      <c r="AT316" s="21">
        <f t="shared" si="383"/>
        <v>0.19411974710075663</v>
      </c>
      <c r="AU316" s="21">
        <f t="shared" si="383"/>
        <v>0.15843128873690959</v>
      </c>
      <c r="AV316" s="21">
        <f t="shared" si="383"/>
        <v>9.4983591186122832E-2</v>
      </c>
      <c r="AW316" s="21">
        <f t="shared" si="383"/>
        <v>9.5886603668704842E-2</v>
      </c>
      <c r="AX316" s="21"/>
      <c r="AY316" s="21">
        <f t="shared" si="377"/>
        <v>0.19250937973100468</v>
      </c>
      <c r="AZ316" s="21">
        <f t="shared" si="377"/>
        <v>0.1925319195203529</v>
      </c>
      <c r="BA316" s="21">
        <f t="shared" si="377"/>
        <v>0.1768575570859007</v>
      </c>
      <c r="BB316" s="21">
        <f t="shared" si="377"/>
        <v>0.16206702001700532</v>
      </c>
      <c r="BC316" s="21">
        <f t="shared" si="377"/>
        <v>0.15588574625039331</v>
      </c>
      <c r="BD316" s="21">
        <f t="shared" si="377"/>
        <v>0.13818357051068489</v>
      </c>
      <c r="BE316" s="21">
        <f t="shared" si="377"/>
        <v>0.12488525747717759</v>
      </c>
      <c r="BF316" s="21"/>
    </row>
    <row r="317" spans="2:58" s="3" customFormat="1">
      <c r="B317" s="13" t="s">
        <v>482</v>
      </c>
      <c r="H317" s="21">
        <f t="shared" ref="H317:AF317" si="384">+H293/H$298</f>
        <v>6.5167821962787309E-2</v>
      </c>
      <c r="I317" s="21">
        <f t="shared" si="384"/>
        <v>6.2146673894524898E-2</v>
      </c>
      <c r="J317" s="21">
        <f t="shared" si="384"/>
        <v>6.8886782698604168E-2</v>
      </c>
      <c r="K317" s="21">
        <f t="shared" si="384"/>
        <v>6.1941027143136103E-2</v>
      </c>
      <c r="L317" s="21">
        <f t="shared" si="384"/>
        <v>6.6794359768522285E-2</v>
      </c>
      <c r="M317" s="21">
        <f t="shared" si="384"/>
        <v>6.2936579293173797E-2</v>
      </c>
      <c r="N317" s="21">
        <f t="shared" si="384"/>
        <v>6.6520004474439759E-2</v>
      </c>
      <c r="O317" s="21">
        <f t="shared" si="384"/>
        <v>5.8800066478311451E-2</v>
      </c>
      <c r="P317" s="21">
        <f t="shared" si="384"/>
        <v>6.1477100811442718E-2</v>
      </c>
      <c r="Q317" s="21">
        <f t="shared" si="384"/>
        <v>6.0854300760678756E-2</v>
      </c>
      <c r="R317" s="21">
        <f t="shared" si="384"/>
        <v>6.2510222105917376E-2</v>
      </c>
      <c r="S317" s="21">
        <f t="shared" si="384"/>
        <v>5.7923302784945278E-2</v>
      </c>
      <c r="T317" s="21">
        <f t="shared" si="384"/>
        <v>6.0232945091514146E-2</v>
      </c>
      <c r="U317" s="21">
        <f t="shared" si="384"/>
        <v>5.8608356364818731E-2</v>
      </c>
      <c r="V317" s="21">
        <f t="shared" si="384"/>
        <v>5.670883184375089E-2</v>
      </c>
      <c r="W317" s="21">
        <f t="shared" si="384"/>
        <v>4.2068729787289982E-2</v>
      </c>
      <c r="X317" s="21">
        <f t="shared" si="384"/>
        <v>4.8150939333584539E-2</v>
      </c>
      <c r="Y317" s="21">
        <f t="shared" si="384"/>
        <v>5.0701086451852541E-2</v>
      </c>
      <c r="Z317" s="21">
        <f t="shared" si="384"/>
        <v>5.3181796384213303E-2</v>
      </c>
      <c r="AA317" s="21">
        <f t="shared" si="384"/>
        <v>5.0637025481019241E-2</v>
      </c>
      <c r="AB317" s="21">
        <f t="shared" si="384"/>
        <v>5.8609351898845904E-2</v>
      </c>
      <c r="AC317" s="21">
        <f t="shared" si="384"/>
        <v>5.9232910609341168E-2</v>
      </c>
      <c r="AD317" s="21">
        <f t="shared" si="384"/>
        <v>5.9663695299837928E-2</v>
      </c>
      <c r="AE317" s="21">
        <f t="shared" si="384"/>
        <v>5.6415694591728523E-2</v>
      </c>
      <c r="AF317" s="21">
        <f t="shared" si="384"/>
        <v>5.8417461394198157E-2</v>
      </c>
      <c r="AG317" s="21"/>
      <c r="AH317" s="21"/>
      <c r="AI317" s="21"/>
      <c r="AJ317" s="21"/>
      <c r="AK317" s="21"/>
      <c r="AL317" s="21"/>
      <c r="AM317" s="21"/>
      <c r="AN317" s="21">
        <f t="shared" ref="AN317:AW317" si="385">+AN293/AN$298</f>
        <v>4.0135716650115859E-2</v>
      </c>
      <c r="AO317" s="21">
        <f t="shared" si="385"/>
        <v>4.0128685593031815E-2</v>
      </c>
      <c r="AP317" s="21">
        <f t="shared" si="385"/>
        <v>4.0458357339478904E-2</v>
      </c>
      <c r="AQ317" s="21">
        <f t="shared" si="385"/>
        <v>4.1648199247959053E-2</v>
      </c>
      <c r="AR317" s="21">
        <f t="shared" si="385"/>
        <v>4.3147999945742851E-2</v>
      </c>
      <c r="AS317" s="21">
        <f t="shared" si="385"/>
        <v>4.3507302598620408E-2</v>
      </c>
      <c r="AT317" s="21">
        <f t="shared" si="385"/>
        <v>4.6249697695576568E-2</v>
      </c>
      <c r="AU317" s="21">
        <f t="shared" si="385"/>
        <v>4.8696302628766827E-2</v>
      </c>
      <c r="AV317" s="21">
        <f t="shared" si="385"/>
        <v>7.1472105016408813E-2</v>
      </c>
      <c r="AW317" s="21">
        <f t="shared" si="385"/>
        <v>7.7498610339077262E-2</v>
      </c>
      <c r="AX317" s="21"/>
      <c r="AY317" s="21">
        <f t="shared" si="377"/>
        <v>5.9547578822651777E-2</v>
      </c>
      <c r="AZ317" s="21">
        <f t="shared" si="377"/>
        <v>6.4398214784976857E-2</v>
      </c>
      <c r="BA317" s="21">
        <f t="shared" si="377"/>
        <v>6.3537513591881117E-2</v>
      </c>
      <c r="BB317" s="21">
        <f t="shared" si="377"/>
        <v>6.061521101690201E-2</v>
      </c>
      <c r="BC317" s="21">
        <f t="shared" si="377"/>
        <v>5.4120197182113763E-2</v>
      </c>
      <c r="BD317" s="21">
        <f t="shared" si="377"/>
        <v>5.0735329113321591E-2</v>
      </c>
      <c r="BE317" s="21">
        <f t="shared" si="377"/>
        <v>5.8460684924597772E-2</v>
      </c>
      <c r="BF317" s="21"/>
    </row>
    <row r="318" spans="2:58" s="3" customFormat="1">
      <c r="B318" s="13" t="s">
        <v>483</v>
      </c>
      <c r="H318" s="21">
        <f t="shared" ref="H318:AF318" si="386">+H294/H$298</f>
        <v>6.1793141189346951E-2</v>
      </c>
      <c r="I318" s="21">
        <f t="shared" si="386"/>
        <v>5.3086037326725004E-2</v>
      </c>
      <c r="J318" s="21">
        <f t="shared" si="386"/>
        <v>5.9581251077029121E-2</v>
      </c>
      <c r="K318" s="21">
        <f t="shared" si="386"/>
        <v>5.5965631712556141E-2</v>
      </c>
      <c r="L318" s="21">
        <f t="shared" si="386"/>
        <v>5.5872524248104981E-2</v>
      </c>
      <c r="M318" s="21">
        <f t="shared" si="386"/>
        <v>4.9623072135002423E-2</v>
      </c>
      <c r="N318" s="21">
        <f t="shared" si="386"/>
        <v>5.5520340057421978E-2</v>
      </c>
      <c r="O318" s="21">
        <f t="shared" si="386"/>
        <v>5.1553930530164535E-2</v>
      </c>
      <c r="P318" s="21">
        <f t="shared" si="386"/>
        <v>4.9855590702791913E-2</v>
      </c>
      <c r="Q318" s="21">
        <f t="shared" si="386"/>
        <v>4.684179729604878E-2</v>
      </c>
      <c r="R318" s="21">
        <f t="shared" si="386"/>
        <v>5.0439959438683721E-2</v>
      </c>
      <c r="S318" s="21">
        <f t="shared" si="386"/>
        <v>4.778005160601477E-2</v>
      </c>
      <c r="T318" s="21">
        <f t="shared" si="386"/>
        <v>4.6740281349266374E-2</v>
      </c>
      <c r="U318" s="21">
        <f t="shared" si="386"/>
        <v>4.3678534655611556E-2</v>
      </c>
      <c r="V318" s="21">
        <f t="shared" si="386"/>
        <v>4.6629165357928097E-2</v>
      </c>
      <c r="W318" s="21">
        <f t="shared" si="386"/>
        <v>4.2568295953514051E-2</v>
      </c>
      <c r="X318" s="21">
        <f t="shared" si="386"/>
        <v>4.4059858965387305E-2</v>
      </c>
      <c r="Y318" s="21">
        <f t="shared" si="386"/>
        <v>3.9349057479803141E-2</v>
      </c>
      <c r="Z318" s="21">
        <f t="shared" si="386"/>
        <v>4.3231189756869515E-2</v>
      </c>
      <c r="AA318" s="21">
        <f t="shared" si="386"/>
        <v>3.9174900329346507E-2</v>
      </c>
      <c r="AB318" s="21">
        <f t="shared" si="386"/>
        <v>3.9521592338416046E-2</v>
      </c>
      <c r="AC318" s="21">
        <f t="shared" si="386"/>
        <v>3.5242035261367148E-2</v>
      </c>
      <c r="AD318" s="21">
        <f t="shared" si="386"/>
        <v>3.8310372771474879E-2</v>
      </c>
      <c r="AE318" s="21">
        <f t="shared" si="386"/>
        <v>3.6672129567145474E-2</v>
      </c>
      <c r="AF318" s="21">
        <f t="shared" si="386"/>
        <v>3.7428674035353736E-2</v>
      </c>
      <c r="AG318" s="21"/>
      <c r="AH318" s="21"/>
      <c r="AI318" s="21"/>
      <c r="AJ318" s="21"/>
      <c r="AK318" s="21"/>
      <c r="AL318" s="21"/>
      <c r="AM318" s="21"/>
      <c r="AN318" s="21">
        <f t="shared" ref="AN318:AW318" si="387">+AN294/AN$298</f>
        <v>4.5398874544852696E-2</v>
      </c>
      <c r="AO318" s="21">
        <f t="shared" si="387"/>
        <v>5.1748036346835051E-2</v>
      </c>
      <c r="AP318" s="21">
        <f t="shared" si="387"/>
        <v>4.8588438640291914E-2</v>
      </c>
      <c r="AQ318" s="21">
        <f t="shared" si="387"/>
        <v>4.8210685844187411E-2</v>
      </c>
      <c r="AR318" s="21">
        <f t="shared" si="387"/>
        <v>5.3931608860192881E-2</v>
      </c>
      <c r="AS318" s="21">
        <f t="shared" si="387"/>
        <v>5.6160002055260824E-2</v>
      </c>
      <c r="AT318" s="21">
        <f t="shared" si="387"/>
        <v>5.4898483295521286E-2</v>
      </c>
      <c r="AU318" s="21">
        <f t="shared" si="387"/>
        <v>5.4391964094892074E-2</v>
      </c>
      <c r="AV318" s="21">
        <f t="shared" si="387"/>
        <v>6.6115799343647447E-2</v>
      </c>
      <c r="AW318" s="21">
        <f t="shared" si="387"/>
        <v>6.2123401889938853E-2</v>
      </c>
      <c r="AX318" s="21"/>
      <c r="AY318" s="21">
        <f t="shared" si="377"/>
        <v>6.2081751760756525E-2</v>
      </c>
      <c r="AZ318" s="21">
        <f t="shared" si="377"/>
        <v>5.7387828644209958E-2</v>
      </c>
      <c r="BA318" s="21">
        <f t="shared" si="377"/>
        <v>5.2972091337441102E-2</v>
      </c>
      <c r="BB318" s="21">
        <f t="shared" si="377"/>
        <v>4.8663811256883578E-2</v>
      </c>
      <c r="BC318" s="21">
        <f t="shared" si="377"/>
        <v>4.4813481103380765E-2</v>
      </c>
      <c r="BD318" s="21">
        <f t="shared" si="377"/>
        <v>4.1305744609966208E-2</v>
      </c>
      <c r="BE318" s="21">
        <f t="shared" si="377"/>
        <v>3.7358147980027234E-2</v>
      </c>
      <c r="BF318" s="21"/>
    </row>
    <row r="319" spans="2:58" s="3" customFormat="1">
      <c r="B319" s="13" t="s">
        <v>476</v>
      </c>
      <c r="H319" s="21">
        <f t="shared" ref="H319:AF319" si="388">+H295/H$298</f>
        <v>6.2112367748996714E-2</v>
      </c>
      <c r="I319" s="21">
        <f t="shared" si="388"/>
        <v>6.5708975451095789E-2</v>
      </c>
      <c r="J319" s="21">
        <f t="shared" si="388"/>
        <v>4.1271755988281922E-2</v>
      </c>
      <c r="K319" s="21">
        <f t="shared" si="388"/>
        <v>4.0812341339582114E-2</v>
      </c>
      <c r="L319" s="21">
        <f t="shared" si="388"/>
        <v>4.7029097725976035E-2</v>
      </c>
      <c r="M319" s="21">
        <f t="shared" si="388"/>
        <v>5.1110035272148836E-2</v>
      </c>
      <c r="N319" s="21">
        <f t="shared" si="388"/>
        <v>4.5452850590998919E-2</v>
      </c>
      <c r="O319" s="21">
        <f t="shared" si="388"/>
        <v>4.2645836795745386E-2</v>
      </c>
      <c r="P319" s="21">
        <f t="shared" si="388"/>
        <v>4.3357172328427999E-2</v>
      </c>
      <c r="Q319" s="21">
        <f t="shared" si="388"/>
        <v>5.9991992855163066E-2</v>
      </c>
      <c r="R319" s="21">
        <f t="shared" si="388"/>
        <v>4.6547381505348207E-2</v>
      </c>
      <c r="S319" s="21">
        <f t="shared" si="388"/>
        <v>4.3390574487647181E-2</v>
      </c>
      <c r="T319" s="21">
        <f t="shared" si="388"/>
        <v>3.6363636363636362E-2</v>
      </c>
      <c r="U319" s="21">
        <f t="shared" si="388"/>
        <v>5.5492331870156612E-2</v>
      </c>
      <c r="V319" s="21">
        <f t="shared" si="388"/>
        <v>4.0318665943291171E-2</v>
      </c>
      <c r="W319" s="21">
        <f t="shared" si="388"/>
        <v>4.7195856230115955E-2</v>
      </c>
      <c r="X319" s="21">
        <f t="shared" si="388"/>
        <v>4.3602303924207352E-2</v>
      </c>
      <c r="Y319" s="21">
        <f t="shared" si="388"/>
        <v>4.9215340328721331E-2</v>
      </c>
      <c r="Z319" s="21">
        <f t="shared" si="388"/>
        <v>3.833980722198245E-2</v>
      </c>
      <c r="AA319" s="21">
        <f t="shared" si="388"/>
        <v>3.1461258450338016E-2</v>
      </c>
      <c r="AB319" s="21">
        <f t="shared" si="388"/>
        <v>3.0032879493346869E-2</v>
      </c>
      <c r="AC319" s="21">
        <f t="shared" si="388"/>
        <v>4.4173368388493658E-2</v>
      </c>
      <c r="AD319" s="21">
        <f t="shared" si="388"/>
        <v>3.5737439222042137E-2</v>
      </c>
      <c r="AE319" s="21">
        <f t="shared" si="388"/>
        <v>3.048298467174395E-2</v>
      </c>
      <c r="AF319" s="21">
        <f t="shared" si="388"/>
        <v>2.8889509596584335E-2</v>
      </c>
      <c r="AG319" s="21"/>
      <c r="AH319" s="21"/>
      <c r="AI319" s="21"/>
      <c r="AJ319" s="21"/>
      <c r="AK319" s="21"/>
      <c r="AL319" s="21"/>
      <c r="AM319" s="21"/>
      <c r="AN319" s="21">
        <f t="shared" ref="AN319:AW319" si="389">+AN295/AN$298</f>
        <v>0</v>
      </c>
      <c r="AO319" s="21">
        <f t="shared" si="389"/>
        <v>0</v>
      </c>
      <c r="AP319" s="21">
        <f t="shared" si="389"/>
        <v>0</v>
      </c>
      <c r="AQ319" s="21">
        <f t="shared" si="389"/>
        <v>0</v>
      </c>
      <c r="AR319" s="21">
        <f t="shared" si="389"/>
        <v>2.1974146467181204E-3</v>
      </c>
      <c r="AS319" s="21">
        <f t="shared" si="389"/>
        <v>1.8857018073449885E-2</v>
      </c>
      <c r="AT319" s="21">
        <f t="shared" si="389"/>
        <v>5.7075075144242399E-2</v>
      </c>
      <c r="AU319" s="21">
        <f t="shared" si="389"/>
        <v>0.12397948279546912</v>
      </c>
      <c r="AV319" s="21">
        <f t="shared" si="389"/>
        <v>8.7505860290670423E-2</v>
      </c>
      <c r="AW319" s="21">
        <f t="shared" si="389"/>
        <v>5.0661478599221793E-2</v>
      </c>
      <c r="AX319" s="21"/>
      <c r="AY319" s="21">
        <f t="shared" si="377"/>
        <v>8.6534875046624396E-2</v>
      </c>
      <c r="AZ319" s="21">
        <f t="shared" si="377"/>
        <v>5.241739238487745E-2</v>
      </c>
      <c r="BA319" s="21">
        <f t="shared" si="377"/>
        <v>4.6520478434215293E-2</v>
      </c>
      <c r="BB319" s="21">
        <f t="shared" si="377"/>
        <v>4.8433365383851304E-2</v>
      </c>
      <c r="BC319" s="21">
        <f t="shared" si="377"/>
        <v>4.5149110233192326E-2</v>
      </c>
      <c r="BD319" s="21">
        <f t="shared" si="377"/>
        <v>4.0401456379991436E-2</v>
      </c>
      <c r="BE319" s="21">
        <f t="shared" si="377"/>
        <v>3.5259998991274522E-2</v>
      </c>
      <c r="BF319" s="21"/>
    </row>
    <row r="320" spans="2:58" s="3" customFormat="1">
      <c r="B320" s="13" t="s">
        <v>385</v>
      </c>
      <c r="H320" s="228">
        <f t="shared" ref="H320:AF320" si="390">+H296/H$298</f>
        <v>0</v>
      </c>
      <c r="I320" s="228">
        <f t="shared" si="390"/>
        <v>8.8283125532409197E-3</v>
      </c>
      <c r="J320" s="228">
        <f t="shared" si="390"/>
        <v>4.2047216956746514E-2</v>
      </c>
      <c r="K320" s="228">
        <f t="shared" si="390"/>
        <v>4.167154852567858E-2</v>
      </c>
      <c r="L320" s="228">
        <f t="shared" si="390"/>
        <v>4.678457902029505E-2</v>
      </c>
      <c r="M320" s="228">
        <f t="shared" si="390"/>
        <v>4.536966595200221E-2</v>
      </c>
      <c r="N320" s="228">
        <f t="shared" si="390"/>
        <v>4.9778142361758454E-2</v>
      </c>
      <c r="O320" s="228">
        <f t="shared" si="390"/>
        <v>4.8662123982050859E-2</v>
      </c>
      <c r="P320" s="228">
        <f t="shared" si="390"/>
        <v>5.2606243982945951E-2</v>
      </c>
      <c r="Q320" s="228">
        <f t="shared" si="390"/>
        <v>5.2138831572788029E-2</v>
      </c>
      <c r="R320" s="228">
        <f t="shared" si="390"/>
        <v>5.5477413234764975E-2</v>
      </c>
      <c r="S320" s="228">
        <f t="shared" si="390"/>
        <v>5.4423584541922469E-2</v>
      </c>
      <c r="T320" s="228">
        <f t="shared" si="390"/>
        <v>5.775223112993496E-2</v>
      </c>
      <c r="U320" s="228">
        <f t="shared" si="390"/>
        <v>5.6955508589389262E-2</v>
      </c>
      <c r="V320" s="228">
        <f t="shared" si="390"/>
        <v>5.8536306787356156E-2</v>
      </c>
      <c r="W320" s="228">
        <f t="shared" si="390"/>
        <v>5.3006599531985381E-2</v>
      </c>
      <c r="X320" s="228">
        <f t="shared" si="390"/>
        <v>5.9374495343704578E-2</v>
      </c>
      <c r="Y320" s="228">
        <f t="shared" si="390"/>
        <v>5.9824496239205126E-2</v>
      </c>
      <c r="Z320" s="228">
        <f t="shared" si="390"/>
        <v>6.1430010070493452E-2</v>
      </c>
      <c r="AA320" s="228">
        <f t="shared" si="390"/>
        <v>6.3789218235396086E-2</v>
      </c>
      <c r="AB320" s="228">
        <f t="shared" si="390"/>
        <v>6.9201403446830109E-2</v>
      </c>
      <c r="AC320" s="228">
        <f t="shared" si="390"/>
        <v>6.826090318589545E-2</v>
      </c>
      <c r="AD320" s="228">
        <f t="shared" si="390"/>
        <v>6.9631280388978936E-2</v>
      </c>
      <c r="AE320" s="228">
        <f t="shared" si="390"/>
        <v>7.1570423214113568E-2</v>
      </c>
      <c r="AF320" s="228">
        <f t="shared" si="390"/>
        <v>7.3081680699094209E-2</v>
      </c>
      <c r="AG320" s="228"/>
      <c r="AH320" s="228"/>
      <c r="AI320" s="228"/>
      <c r="AJ320" s="228"/>
      <c r="AK320" s="228"/>
      <c r="AL320" s="228"/>
      <c r="AM320" s="228"/>
      <c r="AN320" s="228">
        <f t="shared" ref="AN320:AW320" si="391">+AN296/AN$298</f>
        <v>0</v>
      </c>
      <c r="AO320" s="228">
        <f t="shared" si="391"/>
        <v>0</v>
      </c>
      <c r="AP320" s="228">
        <f t="shared" si="391"/>
        <v>0</v>
      </c>
      <c r="AQ320" s="228">
        <f t="shared" si="391"/>
        <v>0</v>
      </c>
      <c r="AR320" s="228">
        <f t="shared" si="391"/>
        <v>0</v>
      </c>
      <c r="AS320" s="228">
        <f t="shared" si="391"/>
        <v>0</v>
      </c>
      <c r="AT320" s="228">
        <f t="shared" si="391"/>
        <v>0</v>
      </c>
      <c r="AU320" s="228">
        <f t="shared" si="391"/>
        <v>0</v>
      </c>
      <c r="AV320" s="228">
        <f t="shared" si="391"/>
        <v>0</v>
      </c>
      <c r="AW320" s="228">
        <f t="shared" si="391"/>
        <v>2.5214007782101169E-2</v>
      </c>
      <c r="AX320" s="228"/>
      <c r="AY320" s="228">
        <f t="shared" si="377"/>
        <v>0</v>
      </c>
      <c r="AZ320" s="228">
        <f t="shared" si="377"/>
        <v>2.3516376551966946E-2</v>
      </c>
      <c r="BA320" s="228">
        <f t="shared" si="377"/>
        <v>4.7653135193910838E-2</v>
      </c>
      <c r="BB320" s="228">
        <f t="shared" si="377"/>
        <v>5.3670049188274276E-2</v>
      </c>
      <c r="BC320" s="228">
        <f t="shared" si="377"/>
        <v>5.647659336433241E-2</v>
      </c>
      <c r="BD320" s="228">
        <f t="shared" si="377"/>
        <v>6.1211984198753032E-2</v>
      </c>
      <c r="BE320" s="228">
        <f t="shared" si="377"/>
        <v>6.9682755837998683E-2</v>
      </c>
      <c r="BF320" s="23"/>
    </row>
    <row r="321" spans="2:58" s="839" customFormat="1" ht="11.45">
      <c r="B321" s="13" t="s">
        <v>198</v>
      </c>
      <c r="H321" s="840">
        <f t="shared" ref="H321:AF321" si="392">+H297/H$298</f>
        <v>2.6587012039401677E-2</v>
      </c>
      <c r="I321" s="840">
        <f t="shared" si="392"/>
        <v>2.8343529776194532E-2</v>
      </c>
      <c r="J321" s="840">
        <f t="shared" si="392"/>
        <v>2.6107185938307773E-2</v>
      </c>
      <c r="K321" s="840">
        <f t="shared" si="392"/>
        <v>2.6947861745752782E-2</v>
      </c>
      <c r="L321" s="840">
        <f t="shared" si="392"/>
        <v>2.510392044991442E-2</v>
      </c>
      <c r="M321" s="840">
        <f t="shared" si="392"/>
        <v>2.558959817414759E-2</v>
      </c>
      <c r="N321" s="840">
        <f t="shared" si="392"/>
        <v>2.6026324620604797E-2</v>
      </c>
      <c r="O321" s="840">
        <f t="shared" si="392"/>
        <v>2.456373608110354E-2</v>
      </c>
      <c r="P321" s="840">
        <f t="shared" si="392"/>
        <v>2.5306010177417137E-2</v>
      </c>
      <c r="Q321" s="840">
        <f t="shared" si="392"/>
        <v>2.4791352283576113E-2</v>
      </c>
      <c r="R321" s="840">
        <f t="shared" si="392"/>
        <v>2.4533054201694417E-2</v>
      </c>
      <c r="S321" s="840">
        <f t="shared" si="392"/>
        <v>2.3104072129786161E-2</v>
      </c>
      <c r="T321" s="840">
        <f t="shared" si="392"/>
        <v>2.586598094085615E-2</v>
      </c>
      <c r="U321" s="840">
        <f t="shared" si="392"/>
        <v>2.5984934698964939E-2</v>
      </c>
      <c r="V321" s="840">
        <f t="shared" si="392"/>
        <v>2.7440678450072812E-2</v>
      </c>
      <c r="W321" s="840">
        <f t="shared" si="392"/>
        <v>2.6108905424236845E-2</v>
      </c>
      <c r="X321" s="840">
        <f t="shared" si="392"/>
        <v>2.7776282499865426E-2</v>
      </c>
      <c r="Y321" s="840">
        <f t="shared" si="392"/>
        <v>2.6534497167796454E-2</v>
      </c>
      <c r="Z321" s="840">
        <f t="shared" si="392"/>
        <v>2.6974536037980147E-2</v>
      </c>
      <c r="AA321" s="840">
        <f t="shared" si="392"/>
        <v>2.5546021840873633E-2</v>
      </c>
      <c r="AB321" s="840">
        <f t="shared" si="392"/>
        <v>2.7075931769534611E-2</v>
      </c>
      <c r="AC321" s="840">
        <f t="shared" si="392"/>
        <v>2.6233374574698421E-2</v>
      </c>
      <c r="AD321" s="840">
        <f t="shared" si="392"/>
        <v>2.6418152350081037E-2</v>
      </c>
      <c r="AE321" s="840">
        <f t="shared" si="392"/>
        <v>2.7050997782705099E-2</v>
      </c>
      <c r="AF321" s="840">
        <f t="shared" si="392"/>
        <v>2.6894377718367186E-2</v>
      </c>
      <c r="AG321" s="840"/>
      <c r="AH321" s="840"/>
      <c r="AI321" s="840"/>
      <c r="AJ321" s="840"/>
      <c r="AK321" s="840"/>
      <c r="AL321" s="840"/>
      <c r="AM321" s="840"/>
      <c r="AN321" s="840">
        <f t="shared" ref="AN321:AW321" si="393">+AN297/AN$298</f>
        <v>6.8222442899702085E-2</v>
      </c>
      <c r="AO321" s="840">
        <f t="shared" si="393"/>
        <v>6.1570580283039855E-2</v>
      </c>
      <c r="AP321" s="840">
        <f t="shared" si="393"/>
        <v>5.5662249535881184E-2</v>
      </c>
      <c r="AQ321" s="840">
        <f t="shared" si="393"/>
        <v>5.3600789214074317E-2</v>
      </c>
      <c r="AR321" s="840">
        <f t="shared" si="393"/>
        <v>6.1147810045711654E-2</v>
      </c>
      <c r="AS321" s="840">
        <f t="shared" si="393"/>
        <v>7.180567508895426E-2</v>
      </c>
      <c r="AT321" s="840">
        <f t="shared" si="393"/>
        <v>7.1597203828037734E-2</v>
      </c>
      <c r="AU321" s="840">
        <f t="shared" si="393"/>
        <v>6.6616798461209659E-2</v>
      </c>
      <c r="AV321" s="840">
        <f t="shared" si="393"/>
        <v>6.8577121425222695E-2</v>
      </c>
      <c r="AW321" s="840">
        <f t="shared" si="393"/>
        <v>6.1567537520844914E-2</v>
      </c>
      <c r="AX321" s="840"/>
      <c r="AY321" s="840">
        <f t="shared" si="377"/>
        <v>2.7415143603133161E-2</v>
      </c>
      <c r="AZ321" s="840">
        <f t="shared" si="377"/>
        <v>2.7037102235660811E-2</v>
      </c>
      <c r="BA321" s="840">
        <f t="shared" si="377"/>
        <v>2.5308082638637187E-2</v>
      </c>
      <c r="BB321" s="840">
        <f t="shared" si="377"/>
        <v>2.4395476903761034E-2</v>
      </c>
      <c r="BC321" s="840">
        <f t="shared" si="377"/>
        <v>2.6346886690207322E-2</v>
      </c>
      <c r="BD321" s="840">
        <f t="shared" si="377"/>
        <v>2.6646756460901432E-2</v>
      </c>
      <c r="BE321" s="840">
        <f t="shared" si="377"/>
        <v>2.6685832450698544E-2</v>
      </c>
      <c r="BF321" s="920"/>
    </row>
    <row r="322" spans="2:58" s="7" customFormat="1">
      <c r="B322" s="841" t="s">
        <v>477</v>
      </c>
      <c r="H322" s="842">
        <f t="shared" ref="H322:AF322" si="394">+H298/H$298</f>
        <v>1</v>
      </c>
      <c r="I322" s="842">
        <f t="shared" si="394"/>
        <v>1</v>
      </c>
      <c r="J322" s="842">
        <f t="shared" si="394"/>
        <v>1</v>
      </c>
      <c r="K322" s="842">
        <f t="shared" si="394"/>
        <v>1</v>
      </c>
      <c r="L322" s="842">
        <f t="shared" si="394"/>
        <v>1</v>
      </c>
      <c r="M322" s="842">
        <f t="shared" si="394"/>
        <v>1</v>
      </c>
      <c r="N322" s="842">
        <f t="shared" si="394"/>
        <v>1</v>
      </c>
      <c r="O322" s="842">
        <f t="shared" si="394"/>
        <v>1</v>
      </c>
      <c r="P322" s="842">
        <f t="shared" si="394"/>
        <v>1</v>
      </c>
      <c r="Q322" s="842">
        <f t="shared" si="394"/>
        <v>1</v>
      </c>
      <c r="R322" s="842">
        <f t="shared" si="394"/>
        <v>1</v>
      </c>
      <c r="S322" s="842">
        <f t="shared" si="394"/>
        <v>1</v>
      </c>
      <c r="T322" s="842">
        <f t="shared" si="394"/>
        <v>1</v>
      </c>
      <c r="U322" s="842">
        <f t="shared" si="394"/>
        <v>1</v>
      </c>
      <c r="V322" s="842">
        <f t="shared" si="394"/>
        <v>1</v>
      </c>
      <c r="W322" s="842">
        <f t="shared" si="394"/>
        <v>1</v>
      </c>
      <c r="X322" s="842">
        <f t="shared" si="394"/>
        <v>1</v>
      </c>
      <c r="Y322" s="842">
        <f t="shared" si="394"/>
        <v>1</v>
      </c>
      <c r="Z322" s="842">
        <f t="shared" si="394"/>
        <v>1</v>
      </c>
      <c r="AA322" s="842">
        <f t="shared" si="394"/>
        <v>1</v>
      </c>
      <c r="AB322" s="842">
        <f t="shared" si="394"/>
        <v>1</v>
      </c>
      <c r="AC322" s="842">
        <f t="shared" si="394"/>
        <v>1</v>
      </c>
      <c r="AD322" s="842">
        <f t="shared" si="394"/>
        <v>1</v>
      </c>
      <c r="AE322" s="842">
        <f t="shared" si="394"/>
        <v>1</v>
      </c>
      <c r="AF322" s="842">
        <f t="shared" si="394"/>
        <v>1</v>
      </c>
      <c r="AG322" s="842"/>
      <c r="AH322" s="842"/>
      <c r="AI322" s="842"/>
      <c r="AJ322" s="842"/>
      <c r="AK322" s="842"/>
      <c r="AL322" s="842"/>
      <c r="AM322" s="842"/>
      <c r="AN322" s="842">
        <f t="shared" ref="AN322:AW322" si="395">+AN298/AN$298</f>
        <v>1</v>
      </c>
      <c r="AO322" s="842">
        <f t="shared" si="395"/>
        <v>1</v>
      </c>
      <c r="AP322" s="842">
        <f t="shared" si="395"/>
        <v>1</v>
      </c>
      <c r="AQ322" s="842">
        <f t="shared" si="395"/>
        <v>1</v>
      </c>
      <c r="AR322" s="842">
        <f t="shared" si="395"/>
        <v>1</v>
      </c>
      <c r="AS322" s="842">
        <f t="shared" si="395"/>
        <v>1</v>
      </c>
      <c r="AT322" s="842">
        <f t="shared" si="395"/>
        <v>1</v>
      </c>
      <c r="AU322" s="842">
        <f t="shared" si="395"/>
        <v>1</v>
      </c>
      <c r="AV322" s="842">
        <f t="shared" si="395"/>
        <v>1</v>
      </c>
      <c r="AW322" s="842">
        <f t="shared" si="395"/>
        <v>1</v>
      </c>
      <c r="AX322" s="842"/>
      <c r="AY322" s="842">
        <f t="shared" si="377"/>
        <v>1</v>
      </c>
      <c r="AZ322" s="842">
        <f t="shared" si="377"/>
        <v>1</v>
      </c>
      <c r="BA322" s="842">
        <f t="shared" si="377"/>
        <v>1</v>
      </c>
      <c r="BB322" s="842">
        <f t="shared" si="377"/>
        <v>1</v>
      </c>
      <c r="BC322" s="842">
        <f t="shared" si="377"/>
        <v>1</v>
      </c>
      <c r="BD322" s="842">
        <f t="shared" si="377"/>
        <v>1</v>
      </c>
      <c r="BE322" s="842">
        <f t="shared" si="377"/>
        <v>1</v>
      </c>
      <c r="BF322" s="895"/>
    </row>
    <row r="323" spans="2:58" hidden="1" outlineLevel="1">
      <c r="B323" s="843"/>
    </row>
    <row r="324" spans="2:58" s="3" customFormat="1" hidden="1" outlineLevel="1">
      <c r="B324" s="15" t="s">
        <v>484</v>
      </c>
      <c r="AO324" s="21">
        <f t="shared" ref="AO324:AW324" si="396">+AO329/AO$332</f>
        <v>0.25074866950733266</v>
      </c>
      <c r="AP324" s="21">
        <f t="shared" si="396"/>
        <v>0.2916746687151911</v>
      </c>
      <c r="AQ324" s="21">
        <f t="shared" si="396"/>
        <v>0.25485037816507727</v>
      </c>
      <c r="AR324" s="21">
        <f t="shared" si="396"/>
        <v>0.24049661338755504</v>
      </c>
      <c r="AS324" s="21">
        <f t="shared" si="396"/>
        <v>0.2197544917150655</v>
      </c>
      <c r="AT324" s="21">
        <f t="shared" si="396"/>
        <v>0.19411974710075663</v>
      </c>
      <c r="AU324" s="21">
        <f t="shared" si="396"/>
        <v>0.15843128873690959</v>
      </c>
      <c r="AV324" s="21">
        <f t="shared" si="396"/>
        <v>0.16035797005317357</v>
      </c>
      <c r="AW324" s="21">
        <f t="shared" si="396"/>
        <v>0.1586227588276069</v>
      </c>
      <c r="AY324" s="21"/>
      <c r="AZ324" s="21"/>
    </row>
    <row r="325" spans="2:58" hidden="1" outlineLevel="1">
      <c r="B325" s="843"/>
    </row>
    <row r="326" spans="2:58" hidden="1" outlineLevel="1">
      <c r="B326" s="922" t="s">
        <v>126</v>
      </c>
    </row>
    <row r="327" spans="2:58" hidden="1" outlineLevel="1">
      <c r="B327" s="12" t="str">
        <f>"Revenue from "&amp;B292</f>
        <v>Revenue from Windows</v>
      </c>
      <c r="AN327" s="8">
        <f t="shared" ref="AN327:AW327" si="397">+AN292</f>
        <v>16838</v>
      </c>
      <c r="AO327" s="8">
        <f t="shared" si="397"/>
        <v>14653</v>
      </c>
      <c r="AP327" s="8">
        <f t="shared" si="397"/>
        <v>18225</v>
      </c>
      <c r="AQ327" s="8">
        <f t="shared" si="397"/>
        <v>17825</v>
      </c>
      <c r="AR327" s="8">
        <f t="shared" si="397"/>
        <v>17320</v>
      </c>
      <c r="AS327" s="8">
        <f t="shared" si="397"/>
        <v>17529</v>
      </c>
      <c r="AT327" s="8">
        <f t="shared" si="397"/>
        <v>16856</v>
      </c>
      <c r="AU327" s="8">
        <f t="shared" si="397"/>
        <v>14826</v>
      </c>
      <c r="AV327" s="8">
        <f t="shared" si="397"/>
        <v>8104</v>
      </c>
      <c r="AW327" s="8">
        <f t="shared" si="397"/>
        <v>8625</v>
      </c>
    </row>
    <row r="328" spans="2:58" ht="11.45" hidden="1" outlineLevel="1">
      <c r="B328" s="12" t="s">
        <v>274</v>
      </c>
      <c r="AN328" s="10">
        <f t="shared" ref="AN328:AW328" si="398">+AN17</f>
        <v>0</v>
      </c>
      <c r="AO328" s="10">
        <f t="shared" si="398"/>
        <v>0</v>
      </c>
      <c r="AP328" s="10">
        <f t="shared" si="398"/>
        <v>0</v>
      </c>
      <c r="AQ328" s="10">
        <f t="shared" si="398"/>
        <v>0</v>
      </c>
      <c r="AR328" s="10">
        <f t="shared" si="398"/>
        <v>540</v>
      </c>
      <c r="AS328" s="10">
        <f t="shared" si="398"/>
        <v>-540</v>
      </c>
      <c r="AT328" s="10">
        <f t="shared" si="398"/>
        <v>0</v>
      </c>
      <c r="AU328" s="10">
        <f t="shared" si="398"/>
        <v>0</v>
      </c>
      <c r="AV328" s="10">
        <f t="shared" si="398"/>
        <v>6643</v>
      </c>
      <c r="AW328" s="10">
        <f t="shared" si="398"/>
        <v>6707</v>
      </c>
    </row>
    <row r="329" spans="2:58" hidden="1" outlineLevel="1">
      <c r="B329" s="17" t="s">
        <v>485</v>
      </c>
      <c r="AN329" s="8">
        <f t="shared" ref="AN329:AV329" si="399">+AN328+AN327</f>
        <v>16838</v>
      </c>
      <c r="AO329" s="8">
        <f t="shared" si="399"/>
        <v>14653</v>
      </c>
      <c r="AP329" s="8">
        <f t="shared" si="399"/>
        <v>18225</v>
      </c>
      <c r="AQ329" s="8">
        <f t="shared" si="399"/>
        <v>17825</v>
      </c>
      <c r="AR329" s="8">
        <f t="shared" si="399"/>
        <v>17860</v>
      </c>
      <c r="AS329" s="8">
        <f t="shared" si="399"/>
        <v>16989</v>
      </c>
      <c r="AT329" s="8">
        <f t="shared" si="399"/>
        <v>16856</v>
      </c>
      <c r="AU329" s="8">
        <f t="shared" si="399"/>
        <v>14826</v>
      </c>
      <c r="AV329" s="8">
        <f t="shared" si="399"/>
        <v>14747</v>
      </c>
      <c r="AW329" s="8">
        <f>+AW328+AW327</f>
        <v>15332</v>
      </c>
    </row>
    <row r="330" spans="2:58" s="33" customFormat="1" hidden="1" outlineLevel="1">
      <c r="B330" s="923" t="s">
        <v>113</v>
      </c>
      <c r="AO330" s="14">
        <f t="shared" ref="AO330:AW330" si="400">+IFERROR(AO329/AN329-1,"n/a ")</f>
        <v>-0.12976600546383177</v>
      </c>
      <c r="AP330" s="14">
        <f t="shared" si="400"/>
        <v>0.24377260629222675</v>
      </c>
      <c r="AQ330" s="14">
        <f t="shared" si="400"/>
        <v>-2.1947873799725626E-2</v>
      </c>
      <c r="AR330" s="14">
        <f t="shared" si="400"/>
        <v>1.9635343618513712E-3</v>
      </c>
      <c r="AS330" s="14">
        <f t="shared" si="400"/>
        <v>-4.8768197088465803E-2</v>
      </c>
      <c r="AT330" s="14">
        <f t="shared" si="400"/>
        <v>-7.8285949732179727E-3</v>
      </c>
      <c r="AU330" s="14">
        <f t="shared" si="400"/>
        <v>-0.12043189368770768</v>
      </c>
      <c r="AV330" s="14">
        <f t="shared" si="400"/>
        <v>-5.3284769998650505E-3</v>
      </c>
      <c r="AW330" s="14">
        <f t="shared" si="400"/>
        <v>3.9669085237675539E-2</v>
      </c>
    </row>
    <row r="331" spans="2:58" hidden="1" outlineLevel="1">
      <c r="B331" s="17"/>
      <c r="AN331" s="8"/>
      <c r="AO331" s="8"/>
      <c r="AP331" s="8"/>
      <c r="AQ331" s="8"/>
      <c r="AR331" s="8"/>
      <c r="AS331" s="8"/>
      <c r="AT331" s="8"/>
      <c r="AU331" s="8"/>
      <c r="AV331" s="8"/>
      <c r="AW331" s="8"/>
    </row>
    <row r="332" spans="2:58" hidden="1" outlineLevel="1">
      <c r="B332" s="12" t="s">
        <v>486</v>
      </c>
      <c r="AN332" s="8">
        <f t="shared" ref="AN332:AW332" si="401">+AN298+AN328</f>
        <v>60420</v>
      </c>
      <c r="AO332" s="8">
        <f t="shared" si="401"/>
        <v>58437</v>
      </c>
      <c r="AP332" s="8">
        <f t="shared" si="401"/>
        <v>62484</v>
      </c>
      <c r="AQ332" s="8">
        <f t="shared" si="401"/>
        <v>69943</v>
      </c>
      <c r="AR332" s="8">
        <f t="shared" si="401"/>
        <v>74263</v>
      </c>
      <c r="AS332" s="8">
        <f t="shared" si="401"/>
        <v>77309</v>
      </c>
      <c r="AT332" s="8">
        <f t="shared" si="401"/>
        <v>86833</v>
      </c>
      <c r="AU332" s="8">
        <f t="shared" si="401"/>
        <v>93580</v>
      </c>
      <c r="AV332" s="8">
        <f t="shared" si="401"/>
        <v>91963</v>
      </c>
      <c r="AW332" s="8">
        <f t="shared" si="401"/>
        <v>96657</v>
      </c>
    </row>
    <row r="333" spans="2:58" ht="11.45" hidden="1" outlineLevel="1">
      <c r="B333" s="12" t="s">
        <v>487</v>
      </c>
      <c r="AN333" s="905">
        <v>0</v>
      </c>
      <c r="AO333" s="905">
        <v>0</v>
      </c>
      <c r="AP333" s="905">
        <v>0</v>
      </c>
      <c r="AQ333" s="905">
        <v>0</v>
      </c>
      <c r="AR333" s="905">
        <f>-162+0</f>
        <v>-162</v>
      </c>
      <c r="AS333" s="905">
        <v>-615</v>
      </c>
      <c r="AT333" s="905">
        <v>-3073</v>
      </c>
      <c r="AU333" s="905">
        <v>-7702</v>
      </c>
      <c r="AV333" s="905">
        <v>-3358</v>
      </c>
      <c r="AW333" s="924">
        <v>-500</v>
      </c>
    </row>
    <row r="334" spans="2:58" hidden="1" outlineLevel="1">
      <c r="B334" s="17" t="s">
        <v>488</v>
      </c>
      <c r="AN334" s="8">
        <f t="shared" ref="AN334:AW334" si="402">+AN332+AN333</f>
        <v>60420</v>
      </c>
      <c r="AO334" s="8">
        <f t="shared" si="402"/>
        <v>58437</v>
      </c>
      <c r="AP334" s="8">
        <f t="shared" si="402"/>
        <v>62484</v>
      </c>
      <c r="AQ334" s="8">
        <f t="shared" si="402"/>
        <v>69943</v>
      </c>
      <c r="AR334" s="8">
        <f t="shared" si="402"/>
        <v>74101</v>
      </c>
      <c r="AS334" s="8">
        <f t="shared" si="402"/>
        <v>76694</v>
      </c>
      <c r="AT334" s="8">
        <f t="shared" si="402"/>
        <v>83760</v>
      </c>
      <c r="AU334" s="8">
        <f t="shared" si="402"/>
        <v>85878</v>
      </c>
      <c r="AV334" s="8">
        <f t="shared" si="402"/>
        <v>88605</v>
      </c>
      <c r="AW334" s="8">
        <f t="shared" si="402"/>
        <v>96157</v>
      </c>
    </row>
    <row r="335" spans="2:58" s="33" customFormat="1" hidden="1" outlineLevel="1">
      <c r="B335" s="923" t="s">
        <v>113</v>
      </c>
      <c r="AO335" s="14">
        <f t="shared" ref="AO335:AW335" si="403">+IFERROR(AO334/AN334-1,"n/a ")</f>
        <v>-3.2820258192651441E-2</v>
      </c>
      <c r="AP335" s="14">
        <f t="shared" si="403"/>
        <v>6.9254068484008391E-2</v>
      </c>
      <c r="AQ335" s="14">
        <f t="shared" si="403"/>
        <v>0.11937455988733126</v>
      </c>
      <c r="AR335" s="14">
        <f t="shared" si="403"/>
        <v>5.9448407989362684E-2</v>
      </c>
      <c r="AS335" s="14">
        <f t="shared" si="403"/>
        <v>3.4992780124424749E-2</v>
      </c>
      <c r="AT335" s="14">
        <f t="shared" si="403"/>
        <v>9.2132370198450886E-2</v>
      </c>
      <c r="AU335" s="14">
        <f t="shared" si="403"/>
        <v>2.5286532951289464E-2</v>
      </c>
      <c r="AV335" s="14">
        <f t="shared" si="403"/>
        <v>3.1754349193041209E-2</v>
      </c>
      <c r="AW335" s="14">
        <f t="shared" si="403"/>
        <v>8.5232210371875228E-2</v>
      </c>
    </row>
    <row r="336" spans="2:58" hidden="1" outlineLevel="1">
      <c r="B336" s="17"/>
      <c r="AN336" s="8"/>
      <c r="AO336" s="8"/>
      <c r="AP336" s="8"/>
      <c r="AQ336" s="8"/>
      <c r="AR336" s="8"/>
      <c r="AS336" s="8"/>
      <c r="AT336" s="8"/>
      <c r="AU336" s="8"/>
      <c r="AV336" s="8"/>
      <c r="AW336" s="8"/>
    </row>
    <row r="337" spans="2:58" ht="11.45" hidden="1" outlineLevel="1">
      <c r="B337" s="12" t="s">
        <v>489</v>
      </c>
      <c r="AN337" s="10">
        <f t="shared" ref="AN337:AW337" si="404">-AN296</f>
        <v>0</v>
      </c>
      <c r="AO337" s="10">
        <f t="shared" si="404"/>
        <v>0</v>
      </c>
      <c r="AP337" s="10">
        <f t="shared" si="404"/>
        <v>0</v>
      </c>
      <c r="AQ337" s="10">
        <f t="shared" si="404"/>
        <v>0</v>
      </c>
      <c r="AR337" s="10">
        <f t="shared" si="404"/>
        <v>0</v>
      </c>
      <c r="AS337" s="10">
        <f t="shared" si="404"/>
        <v>0</v>
      </c>
      <c r="AT337" s="10">
        <f t="shared" si="404"/>
        <v>0</v>
      </c>
      <c r="AU337" s="10">
        <f t="shared" si="404"/>
        <v>0</v>
      </c>
      <c r="AV337" s="10">
        <f t="shared" si="404"/>
        <v>0</v>
      </c>
      <c r="AW337" s="10">
        <f t="shared" si="404"/>
        <v>-2268</v>
      </c>
    </row>
    <row r="338" spans="2:58" hidden="1" outlineLevel="1">
      <c r="B338" s="17" t="s">
        <v>490</v>
      </c>
      <c r="AN338" s="8">
        <f t="shared" ref="AN338:AW338" si="405">+AN334+AN337</f>
        <v>60420</v>
      </c>
      <c r="AO338" s="8">
        <f t="shared" si="405"/>
        <v>58437</v>
      </c>
      <c r="AP338" s="8">
        <f t="shared" si="405"/>
        <v>62484</v>
      </c>
      <c r="AQ338" s="8">
        <f t="shared" si="405"/>
        <v>69943</v>
      </c>
      <c r="AR338" s="8">
        <f t="shared" si="405"/>
        <v>74101</v>
      </c>
      <c r="AS338" s="8">
        <f t="shared" si="405"/>
        <v>76694</v>
      </c>
      <c r="AT338" s="8">
        <f t="shared" si="405"/>
        <v>83760</v>
      </c>
      <c r="AU338" s="8">
        <f t="shared" si="405"/>
        <v>85878</v>
      </c>
      <c r="AV338" s="8">
        <f t="shared" si="405"/>
        <v>88605</v>
      </c>
      <c r="AW338" s="8">
        <f t="shared" si="405"/>
        <v>93889</v>
      </c>
    </row>
    <row r="339" spans="2:58" s="33" customFormat="1" hidden="1" outlineLevel="1">
      <c r="B339" s="923" t="s">
        <v>113</v>
      </c>
      <c r="AO339" s="14">
        <f t="shared" ref="AO339:AW339" si="406">+IFERROR(AO338/AN338-1,"n/a ")</f>
        <v>-3.2820258192651441E-2</v>
      </c>
      <c r="AP339" s="14">
        <f t="shared" si="406"/>
        <v>6.9254068484008391E-2</v>
      </c>
      <c r="AQ339" s="14">
        <f t="shared" si="406"/>
        <v>0.11937455988733126</v>
      </c>
      <c r="AR339" s="14">
        <f t="shared" si="406"/>
        <v>5.9448407989362684E-2</v>
      </c>
      <c r="AS339" s="14">
        <f t="shared" si="406"/>
        <v>3.4992780124424749E-2</v>
      </c>
      <c r="AT339" s="14">
        <f t="shared" si="406"/>
        <v>9.2132370198450886E-2</v>
      </c>
      <c r="AU339" s="14">
        <f t="shared" si="406"/>
        <v>2.5286532951289464E-2</v>
      </c>
      <c r="AV339" s="14">
        <f t="shared" si="406"/>
        <v>3.1754349193041209E-2</v>
      </c>
      <c r="AW339" s="14">
        <f t="shared" si="406"/>
        <v>5.9635460752779146E-2</v>
      </c>
    </row>
    <row r="340" spans="2:58" hidden="1" outlineLevel="1">
      <c r="B340" s="18"/>
      <c r="AN340" s="8"/>
      <c r="AO340" s="8"/>
      <c r="AP340" s="8"/>
      <c r="AQ340" s="8"/>
      <c r="AR340" s="8"/>
      <c r="AS340" s="900"/>
      <c r="AT340" s="900"/>
      <c r="AU340" s="900"/>
      <c r="AV340" s="900"/>
      <c r="AW340" s="900"/>
    </row>
    <row r="341" spans="2:58" ht="11.45" hidden="1" outlineLevel="1">
      <c r="B341" s="12" t="s">
        <v>491</v>
      </c>
      <c r="AN341" s="10">
        <f t="shared" ref="AN341:AW341" si="407">-AN329</f>
        <v>-16838</v>
      </c>
      <c r="AO341" s="10">
        <f t="shared" si="407"/>
        <v>-14653</v>
      </c>
      <c r="AP341" s="10">
        <f t="shared" si="407"/>
        <v>-18225</v>
      </c>
      <c r="AQ341" s="10">
        <f t="shared" si="407"/>
        <v>-17825</v>
      </c>
      <c r="AR341" s="10">
        <f t="shared" si="407"/>
        <v>-17860</v>
      </c>
      <c r="AS341" s="10">
        <f t="shared" si="407"/>
        <v>-16989</v>
      </c>
      <c r="AT341" s="10">
        <f t="shared" si="407"/>
        <v>-16856</v>
      </c>
      <c r="AU341" s="10">
        <f t="shared" si="407"/>
        <v>-14826</v>
      </c>
      <c r="AV341" s="10">
        <f t="shared" si="407"/>
        <v>-14747</v>
      </c>
      <c r="AW341" s="10">
        <f t="shared" si="407"/>
        <v>-15332</v>
      </c>
    </row>
    <row r="342" spans="2:58" hidden="1" outlineLevel="1">
      <c r="B342" s="17" t="s">
        <v>492</v>
      </c>
      <c r="AN342" s="8">
        <f>+AN338+AN341</f>
        <v>43582</v>
      </c>
      <c r="AO342" s="8">
        <f t="shared" ref="AO342:AW342" si="408">+AO338+AO341</f>
        <v>43784</v>
      </c>
      <c r="AP342" s="8">
        <f t="shared" si="408"/>
        <v>44259</v>
      </c>
      <c r="AQ342" s="8">
        <f t="shared" si="408"/>
        <v>52118</v>
      </c>
      <c r="AR342" s="8">
        <f t="shared" si="408"/>
        <v>56241</v>
      </c>
      <c r="AS342" s="8">
        <f t="shared" si="408"/>
        <v>59705</v>
      </c>
      <c r="AT342" s="8">
        <f t="shared" si="408"/>
        <v>66904</v>
      </c>
      <c r="AU342" s="8">
        <f t="shared" si="408"/>
        <v>71052</v>
      </c>
      <c r="AV342" s="8">
        <f t="shared" si="408"/>
        <v>73858</v>
      </c>
      <c r="AW342" s="8">
        <f t="shared" si="408"/>
        <v>78557</v>
      </c>
    </row>
    <row r="343" spans="2:58" s="33" customFormat="1" hidden="1" outlineLevel="1">
      <c r="B343" s="923" t="s">
        <v>113</v>
      </c>
      <c r="AO343" s="14">
        <f t="shared" ref="AO343:AW343" si="409">+IFERROR(AO342/AN342-1,"n/a ")</f>
        <v>4.6349410307007233E-3</v>
      </c>
      <c r="AP343" s="14">
        <f t="shared" si="409"/>
        <v>1.0848711858213012E-2</v>
      </c>
      <c r="AQ343" s="14">
        <f t="shared" si="409"/>
        <v>0.17756840416638431</v>
      </c>
      <c r="AR343" s="14">
        <f t="shared" si="409"/>
        <v>7.9108945086150628E-2</v>
      </c>
      <c r="AS343" s="14">
        <f t="shared" si="409"/>
        <v>6.1592076954535058E-2</v>
      </c>
      <c r="AT343" s="14">
        <f t="shared" si="409"/>
        <v>0.12057616615023869</v>
      </c>
      <c r="AU343" s="14">
        <f t="shared" si="409"/>
        <v>6.199928255410736E-2</v>
      </c>
      <c r="AV343" s="14">
        <f t="shared" si="409"/>
        <v>3.9492202893655293E-2</v>
      </c>
      <c r="AW343" s="14">
        <f t="shared" si="409"/>
        <v>6.362208562376459E-2</v>
      </c>
    </row>
    <row r="344" spans="2:58" s="3" customFormat="1" hidden="1" outlineLevel="2">
      <c r="B344" s="20" t="s">
        <v>493</v>
      </c>
      <c r="AU344" s="33">
        <f>+ROUND(AU133-AU125,2)</f>
        <v>0.02</v>
      </c>
      <c r="AV344" s="33">
        <f>+ROUND(AV133-AV125,2)</f>
        <v>0.04</v>
      </c>
      <c r="AW344" s="33">
        <f>+ROUND(AW133-AW125,2)</f>
        <v>0.02</v>
      </c>
    </row>
    <row r="345" spans="2:58" s="3" customFormat="1" hidden="1" outlineLevel="1" collapsed="1">
      <c r="B345" s="19" t="s">
        <v>270</v>
      </c>
      <c r="AU345" s="33">
        <f t="shared" ref="AU345:AV345" si="410">AU343+AU344</f>
        <v>8.1999282554107364E-2</v>
      </c>
      <c r="AV345" s="33">
        <f t="shared" si="410"/>
        <v>7.94922028936553E-2</v>
      </c>
      <c r="AW345" s="33">
        <f>AW343+AW344</f>
        <v>8.3622085623764594E-2</v>
      </c>
    </row>
    <row r="346" spans="2:58" collapsed="1">
      <c r="B346" s="843"/>
    </row>
    <row r="347" spans="2:58" ht="10.5">
      <c r="B347" s="5" t="s">
        <v>335</v>
      </c>
      <c r="C347" s="4"/>
    </row>
    <row r="348" spans="2:58" ht="10.5">
      <c r="B348" s="1"/>
    </row>
    <row r="349" spans="2:58" ht="10.5">
      <c r="B349" s="45" t="s">
        <v>494</v>
      </c>
    </row>
    <row r="351" spans="2:58">
      <c r="B351" t="s">
        <v>86</v>
      </c>
      <c r="H351" s="8">
        <f t="shared" ref="H351:AF351" si="411">+H114</f>
        <v>6436</v>
      </c>
      <c r="I351" s="8">
        <f t="shared" si="411"/>
        <v>7179</v>
      </c>
      <c r="J351" s="8">
        <f t="shared" si="411"/>
        <v>7707</v>
      </c>
      <c r="K351" s="8">
        <f t="shared" si="411"/>
        <v>8548</v>
      </c>
      <c r="L351" s="8">
        <f t="shared" si="411"/>
        <v>8238</v>
      </c>
      <c r="M351" s="8">
        <f t="shared" si="411"/>
        <v>8953</v>
      </c>
      <c r="N351" s="8">
        <f t="shared" si="411"/>
        <v>9006</v>
      </c>
      <c r="O351" s="8">
        <f t="shared" si="411"/>
        <v>9668</v>
      </c>
      <c r="P351" s="8">
        <f t="shared" si="411"/>
        <v>9771</v>
      </c>
      <c r="Q351" s="8">
        <f t="shared" si="411"/>
        <v>10100</v>
      </c>
      <c r="R351" s="8">
        <f t="shared" si="411"/>
        <v>10242</v>
      </c>
      <c r="S351" s="8">
        <f t="shared" si="411"/>
        <v>11047</v>
      </c>
      <c r="T351" s="8">
        <f t="shared" si="411"/>
        <v>11077</v>
      </c>
      <c r="U351" s="8">
        <f t="shared" si="411"/>
        <v>11826</v>
      </c>
      <c r="V351" s="8">
        <f t="shared" si="411"/>
        <v>11743</v>
      </c>
      <c r="W351" s="8">
        <f t="shared" si="411"/>
        <v>11752</v>
      </c>
      <c r="X351" s="8">
        <f t="shared" si="411"/>
        <v>12319</v>
      </c>
      <c r="Y351" s="8">
        <f t="shared" si="411"/>
        <v>13353</v>
      </c>
      <c r="Z351" s="8">
        <f t="shared" si="411"/>
        <v>13552</v>
      </c>
      <c r="AA351" s="8">
        <f t="shared" si="411"/>
        <v>14691</v>
      </c>
      <c r="AB351" s="8">
        <f t="shared" si="411"/>
        <v>15039</v>
      </c>
      <c r="AC351" s="8">
        <f t="shared" si="411"/>
        <v>15936</v>
      </c>
      <c r="AD351" s="8">
        <f t="shared" si="411"/>
        <v>15789</v>
      </c>
      <c r="AE351" s="8">
        <f t="shared" si="411"/>
        <v>16600</v>
      </c>
      <c r="AF351" s="8">
        <f t="shared" si="411"/>
        <v>16465</v>
      </c>
      <c r="AG351" s="8"/>
      <c r="AH351" s="8"/>
      <c r="AI351" s="8"/>
      <c r="AT351" s="8">
        <f>+AT114</f>
        <v>26976</v>
      </c>
      <c r="AU351" s="8">
        <f>+AU114</f>
        <v>26430</v>
      </c>
      <c r="AV351" s="8">
        <f>+AV114</f>
        <v>26487</v>
      </c>
      <c r="AW351" s="8">
        <f>+AW114</f>
        <v>30444</v>
      </c>
      <c r="AY351" s="8">
        <f>+AZ351/(1+AZ352)</f>
        <v>25987.606424911311</v>
      </c>
      <c r="AZ351" s="8">
        <f t="shared" ref="AZ351:BE351" si="412">+AZ114</f>
        <v>29870</v>
      </c>
      <c r="BA351" s="8">
        <f t="shared" si="412"/>
        <v>35865</v>
      </c>
      <c r="BB351" s="8">
        <f t="shared" si="412"/>
        <v>41160</v>
      </c>
      <c r="BC351" s="8">
        <f t="shared" si="412"/>
        <v>46398</v>
      </c>
      <c r="BD351" s="8">
        <f t="shared" si="412"/>
        <v>53915</v>
      </c>
      <c r="BE351" s="8">
        <f t="shared" si="412"/>
        <v>63364</v>
      </c>
      <c r="BF351" s="8"/>
    </row>
    <row r="352" spans="2:58" s="3" customFormat="1">
      <c r="B352" s="13" t="s">
        <v>113</v>
      </c>
      <c r="L352" s="14">
        <f>+IFERROR(L351/H351-1,"n/a ")</f>
        <v>0.27998756991920448</v>
      </c>
      <c r="M352" s="14">
        <f t="shared" ref="M352:AF352" si="413">+IFERROR(M351/I351-1,"n/a ")</f>
        <v>0.24710962529600233</v>
      </c>
      <c r="N352" s="14">
        <f t="shared" si="413"/>
        <v>0.1685480731802258</v>
      </c>
      <c r="O352" s="14">
        <f t="shared" si="413"/>
        <v>0.13102480112306969</v>
      </c>
      <c r="P352" s="14">
        <f t="shared" si="413"/>
        <v>0.18608885651857254</v>
      </c>
      <c r="Q352" s="14">
        <f t="shared" si="413"/>
        <v>0.12811348151457613</v>
      </c>
      <c r="R352" s="14">
        <f t="shared" si="413"/>
        <v>0.13724183877415053</v>
      </c>
      <c r="S352" s="14">
        <f t="shared" si="413"/>
        <v>0.14263549855192381</v>
      </c>
      <c r="T352" s="14">
        <f t="shared" si="413"/>
        <v>0.13366083307747423</v>
      </c>
      <c r="U352" s="14">
        <f t="shared" si="413"/>
        <v>0.17089108910891082</v>
      </c>
      <c r="V352" s="14">
        <f t="shared" si="413"/>
        <v>0.14655340753759027</v>
      </c>
      <c r="W352" s="14">
        <f t="shared" si="413"/>
        <v>6.3818231193989217E-2</v>
      </c>
      <c r="X352" s="14">
        <f t="shared" si="413"/>
        <v>0.11212422135957389</v>
      </c>
      <c r="Y352" s="14">
        <f t="shared" si="413"/>
        <v>0.12912227295788936</v>
      </c>
      <c r="Z352" s="14">
        <f t="shared" si="413"/>
        <v>0.15404922081239891</v>
      </c>
      <c r="AA352" s="14">
        <f t="shared" si="413"/>
        <v>0.25008509189925121</v>
      </c>
      <c r="AB352" s="14">
        <f t="shared" si="413"/>
        <v>0.22079714262521311</v>
      </c>
      <c r="AC352" s="14">
        <f t="shared" si="413"/>
        <v>0.19343967647719618</v>
      </c>
      <c r="AD352" s="14">
        <f t="shared" si="413"/>
        <v>0.16506788665879579</v>
      </c>
      <c r="AE352" s="14">
        <f t="shared" si="413"/>
        <v>0.12994350282485878</v>
      </c>
      <c r="AF352" s="14">
        <f t="shared" si="413"/>
        <v>9.4820134317441296E-2</v>
      </c>
      <c r="AG352" s="14"/>
      <c r="AH352" s="14"/>
      <c r="AI352" s="14"/>
      <c r="AU352" s="14">
        <f t="shared" ref="AU352:AW352" si="414">+IFERROR(AU351/AT351-1,"n/a ")</f>
        <v>-2.0240213523131656E-2</v>
      </c>
      <c r="AV352" s="14">
        <f t="shared" si="414"/>
        <v>2.1566401816117686E-3</v>
      </c>
      <c r="AW352" s="14">
        <f t="shared" si="414"/>
        <v>0.14939404236040321</v>
      </c>
      <c r="AY352" s="1010">
        <f t="shared" ref="AY352" si="415">+AV352</f>
        <v>2.1566401816117686E-3</v>
      </c>
      <c r="AZ352" s="1010">
        <f t="shared" ref="AZ352" si="416">+AW352</f>
        <v>0.14939404236040321</v>
      </c>
      <c r="BA352" s="14">
        <f>+IFERROR(BA351/AZ351-1,"n/a ")</f>
        <v>0.20070304653498483</v>
      </c>
      <c r="BB352" s="14">
        <f>+IFERROR(BB351/BA351-1,"n/a ")</f>
        <v>0.14763697197825176</v>
      </c>
      <c r="BC352" s="14">
        <f t="shared" ref="BC352:BE352" si="417">+IFERROR(BC351/BB351-1,"n/a ")</f>
        <v>0.12725947521865888</v>
      </c>
      <c r="BD352" s="14">
        <f t="shared" si="417"/>
        <v>0.16201129359024091</v>
      </c>
      <c r="BE352" s="14">
        <f t="shared" si="417"/>
        <v>0.17525734953167027</v>
      </c>
      <c r="BF352" s="14"/>
    </row>
    <row r="353" spans="2:61" s="3" customFormat="1">
      <c r="B353" s="13" t="s">
        <v>270</v>
      </c>
      <c r="L353" s="22">
        <v>0.28000000000000003</v>
      </c>
      <c r="M353" s="22">
        <v>0.24</v>
      </c>
      <c r="N353" s="22">
        <v>0.14000000000000001</v>
      </c>
      <c r="O353" s="22">
        <v>0.1</v>
      </c>
      <c r="P353" s="22">
        <v>0.18</v>
      </c>
      <c r="Q353" s="22">
        <v>0.13</v>
      </c>
      <c r="R353" s="22">
        <v>0.15</v>
      </c>
      <c r="S353" s="22">
        <v>0.17</v>
      </c>
      <c r="T353" s="22">
        <v>0.15</v>
      </c>
      <c r="U353" s="22">
        <v>0.19</v>
      </c>
      <c r="V353" s="22">
        <v>0.16</v>
      </c>
      <c r="W353" s="22">
        <v>0.08</v>
      </c>
      <c r="X353" s="22">
        <v>0.11</v>
      </c>
      <c r="Y353" s="22">
        <v>0.11</v>
      </c>
      <c r="Z353" s="22">
        <v>0.12</v>
      </c>
      <c r="AA353" s="22">
        <v>0.20499999999999999</v>
      </c>
      <c r="AB353" s="22">
        <v>0.2</v>
      </c>
      <c r="AC353" s="22">
        <v>0.19</v>
      </c>
      <c r="AD353" s="22">
        <v>0.19</v>
      </c>
      <c r="AE353" s="22">
        <v>0.17</v>
      </c>
      <c r="AF353" s="22">
        <v>0.15</v>
      </c>
      <c r="AG353" s="22"/>
      <c r="AH353" s="22"/>
      <c r="AI353" s="22"/>
      <c r="AY353" s="1010"/>
      <c r="AZ353" s="1010"/>
      <c r="BA353" s="23">
        <f>+SUMPRODUCT(L353:O353,H351:K351)/AZ351</f>
        <v>0.18275259457649817</v>
      </c>
      <c r="BB353" s="23">
        <f>+SUMPRODUCT(P353:S353,L351:O351)/BA351</f>
        <v>0.15728955806496586</v>
      </c>
      <c r="BC353" s="23">
        <f>+SUMPRODUCT(T353:W353,P351:S351)/BB351</f>
        <v>0.14351627793974733</v>
      </c>
      <c r="BD353" s="23">
        <f>+SUMPRODUCT(X353:AA353,T351:W351)/BC351</f>
        <v>0.1365931721194879</v>
      </c>
      <c r="BE353" s="23">
        <f>+SUMPRODUCT(AB353:AE353,X351:AA351)/BD351</f>
        <v>0.1868352035611611</v>
      </c>
      <c r="BF353" s="23"/>
    </row>
    <row r="354" spans="2:61" s="3" customFormat="1">
      <c r="B354" s="921"/>
      <c r="L354" s="14"/>
      <c r="M354" s="14"/>
      <c r="N354" s="904"/>
      <c r="O354" s="14"/>
      <c r="P354" s="14"/>
      <c r="Q354" s="14"/>
      <c r="R354" s="14"/>
      <c r="S354" s="14"/>
      <c r="T354" s="14"/>
      <c r="U354" s="14"/>
      <c r="V354" s="14"/>
      <c r="W354" s="14"/>
      <c r="X354" s="14"/>
      <c r="Y354" s="14"/>
      <c r="Z354" s="14"/>
      <c r="AA354" s="14"/>
      <c r="AB354" s="14"/>
      <c r="AC354" s="14"/>
      <c r="AD354" s="14"/>
      <c r="AE354" s="14"/>
      <c r="AF354" s="14"/>
      <c r="AG354" s="14"/>
      <c r="AH354" s="14"/>
      <c r="AI354" s="14"/>
      <c r="BA354" s="14"/>
      <c r="BB354" s="14"/>
      <c r="BC354" s="14"/>
      <c r="BD354" s="14"/>
      <c r="BE354" s="14"/>
      <c r="BF354" s="14"/>
    </row>
    <row r="355" spans="2:61" s="3" customFormat="1">
      <c r="B355" s="922" t="s">
        <v>126</v>
      </c>
      <c r="L355" s="14"/>
      <c r="M355" s="14"/>
      <c r="N355" s="904"/>
      <c r="O355" s="14"/>
      <c r="P355" s="14"/>
      <c r="Q355" s="14"/>
      <c r="R355" s="14"/>
      <c r="S355" s="14"/>
      <c r="T355" s="14"/>
      <c r="U355" s="14"/>
      <c r="V355" s="14"/>
      <c r="W355" s="14"/>
      <c r="X355" s="14"/>
      <c r="Y355" s="14"/>
      <c r="Z355" s="14"/>
      <c r="AA355" s="14"/>
      <c r="AB355" s="14"/>
      <c r="AC355" s="14"/>
      <c r="AD355" s="14"/>
      <c r="AE355" s="14"/>
      <c r="AF355" s="14"/>
      <c r="AG355" s="14"/>
      <c r="AH355" s="14"/>
      <c r="AI355" s="14"/>
      <c r="BA355" s="14"/>
      <c r="BB355" s="14"/>
      <c r="BC355" s="14"/>
      <c r="BD355" s="14"/>
      <c r="BE355" s="14"/>
      <c r="BF355" s="14"/>
    </row>
    <row r="356" spans="2:61" s="3" customFormat="1">
      <c r="B356" s="12" t="s">
        <v>364</v>
      </c>
      <c r="H356" s="8">
        <f t="shared" ref="H356:AF356" si="418">+H351-H412</f>
        <v>6436</v>
      </c>
      <c r="I356" s="8">
        <f t="shared" si="418"/>
        <v>6951</v>
      </c>
      <c r="J356" s="8">
        <f t="shared" si="418"/>
        <v>6731</v>
      </c>
      <c r="K356" s="8">
        <f t="shared" si="418"/>
        <v>7481</v>
      </c>
      <c r="L356" s="8">
        <f t="shared" si="418"/>
        <v>7090</v>
      </c>
      <c r="M356" s="8">
        <f t="shared" si="418"/>
        <v>7641</v>
      </c>
      <c r="N356" s="8">
        <f t="shared" si="418"/>
        <v>7671</v>
      </c>
      <c r="O356" s="8">
        <f t="shared" si="418"/>
        <v>8204</v>
      </c>
      <c r="P356" s="8">
        <f t="shared" si="418"/>
        <v>8241</v>
      </c>
      <c r="Q356" s="8">
        <f t="shared" si="418"/>
        <v>8407</v>
      </c>
      <c r="R356" s="8">
        <f t="shared" si="418"/>
        <v>8546</v>
      </c>
      <c r="S356" s="8">
        <f t="shared" si="418"/>
        <v>9212</v>
      </c>
      <c r="T356" s="8">
        <f t="shared" si="418"/>
        <v>9168</v>
      </c>
      <c r="U356" s="8">
        <f t="shared" si="418"/>
        <v>9724</v>
      </c>
      <c r="V356" s="8">
        <f t="shared" si="418"/>
        <v>9693</v>
      </c>
      <c r="W356" s="8">
        <f t="shared" si="418"/>
        <v>9733.5</v>
      </c>
      <c r="X356" s="8">
        <f t="shared" si="418"/>
        <v>10104.56</v>
      </c>
      <c r="Y356" s="8">
        <f t="shared" si="418"/>
        <v>10767.54</v>
      </c>
      <c r="Z356" s="8">
        <f t="shared" si="418"/>
        <v>10989.5</v>
      </c>
      <c r="AA356" s="8">
        <f t="shared" si="418"/>
        <v>11743.99</v>
      </c>
      <c r="AB356" s="8">
        <f t="shared" si="418"/>
        <v>11894.495200000001</v>
      </c>
      <c r="AC356" s="8">
        <f t="shared" si="418"/>
        <v>12393.9198</v>
      </c>
      <c r="AD356" s="8">
        <f t="shared" si="418"/>
        <v>12355.25</v>
      </c>
      <c r="AE356" s="8">
        <f t="shared" si="418"/>
        <v>12886.767400000001</v>
      </c>
      <c r="AF356" s="8">
        <f t="shared" si="418"/>
        <v>12785.929384000001</v>
      </c>
      <c r="AG356" s="8"/>
      <c r="AH356" s="8"/>
      <c r="AI356" s="8"/>
      <c r="AV356" s="8"/>
      <c r="AW356" s="8"/>
      <c r="AY356" s="8"/>
      <c r="AZ356" s="8">
        <f>+AZ351-AZ412</f>
        <v>27599</v>
      </c>
      <c r="BA356" s="8">
        <f>+BA351-BA412</f>
        <v>30606</v>
      </c>
      <c r="BB356" s="8">
        <f>+BB351-BB412</f>
        <v>34406</v>
      </c>
      <c r="BC356" s="8">
        <f t="shared" ref="BC356:BE356" si="419">+BC351-BC412</f>
        <v>38318.5</v>
      </c>
      <c r="BD356" s="8">
        <f t="shared" si="419"/>
        <v>43605.59</v>
      </c>
      <c r="BE356" s="8">
        <f t="shared" si="419"/>
        <v>49530.432400000005</v>
      </c>
      <c r="BF356" s="8"/>
    </row>
    <row r="357" spans="2:61" s="3" customFormat="1">
      <c r="B357" s="15" t="s">
        <v>113</v>
      </c>
      <c r="L357" s="14">
        <f>+IFERROR(L356/H356-1,"n/a ")</f>
        <v>0.10161591050341823</v>
      </c>
      <c r="M357" s="14">
        <f t="shared" ref="M357:AF357" si="420">+IFERROR(M356/I356-1,"n/a ")</f>
        <v>9.9266292619766938E-2</v>
      </c>
      <c r="N357" s="14">
        <f t="shared" si="420"/>
        <v>0.13965235477640769</v>
      </c>
      <c r="O357" s="14">
        <f t="shared" si="420"/>
        <v>9.6644833578398703E-2</v>
      </c>
      <c r="P357" s="14">
        <f t="shared" si="420"/>
        <v>0.16234132581100136</v>
      </c>
      <c r="Q357" s="14">
        <f t="shared" si="420"/>
        <v>0.1002486585525455</v>
      </c>
      <c r="R357" s="14">
        <f t="shared" si="420"/>
        <v>0.11406596271672531</v>
      </c>
      <c r="S357" s="14">
        <f t="shared" si="420"/>
        <v>0.12286689419795227</v>
      </c>
      <c r="T357" s="14">
        <f t="shared" si="420"/>
        <v>0.11248634874408436</v>
      </c>
      <c r="U357" s="14">
        <f t="shared" si="420"/>
        <v>0.1566551683121209</v>
      </c>
      <c r="V357" s="14">
        <f t="shared" si="420"/>
        <v>0.13421483735080741</v>
      </c>
      <c r="W357" s="14">
        <f t="shared" si="420"/>
        <v>5.6610942249240015E-2</v>
      </c>
      <c r="X357" s="14">
        <f t="shared" si="420"/>
        <v>0.10215532286212903</v>
      </c>
      <c r="Y357" s="14">
        <f t="shared" si="420"/>
        <v>0.10731591937474305</v>
      </c>
      <c r="Z357" s="14">
        <f t="shared" si="420"/>
        <v>0.13375631899308771</v>
      </c>
      <c r="AA357" s="14">
        <f t="shared" si="420"/>
        <v>0.20655365490316946</v>
      </c>
      <c r="AB357" s="14">
        <f t="shared" si="420"/>
        <v>0.17714133025089684</v>
      </c>
      <c r="AC357" s="14">
        <f t="shared" si="420"/>
        <v>0.15104469544575627</v>
      </c>
      <c r="AD357" s="14">
        <f t="shared" si="420"/>
        <v>0.12427771964147594</v>
      </c>
      <c r="AE357" s="14">
        <f t="shared" si="420"/>
        <v>9.7307422775394059E-2</v>
      </c>
      <c r="AF357" s="14">
        <f t="shared" si="420"/>
        <v>7.4945104353818959E-2</v>
      </c>
      <c r="AG357" s="14"/>
      <c r="AH357" s="14"/>
      <c r="AI357" s="14"/>
      <c r="AZ357" s="14" t="str">
        <f>+IFERROR(AZ356/AY356-1,"n/a ")</f>
        <v xml:space="preserve">n/a </v>
      </c>
      <c r="BA357" s="14">
        <f>+IFERROR(BA356/AZ356-1,"n/a ")</f>
        <v>0.10895322294286025</v>
      </c>
      <c r="BB357" s="14">
        <f t="shared" ref="BB357:BE357" si="421">+IFERROR(BB356/BA356-1,"n/a ")</f>
        <v>0.12415866170032031</v>
      </c>
      <c r="BC357" s="14">
        <f t="shared" si="421"/>
        <v>0.11371563099459392</v>
      </c>
      <c r="BD357" s="14">
        <f t="shared" si="421"/>
        <v>0.13797747824158035</v>
      </c>
      <c r="BE357" s="14">
        <f t="shared" si="421"/>
        <v>0.13587346026048519</v>
      </c>
      <c r="BF357" s="14"/>
    </row>
    <row r="358" spans="2:61" s="3" customFormat="1">
      <c r="B358" s="15" t="s">
        <v>270</v>
      </c>
      <c r="L358" s="14">
        <f>+(H351*(1+L353)-L412)/H356-1</f>
        <v>0.10162834058421377</v>
      </c>
      <c r="M358" s="14">
        <f>+(I351*(1+M353)-M412)/I356-1</f>
        <v>9.1923464249748177E-2</v>
      </c>
      <c r="N358" s="14">
        <f t="shared" ref="N358:AF358" si="422">+(J351*(1+N353)-J412*(1+N414))/J356-1</f>
        <v>0.112449858861982</v>
      </c>
      <c r="O358" s="14">
        <f t="shared" si="422"/>
        <v>6.5769282181526778E-2</v>
      </c>
      <c r="P358" s="14">
        <f t="shared" si="422"/>
        <v>0.15571227080394912</v>
      </c>
      <c r="Q358" s="14">
        <f t="shared" si="422"/>
        <v>0.1008101033896085</v>
      </c>
      <c r="R358" s="14">
        <f t="shared" si="422"/>
        <v>0.12563551036370746</v>
      </c>
      <c r="S358" s="14">
        <f t="shared" si="422"/>
        <v>0.15037055095075558</v>
      </c>
      <c r="T358" s="14">
        <f t="shared" si="422"/>
        <v>0.12957772115034594</v>
      </c>
      <c r="U358" s="14">
        <f t="shared" si="422"/>
        <v>0.17590341382181518</v>
      </c>
      <c r="V358" s="14">
        <f t="shared" si="422"/>
        <v>0.14809267493564215</v>
      </c>
      <c r="W358" s="14">
        <f t="shared" si="422"/>
        <v>7.4024099001302579E-2</v>
      </c>
      <c r="X358" s="14">
        <f t="shared" si="422"/>
        <v>9.9588787085514996E-2</v>
      </c>
      <c r="Y358" s="14">
        <f t="shared" si="422"/>
        <v>8.6221719457013624E-2</v>
      </c>
      <c r="Z358" s="14">
        <f t="shared" si="422"/>
        <v>9.6735788713504745E-2</v>
      </c>
      <c r="AA358" s="14">
        <f t="shared" si="422"/>
        <v>0.16041403400626719</v>
      </c>
      <c r="AB358" s="14">
        <f t="shared" si="422"/>
        <v>0.15836101720411389</v>
      </c>
      <c r="AC358" s="14">
        <f t="shared" si="422"/>
        <v>0.14918025844343274</v>
      </c>
      <c r="AD358" s="14">
        <f t="shared" si="422"/>
        <v>0.15269166022112013</v>
      </c>
      <c r="AE358" s="14">
        <f t="shared" si="422"/>
        <v>0.13988747435922511</v>
      </c>
      <c r="AF358" s="14">
        <f t="shared" si="422"/>
        <v>0.13413801638256984</v>
      </c>
      <c r="AG358" s="14"/>
      <c r="AH358" s="14"/>
      <c r="AI358" s="14"/>
      <c r="AZ358" s="14" t="s">
        <v>1212</v>
      </c>
      <c r="BA358" s="14">
        <f>+SUMPRODUCT(L358:O358,H356:K356)/AZ356</f>
        <v>9.2103337077430431E-2</v>
      </c>
      <c r="BB358" s="14">
        <f>+SUMPRODUCT(P358:S358,L356:O356)/BA356</f>
        <v>0.13303535254525245</v>
      </c>
      <c r="BC358" s="14">
        <f>+SUMPRODUCT(T358:W358,P356:S356)/BB356</f>
        <v>0.13062198453758062</v>
      </c>
      <c r="BD358" s="23">
        <f>+SUMPRODUCT(X358:AA358,T356:W356)/BC356</f>
        <v>0.11092553205370788</v>
      </c>
      <c r="BE358" s="23">
        <f>+SUMPRODUCT(AB358:AE358,X356:AA356)/BD356</f>
        <v>0.14968986545073687</v>
      </c>
      <c r="BF358" s="14"/>
    </row>
    <row r="360" spans="2:61">
      <c r="B360" t="s">
        <v>1213</v>
      </c>
      <c r="H360" s="911"/>
      <c r="I360" s="911"/>
      <c r="J360" s="911"/>
      <c r="K360" s="911"/>
      <c r="L360" s="911">
        <v>0.25</v>
      </c>
      <c r="M360" s="911">
        <v>0.24</v>
      </c>
      <c r="N360" s="911">
        <v>0.18</v>
      </c>
      <c r="O360" s="911">
        <v>0.13</v>
      </c>
      <c r="P360" s="911">
        <v>0.18</v>
      </c>
      <c r="Q360" s="911">
        <v>0.11</v>
      </c>
      <c r="R360" s="911">
        <v>0.15</v>
      </c>
      <c r="S360" s="911">
        <v>0.16</v>
      </c>
      <c r="T360" s="911">
        <v>0.16</v>
      </c>
      <c r="U360" s="911">
        <v>0.21</v>
      </c>
      <c r="V360" s="911">
        <v>0.16</v>
      </c>
      <c r="W360" s="911">
        <v>0</v>
      </c>
      <c r="X360" s="911">
        <v>0.13</v>
      </c>
      <c r="Y360" s="911">
        <v>0.13</v>
      </c>
      <c r="Z360" s="911">
        <v>0.15</v>
      </c>
      <c r="AA360" s="911">
        <v>0.33</v>
      </c>
      <c r="AB360" s="911">
        <v>0.22</v>
      </c>
      <c r="AC360" s="911">
        <v>0.2</v>
      </c>
      <c r="AD360" s="911">
        <v>0.16</v>
      </c>
      <c r="AE360" s="911">
        <v>0.12</v>
      </c>
      <c r="AF360" s="911">
        <v>0.11</v>
      </c>
      <c r="AG360" s="911"/>
      <c r="AH360" s="911"/>
      <c r="AI360" s="911"/>
      <c r="AZ360" s="912"/>
      <c r="BA360" s="912">
        <f>+AVERAGE(L360:O360)</f>
        <v>0.19999999999999998</v>
      </c>
      <c r="BB360" s="912">
        <f>+AVERAGE(P360:S360)</f>
        <v>0.15</v>
      </c>
      <c r="BC360" s="912">
        <f>AVERAGE(T360:W360)</f>
        <v>0.13250000000000001</v>
      </c>
      <c r="BD360" s="912">
        <f>AVERAGE(X360:AA360)</f>
        <v>0.185</v>
      </c>
      <c r="BE360" s="912">
        <f>AVERAGE(AB360:AE360)</f>
        <v>0.17500000000000002</v>
      </c>
      <c r="BF360" s="912"/>
      <c r="BI360" s="912"/>
    </row>
    <row r="361" spans="2:61">
      <c r="B361" s="12" t="s">
        <v>270</v>
      </c>
      <c r="H361" s="911"/>
      <c r="I361" s="911"/>
      <c r="J361" s="911"/>
      <c r="K361" s="911"/>
      <c r="L361" s="911">
        <v>0.24</v>
      </c>
      <c r="M361" s="911">
        <v>0.23</v>
      </c>
      <c r="N361" s="911">
        <v>0.15</v>
      </c>
      <c r="O361" s="911">
        <v>0.1</v>
      </c>
      <c r="P361" s="911">
        <v>0.17</v>
      </c>
      <c r="Q361" s="911">
        <v>0.11</v>
      </c>
      <c r="R361" s="911">
        <v>0.17</v>
      </c>
      <c r="S361" s="911">
        <v>0.2</v>
      </c>
      <c r="T361" s="911">
        <v>0.19</v>
      </c>
      <c r="U361" s="911">
        <v>0.23</v>
      </c>
      <c r="V361" s="911">
        <v>0.18</v>
      </c>
      <c r="W361" s="911">
        <v>0.03</v>
      </c>
      <c r="X361" s="911">
        <v>0.12</v>
      </c>
      <c r="Y361" s="911">
        <v>0.11</v>
      </c>
      <c r="Z361" s="911">
        <v>0.12</v>
      </c>
      <c r="AA361" s="911">
        <v>0.27</v>
      </c>
      <c r="AB361" s="911">
        <v>0.2</v>
      </c>
      <c r="AC361" s="911">
        <v>0.19</v>
      </c>
      <c r="AD361" s="911">
        <v>0.19</v>
      </c>
      <c r="AE361" s="911">
        <v>0.17</v>
      </c>
      <c r="AF361" s="911">
        <v>0.18</v>
      </c>
      <c r="AG361" s="911"/>
      <c r="AH361" s="911"/>
      <c r="AI361" s="911"/>
      <c r="AZ361" s="912"/>
      <c r="BA361" s="912">
        <f>+AVERAGE(L361:O361)</f>
        <v>0.18</v>
      </c>
      <c r="BB361" s="912">
        <f>+AVERAGE(P361:S361)</f>
        <v>0.16250000000000003</v>
      </c>
      <c r="BC361" s="912">
        <f>AVERAGE(T361:W361)</f>
        <v>0.15750000000000003</v>
      </c>
      <c r="BD361" s="912">
        <f>AVERAGE(X361:AA361)</f>
        <v>0.155</v>
      </c>
      <c r="BE361" s="912">
        <f>AVERAGE(AB361:AE361)</f>
        <v>0.18750000000000003</v>
      </c>
      <c r="BF361" s="912"/>
      <c r="BI361" s="912"/>
    </row>
    <row r="362" spans="2:61">
      <c r="B362" s="921"/>
      <c r="M362" t="s">
        <v>366</v>
      </c>
    </row>
    <row r="363" spans="2:61">
      <c r="B363" t="s">
        <v>351</v>
      </c>
      <c r="H363" s="8">
        <f t="shared" ref="H363:AF363" si="423">+H142</f>
        <v>2905</v>
      </c>
      <c r="I363" s="8">
        <f t="shared" si="423"/>
        <v>3053</v>
      </c>
      <c r="J363" s="8">
        <f t="shared" si="423"/>
        <v>2540</v>
      </c>
      <c r="K363" s="8">
        <f t="shared" si="423"/>
        <v>2891</v>
      </c>
      <c r="L363" s="8">
        <f t="shared" si="423"/>
        <v>3006</v>
      </c>
      <c r="M363" s="8">
        <f t="shared" si="423"/>
        <v>3337</v>
      </c>
      <c r="N363" s="8">
        <f t="shared" si="423"/>
        <v>3115</v>
      </c>
      <c r="O363" s="8">
        <f t="shared" si="423"/>
        <v>3466</v>
      </c>
      <c r="P363" s="8">
        <f t="shared" si="423"/>
        <v>3881</v>
      </c>
      <c r="Q363" s="8">
        <f t="shared" si="423"/>
        <v>4015</v>
      </c>
      <c r="R363" s="8">
        <f t="shared" si="423"/>
        <v>3979</v>
      </c>
      <c r="S363" s="8">
        <f t="shared" si="423"/>
        <v>4344</v>
      </c>
      <c r="T363" s="8">
        <f t="shared" si="423"/>
        <v>4782</v>
      </c>
      <c r="U363" s="8">
        <f t="shared" si="423"/>
        <v>5182</v>
      </c>
      <c r="V363" s="8">
        <f t="shared" si="423"/>
        <v>4788</v>
      </c>
      <c r="W363" s="8">
        <f t="shared" si="423"/>
        <v>3972</v>
      </c>
      <c r="X363" s="8">
        <f t="shared" si="423"/>
        <v>5706</v>
      </c>
      <c r="Y363" s="8">
        <f t="shared" si="423"/>
        <v>6181</v>
      </c>
      <c r="Z363" s="8">
        <f t="shared" si="423"/>
        <v>6029</v>
      </c>
      <c r="AA363" s="8">
        <f t="shared" si="423"/>
        <v>6435</v>
      </c>
      <c r="AB363" s="8">
        <f t="shared" si="423"/>
        <v>7581</v>
      </c>
      <c r="AC363" s="8">
        <f t="shared" si="423"/>
        <v>7688</v>
      </c>
      <c r="AD363" s="8">
        <f t="shared" si="423"/>
        <v>7184</v>
      </c>
      <c r="AE363" s="8">
        <f t="shared" si="423"/>
        <v>7234</v>
      </c>
      <c r="AF363" s="8">
        <f t="shared" si="423"/>
        <v>8323</v>
      </c>
      <c r="AG363" s="8"/>
      <c r="AH363" s="8"/>
      <c r="AI363" s="8"/>
      <c r="AT363" s="8">
        <f>+AT142</f>
        <v>14173</v>
      </c>
      <c r="AU363" s="8">
        <f>+AU142</f>
        <v>13274</v>
      </c>
      <c r="AV363" s="8">
        <f>+AV142</f>
        <v>12418</v>
      </c>
      <c r="AW363" s="8">
        <f>+AW142</f>
        <v>11913</v>
      </c>
      <c r="AY363" s="8">
        <f>+AZ363/(1+AZ364)</f>
        <v>11871.787291194494</v>
      </c>
      <c r="AZ363" s="8">
        <f t="shared" ref="AZ363:BE363" si="424">+AZ142</f>
        <v>11389</v>
      </c>
      <c r="BA363" s="8">
        <f t="shared" si="424"/>
        <v>12924</v>
      </c>
      <c r="BB363" s="8">
        <f t="shared" si="424"/>
        <v>16219</v>
      </c>
      <c r="BC363" s="8">
        <f t="shared" si="424"/>
        <v>18724</v>
      </c>
      <c r="BD363" s="8">
        <f t="shared" si="424"/>
        <v>24351</v>
      </c>
      <c r="BE363" s="8">
        <f t="shared" si="424"/>
        <v>29687</v>
      </c>
      <c r="BF363" s="8"/>
    </row>
    <row r="364" spans="2:61">
      <c r="B364" s="13" t="s">
        <v>113</v>
      </c>
      <c r="L364" s="14">
        <f>+IFERROR(L363/H363-1,"n/a ")</f>
        <v>3.4767641996557686E-2</v>
      </c>
      <c r="M364" s="14">
        <f t="shared" ref="M364:AF364" si="425">+IFERROR(M363/I363-1,"n/a ")</f>
        <v>9.3023255813953432E-2</v>
      </c>
      <c r="N364" s="14">
        <f t="shared" si="425"/>
        <v>0.22637795275590555</v>
      </c>
      <c r="O364" s="14">
        <f t="shared" si="425"/>
        <v>0.19889311656866138</v>
      </c>
      <c r="P364" s="14">
        <f t="shared" si="425"/>
        <v>0.29108449767132405</v>
      </c>
      <c r="Q364" s="14">
        <f t="shared" si="425"/>
        <v>0.20317650584357216</v>
      </c>
      <c r="R364" s="14">
        <f t="shared" si="425"/>
        <v>0.27736757624398067</v>
      </c>
      <c r="S364" s="14">
        <f t="shared" si="425"/>
        <v>0.25331794575879973</v>
      </c>
      <c r="T364" s="14">
        <f t="shared" si="425"/>
        <v>0.23215666065447049</v>
      </c>
      <c r="U364" s="14">
        <f t="shared" si="425"/>
        <v>0.29066002490660026</v>
      </c>
      <c r="V364" s="14">
        <f t="shared" si="425"/>
        <v>0.20331741643629053</v>
      </c>
      <c r="W364" s="14">
        <f t="shared" si="425"/>
        <v>-8.5635359116022047E-2</v>
      </c>
      <c r="X364" s="14">
        <f t="shared" si="425"/>
        <v>0.193224592220828</v>
      </c>
      <c r="Y364" s="14">
        <f t="shared" si="425"/>
        <v>0.1927827093786183</v>
      </c>
      <c r="Z364" s="14">
        <f t="shared" si="425"/>
        <v>0.25918964076858808</v>
      </c>
      <c r="AA364" s="14">
        <f t="shared" si="425"/>
        <v>0.6200906344410877</v>
      </c>
      <c r="AB364" s="14">
        <f t="shared" si="425"/>
        <v>0.32860147213459512</v>
      </c>
      <c r="AC364" s="14">
        <f t="shared" si="425"/>
        <v>0.24381168095777372</v>
      </c>
      <c r="AD364" s="14">
        <f t="shared" si="425"/>
        <v>0.19157405871620492</v>
      </c>
      <c r="AE364" s="14">
        <f t="shared" si="425"/>
        <v>0.12416472416472413</v>
      </c>
      <c r="AF364" s="14">
        <f t="shared" si="425"/>
        <v>9.787626962142193E-2</v>
      </c>
      <c r="AG364" s="14"/>
      <c r="AH364" s="14"/>
      <c r="AI364" s="14"/>
      <c r="AU364" s="14">
        <f t="shared" ref="AU364:AW364" si="426">+IFERROR(AU363/AT363-1,"n/a ")</f>
        <v>-6.343046637973615E-2</v>
      </c>
      <c r="AV364" s="14">
        <f t="shared" si="426"/>
        <v>-6.4486967003164031E-2</v>
      </c>
      <c r="AW364" s="14">
        <f t="shared" si="426"/>
        <v>-4.0666774037687259E-2</v>
      </c>
      <c r="AY364" s="1010">
        <f t="shared" ref="AY364" si="427">+AV364</f>
        <v>-6.4486967003164031E-2</v>
      </c>
      <c r="AZ364" s="1010">
        <f t="shared" ref="AZ364" si="428">+AW364</f>
        <v>-4.0666774037687259E-2</v>
      </c>
      <c r="BA364" s="14">
        <f>+IFERROR(BA363/AZ363-1,"n/a ")</f>
        <v>0.13477917288611829</v>
      </c>
      <c r="BB364" s="14">
        <f>+IFERROR(BB363/BA363-1,"n/a ")</f>
        <v>0.25495202723614985</v>
      </c>
      <c r="BC364" s="14">
        <f>+IFERROR(BC363/BB363-1,"n/a ")</f>
        <v>0.15444848634317765</v>
      </c>
      <c r="BD364" s="14">
        <f t="shared" ref="BD364:BE364" si="429">+IFERROR(BD363/BC363-1,"n/a ")</f>
        <v>0.30052339243751325</v>
      </c>
      <c r="BE364" s="14">
        <f t="shared" si="429"/>
        <v>0.21912857788181173</v>
      </c>
      <c r="BF364" s="14"/>
    </row>
    <row r="365" spans="2:61">
      <c r="B365" s="13" t="s">
        <v>270</v>
      </c>
      <c r="L365" s="22">
        <v>0.04</v>
      </c>
      <c r="M365" s="22">
        <v>0.1</v>
      </c>
      <c r="N365" s="22">
        <v>0.19</v>
      </c>
      <c r="O365" s="22">
        <v>0.13</v>
      </c>
      <c r="P365" s="22">
        <v>0.27</v>
      </c>
      <c r="Q365" s="22">
        <v>0.19</v>
      </c>
      <c r="R365" s="22">
        <v>0.3</v>
      </c>
      <c r="S365" s="22">
        <v>0.31</v>
      </c>
      <c r="T365" s="22">
        <v>0.27</v>
      </c>
      <c r="U365" s="22">
        <v>0.33</v>
      </c>
      <c r="V365" s="22">
        <v>0.23</v>
      </c>
      <c r="W365" s="22">
        <v>-0.05</v>
      </c>
      <c r="X365" s="22">
        <v>0.19</v>
      </c>
      <c r="Y365" s="22">
        <v>0.17</v>
      </c>
      <c r="Z365" s="22">
        <v>0.2</v>
      </c>
      <c r="AA365" s="22">
        <v>0.53</v>
      </c>
      <c r="AB365" s="22">
        <v>0.28999999999999998</v>
      </c>
      <c r="AC365" s="22">
        <v>0.24</v>
      </c>
      <c r="AD365" s="22">
        <v>0.23</v>
      </c>
      <c r="AE365" s="22">
        <v>0.19</v>
      </c>
      <c r="AF365" s="22">
        <v>0.19</v>
      </c>
      <c r="AG365" s="22"/>
      <c r="AH365" s="22"/>
      <c r="AI365" s="22"/>
      <c r="AY365" s="14" t="s">
        <v>1212</v>
      </c>
      <c r="AZ365" s="14" t="s">
        <v>1212</v>
      </c>
      <c r="BA365" s="23">
        <f>+SUMPRODUCT(L365:O365,H363:K363)/AZ363</f>
        <v>0.11238300114145229</v>
      </c>
      <c r="BB365" s="23">
        <f>+SUMPRODUCT(P365:S365,L363:O363)/BA363</f>
        <v>0.26730191891055399</v>
      </c>
      <c r="BC365" s="23">
        <f>+SUMPRODUCT(T365:W365,P363:S363)/BB363</f>
        <v>0.18933288118872929</v>
      </c>
      <c r="BD365" s="23">
        <f>+SUMPRODUCT(X365:AA365,T363:W363)/BC363</f>
        <v>0.25914761803033542</v>
      </c>
      <c r="BE365" s="23">
        <f>+SUMPRODUCT(AB365:AE365,X363:AA363)/BD363</f>
        <v>0.23602726787400929</v>
      </c>
      <c r="BF365" s="23"/>
    </row>
    <row r="366" spans="2:61">
      <c r="B366" s="13" t="s">
        <v>115</v>
      </c>
      <c r="H366" s="14">
        <f t="shared" ref="H366:AF366" si="430">+IFERROR(H363/H351,"n/a ")</f>
        <v>0.45136730888750776</v>
      </c>
      <c r="I366" s="14">
        <f t="shared" si="430"/>
        <v>0.4252681431954311</v>
      </c>
      <c r="J366" s="14">
        <f t="shared" si="430"/>
        <v>0.32957052030621514</v>
      </c>
      <c r="K366" s="14">
        <f t="shared" si="430"/>
        <v>0.33820776789892371</v>
      </c>
      <c r="L366" s="14">
        <f t="shared" si="430"/>
        <v>0.36489439184268024</v>
      </c>
      <c r="M366" s="14">
        <f t="shared" si="430"/>
        <v>0.37272422651625153</v>
      </c>
      <c r="N366" s="14">
        <f t="shared" si="430"/>
        <v>0.34588052409504777</v>
      </c>
      <c r="O366" s="14">
        <f t="shared" si="430"/>
        <v>0.35850227554820024</v>
      </c>
      <c r="P366" s="14">
        <f t="shared" si="430"/>
        <v>0.3971957834407942</v>
      </c>
      <c r="Q366" s="14">
        <f t="shared" si="430"/>
        <v>0.39752475247524754</v>
      </c>
      <c r="R366" s="14">
        <f t="shared" si="430"/>
        <v>0.38849834016793594</v>
      </c>
      <c r="S366" s="14">
        <f t="shared" si="430"/>
        <v>0.3932289309314746</v>
      </c>
      <c r="T366" s="14">
        <f t="shared" si="430"/>
        <v>0.43170533537961542</v>
      </c>
      <c r="U366" s="14">
        <f t="shared" si="430"/>
        <v>0.43818704549298154</v>
      </c>
      <c r="V366" s="14">
        <f t="shared" si="430"/>
        <v>0.40773226603082685</v>
      </c>
      <c r="W366" s="14">
        <f t="shared" si="430"/>
        <v>0.33798502382573181</v>
      </c>
      <c r="X366" s="14">
        <f t="shared" si="430"/>
        <v>0.46318694699245067</v>
      </c>
      <c r="Y366" s="14">
        <f t="shared" si="430"/>
        <v>0.46289223395491652</v>
      </c>
      <c r="Z366" s="14">
        <f t="shared" si="430"/>
        <v>0.44487898465171194</v>
      </c>
      <c r="AA366" s="14">
        <f t="shared" si="430"/>
        <v>0.43802327955891363</v>
      </c>
      <c r="AB366" s="14">
        <f t="shared" si="430"/>
        <v>0.50408936764412526</v>
      </c>
      <c r="AC366" s="14">
        <f t="shared" si="430"/>
        <v>0.48242971887550201</v>
      </c>
      <c r="AD366" s="14">
        <f t="shared" si="430"/>
        <v>0.45500031667616697</v>
      </c>
      <c r="AE366" s="14">
        <f t="shared" si="430"/>
        <v>0.43578313253012047</v>
      </c>
      <c r="AF366" s="14">
        <f t="shared" si="430"/>
        <v>0.50549650774369881</v>
      </c>
      <c r="AG366" s="14"/>
      <c r="AH366" s="14"/>
      <c r="AI366" s="14"/>
      <c r="AT366" s="14">
        <f>+IFERROR(AT363/AT351,"n/a ")</f>
        <v>0.52539294187425856</v>
      </c>
      <c r="AU366" s="14">
        <f>+IFERROR(AU363/AU351,"n/a ")</f>
        <v>0.50223231176693151</v>
      </c>
      <c r="AV366" s="14">
        <f>+IFERROR(AV363/AV351,"n/a ")</f>
        <v>0.46883376750858913</v>
      </c>
      <c r="AW366" s="14">
        <f>+IFERROR(AW363/AW351,"n/a ")</f>
        <v>0.39130863224280649</v>
      </c>
      <c r="AY366" s="14">
        <f>+IFERROR(AY363/AY351,"n/a ")</f>
        <v>0.45682496098657188</v>
      </c>
      <c r="AZ366" s="14">
        <f>+IFERROR(AZ363/AZ351,"n/a ")</f>
        <v>0.38128557080682962</v>
      </c>
      <c r="BA366" s="14">
        <f>+IFERROR(BA363/BA351,"n/a ")</f>
        <v>0.3603513174404015</v>
      </c>
      <c r="BB366" s="14">
        <f>+IFERROR(BB363/BB351,"n/a ")</f>
        <v>0.39404761904761904</v>
      </c>
      <c r="BC366" s="14">
        <f>+IFERROR(BC363/BC351,"n/a ")</f>
        <v>0.40355187723608776</v>
      </c>
      <c r="BD366" s="14">
        <f t="shared" ref="BD366:BE366" si="431">+IFERROR(BD363/BD351,"n/a ")</f>
        <v>0.45165538347398682</v>
      </c>
      <c r="BE366" s="14">
        <f t="shared" si="431"/>
        <v>0.46851524524966859</v>
      </c>
      <c r="BF366" s="14"/>
    </row>
    <row r="367" spans="2:61">
      <c r="B367" s="921"/>
    </row>
    <row r="368" spans="2:61">
      <c r="B368" s="24" t="s">
        <v>126</v>
      </c>
    </row>
    <row r="369" spans="2:58">
      <c r="B369" s="12" t="s">
        <v>368</v>
      </c>
      <c r="H369" s="8">
        <f>+H363-H430</f>
        <v>2905</v>
      </c>
      <c r="I369" s="8">
        <f t="shared" ref="I369:O369" si="432">+I363-I430</f>
        <v>3249</v>
      </c>
      <c r="J369" s="8">
        <f t="shared" si="432"/>
        <v>2915</v>
      </c>
      <c r="K369" s="8">
        <f t="shared" si="432"/>
        <v>3244</v>
      </c>
      <c r="L369" s="8">
        <f t="shared" si="432"/>
        <v>3300</v>
      </c>
      <c r="M369" s="8">
        <f t="shared" si="432"/>
        <v>3602</v>
      </c>
      <c r="N369" s="8">
        <f t="shared" si="432"/>
        <v>3361</v>
      </c>
      <c r="O369" s="8">
        <f t="shared" si="432"/>
        <v>3648</v>
      </c>
      <c r="P369" s="925"/>
      <c r="Q369" s="925"/>
      <c r="R369" s="925"/>
      <c r="S369" s="925"/>
      <c r="T369" s="925"/>
      <c r="U369" s="925"/>
      <c r="V369" s="925"/>
      <c r="W369" s="925"/>
      <c r="X369" s="925"/>
      <c r="Y369" s="925"/>
      <c r="Z369" s="925"/>
      <c r="AA369" s="925"/>
      <c r="AB369" s="925"/>
      <c r="AC369" s="925"/>
      <c r="AD369" s="925"/>
      <c r="AE369" s="925"/>
      <c r="AF369" s="925"/>
      <c r="AG369" s="8"/>
      <c r="AH369" s="8"/>
      <c r="AI369" s="8"/>
      <c r="AZ369" s="8">
        <f t="shared" ref="AZ369:BA369" si="433">+AZ363-AZ430</f>
        <v>12313</v>
      </c>
      <c r="BA369" s="8">
        <f t="shared" si="433"/>
        <v>13911</v>
      </c>
      <c r="BB369" s="926"/>
      <c r="BC369" s="926"/>
      <c r="BD369" s="926"/>
      <c r="BE369" s="926"/>
    </row>
    <row r="370" spans="2:58" ht="11.45">
      <c r="B370" s="15" t="s">
        <v>113</v>
      </c>
      <c r="L370" s="14">
        <f>+IFERROR(L369/H369-1,"n/a ")</f>
        <v>0.13597246127366613</v>
      </c>
      <c r="M370" s="14">
        <f t="shared" ref="M370:O370" si="434">+IFERROR(M369/I369-1,"n/a ")</f>
        <v>0.10864881502000623</v>
      </c>
      <c r="N370" s="14">
        <f t="shared" si="434"/>
        <v>0.15300171526586626</v>
      </c>
      <c r="O370" s="14">
        <f t="shared" si="434"/>
        <v>0.12453760789149193</v>
      </c>
      <c r="P370" s="927"/>
      <c r="Q370" s="928"/>
      <c r="R370" s="928" t="s">
        <v>369</v>
      </c>
      <c r="S370" s="927"/>
      <c r="T370" s="927"/>
      <c r="U370" s="927"/>
      <c r="V370" s="927"/>
      <c r="W370" s="927"/>
      <c r="X370" s="927"/>
      <c r="Y370" s="927"/>
      <c r="Z370" s="927"/>
      <c r="AA370" s="927"/>
      <c r="AB370" s="927"/>
      <c r="AC370" s="927"/>
      <c r="AD370" s="927"/>
      <c r="AE370" s="927"/>
      <c r="AF370" s="927"/>
      <c r="AG370" s="14"/>
      <c r="AH370" s="14"/>
      <c r="AI370" s="14"/>
      <c r="BA370" s="14">
        <f>+IFERROR(BA369/AZ369-1,"n/a ")</f>
        <v>0.12978153171444817</v>
      </c>
      <c r="BB370" s="926"/>
      <c r="BC370" s="926"/>
      <c r="BD370" s="926"/>
      <c r="BE370" s="926"/>
    </row>
    <row r="371" spans="2:58">
      <c r="B371" s="15" t="s">
        <v>270</v>
      </c>
      <c r="L371" s="14">
        <f>+(H363*(L365)-(L430-H430))/H369</f>
        <v>0.14120481927710843</v>
      </c>
      <c r="M371" s="14">
        <f t="shared" ref="M371:O371" si="435">+(I363*(M365)-(M430-I430))/I369</f>
        <v>0.1152046783625731</v>
      </c>
      <c r="N371" s="14">
        <f t="shared" si="435"/>
        <v>0.12130360205831904</v>
      </c>
      <c r="O371" s="14">
        <f t="shared" si="435"/>
        <v>6.3141183723797789E-2</v>
      </c>
      <c r="P371" s="926"/>
      <c r="Q371" s="926"/>
      <c r="R371" s="926"/>
      <c r="S371" s="926"/>
      <c r="T371" s="926"/>
      <c r="U371" s="926"/>
      <c r="V371" s="926"/>
      <c r="W371" s="926"/>
      <c r="X371" s="926"/>
      <c r="Y371" s="926"/>
      <c r="Z371" s="926"/>
      <c r="AA371" s="926"/>
      <c r="AB371" s="926"/>
      <c r="AC371" s="926"/>
      <c r="AD371" s="926"/>
      <c r="AE371" s="926"/>
      <c r="AF371" s="926"/>
      <c r="AG371" s="14"/>
      <c r="AH371" s="14"/>
      <c r="AI371" s="14"/>
      <c r="BA371" s="14">
        <f>+SUMPRODUCT(L371:O371,H369:K369)/AZ369</f>
        <v>0.1090660277755218</v>
      </c>
      <c r="BB371" s="926"/>
      <c r="BC371" s="926"/>
      <c r="BD371" s="926"/>
      <c r="BE371" s="926"/>
    </row>
    <row r="372" spans="2:58">
      <c r="B372" s="15" t="s">
        <v>115</v>
      </c>
      <c r="H372" s="14">
        <f t="shared" ref="H372:O372" si="436">+IFERROR(H369/H356,"n/a ")</f>
        <v>0.45136730888750776</v>
      </c>
      <c r="I372" s="14">
        <f t="shared" si="436"/>
        <v>0.46741476046611996</v>
      </c>
      <c r="J372" s="14">
        <f t="shared" si="436"/>
        <v>0.43307086614173229</v>
      </c>
      <c r="K372" s="14">
        <f t="shared" si="436"/>
        <v>0.43363186739740678</v>
      </c>
      <c r="L372" s="14">
        <f t="shared" si="436"/>
        <v>0.46544428772919605</v>
      </c>
      <c r="M372" s="14">
        <f t="shared" si="436"/>
        <v>0.47140426645727002</v>
      </c>
      <c r="N372" s="14">
        <f t="shared" si="436"/>
        <v>0.43814365793247295</v>
      </c>
      <c r="O372" s="14">
        <f t="shared" si="436"/>
        <v>0.4446611409068747</v>
      </c>
      <c r="P372" s="926"/>
      <c r="Q372" s="926"/>
      <c r="R372" s="926"/>
      <c r="S372" s="926"/>
      <c r="T372" s="926"/>
      <c r="U372" s="926"/>
      <c r="V372" s="926"/>
      <c r="W372" s="926"/>
      <c r="X372" s="926"/>
      <c r="Y372" s="926"/>
      <c r="Z372" s="926"/>
      <c r="AA372" s="926"/>
      <c r="AB372" s="926"/>
      <c r="AC372" s="926"/>
      <c r="AD372" s="926"/>
      <c r="AE372" s="926"/>
      <c r="AF372" s="926"/>
      <c r="AG372" s="14"/>
      <c r="AH372" s="14"/>
      <c r="AI372" s="14"/>
      <c r="AZ372" s="14">
        <f>+IFERROR(AZ369/AZ356,"n/a ")</f>
        <v>0.44613935287510414</v>
      </c>
      <c r="BA372" s="14">
        <f>+IFERROR(BA369/BA356,"n/a ")</f>
        <v>0.45451872181925113</v>
      </c>
      <c r="BB372" s="926"/>
      <c r="BC372" s="926"/>
      <c r="BD372" s="926"/>
      <c r="BE372" s="926"/>
    </row>
    <row r="373" spans="2:58">
      <c r="B373" s="921"/>
    </row>
    <row r="374" spans="2:58" ht="10.5">
      <c r="B374" s="45" t="s">
        <v>1214</v>
      </c>
    </row>
    <row r="375" spans="2:58" ht="10.5">
      <c r="B375" s="45"/>
      <c r="D375" s="876" t="s">
        <v>371</v>
      </c>
      <c r="E375" s="876"/>
      <c r="F375" s="876"/>
      <c r="G375" s="876"/>
    </row>
    <row r="376" spans="2:58">
      <c r="B376" s="852" t="s">
        <v>400</v>
      </c>
    </row>
    <row r="377" spans="2:58">
      <c r="B377" t="s">
        <v>1215</v>
      </c>
      <c r="D377" s="911">
        <v>-0.02</v>
      </c>
      <c r="E377" s="911">
        <v>-0.01</v>
      </c>
      <c r="F377" s="911">
        <v>0</v>
      </c>
      <c r="G377" s="911">
        <v>0.05</v>
      </c>
      <c r="H377" s="911">
        <v>0.09</v>
      </c>
      <c r="I377" s="911">
        <v>7.0000000000000007E-2</v>
      </c>
      <c r="J377" s="911">
        <v>0.09</v>
      </c>
      <c r="K377" s="911">
        <v>0.05</v>
      </c>
      <c r="L377" s="911">
        <v>0.1</v>
      </c>
      <c r="M377" s="911">
        <v>0.1</v>
      </c>
      <c r="N377" s="911">
        <v>0.14000000000000001</v>
      </c>
      <c r="O377" s="911">
        <v>0.1</v>
      </c>
      <c r="P377" s="911">
        <v>0.17</v>
      </c>
      <c r="Q377" s="911">
        <v>0.11</v>
      </c>
      <c r="R377" s="911">
        <v>0.12</v>
      </c>
      <c r="S377" s="911">
        <v>0.14000000000000001</v>
      </c>
      <c r="T377" s="911">
        <v>0.13</v>
      </c>
      <c r="U377" s="911">
        <v>0.16</v>
      </c>
      <c r="V377" s="911">
        <v>0.13</v>
      </c>
      <c r="W377" s="911">
        <v>0.05</v>
      </c>
      <c r="X377" s="911">
        <v>0.09</v>
      </c>
      <c r="Y377" s="911">
        <v>0.11</v>
      </c>
      <c r="Z377" s="911">
        <v>0.14000000000000001</v>
      </c>
      <c r="AA377" s="911">
        <v>0.2</v>
      </c>
      <c r="AB377" s="911">
        <v>0.18</v>
      </c>
      <c r="AC377" s="911">
        <v>0.14000000000000001</v>
      </c>
      <c r="AD377" s="911">
        <v>0.12</v>
      </c>
      <c r="AE377" s="911">
        <v>0.09</v>
      </c>
      <c r="AF377" s="911">
        <v>7.0000000000000007E-2</v>
      </c>
      <c r="AG377" s="911"/>
      <c r="AH377" s="911"/>
      <c r="AI377" s="911"/>
      <c r="AZ377" s="912">
        <f>+AVERAGE(H377:K377)</f>
        <v>7.4999999999999997E-2</v>
      </c>
      <c r="BA377" s="912">
        <f>+AVERAGE(L377:O377)</f>
        <v>0.11000000000000001</v>
      </c>
      <c r="BB377" s="912">
        <f>+AVERAGE(P377:S377)</f>
        <v>0.13500000000000001</v>
      </c>
      <c r="BC377" s="912">
        <f>+AVERAGE(T377:W377)</f>
        <v>0.11750000000000001</v>
      </c>
      <c r="BD377" s="912">
        <f>+AVERAGE(X377:AA377)</f>
        <v>0.13500000000000001</v>
      </c>
      <c r="BE377" s="912">
        <f>+AVERAGE(AB377:AE377)</f>
        <v>0.13250000000000001</v>
      </c>
      <c r="BF377" s="912"/>
    </row>
    <row r="378" spans="2:58">
      <c r="B378" s="12" t="s">
        <v>270</v>
      </c>
      <c r="D378" s="911">
        <v>0.05</v>
      </c>
      <c r="E378" s="911">
        <v>0.05</v>
      </c>
      <c r="F378" s="911">
        <v>7.0000000000000007E-2</v>
      </c>
      <c r="G378" s="911">
        <v>0.09</v>
      </c>
      <c r="H378" s="911">
        <v>0.11</v>
      </c>
      <c r="I378" s="911">
        <v>0.08</v>
      </c>
      <c r="J378" s="911">
        <v>0.1</v>
      </c>
      <c r="K378" s="911">
        <v>0.06</v>
      </c>
      <c r="L378" s="911">
        <v>0.1</v>
      </c>
      <c r="M378" s="911">
        <v>0.1</v>
      </c>
      <c r="N378" s="911">
        <v>0.12</v>
      </c>
      <c r="O378" s="911">
        <v>0.08</v>
      </c>
      <c r="P378" s="911">
        <v>0.16</v>
      </c>
      <c r="Q378" s="911">
        <v>0.11</v>
      </c>
      <c r="R378" s="911">
        <v>0.14000000000000001</v>
      </c>
      <c r="S378" s="911">
        <v>0.16</v>
      </c>
      <c r="T378" s="911">
        <v>0.15</v>
      </c>
      <c r="U378" s="911">
        <v>0.18</v>
      </c>
      <c r="V378" s="911">
        <v>0.15</v>
      </c>
      <c r="W378" s="911">
        <v>7.0000000000000007E-2</v>
      </c>
      <c r="X378" s="911">
        <v>0.09</v>
      </c>
      <c r="Y378" s="911">
        <v>0.09</v>
      </c>
      <c r="Z378" s="911">
        <v>0.1</v>
      </c>
      <c r="AA378" s="911">
        <v>0.15</v>
      </c>
      <c r="AB378" s="911">
        <v>0.16</v>
      </c>
      <c r="AC378" s="911">
        <v>0.14000000000000001</v>
      </c>
      <c r="AD378" s="911">
        <v>0.14000000000000001</v>
      </c>
      <c r="AE378" s="911">
        <v>0.13</v>
      </c>
      <c r="AF378" s="911">
        <v>0.13</v>
      </c>
      <c r="AG378" s="911"/>
      <c r="AH378" s="911"/>
      <c r="AI378" s="911"/>
      <c r="AZ378" s="912">
        <f>+AVERAGE(H378:K378)</f>
        <v>8.7500000000000008E-2</v>
      </c>
      <c r="BA378" s="912">
        <f>+AVERAGE(L378:O378)</f>
        <v>0.1</v>
      </c>
      <c r="BB378" s="912">
        <f>+AVERAGE(P378:S378)</f>
        <v>0.14250000000000002</v>
      </c>
      <c r="BC378" s="912">
        <f>+AVERAGE(T378:W378)</f>
        <v>0.13750000000000001</v>
      </c>
      <c r="BD378" s="912">
        <f>+AVERAGE(X378:AA378)</f>
        <v>0.10750000000000001</v>
      </c>
      <c r="BE378" s="912">
        <f>+AVERAGE(AB378:AE378)</f>
        <v>0.14250000000000002</v>
      </c>
      <c r="BF378" s="912"/>
    </row>
    <row r="379" spans="2:58">
      <c r="B379" s="12"/>
      <c r="D379" s="911"/>
      <c r="E379" s="911"/>
      <c r="F379" s="911"/>
      <c r="G379" s="911"/>
      <c r="H379" s="911"/>
      <c r="I379" s="911"/>
      <c r="J379" s="911"/>
      <c r="K379" s="911"/>
      <c r="L379" s="911"/>
      <c r="M379" s="911"/>
      <c r="N379" s="911"/>
      <c r="O379" s="911"/>
      <c r="P379" s="911"/>
      <c r="Q379" s="911"/>
      <c r="R379" s="911"/>
      <c r="S379" s="911"/>
      <c r="T379" s="911"/>
      <c r="U379" s="911"/>
      <c r="V379" s="911"/>
      <c r="W379" s="911"/>
      <c r="X379" s="911"/>
      <c r="Y379" s="911"/>
      <c r="Z379" s="911"/>
      <c r="AA379" s="911"/>
      <c r="AB379" s="911"/>
      <c r="AC379" s="911"/>
      <c r="AD379" s="911"/>
      <c r="AE379" s="911"/>
      <c r="AF379" s="911"/>
      <c r="AG379" s="911"/>
      <c r="AH379" s="911"/>
      <c r="AI379" s="911"/>
      <c r="AZ379" s="912"/>
      <c r="BA379" s="912"/>
      <c r="BB379" s="912"/>
      <c r="BC379" s="912"/>
      <c r="BD379" s="912"/>
      <c r="BE379" s="912"/>
      <c r="BF379" s="912"/>
    </row>
    <row r="380" spans="2:58">
      <c r="B380" t="s">
        <v>1216</v>
      </c>
      <c r="D380" s="911"/>
      <c r="E380" s="911"/>
      <c r="F380" s="911"/>
      <c r="G380" s="911">
        <v>0.54</v>
      </c>
      <c r="H380" s="911">
        <v>0.51</v>
      </c>
      <c r="I380" s="911">
        <v>0.47</v>
      </c>
      <c r="J380" s="911">
        <v>0.45</v>
      </c>
      <c r="K380" s="911">
        <v>0.43</v>
      </c>
      <c r="L380" s="911">
        <v>0.42</v>
      </c>
      <c r="M380" s="911">
        <v>0.41</v>
      </c>
      <c r="N380" s="911">
        <v>0.42</v>
      </c>
      <c r="O380" s="911">
        <v>0.38</v>
      </c>
      <c r="P380" s="911">
        <v>0.36</v>
      </c>
      <c r="Q380" s="911">
        <v>0.34</v>
      </c>
      <c r="R380" s="911">
        <v>0.3</v>
      </c>
      <c r="S380" s="911">
        <v>0.31</v>
      </c>
      <c r="T380" s="911">
        <v>0.25</v>
      </c>
      <c r="U380" s="911">
        <v>0.16</v>
      </c>
      <c r="V380" s="911">
        <v>0.25</v>
      </c>
      <c r="W380" s="911">
        <v>0.19</v>
      </c>
      <c r="X380" s="911">
        <v>0.21</v>
      </c>
      <c r="Y380" s="911">
        <v>0.21</v>
      </c>
      <c r="Z380" s="911">
        <v>0.22</v>
      </c>
      <c r="AA380" s="911">
        <v>0.25</v>
      </c>
      <c r="AB380" s="911">
        <v>0.23</v>
      </c>
      <c r="AC380" s="911">
        <v>0.19</v>
      </c>
      <c r="AD380" s="911">
        <v>0.11</v>
      </c>
      <c r="AE380" s="911">
        <v>0.09</v>
      </c>
      <c r="AF380" s="911">
        <v>7.0000000000000007E-2</v>
      </c>
      <c r="AG380" s="911"/>
      <c r="AH380" s="911"/>
      <c r="AI380" s="911"/>
      <c r="AZ380" s="912">
        <f>+AVERAGE(H380:K380)</f>
        <v>0.46499999999999997</v>
      </c>
      <c r="BA380" s="912">
        <f>+AVERAGE(L380:O380)</f>
        <v>0.40749999999999997</v>
      </c>
      <c r="BB380" s="912">
        <f>+AVERAGE(P380:S380)</f>
        <v>0.32750000000000001</v>
      </c>
      <c r="BC380" s="912">
        <f>+AVERAGE(T380:W380)</f>
        <v>0.21250000000000002</v>
      </c>
      <c r="BD380" s="912">
        <f>+AVERAGE(X380:AA380)</f>
        <v>0.2225</v>
      </c>
      <c r="BE380" s="912">
        <f>+AVERAGE(AB380:AE380)</f>
        <v>0.155</v>
      </c>
      <c r="BF380" s="912"/>
    </row>
    <row r="381" spans="2:58">
      <c r="B381" s="12" t="s">
        <v>270</v>
      </c>
      <c r="D381" s="911">
        <v>0.7</v>
      </c>
      <c r="E381" s="911">
        <v>0.7</v>
      </c>
      <c r="F381" s="911">
        <v>0.63</v>
      </c>
      <c r="G381" s="911">
        <v>0.59</v>
      </c>
      <c r="H381" s="911">
        <v>0.54</v>
      </c>
      <c r="I381" s="911">
        <v>0.49</v>
      </c>
      <c r="J381" s="911">
        <v>0.45</v>
      </c>
      <c r="K381" s="911">
        <v>0.44</v>
      </c>
      <c r="L381" s="911">
        <v>0.42</v>
      </c>
      <c r="M381" s="911">
        <v>0.41</v>
      </c>
      <c r="N381" s="911">
        <v>0.4</v>
      </c>
      <c r="O381" s="911">
        <v>0.35</v>
      </c>
      <c r="P381" s="911">
        <v>0.35</v>
      </c>
      <c r="Q381" s="911">
        <v>0.33</v>
      </c>
      <c r="R381" s="911">
        <v>0.31</v>
      </c>
      <c r="S381" s="911">
        <v>0.34</v>
      </c>
      <c r="T381" s="911">
        <v>0.28000000000000003</v>
      </c>
      <c r="U381" s="911">
        <v>0.18</v>
      </c>
      <c r="V381" s="911">
        <v>0.27</v>
      </c>
      <c r="W381" s="911">
        <v>0.22</v>
      </c>
      <c r="X381" s="911">
        <v>0.2</v>
      </c>
      <c r="Y381" s="911">
        <v>0.2</v>
      </c>
      <c r="Z381" s="911">
        <v>0.19</v>
      </c>
      <c r="AA381" s="911">
        <v>0.2</v>
      </c>
      <c r="AB381" s="911">
        <v>0.21</v>
      </c>
      <c r="AC381" s="911">
        <v>0.19</v>
      </c>
      <c r="AD381" s="911">
        <v>0.12</v>
      </c>
      <c r="AE381" s="911">
        <v>0.12</v>
      </c>
      <c r="AF381" s="911">
        <v>0.11</v>
      </c>
      <c r="AG381" s="911"/>
      <c r="AH381" s="911"/>
      <c r="AI381" s="911"/>
      <c r="AZ381" s="912">
        <f>+AVERAGE(H381:K381)</f>
        <v>0.48</v>
      </c>
      <c r="BA381" s="912">
        <f>+AVERAGE(L381:O381)</f>
        <v>0.39500000000000002</v>
      </c>
      <c r="BB381" s="912">
        <f>+AVERAGE(P381:S381)</f>
        <v>0.33250000000000002</v>
      </c>
      <c r="BC381" s="912">
        <f>+AVERAGE(T381:W381)</f>
        <v>0.23749999999999999</v>
      </c>
      <c r="BD381" s="912">
        <f>+AVERAGE(X381:AA381)</f>
        <v>0.19750000000000001</v>
      </c>
      <c r="BE381" s="912">
        <f>+AVERAGE(AB381:AE381)</f>
        <v>0.16</v>
      </c>
      <c r="BF381" s="912"/>
    </row>
    <row r="382" spans="2:58">
      <c r="B382" s="12"/>
      <c r="D382" s="911"/>
      <c r="E382" s="911"/>
      <c r="F382" s="911"/>
      <c r="G382" s="911"/>
      <c r="H382" s="911"/>
      <c r="I382" s="911"/>
      <c r="J382" s="911"/>
      <c r="K382" s="911"/>
      <c r="L382" s="911"/>
      <c r="M382" s="911"/>
      <c r="N382" s="911"/>
      <c r="O382" s="911"/>
      <c r="P382" s="911"/>
      <c r="Q382" s="911"/>
      <c r="R382" s="911"/>
      <c r="S382" s="911"/>
      <c r="T382" s="911"/>
      <c r="U382" s="911"/>
      <c r="V382" s="911"/>
      <c r="W382" s="911"/>
      <c r="X382" s="911"/>
      <c r="Y382" s="911"/>
      <c r="Z382" s="911"/>
      <c r="AA382" s="911"/>
      <c r="AB382" s="911"/>
      <c r="AC382" s="911"/>
      <c r="AD382" s="911"/>
      <c r="AE382" s="911"/>
      <c r="AF382" s="911"/>
      <c r="AG382" s="911"/>
      <c r="AH382" s="911"/>
      <c r="AI382" s="911"/>
      <c r="AZ382" s="912"/>
      <c r="BA382" s="912"/>
      <c r="BB382" s="912"/>
      <c r="BC382" s="912"/>
      <c r="BD382" s="912"/>
      <c r="BE382" s="912"/>
      <c r="BF382" s="912"/>
    </row>
    <row r="383" spans="2:58" hidden="1" outlineLevel="1">
      <c r="B383" t="s">
        <v>383</v>
      </c>
      <c r="D383" s="911"/>
      <c r="E383" s="911"/>
      <c r="F383" s="911"/>
      <c r="G383" s="911">
        <v>-0.12</v>
      </c>
      <c r="H383" s="911">
        <v>-0.14000000000000001</v>
      </c>
      <c r="I383" s="911">
        <v>-0.13</v>
      </c>
      <c r="J383" s="911">
        <v>-0.13</v>
      </c>
      <c r="K383" s="911">
        <v>-0.17</v>
      </c>
      <c r="L383" s="911">
        <v>-0.17</v>
      </c>
      <c r="M383" s="911">
        <v>-0.16</v>
      </c>
      <c r="N383" s="911">
        <v>-0.15</v>
      </c>
      <c r="O383" s="911">
        <v>-0.19</v>
      </c>
      <c r="P383" s="911">
        <v>-0.12</v>
      </c>
      <c r="Q383" s="911">
        <v>-0.21</v>
      </c>
      <c r="R383" s="911">
        <v>-0.19</v>
      </c>
      <c r="S383" s="911">
        <v>-0.17</v>
      </c>
      <c r="T383" s="911">
        <v>-0.17</v>
      </c>
      <c r="U383" s="911">
        <v>-0.11</v>
      </c>
      <c r="V383" s="911">
        <v>-0.21</v>
      </c>
      <c r="W383" s="911">
        <v>-0.34</v>
      </c>
      <c r="X383" s="911">
        <v>-0.3</v>
      </c>
      <c r="Y383" s="911">
        <v>-0.26</v>
      </c>
      <c r="Z383" s="911">
        <v>-0.25</v>
      </c>
      <c r="AA383" s="911">
        <v>-0.08</v>
      </c>
      <c r="AB383" s="911">
        <v>-0.13</v>
      </c>
      <c r="AC383" s="911">
        <v>0.17</v>
      </c>
      <c r="AD383" s="911">
        <v>0.17</v>
      </c>
      <c r="AE383" s="911">
        <v>0.15</v>
      </c>
      <c r="AF383" s="926"/>
      <c r="AG383" s="911"/>
      <c r="AH383" s="911"/>
      <c r="AI383" s="911"/>
      <c r="AZ383" s="912">
        <f>+AVERAGE(H383:K383)</f>
        <v>-0.14250000000000002</v>
      </c>
      <c r="BA383" s="912">
        <f>+AVERAGE(L383:O383)</f>
        <v>-0.16749999999999998</v>
      </c>
      <c r="BB383" s="912">
        <f>+AVERAGE(P383:S383)</f>
        <v>-0.17250000000000001</v>
      </c>
      <c r="BC383" s="912">
        <f>+AVERAGE(T383:W383)</f>
        <v>-0.20750000000000002</v>
      </c>
      <c r="BD383" s="912">
        <f>+AVERAGE(X383:AA383)</f>
        <v>-0.2225</v>
      </c>
      <c r="BE383" s="912">
        <f>+AVERAGE(AB383:AE383)</f>
        <v>0.09</v>
      </c>
      <c r="BF383" s="912"/>
    </row>
    <row r="384" spans="2:58" hidden="1" outlineLevel="1">
      <c r="B384" s="12" t="s">
        <v>270</v>
      </c>
      <c r="D384" s="911">
        <v>-0.08</v>
      </c>
      <c r="E384" s="911">
        <v>-0.08</v>
      </c>
      <c r="F384" s="911">
        <v>-0.11</v>
      </c>
      <c r="G384" s="911">
        <v>-0.09</v>
      </c>
      <c r="H384" s="911">
        <v>-0.13</v>
      </c>
      <c r="I384" s="911">
        <v>-0.12</v>
      </c>
      <c r="J384" s="911">
        <v>-0.13</v>
      </c>
      <c r="K384" s="911">
        <v>-0.16</v>
      </c>
      <c r="L384" s="911">
        <v>-0.17</v>
      </c>
      <c r="M384" s="911">
        <v>-0.16</v>
      </c>
      <c r="N384" s="911">
        <v>-0.16</v>
      </c>
      <c r="O384" s="911">
        <v>-0.2</v>
      </c>
      <c r="P384" s="911">
        <v>-0.13</v>
      </c>
      <c r="Q384" s="911">
        <v>-0.21</v>
      </c>
      <c r="R384" s="911">
        <v>-0.18</v>
      </c>
      <c r="S384" s="911">
        <f>--15%</f>
        <v>0.15</v>
      </c>
      <c r="T384" s="911">
        <v>-0.15</v>
      </c>
      <c r="U384" s="911">
        <v>-0.1</v>
      </c>
      <c r="V384" s="911">
        <v>-0.2</v>
      </c>
      <c r="W384" s="911">
        <v>-0.33</v>
      </c>
      <c r="X384" s="911">
        <v>-0.3</v>
      </c>
      <c r="Y384" s="911">
        <v>-0.27</v>
      </c>
      <c r="Z384" s="911">
        <v>-0.27</v>
      </c>
      <c r="AA384" s="911">
        <v>-0.11</v>
      </c>
      <c r="AB384" s="911">
        <v>-0.14000000000000001</v>
      </c>
      <c r="AC384" s="911">
        <v>0.17</v>
      </c>
      <c r="AD384" s="911">
        <v>0.2</v>
      </c>
      <c r="AE384" s="911">
        <v>0.19</v>
      </c>
      <c r="AF384" s="926"/>
      <c r="AG384" s="911"/>
      <c r="AH384" s="911"/>
      <c r="AI384" s="911"/>
      <c r="AZ384" s="912">
        <f>+AVERAGE(H384:K384)</f>
        <v>-0.13500000000000001</v>
      </c>
      <c r="BA384" s="912">
        <f>+AVERAGE(L384:O384)</f>
        <v>-0.17249999999999999</v>
      </c>
      <c r="BB384" s="912">
        <f>+AVERAGE(P384:S384)</f>
        <v>-9.2499999999999999E-2</v>
      </c>
      <c r="BC384" s="912">
        <f>+AVERAGE(T384:W384)</f>
        <v>-0.19500000000000001</v>
      </c>
      <c r="BD384" s="912">
        <f>+AVERAGE(X384:AA384)</f>
        <v>-0.23750000000000002</v>
      </c>
      <c r="BE384" s="912">
        <f>+AVERAGE(AB384:AE384)</f>
        <v>0.10500000000000001</v>
      </c>
      <c r="BF384" s="912"/>
    </row>
    <row r="385" spans="2:58" hidden="1" outlineLevel="1">
      <c r="B385" s="843"/>
      <c r="J385" s="929"/>
      <c r="K385" s="929"/>
      <c r="L385" s="929"/>
      <c r="M385" s="929"/>
      <c r="N385" s="929"/>
      <c r="AE385" s="911"/>
      <c r="AZ385" s="912"/>
      <c r="BA385" s="912"/>
      <c r="BB385" s="912"/>
      <c r="BC385" s="912"/>
      <c r="BD385" s="912"/>
      <c r="BE385" s="912"/>
      <c r="BF385" s="912"/>
    </row>
    <row r="386" spans="2:58" hidden="1" outlineLevel="1">
      <c r="B386" t="s">
        <v>384</v>
      </c>
      <c r="J386" s="929"/>
      <c r="K386" s="929"/>
      <c r="L386" s="929"/>
      <c r="M386" s="929"/>
      <c r="N386" s="929"/>
      <c r="R386">
        <f>+V386/(1+V387)</f>
        <v>215</v>
      </c>
      <c r="V386">
        <v>258</v>
      </c>
      <c r="AZ386" s="912"/>
      <c r="BA386" s="912"/>
      <c r="BB386" s="912"/>
      <c r="BC386" s="912"/>
      <c r="BD386" s="912"/>
      <c r="BE386" s="912"/>
      <c r="BF386" s="912"/>
    </row>
    <row r="387" spans="2:58" collapsed="1">
      <c r="B387" t="s">
        <v>381</v>
      </c>
      <c r="D387" s="911">
        <v>0.66</v>
      </c>
      <c r="E387" s="911">
        <v>0.59</v>
      </c>
      <c r="F387" s="911">
        <v>0.56999999999999995</v>
      </c>
      <c r="G387" s="911">
        <v>0.45</v>
      </c>
      <c r="H387" s="911">
        <v>0.4</v>
      </c>
      <c r="I387" s="911">
        <v>0.37</v>
      </c>
      <c r="J387" s="911">
        <v>0.35</v>
      </c>
      <c r="K387" s="911">
        <v>0.31</v>
      </c>
      <c r="L387" s="911">
        <v>0.32</v>
      </c>
      <c r="M387" s="911">
        <v>0.3</v>
      </c>
      <c r="N387" s="911">
        <v>0.28000000000000003</v>
      </c>
      <c r="O387" s="911">
        <v>0.28999999999999998</v>
      </c>
      <c r="P387" s="911">
        <v>0.28999999999999998</v>
      </c>
      <c r="Q387" s="911">
        <v>0.27</v>
      </c>
      <c r="R387" s="911" t="s">
        <v>271</v>
      </c>
      <c r="S387" s="911">
        <v>0.23</v>
      </c>
      <c r="T387" s="911">
        <v>0.21</v>
      </c>
      <c r="U387" s="911">
        <v>0.21</v>
      </c>
      <c r="V387" s="911">
        <v>0.2</v>
      </c>
      <c r="W387" s="911">
        <v>0.15</v>
      </c>
      <c r="X387" s="911">
        <v>0.15</v>
      </c>
      <c r="Y387" s="911">
        <v>0.15</v>
      </c>
      <c r="Z387" s="911">
        <v>0.15</v>
      </c>
      <c r="AA387" s="911">
        <v>0.17</v>
      </c>
      <c r="AB387" s="911">
        <v>0.17</v>
      </c>
      <c r="AC387" s="911">
        <v>0.16</v>
      </c>
      <c r="AD387" s="911">
        <v>0.16</v>
      </c>
      <c r="AE387" s="911">
        <v>0.14000000000000001</v>
      </c>
      <c r="AF387" s="911">
        <v>0.14000000000000001</v>
      </c>
      <c r="AG387" s="911"/>
      <c r="AH387" s="911"/>
      <c r="AI387" s="911"/>
      <c r="AZ387" s="912">
        <f>+AVERAGE(H387:K387)</f>
        <v>0.35750000000000004</v>
      </c>
      <c r="BA387" s="912">
        <f>+AVERAGE(L387:O387)</f>
        <v>0.29749999999999999</v>
      </c>
      <c r="BB387" s="912">
        <f>AVERAGE(P387:S387)</f>
        <v>0.26333333333333336</v>
      </c>
      <c r="BC387" s="912">
        <f>+AVERAGE(T387:W387)</f>
        <v>0.1925</v>
      </c>
      <c r="BD387" s="912">
        <f>+AVERAGE(X387:AA387)</f>
        <v>0.155</v>
      </c>
      <c r="BE387" s="912">
        <f>+AVERAGE(AB387:AE387)</f>
        <v>0.1575</v>
      </c>
      <c r="BF387" s="912"/>
    </row>
    <row r="388" spans="2:58">
      <c r="J388" s="929"/>
      <c r="K388" s="929"/>
      <c r="L388" s="929"/>
      <c r="M388" s="929"/>
      <c r="N388" s="929"/>
      <c r="AZ388" s="912"/>
      <c r="BA388" s="912"/>
      <c r="BB388" s="912"/>
      <c r="BC388" s="912"/>
      <c r="BD388" s="912"/>
      <c r="BE388" s="912"/>
      <c r="BF388" s="912"/>
    </row>
    <row r="389" spans="2:58" ht="11.45">
      <c r="B389" s="852" t="s">
        <v>401</v>
      </c>
      <c r="J389" s="929"/>
      <c r="K389" s="929"/>
      <c r="L389" s="929"/>
      <c r="M389" s="929"/>
      <c r="N389" s="929"/>
      <c r="X389" s="1004" t="s">
        <v>1217</v>
      </c>
      <c r="Y389" s="1005"/>
      <c r="Z389" s="1005"/>
      <c r="AA389" s="1005"/>
      <c r="AZ389" s="912"/>
      <c r="BA389" s="912"/>
      <c r="BB389" s="912"/>
      <c r="BC389" s="912"/>
      <c r="BD389" s="912"/>
      <c r="BE389" s="912"/>
      <c r="BF389" s="912"/>
    </row>
    <row r="390" spans="2:58">
      <c r="B390" t="s">
        <v>1218</v>
      </c>
      <c r="D390" s="911">
        <v>-0.13</v>
      </c>
      <c r="E390" s="911">
        <v>-0.14000000000000001</v>
      </c>
      <c r="F390" s="911">
        <v>0.03</v>
      </c>
      <c r="G390" s="911">
        <v>0.19</v>
      </c>
      <c r="H390" s="911">
        <v>0.03</v>
      </c>
      <c r="I390" s="911">
        <v>0.2</v>
      </c>
      <c r="J390" s="911">
        <v>0.11</v>
      </c>
      <c r="K390" s="911">
        <v>0.11</v>
      </c>
      <c r="L390" s="911">
        <v>0.12</v>
      </c>
      <c r="M390" s="911">
        <v>0.12</v>
      </c>
      <c r="N390" s="911">
        <v>0.12</v>
      </c>
      <c r="O390" s="911">
        <v>0.08</v>
      </c>
      <c r="P390" s="911">
        <v>0.16</v>
      </c>
      <c r="Q390" s="911">
        <v>0.01</v>
      </c>
      <c r="R390" s="911">
        <v>0.08</v>
      </c>
      <c r="S390" s="911">
        <v>0.06</v>
      </c>
      <c r="T390" s="911">
        <v>0.05</v>
      </c>
      <c r="U390" s="911">
        <v>0.19</v>
      </c>
      <c r="V390" s="911">
        <v>0.15</v>
      </c>
      <c r="W390" s="911">
        <v>0.06</v>
      </c>
      <c r="X390" s="911">
        <v>0.11</v>
      </c>
      <c r="Y390" s="911">
        <v>7.0000000000000007E-2</v>
      </c>
      <c r="Z390" s="911">
        <v>0.05</v>
      </c>
      <c r="AA390" s="911">
        <v>0.18</v>
      </c>
      <c r="AB390" s="911">
        <v>0.1</v>
      </c>
      <c r="AC390" s="911">
        <v>0.15</v>
      </c>
      <c r="AD390" s="911">
        <v>0.12</v>
      </c>
      <c r="AE390" s="911">
        <v>0.09</v>
      </c>
      <c r="AF390" s="911">
        <v>7.0000000000000007E-2</v>
      </c>
      <c r="AG390" s="911"/>
      <c r="AH390" s="911"/>
      <c r="AI390" s="911"/>
      <c r="AZ390" s="912">
        <f>+AVERAGE(H390:K390)</f>
        <v>0.1125</v>
      </c>
      <c r="BA390" s="912">
        <f>+AVERAGE(L390:O390)</f>
        <v>0.11</v>
      </c>
      <c r="BB390" s="912">
        <f>AVERAGE(P390:S390)</f>
        <v>7.7499999999999999E-2</v>
      </c>
      <c r="BC390" s="912">
        <f>+AVERAGE(T390:W390)</f>
        <v>0.1125</v>
      </c>
      <c r="BD390" s="912">
        <f>+AVERAGE(X390:AA390)</f>
        <v>0.10249999999999999</v>
      </c>
      <c r="BE390" s="912">
        <f t="shared" ref="BE390:BE391" si="437">+AVERAGE(AB390:AE390)</f>
        <v>0.11499999999999999</v>
      </c>
      <c r="BF390" s="912"/>
    </row>
    <row r="391" spans="2:58">
      <c r="B391" s="12" t="s">
        <v>270</v>
      </c>
      <c r="D391" s="911">
        <v>-0.04</v>
      </c>
      <c r="E391" s="911">
        <v>-0.08</v>
      </c>
      <c r="F391" s="911">
        <v>0.06</v>
      </c>
      <c r="G391" s="911">
        <v>0.18</v>
      </c>
      <c r="H391" s="911">
        <v>0.03</v>
      </c>
      <c r="I391" s="911">
        <v>0.19</v>
      </c>
      <c r="J391" s="911">
        <v>0.11</v>
      </c>
      <c r="K391" s="911">
        <v>0.11</v>
      </c>
      <c r="L391" s="911">
        <v>0.1</v>
      </c>
      <c r="M391" s="911">
        <v>0.11</v>
      </c>
      <c r="N391" s="911">
        <v>0.09</v>
      </c>
      <c r="O391" s="911">
        <v>0.06</v>
      </c>
      <c r="P391" s="911">
        <v>0.17</v>
      </c>
      <c r="Q391" s="911">
        <v>0.02</v>
      </c>
      <c r="R391" s="911">
        <v>0.1</v>
      </c>
      <c r="S391" s="911">
        <v>0.08</v>
      </c>
      <c r="T391" s="911">
        <v>0.06</v>
      </c>
      <c r="U391" s="911">
        <v>0.2</v>
      </c>
      <c r="V391" s="911">
        <v>0.17</v>
      </c>
      <c r="W391" s="911">
        <v>7.0000000000000007E-2</v>
      </c>
      <c r="X391" s="911">
        <v>0.12</v>
      </c>
      <c r="Y391" s="911">
        <v>0.06</v>
      </c>
      <c r="Z391" s="911">
        <v>0.03</v>
      </c>
      <c r="AA391" s="911">
        <v>0.15</v>
      </c>
      <c r="AB391" s="911">
        <v>0.08</v>
      </c>
      <c r="AC391" s="911">
        <v>0.15</v>
      </c>
      <c r="AD391" s="911">
        <v>0.14000000000000001</v>
      </c>
      <c r="AE391" s="911">
        <v>0.12</v>
      </c>
      <c r="AF391" s="911">
        <v>0.11</v>
      </c>
      <c r="AG391" s="911"/>
      <c r="AH391" s="911"/>
      <c r="AI391" s="911"/>
      <c r="AZ391" s="912">
        <f>+AVERAGE(H391:K391)</f>
        <v>0.11</v>
      </c>
      <c r="BA391" s="912">
        <f>+AVERAGE(L391:O391)</f>
        <v>9.0000000000000011E-2</v>
      </c>
      <c r="BB391" s="912">
        <f>AVERAGE(P391:S391)</f>
        <v>9.2500000000000013E-2</v>
      </c>
      <c r="BC391" s="912">
        <f>+AVERAGE(T391:W391)</f>
        <v>0.125</v>
      </c>
      <c r="BD391" s="912">
        <f>+AVERAGE(X391:AA391)</f>
        <v>0.09</v>
      </c>
      <c r="BE391" s="912">
        <f t="shared" si="437"/>
        <v>0.1225</v>
      </c>
      <c r="BF391" s="912"/>
    </row>
    <row r="392" spans="2:58">
      <c r="B392" s="843"/>
      <c r="J392" s="929"/>
      <c r="K392" s="929"/>
      <c r="L392" s="929"/>
      <c r="M392" s="929"/>
      <c r="N392" s="929"/>
    </row>
    <row r="393" spans="2:58">
      <c r="B393" t="s">
        <v>382</v>
      </c>
      <c r="D393" s="879">
        <v>18.2</v>
      </c>
      <c r="E393" s="879">
        <v>20.6</v>
      </c>
      <c r="F393" s="879">
        <v>22.2</v>
      </c>
      <c r="G393" s="879">
        <v>23.1</v>
      </c>
      <c r="H393" s="879">
        <v>24</v>
      </c>
      <c r="I393" s="879">
        <v>24.9</v>
      </c>
      <c r="J393" s="879">
        <v>26.2</v>
      </c>
      <c r="K393" s="879">
        <v>27</v>
      </c>
      <c r="L393" s="879">
        <v>28</v>
      </c>
      <c r="M393" s="879">
        <v>29.2</v>
      </c>
      <c r="N393" s="879">
        <v>30.6</v>
      </c>
      <c r="O393" s="879">
        <v>31.4</v>
      </c>
      <c r="P393" s="879">
        <v>32.5</v>
      </c>
      <c r="Q393" s="879">
        <v>33.299999999999997</v>
      </c>
      <c r="R393" s="879">
        <v>34.200000000000003</v>
      </c>
      <c r="S393" s="879">
        <v>34.799999999999997</v>
      </c>
      <c r="T393" s="879">
        <v>35.6</v>
      </c>
      <c r="U393" s="879">
        <v>37.200000000000003</v>
      </c>
      <c r="V393" s="879">
        <v>39.6</v>
      </c>
      <c r="W393" s="879">
        <v>42.7</v>
      </c>
      <c r="X393" s="879">
        <v>45.3</v>
      </c>
      <c r="Y393" s="879">
        <v>47.5</v>
      </c>
      <c r="Z393" s="879">
        <v>50.2</v>
      </c>
      <c r="AA393" s="879">
        <v>51.9</v>
      </c>
      <c r="AB393" s="879">
        <v>54.1</v>
      </c>
      <c r="AC393" s="879">
        <v>56.4</v>
      </c>
      <c r="AD393" s="879">
        <v>58.4</v>
      </c>
      <c r="AE393" s="879">
        <v>59.7</v>
      </c>
      <c r="AF393" s="879">
        <v>61.3</v>
      </c>
      <c r="AG393" s="879"/>
      <c r="AH393" s="879"/>
      <c r="AI393" s="879"/>
      <c r="AY393" s="8">
        <f>+G393</f>
        <v>23.1</v>
      </c>
      <c r="AZ393" s="8">
        <f>+K393</f>
        <v>27</v>
      </c>
      <c r="BA393" s="8">
        <f>+O393</f>
        <v>31.4</v>
      </c>
      <c r="BB393" s="8">
        <f>+S393</f>
        <v>34.799999999999997</v>
      </c>
      <c r="BC393" s="8">
        <f>+W393</f>
        <v>42.7</v>
      </c>
      <c r="BD393" s="8">
        <f t="shared" ref="BD393" si="438">+X393</f>
        <v>45.3</v>
      </c>
      <c r="BE393" s="8">
        <f>+AE393</f>
        <v>59.7</v>
      </c>
      <c r="BF393" s="8"/>
    </row>
    <row r="394" spans="2:58">
      <c r="B394" s="12" t="s">
        <v>113</v>
      </c>
      <c r="H394" s="1006">
        <f>+H393/D393-1</f>
        <v>0.31868131868131866</v>
      </c>
      <c r="I394" s="1006">
        <f t="shared" ref="I394:L394" si="439">+I393/E393-1</f>
        <v>0.20873786407766981</v>
      </c>
      <c r="J394" s="1006">
        <f t="shared" si="439"/>
        <v>0.18018018018018012</v>
      </c>
      <c r="K394" s="1006">
        <f t="shared" si="439"/>
        <v>0.16883116883116878</v>
      </c>
      <c r="L394" s="1006">
        <f t="shared" si="439"/>
        <v>0.16666666666666674</v>
      </c>
      <c r="M394" s="1006">
        <f>+M393/I393-1</f>
        <v>0.17269076305220898</v>
      </c>
      <c r="N394" s="1006">
        <f>+N393/J393-1</f>
        <v>0.16793893129770998</v>
      </c>
      <c r="O394" s="1006">
        <f t="shared" ref="O394:AF394" si="440">+O393/K393-1</f>
        <v>0.16296296296296298</v>
      </c>
      <c r="P394" s="1006">
        <f t="shared" si="440"/>
        <v>0.16071428571428581</v>
      </c>
      <c r="Q394" s="1006">
        <f t="shared" si="440"/>
        <v>0.1404109589041096</v>
      </c>
      <c r="R394" s="1006">
        <f t="shared" si="440"/>
        <v>0.11764705882352944</v>
      </c>
      <c r="S394" s="1006">
        <f t="shared" si="440"/>
        <v>0.10828025477707004</v>
      </c>
      <c r="T394" s="1006">
        <f t="shared" si="440"/>
        <v>9.5384615384615401E-2</v>
      </c>
      <c r="U394" s="1006">
        <f t="shared" si="440"/>
        <v>0.11711711711711725</v>
      </c>
      <c r="V394" s="1006">
        <f t="shared" si="440"/>
        <v>0.15789473684210531</v>
      </c>
      <c r="W394" s="1006">
        <f t="shared" si="440"/>
        <v>0.22701149425287381</v>
      </c>
      <c r="X394" s="1006">
        <f t="shared" si="440"/>
        <v>0.27247191011235938</v>
      </c>
      <c r="Y394" s="1006">
        <f t="shared" si="440"/>
        <v>0.2768817204301075</v>
      </c>
      <c r="Z394" s="1006">
        <f t="shared" si="440"/>
        <v>0.26767676767676774</v>
      </c>
      <c r="AA394" s="1006">
        <f t="shared" si="440"/>
        <v>0.21545667447306771</v>
      </c>
      <c r="AB394" s="1006">
        <f t="shared" si="440"/>
        <v>0.19426048565121423</v>
      </c>
      <c r="AC394" s="1006">
        <f t="shared" si="440"/>
        <v>0.18736842105263163</v>
      </c>
      <c r="AD394" s="1006">
        <f t="shared" si="440"/>
        <v>0.16334661354581659</v>
      </c>
      <c r="AE394" s="1006">
        <f t="shared" si="440"/>
        <v>0.1502890173410405</v>
      </c>
      <c r="AF394" s="1006">
        <f t="shared" si="440"/>
        <v>0.13308687615526793</v>
      </c>
      <c r="AG394" s="1006"/>
      <c r="AH394" s="1006"/>
      <c r="AI394" s="1006"/>
      <c r="AZ394" s="1007">
        <f>+AZ393/AY393-1</f>
        <v>0.16883116883116878</v>
      </c>
      <c r="BA394" s="1007">
        <f t="shared" ref="BA394:BE394" si="441">+BA393/AZ393-1</f>
        <v>0.16296296296296298</v>
      </c>
      <c r="BB394" s="1007">
        <f t="shared" si="441"/>
        <v>0.10828025477707004</v>
      </c>
      <c r="BC394" s="1007">
        <f t="shared" si="441"/>
        <v>0.22701149425287381</v>
      </c>
      <c r="BD394" s="1007">
        <f t="shared" si="441"/>
        <v>6.0889929742388604E-2</v>
      </c>
      <c r="BE394" s="1007">
        <f t="shared" si="441"/>
        <v>0.31788079470198682</v>
      </c>
      <c r="BF394" s="1007"/>
    </row>
    <row r="395" spans="2:58">
      <c r="B395" s="843"/>
      <c r="J395" s="879"/>
      <c r="K395" s="879"/>
      <c r="L395" s="879"/>
      <c r="M395" s="879"/>
      <c r="N395" s="1008"/>
    </row>
    <row r="396" spans="2:58">
      <c r="B396" s="852" t="s">
        <v>385</v>
      </c>
      <c r="J396" s="879"/>
      <c r="K396" s="879"/>
      <c r="L396" s="879"/>
      <c r="M396" s="879"/>
      <c r="N396" s="1008"/>
    </row>
    <row r="397" spans="2:58">
      <c r="B397" t="s">
        <v>1219</v>
      </c>
      <c r="H397" s="911"/>
      <c r="I397" s="911"/>
      <c r="J397" s="911"/>
      <c r="K397" s="911"/>
      <c r="L397" s="911"/>
      <c r="M397" s="911"/>
      <c r="N397" s="911">
        <v>0.37</v>
      </c>
      <c r="O397" s="911">
        <v>0.37</v>
      </c>
      <c r="P397" s="911">
        <v>0.33</v>
      </c>
      <c r="Q397" s="911">
        <v>0.28999999999999998</v>
      </c>
      <c r="R397" s="911">
        <v>0.27</v>
      </c>
      <c r="S397" s="911">
        <v>0.25</v>
      </c>
      <c r="T397" s="911">
        <v>0.25</v>
      </c>
      <c r="U397" s="911">
        <v>0.24</v>
      </c>
      <c r="V397" s="911">
        <v>0.21</v>
      </c>
      <c r="W397" s="911">
        <v>0.1</v>
      </c>
      <c r="X397" s="911">
        <v>0.16</v>
      </c>
      <c r="Y397" s="911">
        <v>0.23</v>
      </c>
      <c r="Z397" s="911">
        <v>0.25</v>
      </c>
      <c r="AA397" s="911">
        <v>0.46</v>
      </c>
      <c r="AB397" s="911">
        <v>0.42</v>
      </c>
      <c r="AC397" s="911">
        <v>0.37</v>
      </c>
      <c r="AD397" s="911">
        <v>0.34</v>
      </c>
      <c r="AE397" s="911">
        <v>0.26</v>
      </c>
      <c r="AF397" s="911">
        <v>0.17</v>
      </c>
      <c r="AG397" s="911"/>
      <c r="AH397" s="911"/>
      <c r="AI397" s="911"/>
      <c r="AZ397" s="912"/>
      <c r="BA397" s="25" t="s">
        <v>271</v>
      </c>
      <c r="BB397" s="912">
        <f>AVERAGE(P397:S397)</f>
        <v>0.28500000000000003</v>
      </c>
      <c r="BC397" s="912">
        <f>+AVERAGE(T397:W397)</f>
        <v>0.19999999999999998</v>
      </c>
      <c r="BD397" s="912">
        <f>+AVERAGE(X397:AA397)</f>
        <v>0.27500000000000002</v>
      </c>
      <c r="BE397" s="912">
        <f t="shared" ref="BE397:BE398" si="442">+AVERAGE(AB397:AE397)</f>
        <v>0.34750000000000003</v>
      </c>
      <c r="BF397" s="912"/>
    </row>
    <row r="398" spans="2:58">
      <c r="B398" s="12" t="s">
        <v>270</v>
      </c>
      <c r="H398" s="911"/>
      <c r="I398" s="911"/>
      <c r="J398" s="911"/>
      <c r="K398" s="911"/>
      <c r="L398" s="911"/>
      <c r="M398" s="911"/>
      <c r="N398" s="911">
        <v>0.33</v>
      </c>
      <c r="O398" s="911">
        <v>0.34</v>
      </c>
      <c r="P398" s="911">
        <v>0.33</v>
      </c>
      <c r="Q398" s="911">
        <v>0.3</v>
      </c>
      <c r="R398" s="911">
        <v>0.28999999999999998</v>
      </c>
      <c r="S398" s="911">
        <v>0.28000000000000003</v>
      </c>
      <c r="T398" s="911">
        <v>0.26</v>
      </c>
      <c r="U398" s="911">
        <v>0.26</v>
      </c>
      <c r="V398" s="911">
        <v>0.22</v>
      </c>
      <c r="W398" s="911">
        <v>0.11</v>
      </c>
      <c r="X398" s="911">
        <v>0.16</v>
      </c>
      <c r="Y398" s="911">
        <v>0.22</v>
      </c>
      <c r="Z398" s="911">
        <v>0.23</v>
      </c>
      <c r="AA398" s="911">
        <v>0.42</v>
      </c>
      <c r="AB398" s="911">
        <v>0.39</v>
      </c>
      <c r="AC398" s="911">
        <v>0.36</v>
      </c>
      <c r="AD398" s="911">
        <v>0.35</v>
      </c>
      <c r="AE398" s="911">
        <v>0.28999999999999998</v>
      </c>
      <c r="AF398" s="911">
        <v>0.21</v>
      </c>
      <c r="AG398" s="911"/>
      <c r="AH398" s="911"/>
      <c r="AI398" s="911"/>
      <c r="AZ398" s="912"/>
      <c r="BA398" s="25" t="s">
        <v>271</v>
      </c>
      <c r="BB398" s="912">
        <f>AVERAGE(P398:S398)</f>
        <v>0.3</v>
      </c>
      <c r="BC398" s="912">
        <f>+AVERAGE(T398:W398)</f>
        <v>0.21249999999999999</v>
      </c>
      <c r="BD398" s="912">
        <f>+AVERAGE(X398:AA398)</f>
        <v>0.25750000000000001</v>
      </c>
      <c r="BE398" s="912">
        <f t="shared" si="442"/>
        <v>0.34750000000000003</v>
      </c>
      <c r="BF398" s="912"/>
    </row>
    <row r="399" spans="2:58" s="3" customFormat="1">
      <c r="B399" s="921"/>
      <c r="J399" s="931"/>
      <c r="K399" s="931"/>
      <c r="L399" s="931"/>
      <c r="M399" s="931"/>
      <c r="N399" s="890"/>
      <c r="BA399" s="932"/>
    </row>
    <row r="400" spans="2:58">
      <c r="B400" t="s">
        <v>387</v>
      </c>
      <c r="J400" s="879"/>
      <c r="K400" s="879"/>
      <c r="L400" s="879"/>
      <c r="M400" s="929" t="s">
        <v>388</v>
      </c>
      <c r="N400" s="929" t="s">
        <v>389</v>
      </c>
      <c r="O400" s="911">
        <v>0.41</v>
      </c>
      <c r="P400" s="911">
        <v>0.34</v>
      </c>
      <c r="Q400" s="911">
        <v>0.3</v>
      </c>
      <c r="R400" s="911">
        <v>0.24</v>
      </c>
      <c r="S400" s="911">
        <v>0.22</v>
      </c>
      <c r="T400" s="911">
        <v>0.22</v>
      </c>
      <c r="U400" s="911">
        <v>0.25</v>
      </c>
      <c r="V400" s="911">
        <v>0.26</v>
      </c>
      <c r="W400" s="929">
        <v>0.27</v>
      </c>
      <c r="X400" s="929">
        <v>0.31</v>
      </c>
      <c r="Y400" s="929">
        <v>0.3</v>
      </c>
      <c r="Z400" s="929">
        <v>0.28999999999999998</v>
      </c>
      <c r="AA400" s="929">
        <v>0.3</v>
      </c>
      <c r="AB400" s="929">
        <v>0.19</v>
      </c>
      <c r="AC400" s="929">
        <v>0.22</v>
      </c>
      <c r="AD400" s="929">
        <v>0.22</v>
      </c>
      <c r="AE400" s="929">
        <v>0.22</v>
      </c>
      <c r="AF400" s="929">
        <v>0.24</v>
      </c>
      <c r="AG400" s="929"/>
      <c r="AH400" s="929"/>
      <c r="AI400" s="929"/>
      <c r="BA400" s="41" t="s">
        <v>271</v>
      </c>
      <c r="BB400" s="900">
        <f>AVERAGE(P400:S400)</f>
        <v>0.27500000000000002</v>
      </c>
      <c r="BC400" s="912">
        <f>+AVERAGE(T400:W400)</f>
        <v>0.25</v>
      </c>
      <c r="BD400" s="912">
        <f>+AVERAGE(X400:AA400)</f>
        <v>0.3</v>
      </c>
      <c r="BE400" s="900">
        <f>+AVERAGE(AB400:AE400)</f>
        <v>0.21249999999999999</v>
      </c>
      <c r="BF400" s="900"/>
    </row>
    <row r="401" spans="2:58" s="3" customFormat="1">
      <c r="B401" s="921"/>
      <c r="J401" s="931"/>
      <c r="K401" s="931"/>
      <c r="L401" s="931"/>
      <c r="M401" s="931"/>
      <c r="N401" s="890"/>
    </row>
    <row r="402" spans="2:58" s="3" customFormat="1">
      <c r="B402" s="852" t="s">
        <v>1220</v>
      </c>
      <c r="J402" s="931"/>
      <c r="K402" s="931"/>
      <c r="L402" s="931"/>
      <c r="M402" s="931"/>
      <c r="N402" s="890"/>
    </row>
    <row r="403" spans="2:58">
      <c r="B403" t="s">
        <v>1221</v>
      </c>
      <c r="D403">
        <v>0.03</v>
      </c>
      <c r="E403">
        <v>0.03</v>
      </c>
      <c r="F403">
        <v>0.04</v>
      </c>
      <c r="G403">
        <v>0.06</v>
      </c>
      <c r="H403" s="911">
        <v>0.1</v>
      </c>
      <c r="I403" s="911">
        <v>0.01</v>
      </c>
      <c r="J403" s="911">
        <v>0.1</v>
      </c>
      <c r="K403" s="911">
        <v>0.02</v>
      </c>
      <c r="L403" s="911">
        <v>0.13</v>
      </c>
      <c r="M403" s="911">
        <v>0.1</v>
      </c>
      <c r="N403" s="911">
        <v>0.17</v>
      </c>
      <c r="O403" s="911">
        <v>0.11</v>
      </c>
      <c r="P403" s="911">
        <v>0.2</v>
      </c>
      <c r="Q403" s="911">
        <v>0.17</v>
      </c>
      <c r="R403" s="911">
        <v>0.13</v>
      </c>
      <c r="S403" s="911">
        <v>0.12</v>
      </c>
      <c r="T403" s="911">
        <v>0.14000000000000001</v>
      </c>
      <c r="U403" s="911">
        <v>0.12</v>
      </c>
      <c r="V403" s="911">
        <v>0.17</v>
      </c>
      <c r="W403" s="911">
        <v>0.13</v>
      </c>
      <c r="X403" s="911">
        <v>0.19</v>
      </c>
      <c r="Y403" s="911">
        <v>0.21</v>
      </c>
      <c r="Z403" s="911">
        <v>0.26</v>
      </c>
      <c r="AA403" s="911">
        <v>0.33</v>
      </c>
      <c r="AB403" s="911">
        <v>0.31</v>
      </c>
      <c r="AC403" s="911">
        <v>0.28999999999999998</v>
      </c>
      <c r="AD403" s="911">
        <v>0.22</v>
      </c>
      <c r="AE403" s="911">
        <v>0.19</v>
      </c>
      <c r="AF403" s="911">
        <v>0.15</v>
      </c>
      <c r="AG403" s="911"/>
      <c r="AH403" s="911"/>
      <c r="AI403" s="911"/>
      <c r="AZ403" s="912">
        <f>+AVERAGE(H403:K403)</f>
        <v>5.7500000000000002E-2</v>
      </c>
      <c r="BA403" s="912">
        <f>+AVERAGE(L403:O403)</f>
        <v>0.1275</v>
      </c>
      <c r="BB403" s="912">
        <f>AVERAGE(P403:S403)</f>
        <v>0.155</v>
      </c>
      <c r="BC403" s="912">
        <f>+AVERAGE(T403:W403)</f>
        <v>0.14000000000000001</v>
      </c>
      <c r="BD403" s="912">
        <f>+AVERAGE(X403:AA403)</f>
        <v>0.2475</v>
      </c>
      <c r="BE403" s="912">
        <f t="shared" ref="BE403:BE404" si="443">+AVERAGE(AB403:AE403)</f>
        <v>0.2525</v>
      </c>
      <c r="BF403" s="912"/>
    </row>
    <row r="404" spans="2:58">
      <c r="B404" s="12" t="s">
        <v>270</v>
      </c>
      <c r="D404">
        <v>0.12</v>
      </c>
      <c r="E404">
        <v>0.11</v>
      </c>
      <c r="F404">
        <v>0.09</v>
      </c>
      <c r="G404">
        <v>7.0000000000000007E-2</v>
      </c>
      <c r="H404" s="911">
        <v>0.12</v>
      </c>
      <c r="I404" s="911">
        <v>0.02</v>
      </c>
      <c r="J404" s="911">
        <v>0.12</v>
      </c>
      <c r="K404" s="911">
        <v>0.04</v>
      </c>
      <c r="L404" s="911">
        <v>0.12</v>
      </c>
      <c r="M404" s="911">
        <v>0.09</v>
      </c>
      <c r="N404" s="911">
        <v>0.14000000000000001</v>
      </c>
      <c r="O404" s="911">
        <v>0.08</v>
      </c>
      <c r="P404" s="911">
        <v>0.2</v>
      </c>
      <c r="Q404" s="911">
        <v>0.17</v>
      </c>
      <c r="R404" s="911">
        <v>0.15</v>
      </c>
      <c r="S404" s="911">
        <v>0.15</v>
      </c>
      <c r="T404" s="911">
        <v>0.16</v>
      </c>
      <c r="U404" s="911">
        <v>0.15</v>
      </c>
      <c r="V404" s="911">
        <v>0.2</v>
      </c>
      <c r="W404" s="911">
        <v>0.15</v>
      </c>
      <c r="X404" s="911">
        <v>0.18</v>
      </c>
      <c r="Y404" s="911">
        <v>0.18</v>
      </c>
      <c r="Z404" s="911">
        <v>0.22</v>
      </c>
      <c r="AA404" s="911">
        <v>0.26</v>
      </c>
      <c r="AB404" s="911">
        <v>0.28999999999999998</v>
      </c>
      <c r="AC404" s="911">
        <v>0.28999999999999998</v>
      </c>
      <c r="AD404" s="911">
        <v>0.25</v>
      </c>
      <c r="AE404" s="911">
        <v>0.24</v>
      </c>
      <c r="AF404" s="911">
        <v>0.22</v>
      </c>
      <c r="AG404" s="911"/>
      <c r="AH404" s="911"/>
      <c r="AI404" s="911"/>
      <c r="AZ404" s="912">
        <f>+AVERAGE(H404:K404)</f>
        <v>7.4999999999999997E-2</v>
      </c>
      <c r="BA404" s="912">
        <f>+AVERAGE(L404:O404)</f>
        <v>0.1075</v>
      </c>
      <c r="BB404" s="912">
        <f>AVERAGE(P404:S404)</f>
        <v>0.16750000000000001</v>
      </c>
      <c r="BC404" s="912">
        <f>+AVERAGE(T404:W404)</f>
        <v>0.16500000000000001</v>
      </c>
      <c r="BD404" s="912">
        <f>+AVERAGE(X404:AA404)</f>
        <v>0.21</v>
      </c>
      <c r="BE404" s="912">
        <f t="shared" si="443"/>
        <v>0.26749999999999996</v>
      </c>
      <c r="BF404" s="912"/>
    </row>
    <row r="405" spans="2:58">
      <c r="B405" s="12"/>
      <c r="D405" s="911"/>
      <c r="E405" s="911"/>
      <c r="F405" s="911"/>
      <c r="G405" s="911"/>
      <c r="H405" s="911"/>
      <c r="I405" s="911"/>
      <c r="J405" s="911"/>
      <c r="K405" s="911"/>
      <c r="L405" s="911"/>
      <c r="M405" s="911"/>
      <c r="N405" s="911"/>
      <c r="O405" s="911"/>
      <c r="P405" s="911"/>
      <c r="Q405" s="911"/>
      <c r="R405" s="911"/>
      <c r="S405" s="911"/>
      <c r="T405" s="911"/>
      <c r="U405" s="911"/>
      <c r="V405" s="911"/>
      <c r="W405" s="911"/>
      <c r="X405" s="911"/>
      <c r="Y405" s="911"/>
      <c r="Z405" s="911"/>
      <c r="AA405" s="911"/>
      <c r="AB405" s="911"/>
      <c r="AC405" s="911"/>
      <c r="AD405" s="911"/>
      <c r="AE405" s="911"/>
      <c r="AF405" s="911"/>
      <c r="AG405" s="911"/>
      <c r="AH405" s="911"/>
      <c r="AI405" s="911"/>
      <c r="AZ405" s="912"/>
      <c r="BA405" s="912"/>
      <c r="BB405" s="912"/>
      <c r="BC405" s="912"/>
      <c r="BD405" s="912"/>
      <c r="BE405" s="912"/>
      <c r="BF405" s="912"/>
    </row>
    <row r="406" spans="2:58">
      <c r="B406" t="s">
        <v>1222</v>
      </c>
      <c r="H406" s="911"/>
      <c r="I406" s="911"/>
      <c r="J406" s="911"/>
      <c r="K406" s="911"/>
      <c r="L406" s="911">
        <v>0.69</v>
      </c>
      <c r="M406" s="911">
        <v>0.67</v>
      </c>
      <c r="N406" s="911">
        <v>0.65</v>
      </c>
      <c r="O406" s="911">
        <v>0.61</v>
      </c>
      <c r="P406" s="911">
        <v>0.51</v>
      </c>
      <c r="Q406" s="911">
        <v>0.51</v>
      </c>
      <c r="R406" s="911">
        <v>0.43</v>
      </c>
      <c r="S406" s="911">
        <v>0.45</v>
      </c>
      <c r="T406" s="911">
        <v>0.41</v>
      </c>
      <c r="U406" s="911">
        <v>0.42</v>
      </c>
      <c r="V406" s="911">
        <v>0.47</v>
      </c>
      <c r="W406" s="911">
        <v>0.38</v>
      </c>
      <c r="X406" s="911">
        <v>0.38</v>
      </c>
      <c r="Y406" s="911">
        <v>0.39</v>
      </c>
      <c r="Z406" s="911">
        <v>0.45</v>
      </c>
      <c r="AA406" s="911">
        <v>0.49</v>
      </c>
      <c r="AB406" s="911">
        <v>0.48</v>
      </c>
      <c r="AC406" s="911">
        <v>0.45</v>
      </c>
      <c r="AD406" s="911">
        <v>0.35</v>
      </c>
      <c r="AE406" s="911">
        <v>0.31</v>
      </c>
      <c r="AF406" s="911">
        <v>0.24</v>
      </c>
      <c r="AG406" s="911"/>
      <c r="AH406" s="911"/>
      <c r="AI406" s="911"/>
      <c r="AZ406" s="912"/>
      <c r="BA406" s="912">
        <f>+AVERAGE(L406:O406)</f>
        <v>0.65499999999999992</v>
      </c>
      <c r="BB406" s="912">
        <f>AVERAGE(P406:S406)</f>
        <v>0.47499999999999998</v>
      </c>
      <c r="BC406" s="912">
        <f>+AVERAGE(T406:W406)</f>
        <v>0.41999999999999993</v>
      </c>
      <c r="BD406" s="912">
        <f>+AVERAGE(X406:AA406)</f>
        <v>0.42749999999999999</v>
      </c>
      <c r="BE406" s="912">
        <f t="shared" ref="BE406:BE407" si="444">+AVERAGE(AB406:AE406)</f>
        <v>0.39749999999999996</v>
      </c>
      <c r="BF406" s="912"/>
    </row>
    <row r="407" spans="2:58">
      <c r="B407" s="12" t="s">
        <v>270</v>
      </c>
      <c r="H407" s="911"/>
      <c r="I407" s="911"/>
      <c r="J407" s="911"/>
      <c r="K407" s="911"/>
      <c r="L407" s="911">
        <v>0.69</v>
      </c>
      <c r="M407" s="911">
        <v>0.68</v>
      </c>
      <c r="N407" s="911">
        <v>0.62</v>
      </c>
      <c r="O407" s="911">
        <v>0.56000000000000005</v>
      </c>
      <c r="P407" s="911">
        <v>0.49</v>
      </c>
      <c r="Q407" s="911">
        <v>0.5</v>
      </c>
      <c r="R407" s="911">
        <v>0.44</v>
      </c>
      <c r="S407" s="911">
        <v>0.48</v>
      </c>
      <c r="T407" s="911">
        <v>0.44</v>
      </c>
      <c r="U407" s="911">
        <v>0.45</v>
      </c>
      <c r="V407" s="911">
        <v>0.49</v>
      </c>
      <c r="W407" s="911">
        <v>0.4</v>
      </c>
      <c r="X407" s="911">
        <v>0.37</v>
      </c>
      <c r="Y407" s="911">
        <v>0.37</v>
      </c>
      <c r="Z407" s="911">
        <v>0.4</v>
      </c>
      <c r="AA407" s="911">
        <v>0.42</v>
      </c>
      <c r="AB407" s="911">
        <v>0.45</v>
      </c>
      <c r="AC407" s="911">
        <v>0.44</v>
      </c>
      <c r="AD407" s="911">
        <v>0.38</v>
      </c>
      <c r="AE407" s="911">
        <v>0.36</v>
      </c>
      <c r="AF407" s="911">
        <v>0.32</v>
      </c>
      <c r="AG407" s="911"/>
      <c r="AH407" s="911"/>
      <c r="AI407" s="911"/>
      <c r="AZ407" s="912"/>
      <c r="BA407" s="912">
        <f>+AVERAGE(L407:O407)</f>
        <v>0.63750000000000007</v>
      </c>
      <c r="BB407" s="912">
        <f>AVERAGE(P407:S407)</f>
        <v>0.47749999999999998</v>
      </c>
      <c r="BC407" s="912">
        <f>+AVERAGE(T407:W407)</f>
        <v>0.44499999999999995</v>
      </c>
      <c r="BD407" s="912">
        <f>+AVERAGE(X407:AA407)</f>
        <v>0.39</v>
      </c>
      <c r="BE407" s="912">
        <f t="shared" si="444"/>
        <v>0.40749999999999997</v>
      </c>
      <c r="BF407" s="912"/>
    </row>
    <row r="409" spans="2:58" ht="10.5">
      <c r="B409" s="45" t="s">
        <v>385</v>
      </c>
    </row>
    <row r="410" spans="2:58">
      <c r="B410" s="3" t="s">
        <v>386</v>
      </c>
    </row>
    <row r="411" spans="2:58">
      <c r="B411" s="3"/>
    </row>
    <row r="412" spans="2:58">
      <c r="B412" t="s">
        <v>86</v>
      </c>
      <c r="H412" s="879"/>
      <c r="I412" s="879">
        <v>228</v>
      </c>
      <c r="J412" s="879">
        <v>976</v>
      </c>
      <c r="K412" s="879">
        <v>1067</v>
      </c>
      <c r="L412" s="879">
        <v>1148</v>
      </c>
      <c r="M412" s="879">
        <v>1312</v>
      </c>
      <c r="N412" s="879">
        <v>1335</v>
      </c>
      <c r="O412" s="879">
        <v>1464</v>
      </c>
      <c r="P412" s="879">
        <f t="shared" ref="P412:V412" si="445">+P296</f>
        <v>1530</v>
      </c>
      <c r="Q412" s="879">
        <f t="shared" si="445"/>
        <v>1693</v>
      </c>
      <c r="R412" s="879">
        <f t="shared" si="445"/>
        <v>1696</v>
      </c>
      <c r="S412" s="879">
        <f t="shared" si="445"/>
        <v>1835</v>
      </c>
      <c r="T412" s="879">
        <f t="shared" si="445"/>
        <v>1909</v>
      </c>
      <c r="U412" s="879">
        <f t="shared" si="445"/>
        <v>2102</v>
      </c>
      <c r="V412" s="879">
        <f t="shared" si="445"/>
        <v>2050</v>
      </c>
      <c r="W412" s="880">
        <f>+S412*(1+W413)</f>
        <v>2018.5000000000002</v>
      </c>
      <c r="X412" s="880">
        <f t="shared" ref="X412:AF412" si="446">+T412*(1+X413)</f>
        <v>2214.44</v>
      </c>
      <c r="Y412" s="880">
        <f t="shared" si="446"/>
        <v>2585.46</v>
      </c>
      <c r="Z412" s="880">
        <f t="shared" si="446"/>
        <v>2562.5</v>
      </c>
      <c r="AA412" s="880">
        <f t="shared" si="446"/>
        <v>2947.01</v>
      </c>
      <c r="AB412" s="880">
        <f t="shared" si="446"/>
        <v>3144.5047999999997</v>
      </c>
      <c r="AC412" s="880">
        <f t="shared" si="446"/>
        <v>3542.0802000000003</v>
      </c>
      <c r="AD412" s="880">
        <f t="shared" si="446"/>
        <v>3433.75</v>
      </c>
      <c r="AE412" s="880">
        <f t="shared" si="446"/>
        <v>3713.2326000000003</v>
      </c>
      <c r="AF412" s="880">
        <f t="shared" si="446"/>
        <v>3679.0706159999995</v>
      </c>
      <c r="AG412" s="879"/>
      <c r="AH412" s="879"/>
      <c r="AI412" s="879"/>
      <c r="AZ412" s="8">
        <f>+SUM(H412:K412)</f>
        <v>2271</v>
      </c>
      <c r="BA412" s="8">
        <f>+SUM(L412:O412)</f>
        <v>5259</v>
      </c>
      <c r="BB412" s="8">
        <f>+SUM(P412:S412)</f>
        <v>6754</v>
      </c>
      <c r="BC412" s="8">
        <f>SUM(T412:W412)</f>
        <v>8079.5</v>
      </c>
      <c r="BD412" s="8">
        <f>SUM(X412:AA412)</f>
        <v>10309.41</v>
      </c>
      <c r="BE412" s="8">
        <f>SUM(AB412:AE412)</f>
        <v>13833.567599999998</v>
      </c>
      <c r="BF412" s="8"/>
    </row>
    <row r="413" spans="2:58" s="3" customFormat="1">
      <c r="B413" s="15" t="s">
        <v>113</v>
      </c>
      <c r="H413" s="931"/>
      <c r="I413" s="931"/>
      <c r="J413" s="931"/>
      <c r="K413" s="931"/>
      <c r="L413" s="931"/>
      <c r="M413" s="14" t="s">
        <v>271</v>
      </c>
      <c r="N413" s="14">
        <f>+N412/J412-1</f>
        <v>0.36782786885245899</v>
      </c>
      <c r="O413" s="14">
        <f>+O412/K412-1</f>
        <v>0.37207122774133072</v>
      </c>
      <c r="P413" s="14">
        <f>+P412/L412-1</f>
        <v>0.33275261324041816</v>
      </c>
      <c r="Q413" s="14">
        <f t="shared" ref="Q413:V413" si="447">+Q412/M412-1</f>
        <v>0.29039634146341453</v>
      </c>
      <c r="R413" s="14">
        <f t="shared" si="447"/>
        <v>0.27041198501872654</v>
      </c>
      <c r="S413" s="14">
        <f t="shared" si="447"/>
        <v>0.25341530054644812</v>
      </c>
      <c r="T413" s="14">
        <f t="shared" si="447"/>
        <v>0.2477124183006536</v>
      </c>
      <c r="U413" s="14">
        <f t="shared" si="447"/>
        <v>0.24158298877731843</v>
      </c>
      <c r="V413" s="14">
        <f t="shared" si="447"/>
        <v>0.20872641509433953</v>
      </c>
      <c r="W413" s="904">
        <f>+W397</f>
        <v>0.1</v>
      </c>
      <c r="X413" s="904">
        <f t="shared" ref="X413:X414" si="448">+X397</f>
        <v>0.16</v>
      </c>
      <c r="Y413" s="904">
        <v>0.23</v>
      </c>
      <c r="Z413" s="904">
        <v>0.25</v>
      </c>
      <c r="AA413" s="904">
        <v>0.46</v>
      </c>
      <c r="AB413" s="904">
        <v>0.42</v>
      </c>
      <c r="AC413" s="904">
        <v>0.37</v>
      </c>
      <c r="AD413" s="904">
        <v>0.34</v>
      </c>
      <c r="AE413" s="904">
        <v>0.26</v>
      </c>
      <c r="AF413" s="904">
        <v>0.17</v>
      </c>
      <c r="AG413" s="14"/>
      <c r="AH413" s="14"/>
      <c r="AI413" s="14"/>
      <c r="BA413" s="14">
        <f>+IFERROR(BA412/AZ412-1,"n/a ")</f>
        <v>1.3157199471598413</v>
      </c>
      <c r="BB413" s="14">
        <f>+IFERROR(BB412/BA412-1,"n/a ")</f>
        <v>0.28427457691576352</v>
      </c>
      <c r="BC413" s="14">
        <f>+IFERROR(BC412/BB412-1,"n/a ")</f>
        <v>0.19625407166123776</v>
      </c>
      <c r="BD413" s="14">
        <f t="shared" ref="BD413:BE413" si="449">+IFERROR(BD412/BC412-1,"n/a ")</f>
        <v>0.27599603935887118</v>
      </c>
      <c r="BE413" s="14">
        <f t="shared" si="449"/>
        <v>0.34183892191696708</v>
      </c>
      <c r="BF413" s="14"/>
    </row>
    <row r="414" spans="2:58" s="3" customFormat="1">
      <c r="B414" s="15" t="s">
        <v>270</v>
      </c>
      <c r="H414" s="931"/>
      <c r="I414" s="931"/>
      <c r="J414" s="931"/>
      <c r="K414" s="931"/>
      <c r="L414" s="931"/>
      <c r="M414" s="933" t="s">
        <v>271</v>
      </c>
      <c r="N414" s="904">
        <f>+N398</f>
        <v>0.33</v>
      </c>
      <c r="O414" s="904">
        <f t="shared" ref="O414:V414" si="450">+O398</f>
        <v>0.34</v>
      </c>
      <c r="P414" s="904">
        <f t="shared" si="450"/>
        <v>0.33</v>
      </c>
      <c r="Q414" s="904">
        <f t="shared" si="450"/>
        <v>0.3</v>
      </c>
      <c r="R414" s="904">
        <f t="shared" si="450"/>
        <v>0.28999999999999998</v>
      </c>
      <c r="S414" s="904">
        <f t="shared" si="450"/>
        <v>0.28000000000000003</v>
      </c>
      <c r="T414" s="904">
        <f t="shared" si="450"/>
        <v>0.26</v>
      </c>
      <c r="U414" s="904">
        <f t="shared" si="450"/>
        <v>0.26</v>
      </c>
      <c r="V414" s="904">
        <f t="shared" si="450"/>
        <v>0.22</v>
      </c>
      <c r="W414" s="904">
        <f>+W398</f>
        <v>0.11</v>
      </c>
      <c r="X414" s="904">
        <f t="shared" si="448"/>
        <v>0.16</v>
      </c>
      <c r="Y414" s="904">
        <v>0.22</v>
      </c>
      <c r="Z414" s="904">
        <v>0.23</v>
      </c>
      <c r="AA414" s="904">
        <v>0.42</v>
      </c>
      <c r="AB414" s="904">
        <v>0.39</v>
      </c>
      <c r="AC414" s="904">
        <v>0.36</v>
      </c>
      <c r="AD414" s="904">
        <v>0.35</v>
      </c>
      <c r="AE414" s="904">
        <v>0.28999999999999998</v>
      </c>
      <c r="AF414" s="904">
        <v>0.21</v>
      </c>
      <c r="AG414" s="904"/>
      <c r="AH414" s="904"/>
      <c r="AI414" s="904"/>
      <c r="BA414" s="23" t="s">
        <v>271</v>
      </c>
      <c r="BB414" s="21">
        <f>+AVERAGE(P414:S414)</f>
        <v>0.3</v>
      </c>
      <c r="BC414" s="21">
        <f>+AVERAGE(T414:W414)</f>
        <v>0.21249999999999999</v>
      </c>
      <c r="BD414" s="21">
        <f>SUMPRODUCT(X414:AA414,T412:W412)/BC412</f>
        <v>0.25832662912308929</v>
      </c>
      <c r="BE414" s="21">
        <f>SUMPRODUCT(AB414:AE414,X412:AA412)/BD412</f>
        <v>0.34394840247890035</v>
      </c>
    </row>
    <row r="416" spans="2:58" ht="11.45">
      <c r="B416" t="s">
        <v>390</v>
      </c>
      <c r="I416" s="879">
        <v>72</v>
      </c>
      <c r="J416" s="879">
        <v>218</v>
      </c>
      <c r="K416" s="879">
        <v>217</v>
      </c>
      <c r="L416" s="879">
        <v>218</v>
      </c>
      <c r="M416" s="879">
        <v>222</v>
      </c>
      <c r="N416" s="879">
        <v>224</v>
      </c>
      <c r="O416" s="879">
        <v>224</v>
      </c>
      <c r="P416" s="925"/>
      <c r="Q416" s="925"/>
      <c r="R416" s="925"/>
      <c r="S416" s="925"/>
      <c r="T416" s="925"/>
      <c r="U416" s="925"/>
      <c r="V416" s="925"/>
      <c r="W416" s="925"/>
      <c r="X416" s="925"/>
      <c r="Y416" s="925"/>
      <c r="Z416" s="925"/>
      <c r="AA416" s="925"/>
      <c r="AB416" s="925"/>
      <c r="AC416" s="925"/>
      <c r="AD416" s="925"/>
      <c r="AE416" s="925"/>
      <c r="AF416" s="925"/>
      <c r="AG416" s="879"/>
      <c r="AH416" s="879"/>
      <c r="AI416" s="879"/>
      <c r="AZ416" s="8">
        <f>+SUM(H416:K416)</f>
        <v>507</v>
      </c>
      <c r="BA416" s="8">
        <f>+SUM(L416:O416)</f>
        <v>888</v>
      </c>
      <c r="BB416" s="927"/>
      <c r="BC416" s="927"/>
      <c r="BD416" s="927"/>
      <c r="BE416" s="927"/>
    </row>
    <row r="417" spans="2:59" ht="11.45">
      <c r="B417" t="s">
        <v>391</v>
      </c>
      <c r="I417" s="905">
        <v>47</v>
      </c>
      <c r="J417" s="905">
        <v>178</v>
      </c>
      <c r="K417" s="905">
        <v>186</v>
      </c>
      <c r="L417" s="905">
        <v>193</v>
      </c>
      <c r="M417" s="905">
        <v>210</v>
      </c>
      <c r="N417" s="905">
        <v>216</v>
      </c>
      <c r="O417" s="905">
        <v>229</v>
      </c>
      <c r="P417" s="927"/>
      <c r="Q417" s="928"/>
      <c r="R417" s="928" t="s">
        <v>369</v>
      </c>
      <c r="S417" s="927"/>
      <c r="T417" s="927"/>
      <c r="U417" s="927"/>
      <c r="V417" s="927"/>
      <c r="W417" s="927"/>
      <c r="X417" s="927"/>
      <c r="Y417" s="927"/>
      <c r="Z417" s="927"/>
      <c r="AA417" s="927"/>
      <c r="AB417" s="927"/>
      <c r="AC417" s="927"/>
      <c r="AD417" s="927"/>
      <c r="AE417" s="927"/>
      <c r="AF417" s="927"/>
      <c r="AG417" s="905"/>
      <c r="AH417" s="905"/>
      <c r="AI417" s="905"/>
      <c r="AZ417" s="10">
        <f>+SUM(H417:K417)</f>
        <v>411</v>
      </c>
      <c r="BA417" s="10">
        <f>+SUM(L417:O417)</f>
        <v>848</v>
      </c>
      <c r="BB417" s="927"/>
      <c r="BC417" s="927"/>
      <c r="BD417" s="927"/>
      <c r="BE417" s="927"/>
    </row>
    <row r="418" spans="2:59" ht="11.45">
      <c r="B418" s="12" t="s">
        <v>392</v>
      </c>
      <c r="I418" s="8">
        <f>SUM(I416:I417)</f>
        <v>119</v>
      </c>
      <c r="J418" s="8">
        <f>SUM(J416:J417)</f>
        <v>396</v>
      </c>
      <c r="K418" s="8">
        <f t="shared" ref="K418:O418" si="451">SUM(K416:K417)</f>
        <v>403</v>
      </c>
      <c r="L418" s="8">
        <f t="shared" si="451"/>
        <v>411</v>
      </c>
      <c r="M418" s="8">
        <f t="shared" si="451"/>
        <v>432</v>
      </c>
      <c r="N418" s="8">
        <f t="shared" si="451"/>
        <v>440</v>
      </c>
      <c r="O418" s="8">
        <f t="shared" si="451"/>
        <v>453</v>
      </c>
      <c r="P418" s="926"/>
      <c r="Q418" s="926"/>
      <c r="R418" s="926"/>
      <c r="S418" s="926"/>
      <c r="T418" s="926"/>
      <c r="U418" s="926"/>
      <c r="V418" s="926"/>
      <c r="W418" s="926"/>
      <c r="X418" s="926"/>
      <c r="Y418" s="926"/>
      <c r="Z418" s="926"/>
      <c r="AA418" s="926"/>
      <c r="AB418" s="926"/>
      <c r="AC418" s="926"/>
      <c r="AD418" s="926"/>
      <c r="AE418" s="926"/>
      <c r="AF418" s="926"/>
      <c r="AG418" s="8"/>
      <c r="AH418" s="8"/>
      <c r="AI418" s="8"/>
      <c r="AZ418" s="8">
        <f>+SUM(H418:K418)</f>
        <v>918</v>
      </c>
      <c r="BA418" s="8">
        <f>+SUM(L418:O418)</f>
        <v>1736</v>
      </c>
      <c r="BB418" s="927"/>
      <c r="BC418" s="927"/>
      <c r="BD418" s="927"/>
      <c r="BE418" s="927"/>
    </row>
    <row r="419" spans="2:59" ht="11.45">
      <c r="P419" s="934"/>
      <c r="Q419" s="934"/>
      <c r="R419" s="934"/>
      <c r="S419" s="934"/>
      <c r="T419" s="934"/>
      <c r="U419" s="934"/>
      <c r="V419" s="934"/>
      <c r="W419" s="934"/>
      <c r="X419" s="934"/>
      <c r="Y419" s="934"/>
      <c r="Z419" s="934"/>
      <c r="AA419" s="934"/>
      <c r="AB419" s="934"/>
      <c r="AC419" s="934"/>
      <c r="AD419" s="934"/>
      <c r="AE419" s="934"/>
      <c r="AF419" s="934"/>
      <c r="BB419" s="927"/>
      <c r="BC419" s="927"/>
      <c r="BD419" s="927"/>
      <c r="BE419" s="927"/>
    </row>
    <row r="420" spans="2:59" ht="11.45">
      <c r="B420" t="s">
        <v>393</v>
      </c>
      <c r="I420" s="8">
        <f>+I412-I418</f>
        <v>109</v>
      </c>
      <c r="J420" s="8">
        <f>+J412-J418</f>
        <v>580</v>
      </c>
      <c r="K420" s="8">
        <f t="shared" ref="K420:O420" si="452">+K412-K418</f>
        <v>664</v>
      </c>
      <c r="L420" s="8">
        <f t="shared" si="452"/>
        <v>737</v>
      </c>
      <c r="M420" s="8">
        <f t="shared" si="452"/>
        <v>880</v>
      </c>
      <c r="N420" s="8">
        <f t="shared" si="452"/>
        <v>895</v>
      </c>
      <c r="O420" s="8">
        <f t="shared" si="452"/>
        <v>1011</v>
      </c>
      <c r="P420" s="926"/>
      <c r="Q420" s="926"/>
      <c r="R420" s="926"/>
      <c r="S420" s="926"/>
      <c r="T420" s="926"/>
      <c r="U420" s="926"/>
      <c r="V420" s="926"/>
      <c r="W420" s="926"/>
      <c r="X420" s="926"/>
      <c r="Y420" s="926"/>
      <c r="Z420" s="926"/>
      <c r="AA420" s="926"/>
      <c r="AB420" s="926"/>
      <c r="AC420" s="926"/>
      <c r="AD420" s="926"/>
      <c r="AE420" s="926"/>
      <c r="AF420" s="926"/>
      <c r="AG420" s="8"/>
      <c r="AH420" s="8"/>
      <c r="AI420" s="8"/>
      <c r="AZ420" s="8">
        <f>+SUM(H420:K420)</f>
        <v>1353</v>
      </c>
      <c r="BA420" s="8">
        <f>+SUM(L420:O420)</f>
        <v>3523</v>
      </c>
      <c r="BB420" s="927"/>
      <c r="BC420" s="927"/>
      <c r="BD420" s="927"/>
      <c r="BE420" s="927"/>
    </row>
    <row r="421" spans="2:59" s="3" customFormat="1" ht="11.45">
      <c r="B421" s="13" t="s">
        <v>115</v>
      </c>
      <c r="I421" s="14">
        <f>+I420/I412</f>
        <v>0.47807017543859648</v>
      </c>
      <c r="J421" s="14">
        <f>+J420/J412</f>
        <v>0.59426229508196726</v>
      </c>
      <c r="K421" s="14">
        <f t="shared" ref="K421:O421" si="453">+K420/K412</f>
        <v>0.62230552952202434</v>
      </c>
      <c r="L421" s="14">
        <f t="shared" si="453"/>
        <v>0.64198606271777003</v>
      </c>
      <c r="M421" s="14">
        <f t="shared" si="453"/>
        <v>0.67073170731707321</v>
      </c>
      <c r="N421" s="14">
        <f t="shared" si="453"/>
        <v>0.67041198501872656</v>
      </c>
      <c r="O421" s="14">
        <f t="shared" si="453"/>
        <v>0.69057377049180324</v>
      </c>
      <c r="P421" s="935"/>
      <c r="Q421" s="935"/>
      <c r="R421" s="935"/>
      <c r="S421" s="935"/>
      <c r="T421" s="935"/>
      <c r="U421" s="935"/>
      <c r="V421" s="935"/>
      <c r="W421" s="935"/>
      <c r="X421" s="935"/>
      <c r="Y421" s="935"/>
      <c r="Z421" s="935"/>
      <c r="AA421" s="935"/>
      <c r="AB421" s="935"/>
      <c r="AC421" s="935"/>
      <c r="AD421" s="935"/>
      <c r="AE421" s="935"/>
      <c r="AF421" s="935"/>
      <c r="AG421" s="14"/>
      <c r="AH421" s="14"/>
      <c r="AI421" s="14"/>
      <c r="AZ421" s="14">
        <f t="shared" ref="AZ421:BA421" si="454">+AZ420/AZ412</f>
        <v>0.59577278731836192</v>
      </c>
      <c r="BA421" s="14">
        <f t="shared" si="454"/>
        <v>0.66989922038410343</v>
      </c>
      <c r="BB421" s="927"/>
      <c r="BC421" s="927"/>
      <c r="BD421" s="927"/>
      <c r="BE421" s="927"/>
      <c r="BF421"/>
    </row>
    <row r="422" spans="2:59" s="3" customFormat="1" ht="11.45">
      <c r="B422" s="13"/>
      <c r="I422" s="14"/>
      <c r="J422" s="14"/>
      <c r="K422" s="14"/>
      <c r="L422" s="14"/>
      <c r="M422" s="14"/>
      <c r="N422" s="14"/>
      <c r="O422" s="14"/>
      <c r="P422" s="935"/>
      <c r="Q422" s="935"/>
      <c r="R422" s="935"/>
      <c r="S422" s="935"/>
      <c r="T422" s="935"/>
      <c r="U422" s="935"/>
      <c r="V422" s="935"/>
      <c r="W422" s="935"/>
      <c r="X422" s="935"/>
      <c r="Y422" s="935"/>
      <c r="Z422" s="935"/>
      <c r="AA422" s="935"/>
      <c r="AB422" s="935"/>
      <c r="AC422" s="935"/>
      <c r="AD422" s="935"/>
      <c r="AE422" s="935"/>
      <c r="AF422" s="935"/>
      <c r="AG422" s="14"/>
      <c r="AH422" s="14"/>
      <c r="AI422" s="14"/>
      <c r="AZ422" s="14"/>
      <c r="BA422" s="14"/>
      <c r="BB422" s="927"/>
      <c r="BC422" s="927"/>
      <c r="BD422" s="927"/>
      <c r="BE422" s="927"/>
      <c r="BF422"/>
    </row>
    <row r="423" spans="2:59" ht="11.45">
      <c r="B423" t="s">
        <v>394</v>
      </c>
      <c r="I423" s="8">
        <f>+I412-I417</f>
        <v>181</v>
      </c>
      <c r="J423" s="8">
        <f>+J412-J417</f>
        <v>798</v>
      </c>
      <c r="K423" s="8">
        <f t="shared" ref="K423:O423" si="455">+K412-K417</f>
        <v>881</v>
      </c>
      <c r="L423" s="8">
        <f t="shared" si="455"/>
        <v>955</v>
      </c>
      <c r="M423" s="8">
        <f t="shared" si="455"/>
        <v>1102</v>
      </c>
      <c r="N423" s="8">
        <f t="shared" si="455"/>
        <v>1119</v>
      </c>
      <c r="O423" s="8">
        <f t="shared" si="455"/>
        <v>1235</v>
      </c>
      <c r="P423" s="926"/>
      <c r="Q423" s="926"/>
      <c r="R423" s="926"/>
      <c r="S423" s="926"/>
      <c r="T423" s="926"/>
      <c r="U423" s="926"/>
      <c r="V423" s="926"/>
      <c r="W423" s="926"/>
      <c r="X423" s="926"/>
      <c r="Y423" s="926"/>
      <c r="Z423" s="926"/>
      <c r="AA423" s="926"/>
      <c r="AB423" s="926"/>
      <c r="AC423" s="926"/>
      <c r="AD423" s="926"/>
      <c r="AE423" s="926"/>
      <c r="AF423" s="926"/>
      <c r="AG423" s="8"/>
      <c r="AH423" s="8"/>
      <c r="AI423" s="8"/>
      <c r="AZ423" s="8">
        <f>+SUM(H423:K423)</f>
        <v>1860</v>
      </c>
      <c r="BA423" s="8">
        <f>+SUM(L423:O423)</f>
        <v>4411</v>
      </c>
      <c r="BB423" s="927"/>
      <c r="BC423" s="927"/>
      <c r="BD423" s="927"/>
      <c r="BE423" s="927"/>
    </row>
    <row r="424" spans="2:59" ht="11.45">
      <c r="B424" s="13" t="s">
        <v>115</v>
      </c>
      <c r="I424" s="14">
        <f>+I423/I412</f>
        <v>0.79385964912280704</v>
      </c>
      <c r="J424" s="14">
        <f>+J423/J412</f>
        <v>0.81762295081967218</v>
      </c>
      <c r="K424" s="14">
        <f t="shared" ref="K424:O424" si="456">+K423/K412</f>
        <v>0.8256794751640113</v>
      </c>
      <c r="L424" s="14">
        <f t="shared" si="456"/>
        <v>0.83188153310104529</v>
      </c>
      <c r="M424" s="14">
        <f t="shared" si="456"/>
        <v>0.83993902439024393</v>
      </c>
      <c r="N424" s="14">
        <f t="shared" si="456"/>
        <v>0.83820224719101122</v>
      </c>
      <c r="O424" s="14">
        <f t="shared" si="456"/>
        <v>0.84357923497267762</v>
      </c>
      <c r="P424" s="935"/>
      <c r="Q424" s="935"/>
      <c r="R424" s="935"/>
      <c r="S424" s="935"/>
      <c r="T424" s="935"/>
      <c r="U424" s="935"/>
      <c r="V424" s="935"/>
      <c r="W424" s="935"/>
      <c r="X424" s="935"/>
      <c r="Y424" s="935"/>
      <c r="Z424" s="935"/>
      <c r="AA424" s="935"/>
      <c r="AB424" s="935"/>
      <c r="AC424" s="935"/>
      <c r="AD424" s="935"/>
      <c r="AE424" s="935"/>
      <c r="AF424" s="935"/>
      <c r="AG424" s="14"/>
      <c r="AH424" s="14"/>
      <c r="AI424" s="14"/>
      <c r="AZ424" s="14">
        <f t="shared" ref="AZ424:BA424" si="457">+AZ423/AZ412</f>
        <v>0.8190224570673712</v>
      </c>
      <c r="BA424" s="14">
        <f t="shared" si="457"/>
        <v>0.83875261456550676</v>
      </c>
      <c r="BB424" s="927"/>
      <c r="BC424" s="927"/>
      <c r="BD424" s="927"/>
      <c r="BE424" s="927"/>
    </row>
    <row r="425" spans="2:59" ht="11.45">
      <c r="B425" s="921"/>
      <c r="P425" s="934"/>
      <c r="Q425" s="934"/>
      <c r="R425" s="934"/>
      <c r="S425" s="934"/>
      <c r="T425" s="934"/>
      <c r="U425" s="934"/>
      <c r="V425" s="934"/>
      <c r="W425" s="934"/>
      <c r="X425" s="934"/>
      <c r="Y425" s="934"/>
      <c r="Z425" s="934"/>
      <c r="AA425" s="934"/>
      <c r="AB425" s="934"/>
      <c r="AC425" s="934"/>
      <c r="AD425" s="934"/>
      <c r="AE425" s="934"/>
      <c r="AF425" s="934"/>
      <c r="BB425" s="927"/>
      <c r="BC425" s="927"/>
      <c r="BD425" s="927"/>
      <c r="BE425" s="927"/>
    </row>
    <row r="426" spans="2:59" ht="11.45">
      <c r="B426" t="s">
        <v>390</v>
      </c>
      <c r="I426" s="879">
        <v>52</v>
      </c>
      <c r="J426" s="879">
        <v>153</v>
      </c>
      <c r="K426" s="879">
        <v>154</v>
      </c>
      <c r="L426" s="879">
        <v>154</v>
      </c>
      <c r="M426" s="879">
        <v>154</v>
      </c>
      <c r="N426" s="879">
        <v>155</v>
      </c>
      <c r="O426" s="879">
        <v>154</v>
      </c>
      <c r="P426" s="925"/>
      <c r="Q426" s="925"/>
      <c r="R426" s="925"/>
      <c r="S426" s="925"/>
      <c r="T426" s="925"/>
      <c r="U426" s="925"/>
      <c r="V426" s="925"/>
      <c r="W426" s="925"/>
      <c r="X426" s="925"/>
      <c r="Y426" s="925"/>
      <c r="Z426" s="925"/>
      <c r="AA426" s="925"/>
      <c r="AB426" s="925"/>
      <c r="AC426" s="925"/>
      <c r="AD426" s="925"/>
      <c r="AE426" s="925"/>
      <c r="AF426" s="925"/>
      <c r="AG426" s="879"/>
      <c r="AH426" s="879"/>
      <c r="AI426" s="879"/>
      <c r="AZ426" s="8">
        <f>+SUM(H426:K426)</f>
        <v>359</v>
      </c>
      <c r="BA426" s="8">
        <f>+SUM(L426:O426)</f>
        <v>617</v>
      </c>
      <c r="BB426" s="927"/>
      <c r="BC426" s="927"/>
      <c r="BD426" s="927"/>
      <c r="BE426" s="927"/>
    </row>
    <row r="427" spans="2:59" ht="11.45">
      <c r="B427" t="s">
        <v>395</v>
      </c>
      <c r="I427" s="905">
        <v>253</v>
      </c>
      <c r="J427" s="905">
        <v>802</v>
      </c>
      <c r="K427" s="905">
        <v>863</v>
      </c>
      <c r="L427" s="905">
        <v>877</v>
      </c>
      <c r="M427" s="905">
        <v>991</v>
      </c>
      <c r="N427" s="905">
        <v>986</v>
      </c>
      <c r="O427" s="905">
        <v>1039</v>
      </c>
      <c r="P427" s="927"/>
      <c r="Q427" s="927"/>
      <c r="R427" s="927"/>
      <c r="S427" s="927"/>
      <c r="T427" s="927"/>
      <c r="U427" s="927"/>
      <c r="V427" s="927"/>
      <c r="W427" s="927"/>
      <c r="X427" s="927"/>
      <c r="Y427" s="927"/>
      <c r="Z427" s="927"/>
      <c r="AA427" s="927"/>
      <c r="AB427" s="927"/>
      <c r="AC427" s="927"/>
      <c r="AD427" s="927"/>
      <c r="AE427" s="927"/>
      <c r="AF427" s="927"/>
      <c r="AG427" s="905"/>
      <c r="AH427" s="905"/>
      <c r="AI427" s="905"/>
      <c r="AZ427" s="10">
        <f>+SUM(H427:K427)</f>
        <v>1918</v>
      </c>
      <c r="BA427" s="10">
        <f>+SUM(L427:O427)</f>
        <v>3893</v>
      </c>
      <c r="BB427" s="927"/>
      <c r="BC427" s="927"/>
      <c r="BD427" s="927"/>
      <c r="BE427" s="927"/>
    </row>
    <row r="428" spans="2:59" ht="11.45">
      <c r="B428" s="12" t="s">
        <v>396</v>
      </c>
      <c r="I428" s="8">
        <f>SUM(I426:I427)</f>
        <v>305</v>
      </c>
      <c r="J428" s="8">
        <f>SUM(J426:J427)</f>
        <v>955</v>
      </c>
      <c r="K428" s="8">
        <f t="shared" ref="K428:O428" si="458">SUM(K426:K427)</f>
        <v>1017</v>
      </c>
      <c r="L428" s="8">
        <f t="shared" si="458"/>
        <v>1031</v>
      </c>
      <c r="M428" s="8">
        <f t="shared" si="458"/>
        <v>1145</v>
      </c>
      <c r="N428" s="8">
        <f t="shared" si="458"/>
        <v>1141</v>
      </c>
      <c r="O428" s="8">
        <f t="shared" si="458"/>
        <v>1193</v>
      </c>
      <c r="P428" s="926"/>
      <c r="Q428" s="926"/>
      <c r="R428" s="926"/>
      <c r="S428" s="926"/>
      <c r="T428" s="926"/>
      <c r="U428" s="926"/>
      <c r="V428" s="926"/>
      <c r="W428" s="926"/>
      <c r="X428" s="926"/>
      <c r="Y428" s="926"/>
      <c r="Z428" s="926"/>
      <c r="AA428" s="926"/>
      <c r="AB428" s="926"/>
      <c r="AC428" s="926"/>
      <c r="AD428" s="926"/>
      <c r="AE428" s="926"/>
      <c r="AF428" s="926"/>
      <c r="AG428" s="8"/>
      <c r="AH428" s="8"/>
      <c r="AI428" s="8"/>
      <c r="AZ428" s="8">
        <f>+SUM(H428:K428)</f>
        <v>2277</v>
      </c>
      <c r="BA428" s="8">
        <f>+SUM(L428:O428)</f>
        <v>4510</v>
      </c>
      <c r="BB428" s="927"/>
      <c r="BC428" s="927"/>
      <c r="BD428" s="927"/>
      <c r="BE428" s="927"/>
    </row>
    <row r="429" spans="2:59" ht="11.45">
      <c r="P429" s="934"/>
      <c r="Q429" s="934"/>
      <c r="R429" s="934"/>
      <c r="S429" s="934"/>
      <c r="T429" s="934"/>
      <c r="U429" s="934"/>
      <c r="V429" s="934"/>
      <c r="W429" s="934"/>
      <c r="X429" s="934"/>
      <c r="Y429" s="934"/>
      <c r="Z429" s="934"/>
      <c r="AA429" s="934"/>
      <c r="AB429" s="934"/>
      <c r="AC429" s="934"/>
      <c r="AD429" s="934"/>
      <c r="AE429" s="934"/>
      <c r="AF429" s="934"/>
      <c r="BB429" s="927"/>
      <c r="BC429" s="927"/>
      <c r="BD429" s="927"/>
      <c r="BE429" s="927"/>
    </row>
    <row r="430" spans="2:59" ht="11.45">
      <c r="B430" t="s">
        <v>397</v>
      </c>
      <c r="I430" s="8">
        <f>+I412-I418-I428</f>
        <v>-196</v>
      </c>
      <c r="J430" s="8">
        <f>+J412-J418-J428</f>
        <v>-375</v>
      </c>
      <c r="K430" s="8">
        <f t="shared" ref="K430:O430" si="459">+K412-K418-K428</f>
        <v>-353</v>
      </c>
      <c r="L430" s="8">
        <f t="shared" si="459"/>
        <v>-294</v>
      </c>
      <c r="M430" s="8">
        <f t="shared" si="459"/>
        <v>-265</v>
      </c>
      <c r="N430" s="8">
        <f t="shared" si="459"/>
        <v>-246</v>
      </c>
      <c r="O430" s="8">
        <f t="shared" si="459"/>
        <v>-182</v>
      </c>
      <c r="P430" s="926"/>
      <c r="Q430" s="926"/>
      <c r="R430" s="926"/>
      <c r="S430" s="926"/>
      <c r="T430" s="926"/>
      <c r="U430" s="926"/>
      <c r="V430" s="926"/>
      <c r="W430" s="926"/>
      <c r="X430" s="926"/>
      <c r="Y430" s="926"/>
      <c r="Z430" s="926"/>
      <c r="AA430" s="926"/>
      <c r="AB430" s="926"/>
      <c r="AC430" s="926"/>
      <c r="AD430" s="926"/>
      <c r="AE430" s="926"/>
      <c r="AF430" s="926"/>
      <c r="AG430" s="8"/>
      <c r="AH430" s="8"/>
      <c r="AI430" s="8"/>
      <c r="AZ430" s="8">
        <f>+SUM(H430:K430)</f>
        <v>-924</v>
      </c>
      <c r="BA430" s="8">
        <f>+SUM(L430:O430)</f>
        <v>-987</v>
      </c>
      <c r="BB430" s="927"/>
      <c r="BC430" s="927"/>
      <c r="BD430" s="927"/>
      <c r="BE430" s="927"/>
    </row>
    <row r="431" spans="2:59" ht="11.45">
      <c r="B431" s="13" t="s">
        <v>115</v>
      </c>
      <c r="I431" s="14">
        <f>+I430/I412</f>
        <v>-0.85964912280701755</v>
      </c>
      <c r="J431" s="14">
        <f>+J430/J412</f>
        <v>-0.38422131147540983</v>
      </c>
      <c r="K431" s="14">
        <f t="shared" ref="K431:O431" si="460">+K430/K412</f>
        <v>-0.33083411433926896</v>
      </c>
      <c r="L431" s="14">
        <f t="shared" si="460"/>
        <v>-0.25609756097560976</v>
      </c>
      <c r="M431" s="14">
        <f t="shared" si="460"/>
        <v>-0.20198170731707318</v>
      </c>
      <c r="N431" s="14">
        <f t="shared" si="460"/>
        <v>-0.1842696629213483</v>
      </c>
      <c r="O431" s="14">
        <f t="shared" si="460"/>
        <v>-0.12431693989071038</v>
      </c>
      <c r="P431" s="935"/>
      <c r="Q431" s="935"/>
      <c r="R431" s="935"/>
      <c r="S431" s="935"/>
      <c r="T431" s="935"/>
      <c r="U431" s="935"/>
      <c r="V431" s="935"/>
      <c r="W431" s="935"/>
      <c r="X431" s="935"/>
      <c r="Y431" s="935"/>
      <c r="Z431" s="935"/>
      <c r="AA431" s="935"/>
      <c r="AB431" s="935"/>
      <c r="AC431" s="935"/>
      <c r="AD431" s="935"/>
      <c r="AE431" s="935"/>
      <c r="AF431" s="935"/>
      <c r="AG431" s="14"/>
      <c r="AH431" s="14"/>
      <c r="AI431" s="14"/>
      <c r="AZ431" s="14">
        <f t="shared" ref="AZ431:BA431" si="461">+AZ430/AZ412</f>
        <v>-0.40686922060766184</v>
      </c>
      <c r="BA431" s="14">
        <f t="shared" si="461"/>
        <v>-0.18767826583000571</v>
      </c>
      <c r="BB431" s="927"/>
      <c r="BC431" s="927"/>
      <c r="BD431" s="927"/>
      <c r="BE431" s="927"/>
      <c r="BG431" s="14"/>
    </row>
    <row r="432" spans="2:59" ht="11.45">
      <c r="B432" s="13"/>
      <c r="I432" s="14"/>
      <c r="J432" s="14"/>
      <c r="K432" s="14"/>
      <c r="L432" s="14"/>
      <c r="M432" s="14"/>
      <c r="N432" s="14"/>
      <c r="O432" s="14"/>
      <c r="P432" s="935"/>
      <c r="Q432" s="935"/>
      <c r="R432" s="935"/>
      <c r="S432" s="935"/>
      <c r="T432" s="935"/>
      <c r="U432" s="935"/>
      <c r="V432" s="935"/>
      <c r="W432" s="935"/>
      <c r="X432" s="935"/>
      <c r="Y432" s="935"/>
      <c r="Z432" s="935"/>
      <c r="AA432" s="935"/>
      <c r="AB432" s="935"/>
      <c r="AC432" s="935"/>
      <c r="AD432" s="935"/>
      <c r="AE432" s="935"/>
      <c r="AF432" s="935"/>
      <c r="AG432" s="14"/>
      <c r="AH432" s="14"/>
      <c r="AI432" s="14"/>
      <c r="AZ432" s="14"/>
      <c r="BA432" s="14"/>
      <c r="BB432" s="927"/>
      <c r="BC432" s="927"/>
      <c r="BD432" s="927"/>
      <c r="BE432" s="927"/>
      <c r="BG432" s="14"/>
    </row>
    <row r="433" spans="2:58" ht="11.45">
      <c r="B433" t="s">
        <v>398</v>
      </c>
      <c r="I433" s="8">
        <f>+I412-I417-I427</f>
        <v>-72</v>
      </c>
      <c r="J433" s="8">
        <f>+J412-J417-J427</f>
        <v>-4</v>
      </c>
      <c r="K433" s="8">
        <f t="shared" ref="K433:O433" si="462">+K412-K417-K427</f>
        <v>18</v>
      </c>
      <c r="L433" s="8">
        <f t="shared" si="462"/>
        <v>78</v>
      </c>
      <c r="M433" s="8">
        <f t="shared" si="462"/>
        <v>111</v>
      </c>
      <c r="N433" s="8">
        <f t="shared" si="462"/>
        <v>133</v>
      </c>
      <c r="O433" s="8">
        <f t="shared" si="462"/>
        <v>196</v>
      </c>
      <c r="P433" s="926"/>
      <c r="Q433" s="926"/>
      <c r="R433" s="926"/>
      <c r="S433" s="926"/>
      <c r="T433" s="926"/>
      <c r="U433" s="926"/>
      <c r="V433" s="926"/>
      <c r="W433" s="926"/>
      <c r="X433" s="926"/>
      <c r="Y433" s="926"/>
      <c r="Z433" s="926"/>
      <c r="AA433" s="926"/>
      <c r="AB433" s="926"/>
      <c r="AC433" s="926"/>
      <c r="AD433" s="926"/>
      <c r="AE433" s="926"/>
      <c r="AF433" s="926"/>
      <c r="AG433" s="8"/>
      <c r="AH433" s="8"/>
      <c r="AI433" s="8"/>
      <c r="AZ433" s="8">
        <f>+SUM(H433:K433)</f>
        <v>-58</v>
      </c>
      <c r="BA433" s="8">
        <f>+SUM(L433:O433)</f>
        <v>518</v>
      </c>
      <c r="BB433" s="927"/>
      <c r="BC433" s="927"/>
      <c r="BD433" s="927"/>
      <c r="BE433" s="927"/>
    </row>
    <row r="434" spans="2:58" ht="11.45">
      <c r="B434" s="13" t="s">
        <v>115</v>
      </c>
      <c r="I434" s="14">
        <f>+I433/I412</f>
        <v>-0.31578947368421051</v>
      </c>
      <c r="J434" s="14">
        <f>+J433/J412</f>
        <v>-4.0983606557377051E-3</v>
      </c>
      <c r="K434" s="14">
        <f t="shared" ref="K434:O434" si="463">+K433/K412</f>
        <v>1.6869728209934397E-2</v>
      </c>
      <c r="L434" s="14">
        <f t="shared" si="463"/>
        <v>6.7944250871080136E-2</v>
      </c>
      <c r="M434" s="14">
        <f t="shared" si="463"/>
        <v>8.4603658536585372E-2</v>
      </c>
      <c r="N434" s="14">
        <f t="shared" si="463"/>
        <v>9.9625468164794007E-2</v>
      </c>
      <c r="O434" s="14">
        <f t="shared" si="463"/>
        <v>0.13387978142076504</v>
      </c>
      <c r="P434" s="935"/>
      <c r="Q434" s="935"/>
      <c r="R434" s="935"/>
      <c r="S434" s="935"/>
      <c r="T434" s="935"/>
      <c r="U434" s="935"/>
      <c r="V434" s="935"/>
      <c r="W434" s="935"/>
      <c r="X434" s="935"/>
      <c r="Y434" s="935"/>
      <c r="Z434" s="935"/>
      <c r="AA434" s="935"/>
      <c r="AB434" s="935"/>
      <c r="AC434" s="935"/>
      <c r="AD434" s="935"/>
      <c r="AE434" s="935"/>
      <c r="AF434" s="935"/>
      <c r="AG434" s="14"/>
      <c r="AH434" s="14"/>
      <c r="AI434" s="14"/>
      <c r="AZ434" s="14">
        <f t="shared" ref="AZ434:BA434" si="464">+AZ433/AZ412</f>
        <v>-2.5539409951563188E-2</v>
      </c>
      <c r="BA434" s="14">
        <f t="shared" si="464"/>
        <v>9.849781327248526E-2</v>
      </c>
      <c r="BB434" s="927"/>
      <c r="BC434" s="927"/>
      <c r="BD434" s="927"/>
      <c r="BE434" s="927"/>
    </row>
    <row r="436" spans="2:58" ht="10.5">
      <c r="B436" s="5" t="s">
        <v>337</v>
      </c>
      <c r="C436" s="4"/>
    </row>
    <row r="438" spans="2:58">
      <c r="B438" t="s">
        <v>86</v>
      </c>
      <c r="H438" s="8">
        <f t="shared" ref="H438:AF438" si="465">+H115</f>
        <v>6097</v>
      </c>
      <c r="I438" s="8">
        <f t="shared" si="465"/>
        <v>6758</v>
      </c>
      <c r="J438" s="8">
        <f t="shared" si="465"/>
        <v>6730</v>
      </c>
      <c r="K438" s="8">
        <f t="shared" si="465"/>
        <v>7822</v>
      </c>
      <c r="L438" s="8">
        <f t="shared" si="465"/>
        <v>6922</v>
      </c>
      <c r="M438" s="8">
        <f t="shared" si="465"/>
        <v>7795</v>
      </c>
      <c r="N438" s="8">
        <f t="shared" si="465"/>
        <v>7896</v>
      </c>
      <c r="O438" s="8">
        <f t="shared" si="465"/>
        <v>9606</v>
      </c>
      <c r="P438" s="8">
        <f t="shared" si="465"/>
        <v>8567</v>
      </c>
      <c r="Q438" s="8">
        <f t="shared" si="465"/>
        <v>9378</v>
      </c>
      <c r="R438" s="8">
        <f t="shared" si="465"/>
        <v>9649</v>
      </c>
      <c r="S438" s="8">
        <f t="shared" si="465"/>
        <v>11391</v>
      </c>
      <c r="T438" s="8">
        <f t="shared" si="465"/>
        <v>10845</v>
      </c>
      <c r="U438" s="8">
        <f t="shared" si="465"/>
        <v>11869</v>
      </c>
      <c r="V438" s="8">
        <f t="shared" si="465"/>
        <v>12281</v>
      </c>
      <c r="W438" s="8">
        <f t="shared" si="465"/>
        <v>13371</v>
      </c>
      <c r="X438" s="8">
        <f t="shared" si="465"/>
        <v>12986</v>
      </c>
      <c r="Y438" s="8">
        <f t="shared" si="465"/>
        <v>14601</v>
      </c>
      <c r="Z438" s="8">
        <f t="shared" si="465"/>
        <v>15118</v>
      </c>
      <c r="AA438" s="8">
        <f t="shared" si="465"/>
        <v>17375</v>
      </c>
      <c r="AB438" s="8">
        <f t="shared" si="465"/>
        <v>16964</v>
      </c>
      <c r="AC438" s="8">
        <f t="shared" si="465"/>
        <v>18327</v>
      </c>
      <c r="AD438" s="8">
        <f t="shared" si="465"/>
        <v>19051</v>
      </c>
      <c r="AE438" s="8">
        <f t="shared" si="465"/>
        <v>20909</v>
      </c>
      <c r="AF438" s="8">
        <f t="shared" si="465"/>
        <v>20325</v>
      </c>
      <c r="AG438" s="8"/>
      <c r="AH438" s="8"/>
      <c r="AI438" s="8"/>
      <c r="AT438" s="8">
        <f>+AT115</f>
        <v>21735</v>
      </c>
      <c r="AU438" s="8">
        <f>+AU115</f>
        <v>23715</v>
      </c>
      <c r="AV438" s="8">
        <f>+AV115</f>
        <v>25042</v>
      </c>
      <c r="AW438" s="8">
        <f>+AW115</f>
        <v>27440</v>
      </c>
      <c r="AY438" s="8">
        <f>+AZ438/(1+AZ439)</f>
        <v>25011.883892128284</v>
      </c>
      <c r="AZ438" s="8">
        <f t="shared" ref="AZ438:BE438" si="466">+AZ115</f>
        <v>27407</v>
      </c>
      <c r="BA438" s="8">
        <f t="shared" si="466"/>
        <v>32219</v>
      </c>
      <c r="BB438" s="8">
        <f t="shared" si="466"/>
        <v>38985</v>
      </c>
      <c r="BC438" s="8">
        <f t="shared" si="466"/>
        <v>48366</v>
      </c>
      <c r="BD438" s="8">
        <f t="shared" si="466"/>
        <v>60080</v>
      </c>
      <c r="BE438" s="8">
        <f t="shared" si="466"/>
        <v>75251</v>
      </c>
      <c r="BF438" s="8"/>
    </row>
    <row r="439" spans="2:58">
      <c r="B439" s="13" t="s">
        <v>113</v>
      </c>
      <c r="L439" s="14">
        <f t="shared" ref="L439:M439" si="467">+L438/H438-1</f>
        <v>0.13531244874528459</v>
      </c>
      <c r="M439" s="14">
        <f t="shared" si="467"/>
        <v>0.1534477656111275</v>
      </c>
      <c r="N439" s="14">
        <f>+N438/J438-1</f>
        <v>0.17325408618127791</v>
      </c>
      <c r="O439" s="14">
        <f>+O438/K438-1</f>
        <v>0.22807466121196618</v>
      </c>
      <c r="P439" s="14">
        <f t="shared" ref="P439:V439" si="468">+P438/L438-1</f>
        <v>0.23764807859000281</v>
      </c>
      <c r="Q439" s="14">
        <f t="shared" si="468"/>
        <v>0.2030788967286723</v>
      </c>
      <c r="R439" s="14">
        <f t="shared" si="468"/>
        <v>0.22201114488348539</v>
      </c>
      <c r="S439" s="14">
        <f t="shared" si="468"/>
        <v>0.18582136164896945</v>
      </c>
      <c r="T439" s="14">
        <f t="shared" si="468"/>
        <v>0.26590405042605347</v>
      </c>
      <c r="U439" s="14">
        <f t="shared" si="468"/>
        <v>0.26562166773299212</v>
      </c>
      <c r="V439" s="14">
        <f t="shared" si="468"/>
        <v>0.27277438076484617</v>
      </c>
      <c r="W439" s="14">
        <f>+W438/S438-1</f>
        <v>0.17382143797735061</v>
      </c>
      <c r="X439" s="14">
        <f>+X438/T438-1</f>
        <v>0.19741816505301979</v>
      </c>
      <c r="Y439" s="14">
        <f t="shared" ref="Y439:AF439" si="469">+Y438/U438-1</f>
        <v>0.23017945909512183</v>
      </c>
      <c r="Z439" s="14">
        <f t="shared" si="469"/>
        <v>0.23100724696685937</v>
      </c>
      <c r="AA439" s="14">
        <f t="shared" si="469"/>
        <v>0.29945404233041661</v>
      </c>
      <c r="AB439" s="14">
        <f t="shared" si="469"/>
        <v>0.30632989373171116</v>
      </c>
      <c r="AC439" s="14">
        <f t="shared" si="469"/>
        <v>0.25518800082186144</v>
      </c>
      <c r="AD439" s="14">
        <f t="shared" si="469"/>
        <v>0.2601534594523085</v>
      </c>
      <c r="AE439" s="14">
        <f t="shared" si="469"/>
        <v>0.20339568345323733</v>
      </c>
      <c r="AF439" s="14">
        <f t="shared" si="469"/>
        <v>0.19812544211270922</v>
      </c>
      <c r="AG439" s="14"/>
      <c r="AH439" s="14"/>
      <c r="AI439" s="14"/>
      <c r="AU439" s="14">
        <f t="shared" ref="AU439:AW439" si="470">+AU438/AT438-1</f>
        <v>9.109730848861286E-2</v>
      </c>
      <c r="AV439" s="14">
        <f t="shared" si="470"/>
        <v>5.5956145899219933E-2</v>
      </c>
      <c r="AW439" s="14">
        <f t="shared" si="470"/>
        <v>9.5759124670553364E-2</v>
      </c>
      <c r="AY439" s="1010">
        <f t="shared" ref="AY439" si="471">+AV439</f>
        <v>5.5956145899219933E-2</v>
      </c>
      <c r="AZ439" s="1010">
        <f t="shared" ref="AZ439" si="472">+AW439</f>
        <v>9.5759124670553364E-2</v>
      </c>
      <c r="BA439" s="14">
        <f>+BA438/AZ438-1</f>
        <v>0.17557558288028607</v>
      </c>
      <c r="BB439" s="14">
        <f t="shared" ref="BB439:BE439" si="473">+BB438/BA438-1</f>
        <v>0.2100003103758652</v>
      </c>
      <c r="BC439" s="14">
        <f t="shared" si="473"/>
        <v>0.24063101192766445</v>
      </c>
      <c r="BD439" s="14">
        <f t="shared" si="473"/>
        <v>0.24219493032295425</v>
      </c>
      <c r="BE439" s="14">
        <f t="shared" si="473"/>
        <v>0.25251331557922763</v>
      </c>
      <c r="BF439" s="14"/>
    </row>
    <row r="440" spans="2:58">
      <c r="B440" s="13" t="s">
        <v>270</v>
      </c>
      <c r="L440" s="22">
        <v>0.13</v>
      </c>
      <c r="M440" s="22">
        <v>0.15</v>
      </c>
      <c r="N440" s="22">
        <v>0.15</v>
      </c>
      <c r="O440" s="22">
        <v>0.2</v>
      </c>
      <c r="P440" s="22">
        <v>0.24</v>
      </c>
      <c r="Q440" s="22">
        <v>0.21</v>
      </c>
      <c r="R440" s="22">
        <v>0.24</v>
      </c>
      <c r="S440" s="22">
        <v>0.21</v>
      </c>
      <c r="T440" s="22">
        <v>0.28999999999999998</v>
      </c>
      <c r="U440" s="22">
        <v>0.28000000000000003</v>
      </c>
      <c r="V440" s="22">
        <v>0.28999999999999998</v>
      </c>
      <c r="W440" s="22">
        <v>0.19</v>
      </c>
      <c r="X440" s="22">
        <v>0.19</v>
      </c>
      <c r="Y440" s="22">
        <v>0.22</v>
      </c>
      <c r="Z440" s="22">
        <v>0.2</v>
      </c>
      <c r="AA440" s="22">
        <v>0.255</v>
      </c>
      <c r="AB440" s="22">
        <v>0.28999999999999998</v>
      </c>
      <c r="AC440" s="22">
        <v>0.26</v>
      </c>
      <c r="AD440" s="22">
        <v>0.28999999999999998</v>
      </c>
      <c r="AE440" s="22">
        <v>0.25</v>
      </c>
      <c r="AF440" s="22">
        <v>0.26</v>
      </c>
      <c r="AG440" s="22"/>
      <c r="AH440" s="22"/>
      <c r="AI440" s="22"/>
      <c r="BA440" s="23">
        <f>+SUMPRODUCT(L440:O440,H438:K438)/AZ438</f>
        <v>0.1598208486882913</v>
      </c>
      <c r="BB440" s="23">
        <f>+SUMPRODUCT(P440:S440,L438:O438)/BA438</f>
        <v>0.22379744871038831</v>
      </c>
      <c r="BC440" s="23">
        <f>+SUMPRODUCT(T440:W440,P438:S438)/BB438</f>
        <v>0.25837552904963451</v>
      </c>
      <c r="BD440" s="23">
        <f>+SUMPRODUCT(X440:AA440,T438:W438)/BC438</f>
        <v>0.21787071496505808</v>
      </c>
      <c r="BE440" s="23">
        <f>+SUMPRODUCT(AB440:AE440,X438:AA438)/BD438</f>
        <v>0.2711413115845539</v>
      </c>
      <c r="BF440" s="23"/>
    </row>
    <row r="442" spans="2:58">
      <c r="B442" t="s">
        <v>1213</v>
      </c>
      <c r="L442" s="911">
        <v>0.1</v>
      </c>
      <c r="M442" s="911">
        <v>0.13</v>
      </c>
      <c r="N442" s="911">
        <v>0.16</v>
      </c>
      <c r="O442" s="911">
        <v>0.23</v>
      </c>
      <c r="P442" s="911">
        <v>0.28000000000000003</v>
      </c>
      <c r="Q442" s="911">
        <v>0.2</v>
      </c>
      <c r="R442" s="911">
        <v>0.21</v>
      </c>
      <c r="S442" s="911">
        <v>0.19</v>
      </c>
      <c r="T442" s="911">
        <v>0.27</v>
      </c>
      <c r="U442" s="911">
        <v>0.28000000000000003</v>
      </c>
      <c r="V442" s="911">
        <v>0.3</v>
      </c>
      <c r="W442" s="911">
        <v>0.19</v>
      </c>
      <c r="X442" s="911">
        <v>0.26</v>
      </c>
      <c r="Y442" s="911">
        <v>0.28999999999999998</v>
      </c>
      <c r="Z442" s="911">
        <v>0.27</v>
      </c>
      <c r="AA442" s="911">
        <v>0.32</v>
      </c>
      <c r="AB442" s="911">
        <v>0.28000000000000003</v>
      </c>
      <c r="AC442" s="911">
        <v>0.21</v>
      </c>
      <c r="AD442" s="911">
        <v>0.24</v>
      </c>
      <c r="AE442" s="911">
        <v>0.15</v>
      </c>
      <c r="AF442" s="911">
        <v>0.2</v>
      </c>
      <c r="AG442" s="911"/>
      <c r="AH442" s="911"/>
      <c r="AI442" s="911"/>
      <c r="BA442" s="912">
        <f>+AVERAGE(L442:O442)</f>
        <v>0.155</v>
      </c>
      <c r="BB442" s="912">
        <f>+AVERAGE(P442:S442)</f>
        <v>0.22000000000000003</v>
      </c>
      <c r="BC442" s="912">
        <f>+AVERAGE(T442:W442)</f>
        <v>0.26</v>
      </c>
      <c r="BD442" s="912">
        <f>+AVERAGE(X442:AA442)</f>
        <v>0.28500000000000003</v>
      </c>
      <c r="BE442" s="912">
        <f>+AVERAGE(AB442:AE442)</f>
        <v>0.22</v>
      </c>
      <c r="BF442" s="912"/>
    </row>
    <row r="443" spans="2:58">
      <c r="B443" s="13" t="s">
        <v>270</v>
      </c>
      <c r="L443" s="22">
        <v>0.1</v>
      </c>
      <c r="M443" s="22">
        <v>0.13</v>
      </c>
      <c r="N443" s="22">
        <v>0.14000000000000001</v>
      </c>
      <c r="O443" s="22">
        <v>0.2</v>
      </c>
      <c r="P443" s="22">
        <v>0.27</v>
      </c>
      <c r="Q443" s="22">
        <v>0.2</v>
      </c>
      <c r="R443" s="22">
        <v>0.23</v>
      </c>
      <c r="S443" s="22">
        <v>0.21</v>
      </c>
      <c r="T443" s="22">
        <v>0.3</v>
      </c>
      <c r="U443" s="22">
        <v>0.31</v>
      </c>
      <c r="V443" s="22">
        <v>0.32</v>
      </c>
      <c r="W443" s="22">
        <v>0.21</v>
      </c>
      <c r="X443" s="22">
        <v>0.25</v>
      </c>
      <c r="Y443" s="22">
        <v>0.27</v>
      </c>
      <c r="Z443" s="22">
        <v>0.24</v>
      </c>
      <c r="AA443" s="22">
        <v>0.27</v>
      </c>
      <c r="AB443" s="22">
        <v>0.26</v>
      </c>
      <c r="AC443" s="22">
        <v>0.22</v>
      </c>
      <c r="AD443" s="22">
        <v>0.27</v>
      </c>
      <c r="AE443" s="22">
        <v>0.19</v>
      </c>
      <c r="AF443" s="22">
        <v>0.26</v>
      </c>
      <c r="AG443" s="22"/>
      <c r="AH443" s="22"/>
      <c r="AI443" s="22"/>
      <c r="BA443" s="21">
        <f>+AVERAGE(L443:O443)</f>
        <v>0.14250000000000002</v>
      </c>
      <c r="BB443" s="21">
        <f>+AVERAGE(P443:S443)</f>
        <v>0.22750000000000001</v>
      </c>
      <c r="BC443" s="21">
        <f>+AVERAGE(T443:W443)</f>
        <v>0.28499999999999998</v>
      </c>
      <c r="BD443" s="21">
        <f>+AVERAGE(X443:AA443)</f>
        <v>0.25750000000000001</v>
      </c>
      <c r="BE443" s="21">
        <f>+AVERAGE(AB443:AE443)</f>
        <v>0.23499999999999999</v>
      </c>
      <c r="BF443" s="21"/>
    </row>
    <row r="444" spans="2:58">
      <c r="B444" s="921"/>
    </row>
    <row r="445" spans="2:58">
      <c r="B445" t="s">
        <v>351</v>
      </c>
      <c r="H445" s="8">
        <f t="shared" ref="H445:AF445" si="474">+H143</f>
        <v>1777</v>
      </c>
      <c r="I445" s="8">
        <f t="shared" si="474"/>
        <v>2291</v>
      </c>
      <c r="J445" s="8">
        <f t="shared" si="474"/>
        <v>2148</v>
      </c>
      <c r="K445" s="8">
        <f t="shared" si="474"/>
        <v>2911</v>
      </c>
      <c r="L445" s="8">
        <f t="shared" si="474"/>
        <v>2137</v>
      </c>
      <c r="M445" s="8">
        <f t="shared" si="474"/>
        <v>2832</v>
      </c>
      <c r="N445" s="8">
        <f t="shared" si="474"/>
        <v>2654</v>
      </c>
      <c r="O445" s="8">
        <f t="shared" si="474"/>
        <v>3901</v>
      </c>
      <c r="P445" s="8">
        <f t="shared" si="474"/>
        <v>2931</v>
      </c>
      <c r="Q445" s="8">
        <f t="shared" si="474"/>
        <v>3279</v>
      </c>
      <c r="R445" s="8">
        <f t="shared" si="474"/>
        <v>3208</v>
      </c>
      <c r="S445" s="8">
        <f t="shared" si="474"/>
        <v>4502</v>
      </c>
      <c r="T445" s="8">
        <f t="shared" si="474"/>
        <v>3889</v>
      </c>
      <c r="U445" s="8">
        <f t="shared" si="474"/>
        <v>4531</v>
      </c>
      <c r="V445" s="8">
        <f t="shared" si="474"/>
        <v>4560</v>
      </c>
      <c r="W445" s="8">
        <f t="shared" si="474"/>
        <v>5344</v>
      </c>
      <c r="X445" s="8">
        <f t="shared" si="474"/>
        <v>5422</v>
      </c>
      <c r="Y445" s="8">
        <f t="shared" si="474"/>
        <v>6492</v>
      </c>
      <c r="Z445" s="8">
        <f t="shared" si="474"/>
        <v>6425</v>
      </c>
      <c r="AA445" s="8">
        <f t="shared" si="474"/>
        <v>7787</v>
      </c>
      <c r="AB445" s="8">
        <f t="shared" si="474"/>
        <v>7562</v>
      </c>
      <c r="AC445" s="8">
        <f t="shared" si="474"/>
        <v>8197</v>
      </c>
      <c r="AD445" s="8">
        <f t="shared" si="474"/>
        <v>8281</v>
      </c>
      <c r="AE445" s="8">
        <f t="shared" si="474"/>
        <v>8681</v>
      </c>
      <c r="AF445" s="8">
        <f t="shared" si="474"/>
        <v>8978</v>
      </c>
      <c r="AG445" s="8"/>
      <c r="AH445" s="8"/>
      <c r="AI445" s="8"/>
      <c r="AT445" s="8">
        <f>+AT143</f>
        <v>8446</v>
      </c>
      <c r="AU445" s="8">
        <f>+AU143</f>
        <v>9803</v>
      </c>
      <c r="AV445" s="8">
        <f>+AV143</f>
        <v>9315</v>
      </c>
      <c r="AW445" s="8">
        <f>+AW143</f>
        <v>9138</v>
      </c>
      <c r="AY445" s="8">
        <f>+AZ445/(1+AZ446)</f>
        <v>9303.7869336835192</v>
      </c>
      <c r="AZ445" s="8">
        <f t="shared" ref="AZ445:BE445" si="475">+AZ143</f>
        <v>9127</v>
      </c>
      <c r="BA445" s="8">
        <f t="shared" si="475"/>
        <v>11524</v>
      </c>
      <c r="BB445" s="8">
        <f t="shared" si="475"/>
        <v>13920</v>
      </c>
      <c r="BC445" s="8">
        <f t="shared" si="475"/>
        <v>18324</v>
      </c>
      <c r="BD445" s="8">
        <f t="shared" si="475"/>
        <v>26126</v>
      </c>
      <c r="BE445" s="8">
        <f t="shared" si="475"/>
        <v>32721</v>
      </c>
      <c r="BF445" s="8"/>
    </row>
    <row r="446" spans="2:58">
      <c r="B446" s="13" t="s">
        <v>113</v>
      </c>
      <c r="L446" s="14">
        <f t="shared" ref="L446:M446" si="476">+L445/H445-1</f>
        <v>0.20258863252673054</v>
      </c>
      <c r="M446" s="14">
        <f t="shared" si="476"/>
        <v>0.23614142295940632</v>
      </c>
      <c r="N446" s="14">
        <f>+N445/J445-1</f>
        <v>0.23556797020484166</v>
      </c>
      <c r="O446" s="14">
        <f>+O445/K445-1</f>
        <v>0.34008931638612161</v>
      </c>
      <c r="P446" s="14">
        <f t="shared" ref="P446:AF446" si="477">+P445/L445-1</f>
        <v>0.37154890032756205</v>
      </c>
      <c r="Q446" s="14">
        <f t="shared" si="477"/>
        <v>0.15783898305084754</v>
      </c>
      <c r="R446" s="14">
        <f t="shared" si="477"/>
        <v>0.20874152223059528</v>
      </c>
      <c r="S446" s="14">
        <f t="shared" si="477"/>
        <v>0.15406306075365284</v>
      </c>
      <c r="T446" s="14">
        <f t="shared" si="477"/>
        <v>0.32685090412828388</v>
      </c>
      <c r="U446" s="14">
        <f t="shared" si="477"/>
        <v>0.38182372674595921</v>
      </c>
      <c r="V446" s="14">
        <f t="shared" si="477"/>
        <v>0.42144638403990031</v>
      </c>
      <c r="W446" s="14">
        <f t="shared" si="477"/>
        <v>0.18702798756108385</v>
      </c>
      <c r="X446" s="14">
        <f t="shared" si="477"/>
        <v>0.39418873746464378</v>
      </c>
      <c r="Y446" s="14">
        <f t="shared" si="477"/>
        <v>0.43279629220922544</v>
      </c>
      <c r="Z446" s="14">
        <f t="shared" si="477"/>
        <v>0.40899122807017552</v>
      </c>
      <c r="AA446" s="14">
        <f t="shared" si="477"/>
        <v>0.45714820359281427</v>
      </c>
      <c r="AB446" s="14">
        <f t="shared" si="477"/>
        <v>0.39468830689782375</v>
      </c>
      <c r="AC446" s="14">
        <f t="shared" si="477"/>
        <v>0.26263093037584717</v>
      </c>
      <c r="AD446" s="14">
        <f t="shared" si="477"/>
        <v>0.28887159533073925</v>
      </c>
      <c r="AE446" s="14">
        <f t="shared" si="477"/>
        <v>0.11480672916399137</v>
      </c>
      <c r="AF446" s="14">
        <f t="shared" si="477"/>
        <v>0.18725204972229559</v>
      </c>
      <c r="AG446" s="14"/>
      <c r="AH446" s="14"/>
      <c r="AI446" s="14"/>
      <c r="AU446" s="14">
        <f t="shared" ref="AU446:AW446" si="478">+AU445/AT445-1</f>
        <v>0.16066777172626101</v>
      </c>
      <c r="AV446" s="14">
        <f t="shared" si="478"/>
        <v>-4.9780679383862103E-2</v>
      </c>
      <c r="AW446" s="14">
        <f t="shared" si="478"/>
        <v>-1.900161030595815E-2</v>
      </c>
      <c r="AY446" s="1010">
        <f t="shared" ref="AY446" si="479">+AV446</f>
        <v>-4.9780679383862103E-2</v>
      </c>
      <c r="AZ446" s="1010">
        <f t="shared" ref="AZ446" si="480">+AW446</f>
        <v>-1.900161030595815E-2</v>
      </c>
      <c r="BA446" s="14">
        <f>+BA445/AZ445-1</f>
        <v>0.26262736934370556</v>
      </c>
      <c r="BB446" s="14">
        <f t="shared" ref="BB446:BE446" si="481">+BB445/BA445-1</f>
        <v>0.20791391877820198</v>
      </c>
      <c r="BC446" s="14">
        <f t="shared" si="481"/>
        <v>0.31637931034482758</v>
      </c>
      <c r="BD446" s="14">
        <f t="shared" si="481"/>
        <v>0.42578039729316752</v>
      </c>
      <c r="BE446" s="14">
        <f t="shared" si="481"/>
        <v>0.25243052897496754</v>
      </c>
      <c r="BF446" s="14"/>
    </row>
    <row r="447" spans="2:58">
      <c r="B447" s="13" t="s">
        <v>270</v>
      </c>
      <c r="L447" s="22">
        <v>0.2</v>
      </c>
      <c r="M447" s="22">
        <v>0.24</v>
      </c>
      <c r="N447" s="22">
        <v>0.21</v>
      </c>
      <c r="O447" s="22">
        <v>0.3</v>
      </c>
      <c r="P447" s="22">
        <v>0.35</v>
      </c>
      <c r="Q447" s="22">
        <v>0.15</v>
      </c>
      <c r="R447" s="22">
        <v>0.23</v>
      </c>
      <c r="S447" s="22">
        <v>0.19</v>
      </c>
      <c r="T447" s="22">
        <v>0.38</v>
      </c>
      <c r="U447" s="22">
        <v>0.42</v>
      </c>
      <c r="V447" s="22">
        <v>0.46</v>
      </c>
      <c r="W447" s="22">
        <v>0.22</v>
      </c>
      <c r="X447" s="22">
        <v>0.38</v>
      </c>
      <c r="Y447" s="22">
        <v>0.41</v>
      </c>
      <c r="Z447" s="22">
        <v>0.36</v>
      </c>
      <c r="AA447" s="22">
        <v>0.39</v>
      </c>
      <c r="AB447" s="22">
        <v>0.37</v>
      </c>
      <c r="AC447" s="22">
        <v>0.26</v>
      </c>
      <c r="AD447" s="22">
        <v>0.33</v>
      </c>
      <c r="AE447" s="22">
        <v>0.18</v>
      </c>
      <c r="AF447" s="22">
        <v>0.25</v>
      </c>
      <c r="AG447" s="22"/>
      <c r="AH447" s="22"/>
      <c r="AI447" s="22"/>
      <c r="BA447" s="23">
        <f>+SUMPRODUCT(L447:O447,H445:K445)/AZ445</f>
        <v>0.24428837515065191</v>
      </c>
      <c r="BB447" s="23">
        <f>+SUMPRODUCT(P447:S447,L445:O445)/BA445</f>
        <v>0.21905241235682055</v>
      </c>
      <c r="BC447" s="23">
        <f>+SUMPRODUCT(T447:W447,P445:S445)/BB445</f>
        <v>0.35611206896551723</v>
      </c>
      <c r="BD447" s="23">
        <f>+SUMPRODUCT(X447:AA447,T445:W445)/BC445</f>
        <v>0.38535745470421301</v>
      </c>
      <c r="BE447" s="23">
        <f>+SUMPRODUCT(AB447:AE447,X445:AA445)/BD445</f>
        <v>0.27619880578733824</v>
      </c>
      <c r="BF447" s="23"/>
    </row>
    <row r="448" spans="2:58">
      <c r="B448" s="13" t="s">
        <v>115</v>
      </c>
      <c r="H448" s="14">
        <f>+IFERROR(H445/H438,"n/a ")</f>
        <v>0.29145481384287353</v>
      </c>
      <c r="I448" s="14">
        <f t="shared" ref="I448:V448" si="482">+IFERROR(I445/I438,"n/a ")</f>
        <v>0.3390056229653744</v>
      </c>
      <c r="J448" s="14">
        <f t="shared" si="482"/>
        <v>0.31916790490341751</v>
      </c>
      <c r="K448" s="14">
        <f t="shared" si="482"/>
        <v>0.37215545896190233</v>
      </c>
      <c r="L448" s="14">
        <f t="shared" si="482"/>
        <v>0.30872580179138975</v>
      </c>
      <c r="M448" s="14">
        <f t="shared" si="482"/>
        <v>0.36330981398332263</v>
      </c>
      <c r="N448" s="14">
        <f t="shared" si="482"/>
        <v>0.33611955420466061</v>
      </c>
      <c r="O448" s="14">
        <f t="shared" si="482"/>
        <v>0.40610035394545074</v>
      </c>
      <c r="P448" s="14">
        <f t="shared" si="482"/>
        <v>0.34212676549550602</v>
      </c>
      <c r="Q448" s="14">
        <f t="shared" si="482"/>
        <v>0.34964811260396672</v>
      </c>
      <c r="R448" s="14">
        <f t="shared" si="482"/>
        <v>0.33246968597782156</v>
      </c>
      <c r="S448" s="14">
        <f t="shared" si="482"/>
        <v>0.39522429988587482</v>
      </c>
      <c r="T448" s="14">
        <f t="shared" si="482"/>
        <v>0.35859843245735362</v>
      </c>
      <c r="U448" s="14">
        <f t="shared" si="482"/>
        <v>0.38175077934114077</v>
      </c>
      <c r="V448" s="14">
        <f t="shared" si="482"/>
        <v>0.37130526830062699</v>
      </c>
      <c r="W448" s="14">
        <f>+IFERROR(W445/W438,"n/a ")</f>
        <v>0.39967092962381273</v>
      </c>
      <c r="X448" s="14">
        <f>+IFERROR(X445/X438,"n/a ")</f>
        <v>0.41752656707223162</v>
      </c>
      <c r="Y448" s="14">
        <f t="shared" ref="Y448:AF448" si="483">+IFERROR(Y445/Y438,"n/a ")</f>
        <v>0.44462708033696324</v>
      </c>
      <c r="Z448" s="14">
        <f t="shared" si="483"/>
        <v>0.42499007805265249</v>
      </c>
      <c r="AA448" s="14">
        <f t="shared" si="483"/>
        <v>0.44817266187050359</v>
      </c>
      <c r="AB448" s="14">
        <f t="shared" si="483"/>
        <v>0.44576750766328699</v>
      </c>
      <c r="AC448" s="14">
        <f t="shared" si="483"/>
        <v>0.44726360015278005</v>
      </c>
      <c r="AD448" s="14">
        <f t="shared" si="483"/>
        <v>0.43467534512624006</v>
      </c>
      <c r="AE448" s="14">
        <f t="shared" si="483"/>
        <v>0.41518006600028695</v>
      </c>
      <c r="AF448" s="14">
        <f t="shared" si="483"/>
        <v>0.44172201722017218</v>
      </c>
      <c r="AG448" s="14"/>
      <c r="AH448" s="14"/>
      <c r="AI448" s="14"/>
      <c r="AT448" s="14">
        <f t="shared" ref="AT448:AW448" si="484">+IFERROR(AT445/AT438,"n/a ")</f>
        <v>0.38858983206809294</v>
      </c>
      <c r="AU448" s="14">
        <f t="shared" si="484"/>
        <v>0.41336706725701033</v>
      </c>
      <c r="AV448" s="14">
        <f t="shared" si="484"/>
        <v>0.37197508186247102</v>
      </c>
      <c r="AW448" s="14">
        <f t="shared" si="484"/>
        <v>0.33301749271137027</v>
      </c>
      <c r="AY448" s="14">
        <f t="shared" ref="AY448:BE448" si="485">+IFERROR(AY445/AY438,"n/a ")</f>
        <v>0.37197465707937333</v>
      </c>
      <c r="AZ448" s="14">
        <f t="shared" si="485"/>
        <v>0.33301711241653592</v>
      </c>
      <c r="BA448" s="14">
        <f t="shared" si="485"/>
        <v>0.35767714702504733</v>
      </c>
      <c r="BB448" s="14">
        <f t="shared" si="485"/>
        <v>0.35706040784917276</v>
      </c>
      <c r="BC448" s="14">
        <f t="shared" si="485"/>
        <v>0.37886118347599551</v>
      </c>
      <c r="BD448" s="14">
        <f t="shared" si="485"/>
        <v>0.43485352862849536</v>
      </c>
      <c r="BE448" s="14">
        <f t="shared" si="485"/>
        <v>0.43482478638157634</v>
      </c>
      <c r="BF448" s="14"/>
    </row>
    <row r="450" spans="2:58" ht="10.5">
      <c r="B450" s="45" t="s">
        <v>1223</v>
      </c>
    </row>
    <row r="451" spans="2:58">
      <c r="D451" s="876" t="s">
        <v>371</v>
      </c>
      <c r="E451" s="876"/>
      <c r="F451" s="876"/>
      <c r="G451" s="876"/>
    </row>
    <row r="452" spans="2:58">
      <c r="B452" t="s">
        <v>1224</v>
      </c>
      <c r="D452" s="911">
        <v>0.06</v>
      </c>
      <c r="E452" s="911">
        <v>0.03</v>
      </c>
      <c r="F452" s="911">
        <v>0</v>
      </c>
      <c r="G452" s="911">
        <v>0.05</v>
      </c>
      <c r="H452" s="911">
        <v>0.13</v>
      </c>
      <c r="I452" s="911">
        <v>0.12</v>
      </c>
      <c r="J452" s="911">
        <v>0.18</v>
      </c>
      <c r="K452" s="911">
        <v>0.12</v>
      </c>
      <c r="L452" s="911">
        <v>0.17</v>
      </c>
      <c r="M452" s="911">
        <v>0.18</v>
      </c>
      <c r="N452" s="911">
        <v>0.2</v>
      </c>
      <c r="O452" s="911">
        <v>0.26</v>
      </c>
      <c r="P452" s="911">
        <v>0.28000000000000003</v>
      </c>
      <c r="Q452" s="911">
        <v>0.24</v>
      </c>
      <c r="R452" s="911">
        <v>0.27</v>
      </c>
      <c r="S452" s="911">
        <v>0.22</v>
      </c>
      <c r="T452" s="911">
        <v>0.3</v>
      </c>
      <c r="U452" s="911">
        <v>0.3</v>
      </c>
      <c r="V452" s="911">
        <v>0.3</v>
      </c>
      <c r="W452" s="911">
        <v>0.19</v>
      </c>
      <c r="X452" s="911">
        <v>0.22</v>
      </c>
      <c r="Y452" s="911">
        <v>0.26</v>
      </c>
      <c r="Z452" s="911">
        <v>0.26</v>
      </c>
      <c r="AA452" s="911">
        <v>0.34</v>
      </c>
      <c r="AB452" s="911">
        <v>0.35</v>
      </c>
      <c r="AC452" s="911">
        <v>0.28999999999999998</v>
      </c>
      <c r="AD452" s="911">
        <v>0.28999999999999998</v>
      </c>
      <c r="AE452" s="911">
        <v>0.22</v>
      </c>
      <c r="AF452" s="911">
        <v>0.22</v>
      </c>
      <c r="AG452" s="911"/>
      <c r="AH452" s="911"/>
      <c r="AI452" s="911"/>
      <c r="AZ452" s="912">
        <f>+AVERAGE(H452:K452)</f>
        <v>0.13750000000000001</v>
      </c>
      <c r="BA452" s="912">
        <f>+AVERAGE(L452:O452)</f>
        <v>0.20250000000000001</v>
      </c>
      <c r="BB452" s="912">
        <f>+AVERAGE(P452:S452)</f>
        <v>0.2525</v>
      </c>
      <c r="BC452" s="912">
        <f>+AVERAGE(T452:W452)</f>
        <v>0.27249999999999996</v>
      </c>
      <c r="BD452" s="912">
        <f>+AVERAGE(X452:AA452)</f>
        <v>0.27</v>
      </c>
      <c r="BE452" s="912">
        <f>+AVERAGE(AB452:AE452)</f>
        <v>0.28749999999999998</v>
      </c>
      <c r="BF452" s="912"/>
    </row>
    <row r="453" spans="2:58">
      <c r="B453" s="12" t="s">
        <v>270</v>
      </c>
      <c r="D453" s="911">
        <v>0.13</v>
      </c>
      <c r="E453" s="911">
        <v>0.1</v>
      </c>
      <c r="F453" s="911">
        <v>0.05</v>
      </c>
      <c r="G453" s="911">
        <v>0.08</v>
      </c>
      <c r="H453" s="911">
        <v>0.14000000000000001</v>
      </c>
      <c r="I453" s="911">
        <v>0.13</v>
      </c>
      <c r="J453" s="911">
        <v>0.2</v>
      </c>
      <c r="K453" s="911">
        <v>0.13</v>
      </c>
      <c r="L453" s="911">
        <v>0.17</v>
      </c>
      <c r="M453" s="911">
        <v>0.18</v>
      </c>
      <c r="N453" s="911">
        <v>0.17</v>
      </c>
      <c r="O453" s="911">
        <v>0.24</v>
      </c>
      <c r="P453" s="911">
        <v>0.28000000000000003</v>
      </c>
      <c r="Q453" s="911">
        <v>0.24</v>
      </c>
      <c r="R453" s="911">
        <v>0.28999999999999998</v>
      </c>
      <c r="S453" s="911">
        <v>0.24</v>
      </c>
      <c r="T453" s="911">
        <v>0.33</v>
      </c>
      <c r="U453" s="911">
        <v>0.32</v>
      </c>
      <c r="V453" s="911">
        <v>0.32</v>
      </c>
      <c r="W453" s="911">
        <v>0.21</v>
      </c>
      <c r="X453" s="911">
        <v>0.21</v>
      </c>
      <c r="Y453" s="911">
        <v>0.24</v>
      </c>
      <c r="Z453" s="911">
        <v>0.23</v>
      </c>
      <c r="AA453" s="911">
        <v>0.28999999999999998</v>
      </c>
      <c r="AB453" s="911">
        <v>0.33</v>
      </c>
      <c r="AC453" s="911">
        <v>0.28999999999999998</v>
      </c>
      <c r="AD453" s="911">
        <v>0.32</v>
      </c>
      <c r="AE453" s="911">
        <v>0.26</v>
      </c>
      <c r="AF453" s="911">
        <v>0.28000000000000003</v>
      </c>
      <c r="AG453" s="911"/>
      <c r="AH453" s="911"/>
      <c r="AI453" s="911"/>
      <c r="AZ453" s="912">
        <f>+AVERAGE(H453:K453)</f>
        <v>0.15000000000000002</v>
      </c>
      <c r="BA453" s="912">
        <f>+AVERAGE(L453:O453)</f>
        <v>0.19</v>
      </c>
      <c r="BB453" s="912">
        <f>+AVERAGE(P453:S453)</f>
        <v>0.26250000000000001</v>
      </c>
      <c r="BC453" s="912">
        <f>+AVERAGE(T453:W453)</f>
        <v>0.29499999999999998</v>
      </c>
      <c r="BD453" s="912">
        <f>+AVERAGE(X453:AA453)</f>
        <v>0.24249999999999999</v>
      </c>
      <c r="BE453" s="912">
        <f>+AVERAGE(AB453:AE453)</f>
        <v>0.3</v>
      </c>
      <c r="BF453" s="912"/>
    </row>
    <row r="454" spans="2:58">
      <c r="B454" s="843"/>
      <c r="H454" s="911"/>
      <c r="I454" s="911"/>
      <c r="J454" s="911"/>
      <c r="K454" s="911"/>
      <c r="L454" s="911"/>
    </row>
    <row r="455" spans="2:58">
      <c r="B455" s="843" t="s">
        <v>1225</v>
      </c>
      <c r="D455" s="911"/>
      <c r="E455" s="911"/>
      <c r="F455" s="911"/>
      <c r="G455" s="911">
        <v>1.02</v>
      </c>
      <c r="H455" s="911">
        <v>1.1599999999999999</v>
      </c>
      <c r="I455" s="911">
        <v>0.93</v>
      </c>
      <c r="J455" s="911">
        <v>0.93</v>
      </c>
      <c r="K455" s="911">
        <v>0.97</v>
      </c>
      <c r="L455" s="911">
        <v>0.9</v>
      </c>
      <c r="M455" s="911">
        <v>0.98</v>
      </c>
      <c r="N455" s="911">
        <v>0.93</v>
      </c>
      <c r="O455" s="911">
        <v>0.89</v>
      </c>
      <c r="P455" s="911">
        <v>0.76</v>
      </c>
      <c r="Q455" s="911">
        <v>0.76</v>
      </c>
      <c r="R455" s="911">
        <v>0.73</v>
      </c>
      <c r="S455" s="911">
        <v>0.64</v>
      </c>
      <c r="T455" s="911">
        <v>0.59</v>
      </c>
      <c r="U455" s="911">
        <v>0.62</v>
      </c>
      <c r="V455" s="911">
        <v>0.59</v>
      </c>
      <c r="W455" s="911">
        <v>0.47</v>
      </c>
      <c r="X455" s="911">
        <v>0.48</v>
      </c>
      <c r="Y455" s="911">
        <v>0.5</v>
      </c>
      <c r="Z455" s="911">
        <v>0.5</v>
      </c>
      <c r="AA455" s="911">
        <v>0.51</v>
      </c>
      <c r="AB455" s="911">
        <v>0.5</v>
      </c>
      <c r="AC455" s="911">
        <v>0.46</v>
      </c>
      <c r="AD455" s="911">
        <v>0.46</v>
      </c>
      <c r="AE455" s="911">
        <v>0.4</v>
      </c>
      <c r="AF455" s="911">
        <v>0.35</v>
      </c>
      <c r="AG455" s="911"/>
      <c r="AH455" s="911"/>
      <c r="AI455" s="911"/>
      <c r="AZ455" s="912">
        <f>+AVERAGE(H455:K455)</f>
        <v>0.99750000000000005</v>
      </c>
      <c r="BA455" s="912">
        <f>+AVERAGE(L455:O455)</f>
        <v>0.92500000000000004</v>
      </c>
      <c r="BB455" s="912">
        <f>+AVERAGE(P455:S455)</f>
        <v>0.72250000000000003</v>
      </c>
      <c r="BC455" s="912">
        <f>+AVERAGE(T455:W455)</f>
        <v>0.56749999999999989</v>
      </c>
      <c r="BD455" s="912">
        <f>+AVERAGE(X455:AA455)</f>
        <v>0.4975</v>
      </c>
      <c r="BE455" s="912">
        <f>+AVERAGE(AB455:AE455)</f>
        <v>0.45499999999999996</v>
      </c>
      <c r="BF455" s="912"/>
    </row>
    <row r="456" spans="2:58">
      <c r="B456" s="12" t="s">
        <v>270</v>
      </c>
      <c r="D456" s="911">
        <v>1.35</v>
      </c>
      <c r="E456" s="911">
        <v>1.4</v>
      </c>
      <c r="F456" s="911">
        <v>1.2</v>
      </c>
      <c r="G456" s="911">
        <v>1.08</v>
      </c>
      <c r="H456" s="911">
        <v>1.21</v>
      </c>
      <c r="I456" s="911">
        <v>0.95</v>
      </c>
      <c r="J456" s="911">
        <v>0.94</v>
      </c>
      <c r="K456" s="911">
        <v>0.98</v>
      </c>
      <c r="L456" s="911">
        <v>0.89</v>
      </c>
      <c r="M456" s="911">
        <v>0.98</v>
      </c>
      <c r="N456" s="911">
        <v>0.89</v>
      </c>
      <c r="O456" s="911">
        <v>0.85</v>
      </c>
      <c r="P456" s="911">
        <v>0.76</v>
      </c>
      <c r="Q456" s="911">
        <v>0.76</v>
      </c>
      <c r="R456" s="911">
        <v>0.75</v>
      </c>
      <c r="S456" s="911">
        <v>0.68</v>
      </c>
      <c r="T456" s="911">
        <v>0.63</v>
      </c>
      <c r="U456" s="911">
        <v>0.64</v>
      </c>
      <c r="V456" s="911">
        <v>0.61</v>
      </c>
      <c r="W456" s="911">
        <v>0.5</v>
      </c>
      <c r="X456" s="911">
        <v>0.47</v>
      </c>
      <c r="Y456" s="911">
        <v>0.48</v>
      </c>
      <c r="Z456" s="911">
        <v>0.46</v>
      </c>
      <c r="AA456" s="911">
        <v>0.45</v>
      </c>
      <c r="AB456" s="911">
        <v>0.48</v>
      </c>
      <c r="AC456" s="911">
        <v>0.46</v>
      </c>
      <c r="AD456" s="911">
        <v>0.49</v>
      </c>
      <c r="AE456" s="911">
        <v>0.46</v>
      </c>
      <c r="AF456" s="911">
        <v>0.42</v>
      </c>
      <c r="AG456" s="911"/>
      <c r="AH456" s="911"/>
      <c r="AI456" s="911"/>
      <c r="AZ456" s="912">
        <f>+AVERAGE(H456:K456)</f>
        <v>1.02</v>
      </c>
      <c r="BA456" s="912">
        <f>+AVERAGE(L456:O456)</f>
        <v>0.90250000000000008</v>
      </c>
      <c r="BB456" s="912">
        <f>+AVERAGE(P456:S456)</f>
        <v>0.73750000000000004</v>
      </c>
      <c r="BC456" s="912">
        <f>+AVERAGE(T456:W456)</f>
        <v>0.59499999999999997</v>
      </c>
      <c r="BD456" s="912">
        <f>+AVERAGE(X456:AA456)</f>
        <v>0.46499999999999997</v>
      </c>
      <c r="BE456" s="912">
        <f>+AVERAGE(AB456:AE456)</f>
        <v>0.47249999999999998</v>
      </c>
      <c r="BF456" s="912"/>
    </row>
    <row r="457" spans="2:58">
      <c r="B457" s="12"/>
      <c r="D457" s="911"/>
      <c r="E457" s="911"/>
      <c r="F457" s="911"/>
      <c r="G457" s="911"/>
      <c r="H457" s="911"/>
      <c r="I457" s="911"/>
      <c r="J457" s="911"/>
      <c r="K457" s="911"/>
      <c r="L457" s="911"/>
      <c r="M457" s="911"/>
      <c r="N457" s="911"/>
      <c r="O457" s="911"/>
      <c r="P457" s="911"/>
      <c r="Q457" s="911"/>
      <c r="R457" s="911"/>
      <c r="S457" s="911"/>
      <c r="T457" s="911"/>
      <c r="U457" s="911"/>
      <c r="V457" s="911"/>
      <c r="W457" s="911"/>
      <c r="X457" s="911"/>
      <c r="Y457" s="911"/>
      <c r="Z457" s="911"/>
      <c r="AA457" s="911"/>
      <c r="AB457" s="911"/>
      <c r="AC457" s="911"/>
      <c r="AD457" s="911"/>
      <c r="AE457" s="911"/>
      <c r="AF457" s="911"/>
      <c r="AG457" s="911"/>
      <c r="AH457" s="911"/>
      <c r="AI457" s="911"/>
      <c r="AZ457" s="912"/>
      <c r="BA457" s="912"/>
      <c r="BB457" s="912"/>
      <c r="BC457" s="912"/>
      <c r="BD457" s="912"/>
      <c r="BE457" s="912"/>
      <c r="BF457" s="912"/>
    </row>
    <row r="458" spans="2:58">
      <c r="B458" s="843" t="s">
        <v>1226</v>
      </c>
      <c r="D458" s="911"/>
      <c r="E458" s="911"/>
      <c r="F458" s="911"/>
      <c r="G458" s="911">
        <v>0</v>
      </c>
      <c r="H458" s="911">
        <v>0.03</v>
      </c>
      <c r="I458" s="911">
        <v>0.05</v>
      </c>
      <c r="J458" s="911">
        <v>0.1</v>
      </c>
      <c r="K458" s="911">
        <v>0.02</v>
      </c>
      <c r="L458" s="911">
        <v>0.02</v>
      </c>
      <c r="M458" s="911">
        <v>0.04</v>
      </c>
      <c r="N458" s="911">
        <v>0.03</v>
      </c>
      <c r="O458" s="911">
        <v>0.08</v>
      </c>
      <c r="P458" s="911">
        <v>0.1</v>
      </c>
      <c r="Q458" s="911">
        <v>0.03</v>
      </c>
      <c r="R458" s="911">
        <v>7.0000000000000007E-2</v>
      </c>
      <c r="S458" s="911">
        <v>0.05</v>
      </c>
      <c r="T458" s="911">
        <v>0.12</v>
      </c>
      <c r="U458" s="911">
        <v>0.1</v>
      </c>
      <c r="V458" s="911">
        <v>0.11</v>
      </c>
      <c r="W458" s="911">
        <v>0</v>
      </c>
      <c r="X458" s="911">
        <v>-0.01</v>
      </c>
      <c r="Y458" s="911">
        <v>0.04</v>
      </c>
      <c r="Z458" s="911">
        <v>0.03</v>
      </c>
      <c r="AA458" s="911">
        <v>0.16</v>
      </c>
      <c r="AB458" s="911">
        <v>0.14000000000000001</v>
      </c>
      <c r="AC458" s="911">
        <v>0.06</v>
      </c>
      <c r="AD458" s="911">
        <v>0.05</v>
      </c>
      <c r="AE458" s="911">
        <v>-0.03</v>
      </c>
      <c r="AF458" s="911">
        <v>0</v>
      </c>
      <c r="AG458" s="911"/>
      <c r="AH458" s="911"/>
      <c r="AI458" s="911"/>
      <c r="AZ458" s="912">
        <f>+AVERAGE(H458:K458)</f>
        <v>4.9999999999999996E-2</v>
      </c>
      <c r="BA458" s="912">
        <f>+AVERAGE(L458:O458)</f>
        <v>4.2499999999999996E-2</v>
      </c>
      <c r="BB458" s="912">
        <f>+AVERAGE(P458:S458)</f>
        <v>6.25E-2</v>
      </c>
      <c r="BC458" s="912">
        <f>+AVERAGE(T458:W458)</f>
        <v>8.2500000000000004E-2</v>
      </c>
      <c r="BD458" s="912">
        <f>+AVERAGE(X458:AA458)</f>
        <v>5.5E-2</v>
      </c>
      <c r="BE458" s="912">
        <f>+AVERAGE(AB458:AE458)</f>
        <v>5.5E-2</v>
      </c>
      <c r="BF458" s="912"/>
    </row>
    <row r="459" spans="2:58">
      <c r="B459" s="12" t="s">
        <v>270</v>
      </c>
      <c r="D459" s="911"/>
      <c r="E459" s="911"/>
      <c r="F459" s="911"/>
      <c r="G459" s="911">
        <v>0.03</v>
      </c>
      <c r="H459" s="911">
        <v>0.05</v>
      </c>
      <c r="I459" s="911">
        <v>0.06</v>
      </c>
      <c r="J459" s="911">
        <v>0.11</v>
      </c>
      <c r="K459" s="911">
        <v>0.03</v>
      </c>
      <c r="L459" s="911">
        <v>0.02</v>
      </c>
      <c r="M459" s="911">
        <v>0.03</v>
      </c>
      <c r="N459" s="911">
        <v>0.01</v>
      </c>
      <c r="O459" s="911">
        <v>0.06</v>
      </c>
      <c r="P459" s="911">
        <v>0.09</v>
      </c>
      <c r="Q459" s="911">
        <v>0.04</v>
      </c>
      <c r="R459" s="911">
        <v>0.09</v>
      </c>
      <c r="S459" s="911">
        <v>7.0000000000000007E-2</v>
      </c>
      <c r="T459" s="911">
        <v>0.14000000000000001</v>
      </c>
      <c r="U459" s="911">
        <v>0.12</v>
      </c>
      <c r="V459" s="911">
        <v>0.12</v>
      </c>
      <c r="W459" s="911">
        <v>0.01</v>
      </c>
      <c r="X459" s="911">
        <v>-0.01</v>
      </c>
      <c r="Y459" s="911">
        <v>0.03</v>
      </c>
      <c r="Z459" s="911">
        <v>0</v>
      </c>
      <c r="AA459" s="911">
        <v>0.12</v>
      </c>
      <c r="AB459" s="911">
        <v>0.13</v>
      </c>
      <c r="AC459" s="911">
        <v>0.06</v>
      </c>
      <c r="AD459" s="911">
        <v>7.0000000000000007E-2</v>
      </c>
      <c r="AE459" s="911">
        <v>0.01</v>
      </c>
      <c r="AF459" s="911">
        <v>0.04</v>
      </c>
      <c r="AG459" s="911"/>
      <c r="AH459" s="911"/>
      <c r="AI459" s="911"/>
      <c r="AZ459" s="912">
        <f>+AVERAGE(H459:K459)</f>
        <v>6.25E-2</v>
      </c>
      <c r="BA459" s="912">
        <f>+AVERAGE(L459:O459)</f>
        <v>0.03</v>
      </c>
      <c r="BB459" s="912">
        <f>+AVERAGE(P459:S459)</f>
        <v>7.2500000000000009E-2</v>
      </c>
      <c r="BC459" s="912">
        <f>+AVERAGE(T459:W459)</f>
        <v>9.7500000000000003E-2</v>
      </c>
      <c r="BD459" s="912">
        <f>+AVERAGE(X459:AA459)</f>
        <v>3.4999999999999996E-2</v>
      </c>
      <c r="BE459" s="912">
        <f>+AVERAGE(AB459:AE459)</f>
        <v>6.7500000000000004E-2</v>
      </c>
      <c r="BF459" s="912"/>
    </row>
    <row r="460" spans="2:58">
      <c r="B460" s="843"/>
      <c r="H460" s="911"/>
      <c r="I460" s="911"/>
      <c r="J460" s="911"/>
      <c r="K460" s="911"/>
      <c r="L460" s="911"/>
    </row>
    <row r="461" spans="2:58">
      <c r="B461" t="s">
        <v>1227</v>
      </c>
      <c r="D461" s="911">
        <v>0.09</v>
      </c>
      <c r="E461" s="911">
        <v>0.1</v>
      </c>
      <c r="F461" s="911">
        <v>0.11</v>
      </c>
      <c r="G461" s="911">
        <v>0.12</v>
      </c>
      <c r="H461" s="911">
        <v>0.01</v>
      </c>
      <c r="I461" s="911">
        <v>-0.04</v>
      </c>
      <c r="J461" s="911">
        <v>-0.01</v>
      </c>
      <c r="K461" s="911">
        <v>-0.03</v>
      </c>
      <c r="L461" s="911">
        <v>0.01</v>
      </c>
      <c r="M461" s="911">
        <v>0.05</v>
      </c>
      <c r="N461" s="911">
        <v>0.08</v>
      </c>
      <c r="O461" s="911">
        <v>0.08</v>
      </c>
      <c r="P461" s="911">
        <v>0.06</v>
      </c>
      <c r="Q461" s="911">
        <v>0.06</v>
      </c>
      <c r="R461" s="911">
        <v>0.04</v>
      </c>
      <c r="S461" s="911">
        <v>0.04</v>
      </c>
      <c r="T461" s="911">
        <v>7.0000000000000007E-2</v>
      </c>
      <c r="U461" s="911">
        <v>0.06</v>
      </c>
      <c r="V461" s="911">
        <v>0.06</v>
      </c>
      <c r="W461" s="911">
        <v>0</v>
      </c>
      <c r="X461" s="911">
        <v>0.06</v>
      </c>
      <c r="Y461" s="911">
        <v>0.05</v>
      </c>
      <c r="Z461" s="911">
        <v>0.1</v>
      </c>
      <c r="AA461" s="911">
        <v>0.12</v>
      </c>
      <c r="AB461" s="911">
        <v>0.09</v>
      </c>
      <c r="AC461" s="911">
        <v>0.08</v>
      </c>
      <c r="AD461" s="911">
        <v>0.05</v>
      </c>
      <c r="AE461" s="911">
        <v>0.05</v>
      </c>
      <c r="AF461" s="911">
        <v>0.05</v>
      </c>
      <c r="AG461" s="911"/>
      <c r="AH461" s="911"/>
      <c r="AI461" s="911"/>
      <c r="AZ461" s="912">
        <f>+AVERAGE(H461:K461)</f>
        <v>-1.7500000000000002E-2</v>
      </c>
      <c r="BA461" s="912">
        <f>+AVERAGE(L461:O461)</f>
        <v>5.5000000000000007E-2</v>
      </c>
      <c r="BB461" s="912">
        <f>+AVERAGE(P461:S461)</f>
        <v>0.05</v>
      </c>
      <c r="BC461" s="912">
        <f>+AVERAGE(T461:W461)</f>
        <v>4.7500000000000001E-2</v>
      </c>
      <c r="BD461" s="912">
        <f>+AVERAGE(X461:AA461)</f>
        <v>8.2500000000000004E-2</v>
      </c>
      <c r="BE461" s="912">
        <f>+AVERAGE(AB461:AE461)</f>
        <v>6.7499999999999991E-2</v>
      </c>
      <c r="BF461" s="912"/>
    </row>
    <row r="462" spans="2:58">
      <c r="B462" s="12" t="s">
        <v>270</v>
      </c>
      <c r="D462" s="911">
        <v>0.16</v>
      </c>
      <c r="E462" s="911">
        <v>0.16</v>
      </c>
      <c r="F462" s="911">
        <v>0.15</v>
      </c>
      <c r="G462" s="911">
        <v>0.14000000000000001</v>
      </c>
      <c r="H462" s="911">
        <v>0.02</v>
      </c>
      <c r="I462" s="911">
        <v>-0.02</v>
      </c>
      <c r="J462" s="911">
        <v>0</v>
      </c>
      <c r="K462" s="911">
        <v>-0.01</v>
      </c>
      <c r="L462" s="911">
        <v>0</v>
      </c>
      <c r="M462" s="911">
        <v>0.03</v>
      </c>
      <c r="N462" s="911">
        <v>0.05</v>
      </c>
      <c r="O462" s="911">
        <v>7.0000000000000007E-2</v>
      </c>
      <c r="P462" s="911">
        <v>0.06</v>
      </c>
      <c r="Q462" s="911">
        <v>7.0000000000000007E-2</v>
      </c>
      <c r="R462" s="911">
        <v>0.05</v>
      </c>
      <c r="S462" s="911">
        <v>0.06</v>
      </c>
      <c r="T462" s="911">
        <v>0.08</v>
      </c>
      <c r="U462" s="911">
        <v>7.0000000000000007E-2</v>
      </c>
      <c r="V462" s="911">
        <v>7.0000000000000007E-2</v>
      </c>
      <c r="W462" s="911">
        <v>0.02</v>
      </c>
      <c r="X462" s="911">
        <v>0.05</v>
      </c>
      <c r="Y462" s="911">
        <v>0.04</v>
      </c>
      <c r="Z462" s="911">
        <v>0.08</v>
      </c>
      <c r="AA462" s="911">
        <v>0.09</v>
      </c>
      <c r="AB462" s="911">
        <v>0.08</v>
      </c>
      <c r="AC462" s="911">
        <v>7.0000000000000007E-2</v>
      </c>
      <c r="AD462" s="911">
        <v>0.06</v>
      </c>
      <c r="AE462" s="911">
        <v>0.08</v>
      </c>
      <c r="AF462" s="911">
        <v>0.1</v>
      </c>
      <c r="AG462" s="911"/>
      <c r="AH462" s="911"/>
      <c r="AI462" s="911"/>
      <c r="AZ462" s="912">
        <f>+AVERAGE(H462:K462)</f>
        <v>-2.5000000000000001E-3</v>
      </c>
      <c r="BA462" s="912">
        <f>+AVERAGE(L462:O462)</f>
        <v>3.7500000000000006E-2</v>
      </c>
      <c r="BB462" s="912">
        <f>+AVERAGE(P462:S462)</f>
        <v>0.06</v>
      </c>
      <c r="BC462" s="912">
        <f>+AVERAGE(T462:W462)</f>
        <v>6.0000000000000005E-2</v>
      </c>
      <c r="BD462" s="912">
        <f>+AVERAGE(X462:AA462)</f>
        <v>6.5000000000000002E-2</v>
      </c>
      <c r="BE462" s="912">
        <f>+AVERAGE(AB462:AE462)</f>
        <v>7.2500000000000009E-2</v>
      </c>
      <c r="BF462" s="912"/>
    </row>
    <row r="464" spans="2:58" ht="10.5">
      <c r="B464" s="5" t="s">
        <v>339</v>
      </c>
      <c r="C464" s="4"/>
    </row>
    <row r="466" spans="2:58">
      <c r="B466" t="s">
        <v>86</v>
      </c>
      <c r="H466" s="8">
        <f t="shared" ref="H466:AF466" si="486">+H116</f>
        <v>9395</v>
      </c>
      <c r="I466" s="8">
        <f t="shared" si="486"/>
        <v>11889</v>
      </c>
      <c r="J466" s="8">
        <f t="shared" si="486"/>
        <v>8775</v>
      </c>
      <c r="K466" s="8">
        <f t="shared" si="486"/>
        <v>9235</v>
      </c>
      <c r="L466" s="8">
        <f t="shared" si="486"/>
        <v>9378</v>
      </c>
      <c r="M466" s="8">
        <f t="shared" si="486"/>
        <v>12170</v>
      </c>
      <c r="N466" s="8">
        <f t="shared" si="486"/>
        <v>9917</v>
      </c>
      <c r="O466" s="8">
        <f t="shared" si="486"/>
        <v>10811</v>
      </c>
      <c r="P466" s="8">
        <f t="shared" si="486"/>
        <v>10746</v>
      </c>
      <c r="Q466" s="8">
        <f t="shared" si="486"/>
        <v>12993</v>
      </c>
      <c r="R466" s="8">
        <f t="shared" si="486"/>
        <v>10680</v>
      </c>
      <c r="S466" s="8">
        <f t="shared" si="486"/>
        <v>11279</v>
      </c>
      <c r="T466" s="8">
        <f t="shared" si="486"/>
        <v>11133</v>
      </c>
      <c r="U466" s="8">
        <f t="shared" si="486"/>
        <v>13211</v>
      </c>
      <c r="V466" s="8">
        <f t="shared" si="486"/>
        <v>10997</v>
      </c>
      <c r="W466" s="8">
        <f t="shared" si="486"/>
        <v>12910</v>
      </c>
      <c r="X466" s="8">
        <f t="shared" si="486"/>
        <v>11849</v>
      </c>
      <c r="Y466" s="8">
        <f t="shared" si="486"/>
        <v>15122</v>
      </c>
      <c r="Z466" s="8">
        <f t="shared" si="486"/>
        <v>13036</v>
      </c>
      <c r="AA466" s="8">
        <f t="shared" si="486"/>
        <v>14086</v>
      </c>
      <c r="AB466" s="8">
        <f t="shared" si="486"/>
        <v>13314</v>
      </c>
      <c r="AC466" s="8">
        <f t="shared" si="486"/>
        <v>17465</v>
      </c>
      <c r="AD466" s="8">
        <f t="shared" si="486"/>
        <v>14520</v>
      </c>
      <c r="AE466" s="8">
        <f t="shared" si="486"/>
        <v>14356</v>
      </c>
      <c r="AF466" s="8">
        <f t="shared" si="486"/>
        <v>13332</v>
      </c>
      <c r="AG466" s="8"/>
      <c r="AH466" s="8"/>
      <c r="AI466" s="8"/>
      <c r="AT466" s="8">
        <f>+AT116</f>
        <v>38460</v>
      </c>
      <c r="AU466" s="8">
        <f>+AU116</f>
        <v>43435</v>
      </c>
      <c r="AV466" s="8">
        <f>+AV116</f>
        <v>40434</v>
      </c>
      <c r="AW466" s="8">
        <f>+AW116</f>
        <v>38773</v>
      </c>
      <c r="AY466" s="8">
        <f>+AZ466/(1+AZ467)</f>
        <v>40977.3191653986</v>
      </c>
      <c r="AZ466" s="8">
        <f t="shared" ref="AZ466:BE466" si="487">+AZ116</f>
        <v>39294</v>
      </c>
      <c r="BA466" s="8">
        <f t="shared" si="487"/>
        <v>42276</v>
      </c>
      <c r="BB466" s="8">
        <f t="shared" si="487"/>
        <v>45698</v>
      </c>
      <c r="BC466" s="8">
        <f t="shared" si="487"/>
        <v>48251</v>
      </c>
      <c r="BD466" s="8">
        <f t="shared" si="487"/>
        <v>54093</v>
      </c>
      <c r="BE466" s="8">
        <f t="shared" si="487"/>
        <v>59655</v>
      </c>
      <c r="BF466" s="8"/>
    </row>
    <row r="467" spans="2:58">
      <c r="B467" s="13" t="s">
        <v>113</v>
      </c>
      <c r="L467" s="14">
        <f t="shared" ref="L467:M467" si="488">+L466/H466-1</f>
        <v>-1.8094731240021478E-3</v>
      </c>
      <c r="M467" s="14">
        <f t="shared" si="488"/>
        <v>2.3635293128101642E-2</v>
      </c>
      <c r="N467" s="14">
        <f>+N466/J466-1</f>
        <v>0.13014245014245018</v>
      </c>
      <c r="O467" s="14">
        <f>+O466/K466-1</f>
        <v>0.17065511640498099</v>
      </c>
      <c r="P467" s="14">
        <f t="shared" ref="P467:AF467" si="489">+P466/L466-1</f>
        <v>0.14587332053742808</v>
      </c>
      <c r="Q467" s="14">
        <f t="shared" si="489"/>
        <v>6.7625308134757534E-2</v>
      </c>
      <c r="R467" s="14">
        <f t="shared" si="489"/>
        <v>7.6938590299485687E-2</v>
      </c>
      <c r="S467" s="14">
        <f t="shared" si="489"/>
        <v>4.328924243825738E-2</v>
      </c>
      <c r="T467" s="14">
        <f t="shared" si="489"/>
        <v>3.6013400335008328E-2</v>
      </c>
      <c r="U467" s="14">
        <f t="shared" si="489"/>
        <v>1.677826521973369E-2</v>
      </c>
      <c r="V467" s="14">
        <f t="shared" si="489"/>
        <v>2.9681647940074996E-2</v>
      </c>
      <c r="W467" s="14">
        <f t="shared" si="489"/>
        <v>0.14460501817537019</v>
      </c>
      <c r="X467" s="14">
        <f t="shared" si="489"/>
        <v>6.4313302793496785E-2</v>
      </c>
      <c r="Y467" s="14">
        <f t="shared" si="489"/>
        <v>0.14465218378623868</v>
      </c>
      <c r="Z467" s="14">
        <f t="shared" si="489"/>
        <v>0.18541420387378382</v>
      </c>
      <c r="AA467" s="14">
        <f t="shared" si="489"/>
        <v>9.1092176607281194E-2</v>
      </c>
      <c r="AB467" s="14">
        <f t="shared" si="489"/>
        <v>0.12363912566461299</v>
      </c>
      <c r="AC467" s="14">
        <f t="shared" si="489"/>
        <v>0.15493982277476515</v>
      </c>
      <c r="AD467" s="14">
        <f t="shared" si="489"/>
        <v>0.11383860079779073</v>
      </c>
      <c r="AE467" s="14">
        <f t="shared" si="489"/>
        <v>1.9167968195371365E-2</v>
      </c>
      <c r="AF467" s="14">
        <f t="shared" si="489"/>
        <v>1.3519603424965165E-3</v>
      </c>
      <c r="AG467" s="14"/>
      <c r="AH467" s="14"/>
      <c r="AI467" s="14"/>
      <c r="AU467" s="14">
        <f t="shared" ref="AU467:AW467" si="490">+AU466/AT466-1</f>
        <v>0.12935517420696829</v>
      </c>
      <c r="AV467" s="14">
        <f t="shared" si="490"/>
        <v>-6.9091746287556099E-2</v>
      </c>
      <c r="AW467" s="14">
        <f t="shared" si="490"/>
        <v>-4.1079289706682509E-2</v>
      </c>
      <c r="AY467" s="1010">
        <f t="shared" ref="AY467" si="491">+AV467</f>
        <v>-6.9091746287556099E-2</v>
      </c>
      <c r="AZ467" s="1010">
        <f t="shared" ref="AZ467" si="492">+AW467</f>
        <v>-4.1079289706682509E-2</v>
      </c>
      <c r="BA467" s="14">
        <f>+BA466/AZ466-1</f>
        <v>7.5889448770804613E-2</v>
      </c>
      <c r="BB467" s="14">
        <f t="shared" ref="BB467:BE467" si="493">+BB466/BA466-1</f>
        <v>8.0944270981171407E-2</v>
      </c>
      <c r="BC467" s="14">
        <f t="shared" si="493"/>
        <v>5.5866777539498536E-2</v>
      </c>
      <c r="BD467" s="14">
        <f t="shared" si="493"/>
        <v>0.12107521087645856</v>
      </c>
      <c r="BE467" s="14">
        <f t="shared" si="493"/>
        <v>0.10282291608895799</v>
      </c>
      <c r="BF467" s="14"/>
    </row>
    <row r="468" spans="2:58">
      <c r="B468" s="13" t="s">
        <v>270</v>
      </c>
      <c r="L468" s="22">
        <v>-0.01</v>
      </c>
      <c r="M468" s="22">
        <v>0.02</v>
      </c>
      <c r="N468" s="22">
        <v>0.11</v>
      </c>
      <c r="O468" s="22">
        <v>0.16</v>
      </c>
      <c r="P468" s="22">
        <v>0.15</v>
      </c>
      <c r="Q468" s="22">
        <v>7.0000000000000007E-2</v>
      </c>
      <c r="R468" s="22">
        <v>0.09</v>
      </c>
      <c r="S468" s="22">
        <v>0.06</v>
      </c>
      <c r="T468" s="22">
        <v>0.05</v>
      </c>
      <c r="U468" s="22">
        <v>0.03</v>
      </c>
      <c r="V468" s="22">
        <v>0.04</v>
      </c>
      <c r="W468" s="22">
        <v>0.16</v>
      </c>
      <c r="X468" s="22">
        <v>0.06</v>
      </c>
      <c r="Y468" s="22">
        <v>0.13</v>
      </c>
      <c r="Z468" s="22">
        <v>0.16</v>
      </c>
      <c r="AA468" s="22">
        <v>0.06</v>
      </c>
      <c r="AB468" s="22">
        <v>0.11</v>
      </c>
      <c r="AC468" s="22">
        <v>0.15</v>
      </c>
      <c r="AD468" s="22">
        <v>0.13</v>
      </c>
      <c r="AE468" s="22">
        <v>0.05</v>
      </c>
      <c r="AF468" s="22">
        <v>0.03</v>
      </c>
      <c r="AG468" s="22"/>
      <c r="AH468" s="22"/>
      <c r="AI468" s="22"/>
      <c r="BA468" s="23">
        <f>+SUMPRODUCT(L468:O468,H466:K466)/AZ466</f>
        <v>6.5828879727184819E-2</v>
      </c>
      <c r="BB468" s="23">
        <f>+SUMPRODUCT(P468:S468,L466:O466)/BA466</f>
        <v>8.9880546882391901E-2</v>
      </c>
      <c r="BC468" s="23">
        <f>+SUMPRODUCT(T468:W468,P466:S466)/BB466</f>
        <v>6.9126219965862851E-2</v>
      </c>
      <c r="BD468" s="23">
        <f>+SUMPRODUCT(X468:AA468,T466:W466)/BC466</f>
        <v>0.10195705788481069</v>
      </c>
      <c r="BE468" s="23">
        <f>+SUMPRODUCT(AB468:AE468,X466:AA466)/BD466</f>
        <v>0.1103778677462888</v>
      </c>
      <c r="BF468" s="23"/>
    </row>
    <row r="470" spans="2:58">
      <c r="B470" t="s">
        <v>1213</v>
      </c>
      <c r="L470" s="911">
        <v>0.1</v>
      </c>
      <c r="M470" s="911">
        <v>0.13</v>
      </c>
      <c r="N470" s="911">
        <v>0.16</v>
      </c>
      <c r="O470" s="911">
        <v>0.23</v>
      </c>
      <c r="P470" s="911">
        <v>0.1</v>
      </c>
      <c r="Q470" s="911">
        <v>0.06</v>
      </c>
      <c r="R470" s="911">
        <v>0.13</v>
      </c>
      <c r="S470" s="911">
        <v>0.08</v>
      </c>
      <c r="T470" s="911">
        <v>0.12</v>
      </c>
      <c r="U470" s="911">
        <v>0.18</v>
      </c>
      <c r="V470" s="911">
        <v>0.06</v>
      </c>
      <c r="W470" s="911">
        <v>0.12</v>
      </c>
      <c r="X470" s="911">
        <v>0.08</v>
      </c>
      <c r="Y470" s="911">
        <v>0.11</v>
      </c>
      <c r="Z470" s="911">
        <v>0.14000000000000001</v>
      </c>
      <c r="AA470" s="911">
        <v>0.08</v>
      </c>
      <c r="AB470" s="911">
        <v>0.1</v>
      </c>
      <c r="AC470" s="911">
        <v>0.2</v>
      </c>
      <c r="AD470" s="911">
        <v>0.13</v>
      </c>
      <c r="AE470" s="911">
        <v>0</v>
      </c>
      <c r="AF470" s="911">
        <v>-0.09</v>
      </c>
      <c r="AG470" s="911"/>
      <c r="AH470" s="911"/>
      <c r="AI470" s="911"/>
      <c r="BA470" s="912">
        <f>+SUMPRODUCT(L470:O470,H466:K466)/AZ466</f>
        <v>0.15302896116455442</v>
      </c>
      <c r="BB470" s="912">
        <f>+SUMPRODUCT(P470:S470,L466:O466)/BA466</f>
        <v>9.0408032926483112E-2</v>
      </c>
      <c r="BC470" s="912">
        <f>+SUMPRODUCT(T470:W470,P466:S466)/BB466</f>
        <v>0.12303689439362771</v>
      </c>
      <c r="BD470" s="912">
        <f>+SUMPRODUCT(X470:AA470,T466:W466)/BC466</f>
        <v>0.10188866551988561</v>
      </c>
      <c r="BE470" s="912">
        <f>+SUMPRODUCT(AB470:AE470,X466:AA466)/BD466</f>
        <v>0.10914499103396004</v>
      </c>
      <c r="BF470" s="912"/>
    </row>
    <row r="471" spans="2:58">
      <c r="B471" s="13" t="s">
        <v>270</v>
      </c>
      <c r="L471" s="22">
        <v>0.1</v>
      </c>
      <c r="M471" s="22">
        <v>0.13</v>
      </c>
      <c r="N471" s="22">
        <v>0.14000000000000001</v>
      </c>
      <c r="O471" s="22">
        <v>0.2</v>
      </c>
      <c r="P471" s="22">
        <v>0.1</v>
      </c>
      <c r="Q471" s="22">
        <v>7.0000000000000007E-2</v>
      </c>
      <c r="R471" s="22">
        <v>0.15</v>
      </c>
      <c r="S471" s="22">
        <v>0.12</v>
      </c>
      <c r="T471" s="22">
        <v>0.13</v>
      </c>
      <c r="U471" s="22">
        <v>0.2</v>
      </c>
      <c r="V471" s="22">
        <v>0.08</v>
      </c>
      <c r="W471" s="22">
        <v>0.15</v>
      </c>
      <c r="X471" s="22">
        <v>0.08</v>
      </c>
      <c r="Y471" s="22">
        <v>0.09</v>
      </c>
      <c r="Z471" s="22">
        <v>0.11</v>
      </c>
      <c r="AA471" s="22">
        <v>0.04</v>
      </c>
      <c r="AB471" s="22">
        <v>0.08</v>
      </c>
      <c r="AC471" s="22">
        <v>0.2</v>
      </c>
      <c r="AD471" s="22">
        <v>0.13</v>
      </c>
      <c r="AE471" s="22">
        <v>0.04</v>
      </c>
      <c r="AF471" s="22">
        <v>-0.04</v>
      </c>
      <c r="AG471" s="22"/>
      <c r="AH471" s="22"/>
      <c r="AI471" s="22"/>
      <c r="BA471" s="21">
        <f>+SUMPRODUCT(L471:O471,H466:K466)/AZ466</f>
        <v>0.14151193566447806</v>
      </c>
      <c r="BB471" s="23">
        <f>+SUMPRODUCT(P471:S471,L466:O466)/BA466</f>
        <v>0.10820725707257071</v>
      </c>
      <c r="BC471" s="23">
        <f>+SUMPRODUCT(T471:W471,P466:S466)/BB466</f>
        <v>0.14315352969495382</v>
      </c>
      <c r="BD471" s="23">
        <f>+SUMPRODUCT(X471:AA471,T466:W466)/BC466</f>
        <v>7.8872976725870972E-2</v>
      </c>
      <c r="BE471" s="23">
        <f>+SUMPRODUCT(AB471:AE471,X466:AA466)/BD466</f>
        <v>0.11518015269997968</v>
      </c>
      <c r="BF471" s="23"/>
    </row>
    <row r="472" spans="2:58">
      <c r="B472" s="921"/>
    </row>
    <row r="473" spans="2:58">
      <c r="B473" t="s">
        <v>351</v>
      </c>
      <c r="H473" s="8">
        <f t="shared" ref="H473:AF473" si="494">+H144</f>
        <v>2033</v>
      </c>
      <c r="I473" s="8">
        <f t="shared" si="494"/>
        <v>2561</v>
      </c>
      <c r="J473" s="8">
        <f t="shared" si="494"/>
        <v>2035</v>
      </c>
      <c r="K473" s="8">
        <f t="shared" si="494"/>
        <v>2186</v>
      </c>
      <c r="L473" s="8">
        <f t="shared" si="494"/>
        <v>2565</v>
      </c>
      <c r="M473" s="8">
        <f t="shared" si="494"/>
        <v>2510</v>
      </c>
      <c r="N473" s="8">
        <f t="shared" si="494"/>
        <v>2523</v>
      </c>
      <c r="O473" s="8">
        <f t="shared" si="494"/>
        <v>3012</v>
      </c>
      <c r="P473" s="8">
        <f t="shared" si="494"/>
        <v>3143</v>
      </c>
      <c r="Q473" s="8">
        <f t="shared" si="494"/>
        <v>2964</v>
      </c>
      <c r="R473" s="8">
        <f t="shared" si="494"/>
        <v>3154</v>
      </c>
      <c r="S473" s="8">
        <f t="shared" si="494"/>
        <v>3559</v>
      </c>
      <c r="T473" s="8">
        <f t="shared" si="494"/>
        <v>4015</v>
      </c>
      <c r="U473" s="8">
        <f t="shared" si="494"/>
        <v>4178</v>
      </c>
      <c r="V473" s="8">
        <f t="shared" si="494"/>
        <v>3627</v>
      </c>
      <c r="W473" s="8">
        <f t="shared" si="494"/>
        <v>4091</v>
      </c>
      <c r="X473" s="8">
        <f t="shared" si="494"/>
        <v>4748</v>
      </c>
      <c r="Y473" s="8">
        <f t="shared" si="494"/>
        <v>5224</v>
      </c>
      <c r="Z473" s="8">
        <f t="shared" si="494"/>
        <v>4594</v>
      </c>
      <c r="AA473" s="8">
        <f t="shared" si="494"/>
        <v>4873</v>
      </c>
      <c r="AB473" s="8">
        <f t="shared" si="494"/>
        <v>5095</v>
      </c>
      <c r="AC473" s="8">
        <f t="shared" si="494"/>
        <v>6362</v>
      </c>
      <c r="AD473" s="8">
        <f t="shared" si="494"/>
        <v>4899</v>
      </c>
      <c r="AE473" s="8">
        <f t="shared" si="494"/>
        <v>4619</v>
      </c>
      <c r="AF473" s="8">
        <f t="shared" si="494"/>
        <v>4217</v>
      </c>
      <c r="AG473" s="8"/>
      <c r="AH473" s="8"/>
      <c r="AI473" s="8"/>
      <c r="AT473" s="8">
        <f>+AT144</f>
        <v>5605</v>
      </c>
      <c r="AU473" s="8">
        <f>+AU144</f>
        <v>5095</v>
      </c>
      <c r="AV473" s="8">
        <f>+AV144</f>
        <v>6202</v>
      </c>
      <c r="AW473" s="8">
        <f>+AW144</f>
        <v>8288</v>
      </c>
      <c r="AY473" s="8">
        <f>+AZ473/(1+AZ474)</f>
        <v>6596.3597972972966</v>
      </c>
      <c r="AZ473" s="8">
        <f t="shared" ref="AZ473:BE473" si="495">+AZ144</f>
        <v>8815</v>
      </c>
      <c r="BA473" s="8">
        <f t="shared" si="495"/>
        <v>10610</v>
      </c>
      <c r="BB473" s="8">
        <f t="shared" si="495"/>
        <v>12820</v>
      </c>
      <c r="BC473" s="8">
        <f t="shared" si="495"/>
        <v>15911</v>
      </c>
      <c r="BD473" s="8">
        <f t="shared" si="495"/>
        <v>19439</v>
      </c>
      <c r="BE473" s="8">
        <f t="shared" si="495"/>
        <v>20975</v>
      </c>
      <c r="BF473" s="8"/>
    </row>
    <row r="474" spans="2:58">
      <c r="B474" s="13" t="s">
        <v>113</v>
      </c>
      <c r="L474" s="14">
        <f t="shared" ref="L474:M474" si="496">+L473/H473-1</f>
        <v>0.26168224299065423</v>
      </c>
      <c r="M474" s="14">
        <f t="shared" si="496"/>
        <v>-1.991409605622807E-2</v>
      </c>
      <c r="N474" s="14">
        <f>+N473/J473-1</f>
        <v>0.23980343980343988</v>
      </c>
      <c r="O474" s="14">
        <f>+O473/K473-1</f>
        <v>0.37785910338517836</v>
      </c>
      <c r="P474" s="14">
        <f t="shared" ref="P474:AF474" si="497">+P473/L473-1</f>
        <v>0.22534113060428851</v>
      </c>
      <c r="Q474" s="14">
        <f t="shared" si="497"/>
        <v>0.18087649402390449</v>
      </c>
      <c r="R474" s="14">
        <f t="shared" si="497"/>
        <v>0.25009908838684103</v>
      </c>
      <c r="S474" s="14">
        <f t="shared" si="497"/>
        <v>0.18160690571049143</v>
      </c>
      <c r="T474" s="14">
        <f t="shared" si="497"/>
        <v>0.27744193445752474</v>
      </c>
      <c r="U474" s="14">
        <f t="shared" si="497"/>
        <v>0.40958164642375161</v>
      </c>
      <c r="V474" s="14">
        <f t="shared" si="497"/>
        <v>0.14996829422954971</v>
      </c>
      <c r="W474" s="14">
        <f t="shared" si="497"/>
        <v>0.14948019106490595</v>
      </c>
      <c r="X474" s="14">
        <f t="shared" si="497"/>
        <v>0.18256537982565391</v>
      </c>
      <c r="Y474" s="14">
        <f t="shared" si="497"/>
        <v>0.2503590234561992</v>
      </c>
      <c r="Z474" s="14">
        <f t="shared" si="497"/>
        <v>0.26661152467604077</v>
      </c>
      <c r="AA474" s="14">
        <f t="shared" si="497"/>
        <v>0.1911513077487168</v>
      </c>
      <c r="AB474" s="14">
        <f t="shared" si="497"/>
        <v>7.308340353833187E-2</v>
      </c>
      <c r="AC474" s="14">
        <f t="shared" si="497"/>
        <v>0.21784073506891266</v>
      </c>
      <c r="AD474" s="14">
        <f t="shared" si="497"/>
        <v>6.6390944710492006E-2</v>
      </c>
      <c r="AE474" s="14">
        <f t="shared" si="497"/>
        <v>-5.2123948286476485E-2</v>
      </c>
      <c r="AF474" s="14">
        <f t="shared" si="497"/>
        <v>-0.17232580961727184</v>
      </c>
      <c r="AG474" s="14"/>
      <c r="AH474" s="14"/>
      <c r="AI474" s="14"/>
      <c r="AU474" s="14">
        <f t="shared" ref="AU474:AW474" si="498">+AU473/AT473-1</f>
        <v>-9.099018733273867E-2</v>
      </c>
      <c r="AV474" s="14">
        <f t="shared" si="498"/>
        <v>0.21727183513248272</v>
      </c>
      <c r="AW474" s="14">
        <f t="shared" si="498"/>
        <v>0.3363431151241536</v>
      </c>
      <c r="AY474" s="1010">
        <f t="shared" ref="AY474" si="499">+AV474</f>
        <v>0.21727183513248272</v>
      </c>
      <c r="AZ474" s="1010">
        <f t="shared" ref="AZ474" si="500">+AW474</f>
        <v>0.3363431151241536</v>
      </c>
      <c r="BA474" s="14">
        <f>+BA473/AZ473-1</f>
        <v>0.20363017583664211</v>
      </c>
      <c r="BB474" s="14">
        <f>+BB473/BA473-1</f>
        <v>0.20829406220546653</v>
      </c>
      <c r="BC474" s="14">
        <f t="shared" ref="BC474:BE474" si="501">+BC473/BB473-1</f>
        <v>0.24110764430577225</v>
      </c>
      <c r="BD474" s="14">
        <f t="shared" si="501"/>
        <v>0.22173339199296094</v>
      </c>
      <c r="BE474" s="14">
        <f t="shared" si="501"/>
        <v>7.9016410309172391E-2</v>
      </c>
      <c r="BF474" s="14"/>
    </row>
    <row r="475" spans="2:58">
      <c r="B475" s="13" t="s">
        <v>270</v>
      </c>
      <c r="L475" s="22">
        <v>0.2</v>
      </c>
      <c r="M475" s="22">
        <v>0.24</v>
      </c>
      <c r="N475" s="22">
        <v>0.21</v>
      </c>
      <c r="O475" s="22">
        <v>0.3</v>
      </c>
      <c r="P475" s="22">
        <v>0.23</v>
      </c>
      <c r="Q475" s="22">
        <v>0.19</v>
      </c>
      <c r="R475" s="22">
        <v>0.28000000000000003</v>
      </c>
      <c r="S475" s="22">
        <v>0.22</v>
      </c>
      <c r="T475" s="22">
        <v>0.31</v>
      </c>
      <c r="U475" s="22">
        <v>0.45</v>
      </c>
      <c r="V475" s="22">
        <v>0.17</v>
      </c>
      <c r="W475" s="22">
        <v>0.19</v>
      </c>
      <c r="X475" s="22">
        <v>0.18</v>
      </c>
      <c r="Y475" s="22">
        <v>0.22</v>
      </c>
      <c r="Z475" s="22">
        <v>0.22</v>
      </c>
      <c r="AA475" s="22">
        <v>0.13</v>
      </c>
      <c r="AB475" s="22">
        <v>0.05</v>
      </c>
      <c r="AC475" s="22">
        <v>0.21</v>
      </c>
      <c r="AD475" s="22">
        <v>0.1</v>
      </c>
      <c r="AE475" s="22">
        <v>0</v>
      </c>
      <c r="AF475" s="22">
        <v>-0.09</v>
      </c>
      <c r="AG475" s="22"/>
      <c r="AH475" s="22"/>
      <c r="AI475" s="22"/>
      <c r="BA475" s="23">
        <f>+SUMPRODUCT(L475:O475,H473:K473)/AZ473</f>
        <v>0.23872830402722631</v>
      </c>
      <c r="BB475" s="23">
        <f>+SUMPRODUCT(P475:S475,L473:O473)/BA473</f>
        <v>0.22958812441093307</v>
      </c>
      <c r="BC475" s="23">
        <f>+SUMPRODUCT(T475:W475,P473:S473)/BB473</f>
        <v>0.27461154446177849</v>
      </c>
      <c r="BD475" s="23">
        <f>+SUMPRODUCT(X475:AA475,T473:W473)/BC473</f>
        <v>0.18676575953742694</v>
      </c>
      <c r="BE475" s="23">
        <f>+SUMPRODUCT(AB475:AE475,X473:AA473)/BD473</f>
        <v>9.2280467102217198E-2</v>
      </c>
      <c r="BF475" s="23"/>
    </row>
    <row r="476" spans="2:58">
      <c r="B476" s="13" t="s">
        <v>115</v>
      </c>
      <c r="H476" s="14">
        <f>+IFERROR(H473/H466,"n/a ")</f>
        <v>0.2163916977115487</v>
      </c>
      <c r="I476" s="14">
        <f t="shared" ref="I476:AF476" si="502">+IFERROR(I473/I466,"n/a ")</f>
        <v>0.21540920178316089</v>
      </c>
      <c r="J476" s="14">
        <f t="shared" si="502"/>
        <v>0.23190883190883191</v>
      </c>
      <c r="K476" s="14">
        <f t="shared" si="502"/>
        <v>0.23670817541959935</v>
      </c>
      <c r="L476" s="14">
        <f t="shared" si="502"/>
        <v>0.27351247600767753</v>
      </c>
      <c r="M476" s="14">
        <f t="shared" si="502"/>
        <v>0.20624486442070666</v>
      </c>
      <c r="N476" s="14">
        <f t="shared" si="502"/>
        <v>0.25441161641625493</v>
      </c>
      <c r="O476" s="14">
        <f t="shared" si="502"/>
        <v>0.27860512441032281</v>
      </c>
      <c r="P476" s="14">
        <f t="shared" si="502"/>
        <v>0.29248092313418944</v>
      </c>
      <c r="Q476" s="14">
        <f t="shared" si="502"/>
        <v>0.2281228353728931</v>
      </c>
      <c r="R476" s="14">
        <f t="shared" si="502"/>
        <v>0.29531835205992507</v>
      </c>
      <c r="S476" s="14">
        <f t="shared" si="502"/>
        <v>0.31554215799272983</v>
      </c>
      <c r="T476" s="14">
        <f t="shared" si="502"/>
        <v>0.3606395401059912</v>
      </c>
      <c r="U476" s="14">
        <f t="shared" si="502"/>
        <v>0.31625160850806144</v>
      </c>
      <c r="V476" s="14">
        <f t="shared" si="502"/>
        <v>0.32981722287896698</v>
      </c>
      <c r="W476" s="14">
        <f t="shared" si="502"/>
        <v>0.31688613477924088</v>
      </c>
      <c r="X476" s="14">
        <f t="shared" si="502"/>
        <v>0.40070892058401553</v>
      </c>
      <c r="Y476" s="14">
        <f t="shared" si="502"/>
        <v>0.34545695013887051</v>
      </c>
      <c r="Z476" s="14">
        <f t="shared" si="502"/>
        <v>0.35240871432954896</v>
      </c>
      <c r="AA476" s="14">
        <f t="shared" si="502"/>
        <v>0.34594632968905298</v>
      </c>
      <c r="AB476" s="14">
        <f t="shared" si="502"/>
        <v>0.38267988583445994</v>
      </c>
      <c r="AC476" s="14">
        <f t="shared" si="502"/>
        <v>0.3642713999427426</v>
      </c>
      <c r="AD476" s="14">
        <f t="shared" si="502"/>
        <v>0.33739669421487606</v>
      </c>
      <c r="AE476" s="14">
        <f t="shared" si="502"/>
        <v>0.32174700473669549</v>
      </c>
      <c r="AF476" s="14">
        <f t="shared" si="502"/>
        <v>0.3163066306630663</v>
      </c>
      <c r="AG476" s="14"/>
      <c r="AH476" s="14"/>
      <c r="AI476" s="14"/>
      <c r="AS476" s="14"/>
      <c r="AT476" s="14">
        <f t="shared" ref="AT476:AW476" si="503">+IFERROR(AT473/AT466,"n/a ")</f>
        <v>0.14573582943317734</v>
      </c>
      <c r="AU476" s="14">
        <f t="shared" si="503"/>
        <v>0.1173017152066306</v>
      </c>
      <c r="AV476" s="14">
        <f t="shared" si="503"/>
        <v>0.15338576445565613</v>
      </c>
      <c r="AW476" s="14">
        <f t="shared" si="503"/>
        <v>0.21375699584762592</v>
      </c>
      <c r="AY476" s="14">
        <f t="shared" ref="AY476:BE476" si="504">+IFERROR(AY473/AY466,"n/a ")</f>
        <v>0.16097587474358954</v>
      </c>
      <c r="AZ476" s="14">
        <f t="shared" si="504"/>
        <v>0.22433450399552093</v>
      </c>
      <c r="BA476" s="14">
        <f t="shared" si="504"/>
        <v>0.25096981739048158</v>
      </c>
      <c r="BB476" s="14">
        <f t="shared" si="504"/>
        <v>0.28053744146352139</v>
      </c>
      <c r="BC476" s="14">
        <f t="shared" si="504"/>
        <v>0.3297548237342231</v>
      </c>
      <c r="BD476" s="14">
        <f t="shared" si="504"/>
        <v>0.359362579261642</v>
      </c>
      <c r="BE476" s="14">
        <f t="shared" si="504"/>
        <v>0.35160506244237699</v>
      </c>
      <c r="BF476" s="14"/>
    </row>
    <row r="478" spans="2:58" ht="10.5">
      <c r="B478" s="45" t="s">
        <v>1223</v>
      </c>
    </row>
    <row r="479" spans="2:58">
      <c r="D479" s="876" t="s">
        <v>371</v>
      </c>
      <c r="E479" s="876"/>
      <c r="F479" s="876"/>
      <c r="G479" s="876"/>
    </row>
    <row r="480" spans="2:58">
      <c r="B480" t="s">
        <v>1228</v>
      </c>
      <c r="D480" s="911"/>
      <c r="E480" s="911"/>
      <c r="F480" s="911"/>
      <c r="G480" s="911"/>
      <c r="H480" s="911"/>
      <c r="I480" s="911"/>
      <c r="J480" s="911"/>
      <c r="K480" s="911"/>
      <c r="L480" s="911"/>
      <c r="M480" s="911"/>
      <c r="N480" s="911"/>
      <c r="O480" s="911"/>
      <c r="P480" s="911"/>
      <c r="Q480" s="911"/>
      <c r="R480" s="911"/>
      <c r="S480" s="911"/>
      <c r="T480" s="911"/>
      <c r="U480" s="911"/>
      <c r="V480" s="911"/>
      <c r="W480" s="911"/>
      <c r="X480" s="911">
        <v>-0.05</v>
      </c>
      <c r="Y480" s="911">
        <v>0.01</v>
      </c>
      <c r="Z480" s="911">
        <v>0.1</v>
      </c>
      <c r="AA480" s="911">
        <v>-0.03</v>
      </c>
      <c r="AB480" s="911">
        <v>0.1</v>
      </c>
      <c r="AC480" s="911">
        <v>0.25</v>
      </c>
      <c r="AD480" s="911">
        <v>0.11</v>
      </c>
      <c r="AE480" s="911">
        <v>-0.02</v>
      </c>
      <c r="AF480" s="911">
        <v>-0.15</v>
      </c>
      <c r="AG480" s="911"/>
      <c r="AH480" s="911"/>
      <c r="AI480" s="911"/>
      <c r="AZ480" s="912"/>
      <c r="BA480" s="912"/>
      <c r="BB480" s="912"/>
      <c r="BC480" s="912"/>
      <c r="BD480" s="912">
        <f>AVERAGE(X480:AA480)</f>
        <v>7.5000000000000015E-3</v>
      </c>
      <c r="BE480" s="912">
        <f>AVERAGE(AB480:AE480)</f>
        <v>0.10999999999999999</v>
      </c>
      <c r="BF480" s="912"/>
    </row>
    <row r="481" spans="2:58">
      <c r="B481" t="s">
        <v>1229</v>
      </c>
      <c r="D481" s="911">
        <v>-7.0000000000000007E-2</v>
      </c>
      <c r="E481" s="911">
        <v>-0.06</v>
      </c>
      <c r="F481" s="911">
        <v>-0.11</v>
      </c>
      <c r="G481" s="911">
        <v>0.02</v>
      </c>
      <c r="H481" s="911">
        <v>-0.02</v>
      </c>
      <c r="I481" s="911">
        <v>0.04</v>
      </c>
      <c r="J481" s="911">
        <v>0.09</v>
      </c>
      <c r="K481" s="911">
        <v>0.04</v>
      </c>
      <c r="L481" s="911">
        <v>7.0000000000000007E-2</v>
      </c>
      <c r="M481" s="911">
        <v>0.11</v>
      </c>
      <c r="N481" s="911">
        <v>0.11</v>
      </c>
      <c r="O481" s="911">
        <v>0.14000000000000001</v>
      </c>
      <c r="P481" s="911">
        <v>0.08</v>
      </c>
      <c r="Q481" s="911">
        <v>-0.02</v>
      </c>
      <c r="R481" s="911">
        <v>0.15</v>
      </c>
      <c r="S481" s="911">
        <v>0.18</v>
      </c>
      <c r="T481" s="911">
        <v>0.19</v>
      </c>
      <c r="U481" s="911">
        <v>0.26</v>
      </c>
      <c r="V481" s="911">
        <v>0.05</v>
      </c>
      <c r="W481" s="911">
        <v>-0.04</v>
      </c>
      <c r="X481" s="911">
        <v>-0.22</v>
      </c>
      <c r="Y481" s="911">
        <v>-0.09</v>
      </c>
      <c r="Z481" s="911">
        <v>-0.02</v>
      </c>
      <c r="AA481" s="911">
        <v>-0.02</v>
      </c>
      <c r="AB481" s="911"/>
      <c r="AC481" s="911"/>
      <c r="AD481" s="911"/>
      <c r="AE481" s="911"/>
      <c r="AF481" s="911"/>
      <c r="AG481" s="911"/>
      <c r="AH481" s="911"/>
      <c r="AI481" s="911"/>
      <c r="AZ481" s="912">
        <f>+AVERAGE(H481:K481)</f>
        <v>3.7499999999999999E-2</v>
      </c>
      <c r="BA481" s="912">
        <f>+AVERAGE(L481:O481)</f>
        <v>0.1075</v>
      </c>
      <c r="BB481" s="912">
        <f>+AVERAGE(P481:S481)</f>
        <v>9.7500000000000003E-2</v>
      </c>
      <c r="BC481" s="912">
        <f>AVERAGE(T481:W481)</f>
        <v>0.115</v>
      </c>
      <c r="BD481" s="912">
        <f>AVERAGE(X481:AA481)</f>
        <v>-8.7500000000000008E-2</v>
      </c>
      <c r="BE481" s="912"/>
      <c r="BF481" s="912"/>
    </row>
    <row r="482" spans="2:58">
      <c r="B482" t="s">
        <v>1230</v>
      </c>
      <c r="D482" s="911">
        <v>-0.04</v>
      </c>
      <c r="E482" s="911">
        <v>-0.03</v>
      </c>
      <c r="F482" s="911">
        <v>0.15</v>
      </c>
      <c r="G482" s="911">
        <v>0.27</v>
      </c>
      <c r="H482" s="911">
        <v>0</v>
      </c>
      <c r="I482" s="911">
        <v>0.08</v>
      </c>
      <c r="J482" s="911">
        <v>0.01</v>
      </c>
      <c r="K482" s="911">
        <v>0.02</v>
      </c>
      <c r="L482" s="911">
        <v>-0.01</v>
      </c>
      <c r="M482" s="911">
        <v>-0.05</v>
      </c>
      <c r="N482" s="911">
        <v>-0.08</v>
      </c>
      <c r="O482" s="911">
        <v>-0.03</v>
      </c>
      <c r="P482" s="911">
        <v>-0.05</v>
      </c>
      <c r="Q482" s="911">
        <v>-0.11</v>
      </c>
      <c r="R482" s="911">
        <v>-0.01</v>
      </c>
      <c r="S482" s="911">
        <v>-0.08</v>
      </c>
      <c r="T482" s="911">
        <v>-7.0000000000000007E-2</v>
      </c>
      <c r="U482" s="911">
        <v>0.04</v>
      </c>
      <c r="V482" s="911">
        <v>-0.1</v>
      </c>
      <c r="W482" s="911">
        <v>0.34</v>
      </c>
      <c r="X482" s="911">
        <v>0.31</v>
      </c>
      <c r="Y482" s="911">
        <v>0.24</v>
      </c>
      <c r="Z482" s="911">
        <v>0.44</v>
      </c>
      <c r="AA482" s="911">
        <v>-0.04</v>
      </c>
      <c r="AB482" s="911"/>
      <c r="AC482" s="911"/>
      <c r="AD482" s="911"/>
      <c r="AE482" s="911"/>
      <c r="AF482" s="911"/>
      <c r="AG482" s="911"/>
      <c r="AH482" s="911"/>
      <c r="AI482" s="911"/>
      <c r="AZ482" s="912">
        <f>+AVERAGE(H482:K482)</f>
        <v>2.75E-2</v>
      </c>
      <c r="BA482" s="912">
        <f>+AVERAGE(L482:O482)</f>
        <v>-4.2500000000000003E-2</v>
      </c>
      <c r="BB482" s="912">
        <f>+AVERAGE(P482:S482)</f>
        <v>-6.25E-2</v>
      </c>
      <c r="BC482" s="912">
        <f>AVERAGE(T482:W482)</f>
        <v>5.2500000000000005E-2</v>
      </c>
      <c r="BD482" s="912">
        <f>AVERAGE(X482:AA482)</f>
        <v>0.23749999999999999</v>
      </c>
      <c r="BE482" s="912"/>
      <c r="BF482" s="912"/>
    </row>
    <row r="483" spans="2:58">
      <c r="D483" s="911"/>
      <c r="E483" s="911"/>
      <c r="F483" s="911"/>
      <c r="G483" s="911"/>
      <c r="H483" s="911"/>
      <c r="I483" s="911"/>
      <c r="J483" s="911"/>
      <c r="K483" s="911"/>
      <c r="L483" s="911"/>
      <c r="M483" s="911"/>
      <c r="N483" s="911"/>
      <c r="O483" s="911"/>
      <c r="P483" s="911"/>
      <c r="Q483" s="911"/>
      <c r="R483" s="911"/>
      <c r="S483" s="911"/>
      <c r="T483" s="911"/>
      <c r="U483" s="911"/>
      <c r="V483" s="911"/>
      <c r="W483" s="911"/>
      <c r="X483" s="911"/>
      <c r="Y483" s="911"/>
      <c r="Z483" s="911"/>
      <c r="AA483" s="911"/>
      <c r="AB483" s="911"/>
      <c r="AC483" s="911"/>
      <c r="AD483" s="911"/>
      <c r="AE483" s="911"/>
      <c r="AF483" s="911"/>
      <c r="AG483" s="911"/>
      <c r="AH483" s="911"/>
      <c r="AI483" s="911"/>
      <c r="AZ483" s="912"/>
      <c r="BA483" s="912"/>
      <c r="BB483" s="912"/>
      <c r="BC483" s="912"/>
      <c r="BD483" s="912"/>
      <c r="BE483" s="912"/>
      <c r="BF483" s="912"/>
    </row>
    <row r="484" spans="2:58">
      <c r="B484" t="s">
        <v>1231</v>
      </c>
      <c r="D484" s="911">
        <v>-0.03</v>
      </c>
      <c r="E484" s="911">
        <v>-0.04</v>
      </c>
      <c r="F484" s="911">
        <v>-0.02</v>
      </c>
      <c r="G484" s="911">
        <v>0.03</v>
      </c>
      <c r="H484" s="911">
        <v>0.11</v>
      </c>
      <c r="I484" s="911">
        <v>0.2</v>
      </c>
      <c r="J484" s="911">
        <v>0.08</v>
      </c>
      <c r="K484" s="911">
        <v>0.16</v>
      </c>
      <c r="L484" s="911">
        <v>7.0000000000000007E-2</v>
      </c>
      <c r="M484" s="911">
        <v>-0.04</v>
      </c>
      <c r="N484" s="911">
        <v>0.21</v>
      </c>
      <c r="O484" s="911">
        <v>0.23</v>
      </c>
      <c r="P484" s="911">
        <v>0.12</v>
      </c>
      <c r="Q484" s="911">
        <v>0.13</v>
      </c>
      <c r="R484" s="911">
        <v>0.18</v>
      </c>
      <c r="S484" s="911">
        <v>0.13</v>
      </c>
      <c r="T484" s="911">
        <v>0.26</v>
      </c>
      <c r="U484" s="911">
        <v>0.25</v>
      </c>
      <c r="V484" s="911">
        <v>0.17</v>
      </c>
      <c r="W484" s="911">
        <v>0.09</v>
      </c>
      <c r="X484" s="911">
        <v>0.13</v>
      </c>
      <c r="Y484" s="911">
        <v>0.1</v>
      </c>
      <c r="Z484" s="911">
        <v>0.1</v>
      </c>
      <c r="AA484" s="911">
        <v>0.2</v>
      </c>
      <c r="AB484" s="911">
        <v>0.12</v>
      </c>
      <c r="AC484" s="911">
        <v>0.13</v>
      </c>
      <c r="AD484" s="911">
        <v>0.14000000000000001</v>
      </c>
      <c r="AE484" s="911">
        <v>0.06</v>
      </c>
      <c r="AF484" s="911">
        <v>0.08</v>
      </c>
      <c r="AG484" s="911"/>
      <c r="AH484" s="911"/>
      <c r="AI484" s="911"/>
      <c r="AZ484" s="912">
        <f>+AVERAGE(H484:K484)</f>
        <v>0.13750000000000001</v>
      </c>
      <c r="BA484" s="912">
        <f>+AVERAGE(L484:O484)</f>
        <v>0.11749999999999999</v>
      </c>
      <c r="BB484" s="912">
        <f>+AVERAGE(P484:S484)</f>
        <v>0.14000000000000001</v>
      </c>
      <c r="BC484" s="912">
        <f>AVERAGE(T484:W484)</f>
        <v>0.1925</v>
      </c>
      <c r="BD484" s="912">
        <f>AVERAGE(X484:AA484)</f>
        <v>0.13250000000000001</v>
      </c>
      <c r="BE484" s="912">
        <f>+AVERAGE(AB484:AE484)</f>
        <v>0.1125</v>
      </c>
      <c r="BF484" s="912"/>
    </row>
    <row r="485" spans="2:58">
      <c r="B485" s="12" t="s">
        <v>270</v>
      </c>
      <c r="D485" s="911">
        <v>0.04</v>
      </c>
      <c r="E485" s="911">
        <v>0.03</v>
      </c>
      <c r="F485" s="911">
        <v>0.06</v>
      </c>
      <c r="G485" s="911">
        <v>0.09</v>
      </c>
      <c r="H485" s="911">
        <v>0.13</v>
      </c>
      <c r="I485" s="911">
        <v>0.22</v>
      </c>
      <c r="J485" s="911">
        <v>0.08</v>
      </c>
      <c r="K485" s="911">
        <v>0.16</v>
      </c>
      <c r="L485" s="911">
        <v>0.06</v>
      </c>
      <c r="M485" s="911">
        <v>-0.05</v>
      </c>
      <c r="N485" s="911">
        <v>0.17</v>
      </c>
      <c r="O485" s="911">
        <v>0.19</v>
      </c>
      <c r="P485" s="911">
        <v>0.12</v>
      </c>
      <c r="Q485" s="911">
        <v>0.14000000000000001</v>
      </c>
      <c r="R485" s="911">
        <v>0.2</v>
      </c>
      <c r="S485" s="911">
        <v>0.16</v>
      </c>
      <c r="T485" s="911">
        <v>0.28999999999999998</v>
      </c>
      <c r="U485" s="911">
        <v>0.27</v>
      </c>
      <c r="V485" s="911">
        <v>0.18</v>
      </c>
      <c r="W485" s="911">
        <v>0.11</v>
      </c>
      <c r="X485" s="911">
        <v>0.12</v>
      </c>
      <c r="Y485" s="911">
        <v>0.08</v>
      </c>
      <c r="Z485" s="911">
        <v>7.0000000000000007E-2</v>
      </c>
      <c r="AA485" s="911">
        <v>0.14000000000000001</v>
      </c>
      <c r="AB485" s="911">
        <v>0.1</v>
      </c>
      <c r="AC485" s="911">
        <v>0.14000000000000001</v>
      </c>
      <c r="AD485" s="911">
        <v>0.19</v>
      </c>
      <c r="AE485" s="911">
        <v>0.12</v>
      </c>
      <c r="AF485" s="911">
        <v>0.15</v>
      </c>
      <c r="AG485" s="911"/>
      <c r="AH485" s="911"/>
      <c r="AI485" s="911"/>
      <c r="AZ485" s="912">
        <f>+AVERAGE(H485:K485)</f>
        <v>0.14749999999999999</v>
      </c>
      <c r="BA485" s="912">
        <f>+AVERAGE(L485:O485)</f>
        <v>9.2499999999999999E-2</v>
      </c>
      <c r="BB485" s="912">
        <f>+AVERAGE(P485:S485)</f>
        <v>0.155</v>
      </c>
      <c r="BC485" s="912">
        <f>AVERAGE(T485:W485)</f>
        <v>0.21249999999999999</v>
      </c>
      <c r="BD485" s="912">
        <f>AVERAGE(X485:AA485)</f>
        <v>0.10250000000000001</v>
      </c>
      <c r="BE485" s="912">
        <f>+AVERAGE(AB485:AE485)</f>
        <v>0.13750000000000001</v>
      </c>
      <c r="BF485" s="912"/>
    </row>
    <row r="486" spans="2:58">
      <c r="B486" s="13"/>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Z486" s="21"/>
      <c r="BA486" s="21"/>
      <c r="BB486" s="21"/>
      <c r="BC486" s="21"/>
      <c r="BD486" s="21"/>
      <c r="BE486" s="21"/>
      <c r="BF486" s="21"/>
    </row>
    <row r="487" spans="2:58">
      <c r="B487" t="s">
        <v>433</v>
      </c>
      <c r="D487" s="879">
        <v>672</v>
      </c>
      <c r="E487" s="879">
        <v>1352</v>
      </c>
      <c r="F487" s="879">
        <v>1111</v>
      </c>
      <c r="G487" s="879">
        <v>965</v>
      </c>
      <c r="H487" s="879">
        <v>926</v>
      </c>
      <c r="I487" s="879">
        <v>1321</v>
      </c>
      <c r="J487" s="879">
        <v>831</v>
      </c>
      <c r="K487" s="879">
        <v>948</v>
      </c>
      <c r="L487" s="879">
        <v>1037</v>
      </c>
      <c r="M487" s="879">
        <v>1335</v>
      </c>
      <c r="N487" s="879">
        <v>1094</v>
      </c>
      <c r="O487" s="879">
        <v>1185</v>
      </c>
      <c r="P487" s="879">
        <v>1180</v>
      </c>
      <c r="Q487" s="879">
        <v>1860</v>
      </c>
      <c r="R487" s="879">
        <v>1329</v>
      </c>
      <c r="S487" s="879">
        <v>1350</v>
      </c>
      <c r="T487" s="879">
        <v>1136</v>
      </c>
      <c r="U487" s="879">
        <v>1976</v>
      </c>
      <c r="V487" s="879">
        <v>1340</v>
      </c>
      <c r="W487" s="879">
        <v>1724</v>
      </c>
      <c r="X487" s="879">
        <v>1553</v>
      </c>
      <c r="Y487" s="879">
        <v>2045</v>
      </c>
      <c r="Z487" s="879">
        <v>1504</v>
      </c>
      <c r="AA487" s="879">
        <f>+W487*0.8</f>
        <v>1379.2</v>
      </c>
      <c r="AB487" s="879">
        <f>+X487*(1+AB488)</f>
        <v>1273.46</v>
      </c>
      <c r="AC487" s="879">
        <f>+Y487*(1+AC488)</f>
        <v>2147.25</v>
      </c>
      <c r="AD487" s="879">
        <f>+Z487*(1+AD488)</f>
        <v>1654.4</v>
      </c>
      <c r="AE487" s="879">
        <f t="shared" ref="AE487:AF487" si="505">+AA487*(1+AE488)</f>
        <v>1544.7040000000002</v>
      </c>
      <c r="AF487" s="879">
        <f t="shared" si="505"/>
        <v>1298.9292</v>
      </c>
      <c r="AG487" s="879"/>
      <c r="AH487" s="879"/>
      <c r="AI487" s="879"/>
      <c r="AZ487" s="8">
        <f>+SUM(H487:K487)</f>
        <v>4026</v>
      </c>
      <c r="BA487" s="8">
        <f>+SUM(L487:O487)</f>
        <v>4651</v>
      </c>
      <c r="BB487" s="8">
        <f>SUM(P487:S487)</f>
        <v>5719</v>
      </c>
      <c r="BC487" s="8">
        <f>SUM(T487:W487)</f>
        <v>6176</v>
      </c>
      <c r="BD487" s="8">
        <f>SUM(X487:AA487)</f>
        <v>6481.2</v>
      </c>
      <c r="BE487" s="8">
        <f>SUM(AB487:AE487)</f>
        <v>6619.8140000000003</v>
      </c>
      <c r="BF487" s="8"/>
    </row>
    <row r="488" spans="2:58" s="3" customFormat="1">
      <c r="B488" s="13" t="s">
        <v>113</v>
      </c>
      <c r="D488" s="931"/>
      <c r="E488" s="931"/>
      <c r="F488" s="931"/>
      <c r="G488" s="931"/>
      <c r="H488" s="23">
        <f>+H487/D487-1</f>
        <v>0.37797619047619047</v>
      </c>
      <c r="I488" s="23">
        <f t="shared" ref="I488:K488" si="506">+I487/E487-1</f>
        <v>-2.2928994082840215E-2</v>
      </c>
      <c r="J488" s="23">
        <f t="shared" si="506"/>
        <v>-0.25202520252025207</v>
      </c>
      <c r="K488" s="23">
        <f t="shared" si="506"/>
        <v>-1.7616580310880869E-2</v>
      </c>
      <c r="L488" s="23">
        <f>+L487/H487-1</f>
        <v>0.11987041036717061</v>
      </c>
      <c r="M488" s="23">
        <f t="shared" ref="M488:Y488" si="507">+M487/I487-1</f>
        <v>1.0598031794095464E-2</v>
      </c>
      <c r="N488" s="23">
        <f t="shared" si="507"/>
        <v>0.31648616125150419</v>
      </c>
      <c r="O488" s="23">
        <f t="shared" si="507"/>
        <v>0.25</v>
      </c>
      <c r="P488" s="23">
        <f t="shared" si="507"/>
        <v>0.13789778206364511</v>
      </c>
      <c r="Q488" s="23">
        <f t="shared" si="507"/>
        <v>0.39325842696629221</v>
      </c>
      <c r="R488" s="23">
        <f t="shared" si="507"/>
        <v>0.21480804387568564</v>
      </c>
      <c r="S488" s="23">
        <f t="shared" si="507"/>
        <v>0.139240506329114</v>
      </c>
      <c r="T488" s="23">
        <f t="shared" si="507"/>
        <v>-3.7288135593220306E-2</v>
      </c>
      <c r="U488" s="23">
        <f t="shared" si="507"/>
        <v>6.2365591397849363E-2</v>
      </c>
      <c r="V488" s="23">
        <f t="shared" si="507"/>
        <v>8.2768999247555541E-3</v>
      </c>
      <c r="W488" s="23">
        <f t="shared" si="507"/>
        <v>0.27703703703703697</v>
      </c>
      <c r="X488" s="23">
        <f t="shared" si="507"/>
        <v>0.36707746478873249</v>
      </c>
      <c r="Y488" s="23">
        <f t="shared" si="507"/>
        <v>3.4919028340080871E-2</v>
      </c>
      <c r="Z488" s="23">
        <f>+Z487/V487-1</f>
        <v>0.12238805970149258</v>
      </c>
      <c r="AA488" s="23">
        <f t="shared" ref="AA488" si="508">+AA487/W487-1</f>
        <v>-0.19999999999999996</v>
      </c>
      <c r="AB488" s="23">
        <v>-0.18</v>
      </c>
      <c r="AC488" s="23">
        <v>0.05</v>
      </c>
      <c r="AD488" s="23">
        <v>0.1</v>
      </c>
      <c r="AE488" s="23">
        <v>0.12</v>
      </c>
      <c r="AF488" s="23">
        <v>0.02</v>
      </c>
      <c r="AG488" s="23"/>
      <c r="AH488" s="23"/>
      <c r="AI488" s="23"/>
      <c r="BA488" s="23">
        <f>+BA487/AZ487-1</f>
        <v>0.15524093392945848</v>
      </c>
      <c r="BB488" s="23">
        <f>+BB487/BA487-1</f>
        <v>0.22962803698129441</v>
      </c>
      <c r="BC488" s="23">
        <f>+BC487/BB487-1</f>
        <v>7.9909075013114172E-2</v>
      </c>
      <c r="BD488" s="23">
        <f>+BD487/BC487-1</f>
        <v>4.941709844559572E-2</v>
      </c>
      <c r="BE488" s="23">
        <v>0.02</v>
      </c>
      <c r="BF488" s="23"/>
    </row>
    <row r="489" spans="2:58" s="3" customFormat="1">
      <c r="B489" s="13"/>
      <c r="D489" s="931"/>
      <c r="E489" s="931"/>
      <c r="F489" s="931"/>
      <c r="G489" s="931"/>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BA489" s="23"/>
      <c r="BB489" s="23"/>
      <c r="BC489" s="23"/>
      <c r="BD489" s="23"/>
      <c r="BE489" s="23"/>
      <c r="BF489" s="23"/>
    </row>
    <row r="490" spans="2:58">
      <c r="B490" t="s">
        <v>1232</v>
      </c>
      <c r="D490" s="879">
        <v>39</v>
      </c>
      <c r="E490" s="879">
        <v>48</v>
      </c>
      <c r="F490" s="879">
        <v>46</v>
      </c>
      <c r="G490" s="879">
        <v>49</v>
      </c>
      <c r="H490" s="879">
        <v>47</v>
      </c>
      <c r="I490" s="879">
        <v>55</v>
      </c>
      <c r="J490" s="879">
        <v>52</v>
      </c>
      <c r="K490" s="879">
        <v>53</v>
      </c>
      <c r="L490" s="879">
        <v>53</v>
      </c>
      <c r="M490" s="879">
        <v>59</v>
      </c>
      <c r="N490" s="879">
        <v>59</v>
      </c>
      <c r="O490" s="879">
        <v>57</v>
      </c>
      <c r="P490" s="879">
        <v>57</v>
      </c>
      <c r="Q490" s="879">
        <v>64</v>
      </c>
      <c r="R490" s="879">
        <v>63</v>
      </c>
      <c r="S490" s="879">
        <v>65</v>
      </c>
      <c r="T490" s="856" t="s">
        <v>271</v>
      </c>
      <c r="U490" s="856" t="s">
        <v>271</v>
      </c>
      <c r="V490" s="856" t="s">
        <v>271</v>
      </c>
      <c r="W490" s="856" t="s">
        <v>271</v>
      </c>
      <c r="X490" s="856" t="s">
        <v>271</v>
      </c>
      <c r="Y490" s="856" t="s">
        <v>271</v>
      </c>
      <c r="Z490" s="856" t="s">
        <v>271</v>
      </c>
      <c r="AA490" s="856" t="s">
        <v>271</v>
      </c>
      <c r="AB490" s="856" t="s">
        <v>271</v>
      </c>
      <c r="AC490" s="856" t="s">
        <v>271</v>
      </c>
      <c r="AD490" s="856" t="s">
        <v>271</v>
      </c>
      <c r="AE490" s="856" t="s">
        <v>271</v>
      </c>
      <c r="AF490" s="856" t="s">
        <v>271</v>
      </c>
      <c r="AG490" s="879"/>
      <c r="AH490" s="879"/>
      <c r="AI490" s="879"/>
      <c r="AZ490" s="8">
        <f>+K490</f>
        <v>53</v>
      </c>
      <c r="BA490" s="8">
        <f>+O490</f>
        <v>57</v>
      </c>
      <c r="BB490" s="8">
        <f>+S490</f>
        <v>65</v>
      </c>
      <c r="BC490" s="859" t="s">
        <v>271</v>
      </c>
      <c r="BD490" s="859" t="s">
        <v>271</v>
      </c>
      <c r="BE490" s="859" t="s">
        <v>271</v>
      </c>
      <c r="BF490" s="8"/>
    </row>
    <row r="491" spans="2:58" s="3" customFormat="1">
      <c r="B491" s="13" t="s">
        <v>113</v>
      </c>
      <c r="D491" s="931"/>
      <c r="E491" s="931"/>
      <c r="F491" s="931"/>
      <c r="G491" s="931"/>
      <c r="H491" s="23">
        <f>+H490/D490-1</f>
        <v>0.20512820512820507</v>
      </c>
      <c r="I491" s="23">
        <f t="shared" ref="I491:K491" si="509">+I490/E490-1</f>
        <v>0.14583333333333326</v>
      </c>
      <c r="J491" s="23">
        <f t="shared" si="509"/>
        <v>0.13043478260869557</v>
      </c>
      <c r="K491" s="23">
        <f t="shared" si="509"/>
        <v>8.163265306122458E-2</v>
      </c>
      <c r="L491" s="23">
        <f>+L490/H490-1</f>
        <v>0.12765957446808507</v>
      </c>
      <c r="M491" s="23">
        <f t="shared" ref="M491:S491" si="510">+M490/I490-1</f>
        <v>7.2727272727272751E-2</v>
      </c>
      <c r="N491" s="23">
        <f t="shared" si="510"/>
        <v>0.13461538461538458</v>
      </c>
      <c r="O491" s="23">
        <f t="shared" si="510"/>
        <v>7.547169811320753E-2</v>
      </c>
      <c r="P491" s="23">
        <f t="shared" si="510"/>
        <v>7.547169811320753E-2</v>
      </c>
      <c r="Q491" s="23">
        <f t="shared" si="510"/>
        <v>8.4745762711864403E-2</v>
      </c>
      <c r="R491" s="23">
        <f t="shared" si="510"/>
        <v>6.7796610169491567E-2</v>
      </c>
      <c r="S491" s="23">
        <f t="shared" si="510"/>
        <v>0.14035087719298245</v>
      </c>
      <c r="T491" s="991" t="s">
        <v>271</v>
      </c>
      <c r="U491" s="991" t="s">
        <v>271</v>
      </c>
      <c r="V491" s="991" t="s">
        <v>271</v>
      </c>
      <c r="W491" s="991" t="s">
        <v>271</v>
      </c>
      <c r="X491" s="991" t="s">
        <v>271</v>
      </c>
      <c r="Y491" s="991" t="s">
        <v>271</v>
      </c>
      <c r="Z491" s="991" t="s">
        <v>271</v>
      </c>
      <c r="AA491" s="991" t="s">
        <v>271</v>
      </c>
      <c r="AB491" s="991" t="s">
        <v>271</v>
      </c>
      <c r="AC491" s="991" t="s">
        <v>271</v>
      </c>
      <c r="AD491" s="991" t="s">
        <v>271</v>
      </c>
      <c r="AE491" s="991" t="s">
        <v>271</v>
      </c>
      <c r="AF491" s="991" t="s">
        <v>271</v>
      </c>
      <c r="AG491" s="23"/>
      <c r="AH491" s="23"/>
      <c r="AI491" s="23"/>
      <c r="BA491" s="23">
        <f>+BA490/AZ490-1</f>
        <v>7.547169811320753E-2</v>
      </c>
      <c r="BB491" s="23">
        <f t="shared" ref="BB491" si="511">+BB490/BA490-1</f>
        <v>0.14035087719298245</v>
      </c>
      <c r="BC491" s="23" t="s">
        <v>271</v>
      </c>
      <c r="BD491" s="23" t="s">
        <v>271</v>
      </c>
      <c r="BE491" s="23" t="s">
        <v>271</v>
      </c>
      <c r="BF491" s="23"/>
    </row>
    <row r="492" spans="2:58">
      <c r="D492" s="879"/>
      <c r="E492" s="879"/>
      <c r="F492" s="879"/>
      <c r="G492" s="879"/>
      <c r="H492" s="879"/>
      <c r="I492" s="879"/>
      <c r="J492" s="879"/>
      <c r="K492" s="879"/>
      <c r="L492" s="879"/>
      <c r="M492" s="879"/>
      <c r="N492" s="879"/>
      <c r="O492" s="879"/>
      <c r="P492" s="879"/>
      <c r="Q492" s="879"/>
      <c r="R492" s="879"/>
      <c r="S492" s="879"/>
      <c r="T492" s="879"/>
      <c r="U492" s="879"/>
      <c r="V492" s="879"/>
      <c r="W492" s="879"/>
      <c r="X492" s="879"/>
      <c r="Y492" s="879"/>
      <c r="Z492" s="879"/>
      <c r="AA492" s="879"/>
      <c r="AB492" s="879"/>
      <c r="AC492" s="879"/>
      <c r="AD492" s="879"/>
      <c r="AE492" s="879"/>
      <c r="AF492" s="879"/>
      <c r="AG492" s="879"/>
      <c r="AH492" s="879"/>
      <c r="AI492" s="879"/>
      <c r="AZ492" s="8"/>
      <c r="BA492" s="8"/>
      <c r="BB492" s="8"/>
      <c r="BC492" s="8"/>
      <c r="BD492" s="8"/>
      <c r="BE492" s="8"/>
      <c r="BF492" s="8"/>
    </row>
    <row r="493" spans="2:58">
      <c r="B493" t="s">
        <v>434</v>
      </c>
      <c r="H493" s="879">
        <v>1885</v>
      </c>
      <c r="I493" s="879">
        <v>3617</v>
      </c>
      <c r="J493" s="879">
        <v>1906</v>
      </c>
      <c r="K493" s="879">
        <v>1643</v>
      </c>
      <c r="L493" s="879">
        <v>1896</v>
      </c>
      <c r="M493" s="879">
        <v>3920</v>
      </c>
      <c r="N493" s="879">
        <v>2251</v>
      </c>
      <c r="O493" s="879">
        <v>2286</v>
      </c>
      <c r="P493" s="880">
        <f>+L493*(1+P494)</f>
        <v>2730.24</v>
      </c>
      <c r="Q493" s="880">
        <f t="shared" ref="Q493:AF493" si="512">+M493*(1+Q494)</f>
        <v>4233.6000000000004</v>
      </c>
      <c r="R493" s="880">
        <f t="shared" si="512"/>
        <v>2363.5500000000002</v>
      </c>
      <c r="S493" s="880">
        <f t="shared" si="512"/>
        <v>2057.4</v>
      </c>
      <c r="T493" s="880">
        <f t="shared" si="512"/>
        <v>2539.1231999999995</v>
      </c>
      <c r="U493" s="880">
        <f t="shared" si="512"/>
        <v>3344.5440000000003</v>
      </c>
      <c r="V493" s="880">
        <f t="shared" si="512"/>
        <v>2339.9145000000003</v>
      </c>
      <c r="W493" s="880">
        <f t="shared" si="512"/>
        <v>3374.1360000000004</v>
      </c>
      <c r="X493" s="880">
        <f t="shared" si="512"/>
        <v>3097.7303039999993</v>
      </c>
      <c r="Y493" s="880">
        <f t="shared" si="512"/>
        <v>5050.2614400000002</v>
      </c>
      <c r="Z493" s="880">
        <f t="shared" si="512"/>
        <v>3509.8717500000002</v>
      </c>
      <c r="AA493" s="880">
        <f t="shared" si="512"/>
        <v>3745.2909600000007</v>
      </c>
      <c r="AB493" s="880">
        <f t="shared" si="512"/>
        <v>3593.3671526399989</v>
      </c>
      <c r="AC493" s="880">
        <f t="shared" si="512"/>
        <v>5454.2823552000009</v>
      </c>
      <c r="AD493" s="880">
        <f t="shared" si="512"/>
        <v>3720.4640550000004</v>
      </c>
      <c r="AE493" s="880">
        <f t="shared" si="512"/>
        <v>3483.1205928000004</v>
      </c>
      <c r="AF493" s="880">
        <f t="shared" si="512"/>
        <v>3737.1018387455993</v>
      </c>
      <c r="AG493" s="879"/>
      <c r="AH493" s="879"/>
      <c r="AI493" s="879"/>
      <c r="AZ493" s="8">
        <f>+SUM(H493:K493)</f>
        <v>9051</v>
      </c>
      <c r="BA493" s="8">
        <f>+SUM(L493:O493)</f>
        <v>10353</v>
      </c>
      <c r="BB493" s="8">
        <f>SUM(P493:S493)</f>
        <v>11384.789999999999</v>
      </c>
      <c r="BC493" s="8">
        <f>SUM(T493:W493)</f>
        <v>11597.717700000001</v>
      </c>
      <c r="BD493" s="8">
        <f>SUM(X493:AA493)</f>
        <v>15403.154454</v>
      </c>
      <c r="BE493" s="8">
        <f>SUM(AB493:AE493)</f>
        <v>16251.234155640001</v>
      </c>
      <c r="BF493" s="8"/>
    </row>
    <row r="494" spans="2:58">
      <c r="B494" s="13" t="s">
        <v>113</v>
      </c>
      <c r="G494" s="22"/>
      <c r="H494" s="22">
        <v>-0.05</v>
      </c>
      <c r="I494" s="22">
        <v>-0.03</v>
      </c>
      <c r="J494" s="22">
        <v>0.04</v>
      </c>
      <c r="K494" s="22">
        <v>0.03</v>
      </c>
      <c r="L494" s="23">
        <f>+L493/H493-1</f>
        <v>5.8355437665782439E-3</v>
      </c>
      <c r="M494" s="23">
        <f t="shared" ref="M494:O494" si="513">+M493/I493-1</f>
        <v>8.3771081006358772E-2</v>
      </c>
      <c r="N494" s="23">
        <f t="shared" si="513"/>
        <v>0.18100734522560336</v>
      </c>
      <c r="O494" s="23">
        <f t="shared" si="513"/>
        <v>0.39135727328058434</v>
      </c>
      <c r="P494" s="22">
        <v>0.44</v>
      </c>
      <c r="Q494" s="22">
        <v>0.08</v>
      </c>
      <c r="R494" s="22">
        <v>0.05</v>
      </c>
      <c r="S494" s="22">
        <v>-0.1</v>
      </c>
      <c r="T494" s="22">
        <v>-7.0000000000000007E-2</v>
      </c>
      <c r="U494" s="22">
        <v>-0.21</v>
      </c>
      <c r="V494" s="22">
        <v>-0.01</v>
      </c>
      <c r="W494" s="22">
        <v>0.64</v>
      </c>
      <c r="X494" s="22">
        <v>0.22</v>
      </c>
      <c r="Y494" s="22">
        <v>0.51</v>
      </c>
      <c r="Z494" s="22">
        <v>0.5</v>
      </c>
      <c r="AA494" s="22">
        <v>0.11</v>
      </c>
      <c r="AB494" s="22">
        <v>0.16</v>
      </c>
      <c r="AC494" s="22">
        <v>0.08</v>
      </c>
      <c r="AD494" s="22">
        <v>0.06</v>
      </c>
      <c r="AE494" s="22">
        <v>-7.0000000000000007E-2</v>
      </c>
      <c r="AF494" s="22">
        <v>0.04</v>
      </c>
      <c r="AG494" s="23"/>
      <c r="AH494" s="23"/>
      <c r="AI494" s="23"/>
      <c r="AZ494" s="8"/>
      <c r="BA494" s="23">
        <f>+BA493/AZ493-1</f>
        <v>0.14385150812064973</v>
      </c>
      <c r="BB494" s="23">
        <f>+BB493/BA493-1</f>
        <v>9.9660967835409897E-2</v>
      </c>
      <c r="BC494" s="23">
        <f>+BC493/BB493-1</f>
        <v>1.8702821922934154E-2</v>
      </c>
      <c r="BD494" s="23">
        <f>+BD493/BC493-1</f>
        <v>0.32811945008801158</v>
      </c>
      <c r="BE494" s="23">
        <f t="shared" ref="BE494" si="514">+BE493/BD493-1</f>
        <v>5.5058832538017244E-2</v>
      </c>
      <c r="BF494" s="23"/>
    </row>
    <row r="495" spans="2:58">
      <c r="B495" s="13"/>
      <c r="G495" s="22"/>
      <c r="H495" s="22"/>
      <c r="I495" s="22"/>
      <c r="J495" s="22"/>
      <c r="K495" s="22"/>
      <c r="L495" s="23"/>
      <c r="M495" s="23"/>
      <c r="N495" s="23"/>
      <c r="O495" s="23"/>
      <c r="P495" s="22"/>
      <c r="Q495" s="22"/>
      <c r="R495" s="22"/>
      <c r="S495" s="22"/>
      <c r="T495" s="22"/>
      <c r="U495" s="22"/>
      <c r="V495" s="22"/>
      <c r="W495" s="22"/>
      <c r="X495" s="22"/>
      <c r="Y495" s="22"/>
      <c r="Z495" s="22"/>
      <c r="AA495" s="22"/>
      <c r="AB495" s="23"/>
      <c r="AC495" s="23"/>
      <c r="AD495" s="23"/>
      <c r="AE495" s="23"/>
      <c r="AF495" s="23"/>
      <c r="AG495" s="23"/>
      <c r="AH495" s="23"/>
      <c r="AI495" s="23"/>
      <c r="AZ495" s="8"/>
      <c r="BA495" s="23"/>
      <c r="BB495" s="23"/>
      <c r="BC495" s="23"/>
      <c r="BD495" s="23"/>
      <c r="BE495" s="23"/>
      <c r="BF495" s="23"/>
    </row>
    <row r="496" spans="2:58" ht="11.45">
      <c r="B496" s="13"/>
      <c r="G496" s="22"/>
      <c r="H496" s="22"/>
      <c r="I496" s="22"/>
      <c r="J496" s="22"/>
      <c r="K496" s="22"/>
      <c r="L496" s="23"/>
      <c r="M496" s="23"/>
      <c r="N496" s="23"/>
      <c r="O496" s="23"/>
      <c r="P496" s="23"/>
      <c r="Q496" s="23"/>
      <c r="R496" s="23"/>
      <c r="S496" s="23"/>
      <c r="T496" s="23"/>
      <c r="U496" s="23"/>
      <c r="V496" s="23"/>
      <c r="W496" s="23"/>
      <c r="X496" s="930" t="s">
        <v>1217</v>
      </c>
      <c r="Y496" s="31"/>
      <c r="Z496" s="31"/>
      <c r="AA496" s="31"/>
      <c r="AB496" s="23"/>
      <c r="AC496" s="23"/>
      <c r="AD496" s="23"/>
      <c r="AE496" s="23"/>
      <c r="AF496" s="23"/>
      <c r="AG496" s="23"/>
      <c r="AH496" s="23"/>
      <c r="AI496" s="23"/>
      <c r="AZ496" s="8"/>
      <c r="BA496" s="23"/>
      <c r="BB496" s="23"/>
      <c r="BC496" s="23"/>
      <c r="BD496" s="23"/>
      <c r="BE496" s="23"/>
      <c r="BF496" s="23"/>
    </row>
    <row r="497" spans="2:61">
      <c r="B497" t="s">
        <v>432</v>
      </c>
      <c r="D497" s="911">
        <v>0.23</v>
      </c>
      <c r="E497" s="911">
        <v>0.17</v>
      </c>
      <c r="F497" s="911">
        <v>0.14000000000000001</v>
      </c>
      <c r="G497" s="911">
        <v>0.16</v>
      </c>
      <c r="H497" s="911">
        <v>0.09</v>
      </c>
      <c r="I497" s="911">
        <v>0.1</v>
      </c>
      <c r="J497" s="911">
        <v>0.08</v>
      </c>
      <c r="K497" s="911">
        <v>0.1</v>
      </c>
      <c r="L497" s="911">
        <v>0.15</v>
      </c>
      <c r="M497" s="911">
        <v>0.15</v>
      </c>
      <c r="N497" s="911">
        <v>0.16</v>
      </c>
      <c r="O497" s="911">
        <v>0.17</v>
      </c>
      <c r="P497" s="911">
        <v>0.17</v>
      </c>
      <c r="Q497" s="911">
        <v>0.14000000000000001</v>
      </c>
      <c r="R497" s="911">
        <v>0.12</v>
      </c>
      <c r="S497" s="911">
        <v>0.09</v>
      </c>
      <c r="T497" s="911">
        <v>0.11</v>
      </c>
      <c r="U497" s="911">
        <v>0.06</v>
      </c>
      <c r="V497" s="911">
        <v>0.01</v>
      </c>
      <c r="W497" s="911">
        <v>-0.18</v>
      </c>
      <c r="X497" s="911">
        <v>-0.12</v>
      </c>
      <c r="Y497" s="911">
        <v>0</v>
      </c>
      <c r="Z497" s="911">
        <v>0.13</v>
      </c>
      <c r="AA497" s="911">
        <v>0.48</v>
      </c>
      <c r="AB497" s="911">
        <v>0.4</v>
      </c>
      <c r="AC497" s="911">
        <v>0.32</v>
      </c>
      <c r="AD497" s="911">
        <v>0.23</v>
      </c>
      <c r="AE497" s="911">
        <v>0.18</v>
      </c>
      <c r="AF497" s="911">
        <v>0.16</v>
      </c>
      <c r="AG497" s="911"/>
      <c r="AH497" s="911"/>
      <c r="AI497" s="911"/>
      <c r="AZ497" s="912">
        <f>+AVERAGE(H497:K497)</f>
        <v>9.2499999999999999E-2</v>
      </c>
      <c r="BA497" s="912">
        <f>+AVERAGE(L497:O497)</f>
        <v>0.1575</v>
      </c>
      <c r="BB497" s="912">
        <f>+AVERAGE(P497:S497)</f>
        <v>0.13</v>
      </c>
      <c r="BC497" s="912">
        <f>+AVERAGE(T497:W497)</f>
        <v>0</v>
      </c>
      <c r="BD497" s="912">
        <v>0.1</v>
      </c>
      <c r="BE497" s="912">
        <f>+AVERAGE(AB497:AE497)</f>
        <v>0.28249999999999997</v>
      </c>
      <c r="BF497" s="912"/>
      <c r="BI497" s="912"/>
    </row>
    <row r="498" spans="2:61">
      <c r="B498" s="12" t="s">
        <v>270</v>
      </c>
      <c r="D498" s="911">
        <v>0.28999999999999998</v>
      </c>
      <c r="E498" s="911">
        <v>0.21</v>
      </c>
      <c r="F498" s="911">
        <v>0.18</v>
      </c>
      <c r="G498" s="911">
        <v>0.17</v>
      </c>
      <c r="H498" s="911">
        <v>0.1</v>
      </c>
      <c r="I498" s="911">
        <v>0.11</v>
      </c>
      <c r="J498" s="911">
        <v>0.09</v>
      </c>
      <c r="K498" s="911">
        <v>0.11</v>
      </c>
      <c r="L498" s="911">
        <v>0.15</v>
      </c>
      <c r="M498" s="911">
        <v>0.15</v>
      </c>
      <c r="N498" s="911">
        <v>0.14000000000000001</v>
      </c>
      <c r="O498" s="911">
        <v>0.16</v>
      </c>
      <c r="P498" s="911">
        <v>0.17</v>
      </c>
      <c r="Q498" s="911">
        <v>0.14000000000000001</v>
      </c>
      <c r="R498" s="911">
        <v>0.14000000000000001</v>
      </c>
      <c r="S498" s="911">
        <v>0.1</v>
      </c>
      <c r="T498" s="911">
        <v>0.13</v>
      </c>
      <c r="U498" s="911">
        <v>7.0000000000000007E-2</v>
      </c>
      <c r="V498" s="911">
        <v>0.01</v>
      </c>
      <c r="W498" s="911">
        <v>-0.17</v>
      </c>
      <c r="X498" s="911">
        <v>-0.13</v>
      </c>
      <c r="Y498" s="911">
        <v>-0.01</v>
      </c>
      <c r="Z498" s="911">
        <v>0.11</v>
      </c>
      <c r="AA498" s="911">
        <v>0.45</v>
      </c>
      <c r="AB498" s="911">
        <v>0.39</v>
      </c>
      <c r="AC498" s="911">
        <v>0.32</v>
      </c>
      <c r="AD498" s="911">
        <v>0.25</v>
      </c>
      <c r="AE498" s="911">
        <v>0.21</v>
      </c>
      <c r="AF498" s="911">
        <v>0.21</v>
      </c>
      <c r="AG498" s="911"/>
      <c r="AH498" s="911"/>
      <c r="AI498" s="911"/>
      <c r="AZ498" s="912">
        <f>+AVERAGE(H498:K498)</f>
        <v>0.10250000000000001</v>
      </c>
      <c r="BA498" s="912">
        <f>+AVERAGE(L498:O498)</f>
        <v>0.15</v>
      </c>
      <c r="BB498" s="912">
        <f>+AVERAGE(P498:S498)</f>
        <v>0.13750000000000001</v>
      </c>
      <c r="BC498" s="912">
        <f>+AVERAGE(T498:W498)</f>
        <v>1.0000000000000002E-2</v>
      </c>
      <c r="BD498" s="912">
        <v>0.1</v>
      </c>
      <c r="BE498" s="912">
        <f>+AVERAGE(AB498:AE498)</f>
        <v>0.29249999999999998</v>
      </c>
      <c r="BF498" s="912"/>
      <c r="BI498" s="912"/>
    </row>
    <row r="500" spans="2:61" ht="10.5">
      <c r="B500" s="5" t="s">
        <v>494</v>
      </c>
      <c r="C500" s="4"/>
    </row>
    <row r="501" spans="2:61">
      <c r="AY501" s="31"/>
      <c r="AZ501" s="31"/>
    </row>
    <row r="502" spans="2:61" ht="10.5">
      <c r="B502" s="910" t="s">
        <v>86</v>
      </c>
    </row>
    <row r="503" spans="2:61">
      <c r="B503" s="878" t="s">
        <v>495</v>
      </c>
      <c r="D503" s="879">
        <v>15750</v>
      </c>
      <c r="E503" s="879">
        <v>19431</v>
      </c>
      <c r="F503" s="879">
        <v>15307</v>
      </c>
      <c r="G503" s="879">
        <v>16848</v>
      </c>
      <c r="H503" s="879">
        <v>14968</v>
      </c>
      <c r="I503" s="879">
        <v>18273</v>
      </c>
      <c r="J503" s="879">
        <v>14513</v>
      </c>
      <c r="K503" s="879">
        <v>16057</v>
      </c>
      <c r="L503" s="879">
        <v>14298</v>
      </c>
      <c r="M503" s="879">
        <v>17926</v>
      </c>
      <c r="N503" s="879">
        <v>15114</v>
      </c>
      <c r="O503" s="879">
        <v>17159</v>
      </c>
      <c r="P503" s="879">
        <v>17299</v>
      </c>
      <c r="Q503" s="879">
        <v>16219</v>
      </c>
      <c r="R503" s="879">
        <v>15448</v>
      </c>
      <c r="S503" s="879">
        <v>17103</v>
      </c>
      <c r="T503" s="879">
        <v>15768</v>
      </c>
      <c r="U503" s="879">
        <v>18255</v>
      </c>
      <c r="V503" s="879">
        <v>15871</v>
      </c>
      <c r="W503" s="879">
        <v>18147</v>
      </c>
      <c r="X503" s="879">
        <v>15803</v>
      </c>
      <c r="Y503" s="879">
        <v>19460</v>
      </c>
      <c r="Z503" s="879">
        <v>16873</v>
      </c>
      <c r="AA503" s="879">
        <v>18938</v>
      </c>
      <c r="AB503" s="879">
        <v>16631</v>
      </c>
      <c r="AC503" s="879">
        <v>20779</v>
      </c>
      <c r="AD503" s="879">
        <v>17366</v>
      </c>
      <c r="AE503" s="879">
        <v>17956</v>
      </c>
      <c r="AF503" s="879">
        <v>15741</v>
      </c>
      <c r="AG503" s="879"/>
      <c r="AH503" s="879"/>
      <c r="AI503" s="879"/>
      <c r="AK503" s="879"/>
      <c r="AL503" s="879"/>
      <c r="AM503" s="879"/>
      <c r="AN503" s="879"/>
      <c r="AO503" s="879"/>
      <c r="AP503" s="879"/>
      <c r="AQ503" s="879"/>
      <c r="AR503" s="879"/>
      <c r="AS503" s="879"/>
      <c r="AT503" s="29">
        <v>72948</v>
      </c>
      <c r="AU503" s="29">
        <v>75956</v>
      </c>
      <c r="AV503" s="29">
        <v>61502</v>
      </c>
      <c r="AW503" s="29">
        <v>57190</v>
      </c>
      <c r="AX503" s="29"/>
      <c r="AY503" s="880">
        <f>+SUM(D503:G503)</f>
        <v>67336</v>
      </c>
      <c r="AZ503" s="880">
        <f>+SUM(H503:K503)</f>
        <v>63811</v>
      </c>
      <c r="BA503" s="880">
        <f>+SUM(L503:O503)</f>
        <v>64497</v>
      </c>
      <c r="BB503" s="880">
        <v>66069</v>
      </c>
      <c r="BC503" s="880">
        <f>SUM(T503:W503)</f>
        <v>68041</v>
      </c>
      <c r="BD503" s="880">
        <f t="shared" ref="BD503:BD504" si="515">SUM(X503:AA503)</f>
        <v>71074</v>
      </c>
      <c r="BE503" s="880">
        <f t="shared" ref="BE503:BE504" si="516">SUM(AB503:AE503)</f>
        <v>72732</v>
      </c>
      <c r="BF503" s="880"/>
    </row>
    <row r="504" spans="2:61" ht="11.45">
      <c r="B504" s="878" t="s">
        <v>496</v>
      </c>
      <c r="D504" s="905">
        <v>5160</v>
      </c>
      <c r="E504" s="905">
        <v>5822</v>
      </c>
      <c r="F504" s="905">
        <v>6210</v>
      </c>
      <c r="G504" s="905">
        <v>6626</v>
      </c>
      <c r="H504" s="905">
        <v>6960</v>
      </c>
      <c r="I504" s="905">
        <v>7553</v>
      </c>
      <c r="J504" s="905">
        <v>8699</v>
      </c>
      <c r="K504" s="905">
        <v>9548</v>
      </c>
      <c r="L504" s="905">
        <v>10240</v>
      </c>
      <c r="M504" s="905">
        <v>10992</v>
      </c>
      <c r="N504" s="905">
        <v>11705</v>
      </c>
      <c r="O504" s="905">
        <v>12926</v>
      </c>
      <c r="P504" s="905">
        <v>11785</v>
      </c>
      <c r="Q504" s="905">
        <v>16252</v>
      </c>
      <c r="R504" s="905">
        <v>15123</v>
      </c>
      <c r="S504" s="905">
        <v>16614</v>
      </c>
      <c r="T504" s="905">
        <v>17287</v>
      </c>
      <c r="U504" s="905">
        <v>18651</v>
      </c>
      <c r="V504" s="905">
        <v>19150</v>
      </c>
      <c r="W504" s="905">
        <v>19886</v>
      </c>
      <c r="X504" s="905">
        <v>21351</v>
      </c>
      <c r="Y504" s="905">
        <v>23616</v>
      </c>
      <c r="Z504" s="905">
        <v>24833</v>
      </c>
      <c r="AA504" s="905">
        <v>27214</v>
      </c>
      <c r="AB504" s="905">
        <v>28686</v>
      </c>
      <c r="AC504" s="905">
        <v>30949</v>
      </c>
      <c r="AD504" s="905">
        <v>31994</v>
      </c>
      <c r="AE504" s="905">
        <v>33909</v>
      </c>
      <c r="AF504" s="905">
        <v>34381</v>
      </c>
      <c r="AG504" s="905"/>
      <c r="AH504" s="905"/>
      <c r="AI504" s="905"/>
      <c r="AK504" s="905"/>
      <c r="AL504" s="905"/>
      <c r="AM504" s="905"/>
      <c r="AN504" s="905"/>
      <c r="AO504" s="905"/>
      <c r="AP504" s="905"/>
      <c r="AQ504" s="905"/>
      <c r="AR504" s="905"/>
      <c r="AS504" s="905"/>
      <c r="AT504" s="30">
        <v>13885</v>
      </c>
      <c r="AU504" s="30">
        <v>17624</v>
      </c>
      <c r="AV504" s="30">
        <v>23818</v>
      </c>
      <c r="AW504" s="30">
        <v>32760</v>
      </c>
      <c r="AX504" s="30"/>
      <c r="AY504" s="906">
        <f>+SUM(D504:G504)</f>
        <v>23818</v>
      </c>
      <c r="AZ504" s="906">
        <f>+SUM(H504:K504)</f>
        <v>32760</v>
      </c>
      <c r="BA504" s="906">
        <f>+SUM(L504:O504)</f>
        <v>45863</v>
      </c>
      <c r="BB504" s="906">
        <v>59774</v>
      </c>
      <c r="BC504" s="906">
        <f>SUM(T504:W504)</f>
        <v>74974</v>
      </c>
      <c r="BD504" s="906">
        <f t="shared" si="515"/>
        <v>97014</v>
      </c>
      <c r="BE504" s="906">
        <f t="shared" si="516"/>
        <v>125538</v>
      </c>
      <c r="BF504" s="906"/>
    </row>
    <row r="505" spans="2:61" s="1" customFormat="1" ht="10.5">
      <c r="B505" s="882" t="s">
        <v>477</v>
      </c>
      <c r="D505" s="838">
        <f>SUM(D503:D504)</f>
        <v>20910</v>
      </c>
      <c r="E505" s="838">
        <f t="shared" ref="E505:X505" si="517">SUM(E503:E504)</f>
        <v>25253</v>
      </c>
      <c r="F505" s="838">
        <f t="shared" si="517"/>
        <v>21517</v>
      </c>
      <c r="G505" s="838">
        <f t="shared" si="517"/>
        <v>23474</v>
      </c>
      <c r="H505" s="838">
        <f t="shared" si="517"/>
        <v>21928</v>
      </c>
      <c r="I505" s="838">
        <f t="shared" si="517"/>
        <v>25826</v>
      </c>
      <c r="J505" s="838">
        <f t="shared" si="517"/>
        <v>23212</v>
      </c>
      <c r="K505" s="838">
        <f t="shared" si="517"/>
        <v>25605</v>
      </c>
      <c r="L505" s="838">
        <f t="shared" si="517"/>
        <v>24538</v>
      </c>
      <c r="M505" s="838">
        <f t="shared" si="517"/>
        <v>28918</v>
      </c>
      <c r="N505" s="838">
        <f t="shared" si="517"/>
        <v>26819</v>
      </c>
      <c r="O505" s="838">
        <f t="shared" si="517"/>
        <v>30085</v>
      </c>
      <c r="P505" s="838">
        <f t="shared" si="517"/>
        <v>29084</v>
      </c>
      <c r="Q505" s="838">
        <f t="shared" si="517"/>
        <v>32471</v>
      </c>
      <c r="R505" s="838">
        <f t="shared" si="517"/>
        <v>30571</v>
      </c>
      <c r="S505" s="838">
        <f t="shared" si="517"/>
        <v>33717</v>
      </c>
      <c r="T505" s="838">
        <f t="shared" si="517"/>
        <v>33055</v>
      </c>
      <c r="U505" s="838">
        <f t="shared" si="517"/>
        <v>36906</v>
      </c>
      <c r="V505" s="838">
        <f t="shared" si="517"/>
        <v>35021</v>
      </c>
      <c r="W505" s="838">
        <f t="shared" si="517"/>
        <v>38033</v>
      </c>
      <c r="X505" s="838">
        <f t="shared" si="517"/>
        <v>37154</v>
      </c>
      <c r="Y505" s="838">
        <f t="shared" ref="Y505:AI505" si="518">+Y12</f>
        <v>43076</v>
      </c>
      <c r="Z505" s="838">
        <f t="shared" si="518"/>
        <v>41706</v>
      </c>
      <c r="AA505" s="838">
        <f t="shared" si="518"/>
        <v>46152</v>
      </c>
      <c r="AB505" s="838">
        <f t="shared" si="518"/>
        <v>45317</v>
      </c>
      <c r="AC505" s="838">
        <f t="shared" si="518"/>
        <v>51728</v>
      </c>
      <c r="AD505" s="838">
        <f t="shared" si="518"/>
        <v>49360</v>
      </c>
      <c r="AE505" s="838">
        <f t="shared" si="518"/>
        <v>51865</v>
      </c>
      <c r="AF505" s="838">
        <f t="shared" si="518"/>
        <v>50122</v>
      </c>
      <c r="AG505" s="838">
        <f t="shared" si="518"/>
        <v>53588.734970439065</v>
      </c>
      <c r="AH505" s="838">
        <f t="shared" si="518"/>
        <v>51569.768876460585</v>
      </c>
      <c r="AI505" s="838">
        <f t="shared" si="518"/>
        <v>55382.846663871453</v>
      </c>
      <c r="AK505" s="936">
        <v>39788</v>
      </c>
      <c r="AL505" s="936">
        <v>44282</v>
      </c>
      <c r="AM505" s="936">
        <v>51122</v>
      </c>
      <c r="AN505" s="936">
        <v>60420</v>
      </c>
      <c r="AO505" s="936">
        <v>58437</v>
      </c>
      <c r="AP505" s="936">
        <v>62484</v>
      </c>
      <c r="AQ505" s="936">
        <v>69943</v>
      </c>
      <c r="AR505" s="936">
        <v>73723</v>
      </c>
      <c r="AS505" s="936">
        <v>77849</v>
      </c>
      <c r="AT505" s="849">
        <f>SUM(AT503:AT504)</f>
        <v>86833</v>
      </c>
      <c r="AU505" s="849">
        <f>SUM(AU503:AU504)</f>
        <v>93580</v>
      </c>
      <c r="AV505" s="849">
        <f t="shared" ref="AV505:AW505" si="519">SUM(AV503:AV504)</f>
        <v>85320</v>
      </c>
      <c r="AW505" s="849">
        <f t="shared" si="519"/>
        <v>89950</v>
      </c>
      <c r="AX505" s="849"/>
      <c r="AY505" s="849">
        <f>+SUM(D505:G505)</f>
        <v>91154</v>
      </c>
      <c r="AZ505" s="849">
        <f>+SUM(H505:K505)</f>
        <v>96571</v>
      </c>
      <c r="BA505" s="849">
        <f>+SUM(L505:O505)</f>
        <v>110360</v>
      </c>
      <c r="BB505" s="849">
        <f>SUM(BB503:BB504)</f>
        <v>125843</v>
      </c>
      <c r="BC505" s="849">
        <f>SUM(BC503:BC504)</f>
        <v>143015</v>
      </c>
      <c r="BD505" s="849">
        <f>SUM(X505:AA505)</f>
        <v>168088</v>
      </c>
      <c r="BE505" s="849">
        <f>SUM(AB505:AE505)</f>
        <v>198270</v>
      </c>
      <c r="BF505" s="849">
        <f>SUM(AF505:AI505)</f>
        <v>210663.35051077112</v>
      </c>
    </row>
    <row r="506" spans="2:61" s="1" customFormat="1" ht="10.5">
      <c r="B506" s="882"/>
      <c r="D506" s="838"/>
      <c r="E506" s="838"/>
      <c r="F506" s="838"/>
      <c r="G506" s="838"/>
      <c r="H506" s="838"/>
      <c r="I506" s="838"/>
      <c r="J506" s="838"/>
      <c r="K506" s="838"/>
      <c r="L506" s="838"/>
      <c r="M506" s="838"/>
      <c r="N506" s="838"/>
      <c r="O506" s="838"/>
      <c r="P506" s="838"/>
      <c r="Q506" s="838"/>
      <c r="R506" s="838"/>
      <c r="S506" s="838"/>
      <c r="T506" s="838"/>
      <c r="U506" s="838"/>
      <c r="V506" s="838"/>
      <c r="W506" s="838"/>
      <c r="X506" s="838"/>
      <c r="Y506" s="838"/>
      <c r="Z506" s="838"/>
      <c r="AA506" s="838"/>
      <c r="AB506" s="838"/>
      <c r="AC506" s="838"/>
      <c r="AD506" s="838"/>
      <c r="AE506" s="838"/>
      <c r="AF506" s="838"/>
      <c r="AG506" s="838"/>
      <c r="AH506" s="838"/>
      <c r="AI506" s="838"/>
      <c r="AK506" s="936"/>
      <c r="AL506" s="936"/>
      <c r="AM506" s="936"/>
      <c r="AN506" s="936"/>
      <c r="AO506" s="936"/>
      <c r="AP506" s="936"/>
      <c r="AQ506" s="936"/>
      <c r="AR506" s="936"/>
      <c r="AS506" s="936"/>
      <c r="AT506" s="849"/>
      <c r="AU506" s="849"/>
      <c r="AV506" s="849"/>
      <c r="AW506" s="849"/>
      <c r="AX506" s="849"/>
      <c r="AY506" s="849"/>
      <c r="AZ506" s="849"/>
      <c r="BA506" s="849"/>
      <c r="BB506" s="849"/>
      <c r="BC506" s="849"/>
      <c r="BD506" s="849"/>
      <c r="BE506" s="849"/>
      <c r="BF506" s="849"/>
    </row>
    <row r="507" spans="2:61" s="7" customFormat="1">
      <c r="B507" s="883" t="s">
        <v>113</v>
      </c>
      <c r="D507" s="862"/>
      <c r="E507" s="862"/>
      <c r="F507" s="862"/>
      <c r="G507" s="862"/>
      <c r="H507" s="862"/>
      <c r="I507" s="862"/>
      <c r="J507" s="862"/>
      <c r="K507" s="862"/>
      <c r="L507" s="862"/>
      <c r="M507" s="862"/>
      <c r="N507" s="862"/>
      <c r="O507" s="862"/>
      <c r="P507" s="862"/>
      <c r="Q507" s="862"/>
      <c r="R507" s="862"/>
      <c r="S507" s="862"/>
      <c r="T507" s="862"/>
      <c r="U507" s="862"/>
      <c r="V507" s="862"/>
      <c r="W507" s="862"/>
      <c r="X507" s="862"/>
      <c r="Y507" s="862"/>
      <c r="Z507" s="862"/>
      <c r="AA507" s="862"/>
      <c r="AB507" s="862"/>
      <c r="AC507" s="862"/>
      <c r="AD507" s="862"/>
      <c r="AE507" s="862"/>
      <c r="AF507" s="862"/>
      <c r="AG507" s="862"/>
      <c r="AH507" s="862"/>
      <c r="AI507" s="862"/>
      <c r="AK507" s="937"/>
      <c r="AL507" s="937"/>
      <c r="AM507" s="937"/>
      <c r="AN507" s="937"/>
      <c r="AO507" s="937"/>
      <c r="AP507" s="937"/>
      <c r="AQ507" s="937"/>
      <c r="AR507" s="937"/>
      <c r="AS507" s="937"/>
      <c r="AT507" s="938"/>
      <c r="AU507" s="938"/>
      <c r="AV507" s="938"/>
      <c r="AW507" s="938"/>
      <c r="AX507" s="938"/>
      <c r="AY507" s="938"/>
      <c r="AZ507" s="938"/>
      <c r="BA507" s="938"/>
      <c r="BB507" s="938"/>
      <c r="BC507" s="938"/>
      <c r="BD507" s="938"/>
      <c r="BE507" s="938"/>
      <c r="BF507" s="938"/>
    </row>
    <row r="508" spans="2:61" s="7" customFormat="1">
      <c r="B508" s="884" t="str">
        <f>+B503</f>
        <v>Product</v>
      </c>
      <c r="D508" s="14"/>
      <c r="E508" s="14"/>
      <c r="F508" s="14"/>
      <c r="G508" s="14"/>
      <c r="H508" s="14">
        <f>+H503/D503-1</f>
        <v>-4.9650793650793612E-2</v>
      </c>
      <c r="I508" s="14">
        <f t="shared" ref="I508:AF510" si="520">+I503/E503-1</f>
        <v>-5.9595491740003115E-2</v>
      </c>
      <c r="J508" s="14">
        <f t="shared" si="520"/>
        <v>-5.1871692689619109E-2</v>
      </c>
      <c r="K508" s="14">
        <f t="shared" si="520"/>
        <v>-4.6949192782526072E-2</v>
      </c>
      <c r="L508" s="14">
        <f t="shared" si="520"/>
        <v>-4.4762159273115998E-2</v>
      </c>
      <c r="M508" s="14">
        <f t="shared" si="520"/>
        <v>-1.898976632189564E-2</v>
      </c>
      <c r="N508" s="14">
        <f t="shared" si="520"/>
        <v>4.141114862537032E-2</v>
      </c>
      <c r="O508" s="14">
        <f t="shared" si="520"/>
        <v>6.8630503830105161E-2</v>
      </c>
      <c r="P508" s="14">
        <f t="shared" si="520"/>
        <v>0.20988949503427046</v>
      </c>
      <c r="Q508" s="14">
        <f t="shared" si="520"/>
        <v>-9.5224813120606933E-2</v>
      </c>
      <c r="R508" s="14">
        <f t="shared" si="520"/>
        <v>2.2098716421860454E-2</v>
      </c>
      <c r="S508" s="14">
        <f t="shared" si="520"/>
        <v>-3.2635934495016672E-3</v>
      </c>
      <c r="T508" s="14">
        <f t="shared" si="520"/>
        <v>-8.8502225562171244E-2</v>
      </c>
      <c r="U508" s="14">
        <f t="shared" si="520"/>
        <v>0.12553178371046303</v>
      </c>
      <c r="V508" s="14">
        <f t="shared" si="520"/>
        <v>2.7382185396167769E-2</v>
      </c>
      <c r="W508" s="14">
        <f t="shared" si="520"/>
        <v>6.1041922469742049E-2</v>
      </c>
      <c r="X508" s="14">
        <f t="shared" si="520"/>
        <v>2.2196854388634168E-3</v>
      </c>
      <c r="Y508" s="14">
        <f t="shared" si="520"/>
        <v>6.6009312517118612E-2</v>
      </c>
      <c r="Z508" s="14">
        <f t="shared" si="520"/>
        <v>6.3134018020288618E-2</v>
      </c>
      <c r="AA508" s="14">
        <f t="shared" si="520"/>
        <v>4.3588471923734051E-2</v>
      </c>
      <c r="AB508" s="14">
        <f t="shared" si="520"/>
        <v>5.2395114851610414E-2</v>
      </c>
      <c r="AC508" s="14">
        <f t="shared" si="520"/>
        <v>6.7780061664953761E-2</v>
      </c>
      <c r="AD508" s="14">
        <f t="shared" si="520"/>
        <v>2.9218277721803965E-2</v>
      </c>
      <c r="AE508" s="14">
        <f t="shared" si="520"/>
        <v>-5.1853416411447917E-2</v>
      </c>
      <c r="AF508" s="14">
        <f t="shared" si="520"/>
        <v>-5.3514521075100685E-2</v>
      </c>
      <c r="AG508" s="14"/>
      <c r="AH508" s="14"/>
      <c r="AI508" s="14"/>
      <c r="AJ508" s="14"/>
      <c r="AK508" s="14"/>
      <c r="AL508" s="14"/>
      <c r="AM508" s="14"/>
      <c r="AN508" s="14"/>
      <c r="AO508" s="14"/>
      <c r="AP508" s="14"/>
      <c r="AQ508" s="14"/>
      <c r="AR508" s="14"/>
      <c r="AS508" s="14"/>
      <c r="AT508" s="14"/>
      <c r="AU508" s="14">
        <f>+AU503/AT503-1</f>
        <v>4.1234852223501761E-2</v>
      </c>
      <c r="AV508" s="14">
        <f t="shared" ref="AV508:BF510" si="521">+AV503/AU503-1</f>
        <v>-0.19029438095739637</v>
      </c>
      <c r="AW508" s="14">
        <f t="shared" si="521"/>
        <v>-7.0111541088094698E-2</v>
      </c>
      <c r="AX508" s="14"/>
      <c r="AY508" s="1010">
        <f t="shared" ref="AY508" si="522">+AV508</f>
        <v>-0.19029438095739637</v>
      </c>
      <c r="AZ508" s="1010">
        <f t="shared" ref="AZ508" si="523">+AW508</f>
        <v>-7.0111541088094698E-2</v>
      </c>
      <c r="BA508" s="14">
        <f t="shared" si="521"/>
        <v>1.0750497563116079E-2</v>
      </c>
      <c r="BB508" s="14">
        <f t="shared" si="521"/>
        <v>2.4373226661705161E-2</v>
      </c>
      <c r="BC508" s="14">
        <f t="shared" si="521"/>
        <v>2.984758358685613E-2</v>
      </c>
      <c r="BD508" s="14">
        <f t="shared" si="521"/>
        <v>4.457606443173967E-2</v>
      </c>
      <c r="BE508" s="14">
        <f t="shared" si="521"/>
        <v>2.3327799195205001E-2</v>
      </c>
      <c r="BF508" s="14"/>
    </row>
    <row r="509" spans="2:61" s="7" customFormat="1" ht="11.45">
      <c r="B509" s="884" t="str">
        <f t="shared" ref="B509:B510" si="524">+B504</f>
        <v>Service and other</v>
      </c>
      <c r="D509" s="840"/>
      <c r="E509" s="840"/>
      <c r="F509" s="840"/>
      <c r="G509" s="840"/>
      <c r="H509" s="840">
        <f t="shared" ref="H509:V510" si="525">+H504/D504-1</f>
        <v>0.34883720930232553</v>
      </c>
      <c r="I509" s="840">
        <f t="shared" si="525"/>
        <v>0.29732050841635171</v>
      </c>
      <c r="J509" s="840">
        <f t="shared" si="525"/>
        <v>0.40080515297906594</v>
      </c>
      <c r="K509" s="840">
        <f t="shared" si="525"/>
        <v>0.4409900392393602</v>
      </c>
      <c r="L509" s="840">
        <f t="shared" si="525"/>
        <v>0.47126436781609193</v>
      </c>
      <c r="M509" s="840">
        <f t="shared" si="525"/>
        <v>0.45531576856878053</v>
      </c>
      <c r="N509" s="840">
        <f t="shared" si="525"/>
        <v>0.34555696057018048</v>
      </c>
      <c r="O509" s="840">
        <f t="shared" si="525"/>
        <v>0.35379136992040228</v>
      </c>
      <c r="P509" s="840">
        <f t="shared" si="525"/>
        <v>0.15087890625</v>
      </c>
      <c r="Q509" s="840">
        <f t="shared" si="525"/>
        <v>0.47852983988355158</v>
      </c>
      <c r="R509" s="840">
        <f t="shared" si="525"/>
        <v>0.29201196070055535</v>
      </c>
      <c r="S509" s="840">
        <f t="shared" si="525"/>
        <v>0.28531641652483364</v>
      </c>
      <c r="T509" s="840">
        <f t="shared" si="525"/>
        <v>0.46686465846414937</v>
      </c>
      <c r="U509" s="840">
        <f t="shared" si="525"/>
        <v>0.147612601525966</v>
      </c>
      <c r="V509" s="840">
        <f t="shared" si="525"/>
        <v>0.26628314487866156</v>
      </c>
      <c r="W509" s="840">
        <f t="shared" si="520"/>
        <v>0.19694233778740822</v>
      </c>
      <c r="X509" s="840">
        <f t="shared" si="520"/>
        <v>0.23508995198704219</v>
      </c>
      <c r="Y509" s="840">
        <f t="shared" si="520"/>
        <v>0.26620556538523399</v>
      </c>
      <c r="Z509" s="840">
        <f t="shared" si="520"/>
        <v>0.29676240208877291</v>
      </c>
      <c r="AA509" s="840">
        <f t="shared" si="520"/>
        <v>0.36850045257970421</v>
      </c>
      <c r="AB509" s="840">
        <f t="shared" si="520"/>
        <v>0.34354362793311788</v>
      </c>
      <c r="AC509" s="840">
        <f t="shared" si="520"/>
        <v>0.31050982384823844</v>
      </c>
      <c r="AD509" s="840">
        <f t="shared" si="520"/>
        <v>0.2883662867957959</v>
      </c>
      <c r="AE509" s="840">
        <f t="shared" si="520"/>
        <v>0.24601308150216794</v>
      </c>
      <c r="AF509" s="840">
        <f t="shared" si="520"/>
        <v>0.19852889911455063</v>
      </c>
      <c r="AG509" s="840"/>
      <c r="AH509" s="840"/>
      <c r="AI509" s="840"/>
      <c r="AJ509" s="840"/>
      <c r="AK509" s="840"/>
      <c r="AL509" s="840"/>
      <c r="AM509" s="840"/>
      <c r="AN509" s="840"/>
      <c r="AO509" s="840"/>
      <c r="AP509" s="840"/>
      <c r="AQ509" s="840"/>
      <c r="AR509" s="840"/>
      <c r="AS509" s="840"/>
      <c r="AT509" s="840"/>
      <c r="AU509" s="840">
        <f t="shared" ref="AU509:BB510" si="526">+AU504/AT504-1</f>
        <v>0.26928339935181844</v>
      </c>
      <c r="AV509" s="840">
        <f t="shared" si="526"/>
        <v>0.35145256468452102</v>
      </c>
      <c r="AW509" s="840">
        <f t="shared" si="526"/>
        <v>0.37543034679654053</v>
      </c>
      <c r="AX509" s="840"/>
      <c r="AY509" s="1011">
        <f t="shared" ref="AY509:AY510" si="527">+AV509</f>
        <v>0.35145256468452102</v>
      </c>
      <c r="AZ509" s="1011">
        <f t="shared" ref="AZ509:AZ510" si="528">+AW509</f>
        <v>0.37543034679654053</v>
      </c>
      <c r="BA509" s="840">
        <f t="shared" si="526"/>
        <v>0.39996947496947488</v>
      </c>
      <c r="BB509" s="840">
        <f t="shared" si="526"/>
        <v>0.30331639884002359</v>
      </c>
      <c r="BC509" s="840">
        <f t="shared" si="521"/>
        <v>0.25429116338207258</v>
      </c>
      <c r="BD509" s="840">
        <f t="shared" si="521"/>
        <v>0.29396857577293467</v>
      </c>
      <c r="BE509" s="840">
        <f t="shared" si="521"/>
        <v>0.29401941987754343</v>
      </c>
      <c r="BF509" s="840"/>
    </row>
    <row r="510" spans="2:61" s="7" customFormat="1">
      <c r="B510" s="887" t="str">
        <f t="shared" si="524"/>
        <v>Total revenue</v>
      </c>
      <c r="D510" s="855"/>
      <c r="E510" s="855"/>
      <c r="F510" s="855"/>
      <c r="G510" s="855"/>
      <c r="H510" s="855">
        <f t="shared" si="525"/>
        <v>4.8684839789574275E-2</v>
      </c>
      <c r="I510" s="855">
        <f t="shared" si="525"/>
        <v>2.2690373420979792E-2</v>
      </c>
      <c r="J510" s="855">
        <f t="shared" si="525"/>
        <v>7.8774922154575489E-2</v>
      </c>
      <c r="K510" s="855">
        <f t="shared" si="525"/>
        <v>9.0781289937803544E-2</v>
      </c>
      <c r="L510" s="855">
        <f t="shared" si="525"/>
        <v>0.11902590295512594</v>
      </c>
      <c r="M510" s="855">
        <f t="shared" si="525"/>
        <v>0.11972430883605667</v>
      </c>
      <c r="N510" s="855">
        <f t="shared" si="525"/>
        <v>0.15539376184732046</v>
      </c>
      <c r="O510" s="855">
        <f t="shared" si="525"/>
        <v>0.17496582698691654</v>
      </c>
      <c r="P510" s="855">
        <f t="shared" si="525"/>
        <v>0.18526367267095933</v>
      </c>
      <c r="Q510" s="855">
        <f t="shared" si="525"/>
        <v>0.12286465177398154</v>
      </c>
      <c r="R510" s="855">
        <f t="shared" si="525"/>
        <v>0.13990081658525666</v>
      </c>
      <c r="S510" s="855">
        <f t="shared" si="525"/>
        <v>0.12072461359481479</v>
      </c>
      <c r="T510" s="855">
        <f t="shared" si="525"/>
        <v>0.13653555219364599</v>
      </c>
      <c r="U510" s="855">
        <f t="shared" si="525"/>
        <v>0.13658341289150311</v>
      </c>
      <c r="V510" s="855">
        <f t="shared" si="525"/>
        <v>0.14556278826338698</v>
      </c>
      <c r="W510" s="855">
        <f t="shared" si="520"/>
        <v>0.12800664353293589</v>
      </c>
      <c r="X510" s="855">
        <f t="shared" si="520"/>
        <v>0.12400544546967174</v>
      </c>
      <c r="Y510" s="855">
        <f t="shared" si="520"/>
        <v>0.16718148810491518</v>
      </c>
      <c r="Z510" s="855">
        <f t="shared" si="520"/>
        <v>0.19088546871876866</v>
      </c>
      <c r="AA510" s="855">
        <f t="shared" si="520"/>
        <v>0.21347251071437956</v>
      </c>
      <c r="AB510" s="855">
        <f t="shared" si="520"/>
        <v>0.21970716477364483</v>
      </c>
      <c r="AC510" s="855">
        <f t="shared" si="520"/>
        <v>0.2008543040208004</v>
      </c>
      <c r="AD510" s="855">
        <f t="shared" si="520"/>
        <v>0.18352275451973332</v>
      </c>
      <c r="AE510" s="855">
        <f t="shared" si="520"/>
        <v>0.12378661813139202</v>
      </c>
      <c r="AF510" s="855">
        <f t="shared" si="520"/>
        <v>0.1060308493501334</v>
      </c>
      <c r="AG510" s="855">
        <f t="shared" ref="AG510:AI510" si="529">+AG505/AC505-1</f>
        <v>3.5971523554729767E-2</v>
      </c>
      <c r="AH510" s="855">
        <f t="shared" si="529"/>
        <v>4.476841321840741E-2</v>
      </c>
      <c r="AI510" s="855">
        <f t="shared" si="529"/>
        <v>6.7826986674471179E-2</v>
      </c>
      <c r="AJ510" s="855"/>
      <c r="AK510" s="855"/>
      <c r="AL510" s="855">
        <f t="shared" ref="AL510:AT510" si="530">+AL505/AK505-1</f>
        <v>0.11294862772695291</v>
      </c>
      <c r="AM510" s="855">
        <f t="shared" si="530"/>
        <v>0.15446456799602548</v>
      </c>
      <c r="AN510" s="855">
        <f t="shared" si="530"/>
        <v>0.18187864324556946</v>
      </c>
      <c r="AO510" s="855">
        <f t="shared" si="530"/>
        <v>-3.2820258192651441E-2</v>
      </c>
      <c r="AP510" s="855">
        <f t="shared" si="530"/>
        <v>6.9254068484008391E-2</v>
      </c>
      <c r="AQ510" s="855">
        <f t="shared" si="530"/>
        <v>0.11937455988733126</v>
      </c>
      <c r="AR510" s="855">
        <f t="shared" si="530"/>
        <v>5.4044007263057026E-2</v>
      </c>
      <c r="AS510" s="855">
        <f t="shared" si="530"/>
        <v>5.5966252051598442E-2</v>
      </c>
      <c r="AT510" s="855">
        <f t="shared" si="530"/>
        <v>0.11540289534868786</v>
      </c>
      <c r="AU510" s="855">
        <f t="shared" si="526"/>
        <v>7.7700874091647165E-2</v>
      </c>
      <c r="AV510" s="855">
        <f t="shared" si="526"/>
        <v>-8.8266723658901425E-2</v>
      </c>
      <c r="AW510" s="855">
        <f t="shared" si="526"/>
        <v>5.4266291608063844E-2</v>
      </c>
      <c r="AX510" s="855"/>
      <c r="AY510" s="1013">
        <f t="shared" si="527"/>
        <v>-8.8266723658901425E-2</v>
      </c>
      <c r="AZ510" s="1013">
        <f t="shared" si="528"/>
        <v>5.4266291608063844E-2</v>
      </c>
      <c r="BA510" s="855">
        <f t="shared" si="526"/>
        <v>0.14278613662486661</v>
      </c>
      <c r="BB510" s="855">
        <f t="shared" si="526"/>
        <v>0.14029539688292858</v>
      </c>
      <c r="BC510" s="855">
        <f t="shared" si="521"/>
        <v>0.13645574247276371</v>
      </c>
      <c r="BD510" s="855">
        <f t="shared" si="521"/>
        <v>0.17531727441177503</v>
      </c>
      <c r="BE510" s="855">
        <f t="shared" si="521"/>
        <v>0.17956070629670173</v>
      </c>
      <c r="BF510" s="855">
        <f t="shared" si="521"/>
        <v>6.2507441926519913E-2</v>
      </c>
    </row>
    <row r="511" spans="2:61" s="1" customFormat="1" ht="10.5">
      <c r="B511" s="882"/>
      <c r="D511" s="838"/>
      <c r="E511" s="838"/>
      <c r="F511" s="838"/>
      <c r="G511" s="838"/>
      <c r="H511" s="838"/>
      <c r="I511" s="838"/>
      <c r="J511" s="838"/>
      <c r="K511" s="838"/>
      <c r="L511" s="838"/>
      <c r="M511" s="838"/>
      <c r="N511" s="838"/>
      <c r="O511" s="838"/>
      <c r="P511" s="838"/>
      <c r="Q511" s="838"/>
      <c r="R511" s="838"/>
      <c r="S511" s="838"/>
      <c r="T511" s="838"/>
      <c r="U511" s="838"/>
      <c r="V511" s="838"/>
      <c r="W511" s="838"/>
      <c r="X511" s="838"/>
      <c r="Y511" s="838"/>
      <c r="Z511" s="838"/>
      <c r="AA511" s="838"/>
      <c r="AB511" s="838"/>
      <c r="AC511" s="838"/>
      <c r="AD511" s="838"/>
      <c r="AE511" s="838"/>
      <c r="AF511" s="838"/>
      <c r="AG511" s="838"/>
      <c r="AH511" s="838"/>
      <c r="AI511" s="838"/>
      <c r="AK511" s="936"/>
      <c r="AL511" s="936"/>
      <c r="AM511" s="936"/>
      <c r="AN511" s="936"/>
      <c r="AO511" s="936"/>
      <c r="AP511" s="936"/>
      <c r="AQ511" s="936"/>
      <c r="AR511" s="936"/>
      <c r="AS511" s="936"/>
      <c r="AT511" s="849"/>
      <c r="AU511" s="849"/>
      <c r="AV511" s="849"/>
      <c r="AW511" s="849"/>
      <c r="AX511" s="849"/>
      <c r="AY511" s="849"/>
      <c r="AZ511" s="849"/>
      <c r="BA511" s="849"/>
      <c r="BB511" s="849"/>
      <c r="BC511" s="849"/>
      <c r="BD511" s="849"/>
      <c r="BE511" s="849"/>
      <c r="BF511" s="849"/>
    </row>
    <row r="512" spans="2:61" ht="10.5">
      <c r="B512" s="910" t="s">
        <v>276</v>
      </c>
    </row>
    <row r="513" spans="2:58" hidden="1" outlineLevel="1">
      <c r="B513" s="878" t="s">
        <v>495</v>
      </c>
      <c r="D513" s="879">
        <v>4035</v>
      </c>
      <c r="E513" s="879">
        <v>6268</v>
      </c>
      <c r="F513" s="879">
        <v>3801</v>
      </c>
      <c r="G513" s="879">
        <v>3776</v>
      </c>
      <c r="H513" s="879">
        <v>3581</v>
      </c>
      <c r="I513" s="879">
        <v>5378</v>
      </c>
      <c r="J513" s="879">
        <v>3075</v>
      </c>
      <c r="K513" s="879">
        <v>3141</v>
      </c>
      <c r="L513" s="879">
        <v>2980</v>
      </c>
      <c r="M513" s="879">
        <v>5498</v>
      </c>
      <c r="N513" s="879">
        <v>3425</v>
      </c>
      <c r="O513" s="879">
        <v>3517</v>
      </c>
      <c r="P513" s="879">
        <v>3649</v>
      </c>
      <c r="Q513" s="879">
        <v>5885</v>
      </c>
      <c r="R513" s="879">
        <v>3441</v>
      </c>
      <c r="S513" s="879">
        <v>3298</v>
      </c>
      <c r="T513" s="879">
        <v>3305</v>
      </c>
      <c r="U513" s="879">
        <v>4966</v>
      </c>
      <c r="V513" s="879">
        <v>3376</v>
      </c>
      <c r="W513" s="879">
        <v>4370</v>
      </c>
      <c r="X513" s="879">
        <v>3597</v>
      </c>
      <c r="Y513" s="879">
        <v>6058</v>
      </c>
      <c r="Z513" s="879">
        <v>4277</v>
      </c>
      <c r="AA513" s="879">
        <v>4287</v>
      </c>
      <c r="AB513" s="879">
        <v>3792</v>
      </c>
      <c r="AC513" s="879">
        <v>6331</v>
      </c>
      <c r="AD513" s="879">
        <v>4584</v>
      </c>
      <c r="AE513" s="879">
        <v>4357</v>
      </c>
      <c r="AF513" s="879">
        <v>4302</v>
      </c>
      <c r="AG513" s="879"/>
      <c r="AH513" s="879"/>
      <c r="AI513" s="879"/>
      <c r="AK513" s="879">
        <v>3517</v>
      </c>
      <c r="AL513" s="879">
        <v>3517</v>
      </c>
      <c r="AM513" s="879"/>
      <c r="AN513" s="879"/>
      <c r="AO513" s="879"/>
      <c r="AP513" s="879"/>
      <c r="AQ513" s="879"/>
      <c r="AR513" s="879"/>
      <c r="AS513" s="879"/>
      <c r="AT513" s="29">
        <v>16681</v>
      </c>
      <c r="AU513" s="29">
        <v>21410</v>
      </c>
      <c r="AV513" s="29">
        <v>17880</v>
      </c>
      <c r="AW513" s="29">
        <v>15175</v>
      </c>
      <c r="AX513" s="29"/>
      <c r="AY513" s="880">
        <f>+SUM(D513:G513)</f>
        <v>17880</v>
      </c>
      <c r="AZ513" s="880">
        <f>+SUM(H513:K513)</f>
        <v>15175</v>
      </c>
      <c r="BA513" s="880">
        <f>+SUM(L513:O513)</f>
        <v>15420</v>
      </c>
      <c r="BB513" s="880">
        <v>16273</v>
      </c>
      <c r="BC513" s="880">
        <f>SUM(T513:W513)</f>
        <v>16017</v>
      </c>
      <c r="BD513" s="880">
        <f t="shared" ref="BD513:BD515" si="531">SUM(X513:AA513)</f>
        <v>18219</v>
      </c>
      <c r="BE513" s="880">
        <f t="shared" ref="BE513:BE514" si="532">SUM(AB513:AE513)</f>
        <v>19064</v>
      </c>
      <c r="BF513" s="880"/>
    </row>
    <row r="514" spans="2:58" ht="11.45" hidden="1" outlineLevel="1">
      <c r="B514" s="878" t="s">
        <v>496</v>
      </c>
      <c r="D514" s="905">
        <v>3172</v>
      </c>
      <c r="E514" s="905">
        <v>3604</v>
      </c>
      <c r="F514" s="905">
        <v>3921</v>
      </c>
      <c r="G514" s="905">
        <v>4203</v>
      </c>
      <c r="H514" s="905">
        <v>4263</v>
      </c>
      <c r="I514" s="905">
        <v>4523</v>
      </c>
      <c r="J514" s="905">
        <v>4985</v>
      </c>
      <c r="K514" s="905">
        <v>5315</v>
      </c>
      <c r="L514" s="905">
        <v>5298</v>
      </c>
      <c r="M514" s="905">
        <v>5566</v>
      </c>
      <c r="N514" s="905">
        <v>5844</v>
      </c>
      <c r="O514" s="905">
        <v>6225</v>
      </c>
      <c r="P514" s="905">
        <v>6256</v>
      </c>
      <c r="Q514" s="905">
        <v>6538</v>
      </c>
      <c r="R514" s="905">
        <v>6729</v>
      </c>
      <c r="S514" s="905">
        <v>7114</v>
      </c>
      <c r="T514" s="905">
        <v>7101</v>
      </c>
      <c r="U514" s="905">
        <v>7392</v>
      </c>
      <c r="V514" s="905">
        <v>7599</v>
      </c>
      <c r="W514" s="905">
        <v>7969</v>
      </c>
      <c r="X514" s="905">
        <v>7405</v>
      </c>
      <c r="Y514" s="905">
        <v>8136</v>
      </c>
      <c r="Z514" s="905">
        <v>8768</v>
      </c>
      <c r="AA514" s="905">
        <v>9704</v>
      </c>
      <c r="AB514" s="905">
        <v>9854</v>
      </c>
      <c r="AC514" s="905">
        <v>10629</v>
      </c>
      <c r="AD514" s="905">
        <v>11031</v>
      </c>
      <c r="AE514" s="905">
        <v>12072</v>
      </c>
      <c r="AF514" s="905">
        <v>11150</v>
      </c>
      <c r="AG514" s="905"/>
      <c r="AH514" s="905"/>
      <c r="AI514" s="905"/>
      <c r="AK514" s="905">
        <v>6225</v>
      </c>
      <c r="AL514" s="905">
        <v>6225</v>
      </c>
      <c r="AM514" s="905"/>
      <c r="AN514" s="905"/>
      <c r="AO514" s="905"/>
      <c r="AP514" s="905"/>
      <c r="AQ514" s="905"/>
      <c r="AR514" s="905"/>
      <c r="AS514" s="905"/>
      <c r="AT514" s="30">
        <v>10397</v>
      </c>
      <c r="AU514" s="30">
        <v>11628</v>
      </c>
      <c r="AV514" s="30">
        <v>14900</v>
      </c>
      <c r="AW514" s="30">
        <v>19086</v>
      </c>
      <c r="AX514" s="30"/>
      <c r="AY514" s="906">
        <f>+SUM(D514:G514)</f>
        <v>14900</v>
      </c>
      <c r="AZ514" s="906">
        <f>+SUM(H514:K514)</f>
        <v>19086</v>
      </c>
      <c r="BA514" s="906">
        <f>+SUM(L514:O514)</f>
        <v>22933</v>
      </c>
      <c r="BB514" s="906">
        <v>26637</v>
      </c>
      <c r="BC514" s="906">
        <f>SUM(T514:W514)</f>
        <v>30061</v>
      </c>
      <c r="BD514" s="906">
        <f t="shared" si="531"/>
        <v>34013</v>
      </c>
      <c r="BE514" s="906">
        <f t="shared" si="532"/>
        <v>43586</v>
      </c>
      <c r="BF514" s="906"/>
    </row>
    <row r="515" spans="2:58" hidden="1" outlineLevel="1">
      <c r="B515" s="916" t="s">
        <v>497</v>
      </c>
      <c r="D515" s="8">
        <f>SUM(D513:D514)</f>
        <v>7207</v>
      </c>
      <c r="E515" s="8">
        <f t="shared" ref="E515:AF515" si="533">SUM(E513:E514)</f>
        <v>9872</v>
      </c>
      <c r="F515" s="8">
        <f t="shared" si="533"/>
        <v>7722</v>
      </c>
      <c r="G515" s="8">
        <f t="shared" si="533"/>
        <v>7979</v>
      </c>
      <c r="H515" s="8">
        <f t="shared" si="533"/>
        <v>7844</v>
      </c>
      <c r="I515" s="8">
        <f t="shared" si="533"/>
        <v>9901</v>
      </c>
      <c r="J515" s="8">
        <f t="shared" si="533"/>
        <v>8060</v>
      </c>
      <c r="K515" s="8">
        <f t="shared" si="533"/>
        <v>8456</v>
      </c>
      <c r="L515" s="8">
        <f t="shared" si="533"/>
        <v>8278</v>
      </c>
      <c r="M515" s="8">
        <f t="shared" si="533"/>
        <v>11064</v>
      </c>
      <c r="N515" s="8">
        <f t="shared" si="533"/>
        <v>9269</v>
      </c>
      <c r="O515" s="8">
        <f t="shared" si="533"/>
        <v>9742</v>
      </c>
      <c r="P515" s="8">
        <f t="shared" si="533"/>
        <v>9905</v>
      </c>
      <c r="Q515" s="8">
        <f t="shared" si="533"/>
        <v>12423</v>
      </c>
      <c r="R515" s="8">
        <f t="shared" si="533"/>
        <v>10170</v>
      </c>
      <c r="S515" s="8">
        <f t="shared" si="533"/>
        <v>10412</v>
      </c>
      <c r="T515" s="8">
        <f t="shared" si="533"/>
        <v>10406</v>
      </c>
      <c r="U515" s="8">
        <f t="shared" si="533"/>
        <v>12358</v>
      </c>
      <c r="V515" s="8">
        <f t="shared" si="533"/>
        <v>10975</v>
      </c>
      <c r="W515" s="8">
        <f t="shared" si="533"/>
        <v>12339</v>
      </c>
      <c r="X515" s="8">
        <f t="shared" si="533"/>
        <v>11002</v>
      </c>
      <c r="Y515" s="8">
        <f t="shared" si="533"/>
        <v>14194</v>
      </c>
      <c r="Z515" s="8">
        <f t="shared" si="533"/>
        <v>13045</v>
      </c>
      <c r="AA515" s="8">
        <f t="shared" si="533"/>
        <v>13991</v>
      </c>
      <c r="AB515" s="8">
        <f t="shared" si="533"/>
        <v>13646</v>
      </c>
      <c r="AC515" s="8">
        <f t="shared" si="533"/>
        <v>16960</v>
      </c>
      <c r="AD515" s="8">
        <f t="shared" si="533"/>
        <v>15615</v>
      </c>
      <c r="AE515" s="8">
        <f t="shared" si="533"/>
        <v>16429</v>
      </c>
      <c r="AF515" s="8">
        <f t="shared" si="533"/>
        <v>15452</v>
      </c>
      <c r="AG515" s="8"/>
      <c r="AH515" s="8"/>
      <c r="AI515" s="8"/>
      <c r="AK515" s="29">
        <v>6031</v>
      </c>
      <c r="AL515" s="29">
        <v>7650</v>
      </c>
      <c r="AM515" s="29">
        <v>10693</v>
      </c>
      <c r="AN515" s="29">
        <v>11598</v>
      </c>
      <c r="AO515" s="29">
        <v>12155</v>
      </c>
      <c r="AP515" s="29">
        <v>12395</v>
      </c>
      <c r="AQ515" s="29">
        <v>15577</v>
      </c>
      <c r="AR515" s="29">
        <v>17530</v>
      </c>
      <c r="AS515" s="29">
        <v>20385</v>
      </c>
      <c r="AT515" s="11">
        <f>SUM(AT513:AT514)</f>
        <v>27078</v>
      </c>
      <c r="AU515" s="11">
        <f>SUM(AU513:AU514)</f>
        <v>33038</v>
      </c>
      <c r="AV515" s="11">
        <f t="shared" ref="AV515:AW515" si="534">SUM(AV513:AV514)</f>
        <v>32780</v>
      </c>
      <c r="AW515" s="11">
        <f t="shared" si="534"/>
        <v>34261</v>
      </c>
      <c r="AX515" s="11"/>
      <c r="AY515" s="11">
        <f>+SUM(D515:G515)</f>
        <v>32780</v>
      </c>
      <c r="AZ515" s="11">
        <f>+SUM(H515:K515)</f>
        <v>34261</v>
      </c>
      <c r="BA515" s="11">
        <f>+SUM(L515:O515)</f>
        <v>38353</v>
      </c>
      <c r="BB515" s="11">
        <f>+SUM(BB513:BB514)</f>
        <v>42910</v>
      </c>
      <c r="BC515" s="11">
        <f>+SUM(BC513:BC514)</f>
        <v>46078</v>
      </c>
      <c r="BD515" s="11">
        <f t="shared" si="531"/>
        <v>52232</v>
      </c>
      <c r="BE515" s="11">
        <f>SUM(AB515:AE515)</f>
        <v>62650</v>
      </c>
      <c r="BF515" s="11"/>
    </row>
    <row r="516" spans="2:58" hidden="1" outlineLevel="1">
      <c r="B516" s="916"/>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K516" s="29"/>
      <c r="AL516" s="29"/>
      <c r="AM516" s="29"/>
      <c r="AN516" s="29"/>
      <c r="AO516" s="29"/>
      <c r="AP516" s="29"/>
      <c r="AQ516" s="29"/>
      <c r="AR516" s="29"/>
      <c r="AS516" s="29"/>
      <c r="AT516" s="11"/>
      <c r="AU516" s="11"/>
      <c r="AV516" s="11"/>
      <c r="AW516" s="11"/>
      <c r="AX516" s="11"/>
      <c r="AY516" s="11"/>
      <c r="AZ516" s="11"/>
      <c r="BA516" s="11"/>
      <c r="BB516" s="11"/>
      <c r="BC516" s="11"/>
      <c r="BD516" s="11"/>
      <c r="BE516" s="11"/>
      <c r="BF516" s="11"/>
    </row>
    <row r="517" spans="2:58" collapsed="1">
      <c r="B517" s="878" t="s">
        <v>495</v>
      </c>
      <c r="D517" s="8">
        <f t="shared" ref="D517:S519" si="535">+D503-D513</f>
        <v>11715</v>
      </c>
      <c r="E517" s="8">
        <f t="shared" si="535"/>
        <v>13163</v>
      </c>
      <c r="F517" s="8">
        <f t="shared" si="535"/>
        <v>11506</v>
      </c>
      <c r="G517" s="8">
        <f t="shared" si="535"/>
        <v>13072</v>
      </c>
      <c r="H517" s="8">
        <f>+H503-H513</f>
        <v>11387</v>
      </c>
      <c r="I517" s="8">
        <f t="shared" ref="I517:BE519" si="536">+I503-I513</f>
        <v>12895</v>
      </c>
      <c r="J517" s="8">
        <f t="shared" si="536"/>
        <v>11438</v>
      </c>
      <c r="K517" s="8">
        <f t="shared" si="536"/>
        <v>12916</v>
      </c>
      <c r="L517" s="8">
        <f t="shared" si="536"/>
        <v>11318</v>
      </c>
      <c r="M517" s="8">
        <f t="shared" si="536"/>
        <v>12428</v>
      </c>
      <c r="N517" s="8">
        <f t="shared" si="536"/>
        <v>11689</v>
      </c>
      <c r="O517" s="8">
        <f t="shared" si="536"/>
        <v>13642</v>
      </c>
      <c r="P517" s="8">
        <f t="shared" si="536"/>
        <v>13650</v>
      </c>
      <c r="Q517" s="8">
        <f t="shared" si="536"/>
        <v>10334</v>
      </c>
      <c r="R517" s="8">
        <f t="shared" si="536"/>
        <v>12007</v>
      </c>
      <c r="S517" s="8">
        <f t="shared" si="536"/>
        <v>13805</v>
      </c>
      <c r="T517" s="8">
        <f t="shared" si="536"/>
        <v>12463</v>
      </c>
      <c r="U517" s="8">
        <f t="shared" si="536"/>
        <v>13289</v>
      </c>
      <c r="V517" s="8">
        <f t="shared" si="536"/>
        <v>12495</v>
      </c>
      <c r="W517" s="8">
        <f t="shared" si="536"/>
        <v>13777</v>
      </c>
      <c r="X517" s="8">
        <f t="shared" si="536"/>
        <v>12206</v>
      </c>
      <c r="Y517" s="8">
        <f t="shared" si="536"/>
        <v>13402</v>
      </c>
      <c r="Z517" s="8">
        <f t="shared" si="536"/>
        <v>12596</v>
      </c>
      <c r="AA517" s="8">
        <f t="shared" si="536"/>
        <v>14651</v>
      </c>
      <c r="AB517" s="8">
        <f t="shared" si="536"/>
        <v>12839</v>
      </c>
      <c r="AC517" s="8">
        <f t="shared" si="536"/>
        <v>14448</v>
      </c>
      <c r="AD517" s="8">
        <f t="shared" si="536"/>
        <v>12782</v>
      </c>
      <c r="AE517" s="8">
        <f t="shared" si="536"/>
        <v>13599</v>
      </c>
      <c r="AF517" s="8">
        <f t="shared" si="536"/>
        <v>11439</v>
      </c>
      <c r="AG517" s="8"/>
      <c r="AH517" s="8"/>
      <c r="AI517" s="8"/>
      <c r="AK517" s="29"/>
      <c r="AL517" s="29"/>
      <c r="AM517" s="29"/>
      <c r="AN517" s="29"/>
      <c r="AO517" s="29"/>
      <c r="AP517" s="29"/>
      <c r="AQ517" s="29"/>
      <c r="AR517" s="29"/>
      <c r="AS517" s="29"/>
      <c r="AT517" s="11">
        <f t="shared" si="536"/>
        <v>56267</v>
      </c>
      <c r="AU517" s="11">
        <f t="shared" si="536"/>
        <v>54546</v>
      </c>
      <c r="AV517" s="11">
        <f t="shared" si="536"/>
        <v>43622</v>
      </c>
      <c r="AW517" s="11">
        <f t="shared" si="536"/>
        <v>42015</v>
      </c>
      <c r="AX517" s="11"/>
      <c r="AY517" s="11">
        <f t="shared" si="536"/>
        <v>49456</v>
      </c>
      <c r="AZ517" s="11">
        <f t="shared" si="536"/>
        <v>48636</v>
      </c>
      <c r="BA517" s="11">
        <f t="shared" si="536"/>
        <v>49077</v>
      </c>
      <c r="BB517" s="11">
        <f t="shared" si="536"/>
        <v>49796</v>
      </c>
      <c r="BC517" s="11">
        <f t="shared" si="536"/>
        <v>52024</v>
      </c>
      <c r="BD517" s="11">
        <f t="shared" si="536"/>
        <v>52855</v>
      </c>
      <c r="BE517" s="11">
        <f t="shared" si="536"/>
        <v>53668</v>
      </c>
      <c r="BF517" s="11"/>
    </row>
    <row r="518" spans="2:58" s="852" customFormat="1">
      <c r="B518" s="878" t="s">
        <v>496</v>
      </c>
      <c r="D518" s="853">
        <f t="shared" si="535"/>
        <v>1988</v>
      </c>
      <c r="E518" s="853">
        <f t="shared" si="535"/>
        <v>2218</v>
      </c>
      <c r="F518" s="853">
        <f t="shared" si="535"/>
        <v>2289</v>
      </c>
      <c r="G518" s="853">
        <f t="shared" si="535"/>
        <v>2423</v>
      </c>
      <c r="H518" s="853">
        <f t="shared" si="535"/>
        <v>2697</v>
      </c>
      <c r="I518" s="853">
        <f t="shared" si="535"/>
        <v>3030</v>
      </c>
      <c r="J518" s="853">
        <f t="shared" si="535"/>
        <v>3714</v>
      </c>
      <c r="K518" s="853">
        <f t="shared" si="535"/>
        <v>4233</v>
      </c>
      <c r="L518" s="853">
        <f t="shared" si="535"/>
        <v>4942</v>
      </c>
      <c r="M518" s="853">
        <f t="shared" si="535"/>
        <v>5426</v>
      </c>
      <c r="N518" s="853">
        <f t="shared" si="535"/>
        <v>5861</v>
      </c>
      <c r="O518" s="853">
        <f t="shared" si="535"/>
        <v>6701</v>
      </c>
      <c r="P518" s="853">
        <f t="shared" si="535"/>
        <v>5529</v>
      </c>
      <c r="Q518" s="853">
        <f t="shared" si="535"/>
        <v>9714</v>
      </c>
      <c r="R518" s="853">
        <f t="shared" si="535"/>
        <v>8394</v>
      </c>
      <c r="S518" s="853">
        <f t="shared" si="535"/>
        <v>9500</v>
      </c>
      <c r="T518" s="853">
        <f t="shared" si="536"/>
        <v>10186</v>
      </c>
      <c r="U518" s="853">
        <f t="shared" si="536"/>
        <v>11259</v>
      </c>
      <c r="V518" s="853">
        <f t="shared" si="536"/>
        <v>11551</v>
      </c>
      <c r="W518" s="853">
        <f t="shared" si="536"/>
        <v>11917</v>
      </c>
      <c r="X518" s="853">
        <f t="shared" si="536"/>
        <v>13946</v>
      </c>
      <c r="Y518" s="853">
        <f t="shared" si="536"/>
        <v>15480</v>
      </c>
      <c r="Z518" s="853">
        <f t="shared" si="536"/>
        <v>16065</v>
      </c>
      <c r="AA518" s="853">
        <f t="shared" si="536"/>
        <v>17510</v>
      </c>
      <c r="AB518" s="853">
        <f t="shared" si="536"/>
        <v>18832</v>
      </c>
      <c r="AC518" s="853">
        <f t="shared" si="536"/>
        <v>20320</v>
      </c>
      <c r="AD518" s="853">
        <f t="shared" si="536"/>
        <v>20963</v>
      </c>
      <c r="AE518" s="853">
        <f t="shared" si="536"/>
        <v>21837</v>
      </c>
      <c r="AF518" s="853">
        <f t="shared" si="536"/>
        <v>23231</v>
      </c>
      <c r="AG518" s="853"/>
      <c r="AH518" s="853"/>
      <c r="AI518" s="853"/>
      <c r="AK518" s="939"/>
      <c r="AL518" s="939"/>
      <c r="AM518" s="939"/>
      <c r="AN518" s="939"/>
      <c r="AO518" s="939"/>
      <c r="AP518" s="939"/>
      <c r="AQ518" s="939"/>
      <c r="AR518" s="939"/>
      <c r="AS518" s="939"/>
      <c r="AT518" s="940">
        <f t="shared" si="536"/>
        <v>3488</v>
      </c>
      <c r="AU518" s="940">
        <f t="shared" si="536"/>
        <v>5996</v>
      </c>
      <c r="AV518" s="940">
        <f t="shared" si="536"/>
        <v>8918</v>
      </c>
      <c r="AW518" s="940">
        <f t="shared" si="536"/>
        <v>13674</v>
      </c>
      <c r="AX518" s="940"/>
      <c r="AY518" s="940">
        <f t="shared" si="536"/>
        <v>8918</v>
      </c>
      <c r="AZ518" s="940">
        <f t="shared" si="536"/>
        <v>13674</v>
      </c>
      <c r="BA518" s="940">
        <f t="shared" si="536"/>
        <v>22930</v>
      </c>
      <c r="BB518" s="940">
        <f t="shared" si="536"/>
        <v>33137</v>
      </c>
      <c r="BC518" s="940">
        <f t="shared" si="536"/>
        <v>44913</v>
      </c>
      <c r="BD518" s="940">
        <f t="shared" si="536"/>
        <v>63001</v>
      </c>
      <c r="BE518" s="940">
        <f t="shared" si="536"/>
        <v>81952</v>
      </c>
      <c r="BF518" s="940"/>
    </row>
    <row r="519" spans="2:58" s="1" customFormat="1" ht="10.5">
      <c r="B519" s="882" t="s">
        <v>498</v>
      </c>
      <c r="D519" s="838">
        <f t="shared" si="535"/>
        <v>13703</v>
      </c>
      <c r="E519" s="838">
        <f t="shared" si="535"/>
        <v>15381</v>
      </c>
      <c r="F519" s="838">
        <f t="shared" si="535"/>
        <v>13795</v>
      </c>
      <c r="G519" s="838">
        <f t="shared" si="535"/>
        <v>15495</v>
      </c>
      <c r="H519" s="838">
        <f t="shared" si="535"/>
        <v>14084</v>
      </c>
      <c r="I519" s="838">
        <f t="shared" si="535"/>
        <v>15925</v>
      </c>
      <c r="J519" s="838">
        <f t="shared" si="535"/>
        <v>15152</v>
      </c>
      <c r="K519" s="838">
        <f t="shared" si="535"/>
        <v>17149</v>
      </c>
      <c r="L519" s="838">
        <f t="shared" si="535"/>
        <v>16260</v>
      </c>
      <c r="M519" s="838">
        <f t="shared" si="535"/>
        <v>17854</v>
      </c>
      <c r="N519" s="838">
        <f t="shared" si="535"/>
        <v>17550</v>
      </c>
      <c r="O519" s="838">
        <f t="shared" si="535"/>
        <v>20343</v>
      </c>
      <c r="P519" s="838">
        <f t="shared" si="535"/>
        <v>19179</v>
      </c>
      <c r="Q519" s="838">
        <f t="shared" si="535"/>
        <v>20048</v>
      </c>
      <c r="R519" s="838">
        <f t="shared" si="535"/>
        <v>20401</v>
      </c>
      <c r="S519" s="838">
        <f t="shared" si="535"/>
        <v>23305</v>
      </c>
      <c r="T519" s="838">
        <f t="shared" si="536"/>
        <v>22649</v>
      </c>
      <c r="U519" s="838">
        <f t="shared" si="536"/>
        <v>24548</v>
      </c>
      <c r="V519" s="838">
        <f t="shared" si="536"/>
        <v>24046</v>
      </c>
      <c r="W519" s="838">
        <f t="shared" si="536"/>
        <v>25694</v>
      </c>
      <c r="X519" s="838">
        <f t="shared" si="536"/>
        <v>26152</v>
      </c>
      <c r="Y519" s="838">
        <f t="shared" si="536"/>
        <v>28882</v>
      </c>
      <c r="Z519" s="838">
        <f t="shared" si="536"/>
        <v>28661</v>
      </c>
      <c r="AA519" s="838">
        <f t="shared" si="536"/>
        <v>32161</v>
      </c>
      <c r="AB519" s="838">
        <f t="shared" si="536"/>
        <v>31671</v>
      </c>
      <c r="AC519" s="838">
        <f t="shared" si="536"/>
        <v>34768</v>
      </c>
      <c r="AD519" s="838">
        <f t="shared" si="536"/>
        <v>33745</v>
      </c>
      <c r="AE519" s="838">
        <f t="shared" si="536"/>
        <v>35436</v>
      </c>
      <c r="AF519" s="838">
        <f t="shared" si="536"/>
        <v>34670</v>
      </c>
      <c r="AG519" s="838"/>
      <c r="AH519" s="838"/>
      <c r="AI519" s="838"/>
      <c r="AK519" s="838">
        <f t="shared" si="536"/>
        <v>33757</v>
      </c>
      <c r="AL519" s="838">
        <f t="shared" si="536"/>
        <v>36632</v>
      </c>
      <c r="AM519" s="838">
        <f t="shared" si="536"/>
        <v>40429</v>
      </c>
      <c r="AN519" s="838">
        <f t="shared" si="536"/>
        <v>48822</v>
      </c>
      <c r="AO519" s="838">
        <f t="shared" si="536"/>
        <v>46282</v>
      </c>
      <c r="AP519" s="838">
        <f t="shared" si="536"/>
        <v>50089</v>
      </c>
      <c r="AQ519" s="838">
        <f t="shared" si="536"/>
        <v>54366</v>
      </c>
      <c r="AR519" s="838">
        <f t="shared" si="536"/>
        <v>56193</v>
      </c>
      <c r="AS519" s="838">
        <f t="shared" si="536"/>
        <v>57464</v>
      </c>
      <c r="AT519" s="838">
        <f t="shared" si="536"/>
        <v>59755</v>
      </c>
      <c r="AU519" s="838">
        <f t="shared" si="536"/>
        <v>60542</v>
      </c>
      <c r="AV519" s="838">
        <f t="shared" si="536"/>
        <v>52540</v>
      </c>
      <c r="AW519" s="838">
        <f t="shared" si="536"/>
        <v>55689</v>
      </c>
      <c r="AX519" s="838"/>
      <c r="AY519" s="849">
        <f>+SUM(D519:G519)</f>
        <v>58374</v>
      </c>
      <c r="AZ519" s="849">
        <f>+SUM(H519:K519)</f>
        <v>62310</v>
      </c>
      <c r="BA519" s="849">
        <f>+SUM(L519:O519)</f>
        <v>72007</v>
      </c>
      <c r="BB519" s="849">
        <f>+BB505-BB515</f>
        <v>82933</v>
      </c>
      <c r="BC519" s="849">
        <f t="shared" si="536"/>
        <v>96937</v>
      </c>
      <c r="BD519" s="849">
        <f t="shared" si="536"/>
        <v>115856</v>
      </c>
      <c r="BE519" s="849">
        <f t="shared" si="536"/>
        <v>135620</v>
      </c>
      <c r="BF519" s="849"/>
    </row>
    <row r="520" spans="2:58" s="1" customFormat="1" ht="10.5">
      <c r="B520" s="941"/>
      <c r="D520" s="838"/>
      <c r="E520" s="838"/>
      <c r="F520" s="838"/>
      <c r="G520" s="838"/>
      <c r="H520" s="838"/>
      <c r="I520" s="838"/>
      <c r="J520" s="838"/>
      <c r="K520" s="838"/>
      <c r="L520" s="838"/>
      <c r="M520" s="838"/>
      <c r="N520" s="838"/>
      <c r="O520" s="838"/>
      <c r="P520" s="838"/>
      <c r="Q520" s="838"/>
      <c r="R520" s="838"/>
      <c r="S520" s="838"/>
      <c r="T520" s="838"/>
      <c r="U520" s="838"/>
      <c r="V520" s="838"/>
      <c r="W520" s="228"/>
      <c r="X520" s="228"/>
      <c r="Y520" s="228"/>
      <c r="Z520" s="838"/>
      <c r="AA520" s="838"/>
      <c r="AB520" s="838"/>
      <c r="AC520" s="838"/>
      <c r="AD520" s="838"/>
      <c r="AE520" s="838"/>
      <c r="AF520" s="838"/>
      <c r="AG520" s="838"/>
      <c r="AH520" s="838"/>
      <c r="AI520" s="838"/>
      <c r="AK520" s="838"/>
      <c r="AL520" s="838"/>
      <c r="AM520" s="838"/>
      <c r="AN520" s="838"/>
      <c r="AO520" s="838"/>
      <c r="AP520" s="838"/>
      <c r="AQ520" s="838"/>
      <c r="AR520" s="838"/>
      <c r="AS520" s="838"/>
      <c r="AT520" s="838"/>
      <c r="AU520" s="838"/>
      <c r="AV520" s="838"/>
      <c r="AW520" s="838"/>
      <c r="AX520" s="838"/>
      <c r="AY520" s="849"/>
      <c r="AZ520" s="849"/>
      <c r="BA520" s="849"/>
      <c r="BB520" s="849"/>
      <c r="BC520" s="849"/>
      <c r="BD520" s="849"/>
      <c r="BE520" s="849"/>
      <c r="BF520" s="849"/>
    </row>
    <row r="521" spans="2:58" s="1" customFormat="1" ht="10.5">
      <c r="B521" s="847" t="s">
        <v>115</v>
      </c>
      <c r="D521" s="838"/>
      <c r="E521" s="838"/>
      <c r="F521" s="838"/>
      <c r="G521" s="838"/>
      <c r="H521" s="838"/>
      <c r="I521" s="838"/>
      <c r="J521" s="838"/>
      <c r="K521" s="838"/>
      <c r="L521" s="838"/>
      <c r="M521" s="838"/>
      <c r="N521" s="838"/>
      <c r="O521" s="838"/>
      <c r="P521" s="838"/>
      <c r="Q521" s="838"/>
      <c r="R521" s="838"/>
      <c r="S521" s="838"/>
      <c r="T521" s="838"/>
      <c r="U521" s="838"/>
      <c r="V521" s="838"/>
      <c r="W521" s="838"/>
      <c r="X521" s="838"/>
      <c r="Y521" s="838"/>
      <c r="Z521" s="838"/>
      <c r="AA521" s="838"/>
      <c r="AB521" s="838"/>
      <c r="AC521" s="838"/>
      <c r="AD521" s="838"/>
      <c r="AE521" s="838"/>
      <c r="AF521" s="838"/>
      <c r="AG521" s="838"/>
      <c r="AH521" s="838"/>
      <c r="AI521" s="838"/>
      <c r="AK521" s="838"/>
      <c r="AL521" s="838"/>
      <c r="AM521" s="838"/>
      <c r="AN521" s="838"/>
      <c r="AO521" s="838"/>
      <c r="AP521" s="838"/>
      <c r="AQ521" s="838"/>
      <c r="AR521" s="838"/>
      <c r="AS521" s="838"/>
      <c r="AT521" s="838"/>
      <c r="AU521" s="838"/>
      <c r="AV521" s="838"/>
      <c r="AW521" s="838"/>
      <c r="AX521" s="838"/>
      <c r="AY521" s="849"/>
      <c r="AZ521" s="849"/>
      <c r="BA521" s="849"/>
      <c r="BB521" s="849"/>
      <c r="BC521" s="849"/>
      <c r="BD521" s="849"/>
      <c r="BE521" s="849"/>
      <c r="BF521" s="849"/>
    </row>
    <row r="522" spans="2:58" s="3" customFormat="1">
      <c r="B522" s="884" t="str">
        <f>+B517</f>
        <v>Product</v>
      </c>
      <c r="D522" s="92"/>
      <c r="E522" s="92"/>
      <c r="F522" s="92"/>
      <c r="G522" s="92"/>
      <c r="H522" s="228">
        <f t="shared" ref="H522:AF524" si="537">+H517/H503</f>
        <v>0.76075628006413687</v>
      </c>
      <c r="I522" s="228">
        <f t="shared" si="537"/>
        <v>0.70568598478629674</v>
      </c>
      <c r="J522" s="228">
        <f t="shared" si="537"/>
        <v>0.78812099497002686</v>
      </c>
      <c r="K522" s="228">
        <f t="shared" si="537"/>
        <v>0.8043843806439559</v>
      </c>
      <c r="L522" s="228">
        <f t="shared" si="537"/>
        <v>0.79157924185200723</v>
      </c>
      <c r="M522" s="228">
        <f t="shared" si="537"/>
        <v>0.69329465580720739</v>
      </c>
      <c r="N522" s="228">
        <f t="shared" si="537"/>
        <v>0.77338891094349604</v>
      </c>
      <c r="O522" s="228">
        <f t="shared" si="537"/>
        <v>0.79503467568040098</v>
      </c>
      <c r="P522" s="228">
        <f t="shared" si="537"/>
        <v>0.78906295161570028</v>
      </c>
      <c r="Q522" s="228">
        <f t="shared" si="537"/>
        <v>0.63715395523768414</v>
      </c>
      <c r="R522" s="228">
        <f t="shared" si="537"/>
        <v>0.77725271879854996</v>
      </c>
      <c r="S522" s="228">
        <f t="shared" si="537"/>
        <v>0.80716833304098701</v>
      </c>
      <c r="T522" s="228">
        <f t="shared" si="537"/>
        <v>0.79039827498731607</v>
      </c>
      <c r="U522" s="228">
        <f t="shared" si="537"/>
        <v>0.72796494111202414</v>
      </c>
      <c r="V522" s="228">
        <f t="shared" si="537"/>
        <v>0.78728498519311951</v>
      </c>
      <c r="W522" s="228">
        <f t="shared" si="537"/>
        <v>0.75918884664131814</v>
      </c>
      <c r="X522" s="228">
        <f t="shared" si="537"/>
        <v>0.77238499019173579</v>
      </c>
      <c r="Y522" s="228">
        <f t="shared" si="537"/>
        <v>0.68869475847893113</v>
      </c>
      <c r="Z522" s="228">
        <f t="shared" si="537"/>
        <v>0.74651810584958223</v>
      </c>
      <c r="AA522" s="228">
        <f t="shared" si="537"/>
        <v>0.7736297391488014</v>
      </c>
      <c r="AB522" s="228">
        <f t="shared" si="537"/>
        <v>0.77199206301485179</v>
      </c>
      <c r="AC522" s="228">
        <f t="shared" si="537"/>
        <v>0.69531738774724483</v>
      </c>
      <c r="AD522" s="228">
        <f t="shared" si="537"/>
        <v>0.73603593228146957</v>
      </c>
      <c r="AE522" s="228">
        <f t="shared" si="537"/>
        <v>0.75735130318556476</v>
      </c>
      <c r="AF522" s="228">
        <f t="shared" si="537"/>
        <v>0.72670097198399086</v>
      </c>
      <c r="AG522" s="228"/>
      <c r="AH522" s="228"/>
      <c r="AI522" s="228"/>
      <c r="AJ522" s="228"/>
      <c r="AK522" s="228"/>
      <c r="AL522" s="228"/>
      <c r="AM522" s="228"/>
      <c r="AN522" s="228"/>
      <c r="AO522" s="228"/>
      <c r="AP522" s="228"/>
      <c r="AQ522" s="228"/>
      <c r="AR522" s="228"/>
      <c r="AS522" s="228"/>
      <c r="AT522" s="228">
        <f t="shared" ref="AT522:AW523" si="538">+AT517/AT503</f>
        <v>0.77133026265284865</v>
      </c>
      <c r="AU522" s="228">
        <f t="shared" si="538"/>
        <v>0.71812628363789566</v>
      </c>
      <c r="AV522" s="228">
        <f t="shared" si="538"/>
        <v>0.70927774706513613</v>
      </c>
      <c r="AW522" s="228">
        <f t="shared" si="538"/>
        <v>0.73465640846301805</v>
      </c>
      <c r="AX522" s="228"/>
      <c r="AY522" s="228">
        <f t="shared" ref="AY522:BE524" si="539">+AY517/AY503</f>
        <v>0.73446596174408929</v>
      </c>
      <c r="AZ522" s="228">
        <f t="shared" si="539"/>
        <v>0.76218833743398473</v>
      </c>
      <c r="BA522" s="228">
        <f t="shared" si="539"/>
        <v>0.76091911251686128</v>
      </c>
      <c r="BB522" s="228">
        <f t="shared" si="539"/>
        <v>0.75369689264254036</v>
      </c>
      <c r="BC522" s="228">
        <f t="shared" si="539"/>
        <v>0.76459781602269217</v>
      </c>
      <c r="BD522" s="228">
        <f t="shared" si="539"/>
        <v>0.74366153586402906</v>
      </c>
      <c r="BE522" s="228">
        <f t="shared" si="539"/>
        <v>0.73788703734257277</v>
      </c>
      <c r="BF522" s="94"/>
    </row>
    <row r="523" spans="2:58" s="942" customFormat="1" ht="11.45">
      <c r="B523" s="884" t="str">
        <f t="shared" ref="B523:B524" si="540">+B518</f>
        <v>Service and other</v>
      </c>
      <c r="D523" s="846"/>
      <c r="E523" s="846"/>
      <c r="F523" s="846"/>
      <c r="G523" s="846"/>
      <c r="H523" s="840">
        <f t="shared" si="537"/>
        <v>0.38750000000000001</v>
      </c>
      <c r="I523" s="840">
        <f t="shared" si="537"/>
        <v>0.40116509996028066</v>
      </c>
      <c r="J523" s="840">
        <f t="shared" si="537"/>
        <v>0.42694562593401542</v>
      </c>
      <c r="K523" s="840">
        <f t="shared" si="537"/>
        <v>0.44333891914537077</v>
      </c>
      <c r="L523" s="840">
        <f t="shared" si="537"/>
        <v>0.48261718749999999</v>
      </c>
      <c r="M523" s="840">
        <f t="shared" si="537"/>
        <v>0.49363173216885009</v>
      </c>
      <c r="N523" s="840">
        <f t="shared" si="537"/>
        <v>0.50072618539085856</v>
      </c>
      <c r="O523" s="840">
        <f t="shared" si="537"/>
        <v>0.51841250193408639</v>
      </c>
      <c r="P523" s="840">
        <f t="shared" si="537"/>
        <v>0.46915570640644888</v>
      </c>
      <c r="Q523" s="840">
        <f t="shared" si="537"/>
        <v>0.59771105094757571</v>
      </c>
      <c r="R523" s="840">
        <f t="shared" si="537"/>
        <v>0.55504860146796275</v>
      </c>
      <c r="S523" s="840">
        <f t="shared" si="537"/>
        <v>0.57180690983507887</v>
      </c>
      <c r="T523" s="840">
        <f t="shared" si="537"/>
        <v>0.58922890032972752</v>
      </c>
      <c r="U523" s="840">
        <f t="shared" si="537"/>
        <v>0.60366736368023166</v>
      </c>
      <c r="V523" s="840">
        <f t="shared" si="537"/>
        <v>0.60318537859007837</v>
      </c>
      <c r="W523" s="840">
        <f t="shared" si="537"/>
        <v>0.59926581514633415</v>
      </c>
      <c r="X523" s="840">
        <f t="shared" si="537"/>
        <v>0.65317783710364852</v>
      </c>
      <c r="Y523" s="840">
        <f t="shared" si="537"/>
        <v>0.65548780487804881</v>
      </c>
      <c r="Z523" s="840">
        <f t="shared" si="537"/>
        <v>0.64692143518704948</v>
      </c>
      <c r="AA523" s="840">
        <f t="shared" si="537"/>
        <v>0.64341882854413168</v>
      </c>
      <c r="AB523" s="840">
        <f t="shared" si="537"/>
        <v>0.65648748518441047</v>
      </c>
      <c r="AC523" s="840">
        <f t="shared" si="537"/>
        <v>0.65656402468577335</v>
      </c>
      <c r="AD523" s="840">
        <f t="shared" si="537"/>
        <v>0.65521660311308372</v>
      </c>
      <c r="AE523" s="840">
        <f t="shared" si="537"/>
        <v>0.64398832168450859</v>
      </c>
      <c r="AF523" s="840">
        <f t="shared" si="537"/>
        <v>0.67569296995433525</v>
      </c>
      <c r="AG523" s="840"/>
      <c r="AH523" s="840"/>
      <c r="AI523" s="840"/>
      <c r="AJ523" s="840"/>
      <c r="AK523" s="840"/>
      <c r="AL523" s="840"/>
      <c r="AM523" s="840"/>
      <c r="AN523" s="840"/>
      <c r="AO523" s="840"/>
      <c r="AP523" s="840"/>
      <c r="AQ523" s="840"/>
      <c r="AR523" s="840"/>
      <c r="AS523" s="840"/>
      <c r="AT523" s="840">
        <f t="shared" si="538"/>
        <v>0.2512063377745769</v>
      </c>
      <c r="AU523" s="840">
        <f t="shared" si="538"/>
        <v>0.34021788470267816</v>
      </c>
      <c r="AV523" s="840">
        <f t="shared" si="538"/>
        <v>0.37442270551683599</v>
      </c>
      <c r="AW523" s="840">
        <f t="shared" si="538"/>
        <v>0.41739926739926742</v>
      </c>
      <c r="AX523" s="840"/>
      <c r="AY523" s="840">
        <f t="shared" si="539"/>
        <v>0.37442270551683599</v>
      </c>
      <c r="AZ523" s="840">
        <f t="shared" si="539"/>
        <v>0.41739926739926742</v>
      </c>
      <c r="BA523" s="840">
        <f t="shared" si="539"/>
        <v>0.4999672938970412</v>
      </c>
      <c r="BB523" s="840">
        <f t="shared" si="539"/>
        <v>0.55437146585471941</v>
      </c>
      <c r="BC523" s="840">
        <f t="shared" si="539"/>
        <v>0.59904766985888447</v>
      </c>
      <c r="BD523" s="840">
        <f t="shared" si="539"/>
        <v>0.64940111736450412</v>
      </c>
      <c r="BE523" s="840">
        <f t="shared" si="539"/>
        <v>0.65280632159186858</v>
      </c>
      <c r="BF523" s="943"/>
    </row>
    <row r="524" spans="2:58" s="7" customFormat="1">
      <c r="B524" s="841" t="str">
        <f t="shared" si="540"/>
        <v>Total gross profit</v>
      </c>
      <c r="D524" s="842">
        <f t="shared" ref="D524:V524" si="541">+D519/D505</f>
        <v>0.65533237685318024</v>
      </c>
      <c r="E524" s="842">
        <f t="shared" si="541"/>
        <v>0.60907614936839183</v>
      </c>
      <c r="F524" s="842">
        <f t="shared" si="541"/>
        <v>0.64112097411349167</v>
      </c>
      <c r="G524" s="842">
        <f t="shared" si="541"/>
        <v>0.66009201669932693</v>
      </c>
      <c r="H524" s="842">
        <f t="shared" si="541"/>
        <v>0.64228383801532285</v>
      </c>
      <c r="I524" s="842">
        <f t="shared" si="541"/>
        <v>0.61662665530860372</v>
      </c>
      <c r="J524" s="842">
        <f t="shared" si="541"/>
        <v>0.65276581078752371</v>
      </c>
      <c r="K524" s="842">
        <f t="shared" si="541"/>
        <v>0.66975200156219483</v>
      </c>
      <c r="L524" s="842">
        <f t="shared" si="541"/>
        <v>0.66264569239546822</v>
      </c>
      <c r="M524" s="842">
        <f t="shared" si="541"/>
        <v>0.6174009267584204</v>
      </c>
      <c r="N524" s="842">
        <f t="shared" si="541"/>
        <v>0.65438681531749876</v>
      </c>
      <c r="O524" s="842">
        <f t="shared" si="541"/>
        <v>0.67618414492271894</v>
      </c>
      <c r="P524" s="842">
        <f t="shared" si="541"/>
        <v>0.65943474075092834</v>
      </c>
      <c r="Q524" s="842">
        <f t="shared" si="541"/>
        <v>0.61741246034923469</v>
      </c>
      <c r="R524" s="842">
        <f t="shared" si="541"/>
        <v>0.66733178502502366</v>
      </c>
      <c r="S524" s="842">
        <f t="shared" si="541"/>
        <v>0.69119435299700449</v>
      </c>
      <c r="T524" s="842">
        <f t="shared" si="541"/>
        <v>0.6851913477537438</v>
      </c>
      <c r="U524" s="842">
        <f t="shared" si="541"/>
        <v>0.66514929821709212</v>
      </c>
      <c r="V524" s="842">
        <f t="shared" si="541"/>
        <v>0.68661660146769077</v>
      </c>
      <c r="W524" s="842">
        <f t="shared" si="537"/>
        <v>0.67557121447164303</v>
      </c>
      <c r="X524" s="842">
        <f t="shared" si="537"/>
        <v>0.70388114334930285</v>
      </c>
      <c r="Y524" s="842">
        <f t="shared" si="537"/>
        <v>0.67048936762930633</v>
      </c>
      <c r="Z524" s="842">
        <f t="shared" si="537"/>
        <v>0.68721526878626582</v>
      </c>
      <c r="AA524" s="842">
        <f t="shared" si="537"/>
        <v>0.69684954064829263</v>
      </c>
      <c r="AB524" s="842">
        <f t="shared" si="537"/>
        <v>0.6988768012004325</v>
      </c>
      <c r="AC524" s="842">
        <f t="shared" si="537"/>
        <v>0.67213114754098358</v>
      </c>
      <c r="AD524" s="842">
        <f t="shared" si="537"/>
        <v>0.68365072933549431</v>
      </c>
      <c r="AE524" s="842">
        <f t="shared" si="537"/>
        <v>0.68323532247180174</v>
      </c>
      <c r="AF524" s="842">
        <f t="shared" si="537"/>
        <v>0.69171222217788597</v>
      </c>
      <c r="AG524" s="842"/>
      <c r="AH524" s="842"/>
      <c r="AI524" s="842"/>
      <c r="AJ524" s="842"/>
      <c r="AK524" s="842">
        <f t="shared" ref="AK524:AW524" si="542">+AK519/AK505</f>
        <v>0.84842163466371767</v>
      </c>
      <c r="AL524" s="842">
        <f t="shared" si="542"/>
        <v>0.82724357526760306</v>
      </c>
      <c r="AM524" s="842">
        <f t="shared" si="542"/>
        <v>0.79083369195258402</v>
      </c>
      <c r="AN524" s="842">
        <f t="shared" si="542"/>
        <v>0.80804369414101296</v>
      </c>
      <c r="AO524" s="842">
        <f t="shared" si="542"/>
        <v>0.79199822030562828</v>
      </c>
      <c r="AP524" s="842">
        <f t="shared" si="542"/>
        <v>0.80162921707957235</v>
      </c>
      <c r="AQ524" s="842">
        <f t="shared" si="542"/>
        <v>0.77729007906438097</v>
      </c>
      <c r="AR524" s="842">
        <f t="shared" si="542"/>
        <v>0.76221803236439101</v>
      </c>
      <c r="AS524" s="842">
        <f t="shared" si="542"/>
        <v>0.73814692545825888</v>
      </c>
      <c r="AT524" s="842">
        <f t="shared" si="542"/>
        <v>0.68816003132449644</v>
      </c>
      <c r="AU524" s="842">
        <f t="shared" si="542"/>
        <v>0.64695447745244705</v>
      </c>
      <c r="AV524" s="842">
        <f t="shared" si="542"/>
        <v>0.61579934364744493</v>
      </c>
      <c r="AW524" s="842">
        <f t="shared" si="542"/>
        <v>0.61911061700944969</v>
      </c>
      <c r="AX524" s="842"/>
      <c r="AY524" s="842">
        <f>+AY519/AY505</f>
        <v>0.64038879259275516</v>
      </c>
      <c r="AZ524" s="842">
        <f>+AZ519/AZ505</f>
        <v>0.64522475691460168</v>
      </c>
      <c r="BA524" s="842">
        <f>+BA519/BA505</f>
        <v>0.65247372236317502</v>
      </c>
      <c r="BB524" s="842">
        <f>+BB519/BB505</f>
        <v>0.65901957200638894</v>
      </c>
      <c r="BC524" s="842">
        <f t="shared" si="539"/>
        <v>0.67781001992797962</v>
      </c>
      <c r="BD524" s="842">
        <f t="shared" si="539"/>
        <v>0.68925800771024703</v>
      </c>
      <c r="BE524" s="842">
        <f t="shared" si="539"/>
        <v>0.68401674484289099</v>
      </c>
      <c r="BF524" s="842"/>
    </row>
    <row r="525" spans="2:58">
      <c r="B525" s="87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K525" s="8"/>
      <c r="AL525" s="8"/>
      <c r="AM525" s="8"/>
      <c r="AN525" s="8"/>
      <c r="AO525" s="8"/>
      <c r="AP525" s="8"/>
      <c r="AQ525" s="8"/>
      <c r="AR525" s="8"/>
      <c r="AS525" s="8"/>
      <c r="AT525" s="8"/>
      <c r="AU525" s="8"/>
      <c r="AV525" s="8"/>
      <c r="AW525" s="8"/>
      <c r="AX525" s="8"/>
      <c r="AY525" s="11"/>
      <c r="AZ525" s="11"/>
      <c r="BA525" s="11"/>
      <c r="BB525" s="11"/>
      <c r="BC525" s="11"/>
      <c r="BD525" s="11"/>
      <c r="BE525" s="11"/>
      <c r="BF525" s="11"/>
    </row>
    <row r="526" spans="2:58">
      <c r="B526" s="878" t="s">
        <v>499</v>
      </c>
      <c r="D526" s="879">
        <v>2962</v>
      </c>
      <c r="E526" s="879">
        <v>2900</v>
      </c>
      <c r="F526" s="879">
        <v>2980</v>
      </c>
      <c r="G526" s="879">
        <v>3146</v>
      </c>
      <c r="H526" s="879">
        <v>3106</v>
      </c>
      <c r="I526" s="879">
        <v>3062</v>
      </c>
      <c r="J526" s="879">
        <v>3355</v>
      </c>
      <c r="K526" s="879">
        <v>3514</v>
      </c>
      <c r="L526" s="879">
        <v>3574</v>
      </c>
      <c r="M526" s="879">
        <v>3504</v>
      </c>
      <c r="N526" s="879">
        <v>3715</v>
      </c>
      <c r="O526" s="879">
        <v>3933</v>
      </c>
      <c r="P526" s="879">
        <v>3977</v>
      </c>
      <c r="Q526" s="879">
        <v>4070</v>
      </c>
      <c r="R526" s="879">
        <v>4316</v>
      </c>
      <c r="S526" s="879">
        <v>4513</v>
      </c>
      <c r="T526" s="879">
        <v>4565</v>
      </c>
      <c r="U526" s="879">
        <v>4603</v>
      </c>
      <c r="V526" s="879">
        <v>4887</v>
      </c>
      <c r="W526" s="879">
        <v>5214</v>
      </c>
      <c r="X526" s="879">
        <v>4926</v>
      </c>
      <c r="Y526" s="879">
        <v>4899</v>
      </c>
      <c r="Z526" s="879">
        <v>5204</v>
      </c>
      <c r="AA526" s="879">
        <v>5687</v>
      </c>
      <c r="AB526" s="879">
        <v>5599</v>
      </c>
      <c r="AC526" s="879">
        <v>5758</v>
      </c>
      <c r="AD526" s="879">
        <v>6306</v>
      </c>
      <c r="AE526" s="879">
        <v>6849</v>
      </c>
      <c r="AF526" s="879">
        <v>6628</v>
      </c>
      <c r="AG526" s="879"/>
      <c r="AH526" s="879"/>
      <c r="AI526" s="879"/>
      <c r="AK526" s="879">
        <v>6097</v>
      </c>
      <c r="AL526" s="879">
        <v>6584</v>
      </c>
      <c r="AM526" s="879">
        <v>7121</v>
      </c>
      <c r="AN526" s="879">
        <v>8164</v>
      </c>
      <c r="AO526" s="879">
        <v>9010</v>
      </c>
      <c r="AP526" s="879">
        <v>8714</v>
      </c>
      <c r="AQ526" s="879">
        <v>9043</v>
      </c>
      <c r="AR526" s="879">
        <v>9811</v>
      </c>
      <c r="AS526" s="879">
        <v>10411</v>
      </c>
      <c r="AT526" s="879">
        <v>11381</v>
      </c>
      <c r="AU526" s="879">
        <v>12046</v>
      </c>
      <c r="AV526" s="879">
        <v>11988</v>
      </c>
      <c r="AW526" s="879">
        <v>13037</v>
      </c>
      <c r="AX526" s="879"/>
      <c r="AY526" s="880">
        <f t="shared" ref="AY526:AY534" si="543">+SUM(D526:G526)</f>
        <v>11988</v>
      </c>
      <c r="AZ526" s="880">
        <f t="shared" ref="AZ526:AZ534" si="544">+SUM(H526:K526)</f>
        <v>13037</v>
      </c>
      <c r="BA526" s="880">
        <f t="shared" ref="BA526:BA534" si="545">+SUM(L526:O526)</f>
        <v>14726</v>
      </c>
      <c r="BB526" s="880">
        <v>16876</v>
      </c>
      <c r="BC526" s="880">
        <f>SUM(T526:W526)</f>
        <v>19269</v>
      </c>
      <c r="BD526" s="880">
        <f t="shared" ref="BD526:BD529" si="546">SUM(X526:AA526)</f>
        <v>20716</v>
      </c>
      <c r="BE526" s="880">
        <f t="shared" ref="BE526:BE529" si="547">SUM(AB526:AE526)</f>
        <v>24512</v>
      </c>
      <c r="BF526" s="880"/>
    </row>
    <row r="527" spans="2:58">
      <c r="B527" s="878" t="s">
        <v>465</v>
      </c>
      <c r="D527" s="879">
        <v>3341</v>
      </c>
      <c r="E527" s="879">
        <v>3954</v>
      </c>
      <c r="F527" s="879">
        <v>3398</v>
      </c>
      <c r="G527" s="879">
        <v>3942</v>
      </c>
      <c r="H527" s="879">
        <v>3218</v>
      </c>
      <c r="I527" s="879">
        <v>4079</v>
      </c>
      <c r="J527" s="879">
        <v>3872</v>
      </c>
      <c r="K527" s="879">
        <v>4292</v>
      </c>
      <c r="L527" s="879">
        <v>3812</v>
      </c>
      <c r="M527" s="879">
        <v>4562</v>
      </c>
      <c r="N527" s="879">
        <v>4335</v>
      </c>
      <c r="O527" s="879">
        <v>4760</v>
      </c>
      <c r="P527" s="879">
        <v>4098</v>
      </c>
      <c r="Q527" s="879">
        <v>4588</v>
      </c>
      <c r="R527" s="879">
        <v>4565</v>
      </c>
      <c r="S527" s="879">
        <v>4962</v>
      </c>
      <c r="T527" s="879">
        <v>4337</v>
      </c>
      <c r="U527" s="879">
        <v>4933</v>
      </c>
      <c r="V527" s="879">
        <v>4911</v>
      </c>
      <c r="W527" s="879">
        <v>5417</v>
      </c>
      <c r="X527" s="879">
        <v>4231</v>
      </c>
      <c r="Y527" s="879">
        <v>4947</v>
      </c>
      <c r="Z527" s="879">
        <v>5082</v>
      </c>
      <c r="AA527" s="879">
        <v>5857</v>
      </c>
      <c r="AB527" s="879">
        <v>4547</v>
      </c>
      <c r="AC527" s="879">
        <v>5379</v>
      </c>
      <c r="AD527" s="879">
        <v>5595</v>
      </c>
      <c r="AE527" s="879">
        <v>6304</v>
      </c>
      <c r="AF527" s="879">
        <v>5126</v>
      </c>
      <c r="AG527" s="879"/>
      <c r="AH527" s="879"/>
      <c r="AI527" s="879"/>
      <c r="AK527" s="879">
        <v>8548</v>
      </c>
      <c r="AL527" s="879">
        <v>9910</v>
      </c>
      <c r="AM527" s="879">
        <v>11541</v>
      </c>
      <c r="AN527" s="879">
        <v>13260</v>
      </c>
      <c r="AO527" s="879">
        <v>12879</v>
      </c>
      <c r="AP527" s="879">
        <v>13214</v>
      </c>
      <c r="AQ527" s="879">
        <v>13940</v>
      </c>
      <c r="AR527" s="879">
        <v>13857</v>
      </c>
      <c r="AS527" s="879">
        <v>15276</v>
      </c>
      <c r="AT527" s="879">
        <v>15811</v>
      </c>
      <c r="AU527" s="879">
        <v>15713</v>
      </c>
      <c r="AV527" s="879">
        <v>14697</v>
      </c>
      <c r="AW527" s="879">
        <v>15539</v>
      </c>
      <c r="AX527" s="879"/>
      <c r="AY527" s="880">
        <f t="shared" si="543"/>
        <v>14635</v>
      </c>
      <c r="AZ527" s="880">
        <f t="shared" si="544"/>
        <v>15461</v>
      </c>
      <c r="BA527" s="880">
        <f t="shared" si="545"/>
        <v>17469</v>
      </c>
      <c r="BB527" s="880">
        <v>18213</v>
      </c>
      <c r="BC527" s="880">
        <f>SUM(T527:W527)</f>
        <v>19598</v>
      </c>
      <c r="BD527" s="880">
        <f t="shared" si="546"/>
        <v>20117</v>
      </c>
      <c r="BE527" s="880">
        <f t="shared" si="547"/>
        <v>21825</v>
      </c>
      <c r="BF527" s="880"/>
    </row>
    <row r="528" spans="2:58">
      <c r="B528" s="878" t="s">
        <v>500</v>
      </c>
      <c r="D528" s="879">
        <v>1084</v>
      </c>
      <c r="E528" s="879">
        <v>1038</v>
      </c>
      <c r="F528" s="879">
        <v>1140</v>
      </c>
      <c r="G528" s="879">
        <v>1301</v>
      </c>
      <c r="H528" s="879">
        <v>1045</v>
      </c>
      <c r="I528" s="879">
        <v>879</v>
      </c>
      <c r="J528" s="879">
        <v>1202</v>
      </c>
      <c r="K528" s="879">
        <v>1355</v>
      </c>
      <c r="L528" s="879">
        <v>1166</v>
      </c>
      <c r="M528" s="879">
        <v>1109</v>
      </c>
      <c r="N528" s="879">
        <v>1208</v>
      </c>
      <c r="O528" s="879">
        <v>1271</v>
      </c>
      <c r="P528" s="879">
        <v>1149</v>
      </c>
      <c r="Q528" s="879">
        <v>1132</v>
      </c>
      <c r="R528" s="879">
        <v>1179</v>
      </c>
      <c r="S528" s="879">
        <v>1425</v>
      </c>
      <c r="T528" s="879">
        <v>1061</v>
      </c>
      <c r="U528" s="879">
        <v>1121</v>
      </c>
      <c r="V528" s="879">
        <v>1273</v>
      </c>
      <c r="W528" s="879">
        <v>1656</v>
      </c>
      <c r="X528" s="879">
        <v>1119</v>
      </c>
      <c r="Y528" s="879">
        <v>1139</v>
      </c>
      <c r="Z528" s="879">
        <v>1327</v>
      </c>
      <c r="AA528" s="879">
        <v>1522</v>
      </c>
      <c r="AB528" s="879">
        <v>1287</v>
      </c>
      <c r="AC528" s="879">
        <v>1384</v>
      </c>
      <c r="AD528" s="879">
        <v>1480</v>
      </c>
      <c r="AE528" s="879">
        <v>1749</v>
      </c>
      <c r="AF528" s="879">
        <v>1398</v>
      </c>
      <c r="AG528" s="879"/>
      <c r="AH528" s="879"/>
      <c r="AI528" s="879"/>
      <c r="AK528" s="879">
        <v>4536</v>
      </c>
      <c r="AL528" s="879">
        <v>3758</v>
      </c>
      <c r="AM528" s="879">
        <v>3329</v>
      </c>
      <c r="AN528" s="879">
        <v>5127</v>
      </c>
      <c r="AO528" s="879">
        <v>4030</v>
      </c>
      <c r="AP528" s="879">
        <v>4063</v>
      </c>
      <c r="AQ528" s="879">
        <v>4222</v>
      </c>
      <c r="AR528" s="879">
        <v>4569</v>
      </c>
      <c r="AS528" s="879">
        <v>5013</v>
      </c>
      <c r="AT528" s="879">
        <v>4677</v>
      </c>
      <c r="AU528" s="879">
        <v>4611</v>
      </c>
      <c r="AV528" s="879">
        <v>4563</v>
      </c>
      <c r="AW528" s="879">
        <v>4481</v>
      </c>
      <c r="AX528" s="879"/>
      <c r="AY528" s="880">
        <f t="shared" si="543"/>
        <v>4563</v>
      </c>
      <c r="AZ528" s="880">
        <f t="shared" si="544"/>
        <v>4481</v>
      </c>
      <c r="BA528" s="880">
        <f t="shared" si="545"/>
        <v>4754</v>
      </c>
      <c r="BB528" s="880">
        <v>4885</v>
      </c>
      <c r="BC528" s="880">
        <f>SUM(T528:W528)</f>
        <v>5111</v>
      </c>
      <c r="BD528" s="880">
        <f t="shared" si="546"/>
        <v>5107</v>
      </c>
      <c r="BE528" s="880">
        <f t="shared" si="547"/>
        <v>5900</v>
      </c>
      <c r="BF528" s="880"/>
    </row>
    <row r="529" spans="2:58" ht="11.45">
      <c r="B529" s="878" t="s">
        <v>501</v>
      </c>
      <c r="D529" s="905">
        <v>0</v>
      </c>
      <c r="E529" s="905">
        <v>0</v>
      </c>
      <c r="F529" s="905">
        <v>0</v>
      </c>
      <c r="G529" s="905">
        <v>1110</v>
      </c>
      <c r="H529" s="905">
        <v>0</v>
      </c>
      <c r="I529" s="905">
        <v>0</v>
      </c>
      <c r="J529" s="905">
        <v>0</v>
      </c>
      <c r="K529" s="905">
        <v>306</v>
      </c>
      <c r="L529" s="905">
        <v>0</v>
      </c>
      <c r="M529" s="905">
        <v>0</v>
      </c>
      <c r="N529" s="905">
        <v>0</v>
      </c>
      <c r="O529" s="905">
        <v>0</v>
      </c>
      <c r="P529" s="905">
        <v>0</v>
      </c>
      <c r="Q529" s="905">
        <v>0</v>
      </c>
      <c r="R529" s="905">
        <v>0</v>
      </c>
      <c r="S529" s="905">
        <v>0</v>
      </c>
      <c r="T529" s="905">
        <v>0</v>
      </c>
      <c r="U529" s="905">
        <v>0</v>
      </c>
      <c r="V529" s="905">
        <v>0</v>
      </c>
      <c r="W529" s="905">
        <v>0</v>
      </c>
      <c r="X529" s="905">
        <v>0</v>
      </c>
      <c r="Y529" s="905">
        <v>0</v>
      </c>
      <c r="Z529" s="905">
        <v>0</v>
      </c>
      <c r="AA529" s="905">
        <v>0</v>
      </c>
      <c r="AB529" s="905">
        <v>0</v>
      </c>
      <c r="AC529" s="905">
        <v>0</v>
      </c>
      <c r="AD529" s="905">
        <v>0</v>
      </c>
      <c r="AE529" s="905">
        <v>0</v>
      </c>
      <c r="AF529" s="905">
        <v>0</v>
      </c>
      <c r="AG529" s="905"/>
      <c r="AH529" s="905"/>
      <c r="AI529" s="905"/>
      <c r="AK529" s="905">
        <v>0</v>
      </c>
      <c r="AL529" s="905">
        <v>0</v>
      </c>
      <c r="AM529" s="905">
        <v>0</v>
      </c>
      <c r="AN529" s="905">
        <v>0</v>
      </c>
      <c r="AO529" s="905">
        <v>0</v>
      </c>
      <c r="AP529" s="905">
        <v>0</v>
      </c>
      <c r="AQ529" s="905">
        <v>0</v>
      </c>
      <c r="AR529" s="905">
        <v>6193</v>
      </c>
      <c r="AS529" s="905">
        <v>0</v>
      </c>
      <c r="AT529" s="30">
        <v>127</v>
      </c>
      <c r="AU529" s="30">
        <v>10011</v>
      </c>
      <c r="AV529" s="30">
        <v>1110</v>
      </c>
      <c r="AW529" s="30">
        <v>306</v>
      </c>
      <c r="AX529" s="30"/>
      <c r="AY529" s="906">
        <f t="shared" si="543"/>
        <v>1110</v>
      </c>
      <c r="AZ529" s="906">
        <f t="shared" si="544"/>
        <v>306</v>
      </c>
      <c r="BA529" s="906">
        <f t="shared" si="545"/>
        <v>0</v>
      </c>
      <c r="BB529" s="906">
        <v>0</v>
      </c>
      <c r="BC529" s="906">
        <f>SUM(T529:W529)</f>
        <v>0</v>
      </c>
      <c r="BD529" s="906">
        <f t="shared" si="546"/>
        <v>0</v>
      </c>
      <c r="BE529" s="906">
        <f t="shared" si="547"/>
        <v>0</v>
      </c>
      <c r="BF529" s="906"/>
    </row>
    <row r="530" spans="2:58">
      <c r="B530" s="916" t="s">
        <v>502</v>
      </c>
      <c r="D530" s="8">
        <f t="shared" ref="D530:X530" si="548">+D519-SUM(D526:D529)</f>
        <v>6316</v>
      </c>
      <c r="E530" s="8">
        <f t="shared" si="548"/>
        <v>7489</v>
      </c>
      <c r="F530" s="8">
        <f t="shared" si="548"/>
        <v>6277</v>
      </c>
      <c r="G530" s="8">
        <f t="shared" si="548"/>
        <v>5996</v>
      </c>
      <c r="H530" s="8">
        <f t="shared" si="548"/>
        <v>6715</v>
      </c>
      <c r="I530" s="8">
        <f t="shared" si="548"/>
        <v>7905</v>
      </c>
      <c r="J530" s="8">
        <f t="shared" si="548"/>
        <v>6723</v>
      </c>
      <c r="K530" s="8">
        <f t="shared" si="548"/>
        <v>7682</v>
      </c>
      <c r="L530" s="8">
        <f t="shared" si="548"/>
        <v>7708</v>
      </c>
      <c r="M530" s="8">
        <f t="shared" si="548"/>
        <v>8679</v>
      </c>
      <c r="N530" s="8">
        <f t="shared" si="548"/>
        <v>8292</v>
      </c>
      <c r="O530" s="8">
        <f t="shared" si="548"/>
        <v>10379</v>
      </c>
      <c r="P530" s="8">
        <f t="shared" si="548"/>
        <v>9955</v>
      </c>
      <c r="Q530" s="8">
        <f t="shared" si="548"/>
        <v>10258</v>
      </c>
      <c r="R530" s="8">
        <f t="shared" si="548"/>
        <v>10341</v>
      </c>
      <c r="S530" s="8">
        <f t="shared" si="548"/>
        <v>12405</v>
      </c>
      <c r="T530" s="8">
        <f t="shared" si="548"/>
        <v>12686</v>
      </c>
      <c r="U530" s="8">
        <f t="shared" si="548"/>
        <v>13891</v>
      </c>
      <c r="V530" s="8">
        <f t="shared" si="548"/>
        <v>12975</v>
      </c>
      <c r="W530" s="8">
        <f t="shared" si="548"/>
        <v>13407</v>
      </c>
      <c r="X530" s="8">
        <f t="shared" si="548"/>
        <v>15876</v>
      </c>
      <c r="Y530" s="8">
        <f t="shared" ref="Y530:AI530" si="549">+Y44</f>
        <v>17897</v>
      </c>
      <c r="Z530" s="8">
        <f t="shared" si="549"/>
        <v>17048</v>
      </c>
      <c r="AA530" s="8">
        <f t="shared" si="549"/>
        <v>19095</v>
      </c>
      <c r="AB530" s="8">
        <f t="shared" si="549"/>
        <v>20238</v>
      </c>
      <c r="AC530" s="8">
        <f t="shared" si="549"/>
        <v>22247</v>
      </c>
      <c r="AD530" s="8">
        <f t="shared" si="549"/>
        <v>20364</v>
      </c>
      <c r="AE530" s="8">
        <f t="shared" si="549"/>
        <v>20534</v>
      </c>
      <c r="AF530" s="8">
        <f t="shared" si="549"/>
        <v>21518</v>
      </c>
      <c r="AG530" s="8">
        <f t="shared" si="549"/>
        <v>22280.325017420888</v>
      </c>
      <c r="AH530" s="8">
        <f t="shared" si="549"/>
        <v>20668.367261994536</v>
      </c>
      <c r="AI530" s="8">
        <f t="shared" si="549"/>
        <v>21640.852583138716</v>
      </c>
      <c r="AK530" s="29">
        <f t="shared" ref="AK530:AW530" si="550">+AK519-SUM(AK526:AK529)</f>
        <v>14576</v>
      </c>
      <c r="AL530" s="29">
        <f t="shared" si="550"/>
        <v>16380</v>
      </c>
      <c r="AM530" s="11">
        <f t="shared" si="550"/>
        <v>18438</v>
      </c>
      <c r="AN530" s="11">
        <f t="shared" si="550"/>
        <v>22271</v>
      </c>
      <c r="AO530" s="11">
        <f t="shared" si="550"/>
        <v>20363</v>
      </c>
      <c r="AP530" s="11">
        <f t="shared" si="550"/>
        <v>24098</v>
      </c>
      <c r="AQ530" s="11">
        <f t="shared" si="550"/>
        <v>27161</v>
      </c>
      <c r="AR530" s="11">
        <f t="shared" si="550"/>
        <v>21763</v>
      </c>
      <c r="AS530" s="11">
        <f t="shared" si="550"/>
        <v>26764</v>
      </c>
      <c r="AT530" s="11">
        <f t="shared" si="550"/>
        <v>27759</v>
      </c>
      <c r="AU530" s="11">
        <f t="shared" si="550"/>
        <v>18161</v>
      </c>
      <c r="AV530" s="11">
        <f t="shared" si="550"/>
        <v>20182</v>
      </c>
      <c r="AW530" s="11">
        <f t="shared" si="550"/>
        <v>22326</v>
      </c>
      <c r="AX530" s="11"/>
      <c r="AY530" s="11">
        <f t="shared" si="543"/>
        <v>26078</v>
      </c>
      <c r="AZ530" s="11">
        <f t="shared" si="544"/>
        <v>29025</v>
      </c>
      <c r="BA530" s="11">
        <f t="shared" si="545"/>
        <v>35058</v>
      </c>
      <c r="BB530" s="11">
        <f>BB519-SUM(BB526:BB529)</f>
        <v>42959</v>
      </c>
      <c r="BC530" s="11">
        <f>BC519-SUM(BC526:BC529)</f>
        <v>52959</v>
      </c>
      <c r="BD530" s="11">
        <f>BD519-SUM(BD526:BD529)</f>
        <v>69916</v>
      </c>
      <c r="BE530" s="11">
        <f>BE519-SUM(BE526:BE529)</f>
        <v>83383</v>
      </c>
      <c r="BF530" s="11">
        <f>SUM(AF530:AI530)</f>
        <v>86107.544862554147</v>
      </c>
    </row>
    <row r="531" spans="2:58" ht="11.45">
      <c r="B531" s="878" t="s">
        <v>503</v>
      </c>
      <c r="D531" s="905">
        <v>-295</v>
      </c>
      <c r="E531" s="905">
        <v>-176</v>
      </c>
      <c r="F531" s="905">
        <v>-212</v>
      </c>
      <c r="G531" s="905">
        <v>244</v>
      </c>
      <c r="H531" s="905">
        <v>112</v>
      </c>
      <c r="I531" s="905">
        <v>117</v>
      </c>
      <c r="J531" s="905">
        <v>371</v>
      </c>
      <c r="K531" s="905">
        <v>276</v>
      </c>
      <c r="L531" s="905">
        <v>276</v>
      </c>
      <c r="M531" s="905">
        <v>490</v>
      </c>
      <c r="N531" s="905">
        <v>349</v>
      </c>
      <c r="O531" s="905">
        <v>301</v>
      </c>
      <c r="P531" s="905">
        <v>266</v>
      </c>
      <c r="Q531" s="905">
        <v>127</v>
      </c>
      <c r="R531" s="905">
        <v>145</v>
      </c>
      <c r="S531" s="905">
        <f>+BB531-SUM(P531:R531)</f>
        <v>191</v>
      </c>
      <c r="T531" s="905">
        <v>0</v>
      </c>
      <c r="U531" s="905">
        <v>194</v>
      </c>
      <c r="V531" s="905">
        <v>-132</v>
      </c>
      <c r="W531" s="905">
        <v>15</v>
      </c>
      <c r="X531" s="905">
        <v>248</v>
      </c>
      <c r="Y531" s="905">
        <v>440</v>
      </c>
      <c r="Z531" s="905">
        <v>188</v>
      </c>
      <c r="AA531" s="905">
        <v>310</v>
      </c>
      <c r="AB531" s="905">
        <v>286</v>
      </c>
      <c r="AC531" s="905">
        <v>268</v>
      </c>
      <c r="AD531" s="905">
        <v>-174</v>
      </c>
      <c r="AE531" s="905">
        <v>-47</v>
      </c>
      <c r="AF531" s="905">
        <v>54</v>
      </c>
      <c r="AG531" s="906">
        <f>+AG59</f>
        <v>0</v>
      </c>
      <c r="AH531" s="906">
        <f>+AH59</f>
        <v>0</v>
      </c>
      <c r="AI531" s="906">
        <f>+AI59</f>
        <v>0</v>
      </c>
      <c r="AK531" s="905">
        <v>2052</v>
      </c>
      <c r="AL531" s="905">
        <v>1882</v>
      </c>
      <c r="AM531" s="905">
        <v>1663</v>
      </c>
      <c r="AN531" s="905">
        <v>1543</v>
      </c>
      <c r="AO531" s="905">
        <v>-542</v>
      </c>
      <c r="AP531" s="905">
        <v>915</v>
      </c>
      <c r="AQ531" s="905">
        <v>910</v>
      </c>
      <c r="AR531" s="905">
        <v>504</v>
      </c>
      <c r="AS531" s="905">
        <v>288</v>
      </c>
      <c r="AT531" s="30">
        <v>61</v>
      </c>
      <c r="AU531" s="30">
        <v>346</v>
      </c>
      <c r="AV531" s="30">
        <v>431</v>
      </c>
      <c r="AW531" s="30">
        <v>-823</v>
      </c>
      <c r="AX531" s="30"/>
      <c r="AY531" s="906">
        <f t="shared" si="543"/>
        <v>-439</v>
      </c>
      <c r="AZ531" s="906">
        <f t="shared" si="544"/>
        <v>876</v>
      </c>
      <c r="BA531" s="906">
        <f t="shared" si="545"/>
        <v>1416</v>
      </c>
      <c r="BB531" s="906">
        <v>729</v>
      </c>
      <c r="BC531" s="906">
        <f>SUM(T531:W531)</f>
        <v>77</v>
      </c>
      <c r="BD531" s="906">
        <f>SUM(X531:AA531)</f>
        <v>1186</v>
      </c>
      <c r="BE531" s="906">
        <f>SUM(AB531:AE531)</f>
        <v>333</v>
      </c>
      <c r="BF531" s="906">
        <f>SUM(AF531:AI531)</f>
        <v>54</v>
      </c>
    </row>
    <row r="532" spans="2:58">
      <c r="B532" s="916" t="s">
        <v>504</v>
      </c>
      <c r="D532" s="8">
        <f t="shared" ref="D532:Q532" si="551">+SUM(D530:D531)</f>
        <v>6021</v>
      </c>
      <c r="E532" s="8">
        <f t="shared" si="551"/>
        <v>7313</v>
      </c>
      <c r="F532" s="8">
        <f t="shared" si="551"/>
        <v>6065</v>
      </c>
      <c r="G532" s="8">
        <f t="shared" si="551"/>
        <v>6240</v>
      </c>
      <c r="H532" s="8">
        <f t="shared" si="551"/>
        <v>6827</v>
      </c>
      <c r="I532" s="8">
        <f t="shared" si="551"/>
        <v>8022</v>
      </c>
      <c r="J532" s="8">
        <f t="shared" si="551"/>
        <v>7094</v>
      </c>
      <c r="K532" s="8">
        <f t="shared" si="551"/>
        <v>7958</v>
      </c>
      <c r="L532" s="8">
        <f t="shared" si="551"/>
        <v>7984</v>
      </c>
      <c r="M532" s="8">
        <f t="shared" si="551"/>
        <v>9169</v>
      </c>
      <c r="N532" s="8">
        <f t="shared" si="551"/>
        <v>8641</v>
      </c>
      <c r="O532" s="8">
        <f t="shared" si="551"/>
        <v>10680</v>
      </c>
      <c r="P532" s="8">
        <f t="shared" si="551"/>
        <v>10221</v>
      </c>
      <c r="Q532" s="8">
        <f t="shared" si="551"/>
        <v>10385</v>
      </c>
      <c r="R532" s="8">
        <f t="shared" ref="R532:T532" si="552">+SUM(R530:R531)</f>
        <v>10486</v>
      </c>
      <c r="S532" s="8">
        <f t="shared" si="552"/>
        <v>12596</v>
      </c>
      <c r="T532" s="8">
        <f t="shared" si="552"/>
        <v>12686</v>
      </c>
      <c r="U532" s="8">
        <f t="shared" ref="U532:AI532" si="553">+SUM(U530:U531)</f>
        <v>14085</v>
      </c>
      <c r="V532" s="8">
        <f t="shared" si="553"/>
        <v>12843</v>
      </c>
      <c r="W532" s="8">
        <f t="shared" si="553"/>
        <v>13422</v>
      </c>
      <c r="X532" s="8">
        <f t="shared" si="553"/>
        <v>16124</v>
      </c>
      <c r="Y532" s="8">
        <f t="shared" si="553"/>
        <v>18337</v>
      </c>
      <c r="Z532" s="8">
        <f t="shared" si="553"/>
        <v>17236</v>
      </c>
      <c r="AA532" s="8">
        <f t="shared" si="553"/>
        <v>19405</v>
      </c>
      <c r="AB532" s="8">
        <f t="shared" si="553"/>
        <v>20524</v>
      </c>
      <c r="AC532" s="8">
        <f t="shared" si="553"/>
        <v>22515</v>
      </c>
      <c r="AD532" s="8">
        <f t="shared" si="553"/>
        <v>20190</v>
      </c>
      <c r="AE532" s="8">
        <f t="shared" si="553"/>
        <v>20487</v>
      </c>
      <c r="AF532" s="8">
        <f t="shared" si="553"/>
        <v>21572</v>
      </c>
      <c r="AG532" s="8">
        <f t="shared" si="553"/>
        <v>22280.325017420888</v>
      </c>
      <c r="AH532" s="8">
        <f t="shared" si="553"/>
        <v>20668.367261994536</v>
      </c>
      <c r="AI532" s="8">
        <f t="shared" si="553"/>
        <v>21640.852583138716</v>
      </c>
      <c r="AK532" s="29">
        <f t="shared" ref="AK532:AW532" si="554">+SUM(AK530:AK531)</f>
        <v>16628</v>
      </c>
      <c r="AL532" s="29">
        <f t="shared" si="554"/>
        <v>18262</v>
      </c>
      <c r="AM532" s="11">
        <f t="shared" si="554"/>
        <v>20101</v>
      </c>
      <c r="AN532" s="11">
        <f t="shared" si="554"/>
        <v>23814</v>
      </c>
      <c r="AO532" s="11">
        <f t="shared" si="554"/>
        <v>19821</v>
      </c>
      <c r="AP532" s="11">
        <f t="shared" si="554"/>
        <v>25013</v>
      </c>
      <c r="AQ532" s="11">
        <f t="shared" si="554"/>
        <v>28071</v>
      </c>
      <c r="AR532" s="11">
        <f t="shared" si="554"/>
        <v>22267</v>
      </c>
      <c r="AS532" s="11">
        <f t="shared" si="554"/>
        <v>27052</v>
      </c>
      <c r="AT532" s="11">
        <f t="shared" si="554"/>
        <v>27820</v>
      </c>
      <c r="AU532" s="11">
        <f t="shared" si="554"/>
        <v>18507</v>
      </c>
      <c r="AV532" s="11">
        <f t="shared" si="554"/>
        <v>20613</v>
      </c>
      <c r="AW532" s="11">
        <f t="shared" si="554"/>
        <v>21503</v>
      </c>
      <c r="AX532" s="11"/>
      <c r="AY532" s="11">
        <f t="shared" si="543"/>
        <v>25639</v>
      </c>
      <c r="AZ532" s="11">
        <f t="shared" si="544"/>
        <v>29901</v>
      </c>
      <c r="BA532" s="11">
        <f t="shared" si="545"/>
        <v>36474</v>
      </c>
      <c r="BB532" s="11">
        <f>+BB530+BB531</f>
        <v>43688</v>
      </c>
      <c r="BC532" s="11">
        <f t="shared" ref="BC532:BF532" si="555">+BC530+BC531</f>
        <v>53036</v>
      </c>
      <c r="BD532" s="11">
        <f t="shared" si="555"/>
        <v>71102</v>
      </c>
      <c r="BE532" s="11">
        <f t="shared" si="555"/>
        <v>83716</v>
      </c>
      <c r="BF532" s="11">
        <f t="shared" si="555"/>
        <v>86161.544862554147</v>
      </c>
    </row>
    <row r="533" spans="2:58" ht="11.45">
      <c r="B533" s="878" t="s">
        <v>505</v>
      </c>
      <c r="D533" s="905">
        <v>952</v>
      </c>
      <c r="E533" s="905">
        <v>1375</v>
      </c>
      <c r="F533" s="905">
        <v>1760</v>
      </c>
      <c r="G533" s="905">
        <v>1013</v>
      </c>
      <c r="H533" s="905">
        <v>1160</v>
      </c>
      <c r="I533" s="905">
        <v>1755</v>
      </c>
      <c r="J533" s="905">
        <v>1608</v>
      </c>
      <c r="K533" s="905">
        <v>-111</v>
      </c>
      <c r="L533" s="905">
        <v>1408</v>
      </c>
      <c r="M533" s="905">
        <v>15471</v>
      </c>
      <c r="N533" s="905">
        <v>1217</v>
      </c>
      <c r="O533" s="905">
        <v>1807</v>
      </c>
      <c r="P533" s="905">
        <v>1397</v>
      </c>
      <c r="Q533" s="905">
        <v>1965</v>
      </c>
      <c r="R533" s="905">
        <v>1677</v>
      </c>
      <c r="S533" s="905">
        <f>+BB533-SUM(P533:R533)</f>
        <v>-591</v>
      </c>
      <c r="T533" s="905">
        <v>2008</v>
      </c>
      <c r="U533" s="905">
        <v>2436</v>
      </c>
      <c r="V533" s="905">
        <v>2091</v>
      </c>
      <c r="W533" s="905">
        <v>2220</v>
      </c>
      <c r="X533" s="905">
        <v>2231</v>
      </c>
      <c r="Y533" s="905">
        <v>2874</v>
      </c>
      <c r="Z533" s="905">
        <v>1779</v>
      </c>
      <c r="AA533" s="905">
        <v>2947</v>
      </c>
      <c r="AB533" s="905">
        <v>19</v>
      </c>
      <c r="AC533" s="905">
        <v>3750</v>
      </c>
      <c r="AD533" s="905">
        <v>3462</v>
      </c>
      <c r="AE533" s="905">
        <v>3747</v>
      </c>
      <c r="AF533" s="905">
        <v>4016</v>
      </c>
      <c r="AG533" s="906">
        <f>+AG61*-1</f>
        <v>4678.8682536583865</v>
      </c>
      <c r="AH533" s="906">
        <f>+AH61*-1</f>
        <v>4340.3571250188525</v>
      </c>
      <c r="AI533" s="906">
        <f>+AI61*-1</f>
        <v>4544.5790424591305</v>
      </c>
      <c r="AK533" s="905">
        <v>4374</v>
      </c>
      <c r="AL533" s="905">
        <v>5663</v>
      </c>
      <c r="AM533" s="905">
        <v>6036</v>
      </c>
      <c r="AN533" s="905">
        <v>6133</v>
      </c>
      <c r="AO533" s="905">
        <v>5252</v>
      </c>
      <c r="AP533" s="905">
        <v>6253</v>
      </c>
      <c r="AQ533" s="905">
        <v>4921</v>
      </c>
      <c r="AR533" s="905">
        <v>5289</v>
      </c>
      <c r="AS533" s="905">
        <v>5189</v>
      </c>
      <c r="AT533" s="30">
        <v>5746</v>
      </c>
      <c r="AU533" s="30">
        <v>6314</v>
      </c>
      <c r="AV533" s="30">
        <v>2953</v>
      </c>
      <c r="AW533" s="30">
        <v>1945</v>
      </c>
      <c r="AX533" s="30"/>
      <c r="AY533" s="906">
        <f t="shared" si="543"/>
        <v>5100</v>
      </c>
      <c r="AZ533" s="906">
        <f t="shared" si="544"/>
        <v>4412</v>
      </c>
      <c r="BA533" s="906">
        <f t="shared" si="545"/>
        <v>19903</v>
      </c>
      <c r="BB533" s="906">
        <v>4448</v>
      </c>
      <c r="BC533" s="906">
        <f>SUM(T533:W533)</f>
        <v>8755</v>
      </c>
      <c r="BD533" s="906">
        <f>SUM(X533:AA533)</f>
        <v>9831</v>
      </c>
      <c r="BE533" s="906">
        <f>SUM(AB533:AE533)</f>
        <v>10978</v>
      </c>
      <c r="BF533" s="906">
        <f t="shared" ref="BF533" si="556">SUM(AF533:AI533)</f>
        <v>17579.80442113637</v>
      </c>
    </row>
    <row r="534" spans="2:58">
      <c r="B534" s="916" t="s">
        <v>140</v>
      </c>
      <c r="D534" s="8">
        <f>+D532-D533</f>
        <v>5069</v>
      </c>
      <c r="E534" s="8">
        <f t="shared" ref="E534:AI534" si="557">+E532-E533</f>
        <v>5938</v>
      </c>
      <c r="F534" s="8">
        <f t="shared" si="557"/>
        <v>4305</v>
      </c>
      <c r="G534" s="8">
        <f t="shared" si="557"/>
        <v>5227</v>
      </c>
      <c r="H534" s="8">
        <f t="shared" si="557"/>
        <v>5667</v>
      </c>
      <c r="I534" s="8">
        <f t="shared" si="557"/>
        <v>6267</v>
      </c>
      <c r="J534" s="8">
        <f t="shared" si="557"/>
        <v>5486</v>
      </c>
      <c r="K534" s="8">
        <f t="shared" si="557"/>
        <v>8069</v>
      </c>
      <c r="L534" s="8">
        <f t="shared" si="557"/>
        <v>6576</v>
      </c>
      <c r="M534" s="8">
        <f t="shared" si="557"/>
        <v>-6302</v>
      </c>
      <c r="N534" s="8">
        <f t="shared" si="557"/>
        <v>7424</v>
      </c>
      <c r="O534" s="8">
        <f t="shared" si="557"/>
        <v>8873</v>
      </c>
      <c r="P534" s="8">
        <f t="shared" si="557"/>
        <v>8824</v>
      </c>
      <c r="Q534" s="8">
        <f t="shared" si="557"/>
        <v>8420</v>
      </c>
      <c r="R534" s="8">
        <f t="shared" si="557"/>
        <v>8809</v>
      </c>
      <c r="S534" s="8">
        <f t="shared" si="557"/>
        <v>13187</v>
      </c>
      <c r="T534" s="8">
        <f t="shared" si="557"/>
        <v>10678</v>
      </c>
      <c r="U534" s="8">
        <f t="shared" si="557"/>
        <v>11649</v>
      </c>
      <c r="V534" s="8">
        <f t="shared" si="557"/>
        <v>10752</v>
      </c>
      <c r="W534" s="11">
        <f t="shared" si="557"/>
        <v>11202</v>
      </c>
      <c r="X534" s="11">
        <f t="shared" si="557"/>
        <v>13893</v>
      </c>
      <c r="Y534" s="11">
        <f t="shared" si="557"/>
        <v>15463</v>
      </c>
      <c r="Z534" s="11">
        <f t="shared" si="557"/>
        <v>15457</v>
      </c>
      <c r="AA534" s="11">
        <f t="shared" si="557"/>
        <v>16458</v>
      </c>
      <c r="AB534" s="11">
        <f t="shared" si="557"/>
        <v>20505</v>
      </c>
      <c r="AC534" s="11">
        <f t="shared" si="557"/>
        <v>18765</v>
      </c>
      <c r="AD534" s="11">
        <f t="shared" si="557"/>
        <v>16728</v>
      </c>
      <c r="AE534" s="11">
        <f t="shared" si="557"/>
        <v>16740</v>
      </c>
      <c r="AF534" s="11">
        <f t="shared" si="557"/>
        <v>17556</v>
      </c>
      <c r="AG534" s="11">
        <f t="shared" si="557"/>
        <v>17601.4567637625</v>
      </c>
      <c r="AH534" s="11">
        <f t="shared" si="557"/>
        <v>16328.010136975683</v>
      </c>
      <c r="AI534" s="11">
        <f t="shared" si="557"/>
        <v>17096.273540679584</v>
      </c>
      <c r="AK534" s="29">
        <f t="shared" ref="AK534:AW534" si="558">+AK532-AK533</f>
        <v>12254</v>
      </c>
      <c r="AL534" s="29">
        <f t="shared" si="558"/>
        <v>12599</v>
      </c>
      <c r="AM534" s="11">
        <f t="shared" si="558"/>
        <v>14065</v>
      </c>
      <c r="AN534" s="11">
        <f t="shared" si="558"/>
        <v>17681</v>
      </c>
      <c r="AO534" s="11">
        <f t="shared" si="558"/>
        <v>14569</v>
      </c>
      <c r="AP534" s="11">
        <f t="shared" si="558"/>
        <v>18760</v>
      </c>
      <c r="AQ534" s="11">
        <f t="shared" si="558"/>
        <v>23150</v>
      </c>
      <c r="AR534" s="11">
        <f t="shared" si="558"/>
        <v>16978</v>
      </c>
      <c r="AS534" s="11">
        <f t="shared" si="558"/>
        <v>21863</v>
      </c>
      <c r="AT534" s="11">
        <f t="shared" si="558"/>
        <v>22074</v>
      </c>
      <c r="AU534" s="11">
        <f t="shared" si="558"/>
        <v>12193</v>
      </c>
      <c r="AV534" s="11">
        <f t="shared" si="558"/>
        <v>17660</v>
      </c>
      <c r="AW534" s="11">
        <f t="shared" si="558"/>
        <v>19558</v>
      </c>
      <c r="AX534" s="11"/>
      <c r="AY534" s="11">
        <f t="shared" si="543"/>
        <v>20539</v>
      </c>
      <c r="AZ534" s="11">
        <f t="shared" si="544"/>
        <v>25489</v>
      </c>
      <c r="BA534" s="11">
        <f t="shared" si="545"/>
        <v>16571</v>
      </c>
      <c r="BB534" s="11">
        <f>+BB532-BB533</f>
        <v>39240</v>
      </c>
      <c r="BC534" s="11">
        <f t="shared" ref="BC534:BF534" si="559">+BC532-BC533</f>
        <v>44281</v>
      </c>
      <c r="BD534" s="11">
        <f t="shared" si="559"/>
        <v>61271</v>
      </c>
      <c r="BE534" s="11">
        <f t="shared" si="559"/>
        <v>72738</v>
      </c>
      <c r="BF534" s="11">
        <f t="shared" si="559"/>
        <v>68581.740441417773</v>
      </c>
    </row>
    <row r="535" spans="2:58">
      <c r="B535" s="916"/>
      <c r="D535" s="8"/>
      <c r="E535" s="8"/>
      <c r="F535" s="8"/>
      <c r="G535" s="8"/>
      <c r="H535" s="8"/>
      <c r="I535" s="8"/>
      <c r="J535" s="8"/>
      <c r="K535" s="8"/>
      <c r="L535" s="8"/>
      <c r="M535" s="8"/>
      <c r="N535" s="8"/>
      <c r="O535" s="8"/>
      <c r="P535" s="8"/>
      <c r="Q535" s="8"/>
      <c r="R535" s="8"/>
      <c r="S535" s="8"/>
      <c r="T535" s="8"/>
      <c r="U535" s="8"/>
      <c r="V535" s="8"/>
      <c r="W535" s="11"/>
      <c r="X535" s="11"/>
      <c r="Y535" s="11"/>
      <c r="Z535" s="11"/>
      <c r="AA535" s="11"/>
      <c r="AB535" s="11"/>
      <c r="AC535" s="11"/>
      <c r="AD535" s="11"/>
      <c r="AE535" s="11"/>
      <c r="AF535" s="11"/>
      <c r="AG535" s="11"/>
      <c r="AH535" s="11"/>
      <c r="AI535" s="11"/>
      <c r="AK535" s="29"/>
      <c r="AL535" s="29"/>
      <c r="AM535" s="29"/>
      <c r="AN535" s="29"/>
      <c r="AO535" s="29"/>
      <c r="AP535" s="29"/>
      <c r="AQ535" s="29"/>
      <c r="AR535" s="29"/>
      <c r="AS535" s="29"/>
      <c r="AT535" s="11"/>
      <c r="AU535" s="11"/>
      <c r="AV535" s="11"/>
      <c r="AW535" s="11"/>
      <c r="AX535" s="11"/>
      <c r="AY535" s="11"/>
      <c r="AZ535" s="11"/>
      <c r="BA535" s="11"/>
      <c r="BB535" s="11"/>
      <c r="BC535" s="11"/>
      <c r="BD535" s="11"/>
      <c r="BE535" s="11"/>
      <c r="BF535" s="11"/>
    </row>
    <row r="536" spans="2:58">
      <c r="B536" s="944" t="s">
        <v>506</v>
      </c>
      <c r="W536" s="100"/>
      <c r="X536" s="100"/>
      <c r="Y536" s="100"/>
      <c r="Z536" s="100"/>
      <c r="AA536" s="100"/>
      <c r="AB536" s="100"/>
      <c r="AC536" s="100"/>
      <c r="AD536" s="100"/>
      <c r="AE536" s="100"/>
      <c r="AF536" s="100"/>
      <c r="AG536" s="100"/>
      <c r="AH536" s="100"/>
      <c r="AI536" s="100"/>
    </row>
    <row r="537" spans="2:58">
      <c r="B537" s="878" t="s">
        <v>507</v>
      </c>
      <c r="D537" s="879">
        <v>7996</v>
      </c>
      <c r="E537" s="879">
        <v>7964</v>
      </c>
      <c r="F537" s="879">
        <v>7895</v>
      </c>
      <c r="G537" s="879">
        <v>7842</v>
      </c>
      <c r="H537" s="879">
        <v>7789</v>
      </c>
      <c r="I537" s="879">
        <v>7755</v>
      </c>
      <c r="J537" s="879">
        <v>7725</v>
      </c>
      <c r="K537" s="879">
        <v>7715</v>
      </c>
      <c r="L537" s="879">
        <v>7708</v>
      </c>
      <c r="M537" s="879">
        <v>7710</v>
      </c>
      <c r="N537" s="879">
        <v>7698</v>
      </c>
      <c r="O537" s="879">
        <v>7683</v>
      </c>
      <c r="P537" s="879">
        <v>7673</v>
      </c>
      <c r="Q537" s="879">
        <v>7692</v>
      </c>
      <c r="R537" s="879">
        <v>7672</v>
      </c>
      <c r="S537" s="879">
        <f>+BB537*4-SUM(P537:R537)</f>
        <v>7655</v>
      </c>
      <c r="T537" s="879">
        <v>7634</v>
      </c>
      <c r="U537" s="879">
        <f>+U534/U541</f>
        <v>7613.7254901960787</v>
      </c>
      <c r="V537" s="879">
        <v>7602</v>
      </c>
      <c r="W537" s="879">
        <v>7580</v>
      </c>
      <c r="X537" s="879">
        <v>7566</v>
      </c>
      <c r="Y537" s="879">
        <v>7555</v>
      </c>
      <c r="Z537" s="879">
        <v>7539</v>
      </c>
      <c r="AA537" s="879">
        <v>7527</v>
      </c>
      <c r="AB537" s="879">
        <v>7513</v>
      </c>
      <c r="AC537" s="879">
        <v>7505</v>
      </c>
      <c r="AD537" s="879">
        <v>7493</v>
      </c>
      <c r="AE537" s="879">
        <v>7474</v>
      </c>
      <c r="AF537" s="879">
        <v>7457</v>
      </c>
      <c r="AG537" s="880"/>
      <c r="AH537" s="880"/>
      <c r="AI537" s="880"/>
      <c r="AK537" s="879">
        <v>7683</v>
      </c>
      <c r="AL537" s="879">
        <v>7683</v>
      </c>
      <c r="AM537" s="879">
        <v>7683</v>
      </c>
      <c r="AN537" s="879">
        <v>7683</v>
      </c>
      <c r="AO537" s="879">
        <v>7683</v>
      </c>
      <c r="AP537" s="879">
        <v>7683</v>
      </c>
      <c r="AQ537" s="879">
        <v>7683</v>
      </c>
      <c r="AR537" s="879">
        <v>7683</v>
      </c>
      <c r="AS537" s="879">
        <v>7683</v>
      </c>
      <c r="AT537" s="879">
        <v>7683</v>
      </c>
      <c r="AU537" s="879">
        <v>7683</v>
      </c>
      <c r="AV537" s="879">
        <v>7746</v>
      </c>
      <c r="AW537" s="879">
        <v>7700</v>
      </c>
      <c r="AX537" s="879"/>
      <c r="AY537" s="8">
        <f>+AVERAGE(D537:G537)</f>
        <v>7924.25</v>
      </c>
      <c r="AZ537" s="8">
        <f>+AVERAGE(H537:K537)</f>
        <v>7746</v>
      </c>
      <c r="BA537" s="8">
        <f>+AVERAGE(L537:O537)</f>
        <v>7699.75</v>
      </c>
      <c r="BB537" s="8">
        <v>7673</v>
      </c>
      <c r="BC537" s="8">
        <v>7610</v>
      </c>
      <c r="BD537" s="8">
        <f>AVERAGE(X537:AA537)</f>
        <v>7546.75</v>
      </c>
      <c r="BE537" s="8">
        <f>+BE534/BE541</f>
        <v>7497.3325607464167</v>
      </c>
      <c r="BF537" s="8"/>
    </row>
    <row r="538" spans="2:58">
      <c r="B538" s="878" t="s">
        <v>508</v>
      </c>
      <c r="D538" s="879">
        <v>8084</v>
      </c>
      <c r="E538" s="879">
        <v>8051</v>
      </c>
      <c r="F538" s="879">
        <v>7985</v>
      </c>
      <c r="G538" s="879">
        <v>7929</v>
      </c>
      <c r="H538" s="879">
        <v>7876</v>
      </c>
      <c r="I538" s="879">
        <v>7830</v>
      </c>
      <c r="J538" s="879">
        <v>7813</v>
      </c>
      <c r="K538" s="879">
        <v>7806</v>
      </c>
      <c r="L538" s="879">
        <v>7799</v>
      </c>
      <c r="M538" s="879">
        <v>7710</v>
      </c>
      <c r="N538" s="879">
        <v>7794</v>
      </c>
      <c r="O538" s="879">
        <v>7775</v>
      </c>
      <c r="P538" s="879">
        <v>7766</v>
      </c>
      <c r="Q538" s="879">
        <v>7768</v>
      </c>
      <c r="R538" s="879">
        <v>7744</v>
      </c>
      <c r="S538" s="879">
        <f>+BB538*4-SUM(P538:R538)</f>
        <v>7734</v>
      </c>
      <c r="T538" s="879">
        <v>7710</v>
      </c>
      <c r="U538" s="879">
        <f>+U534/U542</f>
        <v>7714.5695364238409</v>
      </c>
      <c r="V538" s="879">
        <v>7675</v>
      </c>
      <c r="W538" s="879">
        <v>7650</v>
      </c>
      <c r="X538" s="879">
        <v>7637</v>
      </c>
      <c r="Y538" s="879">
        <v>7616</v>
      </c>
      <c r="Z538" s="879">
        <v>7597</v>
      </c>
      <c r="AA538" s="879">
        <v>7581</v>
      </c>
      <c r="AB538" s="879">
        <v>7567</v>
      </c>
      <c r="AC538" s="879">
        <v>7555</v>
      </c>
      <c r="AD538" s="879">
        <v>7534</v>
      </c>
      <c r="AE538" s="879">
        <v>7506</v>
      </c>
      <c r="AF538" s="879">
        <v>7485</v>
      </c>
      <c r="AG538" s="880"/>
      <c r="AH538" s="880"/>
      <c r="AI538" s="880"/>
      <c r="AK538" s="879">
        <v>7775</v>
      </c>
      <c r="AL538" s="879">
        <v>7775</v>
      </c>
      <c r="AM538" s="879">
        <v>7775</v>
      </c>
      <c r="AN538" s="879">
        <v>7775</v>
      </c>
      <c r="AO538" s="879">
        <v>7775</v>
      </c>
      <c r="AP538" s="879">
        <v>7775</v>
      </c>
      <c r="AQ538" s="879">
        <v>7775</v>
      </c>
      <c r="AR538" s="879">
        <v>7775</v>
      </c>
      <c r="AS538" s="879">
        <v>7775</v>
      </c>
      <c r="AT538" s="879">
        <v>7775</v>
      </c>
      <c r="AU538" s="879">
        <v>7775</v>
      </c>
      <c r="AV538" s="879">
        <v>7832</v>
      </c>
      <c r="AW538" s="879">
        <v>7794</v>
      </c>
      <c r="AX538" s="879"/>
      <c r="AY538" s="8">
        <f>+AVERAGE(D538:G538)</f>
        <v>8012.25</v>
      </c>
      <c r="AZ538" s="8">
        <f>+AVERAGE(H538:K538)</f>
        <v>7831.25</v>
      </c>
      <c r="BA538" s="8">
        <f>+AVERAGE(L538:O538)</f>
        <v>7769.5</v>
      </c>
      <c r="BB538" s="8">
        <v>7753</v>
      </c>
      <c r="BC538" s="8">
        <v>7683</v>
      </c>
      <c r="BD538" s="8">
        <f>AVERAGE(X538:AA538)</f>
        <v>7607.75</v>
      </c>
      <c r="BE538" s="8">
        <f>+BE534/BE542</f>
        <v>7542.2056774556859</v>
      </c>
      <c r="BF538" s="8"/>
    </row>
    <row r="540" spans="2:58">
      <c r="B540" s="944" t="s">
        <v>509</v>
      </c>
      <c r="W540" s="100"/>
      <c r="X540" s="100"/>
      <c r="Y540" s="100"/>
      <c r="Z540" s="100"/>
      <c r="AA540" s="100"/>
      <c r="AB540" s="100"/>
      <c r="AC540" s="100"/>
      <c r="AD540" s="100"/>
      <c r="AE540" s="100"/>
      <c r="AF540" s="100"/>
      <c r="AG540" s="100"/>
      <c r="AH540" s="100"/>
      <c r="AI540" s="100"/>
    </row>
    <row r="541" spans="2:58">
      <c r="B541" s="878" t="s">
        <v>507</v>
      </c>
      <c r="D541" s="9">
        <f t="shared" ref="D541:R541" si="560">+D534/D537</f>
        <v>0.63394197098549276</v>
      </c>
      <c r="E541" s="9">
        <f t="shared" si="560"/>
        <v>0.74560522350577596</v>
      </c>
      <c r="F541" s="9">
        <f t="shared" si="560"/>
        <v>0.54528182393920199</v>
      </c>
      <c r="G541" s="9">
        <f t="shared" si="560"/>
        <v>0.66653914817648563</v>
      </c>
      <c r="H541" s="9">
        <f t="shared" si="560"/>
        <v>0.72756451405828737</v>
      </c>
      <c r="I541" s="9">
        <f t="shared" si="560"/>
        <v>0.80812379110251453</v>
      </c>
      <c r="J541" s="9">
        <f t="shared" si="560"/>
        <v>0.71016181229773467</v>
      </c>
      <c r="K541" s="9">
        <f t="shared" si="560"/>
        <v>1.0458846403110824</v>
      </c>
      <c r="L541" s="9">
        <f t="shared" si="560"/>
        <v>0.85313959522573946</v>
      </c>
      <c r="M541" s="9">
        <f t="shared" si="560"/>
        <v>-0.81738002594033721</v>
      </c>
      <c r="N541" s="9">
        <f t="shared" si="560"/>
        <v>0.9644063393089114</v>
      </c>
      <c r="O541" s="9">
        <f t="shared" si="560"/>
        <v>1.1548874137706624</v>
      </c>
      <c r="P541" s="9">
        <f t="shared" si="560"/>
        <v>1.1500065163560538</v>
      </c>
      <c r="Q541" s="9">
        <f t="shared" si="560"/>
        <v>1.09464378575143</v>
      </c>
      <c r="R541" s="9">
        <f t="shared" si="560"/>
        <v>1.1482012513034412</v>
      </c>
      <c r="S541" s="9">
        <v>1.72</v>
      </c>
      <c r="T541" s="9">
        <v>1.4</v>
      </c>
      <c r="U541" s="9">
        <v>1.53</v>
      </c>
      <c r="V541" s="9">
        <v>1.41</v>
      </c>
      <c r="W541" s="945">
        <f t="shared" ref="W541:AF541" si="561">+W534/W537</f>
        <v>1.4778364116094986</v>
      </c>
      <c r="X541" s="945">
        <f t="shared" si="561"/>
        <v>1.8362410785091197</v>
      </c>
      <c r="Y541" s="945">
        <f t="shared" si="561"/>
        <v>2.0467240238252811</v>
      </c>
      <c r="Z541" s="945">
        <f t="shared" si="561"/>
        <v>2.0502719193526993</v>
      </c>
      <c r="AA541" s="945">
        <f t="shared" si="561"/>
        <v>2.1865284974093266</v>
      </c>
      <c r="AB541" s="945">
        <f t="shared" si="561"/>
        <v>2.7292692666045522</v>
      </c>
      <c r="AC541" s="945">
        <f t="shared" si="561"/>
        <v>2.5003331112591605</v>
      </c>
      <c r="AD541" s="945">
        <f t="shared" si="561"/>
        <v>2.2324836514079807</v>
      </c>
      <c r="AE541" s="945">
        <f t="shared" si="561"/>
        <v>2.2397645169922398</v>
      </c>
      <c r="AF541" s="945">
        <f t="shared" si="561"/>
        <v>2.3542979750569932</v>
      </c>
      <c r="AG541" s="945"/>
      <c r="AH541" s="945"/>
      <c r="AI541" s="945"/>
      <c r="AK541" s="9">
        <f t="shared" ref="AK541:AW541" si="562">+AK534/AK537</f>
        <v>1.5949498893661329</v>
      </c>
      <c r="AL541" s="9">
        <f t="shared" si="562"/>
        <v>1.6398542236105689</v>
      </c>
      <c r="AM541" s="9">
        <f t="shared" si="562"/>
        <v>1.8306651047767799</v>
      </c>
      <c r="AN541" s="9">
        <f t="shared" si="562"/>
        <v>2.3013145906546923</v>
      </c>
      <c r="AO541" s="9">
        <f t="shared" si="562"/>
        <v>1.8962644800208253</v>
      </c>
      <c r="AP541" s="9">
        <f t="shared" si="562"/>
        <v>2.441754522972797</v>
      </c>
      <c r="AQ541" s="9">
        <f t="shared" si="562"/>
        <v>3.0131459065469217</v>
      </c>
      <c r="AR541" s="9">
        <f t="shared" si="562"/>
        <v>2.2098138747884941</v>
      </c>
      <c r="AS541" s="9">
        <f t="shared" si="562"/>
        <v>2.845633216191592</v>
      </c>
      <c r="AT541" s="9">
        <f t="shared" si="562"/>
        <v>2.8730964467005076</v>
      </c>
      <c r="AU541" s="9">
        <f t="shared" si="562"/>
        <v>1.5870102824417545</v>
      </c>
      <c r="AV541" s="9">
        <f t="shared" si="562"/>
        <v>2.2798863929770206</v>
      </c>
      <c r="AW541" s="9">
        <f t="shared" si="562"/>
        <v>2.54</v>
      </c>
      <c r="AX541" s="9"/>
      <c r="AY541" s="9">
        <f>+AY534/AY537</f>
        <v>2.5919172161403288</v>
      </c>
      <c r="AZ541" s="9">
        <f>+AZ534/AZ537</f>
        <v>3.2906016008262329</v>
      </c>
      <c r="BA541" s="9">
        <f>+BA534/BA537</f>
        <v>2.1521477970063962</v>
      </c>
      <c r="BB541" s="9">
        <f>+BB534/BB537</f>
        <v>5.114036230939659</v>
      </c>
      <c r="BC541" s="9">
        <f>SUM(T541:W541)</f>
        <v>5.8178364116094983</v>
      </c>
      <c r="BD541" s="9">
        <f>+BD534/BD537</f>
        <v>8.1188591115380788</v>
      </c>
      <c r="BE541" s="9">
        <f>+SUM(AB541:AE541)</f>
        <v>9.7018505462639339</v>
      </c>
      <c r="BF541" s="9"/>
    </row>
    <row r="542" spans="2:58">
      <c r="B542" s="878" t="s">
        <v>508</v>
      </c>
      <c r="D542" s="9">
        <f t="shared" ref="D542:R542" si="563">+D534/D538</f>
        <v>0.62704106877783272</v>
      </c>
      <c r="E542" s="9">
        <f t="shared" si="563"/>
        <v>0.73754813066699787</v>
      </c>
      <c r="F542" s="9">
        <f t="shared" si="563"/>
        <v>0.53913587977457733</v>
      </c>
      <c r="G542" s="9">
        <f t="shared" si="563"/>
        <v>0.65922562744356161</v>
      </c>
      <c r="H542" s="9">
        <f t="shared" si="563"/>
        <v>0.71952767902488568</v>
      </c>
      <c r="I542" s="9">
        <f t="shared" si="563"/>
        <v>0.80038314176245207</v>
      </c>
      <c r="J542" s="9">
        <f t="shared" si="563"/>
        <v>0.70216306156405994</v>
      </c>
      <c r="K542" s="9">
        <f t="shared" si="563"/>
        <v>1.033692031770433</v>
      </c>
      <c r="L542" s="9">
        <f t="shared" si="563"/>
        <v>0.84318502372098991</v>
      </c>
      <c r="M542" s="9">
        <f t="shared" si="563"/>
        <v>-0.81738002594033721</v>
      </c>
      <c r="N542" s="9">
        <f t="shared" si="563"/>
        <v>0.95252758532204262</v>
      </c>
      <c r="O542" s="9">
        <f t="shared" si="563"/>
        <v>1.1412218649517685</v>
      </c>
      <c r="P542" s="9">
        <f t="shared" si="563"/>
        <v>1.1362348699459182</v>
      </c>
      <c r="Q542" s="9">
        <f t="shared" si="563"/>
        <v>1.0839340885684861</v>
      </c>
      <c r="R542" s="9">
        <f t="shared" si="563"/>
        <v>1.1375258264462811</v>
      </c>
      <c r="S542" s="9">
        <v>1.71</v>
      </c>
      <c r="T542" s="9">
        <v>1.38</v>
      </c>
      <c r="U542" s="9">
        <v>1.51</v>
      </c>
      <c r="V542" s="9">
        <v>1.4</v>
      </c>
      <c r="W542" s="945">
        <f t="shared" ref="W542:AF542" si="564">+W534/W538</f>
        <v>1.4643137254901961</v>
      </c>
      <c r="X542" s="945">
        <f t="shared" si="564"/>
        <v>1.8191698310855047</v>
      </c>
      <c r="Y542" s="945">
        <f t="shared" si="564"/>
        <v>2.0303308823529411</v>
      </c>
      <c r="Z542" s="945">
        <f t="shared" si="564"/>
        <v>2.0346189285244174</v>
      </c>
      <c r="AA542" s="945">
        <f t="shared" si="564"/>
        <v>2.1709537000395724</v>
      </c>
      <c r="AB542" s="945">
        <f t="shared" si="564"/>
        <v>2.7097925201532971</v>
      </c>
      <c r="AC542" s="945">
        <f t="shared" si="564"/>
        <v>2.4837855724685638</v>
      </c>
      <c r="AD542" s="945">
        <f t="shared" si="564"/>
        <v>2.2203344836740113</v>
      </c>
      <c r="AE542" s="945">
        <f t="shared" si="564"/>
        <v>2.2302158273381294</v>
      </c>
      <c r="AF542" s="945">
        <f t="shared" si="564"/>
        <v>2.3454909819639278</v>
      </c>
      <c r="AG542" s="945"/>
      <c r="AH542" s="945"/>
      <c r="AI542" s="945"/>
      <c r="AK542" s="9">
        <f t="shared" ref="AK542:AW542" si="565">+AK534/AK538</f>
        <v>1.5760771704180063</v>
      </c>
      <c r="AL542" s="9">
        <f t="shared" si="565"/>
        <v>1.6204501607717041</v>
      </c>
      <c r="AM542" s="9">
        <f t="shared" si="565"/>
        <v>1.8090032154340836</v>
      </c>
      <c r="AN542" s="9">
        <f t="shared" si="565"/>
        <v>2.2740836012861738</v>
      </c>
      <c r="AO542" s="9">
        <f t="shared" si="565"/>
        <v>1.8738263665594854</v>
      </c>
      <c r="AP542" s="9">
        <f t="shared" si="565"/>
        <v>2.4128617363344049</v>
      </c>
      <c r="AQ542" s="9">
        <f t="shared" si="565"/>
        <v>2.977491961414791</v>
      </c>
      <c r="AR542" s="9">
        <f t="shared" si="565"/>
        <v>2.1836655948553054</v>
      </c>
      <c r="AS542" s="9">
        <f t="shared" si="565"/>
        <v>2.8119614147909968</v>
      </c>
      <c r="AT542" s="9">
        <f t="shared" si="565"/>
        <v>2.8390996784565918</v>
      </c>
      <c r="AU542" s="9">
        <f t="shared" si="565"/>
        <v>1.5682315112540193</v>
      </c>
      <c r="AV542" s="9">
        <f t="shared" si="565"/>
        <v>2.2548518896833505</v>
      </c>
      <c r="AW542" s="9">
        <f t="shared" si="565"/>
        <v>2.5093661791121376</v>
      </c>
      <c r="AX542" s="9"/>
      <c r="AY542" s="9">
        <f>+AY534/AY538</f>
        <v>2.5634497176198945</v>
      </c>
      <c r="AZ542" s="9">
        <f>+AZ534/AZ538</f>
        <v>3.2547805267358338</v>
      </c>
      <c r="BA542" s="9">
        <f>+BA534/BA538</f>
        <v>2.1328270802496943</v>
      </c>
      <c r="BB542" s="9">
        <f>+BB534/BB538</f>
        <v>5.0612666064749128</v>
      </c>
      <c r="BC542" s="9">
        <v>5.76</v>
      </c>
      <c r="BD542" s="9">
        <f>+BD534/BD538</f>
        <v>8.0537609674345241</v>
      </c>
      <c r="BE542" s="9">
        <f>+SUM(AB542:AE542)</f>
        <v>9.6441284036340011</v>
      </c>
      <c r="BF542" s="9"/>
    </row>
    <row r="543" spans="2:58">
      <c r="B543" s="878"/>
      <c r="D543" s="9"/>
      <c r="E543" s="9"/>
      <c r="F543" s="9"/>
      <c r="G543" s="9"/>
      <c r="H543" s="9"/>
      <c r="I543" s="9"/>
      <c r="J543" s="9"/>
      <c r="K543" s="9"/>
      <c r="L543" s="9"/>
      <c r="M543" s="9"/>
      <c r="N543" s="9"/>
      <c r="O543" s="9"/>
      <c r="P543" s="9"/>
      <c r="Q543" s="9"/>
      <c r="R543" s="9"/>
      <c r="S543" s="9"/>
      <c r="T543" s="9"/>
      <c r="U543" s="9"/>
      <c r="V543" s="9"/>
      <c r="W543" s="945"/>
      <c r="X543" s="945"/>
      <c r="Y543" s="945"/>
      <c r="Z543" s="945"/>
      <c r="AA543" s="945"/>
      <c r="AB543" s="945"/>
      <c r="AC543" s="945"/>
      <c r="AD543" s="945"/>
      <c r="AE543" s="945"/>
      <c r="AF543" s="945"/>
      <c r="AG543" s="945"/>
      <c r="AH543" s="945"/>
      <c r="AI543" s="945"/>
      <c r="AK543" s="9"/>
      <c r="AL543" s="9"/>
      <c r="AM543" s="9"/>
      <c r="AN543" s="9"/>
      <c r="AO543" s="9"/>
      <c r="AP543" s="9"/>
      <c r="AQ543" s="9"/>
      <c r="AR543" s="9"/>
      <c r="AS543" s="9"/>
      <c r="AT543" s="9"/>
      <c r="AU543" s="9"/>
      <c r="AV543" s="9"/>
      <c r="AW543" s="9"/>
      <c r="AX543" s="9"/>
      <c r="AY543" s="9"/>
      <c r="AZ543" s="9"/>
      <c r="BA543" s="9"/>
      <c r="BB543" s="9"/>
      <c r="BC543" s="9"/>
      <c r="BD543" s="9"/>
      <c r="BE543" s="9"/>
      <c r="BF543" s="9"/>
    </row>
    <row r="544" spans="2:58" ht="10.5">
      <c r="B544" s="910" t="s">
        <v>510</v>
      </c>
      <c r="T544" s="9"/>
    </row>
    <row r="545" spans="1:59">
      <c r="B545" s="878" t="s">
        <v>86</v>
      </c>
      <c r="D545" s="8">
        <f t="shared" ref="D545:AI545" si="566">+D505</f>
        <v>20910</v>
      </c>
      <c r="E545" s="8">
        <f t="shared" si="566"/>
        <v>25253</v>
      </c>
      <c r="F545" s="8">
        <f t="shared" si="566"/>
        <v>21517</v>
      </c>
      <c r="G545" s="8">
        <f t="shared" si="566"/>
        <v>23474</v>
      </c>
      <c r="H545" s="8">
        <f t="shared" si="566"/>
        <v>21928</v>
      </c>
      <c r="I545" s="8">
        <f t="shared" si="566"/>
        <v>25826</v>
      </c>
      <c r="J545" s="8">
        <f t="shared" si="566"/>
        <v>23212</v>
      </c>
      <c r="K545" s="8">
        <f t="shared" si="566"/>
        <v>25605</v>
      </c>
      <c r="L545" s="8">
        <f t="shared" si="566"/>
        <v>24538</v>
      </c>
      <c r="M545" s="8">
        <f t="shared" si="566"/>
        <v>28918</v>
      </c>
      <c r="N545" s="8">
        <f t="shared" si="566"/>
        <v>26819</v>
      </c>
      <c r="O545" s="8">
        <f t="shared" si="566"/>
        <v>30085</v>
      </c>
      <c r="P545" s="8">
        <f t="shared" si="566"/>
        <v>29084</v>
      </c>
      <c r="Q545" s="8">
        <f t="shared" si="566"/>
        <v>32471</v>
      </c>
      <c r="R545" s="8">
        <f t="shared" si="566"/>
        <v>30571</v>
      </c>
      <c r="S545" s="8">
        <f t="shared" si="566"/>
        <v>33717</v>
      </c>
      <c r="T545" s="8">
        <f t="shared" si="566"/>
        <v>33055</v>
      </c>
      <c r="U545" s="8">
        <f t="shared" si="566"/>
        <v>36906</v>
      </c>
      <c r="V545" s="8">
        <f t="shared" si="566"/>
        <v>35021</v>
      </c>
      <c r="W545" s="8">
        <f t="shared" si="566"/>
        <v>38033</v>
      </c>
      <c r="X545" s="8">
        <f t="shared" si="566"/>
        <v>37154</v>
      </c>
      <c r="Y545" s="8">
        <f t="shared" si="566"/>
        <v>43076</v>
      </c>
      <c r="Z545" s="8">
        <f t="shared" si="566"/>
        <v>41706</v>
      </c>
      <c r="AA545" s="8">
        <f t="shared" si="566"/>
        <v>46152</v>
      </c>
      <c r="AB545" s="8">
        <f t="shared" si="566"/>
        <v>45317</v>
      </c>
      <c r="AC545" s="8">
        <f t="shared" si="566"/>
        <v>51728</v>
      </c>
      <c r="AD545" s="8">
        <f t="shared" si="566"/>
        <v>49360</v>
      </c>
      <c r="AE545" s="8">
        <f t="shared" si="566"/>
        <v>51865</v>
      </c>
      <c r="AF545" s="8">
        <f t="shared" si="566"/>
        <v>50122</v>
      </c>
      <c r="AG545" s="8">
        <f t="shared" si="566"/>
        <v>53588.734970439065</v>
      </c>
      <c r="AH545" s="8">
        <f t="shared" si="566"/>
        <v>51569.768876460585</v>
      </c>
      <c r="AI545" s="8">
        <f t="shared" si="566"/>
        <v>55382.846663871453</v>
      </c>
      <c r="AK545" s="8"/>
      <c r="AL545" s="8"/>
      <c r="AM545" s="8"/>
      <c r="AN545" s="8"/>
      <c r="AO545" s="8"/>
      <c r="AP545" s="8"/>
      <c r="AQ545" s="8">
        <f t="shared" ref="AQ545:AW545" si="567">+AQ505</f>
        <v>69943</v>
      </c>
      <c r="AR545" s="8">
        <f t="shared" si="567"/>
        <v>73723</v>
      </c>
      <c r="AS545" s="8">
        <f t="shared" si="567"/>
        <v>77849</v>
      </c>
      <c r="AT545" s="8">
        <f t="shared" si="567"/>
        <v>86833</v>
      </c>
      <c r="AU545" s="8">
        <f t="shared" si="567"/>
        <v>93580</v>
      </c>
      <c r="AV545" s="8">
        <f t="shared" si="567"/>
        <v>85320</v>
      </c>
      <c r="AW545" s="8">
        <f t="shared" si="567"/>
        <v>89950</v>
      </c>
      <c r="AY545" s="8">
        <f t="shared" ref="AY545:BE545" si="568">+AY505</f>
        <v>91154</v>
      </c>
      <c r="AZ545" s="8">
        <f t="shared" si="568"/>
        <v>96571</v>
      </c>
      <c r="BA545" s="8">
        <f t="shared" si="568"/>
        <v>110360</v>
      </c>
      <c r="BB545" s="8">
        <f t="shared" si="568"/>
        <v>125843</v>
      </c>
      <c r="BC545" s="8">
        <f t="shared" si="568"/>
        <v>143015</v>
      </c>
      <c r="BD545" s="8">
        <f t="shared" si="568"/>
        <v>168088</v>
      </c>
      <c r="BE545" s="8">
        <f t="shared" si="568"/>
        <v>198270</v>
      </c>
      <c r="BF545" s="8">
        <f t="shared" ref="BF545:BF547" si="569">SUM(AF545:AI545)</f>
        <v>210663.35051077112</v>
      </c>
      <c r="BG545" s="8"/>
    </row>
    <row r="546" spans="1:59">
      <c r="B546" s="878" t="s">
        <v>511</v>
      </c>
      <c r="D546" s="879">
        <v>0</v>
      </c>
      <c r="E546" s="879">
        <v>0</v>
      </c>
      <c r="F546" s="879">
        <v>0</v>
      </c>
      <c r="G546" s="879">
        <v>0</v>
      </c>
      <c r="H546" s="879">
        <v>0</v>
      </c>
      <c r="I546" s="879">
        <v>0</v>
      </c>
      <c r="J546" s="879">
        <v>0</v>
      </c>
      <c r="K546" s="879">
        <v>0</v>
      </c>
      <c r="L546" s="879">
        <v>0</v>
      </c>
      <c r="M546" s="879">
        <v>0</v>
      </c>
      <c r="N546" s="879">
        <v>0</v>
      </c>
      <c r="O546" s="879">
        <v>0</v>
      </c>
      <c r="P546" s="879">
        <v>0</v>
      </c>
      <c r="Q546" s="879">
        <v>0</v>
      </c>
      <c r="R546" s="879">
        <v>0</v>
      </c>
      <c r="S546" s="879">
        <v>0</v>
      </c>
      <c r="T546" s="879">
        <v>0</v>
      </c>
      <c r="U546" s="879">
        <v>0</v>
      </c>
      <c r="V546" s="879">
        <v>0</v>
      </c>
      <c r="W546" s="879">
        <v>0</v>
      </c>
      <c r="X546" s="879">
        <v>0</v>
      </c>
      <c r="Y546" s="879">
        <v>0</v>
      </c>
      <c r="Z546" s="879">
        <v>0</v>
      </c>
      <c r="AA546" s="879">
        <v>0</v>
      </c>
      <c r="AB546" s="879">
        <v>0</v>
      </c>
      <c r="AC546" s="879">
        <v>0</v>
      </c>
      <c r="AD546" s="879">
        <v>0</v>
      </c>
      <c r="AE546" s="879">
        <v>0</v>
      </c>
      <c r="AF546" s="879">
        <v>0</v>
      </c>
      <c r="AG546" s="879">
        <v>0</v>
      </c>
      <c r="AH546" s="879">
        <v>0</v>
      </c>
      <c r="AI546" s="879">
        <v>0</v>
      </c>
      <c r="AK546" s="879"/>
      <c r="AL546" s="879"/>
      <c r="AM546" s="879"/>
      <c r="AN546" s="879"/>
      <c r="AO546" s="879"/>
      <c r="AP546" s="879"/>
      <c r="AQ546" s="879">
        <v>0</v>
      </c>
      <c r="AR546" s="879">
        <v>0</v>
      </c>
      <c r="AS546" s="879">
        <v>0</v>
      </c>
      <c r="AT546" s="879">
        <v>0</v>
      </c>
      <c r="AU546" s="879">
        <v>0</v>
      </c>
      <c r="AV546" s="879">
        <v>6643</v>
      </c>
      <c r="AW546" s="879">
        <v>6707</v>
      </c>
      <c r="AY546" s="879">
        <v>0</v>
      </c>
      <c r="AZ546" s="879">
        <v>0</v>
      </c>
      <c r="BA546" s="879">
        <v>0</v>
      </c>
      <c r="BB546" s="879">
        <v>0</v>
      </c>
      <c r="BC546" s="879">
        <v>0</v>
      </c>
      <c r="BD546" s="879">
        <v>0</v>
      </c>
      <c r="BE546" s="879">
        <v>0</v>
      </c>
      <c r="BF546" s="879">
        <f t="shared" si="569"/>
        <v>0</v>
      </c>
      <c r="BG546" s="879"/>
    </row>
    <row r="547" spans="1:59" ht="11.45">
      <c r="B547" s="878" t="s">
        <v>512</v>
      </c>
      <c r="D547" s="905">
        <v>0</v>
      </c>
      <c r="E547" s="905">
        <v>0</v>
      </c>
      <c r="F547" s="905">
        <v>0</v>
      </c>
      <c r="G547" s="905">
        <v>0</v>
      </c>
      <c r="H547" s="905">
        <v>0</v>
      </c>
      <c r="I547" s="905">
        <v>0</v>
      </c>
      <c r="J547" s="905">
        <v>0</v>
      </c>
      <c r="K547" s="905">
        <v>0</v>
      </c>
      <c r="L547" s="905">
        <v>0</v>
      </c>
      <c r="M547" s="905">
        <v>0</v>
      </c>
      <c r="N547" s="905">
        <v>0</v>
      </c>
      <c r="O547" s="905">
        <v>0</v>
      </c>
      <c r="P547" s="905">
        <v>0</v>
      </c>
      <c r="Q547" s="905">
        <v>0</v>
      </c>
      <c r="R547" s="905">
        <v>0</v>
      </c>
      <c r="S547" s="905">
        <v>0</v>
      </c>
      <c r="T547" s="905">
        <v>0</v>
      </c>
      <c r="U547" s="905">
        <v>0</v>
      </c>
      <c r="V547" s="905">
        <v>0</v>
      </c>
      <c r="W547" s="905">
        <v>0</v>
      </c>
      <c r="X547" s="905">
        <v>0</v>
      </c>
      <c r="Y547" s="905">
        <v>0</v>
      </c>
      <c r="Z547" s="905">
        <v>0</v>
      </c>
      <c r="AA547" s="905">
        <v>0</v>
      </c>
      <c r="AB547" s="905">
        <v>0</v>
      </c>
      <c r="AC547" s="905">
        <v>0</v>
      </c>
      <c r="AD547" s="905">
        <v>0</v>
      </c>
      <c r="AE547" s="905">
        <v>0</v>
      </c>
      <c r="AF547" s="905">
        <v>0</v>
      </c>
      <c r="AG547" s="905">
        <v>0</v>
      </c>
      <c r="AH547" s="905">
        <v>0</v>
      </c>
      <c r="AI547" s="905">
        <v>0</v>
      </c>
      <c r="AK547" s="879"/>
      <c r="AL547" s="879"/>
      <c r="AM547" s="879"/>
      <c r="AN547" s="879"/>
      <c r="AO547" s="879"/>
      <c r="AP547" s="879"/>
      <c r="AQ547" s="905">
        <v>0</v>
      </c>
      <c r="AR547" s="905">
        <v>540</v>
      </c>
      <c r="AS547" s="905">
        <v>-540</v>
      </c>
      <c r="AT547" s="905">
        <v>0</v>
      </c>
      <c r="AU547" s="905">
        <v>0</v>
      </c>
      <c r="AV547" s="905">
        <v>0</v>
      </c>
      <c r="AW547" s="905">
        <v>0</v>
      </c>
      <c r="AY547" s="905">
        <v>0</v>
      </c>
      <c r="AZ547" s="905">
        <v>0</v>
      </c>
      <c r="BA547" s="905">
        <v>0</v>
      </c>
      <c r="BB547" s="905">
        <v>0</v>
      </c>
      <c r="BC547" s="905">
        <v>0</v>
      </c>
      <c r="BD547" s="905">
        <v>0</v>
      </c>
      <c r="BE547" s="905">
        <v>0</v>
      </c>
      <c r="BF547" s="905">
        <f t="shared" si="569"/>
        <v>0</v>
      </c>
      <c r="BG547" s="905"/>
    </row>
    <row r="548" spans="1:59" s="1" customFormat="1" ht="10.5">
      <c r="B548" s="882" t="s">
        <v>513</v>
      </c>
      <c r="D548" s="838">
        <f t="shared" ref="D548:AI548" si="570">SUM(D545:D547)</f>
        <v>20910</v>
      </c>
      <c r="E548" s="838">
        <f t="shared" si="570"/>
        <v>25253</v>
      </c>
      <c r="F548" s="838">
        <f t="shared" si="570"/>
        <v>21517</v>
      </c>
      <c r="G548" s="838">
        <f t="shared" si="570"/>
        <v>23474</v>
      </c>
      <c r="H548" s="838">
        <f t="shared" si="570"/>
        <v>21928</v>
      </c>
      <c r="I548" s="838">
        <f t="shared" si="570"/>
        <v>25826</v>
      </c>
      <c r="J548" s="838">
        <f t="shared" si="570"/>
        <v>23212</v>
      </c>
      <c r="K548" s="838">
        <f t="shared" si="570"/>
        <v>25605</v>
      </c>
      <c r="L548" s="838">
        <f t="shared" si="570"/>
        <v>24538</v>
      </c>
      <c r="M548" s="838">
        <f t="shared" si="570"/>
        <v>28918</v>
      </c>
      <c r="N548" s="838">
        <f t="shared" si="570"/>
        <v>26819</v>
      </c>
      <c r="O548" s="838">
        <f t="shared" si="570"/>
        <v>30085</v>
      </c>
      <c r="P548" s="838">
        <f t="shared" si="570"/>
        <v>29084</v>
      </c>
      <c r="Q548" s="838">
        <f t="shared" si="570"/>
        <v>32471</v>
      </c>
      <c r="R548" s="838">
        <f t="shared" si="570"/>
        <v>30571</v>
      </c>
      <c r="S548" s="838">
        <f t="shared" si="570"/>
        <v>33717</v>
      </c>
      <c r="T548" s="838">
        <f t="shared" si="570"/>
        <v>33055</v>
      </c>
      <c r="U548" s="838">
        <f t="shared" si="570"/>
        <v>36906</v>
      </c>
      <c r="V548" s="838">
        <f t="shared" si="570"/>
        <v>35021</v>
      </c>
      <c r="W548" s="838">
        <f t="shared" si="570"/>
        <v>38033</v>
      </c>
      <c r="X548" s="838">
        <f t="shared" si="570"/>
        <v>37154</v>
      </c>
      <c r="Y548" s="838">
        <f t="shared" si="570"/>
        <v>43076</v>
      </c>
      <c r="Z548" s="838">
        <f t="shared" si="570"/>
        <v>41706</v>
      </c>
      <c r="AA548" s="838">
        <f t="shared" si="570"/>
        <v>46152</v>
      </c>
      <c r="AB548" s="838">
        <f t="shared" si="570"/>
        <v>45317</v>
      </c>
      <c r="AC548" s="838">
        <f t="shared" si="570"/>
        <v>51728</v>
      </c>
      <c r="AD548" s="838">
        <f t="shared" si="570"/>
        <v>49360</v>
      </c>
      <c r="AE548" s="838">
        <f t="shared" si="570"/>
        <v>51865</v>
      </c>
      <c r="AF548" s="838">
        <f t="shared" si="570"/>
        <v>50122</v>
      </c>
      <c r="AG548" s="838">
        <f t="shared" si="570"/>
        <v>53588.734970439065</v>
      </c>
      <c r="AH548" s="838">
        <f t="shared" si="570"/>
        <v>51569.768876460585</v>
      </c>
      <c r="AI548" s="838">
        <f t="shared" si="570"/>
        <v>55382.846663871453</v>
      </c>
      <c r="AK548" s="838"/>
      <c r="AL548" s="838"/>
      <c r="AM548" s="838"/>
      <c r="AN548" s="838"/>
      <c r="AO548" s="838"/>
      <c r="AP548" s="838"/>
      <c r="AQ548" s="838">
        <f t="shared" ref="AQ548:AW548" si="571">SUM(AQ545:AQ547)</f>
        <v>69943</v>
      </c>
      <c r="AR548" s="838">
        <f t="shared" si="571"/>
        <v>74263</v>
      </c>
      <c r="AS548" s="838">
        <f t="shared" si="571"/>
        <v>77309</v>
      </c>
      <c r="AT548" s="838">
        <f t="shared" si="571"/>
        <v>86833</v>
      </c>
      <c r="AU548" s="838">
        <f t="shared" si="571"/>
        <v>93580</v>
      </c>
      <c r="AV548" s="838">
        <f t="shared" si="571"/>
        <v>91963</v>
      </c>
      <c r="AW548" s="838">
        <f t="shared" si="571"/>
        <v>96657</v>
      </c>
      <c r="AY548" s="838">
        <f t="shared" ref="AY548:BF548" si="572">SUM(AY545:AY547)</f>
        <v>91154</v>
      </c>
      <c r="AZ548" s="838">
        <f t="shared" si="572"/>
        <v>96571</v>
      </c>
      <c r="BA548" s="838">
        <f t="shared" si="572"/>
        <v>110360</v>
      </c>
      <c r="BB548" s="838">
        <f t="shared" si="572"/>
        <v>125843</v>
      </c>
      <c r="BC548" s="838">
        <f t="shared" si="572"/>
        <v>143015</v>
      </c>
      <c r="BD548" s="838">
        <f t="shared" si="572"/>
        <v>168088</v>
      </c>
      <c r="BE548" s="838">
        <f t="shared" si="572"/>
        <v>198270</v>
      </c>
      <c r="BF548" s="838">
        <f t="shared" si="572"/>
        <v>210663.35051077112</v>
      </c>
      <c r="BG548" s="838"/>
    </row>
    <row r="549" spans="1:59" s="7" customFormat="1">
      <c r="B549" s="887" t="s">
        <v>113</v>
      </c>
      <c r="D549" s="946"/>
      <c r="E549" s="946"/>
      <c r="F549" s="946"/>
      <c r="G549" s="946"/>
      <c r="H549" s="946">
        <f>+H548/D548-1</f>
        <v>4.8684839789574275E-2</v>
      </c>
      <c r="I549" s="946">
        <f t="shared" ref="I549:AI549" si="573">+I548/E548-1</f>
        <v>2.2690373420979792E-2</v>
      </c>
      <c r="J549" s="946">
        <f t="shared" si="573"/>
        <v>7.8774922154575489E-2</v>
      </c>
      <c r="K549" s="946">
        <f t="shared" si="573"/>
        <v>9.0781289937803544E-2</v>
      </c>
      <c r="L549" s="946">
        <f t="shared" si="573"/>
        <v>0.11902590295512594</v>
      </c>
      <c r="M549" s="946">
        <f t="shared" si="573"/>
        <v>0.11972430883605667</v>
      </c>
      <c r="N549" s="946">
        <f t="shared" si="573"/>
        <v>0.15539376184732046</v>
      </c>
      <c r="O549" s="946">
        <f t="shared" si="573"/>
        <v>0.17496582698691654</v>
      </c>
      <c r="P549" s="946">
        <f t="shared" si="573"/>
        <v>0.18526367267095933</v>
      </c>
      <c r="Q549" s="946">
        <f t="shared" si="573"/>
        <v>0.12286465177398154</v>
      </c>
      <c r="R549" s="946">
        <f t="shared" si="573"/>
        <v>0.13990081658525666</v>
      </c>
      <c r="S549" s="946">
        <f t="shared" si="573"/>
        <v>0.12072461359481479</v>
      </c>
      <c r="T549" s="946">
        <f t="shared" si="573"/>
        <v>0.13653555219364599</v>
      </c>
      <c r="U549" s="946">
        <f t="shared" si="573"/>
        <v>0.13658341289150311</v>
      </c>
      <c r="V549" s="946">
        <f t="shared" si="573"/>
        <v>0.14556278826338698</v>
      </c>
      <c r="W549" s="946">
        <f t="shared" si="573"/>
        <v>0.12800664353293589</v>
      </c>
      <c r="X549" s="946">
        <f t="shared" si="573"/>
        <v>0.12400544546967174</v>
      </c>
      <c r="Y549" s="946">
        <f t="shared" si="573"/>
        <v>0.16718148810491518</v>
      </c>
      <c r="Z549" s="946">
        <f t="shared" si="573"/>
        <v>0.19088546871876866</v>
      </c>
      <c r="AA549" s="946">
        <f t="shared" si="573"/>
        <v>0.21347251071437956</v>
      </c>
      <c r="AB549" s="946">
        <f t="shared" si="573"/>
        <v>0.21970716477364483</v>
      </c>
      <c r="AC549" s="946">
        <f t="shared" si="573"/>
        <v>0.2008543040208004</v>
      </c>
      <c r="AD549" s="946">
        <f t="shared" si="573"/>
        <v>0.18352275451973332</v>
      </c>
      <c r="AE549" s="946">
        <f t="shared" si="573"/>
        <v>0.12378661813139202</v>
      </c>
      <c r="AF549" s="946">
        <f t="shared" si="573"/>
        <v>0.1060308493501334</v>
      </c>
      <c r="AG549" s="946">
        <f t="shared" si="573"/>
        <v>3.5971523554729767E-2</v>
      </c>
      <c r="AH549" s="946">
        <f t="shared" si="573"/>
        <v>4.476841321840741E-2</v>
      </c>
      <c r="AI549" s="946">
        <f t="shared" si="573"/>
        <v>6.7826986674471179E-2</v>
      </c>
      <c r="AL549" s="946"/>
      <c r="AM549" s="946"/>
      <c r="AN549" s="946"/>
      <c r="AO549" s="946"/>
      <c r="AP549" s="946"/>
      <c r="AQ549" s="946"/>
      <c r="AR549" s="946">
        <f t="shared" ref="AR549:AU549" si="574">+AR548/AQ548-1</f>
        <v>6.1764579729208124E-2</v>
      </c>
      <c r="AS549" s="946">
        <f t="shared" si="574"/>
        <v>4.1016387703163071E-2</v>
      </c>
      <c r="AT549" s="946">
        <f t="shared" si="574"/>
        <v>0.12319393602297279</v>
      </c>
      <c r="AU549" s="946">
        <f t="shared" si="574"/>
        <v>7.7700874091647165E-2</v>
      </c>
      <c r="AV549" s="946">
        <f>+AV548/AU548-1</f>
        <v>-1.727933319085273E-2</v>
      </c>
      <c r="AW549" s="946">
        <f>+AW548/AV548-1</f>
        <v>5.1042266998684305E-2</v>
      </c>
      <c r="AY549" s="946"/>
      <c r="AZ549" s="946">
        <f t="shared" ref="AZ549:BF549" si="575">+AZ548/AY548-1</f>
        <v>5.9426903920837271E-2</v>
      </c>
      <c r="BA549" s="946">
        <f t="shared" si="575"/>
        <v>0.14278613662486661</v>
      </c>
      <c r="BB549" s="946">
        <f t="shared" si="575"/>
        <v>0.14029539688292858</v>
      </c>
      <c r="BC549" s="946">
        <f t="shared" si="575"/>
        <v>0.13645574247276371</v>
      </c>
      <c r="BD549" s="946">
        <f t="shared" si="575"/>
        <v>0.17531727441177503</v>
      </c>
      <c r="BE549" s="946">
        <f t="shared" si="575"/>
        <v>0.17956070629670173</v>
      </c>
      <c r="BF549" s="946">
        <f t="shared" si="575"/>
        <v>6.2507441926519913E-2</v>
      </c>
      <c r="BG549" s="946"/>
    </row>
    <row r="551" spans="1:59">
      <c r="B551" s="878" t="s">
        <v>502</v>
      </c>
      <c r="D551" s="8">
        <f t="shared" ref="D551:AI551" si="576">+D530</f>
        <v>6316</v>
      </c>
      <c r="E551" s="8">
        <f t="shared" si="576"/>
        <v>7489</v>
      </c>
      <c r="F551" s="8">
        <f t="shared" si="576"/>
        <v>6277</v>
      </c>
      <c r="G551" s="8">
        <f t="shared" si="576"/>
        <v>5996</v>
      </c>
      <c r="H551" s="8">
        <f t="shared" si="576"/>
        <v>6715</v>
      </c>
      <c r="I551" s="8">
        <f t="shared" si="576"/>
        <v>7905</v>
      </c>
      <c r="J551" s="8">
        <f t="shared" si="576"/>
        <v>6723</v>
      </c>
      <c r="K551" s="8">
        <f t="shared" si="576"/>
        <v>7682</v>
      </c>
      <c r="L551" s="8">
        <f t="shared" si="576"/>
        <v>7708</v>
      </c>
      <c r="M551" s="8">
        <f t="shared" si="576"/>
        <v>8679</v>
      </c>
      <c r="N551" s="8">
        <f t="shared" si="576"/>
        <v>8292</v>
      </c>
      <c r="O551" s="8">
        <f t="shared" si="576"/>
        <v>10379</v>
      </c>
      <c r="P551" s="8">
        <f t="shared" si="576"/>
        <v>9955</v>
      </c>
      <c r="Q551" s="8">
        <f t="shared" si="576"/>
        <v>10258</v>
      </c>
      <c r="R551" s="8">
        <f t="shared" si="576"/>
        <v>10341</v>
      </c>
      <c r="S551" s="8">
        <f t="shared" si="576"/>
        <v>12405</v>
      </c>
      <c r="T551" s="8">
        <f t="shared" si="576"/>
        <v>12686</v>
      </c>
      <c r="U551" s="8">
        <f t="shared" si="576"/>
        <v>13891</v>
      </c>
      <c r="V551" s="8">
        <f t="shared" si="576"/>
        <v>12975</v>
      </c>
      <c r="W551" s="8">
        <f t="shared" si="576"/>
        <v>13407</v>
      </c>
      <c r="X551" s="8">
        <f t="shared" si="576"/>
        <v>15876</v>
      </c>
      <c r="Y551" s="8">
        <f t="shared" si="576"/>
        <v>17897</v>
      </c>
      <c r="Z551" s="8">
        <f t="shared" si="576"/>
        <v>17048</v>
      </c>
      <c r="AA551" s="8">
        <f t="shared" si="576"/>
        <v>19095</v>
      </c>
      <c r="AB551" s="8">
        <f t="shared" si="576"/>
        <v>20238</v>
      </c>
      <c r="AC551" s="8">
        <f t="shared" si="576"/>
        <v>22247</v>
      </c>
      <c r="AD551" s="8">
        <f t="shared" si="576"/>
        <v>20364</v>
      </c>
      <c r="AE551" s="8">
        <f t="shared" si="576"/>
        <v>20534</v>
      </c>
      <c r="AF551" s="8">
        <f t="shared" si="576"/>
        <v>21518</v>
      </c>
      <c r="AG551" s="8">
        <f t="shared" si="576"/>
        <v>22280.325017420888</v>
      </c>
      <c r="AH551" s="8">
        <f t="shared" si="576"/>
        <v>20668.367261994536</v>
      </c>
      <c r="AI551" s="8">
        <f t="shared" si="576"/>
        <v>21640.852583138716</v>
      </c>
      <c r="AK551" s="8"/>
      <c r="AL551" s="8"/>
      <c r="AM551" s="8"/>
      <c r="AN551" s="8"/>
      <c r="AO551" s="8"/>
      <c r="AP551" s="8"/>
      <c r="AQ551" s="8">
        <f t="shared" ref="AQ551:AW551" si="577">+AQ530</f>
        <v>27161</v>
      </c>
      <c r="AR551" s="8">
        <f t="shared" si="577"/>
        <v>21763</v>
      </c>
      <c r="AS551" s="8">
        <f t="shared" si="577"/>
        <v>26764</v>
      </c>
      <c r="AT551" s="8">
        <f t="shared" si="577"/>
        <v>27759</v>
      </c>
      <c r="AU551" s="8">
        <f t="shared" si="577"/>
        <v>18161</v>
      </c>
      <c r="AV551" s="8">
        <f t="shared" si="577"/>
        <v>20182</v>
      </c>
      <c r="AW551" s="8">
        <f t="shared" si="577"/>
        <v>22326</v>
      </c>
      <c r="AY551" s="8">
        <f t="shared" ref="AY551:BE551" si="578">+AY530</f>
        <v>26078</v>
      </c>
      <c r="AZ551" s="8">
        <f t="shared" si="578"/>
        <v>29025</v>
      </c>
      <c r="BA551" s="8">
        <f t="shared" si="578"/>
        <v>35058</v>
      </c>
      <c r="BB551" s="8">
        <f t="shared" si="578"/>
        <v>42959</v>
      </c>
      <c r="BC551" s="8">
        <f t="shared" si="578"/>
        <v>52959</v>
      </c>
      <c r="BD551" s="8">
        <f t="shared" si="578"/>
        <v>69916</v>
      </c>
      <c r="BE551" s="8">
        <f t="shared" si="578"/>
        <v>83383</v>
      </c>
      <c r="BF551" s="8">
        <f t="shared" ref="BF551:BF557" si="579">SUM(AF551:AI551)</f>
        <v>86107.544862554147</v>
      </c>
    </row>
    <row r="552" spans="1:59">
      <c r="B552" s="878" t="s">
        <v>511</v>
      </c>
      <c r="D552" s="8">
        <f t="shared" ref="D552:AI552" si="580">+D546</f>
        <v>0</v>
      </c>
      <c r="E552" s="8">
        <f t="shared" si="580"/>
        <v>0</v>
      </c>
      <c r="F552" s="8">
        <f t="shared" si="580"/>
        <v>0</v>
      </c>
      <c r="G552" s="8">
        <f t="shared" si="580"/>
        <v>0</v>
      </c>
      <c r="H552" s="8">
        <f t="shared" si="580"/>
        <v>0</v>
      </c>
      <c r="I552" s="8">
        <f t="shared" si="580"/>
        <v>0</v>
      </c>
      <c r="J552" s="8">
        <f t="shared" si="580"/>
        <v>0</v>
      </c>
      <c r="K552" s="8">
        <f t="shared" si="580"/>
        <v>0</v>
      </c>
      <c r="L552" s="8">
        <f t="shared" si="580"/>
        <v>0</v>
      </c>
      <c r="M552" s="8">
        <f t="shared" si="580"/>
        <v>0</v>
      </c>
      <c r="N552" s="8">
        <f t="shared" si="580"/>
        <v>0</v>
      </c>
      <c r="O552" s="8">
        <f t="shared" si="580"/>
        <v>0</v>
      </c>
      <c r="P552" s="8">
        <f t="shared" si="580"/>
        <v>0</v>
      </c>
      <c r="Q552" s="8">
        <f t="shared" si="580"/>
        <v>0</v>
      </c>
      <c r="R552" s="8">
        <f t="shared" si="580"/>
        <v>0</v>
      </c>
      <c r="S552" s="8">
        <f t="shared" si="580"/>
        <v>0</v>
      </c>
      <c r="T552" s="8">
        <f t="shared" si="580"/>
        <v>0</v>
      </c>
      <c r="U552" s="8">
        <f t="shared" si="580"/>
        <v>0</v>
      </c>
      <c r="V552" s="8">
        <f t="shared" si="580"/>
        <v>0</v>
      </c>
      <c r="W552" s="8">
        <f t="shared" si="580"/>
        <v>0</v>
      </c>
      <c r="X552" s="8">
        <f t="shared" si="580"/>
        <v>0</v>
      </c>
      <c r="Y552" s="8">
        <f t="shared" si="580"/>
        <v>0</v>
      </c>
      <c r="Z552" s="8">
        <f t="shared" si="580"/>
        <v>0</v>
      </c>
      <c r="AA552" s="8">
        <f t="shared" si="580"/>
        <v>0</v>
      </c>
      <c r="AB552" s="8">
        <f t="shared" si="580"/>
        <v>0</v>
      </c>
      <c r="AC552" s="8">
        <f t="shared" si="580"/>
        <v>0</v>
      </c>
      <c r="AD552" s="8">
        <f t="shared" si="580"/>
        <v>0</v>
      </c>
      <c r="AE552" s="8">
        <f t="shared" si="580"/>
        <v>0</v>
      </c>
      <c r="AF552" s="8">
        <f t="shared" si="580"/>
        <v>0</v>
      </c>
      <c r="AG552" s="8">
        <f t="shared" si="580"/>
        <v>0</v>
      </c>
      <c r="AH552" s="8">
        <f t="shared" si="580"/>
        <v>0</v>
      </c>
      <c r="AI552" s="8">
        <f t="shared" si="580"/>
        <v>0</v>
      </c>
      <c r="AK552" s="8"/>
      <c r="AL552" s="8"/>
      <c r="AM552" s="8"/>
      <c r="AN552" s="8"/>
      <c r="AO552" s="8"/>
      <c r="AP552" s="8"/>
      <c r="AQ552" s="8">
        <f t="shared" ref="AQ552:AT552" si="581">+AQ546</f>
        <v>0</v>
      </c>
      <c r="AR552" s="8">
        <f t="shared" si="581"/>
        <v>0</v>
      </c>
      <c r="AS552" s="8">
        <f t="shared" si="581"/>
        <v>0</v>
      </c>
      <c r="AT552" s="8">
        <f t="shared" si="581"/>
        <v>0</v>
      </c>
      <c r="AU552" s="8">
        <f>+AU546</f>
        <v>0</v>
      </c>
      <c r="AV552" s="8">
        <f t="shared" ref="AV552:AW552" si="582">+AV546</f>
        <v>6643</v>
      </c>
      <c r="AW552" s="8">
        <f t="shared" si="582"/>
        <v>6707</v>
      </c>
      <c r="AY552" s="8">
        <f t="shared" ref="AY552:BE552" si="583">+AY546</f>
        <v>0</v>
      </c>
      <c r="AZ552" s="8">
        <f t="shared" si="583"/>
        <v>0</v>
      </c>
      <c r="BA552" s="8">
        <f t="shared" si="583"/>
        <v>0</v>
      </c>
      <c r="BB552" s="8">
        <f t="shared" si="583"/>
        <v>0</v>
      </c>
      <c r="BC552" s="8">
        <f t="shared" si="583"/>
        <v>0</v>
      </c>
      <c r="BD552" s="8">
        <f t="shared" si="583"/>
        <v>0</v>
      </c>
      <c r="BE552" s="8">
        <f t="shared" si="583"/>
        <v>0</v>
      </c>
      <c r="BF552" s="8">
        <f t="shared" si="579"/>
        <v>0</v>
      </c>
    </row>
    <row r="553" spans="1:59">
      <c r="B553" s="878" t="s">
        <v>514</v>
      </c>
      <c r="D553" s="8">
        <v>0</v>
      </c>
      <c r="E553" s="8">
        <v>0</v>
      </c>
      <c r="F553" s="8">
        <v>0</v>
      </c>
      <c r="G553" s="8">
        <v>0</v>
      </c>
      <c r="H553" s="8">
        <v>0</v>
      </c>
      <c r="I553" s="8">
        <v>0</v>
      </c>
      <c r="J553" s="8">
        <v>0</v>
      </c>
      <c r="K553" s="8">
        <v>0</v>
      </c>
      <c r="L553" s="8">
        <v>0</v>
      </c>
      <c r="M553" s="8">
        <v>0</v>
      </c>
      <c r="N553" s="8">
        <v>0</v>
      </c>
      <c r="O553" s="8">
        <v>0</v>
      </c>
      <c r="P553" s="8">
        <v>0</v>
      </c>
      <c r="Q553" s="8">
        <v>0</v>
      </c>
      <c r="R553" s="8">
        <v>0</v>
      </c>
      <c r="S553" s="8">
        <v>0</v>
      </c>
      <c r="T553" s="8">
        <v>0</v>
      </c>
      <c r="U553" s="8">
        <v>0</v>
      </c>
      <c r="V553" s="8">
        <v>0</v>
      </c>
      <c r="W553" s="29">
        <v>450</v>
      </c>
      <c r="X553" s="8">
        <v>0</v>
      </c>
      <c r="Y553" s="8">
        <v>0</v>
      </c>
      <c r="Z553" s="8">
        <v>0</v>
      </c>
      <c r="AA553" s="8">
        <v>0</v>
      </c>
      <c r="AB553" s="8">
        <v>0</v>
      </c>
      <c r="AC553" s="8">
        <v>0</v>
      </c>
      <c r="AD553" s="8">
        <v>0</v>
      </c>
      <c r="AE553" s="8">
        <v>0</v>
      </c>
      <c r="AF553" s="8">
        <v>0</v>
      </c>
      <c r="AG553" s="8">
        <v>0</v>
      </c>
      <c r="AH553" s="8">
        <v>0</v>
      </c>
      <c r="AI553" s="8">
        <v>0</v>
      </c>
      <c r="AK553" s="8"/>
      <c r="AL553" s="8"/>
      <c r="AM553" s="8"/>
      <c r="AN553" s="8"/>
      <c r="AO553" s="8"/>
      <c r="AP553" s="8"/>
      <c r="AQ553" s="8">
        <v>0</v>
      </c>
      <c r="AR553" s="8">
        <v>0</v>
      </c>
      <c r="AS553" s="8">
        <v>0</v>
      </c>
      <c r="AT553" s="8">
        <v>0</v>
      </c>
      <c r="AU553" s="8">
        <v>0</v>
      </c>
      <c r="AV553" s="8">
        <v>0</v>
      </c>
      <c r="AW553" s="8">
        <v>0</v>
      </c>
      <c r="AX553" s="8">
        <v>0</v>
      </c>
      <c r="AY553" s="8">
        <v>0</v>
      </c>
      <c r="AZ553" s="8">
        <v>0</v>
      </c>
      <c r="BA553" s="8">
        <v>0</v>
      </c>
      <c r="BB553" s="8">
        <v>0</v>
      </c>
      <c r="BC553" s="8">
        <f>SUM(T553:W553)</f>
        <v>450</v>
      </c>
      <c r="BD553" s="8">
        <v>0</v>
      </c>
      <c r="BE553" s="8">
        <v>0</v>
      </c>
      <c r="BF553" s="8">
        <f t="shared" si="579"/>
        <v>0</v>
      </c>
    </row>
    <row r="554" spans="1:59">
      <c r="B554" s="878" t="s">
        <v>512</v>
      </c>
      <c r="D554" s="8">
        <f t="shared" ref="D554:AI554" si="584">+D547</f>
        <v>0</v>
      </c>
      <c r="E554" s="8">
        <f t="shared" si="584"/>
        <v>0</v>
      </c>
      <c r="F554" s="8">
        <f t="shared" si="584"/>
        <v>0</v>
      </c>
      <c r="G554" s="8">
        <f t="shared" si="584"/>
        <v>0</v>
      </c>
      <c r="H554" s="8">
        <f t="shared" si="584"/>
        <v>0</v>
      </c>
      <c r="I554" s="8">
        <f t="shared" si="584"/>
        <v>0</v>
      </c>
      <c r="J554" s="8">
        <f t="shared" si="584"/>
        <v>0</v>
      </c>
      <c r="K554" s="8">
        <f t="shared" si="584"/>
        <v>0</v>
      </c>
      <c r="L554" s="8">
        <f t="shared" si="584"/>
        <v>0</v>
      </c>
      <c r="M554" s="8">
        <f t="shared" si="584"/>
        <v>0</v>
      </c>
      <c r="N554" s="8">
        <f t="shared" si="584"/>
        <v>0</v>
      </c>
      <c r="O554" s="8">
        <f t="shared" si="584"/>
        <v>0</v>
      </c>
      <c r="P554" s="8">
        <f t="shared" si="584"/>
        <v>0</v>
      </c>
      <c r="Q554" s="8">
        <f t="shared" si="584"/>
        <v>0</v>
      </c>
      <c r="R554" s="8">
        <f t="shared" si="584"/>
        <v>0</v>
      </c>
      <c r="S554" s="8">
        <f t="shared" si="584"/>
        <v>0</v>
      </c>
      <c r="T554" s="8">
        <f t="shared" si="584"/>
        <v>0</v>
      </c>
      <c r="U554" s="8">
        <f t="shared" si="584"/>
        <v>0</v>
      </c>
      <c r="V554" s="8">
        <f t="shared" si="584"/>
        <v>0</v>
      </c>
      <c r="W554" s="8">
        <f t="shared" si="584"/>
        <v>0</v>
      </c>
      <c r="X554" s="8">
        <f t="shared" si="584"/>
        <v>0</v>
      </c>
      <c r="Y554" s="8">
        <f t="shared" si="584"/>
        <v>0</v>
      </c>
      <c r="Z554" s="8">
        <f t="shared" si="584"/>
        <v>0</v>
      </c>
      <c r="AA554" s="8">
        <f t="shared" si="584"/>
        <v>0</v>
      </c>
      <c r="AB554" s="8">
        <f t="shared" si="584"/>
        <v>0</v>
      </c>
      <c r="AC554" s="8">
        <f t="shared" si="584"/>
        <v>0</v>
      </c>
      <c r="AD554" s="8">
        <f t="shared" si="584"/>
        <v>0</v>
      </c>
      <c r="AE554" s="8">
        <f t="shared" si="584"/>
        <v>0</v>
      </c>
      <c r="AF554" s="8">
        <f t="shared" si="584"/>
        <v>0</v>
      </c>
      <c r="AG554" s="8">
        <f t="shared" si="584"/>
        <v>0</v>
      </c>
      <c r="AH554" s="8">
        <f t="shared" si="584"/>
        <v>0</v>
      </c>
      <c r="AI554" s="8">
        <f t="shared" si="584"/>
        <v>0</v>
      </c>
      <c r="AK554" s="8"/>
      <c r="AL554" s="8"/>
      <c r="AM554" s="8"/>
      <c r="AN554" s="8"/>
      <c r="AO554" s="8"/>
      <c r="AP554" s="8"/>
      <c r="AQ554" s="8">
        <f t="shared" ref="AQ554:AW554" si="585">+AQ547</f>
        <v>0</v>
      </c>
      <c r="AR554" s="8">
        <f t="shared" si="585"/>
        <v>540</v>
      </c>
      <c r="AS554" s="8">
        <f t="shared" si="585"/>
        <v>-540</v>
      </c>
      <c r="AT554" s="8">
        <f t="shared" si="585"/>
        <v>0</v>
      </c>
      <c r="AU554" s="8">
        <f t="shared" si="585"/>
        <v>0</v>
      </c>
      <c r="AV554" s="8">
        <f t="shared" si="585"/>
        <v>0</v>
      </c>
      <c r="AW554" s="8">
        <f t="shared" si="585"/>
        <v>0</v>
      </c>
      <c r="AY554" s="8">
        <f t="shared" ref="AY554:BE554" si="586">+AY547</f>
        <v>0</v>
      </c>
      <c r="AZ554" s="8">
        <f t="shared" si="586"/>
        <v>0</v>
      </c>
      <c r="BA554" s="8">
        <f t="shared" si="586"/>
        <v>0</v>
      </c>
      <c r="BB554" s="8">
        <f t="shared" si="586"/>
        <v>0</v>
      </c>
      <c r="BC554" s="8">
        <f t="shared" si="586"/>
        <v>0</v>
      </c>
      <c r="BD554" s="8">
        <f t="shared" si="586"/>
        <v>0</v>
      </c>
      <c r="BE554" s="8">
        <f t="shared" si="586"/>
        <v>0</v>
      </c>
      <c r="BF554" s="8">
        <f t="shared" si="579"/>
        <v>0</v>
      </c>
    </row>
    <row r="555" spans="1:59">
      <c r="B555" s="878" t="s">
        <v>515</v>
      </c>
      <c r="D555" s="879">
        <v>0</v>
      </c>
      <c r="E555" s="879">
        <v>0</v>
      </c>
      <c r="F555" s="879">
        <v>0</v>
      </c>
      <c r="G555" s="879">
        <v>0</v>
      </c>
      <c r="H555" s="879">
        <v>0</v>
      </c>
      <c r="I555" s="879">
        <v>0</v>
      </c>
      <c r="J555" s="879">
        <v>0</v>
      </c>
      <c r="K555" s="879">
        <v>0</v>
      </c>
      <c r="L555" s="879">
        <v>0</v>
      </c>
      <c r="M555" s="879">
        <v>0</v>
      </c>
      <c r="N555" s="879">
        <v>0</v>
      </c>
      <c r="O555" s="879">
        <v>0</v>
      </c>
      <c r="P555" s="879">
        <v>0</v>
      </c>
      <c r="Q555" s="879">
        <v>0</v>
      </c>
      <c r="R555" s="879">
        <v>0</v>
      </c>
      <c r="S555" s="879">
        <v>0</v>
      </c>
      <c r="T555" s="879">
        <v>0</v>
      </c>
      <c r="U555" s="879">
        <v>0</v>
      </c>
      <c r="V555" s="879">
        <v>0</v>
      </c>
      <c r="W555" s="879">
        <v>0</v>
      </c>
      <c r="X555" s="879">
        <v>0</v>
      </c>
      <c r="Y555" s="879">
        <v>0</v>
      </c>
      <c r="Z555" s="879">
        <v>0</v>
      </c>
      <c r="AA555" s="879">
        <v>0</v>
      </c>
      <c r="AB555" s="879">
        <v>0</v>
      </c>
      <c r="AC555" s="879">
        <v>0</v>
      </c>
      <c r="AD555" s="879">
        <v>0</v>
      </c>
      <c r="AE555" s="879">
        <v>0</v>
      </c>
      <c r="AF555" s="879">
        <v>0</v>
      </c>
      <c r="AG555" s="879">
        <v>0</v>
      </c>
      <c r="AH555" s="879">
        <v>0</v>
      </c>
      <c r="AI555" s="879">
        <v>0</v>
      </c>
      <c r="AK555" s="879"/>
      <c r="AL555" s="879"/>
      <c r="AM555" s="879"/>
      <c r="AN555" s="879"/>
      <c r="AO555" s="879"/>
      <c r="AP555" s="879"/>
      <c r="AQ555" s="879">
        <v>0</v>
      </c>
      <c r="AR555" s="879">
        <v>0</v>
      </c>
      <c r="AS555" s="879">
        <v>733</v>
      </c>
      <c r="AT555" s="879">
        <v>0</v>
      </c>
      <c r="AU555" s="879">
        <v>0</v>
      </c>
      <c r="AV555" s="879">
        <v>0</v>
      </c>
      <c r="AW555" s="879">
        <v>0</v>
      </c>
      <c r="AY555" s="879">
        <v>0</v>
      </c>
      <c r="AZ555" s="879">
        <v>0</v>
      </c>
      <c r="BA555" s="879">
        <v>0</v>
      </c>
      <c r="BB555" s="879">
        <v>0</v>
      </c>
      <c r="BC555" s="879">
        <v>0</v>
      </c>
      <c r="BD555" s="879">
        <v>0</v>
      </c>
      <c r="BE555" s="879">
        <v>0</v>
      </c>
      <c r="BF555" s="879">
        <f t="shared" si="579"/>
        <v>0</v>
      </c>
    </row>
    <row r="556" spans="1:59" ht="11.45">
      <c r="B556" s="878" t="s">
        <v>517</v>
      </c>
      <c r="D556" s="10">
        <f t="shared" ref="D556:AI556" si="587">+D529</f>
        <v>0</v>
      </c>
      <c r="E556" s="10">
        <f t="shared" si="587"/>
        <v>0</v>
      </c>
      <c r="F556" s="10">
        <f t="shared" si="587"/>
        <v>0</v>
      </c>
      <c r="G556" s="10">
        <f t="shared" si="587"/>
        <v>1110</v>
      </c>
      <c r="H556" s="10">
        <f t="shared" si="587"/>
        <v>0</v>
      </c>
      <c r="I556" s="10">
        <f t="shared" si="587"/>
        <v>0</v>
      </c>
      <c r="J556" s="10">
        <f t="shared" si="587"/>
        <v>0</v>
      </c>
      <c r="K556" s="10">
        <f t="shared" si="587"/>
        <v>306</v>
      </c>
      <c r="L556" s="10">
        <f t="shared" si="587"/>
        <v>0</v>
      </c>
      <c r="M556" s="10">
        <f t="shared" si="587"/>
        <v>0</v>
      </c>
      <c r="N556" s="10">
        <f t="shared" si="587"/>
        <v>0</v>
      </c>
      <c r="O556" s="10">
        <f t="shared" si="587"/>
        <v>0</v>
      </c>
      <c r="P556" s="10">
        <f t="shared" si="587"/>
        <v>0</v>
      </c>
      <c r="Q556" s="10">
        <f t="shared" si="587"/>
        <v>0</v>
      </c>
      <c r="R556" s="10">
        <f t="shared" si="587"/>
        <v>0</v>
      </c>
      <c r="S556" s="10">
        <f t="shared" si="587"/>
        <v>0</v>
      </c>
      <c r="T556" s="10">
        <f t="shared" si="587"/>
        <v>0</v>
      </c>
      <c r="U556" s="10">
        <f t="shared" si="587"/>
        <v>0</v>
      </c>
      <c r="V556" s="10">
        <f t="shared" si="587"/>
        <v>0</v>
      </c>
      <c r="W556" s="10">
        <f t="shared" si="587"/>
        <v>0</v>
      </c>
      <c r="X556" s="10">
        <f t="shared" si="587"/>
        <v>0</v>
      </c>
      <c r="Y556" s="10">
        <f t="shared" si="587"/>
        <v>0</v>
      </c>
      <c r="Z556" s="10">
        <f t="shared" si="587"/>
        <v>0</v>
      </c>
      <c r="AA556" s="10">
        <f t="shared" si="587"/>
        <v>0</v>
      </c>
      <c r="AB556" s="10">
        <f t="shared" si="587"/>
        <v>0</v>
      </c>
      <c r="AC556" s="10">
        <f t="shared" si="587"/>
        <v>0</v>
      </c>
      <c r="AD556" s="10">
        <f t="shared" si="587"/>
        <v>0</v>
      </c>
      <c r="AE556" s="10">
        <f t="shared" si="587"/>
        <v>0</v>
      </c>
      <c r="AF556" s="10">
        <f t="shared" si="587"/>
        <v>0</v>
      </c>
      <c r="AG556" s="10">
        <f t="shared" si="587"/>
        <v>0</v>
      </c>
      <c r="AH556" s="10">
        <f t="shared" si="587"/>
        <v>0</v>
      </c>
      <c r="AI556" s="10">
        <f t="shared" si="587"/>
        <v>0</v>
      </c>
      <c r="AK556" s="10"/>
      <c r="AL556" s="10"/>
      <c r="AM556" s="10"/>
      <c r="AN556" s="10"/>
      <c r="AO556" s="10"/>
      <c r="AP556" s="10"/>
      <c r="AQ556" s="10">
        <f t="shared" ref="AQ556:AW556" si="588">+AQ529</f>
        <v>0</v>
      </c>
      <c r="AR556" s="10">
        <f t="shared" si="588"/>
        <v>6193</v>
      </c>
      <c r="AS556" s="10">
        <f t="shared" si="588"/>
        <v>0</v>
      </c>
      <c r="AT556" s="10">
        <f t="shared" si="588"/>
        <v>127</v>
      </c>
      <c r="AU556" s="10">
        <f t="shared" si="588"/>
        <v>10011</v>
      </c>
      <c r="AV556" s="10">
        <f t="shared" si="588"/>
        <v>1110</v>
      </c>
      <c r="AW556" s="10">
        <f t="shared" si="588"/>
        <v>306</v>
      </c>
      <c r="AY556" s="10">
        <f t="shared" ref="AY556:BE556" si="589">+AY529</f>
        <v>1110</v>
      </c>
      <c r="AZ556" s="10">
        <f t="shared" si="589"/>
        <v>306</v>
      </c>
      <c r="BA556" s="10">
        <f t="shared" si="589"/>
        <v>0</v>
      </c>
      <c r="BB556" s="10">
        <f t="shared" si="589"/>
        <v>0</v>
      </c>
      <c r="BC556" s="10">
        <f t="shared" si="589"/>
        <v>0</v>
      </c>
      <c r="BD556" s="10">
        <f t="shared" si="589"/>
        <v>0</v>
      </c>
      <c r="BE556" s="10">
        <f t="shared" si="589"/>
        <v>0</v>
      </c>
      <c r="BF556" s="10">
        <f t="shared" si="579"/>
        <v>0</v>
      </c>
    </row>
    <row r="557" spans="1:59" s="1" customFormat="1" ht="10.5">
      <c r="B557" s="882" t="s">
        <v>518</v>
      </c>
      <c r="D557" s="838">
        <f t="shared" ref="D557:AI557" si="590">SUM(D551:D556)</f>
        <v>6316</v>
      </c>
      <c r="E557" s="838">
        <f t="shared" si="590"/>
        <v>7489</v>
      </c>
      <c r="F557" s="838">
        <f t="shared" si="590"/>
        <v>6277</v>
      </c>
      <c r="G557" s="838">
        <f t="shared" si="590"/>
        <v>7106</v>
      </c>
      <c r="H557" s="838">
        <f t="shared" si="590"/>
        <v>6715</v>
      </c>
      <c r="I557" s="838">
        <f t="shared" si="590"/>
        <v>7905</v>
      </c>
      <c r="J557" s="838">
        <f t="shared" si="590"/>
        <v>6723</v>
      </c>
      <c r="K557" s="838">
        <f t="shared" si="590"/>
        <v>7988</v>
      </c>
      <c r="L557" s="838">
        <f t="shared" si="590"/>
        <v>7708</v>
      </c>
      <c r="M557" s="838">
        <f t="shared" si="590"/>
        <v>8679</v>
      </c>
      <c r="N557" s="838">
        <f t="shared" si="590"/>
        <v>8292</v>
      </c>
      <c r="O557" s="838">
        <f t="shared" si="590"/>
        <v>10379</v>
      </c>
      <c r="P557" s="838">
        <f t="shared" si="590"/>
        <v>9955</v>
      </c>
      <c r="Q557" s="838">
        <f t="shared" si="590"/>
        <v>10258</v>
      </c>
      <c r="R557" s="838">
        <f t="shared" si="590"/>
        <v>10341</v>
      </c>
      <c r="S557" s="838">
        <f t="shared" si="590"/>
        <v>12405</v>
      </c>
      <c r="T557" s="838">
        <f t="shared" si="590"/>
        <v>12686</v>
      </c>
      <c r="U557" s="838">
        <f t="shared" si="590"/>
        <v>13891</v>
      </c>
      <c r="V557" s="838">
        <f t="shared" si="590"/>
        <v>12975</v>
      </c>
      <c r="W557" s="838">
        <f t="shared" si="590"/>
        <v>13857</v>
      </c>
      <c r="X557" s="838">
        <f t="shared" si="590"/>
        <v>15876</v>
      </c>
      <c r="Y557" s="838">
        <f t="shared" si="590"/>
        <v>17897</v>
      </c>
      <c r="Z557" s="838">
        <f t="shared" si="590"/>
        <v>17048</v>
      </c>
      <c r="AA557" s="838">
        <f t="shared" si="590"/>
        <v>19095</v>
      </c>
      <c r="AB557" s="838">
        <f t="shared" si="590"/>
        <v>20238</v>
      </c>
      <c r="AC557" s="838">
        <f t="shared" si="590"/>
        <v>22247</v>
      </c>
      <c r="AD557" s="838">
        <f t="shared" si="590"/>
        <v>20364</v>
      </c>
      <c r="AE557" s="838">
        <f t="shared" si="590"/>
        <v>20534</v>
      </c>
      <c r="AF557" s="838">
        <f t="shared" si="590"/>
        <v>21518</v>
      </c>
      <c r="AG557" s="838">
        <f t="shared" si="590"/>
        <v>22280.325017420888</v>
      </c>
      <c r="AH557" s="838">
        <f t="shared" si="590"/>
        <v>20668.367261994536</v>
      </c>
      <c r="AI557" s="838">
        <f t="shared" si="590"/>
        <v>21640.852583138716</v>
      </c>
      <c r="AK557" s="838"/>
      <c r="AL557" s="838"/>
      <c r="AM557" s="838"/>
      <c r="AN557" s="838"/>
      <c r="AO557" s="838"/>
      <c r="AP557" s="838"/>
      <c r="AQ557" s="838">
        <f t="shared" ref="AQ557:AT557" si="591">SUM(AQ551:AQ556)</f>
        <v>27161</v>
      </c>
      <c r="AR557" s="838">
        <f t="shared" si="591"/>
        <v>28496</v>
      </c>
      <c r="AS557" s="838">
        <f t="shared" si="591"/>
        <v>26957</v>
      </c>
      <c r="AT557" s="838">
        <f t="shared" si="591"/>
        <v>27886</v>
      </c>
      <c r="AU557" s="838">
        <f>SUM(AU551:AU556)</f>
        <v>28172</v>
      </c>
      <c r="AV557" s="838">
        <f t="shared" ref="AV557:AW557" si="592">SUM(AV551:AV556)</f>
        <v>27935</v>
      </c>
      <c r="AW557" s="838">
        <f t="shared" si="592"/>
        <v>29339</v>
      </c>
      <c r="AY557" s="838">
        <f t="shared" ref="AY557:BE557" si="593">SUM(AY551:AY556)</f>
        <v>27188</v>
      </c>
      <c r="AZ557" s="838">
        <f t="shared" si="593"/>
        <v>29331</v>
      </c>
      <c r="BA557" s="838">
        <f t="shared" si="593"/>
        <v>35058</v>
      </c>
      <c r="BB557" s="838">
        <f t="shared" si="593"/>
        <v>42959</v>
      </c>
      <c r="BC557" s="838">
        <f t="shared" si="593"/>
        <v>53409</v>
      </c>
      <c r="BD557" s="838">
        <f t="shared" si="593"/>
        <v>69916</v>
      </c>
      <c r="BE557" s="838">
        <f t="shared" si="593"/>
        <v>83383</v>
      </c>
      <c r="BF557" s="838">
        <f t="shared" si="579"/>
        <v>86107.544862554147</v>
      </c>
    </row>
    <row r="558" spans="1:59" s="7" customFormat="1">
      <c r="B558" s="887" t="s">
        <v>113</v>
      </c>
      <c r="D558" s="946"/>
      <c r="E558" s="946"/>
      <c r="F558" s="946"/>
      <c r="G558" s="946"/>
      <c r="H558" s="946">
        <f>+H557/D557-1</f>
        <v>6.317289423685879E-2</v>
      </c>
      <c r="I558" s="946">
        <f t="shared" ref="I558:AI558" si="594">+I557/E557-1</f>
        <v>5.5548137267993125E-2</v>
      </c>
      <c r="J558" s="946">
        <f t="shared" si="594"/>
        <v>7.1053050820455654E-2</v>
      </c>
      <c r="K558" s="946">
        <f t="shared" si="594"/>
        <v>0.12412046158176193</v>
      </c>
      <c r="L558" s="946">
        <f t="shared" si="594"/>
        <v>0.14787788533134782</v>
      </c>
      <c r="M558" s="946">
        <f t="shared" si="594"/>
        <v>9.7912713472485757E-2</v>
      </c>
      <c r="N558" s="946">
        <f t="shared" si="594"/>
        <v>0.23337795626952262</v>
      </c>
      <c r="O558" s="946">
        <f t="shared" si="594"/>
        <v>0.29932398597896848</v>
      </c>
      <c r="P558" s="946">
        <f t="shared" si="594"/>
        <v>0.29151530877010901</v>
      </c>
      <c r="Q558" s="946">
        <f t="shared" si="594"/>
        <v>0.18193340246572176</v>
      </c>
      <c r="R558" s="946">
        <f t="shared" si="594"/>
        <v>0.2471056439942112</v>
      </c>
      <c r="S558" s="946">
        <f t="shared" si="594"/>
        <v>0.19520184988919942</v>
      </c>
      <c r="T558" s="946">
        <f t="shared" si="594"/>
        <v>0.27433450527373182</v>
      </c>
      <c r="U558" s="946">
        <f t="shared" si="594"/>
        <v>0.3541626047962565</v>
      </c>
      <c r="V558" s="946">
        <f t="shared" si="594"/>
        <v>0.25471424427038003</v>
      </c>
      <c r="W558" s="946">
        <f t="shared" si="594"/>
        <v>0.1170495767835551</v>
      </c>
      <c r="X558" s="946">
        <f t="shared" si="594"/>
        <v>0.25145830048872764</v>
      </c>
      <c r="Y558" s="946">
        <f t="shared" si="594"/>
        <v>0.28838816499892017</v>
      </c>
      <c r="Z558" s="946">
        <f t="shared" si="594"/>
        <v>0.31391136801541419</v>
      </c>
      <c r="AA558" s="946">
        <f t="shared" si="594"/>
        <v>0.37800389694739112</v>
      </c>
      <c r="AB558" s="946">
        <f t="shared" si="594"/>
        <v>0.27475434618291761</v>
      </c>
      <c r="AC558" s="946">
        <f t="shared" si="594"/>
        <v>0.24305749566966539</v>
      </c>
      <c r="AD558" s="946">
        <f t="shared" si="594"/>
        <v>0.19450961989676219</v>
      </c>
      <c r="AE558" s="946">
        <f t="shared" si="594"/>
        <v>7.5360041895784269E-2</v>
      </c>
      <c r="AF558" s="946">
        <f t="shared" si="594"/>
        <v>6.3247356458147941E-2</v>
      </c>
      <c r="AG558" s="946">
        <f t="shared" si="594"/>
        <v>1.4979555634866415E-3</v>
      </c>
      <c r="AH558" s="946">
        <f t="shared" si="594"/>
        <v>1.4946339716879642E-2</v>
      </c>
      <c r="AI558" s="946">
        <f t="shared" si="594"/>
        <v>5.3903408159088118E-2</v>
      </c>
      <c r="AL558" s="946"/>
      <c r="AM558" s="946"/>
      <c r="AN558" s="946"/>
      <c r="AO558" s="946"/>
      <c r="AP558" s="946"/>
      <c r="AQ558" s="946"/>
      <c r="AR558" s="946">
        <f t="shared" ref="AR558:AV558" si="595">+AR557/AQ557-1</f>
        <v>4.9151356724715489E-2</v>
      </c>
      <c r="AS558" s="946">
        <f t="shared" si="595"/>
        <v>-5.4007580011229628E-2</v>
      </c>
      <c r="AT558" s="946">
        <f t="shared" si="595"/>
        <v>3.4462291798048827E-2</v>
      </c>
      <c r="AU558" s="946">
        <f t="shared" si="595"/>
        <v>1.025604245858136E-2</v>
      </c>
      <c r="AV558" s="946">
        <f t="shared" si="595"/>
        <v>-8.4126082635240795E-3</v>
      </c>
      <c r="AW558" s="946">
        <f>+AW557/AV557-1</f>
        <v>5.0259531054233086E-2</v>
      </c>
      <c r="AY558" s="1012">
        <f t="shared" ref="AY558" si="596">+AV558</f>
        <v>-8.4126082635240795E-3</v>
      </c>
      <c r="AZ558" s="1012">
        <f t="shared" ref="AZ558" si="597">+AW558</f>
        <v>5.0259531054233086E-2</v>
      </c>
      <c r="BA558" s="946">
        <f t="shared" ref="BA558:BF558" si="598">+BA557/AZ557-1</f>
        <v>0.19525416794517736</v>
      </c>
      <c r="BB558" s="946">
        <f t="shared" si="598"/>
        <v>0.22536938787152727</v>
      </c>
      <c r="BC558" s="946">
        <f t="shared" si="598"/>
        <v>0.24325519681556829</v>
      </c>
      <c r="BD558" s="946">
        <f t="shared" si="598"/>
        <v>0.30906776011533643</v>
      </c>
      <c r="BE558" s="946">
        <f t="shared" si="598"/>
        <v>0.19261685451112753</v>
      </c>
      <c r="BF558" s="946">
        <f t="shared" si="598"/>
        <v>3.2675064012498201E-2</v>
      </c>
    </row>
    <row r="559" spans="1:59" s="948" customFormat="1">
      <c r="A559" s="7"/>
      <c r="B559" s="887" t="s">
        <v>270</v>
      </c>
      <c r="H559" s="949" t="s">
        <v>271</v>
      </c>
      <c r="I559" s="949" t="s">
        <v>271</v>
      </c>
      <c r="J559" s="949" t="s">
        <v>271</v>
      </c>
      <c r="K559" s="949" t="s">
        <v>271</v>
      </c>
      <c r="L559" s="950">
        <v>0.15</v>
      </c>
      <c r="M559" s="950">
        <v>0.1</v>
      </c>
      <c r="N559" s="950">
        <v>0.2</v>
      </c>
      <c r="O559" s="950">
        <v>0.24</v>
      </c>
      <c r="P559" s="950">
        <v>0.28000000000000003</v>
      </c>
      <c r="Q559" s="950">
        <v>0.18</v>
      </c>
      <c r="R559" s="950">
        <v>0.27</v>
      </c>
      <c r="S559" s="950">
        <v>0.24</v>
      </c>
      <c r="T559" s="950">
        <v>0.32</v>
      </c>
      <c r="U559" s="950">
        <v>0.39</v>
      </c>
      <c r="V559" s="950">
        <v>0.28000000000000003</v>
      </c>
      <c r="W559" s="951">
        <f>+W558+4%</f>
        <v>0.15704957678355511</v>
      </c>
      <c r="X559" s="950">
        <v>0.25</v>
      </c>
      <c r="Y559" s="950">
        <v>0.26</v>
      </c>
      <c r="Z559" s="950">
        <v>0.27</v>
      </c>
      <c r="AA559" s="950">
        <v>0.35</v>
      </c>
      <c r="AB559" s="950">
        <v>0.24</v>
      </c>
      <c r="AC559" s="950">
        <v>0.24</v>
      </c>
      <c r="AD559" s="950">
        <v>0.23</v>
      </c>
      <c r="AE559" s="950">
        <v>0.14000000000000001</v>
      </c>
      <c r="AF559" s="950">
        <v>0.15</v>
      </c>
      <c r="AR559" s="947" t="s">
        <v>271</v>
      </c>
      <c r="AS559" s="947" t="s">
        <v>271</v>
      </c>
      <c r="AT559" s="947" t="s">
        <v>271</v>
      </c>
      <c r="AU559" s="947" t="s">
        <v>271</v>
      </c>
      <c r="AV559" s="947" t="s">
        <v>271</v>
      </c>
      <c r="AW559" s="947" t="s">
        <v>271</v>
      </c>
      <c r="AY559" s="947" t="s">
        <v>271</v>
      </c>
      <c r="AZ559" s="947" t="s">
        <v>271</v>
      </c>
      <c r="BA559" s="948">
        <f>SUMPRODUCT(L559:O559,H557:K557)/AZ557</f>
        <v>0.17249565306331185</v>
      </c>
      <c r="BB559" s="948">
        <f>SUMPRODUCT(P559:S559,L557:O557)/BA557</f>
        <v>0.24103656797307321</v>
      </c>
      <c r="BC559" s="948">
        <f>SUMPRODUCT(T559:W559,P557:S557)/BB557</f>
        <v>0.28003212365278524</v>
      </c>
      <c r="BD559" s="948">
        <f>+BD54</f>
        <v>0.28283879982628074</v>
      </c>
      <c r="BE559" s="948">
        <f>+BE54</f>
        <v>0.21025030036043252</v>
      </c>
    </row>
    <row r="560" spans="1:59" s="1" customFormat="1" ht="10.5">
      <c r="B560" s="887" t="s">
        <v>115</v>
      </c>
      <c r="D560" s="855">
        <f t="shared" ref="D560:AI560" si="599">IFERROR(D557/D$505,"n/a ")</f>
        <v>0.30205643232902918</v>
      </c>
      <c r="E560" s="855">
        <f t="shared" si="599"/>
        <v>0.29655882469409572</v>
      </c>
      <c r="F560" s="855">
        <f t="shared" si="599"/>
        <v>0.29172282381372866</v>
      </c>
      <c r="G560" s="855">
        <f t="shared" si="599"/>
        <v>0.30271790065604498</v>
      </c>
      <c r="H560" s="855">
        <f t="shared" si="599"/>
        <v>0.30622947829259395</v>
      </c>
      <c r="I560" s="855">
        <f t="shared" si="599"/>
        <v>0.30608688918144505</v>
      </c>
      <c r="J560" s="855">
        <f t="shared" si="599"/>
        <v>0.28963467172152335</v>
      </c>
      <c r="K560" s="855">
        <f t="shared" si="599"/>
        <v>0.31197031829720756</v>
      </c>
      <c r="L560" s="855">
        <f t="shared" si="599"/>
        <v>0.3141250305648382</v>
      </c>
      <c r="M560" s="855">
        <f t="shared" si="599"/>
        <v>0.30012448993706342</v>
      </c>
      <c r="N560" s="855">
        <f t="shared" si="599"/>
        <v>0.30918378761325926</v>
      </c>
      <c r="O560" s="855">
        <f t="shared" si="599"/>
        <v>0.3449891972743892</v>
      </c>
      <c r="P560" s="855">
        <f t="shared" si="599"/>
        <v>0.34228441754916794</v>
      </c>
      <c r="Q560" s="855">
        <f t="shared" si="599"/>
        <v>0.3159126605278556</v>
      </c>
      <c r="R560" s="855">
        <f t="shared" si="599"/>
        <v>0.3382617513329626</v>
      </c>
      <c r="S560" s="855">
        <f t="shared" si="599"/>
        <v>0.3679152949550672</v>
      </c>
      <c r="T560" s="855">
        <f t="shared" si="599"/>
        <v>0.38378460142187265</v>
      </c>
      <c r="U560" s="855">
        <f t="shared" si="599"/>
        <v>0.37638866309001245</v>
      </c>
      <c r="V560" s="855">
        <f t="shared" si="599"/>
        <v>0.37049199051997372</v>
      </c>
      <c r="W560" s="855">
        <f t="shared" si="599"/>
        <v>0.36434149291404833</v>
      </c>
      <c r="X560" s="855">
        <f t="shared" si="599"/>
        <v>0.42730257845723207</v>
      </c>
      <c r="Y560" s="855">
        <f t="shared" si="599"/>
        <v>0.41547497446373849</v>
      </c>
      <c r="Z560" s="855">
        <f t="shared" si="599"/>
        <v>0.40876612477820939</v>
      </c>
      <c r="AA560" s="855">
        <f t="shared" si="599"/>
        <v>0.41374154966198645</v>
      </c>
      <c r="AB560" s="855">
        <f t="shared" si="599"/>
        <v>0.44658737339188381</v>
      </c>
      <c r="AC560" s="855">
        <f t="shared" si="599"/>
        <v>0.43007655428394681</v>
      </c>
      <c r="AD560" s="855">
        <f t="shared" si="599"/>
        <v>0.41256077795786061</v>
      </c>
      <c r="AE560" s="855">
        <f t="shared" si="599"/>
        <v>0.3959124650535043</v>
      </c>
      <c r="AF560" s="855">
        <f t="shared" si="599"/>
        <v>0.42931247755476637</v>
      </c>
      <c r="AG560" s="855">
        <f t="shared" si="599"/>
        <v>0.41576508625761166</v>
      </c>
      <c r="AH560" s="855">
        <f t="shared" si="599"/>
        <v>0.400784562589513</v>
      </c>
      <c r="AI560" s="855">
        <f t="shared" si="599"/>
        <v>0.3907500947808078</v>
      </c>
      <c r="AK560" s="855"/>
      <c r="AL560" s="855"/>
      <c r="AM560" s="855"/>
      <c r="AN560" s="855"/>
      <c r="AO560" s="855"/>
      <c r="AP560" s="855"/>
      <c r="AQ560" s="855">
        <f t="shared" ref="AQ560:AW560" si="600">IFERROR(AQ557/AQ$505,"n/a ")</f>
        <v>0.38833049769097694</v>
      </c>
      <c r="AR560" s="855">
        <f t="shared" si="600"/>
        <v>0.38652794921530592</v>
      </c>
      <c r="AS560" s="855">
        <f t="shared" si="600"/>
        <v>0.34627291294685864</v>
      </c>
      <c r="AT560" s="855">
        <f t="shared" si="600"/>
        <v>0.32114518673776099</v>
      </c>
      <c r="AU560" s="855">
        <f t="shared" si="600"/>
        <v>0.30104723231459712</v>
      </c>
      <c r="AV560" s="855">
        <f t="shared" si="600"/>
        <v>0.32741443975621193</v>
      </c>
      <c r="AW560" s="855">
        <f t="shared" si="600"/>
        <v>0.32617009449694273</v>
      </c>
      <c r="AY560" s="855">
        <f t="shared" ref="AY560:BF560" si="601">IFERROR(AY557/AY$505,"n/a ")</f>
        <v>0.29826447550299495</v>
      </c>
      <c r="AZ560" s="855">
        <f t="shared" si="601"/>
        <v>0.30372472067183731</v>
      </c>
      <c r="BA560" s="855">
        <f t="shared" si="601"/>
        <v>0.31766944545125048</v>
      </c>
      <c r="BB560" s="855">
        <f t="shared" si="601"/>
        <v>0.3413698020549415</v>
      </c>
      <c r="BC560" s="855">
        <f t="shared" si="601"/>
        <v>0.37345033737719818</v>
      </c>
      <c r="BD560" s="855">
        <f t="shared" si="601"/>
        <v>0.41594878872971303</v>
      </c>
      <c r="BE560" s="855">
        <f t="shared" si="601"/>
        <v>0.4205527815604983</v>
      </c>
      <c r="BF560" s="855">
        <f t="shared" si="601"/>
        <v>0.4087447800188268</v>
      </c>
    </row>
    <row r="561" spans="2:56">
      <c r="B561" s="878"/>
    </row>
    <row r="562" spans="2:56" ht="15.95">
      <c r="B562" s="878"/>
      <c r="D562" s="998"/>
      <c r="E562" s="998"/>
      <c r="F562" s="998"/>
      <c r="G562" s="998"/>
      <c r="H562" s="998"/>
      <c r="I562" s="998"/>
      <c r="J562" s="998"/>
      <c r="K562" s="998"/>
      <c r="L562" s="998"/>
      <c r="M562" s="998"/>
      <c r="N562" s="998"/>
      <c r="O562" s="998"/>
      <c r="P562" s="998"/>
      <c r="Q562" s="998"/>
      <c r="R562" s="998"/>
      <c r="S562" s="998"/>
      <c r="T562" s="998"/>
      <c r="U562" s="998"/>
      <c r="V562" s="998"/>
      <c r="W562" s="998"/>
      <c r="X562" s="998"/>
      <c r="Y562" s="998"/>
      <c r="Z562" s="998"/>
      <c r="AA562" s="998"/>
      <c r="AB562" s="998"/>
      <c r="AC562" s="998"/>
      <c r="AY562" s="1010"/>
      <c r="AZ562" s="1010"/>
    </row>
    <row r="563" spans="2:56" ht="15.95">
      <c r="B563" s="878"/>
      <c r="D563" s="998"/>
      <c r="E563" s="998"/>
      <c r="F563" s="998"/>
      <c r="G563" s="998"/>
      <c r="H563" s="998"/>
      <c r="I563" s="998"/>
      <c r="J563" s="998"/>
      <c r="K563" s="998"/>
      <c r="L563" s="998"/>
      <c r="M563" s="998"/>
      <c r="N563" s="998"/>
      <c r="O563" s="998"/>
      <c r="P563" s="998"/>
      <c r="Q563" s="998"/>
      <c r="R563" s="998"/>
      <c r="S563" s="998"/>
      <c r="T563" s="998"/>
      <c r="U563" s="998"/>
      <c r="V563" s="998"/>
      <c r="W563" s="998"/>
      <c r="X563" s="998"/>
      <c r="Y563" s="998"/>
      <c r="Z563" s="998"/>
      <c r="AA563" s="998"/>
      <c r="AB563" s="998"/>
      <c r="AC563" s="998"/>
      <c r="AD563" s="997"/>
      <c r="AE563" s="997"/>
      <c r="AF563" s="997"/>
      <c r="AY563" s="1011"/>
      <c r="AZ563" s="1011"/>
    </row>
    <row r="564" spans="2:56" ht="15.95">
      <c r="B564" s="878"/>
      <c r="D564" s="998"/>
      <c r="E564" s="998"/>
      <c r="F564" s="998"/>
      <c r="G564" s="998"/>
      <c r="H564" s="998"/>
      <c r="I564" s="998"/>
      <c r="J564" s="998"/>
      <c r="K564" s="998"/>
      <c r="L564" s="998"/>
      <c r="M564" s="998"/>
      <c r="N564" s="998"/>
      <c r="O564" s="998"/>
      <c r="P564" s="998"/>
      <c r="Q564" s="998"/>
      <c r="R564" s="998"/>
      <c r="S564" s="998"/>
      <c r="T564" s="998"/>
      <c r="U564" s="998"/>
      <c r="V564" s="998"/>
      <c r="W564" s="998"/>
      <c r="X564" s="998"/>
      <c r="Y564" s="998"/>
      <c r="Z564" s="998"/>
      <c r="AA564" s="998"/>
      <c r="AB564" s="998"/>
      <c r="AC564" s="998"/>
      <c r="AD564" s="998"/>
      <c r="AE564" s="998"/>
      <c r="AF564" s="998"/>
      <c r="AY564" s="1013"/>
      <c r="AZ564" s="1013"/>
    </row>
    <row r="565" spans="2:56" ht="15.95">
      <c r="B565" s="878"/>
      <c r="D565" s="998"/>
      <c r="E565" s="998"/>
      <c r="F565" s="998"/>
      <c r="G565" s="998"/>
      <c r="H565" s="998"/>
      <c r="I565" s="998"/>
      <c r="J565" s="998"/>
      <c r="K565" s="998"/>
      <c r="L565" s="998"/>
      <c r="M565" s="998"/>
      <c r="N565" s="998"/>
      <c r="O565" s="998"/>
      <c r="P565" s="998"/>
      <c r="Q565" s="998"/>
      <c r="R565" s="998"/>
      <c r="S565" s="998"/>
      <c r="T565" s="998"/>
      <c r="U565" s="998"/>
      <c r="V565" s="998"/>
      <c r="W565" s="998"/>
      <c r="X565" s="998"/>
      <c r="Y565" s="998"/>
      <c r="Z565" s="998"/>
      <c r="AA565" s="998"/>
      <c r="AB565" s="998"/>
      <c r="AC565" s="998"/>
      <c r="AD565" s="998"/>
      <c r="AE565" s="998"/>
      <c r="AF565" s="998"/>
    </row>
    <row r="566" spans="2:56">
      <c r="B566" s="878"/>
    </row>
    <row r="567" spans="2:56">
      <c r="B567" s="878"/>
      <c r="AB567" s="957"/>
      <c r="AC567" s="957"/>
      <c r="AD567" s="957"/>
      <c r="AE567" s="957"/>
      <c r="AF567" s="957"/>
    </row>
    <row r="568" spans="2:56">
      <c r="B568" s="878"/>
    </row>
    <row r="569" spans="2:56">
      <c r="B569" s="878"/>
    </row>
    <row r="570" spans="2:56">
      <c r="B570" s="878"/>
    </row>
    <row r="571" spans="2:56">
      <c r="B571" s="878"/>
    </row>
    <row r="572" spans="2:56">
      <c r="B572" s="878"/>
    </row>
    <row r="573" spans="2:56">
      <c r="B573" s="878"/>
      <c r="BD573" s="100"/>
    </row>
    <row r="574" spans="2:56">
      <c r="B574" s="878"/>
      <c r="BD574" s="100"/>
    </row>
    <row r="575" spans="2:56" ht="10.5">
      <c r="B575" s="5" t="s">
        <v>527</v>
      </c>
      <c r="C575" s="4"/>
      <c r="BD575" s="100"/>
    </row>
    <row r="576" spans="2:56" ht="10.5">
      <c r="B576" s="1"/>
      <c r="BD576" s="100"/>
    </row>
    <row r="577" spans="2:58" ht="10.5">
      <c r="B577" s="45" t="s">
        <v>528</v>
      </c>
      <c r="D577" s="876" t="s">
        <v>371</v>
      </c>
      <c r="E577" s="877"/>
      <c r="F577" s="877"/>
      <c r="G577" s="877"/>
      <c r="BD577" s="100"/>
    </row>
    <row r="578" spans="2:58">
      <c r="B578" t="s">
        <v>140</v>
      </c>
      <c r="D578" s="29">
        <v>4902</v>
      </c>
      <c r="E578" s="29">
        <v>5018</v>
      </c>
      <c r="F578" s="29">
        <v>3756</v>
      </c>
      <c r="G578" s="29">
        <v>3122</v>
      </c>
      <c r="H578" s="29">
        <v>5667</v>
      </c>
      <c r="I578" s="29">
        <v>6267</v>
      </c>
      <c r="J578" s="29">
        <v>5486</v>
      </c>
      <c r="K578" s="11">
        <f t="shared" ref="K578:K594" si="602">+AZ578-SUM(H578:J578)</f>
        <v>8069</v>
      </c>
      <c r="L578" s="29">
        <v>6576</v>
      </c>
      <c r="M578" s="29">
        <v>-6302</v>
      </c>
      <c r="N578" s="29">
        <v>7424</v>
      </c>
      <c r="O578" s="11">
        <v>8873</v>
      </c>
      <c r="P578" s="29">
        <v>8824</v>
      </c>
      <c r="Q578" s="29">
        <v>8420</v>
      </c>
      <c r="R578" s="29">
        <v>8809</v>
      </c>
      <c r="S578" s="11">
        <f t="shared" ref="S578:S594" si="603">+BB578-SUM(P578:R578)</f>
        <v>13187</v>
      </c>
      <c r="T578" s="29">
        <v>10678</v>
      </c>
      <c r="U578" s="29">
        <v>11649</v>
      </c>
      <c r="V578" s="29">
        <v>10752</v>
      </c>
      <c r="W578" s="29">
        <v>11202</v>
      </c>
      <c r="X578" s="29">
        <v>13893</v>
      </c>
      <c r="Y578" s="29">
        <v>15463</v>
      </c>
      <c r="Z578" s="29">
        <v>15457</v>
      </c>
      <c r="AA578" s="29">
        <v>16458</v>
      </c>
      <c r="AB578" s="29">
        <v>20505</v>
      </c>
      <c r="AC578" s="29">
        <v>18765</v>
      </c>
      <c r="AD578" s="29">
        <v>16728</v>
      </c>
      <c r="AE578" s="29">
        <v>16740</v>
      </c>
      <c r="AF578" s="29">
        <v>17556</v>
      </c>
      <c r="AG578" s="994"/>
      <c r="AI578" s="952"/>
      <c r="AK578" s="29">
        <v>12254</v>
      </c>
      <c r="AL578" s="29">
        <v>12599</v>
      </c>
      <c r="AM578" s="29">
        <v>14065</v>
      </c>
      <c r="AN578" s="29">
        <v>17681</v>
      </c>
      <c r="AO578" s="29">
        <v>14569</v>
      </c>
      <c r="AP578" s="29">
        <v>18760</v>
      </c>
      <c r="AQ578" s="29">
        <v>23150</v>
      </c>
      <c r="AR578" s="29">
        <v>16978</v>
      </c>
      <c r="AS578" s="29">
        <v>21863</v>
      </c>
      <c r="AT578" s="29">
        <v>22074</v>
      </c>
      <c r="AU578" s="29">
        <v>12193</v>
      </c>
      <c r="AV578" s="29">
        <v>16798</v>
      </c>
      <c r="AW578" s="29">
        <v>21204</v>
      </c>
      <c r="AY578" s="29">
        <v>20539</v>
      </c>
      <c r="AZ578" s="29">
        <v>25489</v>
      </c>
      <c r="BA578" s="29">
        <v>16571</v>
      </c>
      <c r="BB578" s="29">
        <v>39240</v>
      </c>
      <c r="BC578" s="11">
        <f t="shared" ref="BC578:BC594" si="604">SUM(T578:W578)</f>
        <v>44281</v>
      </c>
      <c r="BD578" s="11">
        <f>SUM(X578:AA578)</f>
        <v>61271</v>
      </c>
      <c r="BE578" s="11">
        <f>+SUM(AB578:AE578)</f>
        <v>72738</v>
      </c>
      <c r="BF578" s="29"/>
    </row>
    <row r="579" spans="2:58">
      <c r="B579" t="s">
        <v>529</v>
      </c>
      <c r="D579" s="29">
        <v>1461</v>
      </c>
      <c r="E579" s="29">
        <v>1544</v>
      </c>
      <c r="F579" s="29">
        <v>1707</v>
      </c>
      <c r="G579" s="29">
        <v>1910</v>
      </c>
      <c r="H579" s="29">
        <v>1816</v>
      </c>
      <c r="I579" s="29">
        <v>2166</v>
      </c>
      <c r="J579" s="29">
        <v>2453</v>
      </c>
      <c r="K579" s="11">
        <f t="shared" si="602"/>
        <v>2343</v>
      </c>
      <c r="L579" s="29">
        <v>2499</v>
      </c>
      <c r="M579" s="29">
        <v>2536</v>
      </c>
      <c r="N579" s="29">
        <v>2710</v>
      </c>
      <c r="O579" s="11">
        <v>2516</v>
      </c>
      <c r="P579" s="29">
        <v>2837</v>
      </c>
      <c r="Q579" s="29">
        <v>2995</v>
      </c>
      <c r="R579" s="29">
        <v>2926</v>
      </c>
      <c r="S579" s="11">
        <f t="shared" si="603"/>
        <v>2924</v>
      </c>
      <c r="T579" s="29">
        <v>2971</v>
      </c>
      <c r="U579" s="29">
        <v>3203</v>
      </c>
      <c r="V579" s="29">
        <v>3118</v>
      </c>
      <c r="W579" s="29">
        <v>3504</v>
      </c>
      <c r="X579" s="29">
        <v>2645</v>
      </c>
      <c r="Y579" s="29">
        <v>2761</v>
      </c>
      <c r="Z579" s="29">
        <v>2936</v>
      </c>
      <c r="AA579" s="29">
        <v>3344</v>
      </c>
      <c r="AB579" s="29">
        <v>3212</v>
      </c>
      <c r="AC579" s="29">
        <v>3496</v>
      </c>
      <c r="AD579" s="29">
        <v>3773</v>
      </c>
      <c r="AE579" s="29">
        <v>3979</v>
      </c>
      <c r="AF579" s="29">
        <v>2790</v>
      </c>
      <c r="AG579" s="29"/>
      <c r="AH579" s="29"/>
      <c r="AI579" s="29"/>
      <c r="AK579" s="29">
        <v>855</v>
      </c>
      <c r="AL579" s="29">
        <v>903</v>
      </c>
      <c r="AM579" s="29">
        <v>1440</v>
      </c>
      <c r="AN579" s="29">
        <v>2056</v>
      </c>
      <c r="AO579" s="29">
        <v>2562</v>
      </c>
      <c r="AP579" s="29">
        <v>2673</v>
      </c>
      <c r="AQ579" s="29">
        <v>2766</v>
      </c>
      <c r="AR579" s="29">
        <v>2967</v>
      </c>
      <c r="AS579" s="29">
        <v>3755</v>
      </c>
      <c r="AT579" s="29">
        <v>5212</v>
      </c>
      <c r="AU579" s="29">
        <v>5957</v>
      </c>
      <c r="AV579" s="29">
        <v>6622</v>
      </c>
      <c r="AW579" s="29">
        <v>8778</v>
      </c>
      <c r="AY579" s="29">
        <v>6622</v>
      </c>
      <c r="AZ579" s="29">
        <v>8778</v>
      </c>
      <c r="BA579" s="29">
        <v>10261</v>
      </c>
      <c r="BB579" s="29">
        <v>11682</v>
      </c>
      <c r="BC579" s="11">
        <f t="shared" si="604"/>
        <v>12796</v>
      </c>
      <c r="BD579" s="11">
        <f t="shared" ref="BD579:BD594" si="605">SUM(X579:AA579)</f>
        <v>11686</v>
      </c>
      <c r="BE579" s="11">
        <f t="shared" ref="BE579:BE594" si="606">+SUM(AB579:AE579)</f>
        <v>14460</v>
      </c>
      <c r="BF579" s="29"/>
    </row>
    <row r="580" spans="2:58">
      <c r="B580" t="s">
        <v>530</v>
      </c>
      <c r="D580" s="29">
        <v>101</v>
      </c>
      <c r="E580" s="29">
        <v>50</v>
      </c>
      <c r="F580" s="29">
        <v>65</v>
      </c>
      <c r="G580" s="29">
        <v>-439</v>
      </c>
      <c r="H580" s="29">
        <v>-311</v>
      </c>
      <c r="I580" s="29">
        <v>-652</v>
      </c>
      <c r="J580" s="29">
        <v>-590</v>
      </c>
      <c r="K580" s="11">
        <f t="shared" si="602"/>
        <v>-520</v>
      </c>
      <c r="L580" s="29">
        <v>-523</v>
      </c>
      <c r="M580" s="29">
        <v>-684</v>
      </c>
      <c r="N580" s="29">
        <v>-438</v>
      </c>
      <c r="O580" s="11">
        <v>-567</v>
      </c>
      <c r="P580" s="29">
        <v>-240</v>
      </c>
      <c r="Q580" s="29">
        <v>-135</v>
      </c>
      <c r="R580" s="29">
        <v>-95</v>
      </c>
      <c r="S580" s="11">
        <f t="shared" si="603"/>
        <v>-322</v>
      </c>
      <c r="T580" s="29">
        <v>11</v>
      </c>
      <c r="U580" s="29">
        <v>-203</v>
      </c>
      <c r="V580" s="29">
        <v>52</v>
      </c>
      <c r="W580" s="29">
        <v>-79</v>
      </c>
      <c r="X580" s="29">
        <v>-128</v>
      </c>
      <c r="Y580" s="29">
        <v>-354</v>
      </c>
      <c r="Z580" s="29">
        <v>-351</v>
      </c>
      <c r="AA580" s="29">
        <v>-416</v>
      </c>
      <c r="AB580" s="29">
        <v>-364</v>
      </c>
      <c r="AC580" s="29">
        <v>-307</v>
      </c>
      <c r="AD580" s="29">
        <v>105</v>
      </c>
      <c r="AE580" s="29">
        <v>157</v>
      </c>
      <c r="AF580" s="29">
        <v>-22</v>
      </c>
      <c r="AH580" s="29"/>
      <c r="AI580" s="29"/>
      <c r="AK580" s="29">
        <v>-527</v>
      </c>
      <c r="AL580" s="29">
        <v>-270</v>
      </c>
      <c r="AM580" s="29">
        <v>-292</v>
      </c>
      <c r="AN580" s="29">
        <v>-572</v>
      </c>
      <c r="AO580" s="29">
        <v>683</v>
      </c>
      <c r="AP580" s="29">
        <v>-208</v>
      </c>
      <c r="AQ580" s="29">
        <v>-362</v>
      </c>
      <c r="AR580" s="29">
        <v>-200</v>
      </c>
      <c r="AS580" s="29">
        <v>80</v>
      </c>
      <c r="AT580" s="29">
        <v>-109</v>
      </c>
      <c r="AU580" s="29">
        <v>-443</v>
      </c>
      <c r="AV580" s="29">
        <v>-223</v>
      </c>
      <c r="AW580" s="29">
        <v>-2073</v>
      </c>
      <c r="AY580" s="29">
        <v>-223</v>
      </c>
      <c r="AZ580" s="29">
        <v>-2073</v>
      </c>
      <c r="BA580" s="29">
        <v>-2212</v>
      </c>
      <c r="BB580" s="29">
        <v>-792</v>
      </c>
      <c r="BC580" s="11">
        <f t="shared" si="604"/>
        <v>-219</v>
      </c>
      <c r="BD580" s="11">
        <f t="shared" si="605"/>
        <v>-1249</v>
      </c>
      <c r="BE580" s="11">
        <f t="shared" si="606"/>
        <v>-409</v>
      </c>
      <c r="BF580" s="29"/>
    </row>
    <row r="581" spans="2:58">
      <c r="B581" t="s">
        <v>531</v>
      </c>
      <c r="D581" s="29">
        <v>0</v>
      </c>
      <c r="E581" s="29">
        <v>0</v>
      </c>
      <c r="F581" s="29">
        <v>0</v>
      </c>
      <c r="G581" s="29">
        <v>630</v>
      </c>
      <c r="H581" s="29">
        <v>0</v>
      </c>
      <c r="I581" s="29">
        <v>0</v>
      </c>
      <c r="J581" s="29">
        <v>0</v>
      </c>
      <c r="K581" s="11">
        <f t="shared" si="602"/>
        <v>0</v>
      </c>
      <c r="L581" s="29">
        <v>0</v>
      </c>
      <c r="M581" s="29">
        <v>0</v>
      </c>
      <c r="N581" s="29">
        <v>0</v>
      </c>
      <c r="O581" s="11">
        <v>0</v>
      </c>
      <c r="P581" s="29">
        <v>0</v>
      </c>
      <c r="Q581" s="29">
        <v>0</v>
      </c>
      <c r="R581" s="29">
        <v>0</v>
      </c>
      <c r="S581" s="11">
        <f t="shared" si="603"/>
        <v>0</v>
      </c>
      <c r="T581" s="29">
        <v>0</v>
      </c>
      <c r="U581" s="29">
        <v>0</v>
      </c>
      <c r="V581" s="29">
        <v>0</v>
      </c>
      <c r="W581" s="29">
        <v>0</v>
      </c>
      <c r="X581" s="29">
        <v>0</v>
      </c>
      <c r="Y581" s="29">
        <v>0</v>
      </c>
      <c r="Z581" s="29">
        <v>0</v>
      </c>
      <c r="AA581" s="29">
        <v>0</v>
      </c>
      <c r="AB581" s="29">
        <v>0</v>
      </c>
      <c r="AC581" s="29">
        <v>0</v>
      </c>
      <c r="AD581" s="29">
        <v>0</v>
      </c>
      <c r="AE581" s="29">
        <v>0</v>
      </c>
      <c r="AF581" s="29">
        <v>0</v>
      </c>
      <c r="AK581" s="29">
        <v>0</v>
      </c>
      <c r="AL581" s="29">
        <v>0</v>
      </c>
      <c r="AM581" s="29">
        <v>0</v>
      </c>
      <c r="AN581" s="29">
        <v>0</v>
      </c>
      <c r="AO581" s="29">
        <v>0</v>
      </c>
      <c r="AP581" s="29">
        <v>0</v>
      </c>
      <c r="AQ581" s="29">
        <v>0</v>
      </c>
      <c r="AR581" s="29">
        <v>6193</v>
      </c>
      <c r="AS581" s="29">
        <v>0</v>
      </c>
      <c r="AT581" s="29">
        <v>0</v>
      </c>
      <c r="AU581" s="29">
        <v>7498</v>
      </c>
      <c r="AV581" s="29">
        <v>630</v>
      </c>
      <c r="AW581" s="29">
        <v>0</v>
      </c>
      <c r="AY581" s="29">
        <v>630</v>
      </c>
      <c r="AZ581" s="29">
        <v>0</v>
      </c>
      <c r="BA581" s="29">
        <v>0</v>
      </c>
      <c r="BB581" s="29">
        <v>0</v>
      </c>
      <c r="BC581" s="11">
        <f t="shared" si="604"/>
        <v>0</v>
      </c>
      <c r="BD581" s="11">
        <f t="shared" si="605"/>
        <v>0</v>
      </c>
      <c r="BE581" s="11">
        <f t="shared" si="606"/>
        <v>0</v>
      </c>
      <c r="BF581" s="29"/>
    </row>
    <row r="582" spans="2:58">
      <c r="B582" t="s">
        <v>532</v>
      </c>
      <c r="D582" s="29">
        <v>674</v>
      </c>
      <c r="E582" s="29">
        <v>658</v>
      </c>
      <c r="F582" s="29">
        <v>672</v>
      </c>
      <c r="G582" s="29">
        <v>664</v>
      </c>
      <c r="H582" s="29">
        <v>703</v>
      </c>
      <c r="I582" s="29">
        <v>767</v>
      </c>
      <c r="J582" s="29">
        <v>883</v>
      </c>
      <c r="K582" s="11">
        <f t="shared" si="602"/>
        <v>913</v>
      </c>
      <c r="L582" s="29">
        <v>973</v>
      </c>
      <c r="M582" s="29">
        <v>986</v>
      </c>
      <c r="N582" s="29">
        <v>969</v>
      </c>
      <c r="O582" s="11">
        <v>1012</v>
      </c>
      <c r="P582" s="29">
        <v>1107</v>
      </c>
      <c r="Q582" s="29">
        <v>1183</v>
      </c>
      <c r="R582" s="29">
        <v>1172</v>
      </c>
      <c r="S582" s="11">
        <f t="shared" si="603"/>
        <v>1190</v>
      </c>
      <c r="T582" s="29">
        <v>1262</v>
      </c>
      <c r="U582" s="29">
        <v>1340</v>
      </c>
      <c r="V582" s="29">
        <v>1338</v>
      </c>
      <c r="W582" s="29">
        <v>1349</v>
      </c>
      <c r="X582" s="29">
        <v>1456</v>
      </c>
      <c r="Y582" s="29">
        <v>1566</v>
      </c>
      <c r="Z582" s="29">
        <v>1525</v>
      </c>
      <c r="AA582" s="29">
        <v>1571</v>
      </c>
      <c r="AB582" s="29">
        <v>1702</v>
      </c>
      <c r="AC582" s="29">
        <v>1897</v>
      </c>
      <c r="AD582" s="29">
        <v>1906</v>
      </c>
      <c r="AE582" s="29">
        <v>1997</v>
      </c>
      <c r="AF582" s="29">
        <v>2192</v>
      </c>
      <c r="AG582" s="825"/>
      <c r="AH582" s="29"/>
      <c r="AI582" s="825"/>
      <c r="AK582" s="29">
        <v>2448</v>
      </c>
      <c r="AL582" s="29">
        <v>1715</v>
      </c>
      <c r="AM582" s="29">
        <v>1550</v>
      </c>
      <c r="AN582" s="29">
        <v>1479</v>
      </c>
      <c r="AO582" s="29">
        <v>1708</v>
      </c>
      <c r="AP582" s="29">
        <v>1891</v>
      </c>
      <c r="AQ582" s="29">
        <v>2166</v>
      </c>
      <c r="AR582" s="29">
        <v>2244</v>
      </c>
      <c r="AS582" s="29">
        <v>2406</v>
      </c>
      <c r="AT582" s="29">
        <v>2446</v>
      </c>
      <c r="AU582" s="29">
        <v>2574</v>
      </c>
      <c r="AV582" s="29">
        <v>2668</v>
      </c>
      <c r="AW582" s="29">
        <v>3266</v>
      </c>
      <c r="AY582" s="29">
        <v>2668</v>
      </c>
      <c r="AZ582" s="29">
        <v>3266</v>
      </c>
      <c r="BA582" s="29">
        <v>3940</v>
      </c>
      <c r="BB582" s="29">
        <v>4652</v>
      </c>
      <c r="BC582" s="11">
        <f t="shared" si="604"/>
        <v>5289</v>
      </c>
      <c r="BD582" s="11">
        <f t="shared" si="605"/>
        <v>6118</v>
      </c>
      <c r="BE582" s="11">
        <f t="shared" si="606"/>
        <v>7502</v>
      </c>
      <c r="BF582" s="29"/>
    </row>
    <row r="583" spans="2:58">
      <c r="B583" t="s">
        <v>533</v>
      </c>
      <c r="D583" s="29">
        <v>0</v>
      </c>
      <c r="E583" s="29">
        <v>0</v>
      </c>
      <c r="F583" s="29">
        <v>0</v>
      </c>
      <c r="G583" s="29">
        <v>0</v>
      </c>
      <c r="H583" s="29">
        <v>0</v>
      </c>
      <c r="I583" s="29">
        <v>0</v>
      </c>
      <c r="J583" s="29">
        <v>0</v>
      </c>
      <c r="K583" s="11">
        <f t="shared" si="602"/>
        <v>0</v>
      </c>
      <c r="L583" s="29">
        <v>0</v>
      </c>
      <c r="M583" s="29">
        <v>0</v>
      </c>
      <c r="N583" s="29">
        <v>0</v>
      </c>
      <c r="O583" s="11">
        <v>0</v>
      </c>
      <c r="P583" s="29">
        <v>0</v>
      </c>
      <c r="Q583" s="29">
        <v>0</v>
      </c>
      <c r="R583" s="29">
        <v>0</v>
      </c>
      <c r="S583" s="11">
        <f t="shared" si="603"/>
        <v>0</v>
      </c>
      <c r="T583" s="29">
        <v>0</v>
      </c>
      <c r="U583" s="29">
        <v>0</v>
      </c>
      <c r="V583" s="29">
        <v>0</v>
      </c>
      <c r="W583" s="29">
        <v>0</v>
      </c>
      <c r="X583" s="29">
        <v>0</v>
      </c>
      <c r="Y583" s="29">
        <v>0</v>
      </c>
      <c r="Z583" s="29">
        <v>0</v>
      </c>
      <c r="AA583" s="29">
        <v>0</v>
      </c>
      <c r="AB583" s="29">
        <v>0</v>
      </c>
      <c r="AC583" s="29">
        <v>0</v>
      </c>
      <c r="AD583" s="29">
        <v>0</v>
      </c>
      <c r="AE583" s="29">
        <v>0</v>
      </c>
      <c r="AF583" s="29">
        <v>0</v>
      </c>
      <c r="AH583" s="29"/>
      <c r="AI583" s="29"/>
      <c r="AK583" s="29">
        <v>668</v>
      </c>
      <c r="AL583" s="29">
        <v>-89</v>
      </c>
      <c r="AM583" s="29">
        <v>-77</v>
      </c>
      <c r="AN583" s="29">
        <v>-120</v>
      </c>
      <c r="AO583" s="29">
        <v>-52</v>
      </c>
      <c r="AP583" s="29">
        <v>-45</v>
      </c>
      <c r="AQ583" s="29">
        <v>-17</v>
      </c>
      <c r="AR583" s="29">
        <v>-93</v>
      </c>
      <c r="AS583" s="29">
        <v>-209</v>
      </c>
      <c r="AT583" s="29">
        <v>0</v>
      </c>
      <c r="AU583" s="29">
        <v>0</v>
      </c>
      <c r="AV583" s="29">
        <v>0</v>
      </c>
      <c r="AW583" s="29">
        <v>0</v>
      </c>
      <c r="AY583" s="29">
        <v>0</v>
      </c>
      <c r="AZ583" s="29">
        <v>0</v>
      </c>
      <c r="BA583" s="29">
        <v>0</v>
      </c>
      <c r="BB583" s="29">
        <v>0</v>
      </c>
      <c r="BC583" s="11">
        <f t="shared" si="604"/>
        <v>0</v>
      </c>
      <c r="BD583" s="11">
        <f t="shared" si="605"/>
        <v>0</v>
      </c>
      <c r="BE583" s="11">
        <f t="shared" si="606"/>
        <v>0</v>
      </c>
      <c r="BF583" s="29"/>
    </row>
    <row r="584" spans="2:58">
      <c r="B584" t="s">
        <v>534</v>
      </c>
      <c r="D584" s="29">
        <v>73</v>
      </c>
      <c r="E584" s="29">
        <v>-247</v>
      </c>
      <c r="F584" s="29">
        <v>351</v>
      </c>
      <c r="G584" s="29">
        <v>155</v>
      </c>
      <c r="H584" s="29">
        <v>540</v>
      </c>
      <c r="I584" s="29">
        <v>5</v>
      </c>
      <c r="J584" s="29">
        <v>-284</v>
      </c>
      <c r="K584" s="11">
        <f t="shared" si="602"/>
        <v>-1090</v>
      </c>
      <c r="L584" s="29">
        <v>-53</v>
      </c>
      <c r="M584" s="29">
        <v>-2305</v>
      </c>
      <c r="N584" s="29">
        <v>-396</v>
      </c>
      <c r="O584" s="11">
        <v>-2389</v>
      </c>
      <c r="P584" s="29">
        <v>-247</v>
      </c>
      <c r="Q584" s="29">
        <v>-173</v>
      </c>
      <c r="R584" s="29">
        <v>-320</v>
      </c>
      <c r="S584" s="11">
        <f t="shared" si="603"/>
        <v>-5723</v>
      </c>
      <c r="T584" s="29">
        <v>-177</v>
      </c>
      <c r="U584" s="29">
        <v>-53</v>
      </c>
      <c r="V584" s="29">
        <v>-206</v>
      </c>
      <c r="W584" s="29">
        <v>447</v>
      </c>
      <c r="X584" s="29">
        <v>-11</v>
      </c>
      <c r="Y584" s="29">
        <v>-17</v>
      </c>
      <c r="Z584" s="29">
        <v>-88</v>
      </c>
      <c r="AA584" s="29">
        <v>-34</v>
      </c>
      <c r="AB584" s="29">
        <v>-5970</v>
      </c>
      <c r="AC584" s="29">
        <v>183</v>
      </c>
      <c r="AD584" s="29">
        <v>-198</v>
      </c>
      <c r="AE584" s="29">
        <v>283</v>
      </c>
      <c r="AF584" s="29">
        <v>-1191</v>
      </c>
      <c r="AG584" s="29"/>
      <c r="AH584" s="29"/>
      <c r="AI584" s="825"/>
      <c r="AK584" s="29">
        <v>-179</v>
      </c>
      <c r="AL584" s="29">
        <v>219</v>
      </c>
      <c r="AM584" s="29">
        <v>421</v>
      </c>
      <c r="AN584" s="29">
        <v>935</v>
      </c>
      <c r="AO584" s="29">
        <v>762</v>
      </c>
      <c r="AP584" s="29">
        <v>-220</v>
      </c>
      <c r="AQ584" s="29">
        <v>2</v>
      </c>
      <c r="AR584" s="29">
        <v>954</v>
      </c>
      <c r="AS584" s="29">
        <v>-19</v>
      </c>
      <c r="AT584" s="29">
        <v>-331</v>
      </c>
      <c r="AU584" s="29">
        <v>224</v>
      </c>
      <c r="AV584" s="29">
        <v>332</v>
      </c>
      <c r="AW584" s="29">
        <v>-3296</v>
      </c>
      <c r="AY584" s="29">
        <v>2479</v>
      </c>
      <c r="AZ584" s="29">
        <v>-829</v>
      </c>
      <c r="BA584" s="29">
        <v>-5143</v>
      </c>
      <c r="BB584" s="29">
        <v>-6463</v>
      </c>
      <c r="BC584" s="11">
        <f t="shared" si="604"/>
        <v>11</v>
      </c>
      <c r="BD584" s="11">
        <f t="shared" si="605"/>
        <v>-150</v>
      </c>
      <c r="BE584" s="11">
        <f t="shared" si="606"/>
        <v>-5702</v>
      </c>
      <c r="BF584" s="29"/>
    </row>
    <row r="585" spans="2:58">
      <c r="B585" t="s">
        <v>535</v>
      </c>
      <c r="D585" s="29">
        <v>-5</v>
      </c>
      <c r="E585" s="29">
        <v>56</v>
      </c>
      <c r="F585" s="29">
        <v>7</v>
      </c>
      <c r="G585" s="29">
        <v>-99</v>
      </c>
      <c r="H585" s="29">
        <v>-93</v>
      </c>
      <c r="I585" s="29">
        <v>-200</v>
      </c>
      <c r="J585" s="29">
        <v>-387</v>
      </c>
      <c r="K585" s="11">
        <f t="shared" si="602"/>
        <v>-237</v>
      </c>
      <c r="L585" s="29">
        <v>-278</v>
      </c>
      <c r="M585" s="29">
        <v>-344</v>
      </c>
      <c r="N585" s="29">
        <v>-213</v>
      </c>
      <c r="O585" s="11">
        <v>550</v>
      </c>
      <c r="P585" s="29">
        <v>21</v>
      </c>
      <c r="Q585" s="29">
        <v>-473</v>
      </c>
      <c r="R585" s="29">
        <v>-517</v>
      </c>
      <c r="S585" s="11">
        <f t="shared" si="603"/>
        <v>-865</v>
      </c>
      <c r="T585" s="29">
        <v>-333</v>
      </c>
      <c r="U585" s="29">
        <v>-517</v>
      </c>
      <c r="V585" s="29">
        <v>124</v>
      </c>
      <c r="W585" s="29">
        <v>-311</v>
      </c>
      <c r="X585" s="29">
        <v>-62</v>
      </c>
      <c r="Y585" s="29">
        <v>-1499</v>
      </c>
      <c r="Z585" s="29">
        <v>-885</v>
      </c>
      <c r="AA585" s="29">
        <v>-1013</v>
      </c>
      <c r="AB585" s="29">
        <v>-598</v>
      </c>
      <c r="AC585" s="29">
        <v>-908</v>
      </c>
      <c r="AD585" s="29">
        <v>-724</v>
      </c>
      <c r="AE585" s="29">
        <v>-575</v>
      </c>
      <c r="AF585" s="29">
        <v>-666</v>
      </c>
      <c r="AG585" s="29"/>
      <c r="AH585" s="29"/>
      <c r="AI585" s="29"/>
      <c r="AK585" s="29">
        <v>21</v>
      </c>
      <c r="AL585" s="29">
        <v>-49</v>
      </c>
      <c r="AM585" s="29">
        <v>-435</v>
      </c>
      <c r="AN585" s="29">
        <v>-98</v>
      </c>
      <c r="AO585" s="29">
        <v>-273</v>
      </c>
      <c r="AP585" s="29">
        <v>-223</v>
      </c>
      <c r="AQ585" s="29">
        <v>62</v>
      </c>
      <c r="AR585" s="29">
        <v>-248</v>
      </c>
      <c r="AS585" s="29">
        <v>-478</v>
      </c>
      <c r="AT585" s="29">
        <v>-628</v>
      </c>
      <c r="AU585" s="29">
        <v>346</v>
      </c>
      <c r="AV585" s="29">
        <v>-41</v>
      </c>
      <c r="AW585" s="29">
        <v>-539</v>
      </c>
      <c r="AY585" s="29">
        <v>-1110</v>
      </c>
      <c r="AZ585" s="29">
        <v>-917</v>
      </c>
      <c r="BA585" s="29">
        <v>-285</v>
      </c>
      <c r="BB585" s="29">
        <v>-1834</v>
      </c>
      <c r="BC585" s="11">
        <f t="shared" si="604"/>
        <v>-1037</v>
      </c>
      <c r="BD585" s="11">
        <f t="shared" si="605"/>
        <v>-3459</v>
      </c>
      <c r="BE585" s="11">
        <f t="shared" si="606"/>
        <v>-2805</v>
      </c>
      <c r="BF585" s="29"/>
    </row>
    <row r="586" spans="2:58">
      <c r="B586" t="s">
        <v>536</v>
      </c>
      <c r="D586" s="29">
        <v>-116</v>
      </c>
      <c r="E586" s="29">
        <v>370</v>
      </c>
      <c r="F586" s="29">
        <v>340</v>
      </c>
      <c r="G586" s="29">
        <v>-1360</v>
      </c>
      <c r="H586" s="29">
        <v>443</v>
      </c>
      <c r="I586" s="29">
        <v>-726</v>
      </c>
      <c r="J586" s="29">
        <v>284</v>
      </c>
      <c r="K586" s="11">
        <f t="shared" si="602"/>
        <v>-119</v>
      </c>
      <c r="L586" s="29">
        <v>813</v>
      </c>
      <c r="M586" s="29">
        <v>-612</v>
      </c>
      <c r="N586" s="29">
        <v>145</v>
      </c>
      <c r="O586" s="11">
        <v>-366</v>
      </c>
      <c r="P586" s="29">
        <v>43</v>
      </c>
      <c r="Q586" s="29">
        <v>-32</v>
      </c>
      <c r="R586" s="29">
        <v>339</v>
      </c>
      <c r="S586" s="11">
        <f t="shared" si="603"/>
        <v>241</v>
      </c>
      <c r="T586" s="29">
        <v>410</v>
      </c>
      <c r="U586" s="29">
        <v>425</v>
      </c>
      <c r="V586" s="29">
        <v>-110</v>
      </c>
      <c r="W586" s="29">
        <v>623</v>
      </c>
      <c r="X586" s="29">
        <v>244</v>
      </c>
      <c r="Y586" s="29">
        <v>893</v>
      </c>
      <c r="Z586" s="29">
        <v>122</v>
      </c>
      <c r="AA586" s="29">
        <v>143</v>
      </c>
      <c r="AB586" s="29">
        <v>250</v>
      </c>
      <c r="AC586" s="29">
        <v>93</v>
      </c>
      <c r="AD586" s="29">
        <v>438</v>
      </c>
      <c r="AE586" s="29">
        <v>44</v>
      </c>
      <c r="AF586" s="29">
        <v>188</v>
      </c>
      <c r="AH586" s="29"/>
      <c r="AI586" s="29"/>
      <c r="AK586" s="29">
        <v>1245</v>
      </c>
      <c r="AL586" s="29">
        <v>1273</v>
      </c>
      <c r="AM586" s="29">
        <v>1558</v>
      </c>
      <c r="AN586" s="29">
        <v>-173</v>
      </c>
      <c r="AO586" s="29">
        <v>1673</v>
      </c>
      <c r="AP586" s="29">
        <v>1407</v>
      </c>
      <c r="AQ586" s="29">
        <v>1294</v>
      </c>
      <c r="AR586" s="29">
        <v>174</v>
      </c>
      <c r="AS586" s="29">
        <v>1158</v>
      </c>
      <c r="AT586" s="29">
        <v>1014</v>
      </c>
      <c r="AU586" s="29">
        <v>1599</v>
      </c>
      <c r="AV586" s="29">
        <v>-766</v>
      </c>
      <c r="AW586" s="29">
        <v>1533</v>
      </c>
      <c r="AY586" s="29">
        <v>-406</v>
      </c>
      <c r="AZ586" s="29">
        <v>-118</v>
      </c>
      <c r="BA586" s="29">
        <v>-20</v>
      </c>
      <c r="BB586" s="29">
        <v>591</v>
      </c>
      <c r="BC586" s="11">
        <f t="shared" si="604"/>
        <v>1348</v>
      </c>
      <c r="BD586" s="11">
        <f t="shared" si="605"/>
        <v>1402</v>
      </c>
      <c r="BE586" s="11">
        <f t="shared" si="606"/>
        <v>825</v>
      </c>
      <c r="BF586" s="29"/>
    </row>
    <row r="587" spans="2:58">
      <c r="B587" t="s">
        <v>537</v>
      </c>
      <c r="D587" s="29">
        <v>6376</v>
      </c>
      <c r="E587" s="29">
        <v>-3118</v>
      </c>
      <c r="F587" s="29">
        <v>2288</v>
      </c>
      <c r="G587" s="29">
        <v>-6076</v>
      </c>
      <c r="H587" s="29">
        <v>7187</v>
      </c>
      <c r="I587" s="29">
        <v>-2789</v>
      </c>
      <c r="J587" s="29">
        <v>1415</v>
      </c>
      <c r="K587" s="11">
        <f t="shared" si="602"/>
        <v>-7029</v>
      </c>
      <c r="L587" s="29">
        <v>7949</v>
      </c>
      <c r="M587" s="29">
        <v>-3908</v>
      </c>
      <c r="N587" s="29">
        <v>1285</v>
      </c>
      <c r="O587" s="11">
        <v>-9188</v>
      </c>
      <c r="P587" s="29">
        <v>9194</v>
      </c>
      <c r="Q587" s="29">
        <v>-2396</v>
      </c>
      <c r="R587" s="29">
        <v>460</v>
      </c>
      <c r="S587" s="11">
        <f t="shared" si="603"/>
        <v>-10070</v>
      </c>
      <c r="T587" s="29">
        <v>10090</v>
      </c>
      <c r="U587" s="29">
        <v>-4203</v>
      </c>
      <c r="V587" s="29">
        <v>891</v>
      </c>
      <c r="W587" s="29">
        <v>-9355</v>
      </c>
      <c r="X587" s="29">
        <v>8843</v>
      </c>
      <c r="Y587" s="29">
        <v>-4008</v>
      </c>
      <c r="Z587" s="29">
        <v>290</v>
      </c>
      <c r="AA587" s="29">
        <v>-11606</v>
      </c>
      <c r="AB587" s="29">
        <v>10486</v>
      </c>
      <c r="AC587" s="29">
        <v>-5543</v>
      </c>
      <c r="AD587" s="29">
        <v>857</v>
      </c>
      <c r="AE587" s="29">
        <v>-12634</v>
      </c>
      <c r="AF587" s="29">
        <v>11729</v>
      </c>
      <c r="AG587" s="29"/>
      <c r="AI587" s="29"/>
      <c r="AK587" s="29">
        <v>-1243</v>
      </c>
      <c r="AL587" s="29">
        <v>-2071</v>
      </c>
      <c r="AM587" s="29">
        <v>-1764</v>
      </c>
      <c r="AN587" s="29">
        <v>-1569</v>
      </c>
      <c r="AO587" s="29">
        <v>2215</v>
      </c>
      <c r="AP587" s="29">
        <v>-2238</v>
      </c>
      <c r="AQ587" s="29">
        <v>-1451</v>
      </c>
      <c r="AR587" s="29">
        <v>-1156</v>
      </c>
      <c r="AS587" s="29">
        <v>-1807</v>
      </c>
      <c r="AT587" s="29">
        <v>-1120</v>
      </c>
      <c r="AU587" s="29">
        <v>1456</v>
      </c>
      <c r="AV587" s="29">
        <v>-530</v>
      </c>
      <c r="AW587" s="29">
        <v>-925</v>
      </c>
      <c r="AY587" s="29">
        <v>562</v>
      </c>
      <c r="AZ587" s="29">
        <v>-1216</v>
      </c>
      <c r="BA587" s="29">
        <v>-3862</v>
      </c>
      <c r="BB587" s="29">
        <v>-2812</v>
      </c>
      <c r="BC587" s="11">
        <f t="shared" si="604"/>
        <v>-2577</v>
      </c>
      <c r="BD587" s="11">
        <f t="shared" si="605"/>
        <v>-6481</v>
      </c>
      <c r="BE587" s="11">
        <f t="shared" si="606"/>
        <v>-6834</v>
      </c>
      <c r="BF587" s="29"/>
    </row>
    <row r="588" spans="2:58">
      <c r="B588" t="s">
        <v>538</v>
      </c>
      <c r="D588" s="29">
        <v>-937</v>
      </c>
      <c r="E588" s="29">
        <v>1104</v>
      </c>
      <c r="F588" s="29">
        <v>241</v>
      </c>
      <c r="G588" s="29">
        <v>192</v>
      </c>
      <c r="H588" s="29">
        <v>-867</v>
      </c>
      <c r="I588" s="29">
        <v>1132</v>
      </c>
      <c r="J588" s="29">
        <v>-16</v>
      </c>
      <c r="K588" s="11">
        <f t="shared" si="602"/>
        <v>-199</v>
      </c>
      <c r="L588" s="29">
        <v>-1023</v>
      </c>
      <c r="M588" s="29">
        <v>1205</v>
      </c>
      <c r="N588" s="29">
        <v>-75</v>
      </c>
      <c r="O588" s="11">
        <v>-572</v>
      </c>
      <c r="P588" s="29">
        <v>-956</v>
      </c>
      <c r="Q588" s="29">
        <v>1654</v>
      </c>
      <c r="R588" s="29">
        <v>12</v>
      </c>
      <c r="S588" s="11">
        <f t="shared" si="603"/>
        <v>-113</v>
      </c>
      <c r="T588" s="29">
        <v>-561</v>
      </c>
      <c r="U588" s="29">
        <v>799</v>
      </c>
      <c r="V588" s="29">
        <v>181</v>
      </c>
      <c r="W588" s="29">
        <v>-251</v>
      </c>
      <c r="X588" s="29">
        <v>-808</v>
      </c>
      <c r="Y588" s="29">
        <v>788</v>
      </c>
      <c r="Z588" s="29">
        <v>-329</v>
      </c>
      <c r="AA588" s="29">
        <v>-388</v>
      </c>
      <c r="AB588" s="29">
        <v>-777</v>
      </c>
      <c r="AC588" s="29">
        <v>394</v>
      </c>
      <c r="AD588" s="29">
        <v>-279</v>
      </c>
      <c r="AE588" s="29">
        <v>-461</v>
      </c>
      <c r="AF588" s="29">
        <v>-543</v>
      </c>
      <c r="AG588" s="29"/>
      <c r="AH588" s="29"/>
      <c r="AI588" s="29"/>
      <c r="AK588" s="29">
        <v>0</v>
      </c>
      <c r="AL588" s="29">
        <v>0</v>
      </c>
      <c r="AM588" s="29">
        <v>0</v>
      </c>
      <c r="AN588" s="29">
        <v>0</v>
      </c>
      <c r="AO588" s="29">
        <v>255</v>
      </c>
      <c r="AP588" s="29">
        <v>-44</v>
      </c>
      <c r="AQ588" s="29">
        <v>-561</v>
      </c>
      <c r="AR588" s="29">
        <v>184</v>
      </c>
      <c r="AS588" s="29">
        <v>-802</v>
      </c>
      <c r="AT588" s="29">
        <v>-161</v>
      </c>
      <c r="AU588" s="29">
        <v>-272</v>
      </c>
      <c r="AV588" s="29">
        <v>600</v>
      </c>
      <c r="AW588" s="29">
        <v>50</v>
      </c>
      <c r="AY588" s="29">
        <v>600</v>
      </c>
      <c r="AZ588" s="29">
        <v>50</v>
      </c>
      <c r="BA588" s="29">
        <v>-465</v>
      </c>
      <c r="BB588" s="29">
        <v>597</v>
      </c>
      <c r="BC588" s="11">
        <f t="shared" si="604"/>
        <v>168</v>
      </c>
      <c r="BD588" s="11">
        <f t="shared" si="605"/>
        <v>-737</v>
      </c>
      <c r="BE588" s="11">
        <f t="shared" si="606"/>
        <v>-1123</v>
      </c>
      <c r="BF588" s="29"/>
    </row>
    <row r="589" spans="2:58">
      <c r="B589" t="s">
        <v>539</v>
      </c>
      <c r="D589" s="29">
        <v>-135</v>
      </c>
      <c r="E589" s="29">
        <v>369</v>
      </c>
      <c r="F589" s="29">
        <v>-129</v>
      </c>
      <c r="G589" s="29">
        <v>-17</v>
      </c>
      <c r="H589" s="29">
        <v>-443</v>
      </c>
      <c r="I589" s="29">
        <v>99</v>
      </c>
      <c r="J589" s="29">
        <v>-425</v>
      </c>
      <c r="K589" s="11">
        <f t="shared" si="602"/>
        <v>850</v>
      </c>
      <c r="L589" s="29">
        <v>-407</v>
      </c>
      <c r="M589" s="29">
        <v>938</v>
      </c>
      <c r="N589" s="29">
        <v>-393</v>
      </c>
      <c r="O589" s="11">
        <v>1010</v>
      </c>
      <c r="P589" s="29">
        <v>-395</v>
      </c>
      <c r="Q589" s="29">
        <v>-440</v>
      </c>
      <c r="R589" s="29">
        <v>-197</v>
      </c>
      <c r="S589" s="11">
        <f t="shared" si="603"/>
        <v>1264</v>
      </c>
      <c r="T589" s="29">
        <v>-547</v>
      </c>
      <c r="U589" s="29">
        <v>-7</v>
      </c>
      <c r="V589" s="29">
        <v>546</v>
      </c>
      <c r="W589" s="29">
        <v>3026</v>
      </c>
      <c r="X589" s="29">
        <v>315</v>
      </c>
      <c r="Y589" s="29">
        <v>33</v>
      </c>
      <c r="Z589" s="29">
        <v>833</v>
      </c>
      <c r="AA589" s="29">
        <v>1617</v>
      </c>
      <c r="AB589" s="29">
        <v>-471</v>
      </c>
      <c r="AC589" s="29">
        <v>235</v>
      </c>
      <c r="AD589" s="29">
        <v>520</v>
      </c>
      <c r="AE589" s="29">
        <v>2659</v>
      </c>
      <c r="AF589" s="29">
        <v>-1567</v>
      </c>
      <c r="AG589" s="29"/>
      <c r="AH589" s="29"/>
      <c r="AI589" s="29"/>
      <c r="AK589" s="29">
        <v>0</v>
      </c>
      <c r="AL589" s="29">
        <v>0</v>
      </c>
      <c r="AM589" s="29">
        <v>0</v>
      </c>
      <c r="AN589" s="29">
        <v>0</v>
      </c>
      <c r="AO589" s="29">
        <v>-671</v>
      </c>
      <c r="AP589" s="29">
        <v>844</v>
      </c>
      <c r="AQ589" s="29">
        <v>58</v>
      </c>
      <c r="AR589" s="29">
        <v>-31</v>
      </c>
      <c r="AS589" s="29">
        <v>537</v>
      </c>
      <c r="AT589" s="29">
        <v>473</v>
      </c>
      <c r="AU589" s="29">
        <v>-1054</v>
      </c>
      <c r="AV589" s="29">
        <v>88</v>
      </c>
      <c r="AW589" s="29">
        <v>81</v>
      </c>
      <c r="AY589" s="29">
        <v>88</v>
      </c>
      <c r="AZ589" s="29">
        <v>81</v>
      </c>
      <c r="BA589" s="29">
        <v>1148</v>
      </c>
      <c r="BB589" s="29">
        <v>232</v>
      </c>
      <c r="BC589" s="11">
        <f t="shared" si="604"/>
        <v>3018</v>
      </c>
      <c r="BD589" s="11">
        <f t="shared" si="605"/>
        <v>2798</v>
      </c>
      <c r="BE589" s="11">
        <f t="shared" si="606"/>
        <v>2943</v>
      </c>
      <c r="BF589" s="29"/>
    </row>
    <row r="590" spans="2:58">
      <c r="B590" t="s">
        <v>540</v>
      </c>
      <c r="D590" s="29">
        <v>0</v>
      </c>
      <c r="E590" s="29">
        <v>0</v>
      </c>
      <c r="F590" s="29">
        <v>0</v>
      </c>
      <c r="G590" s="29">
        <v>0</v>
      </c>
      <c r="H590" s="29">
        <v>0</v>
      </c>
      <c r="I590" s="29">
        <v>1407</v>
      </c>
      <c r="J590" s="29">
        <v>1247</v>
      </c>
      <c r="K590" s="11">
        <f t="shared" si="602"/>
        <v>-862</v>
      </c>
      <c r="L590" s="29">
        <v>0</v>
      </c>
      <c r="M590" s="29">
        <v>16635</v>
      </c>
      <c r="N590" s="29">
        <v>645</v>
      </c>
      <c r="O590" s="11">
        <v>903</v>
      </c>
      <c r="P590" s="29">
        <v>-1091</v>
      </c>
      <c r="Q590" s="29">
        <v>-64</v>
      </c>
      <c r="R590" s="29">
        <v>276</v>
      </c>
      <c r="S590" s="11">
        <f t="shared" si="603"/>
        <v>3808</v>
      </c>
      <c r="T590" s="29">
        <v>-3336</v>
      </c>
      <c r="U590" s="29">
        <v>-471</v>
      </c>
      <c r="V590" s="29">
        <v>765</v>
      </c>
      <c r="W590" s="29">
        <v>-589</v>
      </c>
      <c r="X590" s="29">
        <v>-983</v>
      </c>
      <c r="Y590" s="29">
        <v>-2368</v>
      </c>
      <c r="Z590" s="29">
        <v>1074</v>
      </c>
      <c r="AA590" s="29">
        <v>-32</v>
      </c>
      <c r="AB590" s="29">
        <v>2653</v>
      </c>
      <c r="AC590" s="29">
        <v>-2057</v>
      </c>
      <c r="AD590" s="29">
        <v>1091</v>
      </c>
      <c r="AE590" s="29">
        <v>-991</v>
      </c>
      <c r="AF590" s="29">
        <v>410</v>
      </c>
      <c r="AG590" s="29"/>
      <c r="AH590" s="29"/>
      <c r="AI590" s="29"/>
      <c r="AK590" s="29">
        <v>0</v>
      </c>
      <c r="AL590" s="29">
        <v>0</v>
      </c>
      <c r="AM590" s="29">
        <v>0</v>
      </c>
      <c r="AN590" s="29">
        <v>0</v>
      </c>
      <c r="AO590" s="29">
        <v>0</v>
      </c>
      <c r="AP590" s="29">
        <v>0</v>
      </c>
      <c r="AQ590" s="29">
        <v>0</v>
      </c>
      <c r="AR590" s="29">
        <v>0</v>
      </c>
      <c r="AS590" s="29">
        <v>0</v>
      </c>
      <c r="AT590" s="29">
        <v>0</v>
      </c>
      <c r="AU590" s="29">
        <v>0</v>
      </c>
      <c r="AV590" s="29">
        <v>0</v>
      </c>
      <c r="AW590" s="29">
        <v>0</v>
      </c>
      <c r="AY590" s="29">
        <v>-298</v>
      </c>
      <c r="AZ590" s="29">
        <v>1792</v>
      </c>
      <c r="BA590" s="29">
        <v>18183</v>
      </c>
      <c r="BB590" s="29">
        <v>2929</v>
      </c>
      <c r="BC590" s="11">
        <f t="shared" si="604"/>
        <v>-3631</v>
      </c>
      <c r="BD590" s="11">
        <f t="shared" si="605"/>
        <v>-2309</v>
      </c>
      <c r="BE590" s="11">
        <f t="shared" si="606"/>
        <v>696</v>
      </c>
      <c r="BF590" s="29"/>
    </row>
    <row r="591" spans="2:58">
      <c r="B591" t="s">
        <v>541</v>
      </c>
      <c r="D591" s="29">
        <v>10423</v>
      </c>
      <c r="E591" s="29">
        <v>12570</v>
      </c>
      <c r="F591" s="29">
        <v>13073</v>
      </c>
      <c r="G591" s="29">
        <v>21006</v>
      </c>
      <c r="H591" s="29">
        <v>-1807</v>
      </c>
      <c r="I591" s="29">
        <v>-1077</v>
      </c>
      <c r="J591" s="29">
        <v>-45</v>
      </c>
      <c r="K591" s="11">
        <f t="shared" si="602"/>
        <v>6749</v>
      </c>
      <c r="L591" s="29">
        <v>-1806</v>
      </c>
      <c r="M591" s="29">
        <v>-1065</v>
      </c>
      <c r="N591" s="29">
        <v>91</v>
      </c>
      <c r="O591" s="11">
        <v>8702</v>
      </c>
      <c r="P591" s="29">
        <v>-2441</v>
      </c>
      <c r="Q591" s="29">
        <v>-2122</v>
      </c>
      <c r="R591" s="29">
        <v>20</v>
      </c>
      <c r="S591" s="11">
        <f t="shared" si="603"/>
        <v>9005</v>
      </c>
      <c r="T591" s="29">
        <v>-2892</v>
      </c>
      <c r="U591" s="29">
        <v>-2936</v>
      </c>
      <c r="V591" s="29">
        <v>-736</v>
      </c>
      <c r="W591" s="29">
        <v>8776</v>
      </c>
      <c r="X591" s="29">
        <v>-3064</v>
      </c>
      <c r="Y591" s="29">
        <v>-3227</v>
      </c>
      <c r="Z591" s="29">
        <v>-473</v>
      </c>
      <c r="AA591" s="29">
        <v>11397</v>
      </c>
      <c r="AB591" s="29">
        <v>-2885</v>
      </c>
      <c r="AC591" s="29">
        <v>-4343</v>
      </c>
      <c r="AD591" s="29">
        <v>-209</v>
      </c>
      <c r="AE591" s="29">
        <v>12546</v>
      </c>
      <c r="AF591" s="29">
        <v>-3322</v>
      </c>
      <c r="AG591" s="29"/>
      <c r="AH591" s="29"/>
      <c r="AI591" s="29"/>
      <c r="AK591" s="29">
        <v>13831</v>
      </c>
      <c r="AL591" s="29">
        <v>16453</v>
      </c>
      <c r="AM591" s="29">
        <v>21032</v>
      </c>
      <c r="AN591" s="29">
        <v>24532</v>
      </c>
      <c r="AO591" s="29">
        <v>24409</v>
      </c>
      <c r="AP591" s="29">
        <v>29374</v>
      </c>
      <c r="AQ591" s="29">
        <v>31227</v>
      </c>
      <c r="AR591" s="29">
        <v>36104</v>
      </c>
      <c r="AS591" s="29">
        <v>44253</v>
      </c>
      <c r="AT591" s="29">
        <v>44325</v>
      </c>
      <c r="AU591" s="29">
        <v>45072</v>
      </c>
      <c r="AV591" s="29">
        <v>57072</v>
      </c>
      <c r="AW591" s="29">
        <v>67711</v>
      </c>
      <c r="AY591" s="29">
        <v>2565</v>
      </c>
      <c r="AZ591" s="29">
        <v>3820</v>
      </c>
      <c r="BA591" s="29">
        <v>5922</v>
      </c>
      <c r="BB591" s="29">
        <v>4462</v>
      </c>
      <c r="BC591" s="11">
        <f t="shared" si="604"/>
        <v>2212</v>
      </c>
      <c r="BD591" s="11">
        <f t="shared" si="605"/>
        <v>4633</v>
      </c>
      <c r="BE591" s="11">
        <f t="shared" si="606"/>
        <v>5109</v>
      </c>
      <c r="BF591" s="29"/>
    </row>
    <row r="592" spans="2:58">
      <c r="B592" t="s">
        <v>542</v>
      </c>
      <c r="D592" s="29">
        <v>-11355</v>
      </c>
      <c r="E592" s="29">
        <v>-11929</v>
      </c>
      <c r="F592" s="29">
        <v>-12210</v>
      </c>
      <c r="G592" s="29">
        <v>-13004</v>
      </c>
      <c r="H592" s="29">
        <v>0</v>
      </c>
      <c r="I592" s="29">
        <v>0</v>
      </c>
      <c r="J592" s="29">
        <v>0</v>
      </c>
      <c r="K592" s="11">
        <f t="shared" si="602"/>
        <v>0</v>
      </c>
      <c r="L592" s="29">
        <v>0</v>
      </c>
      <c r="M592" s="29">
        <v>0</v>
      </c>
      <c r="N592" s="29">
        <v>0</v>
      </c>
      <c r="O592" s="11">
        <v>0</v>
      </c>
      <c r="P592" s="29">
        <v>0</v>
      </c>
      <c r="Q592" s="29">
        <v>0</v>
      </c>
      <c r="R592" s="29">
        <v>0</v>
      </c>
      <c r="S592" s="11">
        <f t="shared" si="603"/>
        <v>0</v>
      </c>
      <c r="T592" s="29">
        <v>0</v>
      </c>
      <c r="U592" s="29">
        <v>0</v>
      </c>
      <c r="V592" s="29">
        <v>0</v>
      </c>
      <c r="W592" s="29">
        <v>0</v>
      </c>
      <c r="X592" s="29">
        <v>0</v>
      </c>
      <c r="Y592" s="29">
        <v>0</v>
      </c>
      <c r="Z592" s="29">
        <v>0</v>
      </c>
      <c r="AA592" s="29">
        <v>0</v>
      </c>
      <c r="AB592" s="29">
        <v>0</v>
      </c>
      <c r="AC592" s="29">
        <v>0</v>
      </c>
      <c r="AD592" s="29">
        <v>0</v>
      </c>
      <c r="AE592" s="29">
        <v>0</v>
      </c>
      <c r="AF592" s="29">
        <v>0</v>
      </c>
      <c r="AK592" s="29">
        <v>-12919</v>
      </c>
      <c r="AL592" s="29">
        <v>-14729</v>
      </c>
      <c r="AM592" s="29">
        <v>-19382</v>
      </c>
      <c r="AN592" s="29">
        <v>-21944</v>
      </c>
      <c r="AO592" s="29">
        <v>-25426</v>
      </c>
      <c r="AP592" s="29">
        <v>-28813</v>
      </c>
      <c r="AQ592" s="29">
        <v>-28935</v>
      </c>
      <c r="AR592" s="29">
        <v>-33347</v>
      </c>
      <c r="AS592" s="29">
        <v>-41921</v>
      </c>
      <c r="AT592" s="29">
        <v>-41739</v>
      </c>
      <c r="AU592" s="29">
        <v>-44920</v>
      </c>
      <c r="AV592" s="29">
        <v>-48498</v>
      </c>
      <c r="AW592" s="29">
        <v>-57735</v>
      </c>
      <c r="AY592" s="29">
        <v>0</v>
      </c>
      <c r="AZ592" s="29">
        <v>0</v>
      </c>
      <c r="BA592" s="29">
        <v>0</v>
      </c>
      <c r="BB592" s="29">
        <v>0</v>
      </c>
      <c r="BC592" s="11">
        <f t="shared" si="604"/>
        <v>0</v>
      </c>
      <c r="BD592" s="11">
        <f t="shared" si="605"/>
        <v>0</v>
      </c>
      <c r="BE592" s="11">
        <f t="shared" si="606"/>
        <v>0</v>
      </c>
      <c r="BF592" s="29"/>
    </row>
    <row r="593" spans="2:58">
      <c r="B593" t="s">
        <v>543</v>
      </c>
      <c r="D593" s="29">
        <v>-2024</v>
      </c>
      <c r="E593" s="29">
        <v>105</v>
      </c>
      <c r="F593" s="29">
        <v>626</v>
      </c>
      <c r="G593" s="29">
        <v>1033</v>
      </c>
      <c r="H593" s="29">
        <v>-321</v>
      </c>
      <c r="I593" s="29">
        <v>-1406</v>
      </c>
      <c r="J593" s="29">
        <v>670</v>
      </c>
      <c r="K593" s="11">
        <f t="shared" si="602"/>
        <v>1413</v>
      </c>
      <c r="L593" s="29">
        <v>-1962</v>
      </c>
      <c r="M593" s="29">
        <v>441</v>
      </c>
      <c r="N593" s="29">
        <v>546</v>
      </c>
      <c r="O593" s="11">
        <v>1773</v>
      </c>
      <c r="P593" s="29">
        <v>-2322</v>
      </c>
      <c r="Q593" s="29">
        <v>656</v>
      </c>
      <c r="R593" s="29">
        <v>649</v>
      </c>
      <c r="S593" s="11">
        <f t="shared" si="603"/>
        <v>2436</v>
      </c>
      <c r="T593" s="29">
        <v>-3320</v>
      </c>
      <c r="U593" s="29">
        <v>1489</v>
      </c>
      <c r="V593" s="29">
        <v>695</v>
      </c>
      <c r="W593" s="29">
        <v>2482</v>
      </c>
      <c r="X593" s="29">
        <v>-2951</v>
      </c>
      <c r="Y593" s="29">
        <v>1755</v>
      </c>
      <c r="Z593" s="29">
        <v>1590</v>
      </c>
      <c r="AA593" s="29">
        <v>3755</v>
      </c>
      <c r="AB593" s="29">
        <v>-4143</v>
      </c>
      <c r="AC593" s="29">
        <v>1745</v>
      </c>
      <c r="AD593" s="29">
        <v>1287</v>
      </c>
      <c r="AE593" s="29">
        <v>3455</v>
      </c>
      <c r="AF593" s="29">
        <v>-4024</v>
      </c>
      <c r="AG593" s="29"/>
      <c r="AH593" s="825"/>
      <c r="AI593" s="29"/>
      <c r="AK593" s="29">
        <v>396</v>
      </c>
      <c r="AL593" s="29">
        <v>-145</v>
      </c>
      <c r="AM593" s="29">
        <v>-552</v>
      </c>
      <c r="AN593" s="29">
        <v>-748</v>
      </c>
      <c r="AO593" s="29">
        <v>-2700</v>
      </c>
      <c r="AP593" s="29">
        <v>451</v>
      </c>
      <c r="AQ593" s="29">
        <v>-1146</v>
      </c>
      <c r="AR593" s="29">
        <v>410</v>
      </c>
      <c r="AS593" s="29">
        <v>146</v>
      </c>
      <c r="AT593" s="29">
        <v>1075</v>
      </c>
      <c r="AU593" s="29">
        <v>-624</v>
      </c>
      <c r="AV593" s="29">
        <v>-260</v>
      </c>
      <c r="AW593" s="29">
        <v>386</v>
      </c>
      <c r="AY593" s="29">
        <v>-179</v>
      </c>
      <c r="AZ593" s="29">
        <v>356</v>
      </c>
      <c r="BA593" s="29">
        <v>798</v>
      </c>
      <c r="BB593" s="29">
        <v>1419</v>
      </c>
      <c r="BC593" s="11">
        <f t="shared" si="604"/>
        <v>1346</v>
      </c>
      <c r="BD593" s="11">
        <f t="shared" si="605"/>
        <v>4149</v>
      </c>
      <c r="BE593" s="11">
        <f t="shared" si="606"/>
        <v>2344</v>
      </c>
      <c r="BF593" s="29"/>
    </row>
    <row r="594" spans="2:58" ht="11.45">
      <c r="B594" t="s">
        <v>544</v>
      </c>
      <c r="D594" s="30">
        <v>-562</v>
      </c>
      <c r="E594" s="30">
        <v>-932</v>
      </c>
      <c r="F594" s="30">
        <v>-420</v>
      </c>
      <c r="G594" s="30">
        <v>747</v>
      </c>
      <c r="H594" s="30">
        <v>-965</v>
      </c>
      <c r="I594" s="30">
        <v>1300</v>
      </c>
      <c r="J594" s="30">
        <v>-31</v>
      </c>
      <c r="K594" s="34">
        <f t="shared" si="602"/>
        <v>724</v>
      </c>
      <c r="L594" s="30">
        <v>-318</v>
      </c>
      <c r="M594" s="30">
        <v>354</v>
      </c>
      <c r="N594" s="30">
        <v>-149</v>
      </c>
      <c r="O594" s="34">
        <v>-839</v>
      </c>
      <c r="P594" s="30">
        <v>-677</v>
      </c>
      <c r="Q594" s="30">
        <v>-173</v>
      </c>
      <c r="R594" s="30">
        <v>-14</v>
      </c>
      <c r="S594" s="34">
        <f t="shared" si="603"/>
        <v>-854</v>
      </c>
      <c r="T594" s="30">
        <v>-438</v>
      </c>
      <c r="U594" s="30">
        <v>165</v>
      </c>
      <c r="V594" s="30">
        <v>94</v>
      </c>
      <c r="W594" s="30">
        <v>-2151</v>
      </c>
      <c r="X594" s="30">
        <v>-54</v>
      </c>
      <c r="Y594" s="30">
        <v>730</v>
      </c>
      <c r="Z594" s="30">
        <v>478</v>
      </c>
      <c r="AA594" s="30">
        <v>-2086</v>
      </c>
      <c r="AB594" s="30">
        <v>940</v>
      </c>
      <c r="AC594" s="30">
        <v>830</v>
      </c>
      <c r="AD594" s="30">
        <v>91</v>
      </c>
      <c r="AE594" s="30">
        <v>-2570</v>
      </c>
      <c r="AF594" s="30">
        <v>-332</v>
      </c>
      <c r="AH594" s="29"/>
      <c r="AI594" s="29"/>
      <c r="AK594" s="30">
        <v>-245</v>
      </c>
      <c r="AL594" s="30">
        <v>-1405</v>
      </c>
      <c r="AM594" s="30">
        <v>232</v>
      </c>
      <c r="AN594" s="30">
        <v>153</v>
      </c>
      <c r="AO594" s="30">
        <v>-677</v>
      </c>
      <c r="AP594" s="30">
        <v>464</v>
      </c>
      <c r="AQ594" s="30">
        <v>-1259</v>
      </c>
      <c r="AR594" s="30">
        <v>493</v>
      </c>
      <c r="AS594" s="30">
        <v>-129</v>
      </c>
      <c r="AT594" s="30">
        <v>-29</v>
      </c>
      <c r="AU594" s="30">
        <v>62</v>
      </c>
      <c r="AV594" s="30">
        <v>-1167</v>
      </c>
      <c r="AW594" s="30">
        <v>1066</v>
      </c>
      <c r="AX594" s="953"/>
      <c r="AY594" s="30">
        <v>-1212</v>
      </c>
      <c r="AZ594" s="30">
        <v>1028</v>
      </c>
      <c r="BA594" s="30">
        <v>-952</v>
      </c>
      <c r="BB594" s="30">
        <v>-1718</v>
      </c>
      <c r="BC594" s="34">
        <f t="shared" si="604"/>
        <v>-2330</v>
      </c>
      <c r="BD594" s="34">
        <f t="shared" si="605"/>
        <v>-932</v>
      </c>
      <c r="BE594" s="34">
        <f t="shared" si="606"/>
        <v>-709</v>
      </c>
      <c r="BF594" s="30"/>
    </row>
    <row r="595" spans="2:58" s="1" customFormat="1" ht="10.5">
      <c r="B595" s="837" t="s">
        <v>545</v>
      </c>
      <c r="D595" s="838">
        <f>SUM(D578:D594)</f>
        <v>8876</v>
      </c>
      <c r="E595" s="838">
        <f t="shared" ref="E595:AF595" si="607">SUM(E578:E594)</f>
        <v>5618</v>
      </c>
      <c r="F595" s="838">
        <f t="shared" si="607"/>
        <v>10367</v>
      </c>
      <c r="G595" s="838">
        <f t="shared" si="607"/>
        <v>8464</v>
      </c>
      <c r="H595" s="838">
        <f t="shared" si="607"/>
        <v>11549</v>
      </c>
      <c r="I595" s="838">
        <f t="shared" si="607"/>
        <v>6293</v>
      </c>
      <c r="J595" s="838">
        <f t="shared" si="607"/>
        <v>10660</v>
      </c>
      <c r="K595" s="849">
        <f t="shared" si="607"/>
        <v>11005</v>
      </c>
      <c r="L595" s="838">
        <f t="shared" si="607"/>
        <v>12440</v>
      </c>
      <c r="M595" s="838">
        <f t="shared" si="607"/>
        <v>7875</v>
      </c>
      <c r="N595" s="838">
        <f t="shared" si="607"/>
        <v>12151</v>
      </c>
      <c r="O595" s="849">
        <f t="shared" si="607"/>
        <v>11418</v>
      </c>
      <c r="P595" s="838">
        <f t="shared" si="607"/>
        <v>13657</v>
      </c>
      <c r="Q595" s="838">
        <f t="shared" si="607"/>
        <v>8900</v>
      </c>
      <c r="R595" s="838">
        <f t="shared" si="607"/>
        <v>13520</v>
      </c>
      <c r="S595" s="849">
        <f t="shared" si="607"/>
        <v>16108</v>
      </c>
      <c r="T595" s="838">
        <f t="shared" si="607"/>
        <v>13818</v>
      </c>
      <c r="U595" s="838">
        <f t="shared" si="607"/>
        <v>10680</v>
      </c>
      <c r="V595" s="838">
        <f t="shared" si="607"/>
        <v>17504</v>
      </c>
      <c r="W595" s="838">
        <f t="shared" si="607"/>
        <v>18673</v>
      </c>
      <c r="X595" s="838">
        <f t="shared" si="607"/>
        <v>19335</v>
      </c>
      <c r="Y595" s="838">
        <f t="shared" si="607"/>
        <v>12516</v>
      </c>
      <c r="Z595" s="838">
        <f t="shared" si="607"/>
        <v>22179</v>
      </c>
      <c r="AA595" s="838">
        <f t="shared" si="607"/>
        <v>22710</v>
      </c>
      <c r="AB595" s="838">
        <f t="shared" si="607"/>
        <v>24540</v>
      </c>
      <c r="AC595" s="838">
        <f t="shared" si="607"/>
        <v>14480</v>
      </c>
      <c r="AD595" s="838">
        <f t="shared" si="607"/>
        <v>25386</v>
      </c>
      <c r="AE595" s="838">
        <f t="shared" si="607"/>
        <v>24629</v>
      </c>
      <c r="AF595" s="838">
        <f t="shared" si="607"/>
        <v>23198</v>
      </c>
      <c r="AK595" s="838">
        <f>SUM(AK578:AK594)</f>
        <v>16605</v>
      </c>
      <c r="AL595" s="838">
        <f t="shared" ref="AL595:AW595" si="608">SUM(AL578:AL594)</f>
        <v>14404</v>
      </c>
      <c r="AM595" s="838">
        <f t="shared" si="608"/>
        <v>17796</v>
      </c>
      <c r="AN595" s="838">
        <f t="shared" si="608"/>
        <v>21612</v>
      </c>
      <c r="AO595" s="838">
        <f t="shared" si="608"/>
        <v>19037</v>
      </c>
      <c r="AP595" s="838">
        <f t="shared" si="608"/>
        <v>24073</v>
      </c>
      <c r="AQ595" s="838">
        <f t="shared" si="608"/>
        <v>26994</v>
      </c>
      <c r="AR595" s="838">
        <f t="shared" si="608"/>
        <v>31626</v>
      </c>
      <c r="AS595" s="838">
        <f t="shared" si="608"/>
        <v>28833</v>
      </c>
      <c r="AT595" s="838">
        <f t="shared" si="608"/>
        <v>32502</v>
      </c>
      <c r="AU595" s="838">
        <f t="shared" si="608"/>
        <v>29668</v>
      </c>
      <c r="AV595" s="838">
        <f t="shared" si="608"/>
        <v>33325</v>
      </c>
      <c r="AW595" s="838">
        <f t="shared" si="608"/>
        <v>39507</v>
      </c>
      <c r="AY595" s="838">
        <f t="shared" ref="AY595:BC595" si="609">SUM(AY578:AY594)</f>
        <v>33325</v>
      </c>
      <c r="AZ595" s="838">
        <f t="shared" si="609"/>
        <v>39507</v>
      </c>
      <c r="BA595" s="838">
        <f t="shared" si="609"/>
        <v>43884</v>
      </c>
      <c r="BB595" s="838">
        <f t="shared" si="609"/>
        <v>52185</v>
      </c>
      <c r="BC595" s="838">
        <f t="shared" si="609"/>
        <v>60675</v>
      </c>
      <c r="BD595" s="849">
        <f>+SUM(BD578:BD594)</f>
        <v>76740</v>
      </c>
      <c r="BE595" s="849">
        <f>+SUM(BE578:BE594)</f>
        <v>89035</v>
      </c>
      <c r="BF595" s="838"/>
    </row>
    <row r="596" spans="2:58">
      <c r="K596" s="100"/>
      <c r="O596" s="100"/>
      <c r="S596" s="100"/>
      <c r="BD596" s="100"/>
    </row>
    <row r="597" spans="2:58" ht="10.5">
      <c r="B597" s="45" t="s">
        <v>546</v>
      </c>
      <c r="K597" s="100"/>
      <c r="O597" s="100"/>
      <c r="S597" s="100"/>
      <c r="BD597" s="100"/>
    </row>
    <row r="598" spans="2:58">
      <c r="B598" t="s">
        <v>547</v>
      </c>
      <c r="D598" s="29">
        <v>-1356</v>
      </c>
      <c r="E598" s="29">
        <v>-2024</v>
      </c>
      <c r="F598" s="29">
        <v>-2308</v>
      </c>
      <c r="G598" s="29">
        <v>-2655</v>
      </c>
      <c r="H598" s="29">
        <v>-2163</v>
      </c>
      <c r="I598" s="29">
        <v>-1988</v>
      </c>
      <c r="J598" s="29">
        <v>-1695</v>
      </c>
      <c r="K598" s="11">
        <v>-2283</v>
      </c>
      <c r="L598" s="29">
        <v>-2132</v>
      </c>
      <c r="M598" s="29">
        <v>-2586</v>
      </c>
      <c r="N598" s="29">
        <v>-2934</v>
      </c>
      <c r="O598" s="11">
        <v>-3980</v>
      </c>
      <c r="P598" s="29">
        <v>-3602</v>
      </c>
      <c r="Q598" s="29">
        <v>-3707</v>
      </c>
      <c r="R598" s="29">
        <v>-2565</v>
      </c>
      <c r="S598" s="11">
        <f t="shared" ref="S598:S603" si="610">+BB598-SUM(P598:R598)</f>
        <v>-4051</v>
      </c>
      <c r="T598" s="29">
        <v>-3385</v>
      </c>
      <c r="U598" s="29">
        <v>-3545</v>
      </c>
      <c r="V598" s="29">
        <v>-3767</v>
      </c>
      <c r="W598" s="29">
        <v>-4744</v>
      </c>
      <c r="X598" s="29">
        <v>-4907</v>
      </c>
      <c r="Y598" s="29">
        <v>-4174</v>
      </c>
      <c r="Z598" s="29">
        <v>-5089</v>
      </c>
      <c r="AA598" s="29">
        <v>-6452</v>
      </c>
      <c r="AB598" s="29">
        <v>-5810</v>
      </c>
      <c r="AC598" s="29">
        <v>-5865</v>
      </c>
      <c r="AD598" s="29">
        <v>-5340</v>
      </c>
      <c r="AE598" s="29">
        <v>-6871</v>
      </c>
      <c r="AF598" s="29">
        <v>-6283</v>
      </c>
      <c r="AG598" s="825"/>
      <c r="AI598" s="825"/>
      <c r="AK598" s="29">
        <v>-812</v>
      </c>
      <c r="AL598" s="29">
        <v>-1578</v>
      </c>
      <c r="AM598" s="29">
        <v>-2264</v>
      </c>
      <c r="AN598" s="29">
        <v>-3182</v>
      </c>
      <c r="AO598" s="29">
        <v>-3119</v>
      </c>
      <c r="AP598" s="29">
        <v>-1977</v>
      </c>
      <c r="AQ598" s="29">
        <v>-2355</v>
      </c>
      <c r="AR598" s="29">
        <v>-2305</v>
      </c>
      <c r="AS598" s="29">
        <v>-4257</v>
      </c>
      <c r="AT598" s="29">
        <v>-5485</v>
      </c>
      <c r="AU598" s="29">
        <v>-5944</v>
      </c>
      <c r="AV598" s="29">
        <v>-8343</v>
      </c>
      <c r="AW598" s="29">
        <v>-8129</v>
      </c>
      <c r="AY598" s="29">
        <v>-8343</v>
      </c>
      <c r="AZ598" s="29">
        <v>-8129</v>
      </c>
      <c r="BA598" s="29">
        <v>-11632</v>
      </c>
      <c r="BB598" s="29">
        <v>-13925</v>
      </c>
      <c r="BC598" s="11">
        <f t="shared" ref="BC598:BC603" si="611">SUM(T598:W598)</f>
        <v>-15441</v>
      </c>
      <c r="BD598" s="11">
        <f t="shared" ref="BD598:BD604" si="612">SUM(X598:AA598)</f>
        <v>-20622</v>
      </c>
      <c r="BE598" s="11">
        <f t="shared" ref="BE598:BE603" si="613">+SUM(AB598:AE598)</f>
        <v>-23886</v>
      </c>
      <c r="BF598" s="29"/>
    </row>
    <row r="599" spans="2:58">
      <c r="B599" t="s">
        <v>548</v>
      </c>
      <c r="D599" s="29">
        <v>-390</v>
      </c>
      <c r="E599" s="29">
        <v>-381</v>
      </c>
      <c r="F599" s="29">
        <v>-559</v>
      </c>
      <c r="G599" s="29">
        <v>-63</v>
      </c>
      <c r="H599" s="29">
        <v>-24</v>
      </c>
      <c r="I599" s="29">
        <v>-24760</v>
      </c>
      <c r="J599" s="29">
        <v>-802</v>
      </c>
      <c r="K599" s="11">
        <v>-358</v>
      </c>
      <c r="L599" s="29">
        <v>-179</v>
      </c>
      <c r="M599" s="29">
        <v>-27</v>
      </c>
      <c r="N599" s="29">
        <v>-248</v>
      </c>
      <c r="O599" s="11">
        <v>-434</v>
      </c>
      <c r="P599" s="29">
        <v>-245</v>
      </c>
      <c r="Q599" s="29">
        <v>-1593</v>
      </c>
      <c r="R599" s="29">
        <v>-269</v>
      </c>
      <c r="S599" s="11">
        <f t="shared" si="610"/>
        <v>-281</v>
      </c>
      <c r="T599" s="29">
        <v>-462</v>
      </c>
      <c r="U599" s="29">
        <v>-80</v>
      </c>
      <c r="V599" s="29">
        <v>-329</v>
      </c>
      <c r="W599" s="29">
        <v>-1650</v>
      </c>
      <c r="X599" s="29">
        <v>-481</v>
      </c>
      <c r="Y599" s="29">
        <v>-415</v>
      </c>
      <c r="Z599" s="29">
        <v>-7512</v>
      </c>
      <c r="AA599" s="29">
        <v>-501</v>
      </c>
      <c r="AB599" s="29">
        <v>-1206</v>
      </c>
      <c r="AC599" s="29">
        <v>-850</v>
      </c>
      <c r="AD599" s="29">
        <v>-18719</v>
      </c>
      <c r="AE599" s="29">
        <v>-1263</v>
      </c>
      <c r="AF599" s="29">
        <v>-349</v>
      </c>
      <c r="AI599" s="825"/>
      <c r="AK599" s="29">
        <v>-207</v>
      </c>
      <c r="AL599" s="29">
        <v>-649</v>
      </c>
      <c r="AM599" s="29">
        <v>-1150</v>
      </c>
      <c r="AN599" s="29">
        <v>-8053</v>
      </c>
      <c r="AO599" s="29">
        <v>-868</v>
      </c>
      <c r="AP599" s="29">
        <v>-245</v>
      </c>
      <c r="AQ599" s="29">
        <v>-71</v>
      </c>
      <c r="AR599" s="29">
        <v>-10112</v>
      </c>
      <c r="AS599" s="29">
        <v>-1584</v>
      </c>
      <c r="AT599" s="29">
        <v>-5937</v>
      </c>
      <c r="AU599" s="29">
        <v>-3723</v>
      </c>
      <c r="AV599" s="29">
        <v>-1393</v>
      </c>
      <c r="AW599" s="29">
        <v>-25944</v>
      </c>
      <c r="AY599" s="29">
        <v>-1393</v>
      </c>
      <c r="AZ599" s="29">
        <v>-25944</v>
      </c>
      <c r="BA599" s="29">
        <v>-888</v>
      </c>
      <c r="BB599" s="29">
        <v>-2388</v>
      </c>
      <c r="BC599" s="11">
        <f t="shared" si="611"/>
        <v>-2521</v>
      </c>
      <c r="BD599" s="11">
        <f t="shared" si="612"/>
        <v>-8909</v>
      </c>
      <c r="BE599" s="11">
        <f t="shared" si="613"/>
        <v>-22038</v>
      </c>
      <c r="BF599" s="29"/>
    </row>
    <row r="600" spans="2:58">
      <c r="B600" t="s">
        <v>549</v>
      </c>
      <c r="D600" s="29">
        <v>-37570</v>
      </c>
      <c r="E600" s="29">
        <v>-34750</v>
      </c>
      <c r="F600" s="29">
        <v>-27341</v>
      </c>
      <c r="G600" s="29">
        <v>-30097</v>
      </c>
      <c r="H600" s="29">
        <v>-57181</v>
      </c>
      <c r="I600" s="29">
        <v>-46775</v>
      </c>
      <c r="J600" s="29">
        <v>-43918</v>
      </c>
      <c r="K600" s="11">
        <v>-29031</v>
      </c>
      <c r="L600" s="29">
        <v>-32961</v>
      </c>
      <c r="M600" s="29">
        <v>-45154</v>
      </c>
      <c r="N600" s="29">
        <v>-26885</v>
      </c>
      <c r="O600" s="11">
        <v>-32380</v>
      </c>
      <c r="P600" s="29">
        <v>-19551</v>
      </c>
      <c r="Q600" s="29">
        <v>-16858</v>
      </c>
      <c r="R600" s="29">
        <v>-5846</v>
      </c>
      <c r="S600" s="11">
        <f t="shared" si="610"/>
        <v>-15442</v>
      </c>
      <c r="T600" s="29">
        <v>-23390</v>
      </c>
      <c r="U600" s="29">
        <v>-19011</v>
      </c>
      <c r="V600" s="29">
        <v>-15910</v>
      </c>
      <c r="W600" s="29">
        <v>-18879</v>
      </c>
      <c r="X600" s="29">
        <v>-14580</v>
      </c>
      <c r="Y600" s="29">
        <v>-15092</v>
      </c>
      <c r="Z600" s="29">
        <v>-18375</v>
      </c>
      <c r="AA600" s="29">
        <v>-14877</v>
      </c>
      <c r="AB600" s="29">
        <v>-10309</v>
      </c>
      <c r="AC600" s="29">
        <v>-2505</v>
      </c>
      <c r="AD600" s="29">
        <v>-8723</v>
      </c>
      <c r="AE600" s="29">
        <v>-4919</v>
      </c>
      <c r="AF600" s="29">
        <v>-5013</v>
      </c>
      <c r="AG600" s="825"/>
      <c r="AI600" s="825"/>
      <c r="AK600" s="29">
        <v>-68045</v>
      </c>
      <c r="AL600" s="29">
        <v>-51117</v>
      </c>
      <c r="AM600" s="29">
        <v>-36308</v>
      </c>
      <c r="AN600" s="29">
        <v>-20954</v>
      </c>
      <c r="AO600" s="29">
        <v>-36850</v>
      </c>
      <c r="AP600" s="29">
        <v>-30168</v>
      </c>
      <c r="AQ600" s="29">
        <v>-35993</v>
      </c>
      <c r="AR600" s="29">
        <v>-57250</v>
      </c>
      <c r="AS600" s="29">
        <v>-75396</v>
      </c>
      <c r="AT600" s="29">
        <v>-72690</v>
      </c>
      <c r="AU600" s="29">
        <v>-98729</v>
      </c>
      <c r="AV600" s="29">
        <v>-129758</v>
      </c>
      <c r="AW600" s="29">
        <v>-176905</v>
      </c>
      <c r="AY600" s="29">
        <v>-129758</v>
      </c>
      <c r="AZ600" s="29">
        <v>-176905</v>
      </c>
      <c r="BA600" s="29">
        <v>-137380</v>
      </c>
      <c r="BB600" s="29">
        <v>-57697</v>
      </c>
      <c r="BC600" s="11">
        <f t="shared" si="611"/>
        <v>-77190</v>
      </c>
      <c r="BD600" s="11">
        <f t="shared" si="612"/>
        <v>-62924</v>
      </c>
      <c r="BE600" s="11">
        <f t="shared" si="613"/>
        <v>-26456</v>
      </c>
      <c r="BF600" s="29"/>
    </row>
    <row r="601" spans="2:58">
      <c r="B601" t="s">
        <v>550</v>
      </c>
      <c r="D601" s="29">
        <v>5686</v>
      </c>
      <c r="E601" s="29">
        <v>5351</v>
      </c>
      <c r="F601" s="29">
        <v>5192</v>
      </c>
      <c r="G601" s="29">
        <v>5825</v>
      </c>
      <c r="H601" s="29">
        <v>8659</v>
      </c>
      <c r="I601" s="29">
        <v>8715</v>
      </c>
      <c r="J601" s="29">
        <v>4860</v>
      </c>
      <c r="K601" s="11">
        <v>5810</v>
      </c>
      <c r="L601" s="29">
        <v>5226</v>
      </c>
      <c r="M601" s="29">
        <v>6352</v>
      </c>
      <c r="N601" s="29">
        <v>7674</v>
      </c>
      <c r="O601" s="11">
        <v>7108</v>
      </c>
      <c r="P601" s="29">
        <v>5214</v>
      </c>
      <c r="Q601" s="29">
        <v>3782</v>
      </c>
      <c r="R601" s="29">
        <v>5893</v>
      </c>
      <c r="S601" s="11">
        <f t="shared" si="610"/>
        <v>5154</v>
      </c>
      <c r="T601" s="29">
        <v>19082</v>
      </c>
      <c r="U601" s="29">
        <v>11230</v>
      </c>
      <c r="V601" s="29">
        <v>17247</v>
      </c>
      <c r="W601" s="29">
        <v>18890</v>
      </c>
      <c r="X601" s="29">
        <v>14266</v>
      </c>
      <c r="Y601" s="29">
        <v>15264</v>
      </c>
      <c r="Z601" s="29">
        <v>15016</v>
      </c>
      <c r="AA601" s="29">
        <v>7246</v>
      </c>
      <c r="AB601" s="29">
        <v>8862</v>
      </c>
      <c r="AC601" s="29">
        <v>5253</v>
      </c>
      <c r="AD601" s="29">
        <v>1099</v>
      </c>
      <c r="AE601" s="29">
        <v>1237</v>
      </c>
      <c r="AF601" s="29">
        <v>6662</v>
      </c>
      <c r="AG601" s="825"/>
      <c r="AI601" s="825"/>
      <c r="AK601" s="29">
        <v>29153</v>
      </c>
      <c r="AL601" s="29">
        <v>3877</v>
      </c>
      <c r="AM601" s="29">
        <v>4736</v>
      </c>
      <c r="AN601" s="29">
        <v>2597</v>
      </c>
      <c r="AO601" s="29">
        <v>6191</v>
      </c>
      <c r="AP601" s="29">
        <v>7453</v>
      </c>
      <c r="AQ601" s="29">
        <v>6897</v>
      </c>
      <c r="AR601" s="29">
        <v>15575</v>
      </c>
      <c r="AS601" s="29">
        <v>5130</v>
      </c>
      <c r="AT601" s="29">
        <v>5272</v>
      </c>
      <c r="AU601" s="29">
        <v>15013</v>
      </c>
      <c r="AV601" s="29">
        <v>22054</v>
      </c>
      <c r="AW601" s="29">
        <v>28044</v>
      </c>
      <c r="AY601" s="29">
        <v>22054</v>
      </c>
      <c r="AZ601" s="29">
        <v>28044</v>
      </c>
      <c r="BA601" s="29">
        <v>26360</v>
      </c>
      <c r="BB601" s="29">
        <v>20043</v>
      </c>
      <c r="BC601" s="11">
        <f t="shared" si="611"/>
        <v>66449</v>
      </c>
      <c r="BD601" s="11">
        <f t="shared" si="612"/>
        <v>51792</v>
      </c>
      <c r="BE601" s="11">
        <f t="shared" si="613"/>
        <v>16451</v>
      </c>
      <c r="BF601" s="29"/>
    </row>
    <row r="602" spans="2:58">
      <c r="B602" t="s">
        <v>551</v>
      </c>
      <c r="D602" s="29">
        <v>28502</v>
      </c>
      <c r="E602" s="29">
        <v>28191</v>
      </c>
      <c r="F602" s="29">
        <v>19599</v>
      </c>
      <c r="G602" s="29">
        <v>16995</v>
      </c>
      <c r="H602" s="29">
        <v>32323</v>
      </c>
      <c r="I602" s="29">
        <v>48987</v>
      </c>
      <c r="J602" s="29">
        <v>36444</v>
      </c>
      <c r="K602" s="11">
        <v>18596</v>
      </c>
      <c r="L602" s="29">
        <v>23036</v>
      </c>
      <c r="M602" s="29">
        <v>41261</v>
      </c>
      <c r="N602" s="29">
        <v>26256</v>
      </c>
      <c r="O602" s="11">
        <v>27024</v>
      </c>
      <c r="P602" s="29">
        <v>15231</v>
      </c>
      <c r="Q602" s="29">
        <v>14176</v>
      </c>
      <c r="R602" s="29">
        <v>1424</v>
      </c>
      <c r="S602" s="11">
        <f t="shared" si="610"/>
        <v>7363</v>
      </c>
      <c r="T602" s="29">
        <v>6379</v>
      </c>
      <c r="U602" s="29">
        <v>5370</v>
      </c>
      <c r="V602" s="29">
        <v>2810</v>
      </c>
      <c r="W602" s="29">
        <v>3162</v>
      </c>
      <c r="X602" s="29">
        <v>2414</v>
      </c>
      <c r="Y602" s="29">
        <v>2421</v>
      </c>
      <c r="Z602" s="29">
        <v>5876</v>
      </c>
      <c r="AA602" s="29">
        <v>3297</v>
      </c>
      <c r="AB602" s="29">
        <v>5630</v>
      </c>
      <c r="AC602" s="29">
        <v>2895</v>
      </c>
      <c r="AD602" s="29">
        <v>16693</v>
      </c>
      <c r="AE602" s="29">
        <v>3225</v>
      </c>
      <c r="AF602" s="29">
        <v>2711</v>
      </c>
      <c r="AG602" s="825"/>
      <c r="AI602" s="825"/>
      <c r="AK602" s="29">
        <v>54938</v>
      </c>
      <c r="AL602" s="29">
        <v>54353</v>
      </c>
      <c r="AM602" s="29">
        <v>41451</v>
      </c>
      <c r="AN602" s="29">
        <v>25132</v>
      </c>
      <c r="AO602" s="29">
        <v>19806</v>
      </c>
      <c r="AP602" s="29">
        <v>15125</v>
      </c>
      <c r="AQ602" s="29">
        <v>15880</v>
      </c>
      <c r="AR602" s="29">
        <v>29700</v>
      </c>
      <c r="AS602" s="29">
        <v>52464</v>
      </c>
      <c r="AT602" s="29">
        <v>60094</v>
      </c>
      <c r="AU602" s="29">
        <v>70848</v>
      </c>
      <c r="AV602" s="29">
        <v>93287</v>
      </c>
      <c r="AW602" s="29">
        <v>136350</v>
      </c>
      <c r="AY602" s="29">
        <v>93287</v>
      </c>
      <c r="AZ602" s="29">
        <v>136350</v>
      </c>
      <c r="BA602" s="29">
        <v>117577</v>
      </c>
      <c r="BB602" s="29">
        <v>38194</v>
      </c>
      <c r="BC602" s="11">
        <f t="shared" si="611"/>
        <v>17721</v>
      </c>
      <c r="BD602" s="11">
        <f t="shared" si="612"/>
        <v>14008</v>
      </c>
      <c r="BE602" s="11">
        <f t="shared" si="613"/>
        <v>28443</v>
      </c>
      <c r="BF602" s="29"/>
    </row>
    <row r="603" spans="2:58" ht="11.45">
      <c r="B603" t="s">
        <v>525</v>
      </c>
      <c r="D603" s="30">
        <v>62</v>
      </c>
      <c r="E603" s="30">
        <v>285</v>
      </c>
      <c r="F603" s="30">
        <v>-66</v>
      </c>
      <c r="G603" s="30">
        <v>-78</v>
      </c>
      <c r="H603" s="30">
        <v>-84</v>
      </c>
      <c r="I603" s="30">
        <v>1070</v>
      </c>
      <c r="J603" s="30">
        <v>-1080</v>
      </c>
      <c r="K603" s="34">
        <v>-103</v>
      </c>
      <c r="L603" s="30">
        <v>106</v>
      </c>
      <c r="M603" s="30">
        <v>-177</v>
      </c>
      <c r="N603" s="30">
        <v>-19</v>
      </c>
      <c r="O603" s="34">
        <v>-8</v>
      </c>
      <c r="P603" s="30">
        <v>0</v>
      </c>
      <c r="Q603" s="30">
        <v>0</v>
      </c>
      <c r="R603" s="30">
        <v>0</v>
      </c>
      <c r="S603" s="34">
        <f t="shared" si="610"/>
        <v>0</v>
      </c>
      <c r="T603" s="30">
        <v>0</v>
      </c>
      <c r="U603" s="30">
        <v>0</v>
      </c>
      <c r="V603" s="30">
        <v>0</v>
      </c>
      <c r="W603" s="30">
        <v>-1241</v>
      </c>
      <c r="X603" s="30">
        <v>-2083</v>
      </c>
      <c r="Y603" s="30">
        <v>327</v>
      </c>
      <c r="Z603" s="30">
        <v>400</v>
      </c>
      <c r="AA603" s="30">
        <v>434</v>
      </c>
      <c r="AB603" s="30">
        <v>-417</v>
      </c>
      <c r="AC603" s="30">
        <v>-89</v>
      </c>
      <c r="AD603" s="30">
        <v>-1181</v>
      </c>
      <c r="AE603" s="30">
        <v>-1138</v>
      </c>
      <c r="AF603" s="30">
        <v>-860</v>
      </c>
      <c r="AG603" s="30"/>
      <c r="AH603" s="30"/>
      <c r="AI603" s="30"/>
      <c r="AK603" s="30">
        <v>0</v>
      </c>
      <c r="AL603" s="30">
        <v>3117</v>
      </c>
      <c r="AM603" s="30">
        <v>-376</v>
      </c>
      <c r="AN603" s="30">
        <v>-127</v>
      </c>
      <c r="AO603" s="30">
        <v>-930</v>
      </c>
      <c r="AP603" s="30">
        <v>-1502</v>
      </c>
      <c r="AQ603" s="30">
        <v>1026</v>
      </c>
      <c r="AR603" s="30">
        <v>-394</v>
      </c>
      <c r="AS603" s="30">
        <v>-168</v>
      </c>
      <c r="AT603" s="30">
        <v>-87</v>
      </c>
      <c r="AU603" s="30">
        <v>-466</v>
      </c>
      <c r="AV603" s="30">
        <v>203</v>
      </c>
      <c r="AW603" s="30">
        <v>-197</v>
      </c>
      <c r="AX603" s="953"/>
      <c r="AY603" s="30">
        <v>203</v>
      </c>
      <c r="AZ603" s="30">
        <v>-197</v>
      </c>
      <c r="BA603" s="30">
        <v>-98</v>
      </c>
      <c r="BB603" s="30">
        <v>0</v>
      </c>
      <c r="BC603" s="34">
        <f t="shared" si="611"/>
        <v>-1241</v>
      </c>
      <c r="BD603" s="34">
        <f t="shared" si="612"/>
        <v>-922</v>
      </c>
      <c r="BE603" s="34">
        <f t="shared" si="613"/>
        <v>-2825</v>
      </c>
      <c r="BF603" s="30"/>
    </row>
    <row r="604" spans="2:58" s="1" customFormat="1" ht="10.5">
      <c r="B604" s="837" t="s">
        <v>552</v>
      </c>
      <c r="D604" s="838">
        <f t="shared" ref="D604:AF604" si="614">SUM(D598:D603)</f>
        <v>-5066</v>
      </c>
      <c r="E604" s="838">
        <f t="shared" si="614"/>
        <v>-3328</v>
      </c>
      <c r="F604" s="838">
        <f t="shared" si="614"/>
        <v>-5483</v>
      </c>
      <c r="G604" s="838">
        <f t="shared" si="614"/>
        <v>-10073</v>
      </c>
      <c r="H604" s="838">
        <f t="shared" si="614"/>
        <v>-18470</v>
      </c>
      <c r="I604" s="838">
        <f t="shared" si="614"/>
        <v>-14751</v>
      </c>
      <c r="J604" s="838">
        <f t="shared" si="614"/>
        <v>-6191</v>
      </c>
      <c r="K604" s="849">
        <f t="shared" si="614"/>
        <v>-7369</v>
      </c>
      <c r="L604" s="838">
        <f t="shared" si="614"/>
        <v>-6904</v>
      </c>
      <c r="M604" s="838">
        <f t="shared" si="614"/>
        <v>-331</v>
      </c>
      <c r="N604" s="838">
        <f t="shared" si="614"/>
        <v>3844</v>
      </c>
      <c r="O604" s="849">
        <f t="shared" si="614"/>
        <v>-2670</v>
      </c>
      <c r="P604" s="838">
        <f t="shared" si="614"/>
        <v>-2953</v>
      </c>
      <c r="Q604" s="838">
        <f t="shared" si="614"/>
        <v>-4200</v>
      </c>
      <c r="R604" s="838">
        <f t="shared" si="614"/>
        <v>-1363</v>
      </c>
      <c r="S604" s="849">
        <f t="shared" si="614"/>
        <v>-7257</v>
      </c>
      <c r="T604" s="838">
        <f t="shared" si="614"/>
        <v>-1776</v>
      </c>
      <c r="U604" s="838">
        <f t="shared" si="614"/>
        <v>-6036</v>
      </c>
      <c r="V604" s="838">
        <f t="shared" si="614"/>
        <v>51</v>
      </c>
      <c r="W604" s="838">
        <f t="shared" si="614"/>
        <v>-4462</v>
      </c>
      <c r="X604" s="838">
        <f t="shared" si="614"/>
        <v>-5371</v>
      </c>
      <c r="Y604" s="838">
        <f t="shared" si="614"/>
        <v>-1669</v>
      </c>
      <c r="Z604" s="838">
        <f t="shared" si="614"/>
        <v>-9684</v>
      </c>
      <c r="AA604" s="838">
        <f t="shared" si="614"/>
        <v>-10853</v>
      </c>
      <c r="AB604" s="838">
        <f t="shared" si="614"/>
        <v>-3250</v>
      </c>
      <c r="AC604" s="838">
        <f t="shared" si="614"/>
        <v>-1161</v>
      </c>
      <c r="AD604" s="838">
        <f t="shared" si="614"/>
        <v>-16171</v>
      </c>
      <c r="AE604" s="838">
        <f t="shared" si="614"/>
        <v>-9729</v>
      </c>
      <c r="AF604" s="838">
        <f t="shared" si="614"/>
        <v>-3132</v>
      </c>
      <c r="AG604" s="838"/>
      <c r="AH604" s="838"/>
      <c r="AI604" s="838"/>
      <c r="AK604" s="838">
        <f t="shared" ref="AK604:AW604" si="615">SUM(AK598:AK603)</f>
        <v>15027</v>
      </c>
      <c r="AL604" s="838">
        <f t="shared" si="615"/>
        <v>8003</v>
      </c>
      <c r="AM604" s="838">
        <f t="shared" si="615"/>
        <v>6089</v>
      </c>
      <c r="AN604" s="838">
        <f t="shared" si="615"/>
        <v>-4587</v>
      </c>
      <c r="AO604" s="838">
        <f t="shared" si="615"/>
        <v>-15770</v>
      </c>
      <c r="AP604" s="838">
        <f t="shared" si="615"/>
        <v>-11314</v>
      </c>
      <c r="AQ604" s="838">
        <f t="shared" si="615"/>
        <v>-14616</v>
      </c>
      <c r="AR604" s="838">
        <f t="shared" si="615"/>
        <v>-24786</v>
      </c>
      <c r="AS604" s="838">
        <f t="shared" si="615"/>
        <v>-23811</v>
      </c>
      <c r="AT604" s="838">
        <f t="shared" si="615"/>
        <v>-18833</v>
      </c>
      <c r="AU604" s="838">
        <f t="shared" si="615"/>
        <v>-23001</v>
      </c>
      <c r="AV604" s="838">
        <f t="shared" si="615"/>
        <v>-23950</v>
      </c>
      <c r="AW604" s="838">
        <f t="shared" si="615"/>
        <v>-46781</v>
      </c>
      <c r="AY604" s="838">
        <f>SUM(AY598:AY603)</f>
        <v>-23950</v>
      </c>
      <c r="AZ604" s="838">
        <f>SUM(AZ598:AZ603)</f>
        <v>-46781</v>
      </c>
      <c r="BA604" s="838">
        <f>SUM(BA598:BA603)</f>
        <v>-6061</v>
      </c>
      <c r="BB604" s="838">
        <f>SUM(BB598:BB603)</f>
        <v>-15773</v>
      </c>
      <c r="BC604" s="849">
        <f>SUM(BC598:BC603)</f>
        <v>-12223</v>
      </c>
      <c r="BD604" s="849">
        <f t="shared" si="612"/>
        <v>-27577</v>
      </c>
      <c r="BE604" s="849">
        <f>+SUM(BE598:BE603)</f>
        <v>-30311</v>
      </c>
      <c r="BF604" s="838"/>
    </row>
    <row r="605" spans="2:58">
      <c r="K605" s="100"/>
      <c r="O605" s="100"/>
      <c r="S605" s="100"/>
      <c r="BC605" s="100"/>
      <c r="BD605" s="100"/>
    </row>
    <row r="606" spans="2:58" ht="10.5">
      <c r="B606" s="45" t="s">
        <v>553</v>
      </c>
      <c r="K606" s="100"/>
      <c r="O606" s="100"/>
      <c r="S606" s="100"/>
      <c r="BC606" s="100"/>
      <c r="BD606" s="100"/>
    </row>
    <row r="607" spans="2:58">
      <c r="B607" t="s">
        <v>554</v>
      </c>
      <c r="D607" s="29">
        <v>-1750</v>
      </c>
      <c r="E607" s="29">
        <v>-121</v>
      </c>
      <c r="F607" s="29">
        <v>-900</v>
      </c>
      <c r="G607" s="29">
        <v>-25</v>
      </c>
      <c r="H607" s="29">
        <v>-225</v>
      </c>
      <c r="I607" s="29">
        <v>-4118</v>
      </c>
      <c r="J607" s="29">
        <v>-211</v>
      </c>
      <c r="K607" s="11">
        <v>-3368</v>
      </c>
      <c r="L607" s="29">
        <v>-1169</v>
      </c>
      <c r="M607" s="29">
        <v>-3327</v>
      </c>
      <c r="N607" s="29">
        <v>-4883</v>
      </c>
      <c r="O607" s="11">
        <v>-681</v>
      </c>
      <c r="P607" s="29">
        <v>0</v>
      </c>
      <c r="Q607" s="29">
        <v>-3000</v>
      </c>
      <c r="R607" s="29">
        <v>0</v>
      </c>
      <c r="S607" s="11">
        <f>+BB607-SUM(P607:R607)</f>
        <v>-1000</v>
      </c>
      <c r="T607" s="29">
        <v>-2500</v>
      </c>
      <c r="U607" s="29">
        <v>-18</v>
      </c>
      <c r="V607" s="29">
        <v>-3000</v>
      </c>
      <c r="W607" s="29">
        <v>0</v>
      </c>
      <c r="X607" s="29">
        <v>0</v>
      </c>
      <c r="Y607" s="29">
        <v>-3250</v>
      </c>
      <c r="Z607" s="29">
        <v>-500</v>
      </c>
      <c r="AA607" s="29">
        <v>0</v>
      </c>
      <c r="AB607" s="29">
        <v>-4826</v>
      </c>
      <c r="AC607" s="29">
        <v>0</v>
      </c>
      <c r="AD607" s="29">
        <v>-4197</v>
      </c>
      <c r="AE607" s="29">
        <v>0</v>
      </c>
      <c r="AF607" s="29">
        <v>-1000</v>
      </c>
      <c r="AG607" s="29"/>
      <c r="AH607" s="29"/>
      <c r="AI607" s="29"/>
      <c r="AK607" s="29">
        <v>0</v>
      </c>
      <c r="AL607" s="29">
        <v>0</v>
      </c>
      <c r="AM607" s="29">
        <v>0</v>
      </c>
      <c r="AN607" s="29">
        <v>0</v>
      </c>
      <c r="AO607" s="29">
        <v>-228</v>
      </c>
      <c r="AP607" s="29">
        <v>-2986</v>
      </c>
      <c r="AQ607" s="29">
        <v>-814</v>
      </c>
      <c r="AR607" s="29">
        <v>0</v>
      </c>
      <c r="AS607" s="29">
        <v>-1346</v>
      </c>
      <c r="AT607" s="29">
        <v>-3888</v>
      </c>
      <c r="AU607" s="29">
        <v>-1500</v>
      </c>
      <c r="AV607" s="29">
        <v>-2796</v>
      </c>
      <c r="AW607" s="29">
        <v>-7922</v>
      </c>
      <c r="AY607" s="29">
        <v>-2796</v>
      </c>
      <c r="AZ607" s="29">
        <v>-7922</v>
      </c>
      <c r="BA607" s="29">
        <v>-10060</v>
      </c>
      <c r="BB607" s="29">
        <v>-4000</v>
      </c>
      <c r="BC607" s="11">
        <f t="shared" ref="BC607:BC615" si="616">SUM(T607:W607)</f>
        <v>-5518</v>
      </c>
      <c r="BD607" s="11">
        <f t="shared" ref="BD607:BD616" si="617">SUM(X607:AA607)</f>
        <v>-3750</v>
      </c>
      <c r="BE607" s="11">
        <f t="shared" ref="BE607:BE615" si="618">+SUM(AB607:AE607)</f>
        <v>-9023</v>
      </c>
      <c r="BF607" s="29"/>
    </row>
    <row r="608" spans="2:58">
      <c r="B608" t="s">
        <v>556</v>
      </c>
      <c r="C608" s="29"/>
      <c r="D608" s="29">
        <v>0</v>
      </c>
      <c r="E608" s="29">
        <v>0</v>
      </c>
      <c r="F608" s="29">
        <v>0</v>
      </c>
      <c r="G608" s="29">
        <v>0</v>
      </c>
      <c r="H608" s="29">
        <v>0</v>
      </c>
      <c r="I608" s="29">
        <v>0</v>
      </c>
      <c r="J608" s="29">
        <v>0</v>
      </c>
      <c r="K608" s="29">
        <v>0</v>
      </c>
      <c r="L608" s="29">
        <v>0</v>
      </c>
      <c r="M608" s="29">
        <v>0</v>
      </c>
      <c r="N608" s="29">
        <v>0</v>
      </c>
      <c r="O608" s="29">
        <v>0</v>
      </c>
      <c r="P608" s="29">
        <v>0</v>
      </c>
      <c r="Q608" s="29">
        <v>0</v>
      </c>
      <c r="R608" s="29">
        <v>0</v>
      </c>
      <c r="S608" s="29">
        <v>0</v>
      </c>
      <c r="T608" s="29">
        <v>0</v>
      </c>
      <c r="U608" s="29">
        <v>0</v>
      </c>
      <c r="V608" s="29">
        <v>0</v>
      </c>
      <c r="W608" s="29">
        <v>-3417</v>
      </c>
      <c r="X608" s="29">
        <v>0</v>
      </c>
      <c r="Y608" s="29">
        <v>0</v>
      </c>
      <c r="Z608" s="29">
        <v>-1754</v>
      </c>
      <c r="AA608" s="29">
        <v>0</v>
      </c>
      <c r="AB608" s="29">
        <v>0</v>
      </c>
      <c r="AC608" s="29">
        <v>0</v>
      </c>
      <c r="AD608" s="29">
        <v>0</v>
      </c>
      <c r="AE608" s="29">
        <v>0</v>
      </c>
      <c r="AF608" s="29">
        <v>0</v>
      </c>
      <c r="AG608" s="29"/>
      <c r="AJ608" s="29"/>
      <c r="AK608" s="29">
        <v>0</v>
      </c>
      <c r="AL608" s="29">
        <v>0</v>
      </c>
      <c r="AM608" s="29">
        <v>0</v>
      </c>
      <c r="AN608" s="29">
        <v>0</v>
      </c>
      <c r="AO608" s="29">
        <v>0</v>
      </c>
      <c r="AP608" s="29">
        <v>0</v>
      </c>
      <c r="AQ608" s="29">
        <v>0</v>
      </c>
      <c r="AR608" s="29">
        <v>0</v>
      </c>
      <c r="AS608" s="29">
        <v>0</v>
      </c>
      <c r="AT608" s="29">
        <v>0</v>
      </c>
      <c r="AU608" s="29">
        <v>0</v>
      </c>
      <c r="AV608" s="29">
        <v>0</v>
      </c>
      <c r="AW608" s="29">
        <v>0</v>
      </c>
      <c r="AX608" s="29"/>
      <c r="AY608" s="29">
        <v>0</v>
      </c>
      <c r="AZ608" s="29">
        <v>0</v>
      </c>
      <c r="BA608" s="29">
        <v>0</v>
      </c>
      <c r="BB608" s="29">
        <v>0</v>
      </c>
      <c r="BC608" s="11">
        <f t="shared" si="616"/>
        <v>-3417</v>
      </c>
      <c r="BD608" s="11">
        <f t="shared" si="617"/>
        <v>-1754</v>
      </c>
      <c r="BE608" s="11">
        <f t="shared" si="618"/>
        <v>0</v>
      </c>
      <c r="BF608" s="29"/>
    </row>
    <row r="609" spans="2:58">
      <c r="B609" t="s">
        <v>557</v>
      </c>
      <c r="D609" s="29">
        <v>121</v>
      </c>
      <c r="E609" s="29">
        <v>13128</v>
      </c>
      <c r="F609" s="29">
        <v>25</v>
      </c>
      <c r="G609" s="29">
        <v>610</v>
      </c>
      <c r="H609" s="29">
        <v>24977</v>
      </c>
      <c r="I609" s="29">
        <v>17069</v>
      </c>
      <c r="J609" s="29">
        <v>547</v>
      </c>
      <c r="K609" s="11">
        <v>1751</v>
      </c>
      <c r="L609" s="29">
        <v>3954</v>
      </c>
      <c r="M609" s="29">
        <v>3229</v>
      </c>
      <c r="N609" s="29">
        <v>0</v>
      </c>
      <c r="O609" s="11">
        <v>0</v>
      </c>
      <c r="P609" s="29">
        <v>0</v>
      </c>
      <c r="Q609" s="29">
        <v>0</v>
      </c>
      <c r="R609" s="29">
        <v>0</v>
      </c>
      <c r="S609" s="11">
        <f t="shared" ref="S609:S615" si="619">+BB609-SUM(P609:R609)</f>
        <v>0</v>
      </c>
      <c r="T609" s="29">
        <v>0</v>
      </c>
      <c r="U609" s="29">
        <v>0</v>
      </c>
      <c r="V609" s="29">
        <v>0</v>
      </c>
      <c r="W609" s="29">
        <v>0</v>
      </c>
      <c r="X609" s="29">
        <v>0</v>
      </c>
      <c r="Y609" s="29">
        <v>0</v>
      </c>
      <c r="Z609" s="29">
        <v>0</v>
      </c>
      <c r="AA609" s="29">
        <v>0</v>
      </c>
      <c r="AB609" s="29">
        <v>0</v>
      </c>
      <c r="AC609" s="29">
        <v>0</v>
      </c>
      <c r="AD609" s="29">
        <v>0</v>
      </c>
      <c r="AE609" s="29">
        <v>0</v>
      </c>
      <c r="AF609" s="29">
        <v>0</v>
      </c>
      <c r="AG609" s="29"/>
      <c r="AK609" s="29">
        <v>0</v>
      </c>
      <c r="AL609" s="29">
        <v>0</v>
      </c>
      <c r="AM609" s="29">
        <v>0</v>
      </c>
      <c r="AN609" s="29">
        <v>0</v>
      </c>
      <c r="AO609" s="29">
        <v>4796</v>
      </c>
      <c r="AP609" s="29">
        <v>4167</v>
      </c>
      <c r="AQ609" s="29">
        <v>6960</v>
      </c>
      <c r="AR609" s="29">
        <v>0</v>
      </c>
      <c r="AS609" s="29">
        <v>4883</v>
      </c>
      <c r="AT609" s="29">
        <v>10350</v>
      </c>
      <c r="AU609" s="29">
        <v>10680</v>
      </c>
      <c r="AV609" s="29">
        <v>13884</v>
      </c>
      <c r="AW609" s="29">
        <v>44344</v>
      </c>
      <c r="AY609" s="29">
        <v>13884</v>
      </c>
      <c r="AZ609" s="29">
        <v>44344</v>
      </c>
      <c r="BA609" s="29">
        <v>7183</v>
      </c>
      <c r="BB609" s="29">
        <v>0</v>
      </c>
      <c r="BC609" s="11">
        <f t="shared" si="616"/>
        <v>0</v>
      </c>
      <c r="BD609" s="11">
        <f t="shared" si="617"/>
        <v>0</v>
      </c>
      <c r="BE609" s="11">
        <f t="shared" si="618"/>
        <v>0</v>
      </c>
      <c r="BF609" s="29"/>
    </row>
    <row r="610" spans="2:58">
      <c r="B610" t="s">
        <v>558</v>
      </c>
      <c r="D610" s="29">
        <v>4890</v>
      </c>
      <c r="E610" s="29">
        <v>-7031</v>
      </c>
      <c r="F610" s="29">
        <v>2622</v>
      </c>
      <c r="G610" s="29">
        <v>6714</v>
      </c>
      <c r="H610" s="29">
        <v>-3390</v>
      </c>
      <c r="I610" s="29">
        <v>-3755</v>
      </c>
      <c r="J610" s="29">
        <v>-1302</v>
      </c>
      <c r="K610" s="11">
        <v>3484</v>
      </c>
      <c r="L610" s="29">
        <v>-3710</v>
      </c>
      <c r="M610" s="29">
        <v>3759</v>
      </c>
      <c r="N610" s="29">
        <v>-7373</v>
      </c>
      <c r="O610" s="11">
        <v>0</v>
      </c>
      <c r="P610" s="29">
        <v>0</v>
      </c>
      <c r="Q610" s="29">
        <v>0</v>
      </c>
      <c r="R610" s="29">
        <v>0</v>
      </c>
      <c r="S610" s="11">
        <f t="shared" si="619"/>
        <v>0</v>
      </c>
      <c r="T610" s="29">
        <v>0</v>
      </c>
      <c r="U610" s="29">
        <v>0</v>
      </c>
      <c r="V610" s="29">
        <v>0</v>
      </c>
      <c r="W610" s="29">
        <v>0</v>
      </c>
      <c r="X610" s="29">
        <v>0</v>
      </c>
      <c r="Y610" s="29">
        <v>0</v>
      </c>
      <c r="Z610" s="29">
        <v>0</v>
      </c>
      <c r="AA610" s="29">
        <v>0</v>
      </c>
      <c r="AB610" s="29">
        <v>0</v>
      </c>
      <c r="AC610" s="29">
        <v>0</v>
      </c>
      <c r="AD610" s="29">
        <v>0</v>
      </c>
      <c r="AE610" s="29">
        <v>0</v>
      </c>
      <c r="AF610" s="29">
        <v>0</v>
      </c>
      <c r="AG610" s="29"/>
      <c r="AK610" s="29">
        <v>0</v>
      </c>
      <c r="AL610" s="29">
        <v>0</v>
      </c>
      <c r="AM610" s="29">
        <v>0</v>
      </c>
      <c r="AN610" s="29">
        <v>0</v>
      </c>
      <c r="AO610" s="29">
        <v>1178</v>
      </c>
      <c r="AP610" s="29">
        <v>-991</v>
      </c>
      <c r="AQ610" s="29">
        <v>-186</v>
      </c>
      <c r="AR610" s="29">
        <v>0</v>
      </c>
      <c r="AS610" s="29">
        <v>0</v>
      </c>
      <c r="AT610" s="29">
        <v>500</v>
      </c>
      <c r="AU610" s="29">
        <v>4481</v>
      </c>
      <c r="AV610" s="29">
        <v>7195</v>
      </c>
      <c r="AW610" s="29">
        <v>-4963</v>
      </c>
      <c r="AY610" s="29">
        <v>7195</v>
      </c>
      <c r="AZ610" s="29">
        <v>-4963</v>
      </c>
      <c r="BA610" s="29">
        <v>-7324</v>
      </c>
      <c r="BB610" s="29">
        <v>0</v>
      </c>
      <c r="BC610" s="11">
        <f t="shared" si="616"/>
        <v>0</v>
      </c>
      <c r="BD610" s="11">
        <f t="shared" si="617"/>
        <v>0</v>
      </c>
      <c r="BE610" s="11">
        <f t="shared" si="618"/>
        <v>0</v>
      </c>
      <c r="BF610" s="29"/>
    </row>
    <row r="611" spans="2:58">
      <c r="B611" t="s">
        <v>559</v>
      </c>
      <c r="D611" s="29">
        <v>219</v>
      </c>
      <c r="E611" s="29">
        <v>117</v>
      </c>
      <c r="F611" s="29">
        <v>159</v>
      </c>
      <c r="G611" s="29">
        <v>173</v>
      </c>
      <c r="H611" s="29">
        <v>241</v>
      </c>
      <c r="I611" s="29">
        <v>131</v>
      </c>
      <c r="J611" s="29">
        <v>179</v>
      </c>
      <c r="K611" s="11">
        <v>221</v>
      </c>
      <c r="L611" s="29">
        <v>307</v>
      </c>
      <c r="M611" s="29">
        <v>189</v>
      </c>
      <c r="N611" s="29">
        <v>251</v>
      </c>
      <c r="O611" s="11">
        <v>255</v>
      </c>
      <c r="P611" s="29">
        <v>360</v>
      </c>
      <c r="Q611" s="29">
        <v>200</v>
      </c>
      <c r="R611" s="29">
        <v>274</v>
      </c>
      <c r="S611" s="11">
        <f t="shared" si="619"/>
        <v>308</v>
      </c>
      <c r="T611" s="29">
        <v>427</v>
      </c>
      <c r="U611" s="29">
        <v>234</v>
      </c>
      <c r="V611" s="29">
        <v>342</v>
      </c>
      <c r="W611" s="29">
        <v>340</v>
      </c>
      <c r="X611" s="29">
        <v>545</v>
      </c>
      <c r="Y611" s="29">
        <v>302</v>
      </c>
      <c r="Z611" s="29">
        <v>396</v>
      </c>
      <c r="AA611" s="29">
        <v>450</v>
      </c>
      <c r="AB611" s="29">
        <v>612</v>
      </c>
      <c r="AC611" s="29">
        <v>291</v>
      </c>
      <c r="AD611" s="29">
        <v>477</v>
      </c>
      <c r="AE611" s="29">
        <v>461</v>
      </c>
      <c r="AF611" s="29">
        <v>575</v>
      </c>
      <c r="AG611" s="29"/>
      <c r="AH611" s="29"/>
      <c r="AI611" s="29"/>
      <c r="AK611" s="29">
        <v>3109</v>
      </c>
      <c r="AL611" s="29">
        <v>2101</v>
      </c>
      <c r="AM611" s="29">
        <v>6782</v>
      </c>
      <c r="AN611" s="29">
        <v>3494</v>
      </c>
      <c r="AO611" s="29">
        <v>579</v>
      </c>
      <c r="AP611" s="29">
        <v>2311</v>
      </c>
      <c r="AQ611" s="29">
        <v>2422</v>
      </c>
      <c r="AR611" s="29">
        <v>1913</v>
      </c>
      <c r="AS611" s="29">
        <v>931</v>
      </c>
      <c r="AT611" s="29">
        <v>607</v>
      </c>
      <c r="AU611" s="29">
        <v>634</v>
      </c>
      <c r="AV611" s="29">
        <v>668</v>
      </c>
      <c r="AW611" s="29">
        <v>772</v>
      </c>
      <c r="AY611" s="29">
        <v>668</v>
      </c>
      <c r="AZ611" s="29">
        <v>772</v>
      </c>
      <c r="BA611" s="29">
        <v>1002</v>
      </c>
      <c r="BB611" s="29">
        <v>1142</v>
      </c>
      <c r="BC611" s="11">
        <f t="shared" si="616"/>
        <v>1343</v>
      </c>
      <c r="BD611" s="11">
        <f t="shared" si="617"/>
        <v>1693</v>
      </c>
      <c r="BE611" s="11">
        <f t="shared" si="618"/>
        <v>1841</v>
      </c>
      <c r="BF611" s="29"/>
    </row>
    <row r="612" spans="2:58">
      <c r="B612" t="s">
        <v>560</v>
      </c>
      <c r="D612" s="29">
        <v>-4757</v>
      </c>
      <c r="E612" s="29">
        <v>-3678</v>
      </c>
      <c r="F612" s="29">
        <v>-3857</v>
      </c>
      <c r="G612" s="29">
        <v>-3677</v>
      </c>
      <c r="H612" s="29">
        <v>-4362</v>
      </c>
      <c r="I612" s="29">
        <v>-3599</v>
      </c>
      <c r="J612" s="29">
        <v>-2062</v>
      </c>
      <c r="K612" s="11">
        <v>-1765</v>
      </c>
      <c r="L612" s="29">
        <v>-2570</v>
      </c>
      <c r="M612" s="29">
        <v>-2008</v>
      </c>
      <c r="N612" s="29">
        <v>-3781</v>
      </c>
      <c r="O612" s="11">
        <v>-2362</v>
      </c>
      <c r="P612" s="29">
        <v>-3744</v>
      </c>
      <c r="Q612" s="29">
        <v>-6413</v>
      </c>
      <c r="R612" s="29">
        <v>-4753</v>
      </c>
      <c r="S612" s="11">
        <f t="shared" si="619"/>
        <v>-4633</v>
      </c>
      <c r="T612" s="29">
        <v>-4912</v>
      </c>
      <c r="U612" s="29">
        <v>-5206</v>
      </c>
      <c r="V612" s="29">
        <v>-7059</v>
      </c>
      <c r="W612" s="29">
        <v>-5791</v>
      </c>
      <c r="X612" s="29">
        <v>-6743</v>
      </c>
      <c r="Y612" s="29">
        <v>-6535</v>
      </c>
      <c r="Z612" s="29">
        <v>-6930</v>
      </c>
      <c r="AA612" s="29">
        <v>-7177</v>
      </c>
      <c r="AB612" s="29">
        <v>-7684</v>
      </c>
      <c r="AC612" s="29">
        <v>-7433</v>
      </c>
      <c r="AD612" s="29">
        <v>-8822</v>
      </c>
      <c r="AE612" s="29">
        <v>-8757</v>
      </c>
      <c r="AF612" s="29">
        <v>-5573</v>
      </c>
      <c r="AG612" s="29"/>
      <c r="AH612" s="29"/>
      <c r="AI612" s="29"/>
      <c r="AK612" s="29">
        <v>-8057</v>
      </c>
      <c r="AL612" s="29">
        <v>-19207</v>
      </c>
      <c r="AM612" s="29">
        <v>-27575</v>
      </c>
      <c r="AN612" s="29">
        <v>-12533</v>
      </c>
      <c r="AO612" s="29">
        <v>-9353</v>
      </c>
      <c r="AP612" s="29">
        <v>-11269</v>
      </c>
      <c r="AQ612" s="29">
        <v>-11555</v>
      </c>
      <c r="AR612" s="29">
        <v>-5029</v>
      </c>
      <c r="AS612" s="29">
        <v>-5360</v>
      </c>
      <c r="AT612" s="29">
        <v>-7316</v>
      </c>
      <c r="AU612" s="29">
        <v>-14443</v>
      </c>
      <c r="AV612" s="29">
        <v>-15969</v>
      </c>
      <c r="AW612" s="29">
        <v>-11788</v>
      </c>
      <c r="AY612" s="29">
        <v>-15969</v>
      </c>
      <c r="AZ612" s="29">
        <v>-11788</v>
      </c>
      <c r="BA612" s="29">
        <v>-10721</v>
      </c>
      <c r="BB612" s="29">
        <v>-19543</v>
      </c>
      <c r="BC612" s="11">
        <f t="shared" si="616"/>
        <v>-22968</v>
      </c>
      <c r="BD612" s="11">
        <f t="shared" si="617"/>
        <v>-27385</v>
      </c>
      <c r="BE612" s="11">
        <f t="shared" si="618"/>
        <v>-32696</v>
      </c>
      <c r="BF612" s="29"/>
    </row>
    <row r="613" spans="2:58">
      <c r="B613" t="s">
        <v>561</v>
      </c>
      <c r="D613" s="29">
        <v>-2475</v>
      </c>
      <c r="E613" s="29">
        <v>-2868</v>
      </c>
      <c r="F613" s="29">
        <v>-2842</v>
      </c>
      <c r="G613" s="29">
        <v>-2821</v>
      </c>
      <c r="H613" s="29">
        <v>-2800</v>
      </c>
      <c r="I613" s="29">
        <v>-3024</v>
      </c>
      <c r="J613" s="29">
        <v>-3012</v>
      </c>
      <c r="K613" s="11">
        <v>-3009</v>
      </c>
      <c r="L613" s="29">
        <v>-3003</v>
      </c>
      <c r="M613" s="29">
        <v>-3238</v>
      </c>
      <c r="N613" s="29">
        <v>-3232</v>
      </c>
      <c r="O613" s="11">
        <v>-3226</v>
      </c>
      <c r="P613" s="29">
        <v>-3220</v>
      </c>
      <c r="Q613" s="29">
        <v>-3544</v>
      </c>
      <c r="R613" s="29">
        <v>-3526</v>
      </c>
      <c r="S613" s="11">
        <f t="shared" si="619"/>
        <v>-3521</v>
      </c>
      <c r="T613" s="29">
        <v>-3510</v>
      </c>
      <c r="U613" s="29">
        <v>-3886</v>
      </c>
      <c r="V613" s="29">
        <v>-3876</v>
      </c>
      <c r="W613" s="29">
        <v>-3865</v>
      </c>
      <c r="X613" s="29">
        <v>-3856</v>
      </c>
      <c r="Y613" s="29">
        <v>-4230</v>
      </c>
      <c r="Z613" s="29">
        <v>-4221</v>
      </c>
      <c r="AA613" s="29">
        <v>-4214</v>
      </c>
      <c r="AB613" s="29">
        <v>-4206</v>
      </c>
      <c r="AC613" s="29">
        <v>-4652</v>
      </c>
      <c r="AD613" s="29">
        <v>-4645</v>
      </c>
      <c r="AE613" s="29">
        <v>-4632</v>
      </c>
      <c r="AF613" s="29">
        <v>-4621</v>
      </c>
      <c r="AG613" s="29"/>
      <c r="AH613" s="29"/>
      <c r="AI613" s="29"/>
      <c r="AK613" s="29">
        <v>-36112</v>
      </c>
      <c r="AL613" s="29">
        <v>-3545</v>
      </c>
      <c r="AM613" s="29">
        <v>-3805</v>
      </c>
      <c r="AN613" s="29">
        <v>-4015</v>
      </c>
      <c r="AO613" s="29">
        <v>-4468</v>
      </c>
      <c r="AP613" s="29">
        <v>-4578</v>
      </c>
      <c r="AQ613" s="29">
        <v>-5180</v>
      </c>
      <c r="AR613" s="29">
        <v>-6385</v>
      </c>
      <c r="AS613" s="29">
        <v>-7455</v>
      </c>
      <c r="AT613" s="29">
        <v>-8879</v>
      </c>
      <c r="AU613" s="29">
        <v>-9882</v>
      </c>
      <c r="AV613" s="29">
        <v>-11006</v>
      </c>
      <c r="AW613" s="29">
        <v>-11845</v>
      </c>
      <c r="AY613" s="29">
        <v>-11006</v>
      </c>
      <c r="AZ613" s="29">
        <v>-11845</v>
      </c>
      <c r="BA613" s="29">
        <v>-12699</v>
      </c>
      <c r="BB613" s="29">
        <v>-13811</v>
      </c>
      <c r="BC613" s="11">
        <f t="shared" si="616"/>
        <v>-15137</v>
      </c>
      <c r="BD613" s="11">
        <f t="shared" si="617"/>
        <v>-16521</v>
      </c>
      <c r="BE613" s="11">
        <f t="shared" si="618"/>
        <v>-18135</v>
      </c>
      <c r="BF613" s="29"/>
    </row>
    <row r="614" spans="2:58">
      <c r="B614" t="s">
        <v>562</v>
      </c>
      <c r="D614" s="29">
        <v>0</v>
      </c>
      <c r="E614" s="29">
        <v>0</v>
      </c>
      <c r="F614" s="29">
        <v>0</v>
      </c>
      <c r="G614" s="29">
        <v>0</v>
      </c>
      <c r="H614" s="29">
        <v>0</v>
      </c>
      <c r="I614" s="29">
        <v>0</v>
      </c>
      <c r="J614" s="29">
        <v>0</v>
      </c>
      <c r="K614" s="11">
        <v>0</v>
      </c>
      <c r="L614" s="29">
        <v>0</v>
      </c>
      <c r="M614" s="29">
        <v>0</v>
      </c>
      <c r="N614" s="29">
        <v>0</v>
      </c>
      <c r="O614" s="11">
        <v>0</v>
      </c>
      <c r="P614" s="29">
        <v>0</v>
      </c>
      <c r="Q614" s="29">
        <v>0</v>
      </c>
      <c r="R614" s="29">
        <v>0</v>
      </c>
      <c r="S614" s="11">
        <f t="shared" si="619"/>
        <v>0</v>
      </c>
      <c r="T614" s="29">
        <v>0</v>
      </c>
      <c r="U614" s="29">
        <v>0</v>
      </c>
      <c r="V614" s="29">
        <v>0</v>
      </c>
      <c r="W614" s="29">
        <v>0</v>
      </c>
      <c r="X614" s="29">
        <v>0</v>
      </c>
      <c r="Y614" s="29">
        <v>0</v>
      </c>
      <c r="Z614" s="29">
        <v>0</v>
      </c>
      <c r="AA614" s="29">
        <v>0</v>
      </c>
      <c r="AB614" s="29">
        <v>0</v>
      </c>
      <c r="AC614" s="29">
        <v>0</v>
      </c>
      <c r="AD614" s="29">
        <v>0</v>
      </c>
      <c r="AE614" s="29">
        <v>0</v>
      </c>
      <c r="AF614" s="29">
        <v>0</v>
      </c>
      <c r="AG614" s="29"/>
      <c r="AK614" s="29">
        <v>0</v>
      </c>
      <c r="AL614" s="29">
        <v>89</v>
      </c>
      <c r="AM614" s="29">
        <v>77</v>
      </c>
      <c r="AN614" s="29">
        <v>120</v>
      </c>
      <c r="AO614" s="29">
        <v>52</v>
      </c>
      <c r="AP614" s="29">
        <v>45</v>
      </c>
      <c r="AQ614" s="29">
        <v>17</v>
      </c>
      <c r="AR614" s="29">
        <v>93</v>
      </c>
      <c r="AS614" s="29">
        <v>209</v>
      </c>
      <c r="AT614" s="29">
        <v>0</v>
      </c>
      <c r="AU614" s="29">
        <v>0</v>
      </c>
      <c r="AV614" s="29">
        <v>0</v>
      </c>
      <c r="AW614" s="29">
        <v>0</v>
      </c>
      <c r="AY614" s="29">
        <v>0</v>
      </c>
      <c r="AZ614" s="29">
        <v>0</v>
      </c>
      <c r="BA614" s="29">
        <v>0</v>
      </c>
      <c r="BB614" s="29">
        <v>0</v>
      </c>
      <c r="BC614" s="11">
        <f t="shared" si="616"/>
        <v>0</v>
      </c>
      <c r="BD614" s="11">
        <f t="shared" si="617"/>
        <v>0</v>
      </c>
      <c r="BE614" s="11">
        <f t="shared" si="618"/>
        <v>0</v>
      </c>
      <c r="BF614" s="29"/>
    </row>
    <row r="615" spans="2:58" ht="11.45">
      <c r="B615" t="s">
        <v>525</v>
      </c>
      <c r="D615" s="30">
        <v>-178</v>
      </c>
      <c r="E615" s="30">
        <v>-65</v>
      </c>
      <c r="F615" s="30">
        <v>-123</v>
      </c>
      <c r="G615" s="30">
        <v>-3</v>
      </c>
      <c r="H615" s="30">
        <v>-112</v>
      </c>
      <c r="I615" s="30">
        <v>312</v>
      </c>
      <c r="J615" s="30">
        <v>-375</v>
      </c>
      <c r="K615" s="34">
        <v>-15</v>
      </c>
      <c r="L615" s="30">
        <v>-150</v>
      </c>
      <c r="M615" s="30">
        <v>-156</v>
      </c>
      <c r="N615" s="30">
        <v>-640</v>
      </c>
      <c r="O615" s="34">
        <v>-25</v>
      </c>
      <c r="P615" s="30">
        <v>-780</v>
      </c>
      <c r="Q615" s="30">
        <v>-459</v>
      </c>
      <c r="R615" s="30">
        <v>404</v>
      </c>
      <c r="S615" s="34">
        <f t="shared" si="619"/>
        <v>160</v>
      </c>
      <c r="T615" s="30">
        <v>286</v>
      </c>
      <c r="U615" s="30">
        <v>-39</v>
      </c>
      <c r="V615" s="30">
        <v>-1052</v>
      </c>
      <c r="W615" s="30">
        <v>471</v>
      </c>
      <c r="X615" s="30">
        <v>-235</v>
      </c>
      <c r="Y615" s="30">
        <v>79</v>
      </c>
      <c r="Z615" s="30">
        <v>-183</v>
      </c>
      <c r="AA615" s="30">
        <v>-430</v>
      </c>
      <c r="AB615" s="30">
        <v>-172</v>
      </c>
      <c r="AC615" s="30">
        <v>-192</v>
      </c>
      <c r="AD615" s="30">
        <v>-158</v>
      </c>
      <c r="AE615" s="30">
        <v>-341</v>
      </c>
      <c r="AF615" s="30">
        <v>-264</v>
      </c>
      <c r="AG615" s="29"/>
      <c r="AH615" s="29"/>
      <c r="AI615" s="29"/>
      <c r="AK615" s="30">
        <v>-18</v>
      </c>
      <c r="AL615" s="30">
        <v>0</v>
      </c>
      <c r="AM615" s="30">
        <v>-23</v>
      </c>
      <c r="AN615" s="30">
        <v>0</v>
      </c>
      <c r="AO615" s="30">
        <v>-19</v>
      </c>
      <c r="AP615" s="30">
        <v>10</v>
      </c>
      <c r="AQ615" s="30">
        <v>-40</v>
      </c>
      <c r="AR615" s="30">
        <v>0</v>
      </c>
      <c r="AS615" s="30">
        <v>-10</v>
      </c>
      <c r="AT615" s="30">
        <v>-39</v>
      </c>
      <c r="AU615" s="30">
        <v>362</v>
      </c>
      <c r="AV615" s="30">
        <v>-369</v>
      </c>
      <c r="AW615" s="30">
        <v>-190</v>
      </c>
      <c r="AX615" s="953"/>
      <c r="AY615" s="30">
        <v>-369</v>
      </c>
      <c r="AZ615" s="30">
        <v>-190</v>
      </c>
      <c r="BA615" s="30">
        <v>-971</v>
      </c>
      <c r="BB615" s="30">
        <v>-675</v>
      </c>
      <c r="BC615" s="34">
        <f t="shared" si="616"/>
        <v>-334</v>
      </c>
      <c r="BD615" s="34">
        <f t="shared" si="617"/>
        <v>-769</v>
      </c>
      <c r="BE615" s="34">
        <f t="shared" si="618"/>
        <v>-863</v>
      </c>
      <c r="BF615" s="30"/>
    </row>
    <row r="616" spans="2:58" s="1" customFormat="1" ht="10.5">
      <c r="B616" s="837" t="s">
        <v>563</v>
      </c>
      <c r="D616" s="838">
        <f t="shared" ref="D616" si="620">SUM(D607:D615)</f>
        <v>-3930</v>
      </c>
      <c r="E616" s="838">
        <f t="shared" ref="E616:G616" si="621">SUM(E607:E615)</f>
        <v>-518</v>
      </c>
      <c r="F616" s="838">
        <f t="shared" si="621"/>
        <v>-4916</v>
      </c>
      <c r="G616" s="838">
        <f t="shared" si="621"/>
        <v>971</v>
      </c>
      <c r="H616" s="838">
        <f>SUM(H607:H615)</f>
        <v>14329</v>
      </c>
      <c r="I616" s="838">
        <f t="shared" ref="I616:AF616" si="622">SUM(I607:I615)</f>
        <v>3016</v>
      </c>
      <c r="J616" s="838">
        <f t="shared" si="622"/>
        <v>-6236</v>
      </c>
      <c r="K616" s="849">
        <f t="shared" si="622"/>
        <v>-2701</v>
      </c>
      <c r="L616" s="838">
        <f t="shared" si="622"/>
        <v>-6341</v>
      </c>
      <c r="M616" s="838">
        <f t="shared" si="622"/>
        <v>-1552</v>
      </c>
      <c r="N616" s="838">
        <f t="shared" si="622"/>
        <v>-19658</v>
      </c>
      <c r="O616" s="849">
        <f t="shared" si="622"/>
        <v>-6039</v>
      </c>
      <c r="P616" s="838">
        <f t="shared" si="622"/>
        <v>-7384</v>
      </c>
      <c r="Q616" s="838">
        <f t="shared" si="622"/>
        <v>-13216</v>
      </c>
      <c r="R616" s="838">
        <f t="shared" si="622"/>
        <v>-7601</v>
      </c>
      <c r="S616" s="849">
        <f t="shared" si="622"/>
        <v>-8686</v>
      </c>
      <c r="T616" s="838">
        <f t="shared" si="622"/>
        <v>-10209</v>
      </c>
      <c r="U616" s="838">
        <f t="shared" si="622"/>
        <v>-8915</v>
      </c>
      <c r="V616" s="838">
        <f t="shared" si="622"/>
        <v>-14645</v>
      </c>
      <c r="W616" s="838">
        <f t="shared" si="622"/>
        <v>-12262</v>
      </c>
      <c r="X616" s="838">
        <f t="shared" si="622"/>
        <v>-10289</v>
      </c>
      <c r="Y616" s="838">
        <f t="shared" si="622"/>
        <v>-13634</v>
      </c>
      <c r="Z616" s="838">
        <f t="shared" si="622"/>
        <v>-13192</v>
      </c>
      <c r="AA616" s="838">
        <f t="shared" si="622"/>
        <v>-11371</v>
      </c>
      <c r="AB616" s="838">
        <f t="shared" si="622"/>
        <v>-16276</v>
      </c>
      <c r="AC616" s="838">
        <f t="shared" si="622"/>
        <v>-11986</v>
      </c>
      <c r="AD616" s="838">
        <f t="shared" si="622"/>
        <v>-17345</v>
      </c>
      <c r="AE616" s="838">
        <f t="shared" si="622"/>
        <v>-13269</v>
      </c>
      <c r="AF616" s="838">
        <f t="shared" si="622"/>
        <v>-10883</v>
      </c>
      <c r="AG616" s="838"/>
      <c r="AH616" s="838"/>
      <c r="AI616" s="838"/>
      <c r="AK616" s="838">
        <f t="shared" ref="AK616:AW616" si="623">SUM(AK607:AK615)</f>
        <v>-41078</v>
      </c>
      <c r="AL616" s="838">
        <f t="shared" si="623"/>
        <v>-20562</v>
      </c>
      <c r="AM616" s="838">
        <f t="shared" si="623"/>
        <v>-24544</v>
      </c>
      <c r="AN616" s="838">
        <f t="shared" si="623"/>
        <v>-12934</v>
      </c>
      <c r="AO616" s="838">
        <f t="shared" si="623"/>
        <v>-7463</v>
      </c>
      <c r="AP616" s="838">
        <f t="shared" si="623"/>
        <v>-13291</v>
      </c>
      <c r="AQ616" s="838">
        <f t="shared" si="623"/>
        <v>-8376</v>
      </c>
      <c r="AR616" s="838">
        <f t="shared" si="623"/>
        <v>-9408</v>
      </c>
      <c r="AS616" s="838">
        <f t="shared" si="623"/>
        <v>-8148</v>
      </c>
      <c r="AT616" s="838">
        <f t="shared" si="623"/>
        <v>-8665</v>
      </c>
      <c r="AU616" s="838">
        <f t="shared" si="623"/>
        <v>-9668</v>
      </c>
      <c r="AV616" s="838">
        <f t="shared" si="623"/>
        <v>-8393</v>
      </c>
      <c r="AW616" s="838">
        <f t="shared" si="623"/>
        <v>8408</v>
      </c>
      <c r="AY616" s="838">
        <f>SUM(AY607:AY615)</f>
        <v>-8393</v>
      </c>
      <c r="AZ616" s="838">
        <f>SUM(AZ607:AZ615)</f>
        <v>8408</v>
      </c>
      <c r="BA616" s="838">
        <f>SUM(BA607:BA615)</f>
        <v>-33590</v>
      </c>
      <c r="BB616" s="838">
        <f>SUM(BB607:BB615)</f>
        <v>-36887</v>
      </c>
      <c r="BC616" s="838">
        <f>SUM(BC607:BC615)</f>
        <v>-46031</v>
      </c>
      <c r="BD616" s="849">
        <f t="shared" si="617"/>
        <v>-48486</v>
      </c>
      <c r="BE616" s="849">
        <f>+SUM(BE607:BE615)</f>
        <v>-58876</v>
      </c>
      <c r="BF616" s="838"/>
    </row>
    <row r="617" spans="2:58">
      <c r="K617" s="100"/>
      <c r="O617" s="100"/>
      <c r="S617" s="100"/>
      <c r="BC617" s="100"/>
      <c r="BD617" s="100"/>
    </row>
    <row r="618" spans="2:58" s="852" customFormat="1" ht="11.45">
      <c r="B618" t="s">
        <v>564</v>
      </c>
      <c r="D618" s="939">
        <v>-44</v>
      </c>
      <c r="E618" s="939">
        <v>-18</v>
      </c>
      <c r="F618" s="939">
        <v>17</v>
      </c>
      <c r="G618" s="939">
        <v>-22</v>
      </c>
      <c r="H618" s="939">
        <v>10</v>
      </c>
      <c r="I618" s="939">
        <v>-18</v>
      </c>
      <c r="J618" s="939">
        <v>12</v>
      </c>
      <c r="K618" s="940">
        <v>15</v>
      </c>
      <c r="L618" s="939">
        <v>26</v>
      </c>
      <c r="M618" s="939">
        <v>-17</v>
      </c>
      <c r="N618" s="939">
        <v>25</v>
      </c>
      <c r="O618" s="940">
        <v>16</v>
      </c>
      <c r="P618" s="939">
        <v>-129</v>
      </c>
      <c r="Q618" s="939">
        <v>17</v>
      </c>
      <c r="R618" s="939">
        <v>18</v>
      </c>
      <c r="S618" s="940">
        <f>+BB618-SUM(P618:R618)</f>
        <v>-21</v>
      </c>
      <c r="T618" s="939">
        <v>-72</v>
      </c>
      <c r="U618" s="939">
        <f>-118-V618-T618</f>
        <v>18</v>
      </c>
      <c r="V618" s="939">
        <v>-64</v>
      </c>
      <c r="W618" s="939">
        <v>-83</v>
      </c>
      <c r="X618" s="939">
        <v>-46</v>
      </c>
      <c r="Y618" s="939">
        <v>14</v>
      </c>
      <c r="Z618" s="939">
        <v>-33</v>
      </c>
      <c r="AA618" s="939">
        <v>36</v>
      </c>
      <c r="AB618" s="939">
        <v>-73</v>
      </c>
      <c r="AC618" s="939">
        <v>106</v>
      </c>
      <c r="AD618" s="939">
        <v>24</v>
      </c>
      <c r="AE618" s="939">
        <v>-198</v>
      </c>
      <c r="AF618" s="939">
        <v>-230</v>
      </c>
      <c r="AG618" s="939"/>
      <c r="AH618" s="939"/>
      <c r="AI618" s="939"/>
      <c r="AK618" s="939">
        <v>-7</v>
      </c>
      <c r="AL618" s="939">
        <v>18</v>
      </c>
      <c r="AM618" s="939">
        <v>56</v>
      </c>
      <c r="AN618" s="939">
        <v>137</v>
      </c>
      <c r="AO618" s="939">
        <v>-67</v>
      </c>
      <c r="AP618" s="939">
        <v>-39</v>
      </c>
      <c r="AQ618" s="939">
        <v>103</v>
      </c>
      <c r="AR618" s="939">
        <v>-104</v>
      </c>
      <c r="AS618" s="939">
        <v>-8</v>
      </c>
      <c r="AT618" s="939">
        <v>-139</v>
      </c>
      <c r="AU618" s="939">
        <v>-73</v>
      </c>
      <c r="AV618" s="939">
        <v>-67</v>
      </c>
      <c r="AW618" s="939">
        <v>19</v>
      </c>
      <c r="AY618" s="939">
        <v>-67</v>
      </c>
      <c r="AZ618" s="939">
        <v>19</v>
      </c>
      <c r="BA618" s="939">
        <v>50</v>
      </c>
      <c r="BB618" s="939">
        <v>-115</v>
      </c>
      <c r="BC618" s="940">
        <f>SUM(T618:W618)</f>
        <v>-201</v>
      </c>
      <c r="BD618" s="940">
        <f t="shared" ref="BD618:BD619" si="624">SUM(X618:AA618)</f>
        <v>-29</v>
      </c>
      <c r="BE618" s="34">
        <f t="shared" ref="BE618" si="625">+SUM(AB618:AE618)</f>
        <v>-141</v>
      </c>
      <c r="BF618" s="939"/>
    </row>
    <row r="619" spans="2:58" s="1" customFormat="1" ht="10.5">
      <c r="B619" s="837" t="s">
        <v>565</v>
      </c>
      <c r="D619" s="838">
        <f t="shared" ref="D619:AF619" si="626">+D595+D604+D616+D618</f>
        <v>-164</v>
      </c>
      <c r="E619" s="838">
        <f t="shared" si="626"/>
        <v>1754</v>
      </c>
      <c r="F619" s="838">
        <f t="shared" si="626"/>
        <v>-15</v>
      </c>
      <c r="G619" s="838">
        <f t="shared" si="626"/>
        <v>-660</v>
      </c>
      <c r="H619" s="838">
        <f t="shared" si="626"/>
        <v>7418</v>
      </c>
      <c r="I619" s="838">
        <f t="shared" si="626"/>
        <v>-5460</v>
      </c>
      <c r="J619" s="838">
        <f t="shared" si="626"/>
        <v>-1755</v>
      </c>
      <c r="K619" s="849">
        <f t="shared" si="626"/>
        <v>950</v>
      </c>
      <c r="L619" s="838">
        <f t="shared" si="626"/>
        <v>-779</v>
      </c>
      <c r="M619" s="838">
        <f t="shared" si="626"/>
        <v>5975</v>
      </c>
      <c r="N619" s="838">
        <f t="shared" si="626"/>
        <v>-3638</v>
      </c>
      <c r="O619" s="849">
        <f t="shared" si="626"/>
        <v>2725</v>
      </c>
      <c r="P619" s="838">
        <f t="shared" si="626"/>
        <v>3191</v>
      </c>
      <c r="Q619" s="838">
        <f t="shared" si="626"/>
        <v>-8499</v>
      </c>
      <c r="R619" s="838">
        <f t="shared" si="626"/>
        <v>4574</v>
      </c>
      <c r="S619" s="849">
        <f t="shared" si="626"/>
        <v>144</v>
      </c>
      <c r="T619" s="838">
        <f t="shared" si="626"/>
        <v>1761</v>
      </c>
      <c r="U619" s="838">
        <f t="shared" si="626"/>
        <v>-4253</v>
      </c>
      <c r="V619" s="838">
        <f t="shared" si="626"/>
        <v>2846</v>
      </c>
      <c r="W619" s="838">
        <f t="shared" si="626"/>
        <v>1866</v>
      </c>
      <c r="X619" s="838">
        <f t="shared" si="626"/>
        <v>3629</v>
      </c>
      <c r="Y619" s="838">
        <f t="shared" si="626"/>
        <v>-2773</v>
      </c>
      <c r="Z619" s="838">
        <f t="shared" si="626"/>
        <v>-730</v>
      </c>
      <c r="AA619" s="838">
        <f t="shared" si="626"/>
        <v>522</v>
      </c>
      <c r="AB619" s="838">
        <f t="shared" si="626"/>
        <v>4941</v>
      </c>
      <c r="AC619" s="838">
        <f t="shared" si="626"/>
        <v>1439</v>
      </c>
      <c r="AD619" s="838">
        <f t="shared" si="626"/>
        <v>-8106</v>
      </c>
      <c r="AE619" s="838">
        <f t="shared" si="626"/>
        <v>1433</v>
      </c>
      <c r="AF619" s="838">
        <f t="shared" si="626"/>
        <v>8953</v>
      </c>
      <c r="AG619" s="838"/>
      <c r="AH619" s="838"/>
      <c r="AI619" s="838"/>
      <c r="AK619" s="838">
        <f t="shared" ref="AK619:AW619" si="627">+AK595+AK604+AK616+AK618</f>
        <v>-9453</v>
      </c>
      <c r="AL619" s="838">
        <f t="shared" si="627"/>
        <v>1863</v>
      </c>
      <c r="AM619" s="838">
        <f t="shared" si="627"/>
        <v>-603</v>
      </c>
      <c r="AN619" s="838">
        <f t="shared" si="627"/>
        <v>4228</v>
      </c>
      <c r="AO619" s="838">
        <f t="shared" si="627"/>
        <v>-4263</v>
      </c>
      <c r="AP619" s="838">
        <f t="shared" si="627"/>
        <v>-571</v>
      </c>
      <c r="AQ619" s="838">
        <f t="shared" si="627"/>
        <v>4105</v>
      </c>
      <c r="AR619" s="838">
        <f t="shared" si="627"/>
        <v>-2672</v>
      </c>
      <c r="AS619" s="838">
        <f t="shared" si="627"/>
        <v>-3134</v>
      </c>
      <c r="AT619" s="838">
        <f t="shared" si="627"/>
        <v>4865</v>
      </c>
      <c r="AU619" s="838">
        <f t="shared" si="627"/>
        <v>-3074</v>
      </c>
      <c r="AV619" s="838">
        <f t="shared" si="627"/>
        <v>915</v>
      </c>
      <c r="AW619" s="838">
        <f t="shared" si="627"/>
        <v>1153</v>
      </c>
      <c r="AY619" s="838">
        <f>+AY595+AY604+AY616+AY618</f>
        <v>915</v>
      </c>
      <c r="AZ619" s="838">
        <f>+AZ595+AZ604+AZ616+AZ618</f>
        <v>1153</v>
      </c>
      <c r="BA619" s="838">
        <f>+BA595+BA604+BA616+BA618</f>
        <v>4283</v>
      </c>
      <c r="BB619" s="838">
        <f>+BB595+BB604+BB616+BB618</f>
        <v>-590</v>
      </c>
      <c r="BC619" s="838">
        <f>+BC595+BC604+BC616+BC618</f>
        <v>2220</v>
      </c>
      <c r="BD619" s="849">
        <f t="shared" si="624"/>
        <v>648</v>
      </c>
      <c r="BE619" s="838">
        <f t="shared" ref="BE619" si="628">+BE595+BE604+BE616+BE618</f>
        <v>-293</v>
      </c>
      <c r="BF619" s="838"/>
    </row>
    <row r="620" spans="2:58">
      <c r="K620" s="100"/>
      <c r="O620" s="100"/>
      <c r="S620" s="100"/>
      <c r="BB620" s="8"/>
      <c r="BD620" s="100"/>
    </row>
    <row r="621" spans="2:58">
      <c r="B621" s="954" t="s">
        <v>126</v>
      </c>
      <c r="K621" s="100"/>
      <c r="O621" s="100"/>
      <c r="S621" s="100"/>
      <c r="BB621" s="8"/>
      <c r="BC621" s="8"/>
      <c r="BD621" s="100"/>
    </row>
    <row r="622" spans="2:58">
      <c r="B622" s="843" t="s">
        <v>566</v>
      </c>
      <c r="D622" s="41" t="s">
        <v>271</v>
      </c>
      <c r="E622" s="41" t="s">
        <v>271</v>
      </c>
      <c r="F622" s="41" t="s">
        <v>271</v>
      </c>
      <c r="G622" s="41" t="s">
        <v>271</v>
      </c>
      <c r="H622" s="41" t="s">
        <v>271</v>
      </c>
      <c r="I622" s="41" t="s">
        <v>271</v>
      </c>
      <c r="J622" s="41" t="s">
        <v>271</v>
      </c>
      <c r="K622" s="955" t="s">
        <v>271</v>
      </c>
      <c r="L622" s="41" t="s">
        <v>271</v>
      </c>
      <c r="M622" s="41" t="s">
        <v>271</v>
      </c>
      <c r="N622" s="41" t="s">
        <v>271</v>
      </c>
      <c r="O622" s="955" t="s">
        <v>271</v>
      </c>
      <c r="P622" s="41" t="s">
        <v>271</v>
      </c>
      <c r="Q622" s="41" t="s">
        <v>271</v>
      </c>
      <c r="R622" s="41" t="s">
        <v>271</v>
      </c>
      <c r="S622" s="955" t="s">
        <v>271</v>
      </c>
      <c r="T622" s="41" t="s">
        <v>271</v>
      </c>
      <c r="U622" s="41" t="s">
        <v>271</v>
      </c>
      <c r="V622" s="41" t="s">
        <v>271</v>
      </c>
      <c r="W622" s="41" t="s">
        <v>271</v>
      </c>
      <c r="X622" s="41" t="s">
        <v>271</v>
      </c>
      <c r="Y622" s="41" t="s">
        <v>271</v>
      </c>
      <c r="Z622" s="41" t="s">
        <v>271</v>
      </c>
      <c r="AA622" s="41" t="s">
        <v>271</v>
      </c>
      <c r="AB622" s="41" t="s">
        <v>271</v>
      </c>
      <c r="AC622" s="41" t="s">
        <v>271</v>
      </c>
      <c r="AD622" s="41" t="s">
        <v>271</v>
      </c>
      <c r="AE622" s="41" t="s">
        <v>271</v>
      </c>
      <c r="AF622" s="41" t="s">
        <v>271</v>
      </c>
      <c r="AK622" s="29">
        <v>0</v>
      </c>
      <c r="AL622" s="29">
        <v>0</v>
      </c>
      <c r="AM622" s="29">
        <v>0</v>
      </c>
      <c r="AN622" s="29">
        <v>0</v>
      </c>
      <c r="AO622" s="29">
        <v>0</v>
      </c>
      <c r="AP622" s="29">
        <v>145</v>
      </c>
      <c r="AQ622" s="29">
        <v>197</v>
      </c>
      <c r="AR622" s="29">
        <v>344</v>
      </c>
      <c r="AS622" s="29">
        <v>371</v>
      </c>
      <c r="AT622" s="29">
        <v>509</v>
      </c>
      <c r="AU622" s="29">
        <v>620</v>
      </c>
      <c r="AV622" s="29">
        <v>1100</v>
      </c>
      <c r="AW622" s="29">
        <v>1600</v>
      </c>
      <c r="AY622" s="8">
        <f>+AV622</f>
        <v>1100</v>
      </c>
      <c r="AZ622" s="8">
        <f>+AW622</f>
        <v>1600</v>
      </c>
      <c r="BA622" s="29">
        <v>2400</v>
      </c>
      <c r="BB622" s="29">
        <v>2400</v>
      </c>
      <c r="BC622" s="956" t="s">
        <v>271</v>
      </c>
      <c r="BD622" s="956" t="s">
        <v>271</v>
      </c>
      <c r="BE622" s="956" t="s">
        <v>271</v>
      </c>
      <c r="BF622" s="8"/>
    </row>
    <row r="623" spans="2:58">
      <c r="B623" s="843" t="s">
        <v>567</v>
      </c>
      <c r="D623" s="41" t="s">
        <v>271</v>
      </c>
      <c r="E623" s="41" t="s">
        <v>271</v>
      </c>
      <c r="F623" s="41" t="s">
        <v>271</v>
      </c>
      <c r="G623" s="41" t="s">
        <v>271</v>
      </c>
      <c r="H623" s="41" t="s">
        <v>271</v>
      </c>
      <c r="I623" s="41" t="s">
        <v>271</v>
      </c>
      <c r="J623" s="41" t="s">
        <v>271</v>
      </c>
      <c r="K623" s="955" t="s">
        <v>271</v>
      </c>
      <c r="L623" s="41" t="s">
        <v>271</v>
      </c>
      <c r="M623" s="41" t="s">
        <v>271</v>
      </c>
      <c r="N623" s="41" t="s">
        <v>271</v>
      </c>
      <c r="O623" s="955" t="s">
        <v>271</v>
      </c>
      <c r="P623" s="41" t="s">
        <v>271</v>
      </c>
      <c r="Q623" s="41" t="s">
        <v>271</v>
      </c>
      <c r="R623" s="41" t="s">
        <v>271</v>
      </c>
      <c r="S623" s="955" t="s">
        <v>271</v>
      </c>
      <c r="T623" s="41" t="s">
        <v>271</v>
      </c>
      <c r="U623" s="41" t="s">
        <v>271</v>
      </c>
      <c r="V623" s="41" t="s">
        <v>271</v>
      </c>
      <c r="W623" s="41" t="s">
        <v>271</v>
      </c>
      <c r="X623" s="41" t="s">
        <v>271</v>
      </c>
      <c r="Y623" s="41" t="s">
        <v>271</v>
      </c>
      <c r="Z623" s="41" t="s">
        <v>271</v>
      </c>
      <c r="AA623" s="41" t="s">
        <v>271</v>
      </c>
      <c r="AB623" s="41" t="s">
        <v>271</v>
      </c>
      <c r="AC623" s="41" t="s">
        <v>271</v>
      </c>
      <c r="AD623" s="41" t="s">
        <v>271</v>
      </c>
      <c r="AE623" s="41" t="s">
        <v>271</v>
      </c>
      <c r="AF623" s="41" t="s">
        <v>271</v>
      </c>
      <c r="AK623" s="29">
        <v>4330</v>
      </c>
      <c r="AL623" s="29">
        <v>4800</v>
      </c>
      <c r="AM623" s="29">
        <v>5200</v>
      </c>
      <c r="AN623" s="29">
        <v>5400</v>
      </c>
      <c r="AO623" s="29">
        <v>6600</v>
      </c>
      <c r="AP623" s="29">
        <v>4100</v>
      </c>
      <c r="AQ623" s="29">
        <v>5300</v>
      </c>
      <c r="AR623" s="29">
        <v>3500</v>
      </c>
      <c r="AS623" s="29">
        <v>3900</v>
      </c>
      <c r="AT623" s="29">
        <v>5500</v>
      </c>
      <c r="AU623" s="29">
        <v>4400</v>
      </c>
      <c r="AV623" s="29">
        <v>3900</v>
      </c>
      <c r="AW623" s="29">
        <v>2400</v>
      </c>
      <c r="AY623" s="8">
        <f>+AV623</f>
        <v>3900</v>
      </c>
      <c r="AZ623" s="8">
        <f>+AW623</f>
        <v>2400</v>
      </c>
      <c r="BA623" s="29">
        <v>5500</v>
      </c>
      <c r="BB623" s="29">
        <v>8400</v>
      </c>
      <c r="BC623" s="29">
        <v>12500</v>
      </c>
      <c r="BD623" s="29">
        <v>13400</v>
      </c>
      <c r="BE623" s="29">
        <v>16000</v>
      </c>
      <c r="BF623" s="8"/>
    </row>
    <row r="624" spans="2:58">
      <c r="K624" s="100"/>
      <c r="O624" s="100"/>
      <c r="S624" s="11"/>
      <c r="BA624" s="8"/>
      <c r="BC624" s="8"/>
      <c r="BD624" s="100"/>
    </row>
    <row r="625" spans="2:58" s="100" customFormat="1" ht="10.5">
      <c r="B625" s="958" t="s">
        <v>568</v>
      </c>
    </row>
    <row r="626" spans="2:58" s="100" customFormat="1">
      <c r="B626" s="100" t="s">
        <v>569</v>
      </c>
      <c r="D626" s="11"/>
      <c r="E626" s="11"/>
      <c r="F626" s="11"/>
      <c r="G626" s="11"/>
      <c r="H626" s="11">
        <f t="shared" ref="H626:AF626" si="629">+H87</f>
        <v>3953.55</v>
      </c>
      <c r="I626" s="11">
        <f t="shared" si="629"/>
        <v>4880.3</v>
      </c>
      <c r="J626" s="11">
        <f t="shared" si="629"/>
        <v>4964.1000000000004</v>
      </c>
      <c r="K626" s="11">
        <f t="shared" si="629"/>
        <v>4414.6000000000004</v>
      </c>
      <c r="L626" s="11">
        <f t="shared" si="629"/>
        <v>4988.6000000000004</v>
      </c>
      <c r="M626" s="11">
        <f t="shared" si="629"/>
        <v>5195.8500000000004</v>
      </c>
      <c r="N626" s="11">
        <f t="shared" si="629"/>
        <v>6036.39</v>
      </c>
      <c r="O626" s="11">
        <f t="shared" si="629"/>
        <v>6853.2000000000007</v>
      </c>
      <c r="P626" s="11">
        <f t="shared" si="629"/>
        <v>6611.59</v>
      </c>
      <c r="Q626" s="11">
        <f t="shared" si="629"/>
        <v>7299.15</v>
      </c>
      <c r="R626" s="11">
        <f t="shared" si="629"/>
        <v>7809.9400000000005</v>
      </c>
      <c r="S626" s="11">
        <f t="shared" si="629"/>
        <v>7574.84</v>
      </c>
      <c r="T626" s="11">
        <f t="shared" si="629"/>
        <v>8192.94</v>
      </c>
      <c r="U626" s="11">
        <f t="shared" si="629"/>
        <v>9830.15</v>
      </c>
      <c r="V626" s="11">
        <f t="shared" si="629"/>
        <v>9363.9700000000012</v>
      </c>
      <c r="W626" s="11">
        <f t="shared" si="629"/>
        <v>8307.380000000001</v>
      </c>
      <c r="X626" s="11">
        <f t="shared" si="629"/>
        <v>9882.9599999999991</v>
      </c>
      <c r="Y626" s="11">
        <f t="shared" si="629"/>
        <v>11847.23</v>
      </c>
      <c r="Z626" s="11">
        <f t="shared" si="629"/>
        <v>10552.44</v>
      </c>
      <c r="AA626" s="11">
        <f t="shared" si="629"/>
        <v>11373.95</v>
      </c>
      <c r="AB626" s="11">
        <f t="shared" si="629"/>
        <v>12025.96</v>
      </c>
      <c r="AC626" s="11">
        <f t="shared" si="629"/>
        <v>14482.85</v>
      </c>
      <c r="AD626" s="11">
        <f t="shared" si="629"/>
        <v>13423.1</v>
      </c>
      <c r="AE626" s="11">
        <f t="shared" si="629"/>
        <v>11463.73</v>
      </c>
      <c r="AF626" s="11">
        <f t="shared" si="629"/>
        <v>13231.880000000001</v>
      </c>
      <c r="AG626" s="11"/>
      <c r="AH626" s="11"/>
      <c r="AI626" s="11"/>
      <c r="AK626" s="11"/>
      <c r="AL626" s="11"/>
      <c r="AM626" s="11">
        <f t="shared" ref="AM626:AW626" si="630">+AM87</f>
        <v>12241.650000000001</v>
      </c>
      <c r="AN626" s="11">
        <f t="shared" si="630"/>
        <v>14353.1</v>
      </c>
      <c r="AO626" s="11">
        <f t="shared" si="630"/>
        <v>12326.650000000001</v>
      </c>
      <c r="AP626" s="11">
        <f t="shared" si="630"/>
        <v>16954.45</v>
      </c>
      <c r="AQ626" s="11">
        <f t="shared" si="630"/>
        <v>18657.150000000001</v>
      </c>
      <c r="AR626" s="11">
        <f t="shared" si="630"/>
        <v>19701</v>
      </c>
      <c r="AS626" s="11">
        <f t="shared" si="630"/>
        <v>17018.25</v>
      </c>
      <c r="AT626" s="11">
        <f t="shared" si="630"/>
        <v>17892.550000000003</v>
      </c>
      <c r="AU626" s="11">
        <f t="shared" si="630"/>
        <v>18549.7</v>
      </c>
      <c r="AV626" s="11">
        <f t="shared" si="630"/>
        <v>18484.95</v>
      </c>
      <c r="AW626" s="11">
        <f t="shared" si="630"/>
        <v>19460.849999999999</v>
      </c>
      <c r="AY626" s="11">
        <f t="shared" ref="AY626:BE626" si="631">+AY87</f>
        <v>15108.85</v>
      </c>
      <c r="AZ626" s="11">
        <f t="shared" si="631"/>
        <v>18212.550000000003</v>
      </c>
      <c r="BA626" s="11">
        <f t="shared" si="631"/>
        <v>23074.04</v>
      </c>
      <c r="BB626" s="11">
        <f t="shared" si="631"/>
        <v>29295.52</v>
      </c>
      <c r="BC626" s="11">
        <f t="shared" si="631"/>
        <v>35694.44</v>
      </c>
      <c r="BD626" s="11">
        <f t="shared" si="631"/>
        <v>43656.58</v>
      </c>
      <c r="BE626" s="11">
        <f t="shared" si="631"/>
        <v>51395.64</v>
      </c>
      <c r="BF626" s="11"/>
    </row>
    <row r="627" spans="2:58" s="100" customFormat="1">
      <c r="B627" s="100" t="s">
        <v>142</v>
      </c>
      <c r="D627" s="11"/>
      <c r="E627" s="11"/>
      <c r="F627" s="11"/>
      <c r="G627" s="11"/>
      <c r="H627" s="11">
        <f t="shared" ref="H627:AF627" si="632">+H582</f>
        <v>703</v>
      </c>
      <c r="I627" s="11">
        <f t="shared" si="632"/>
        <v>767</v>
      </c>
      <c r="J627" s="11">
        <f t="shared" si="632"/>
        <v>883</v>
      </c>
      <c r="K627" s="11">
        <f t="shared" si="632"/>
        <v>913</v>
      </c>
      <c r="L627" s="11">
        <f t="shared" si="632"/>
        <v>973</v>
      </c>
      <c r="M627" s="11">
        <f t="shared" si="632"/>
        <v>986</v>
      </c>
      <c r="N627" s="11">
        <f t="shared" si="632"/>
        <v>969</v>
      </c>
      <c r="O627" s="11">
        <f t="shared" si="632"/>
        <v>1012</v>
      </c>
      <c r="P627" s="11">
        <f t="shared" si="632"/>
        <v>1107</v>
      </c>
      <c r="Q627" s="11">
        <f t="shared" si="632"/>
        <v>1183</v>
      </c>
      <c r="R627" s="11">
        <f t="shared" si="632"/>
        <v>1172</v>
      </c>
      <c r="S627" s="11">
        <f t="shared" si="632"/>
        <v>1190</v>
      </c>
      <c r="T627" s="11">
        <f t="shared" si="632"/>
        <v>1262</v>
      </c>
      <c r="U627" s="11">
        <f t="shared" si="632"/>
        <v>1340</v>
      </c>
      <c r="V627" s="11">
        <f t="shared" si="632"/>
        <v>1338</v>
      </c>
      <c r="W627" s="11">
        <f t="shared" si="632"/>
        <v>1349</v>
      </c>
      <c r="X627" s="11">
        <f t="shared" si="632"/>
        <v>1456</v>
      </c>
      <c r="Y627" s="11">
        <f t="shared" si="632"/>
        <v>1566</v>
      </c>
      <c r="Z627" s="11">
        <f t="shared" si="632"/>
        <v>1525</v>
      </c>
      <c r="AA627" s="11">
        <f t="shared" si="632"/>
        <v>1571</v>
      </c>
      <c r="AB627" s="11">
        <f t="shared" si="632"/>
        <v>1702</v>
      </c>
      <c r="AC627" s="11">
        <f t="shared" si="632"/>
        <v>1897</v>
      </c>
      <c r="AD627" s="11">
        <f t="shared" si="632"/>
        <v>1906</v>
      </c>
      <c r="AE627" s="11">
        <f t="shared" si="632"/>
        <v>1997</v>
      </c>
      <c r="AF627" s="11">
        <f t="shared" si="632"/>
        <v>2192</v>
      </c>
      <c r="AG627" s="11"/>
      <c r="AH627" s="11"/>
      <c r="AI627" s="11"/>
      <c r="AK627" s="11"/>
      <c r="AL627" s="11"/>
      <c r="AM627" s="11">
        <f t="shared" ref="AM627:AW627" si="633">+AM582</f>
        <v>1550</v>
      </c>
      <c r="AN627" s="11">
        <f t="shared" si="633"/>
        <v>1479</v>
      </c>
      <c r="AO627" s="11">
        <f t="shared" si="633"/>
        <v>1708</v>
      </c>
      <c r="AP627" s="11">
        <f t="shared" si="633"/>
        <v>1891</v>
      </c>
      <c r="AQ627" s="11">
        <f t="shared" si="633"/>
        <v>2166</v>
      </c>
      <c r="AR627" s="11">
        <f t="shared" si="633"/>
        <v>2244</v>
      </c>
      <c r="AS627" s="11">
        <f t="shared" si="633"/>
        <v>2406</v>
      </c>
      <c r="AT627" s="11">
        <f t="shared" si="633"/>
        <v>2446</v>
      </c>
      <c r="AU627" s="11">
        <f t="shared" si="633"/>
        <v>2574</v>
      </c>
      <c r="AV627" s="11">
        <f t="shared" si="633"/>
        <v>2668</v>
      </c>
      <c r="AW627" s="11">
        <f t="shared" si="633"/>
        <v>3266</v>
      </c>
      <c r="AY627" s="11">
        <f t="shared" ref="AY627:BE627" si="634">+AY582</f>
        <v>2668</v>
      </c>
      <c r="AZ627" s="11">
        <f t="shared" si="634"/>
        <v>3266</v>
      </c>
      <c r="BA627" s="11">
        <f t="shared" si="634"/>
        <v>3940</v>
      </c>
      <c r="BB627" s="11">
        <f t="shared" si="634"/>
        <v>4652</v>
      </c>
      <c r="BC627" s="11">
        <f t="shared" si="634"/>
        <v>5289</v>
      </c>
      <c r="BD627" s="11">
        <f t="shared" si="634"/>
        <v>6118</v>
      </c>
      <c r="BE627" s="11">
        <f t="shared" si="634"/>
        <v>7502</v>
      </c>
      <c r="BF627" s="11"/>
    </row>
    <row r="628" spans="2:58" s="100" customFormat="1">
      <c r="B628" s="100" t="s">
        <v>312</v>
      </c>
      <c r="D628" s="11"/>
      <c r="E628" s="11"/>
      <c r="F628" s="11"/>
      <c r="G628" s="11"/>
      <c r="H628" s="857" t="s">
        <v>271</v>
      </c>
      <c r="I628" s="857" t="s">
        <v>271</v>
      </c>
      <c r="J628" s="857" t="s">
        <v>271</v>
      </c>
      <c r="K628" s="857" t="s">
        <v>271</v>
      </c>
      <c r="L628" s="857" t="s">
        <v>271</v>
      </c>
      <c r="M628" s="857" t="s">
        <v>271</v>
      </c>
      <c r="N628" s="857" t="s">
        <v>271</v>
      </c>
      <c r="O628" s="857" t="s">
        <v>271</v>
      </c>
      <c r="P628" s="857" t="s">
        <v>271</v>
      </c>
      <c r="Q628" s="857" t="s">
        <v>271</v>
      </c>
      <c r="R628" s="857" t="s">
        <v>271</v>
      </c>
      <c r="S628" s="857" t="s">
        <v>271</v>
      </c>
      <c r="T628" s="857" t="s">
        <v>271</v>
      </c>
      <c r="U628" s="857" t="s">
        <v>271</v>
      </c>
      <c r="V628" s="857" t="s">
        <v>271</v>
      </c>
      <c r="W628" s="857" t="s">
        <v>271</v>
      </c>
      <c r="X628" s="857" t="s">
        <v>271</v>
      </c>
      <c r="Y628" s="857" t="s">
        <v>271</v>
      </c>
      <c r="Z628" s="857" t="s">
        <v>271</v>
      </c>
      <c r="AA628" s="857" t="s">
        <v>271</v>
      </c>
      <c r="AB628" s="857" t="s">
        <v>271</v>
      </c>
      <c r="AC628" s="857" t="s">
        <v>271</v>
      </c>
      <c r="AD628" s="857" t="s">
        <v>271</v>
      </c>
      <c r="AE628" s="857" t="s">
        <v>271</v>
      </c>
      <c r="AF628" s="857" t="s">
        <v>271</v>
      </c>
      <c r="AG628" s="11"/>
      <c r="AH628" s="11"/>
      <c r="AI628" s="11"/>
      <c r="AK628" s="11"/>
      <c r="AL628" s="11"/>
      <c r="AM628" s="11">
        <f t="shared" ref="AM628:AW628" si="635">AM92</f>
        <v>1835.3499999999995</v>
      </c>
      <c r="AN628" s="11">
        <f t="shared" si="635"/>
        <v>2934.8999999999996</v>
      </c>
      <c r="AO628" s="11">
        <f t="shared" si="635"/>
        <v>337.34999999999945</v>
      </c>
      <c r="AP628" s="11">
        <f t="shared" si="635"/>
        <v>4654.5499999999993</v>
      </c>
      <c r="AQ628" s="11">
        <f t="shared" si="635"/>
        <v>4524.8499999999985</v>
      </c>
      <c r="AR628" s="11">
        <f t="shared" si="635"/>
        <v>6461</v>
      </c>
      <c r="AS628" s="11">
        <f t="shared" si="635"/>
        <v>5824.75</v>
      </c>
      <c r="AT628" s="11">
        <f t="shared" si="635"/>
        <v>4281.4499999999989</v>
      </c>
      <c r="AU628" s="11">
        <f t="shared" si="635"/>
        <v>5581.2999999999993</v>
      </c>
      <c r="AV628" s="11">
        <f t="shared" si="635"/>
        <v>3703.0499999999993</v>
      </c>
      <c r="AW628" s="11">
        <f t="shared" si="635"/>
        <v>5233.1499999999996</v>
      </c>
      <c r="AY628" s="11">
        <f t="shared" ref="AY628:BE628" si="636">AY92</f>
        <v>5462.15</v>
      </c>
      <c r="AZ628" s="11">
        <f t="shared" si="636"/>
        <v>8172.4499999999989</v>
      </c>
      <c r="BA628" s="11">
        <f t="shared" si="636"/>
        <v>4560.9599999999991</v>
      </c>
      <c r="BB628" s="11">
        <f t="shared" si="636"/>
        <v>774.47999999999956</v>
      </c>
      <c r="BC628" s="11">
        <f t="shared" si="636"/>
        <v>-1362.4400000000023</v>
      </c>
      <c r="BD628" s="11">
        <f t="shared" si="636"/>
        <v>1531.4199999999983</v>
      </c>
      <c r="BE628" s="11">
        <f t="shared" si="636"/>
        <v>1580.3599999999969</v>
      </c>
      <c r="BF628" s="11"/>
    </row>
    <row r="629" spans="2:58" s="852" customFormat="1">
      <c r="B629" t="s">
        <v>198</v>
      </c>
      <c r="D629" s="939"/>
      <c r="E629" s="939"/>
      <c r="F629" s="939"/>
      <c r="G629" s="939"/>
      <c r="H629" s="940">
        <f>+H630-H627-H626</f>
        <v>4592.45</v>
      </c>
      <c r="I629" s="940">
        <f t="shared" ref="I629:AF629" si="637">+I630-I627-I626</f>
        <v>-1854.3000000000002</v>
      </c>
      <c r="J629" s="940">
        <f t="shared" si="637"/>
        <v>2712.8999999999996</v>
      </c>
      <c r="K629" s="940">
        <f t="shared" si="637"/>
        <v>2377.3999999999996</v>
      </c>
      <c r="L629" s="940">
        <f t="shared" si="637"/>
        <v>3778.3999999999996</v>
      </c>
      <c r="M629" s="940">
        <f t="shared" si="637"/>
        <v>-1606.8500000000004</v>
      </c>
      <c r="N629" s="940">
        <f t="shared" si="637"/>
        <v>1645.6099999999997</v>
      </c>
      <c r="O629" s="940">
        <f t="shared" si="637"/>
        <v>-547.20000000000073</v>
      </c>
      <c r="P629" s="940">
        <f t="shared" si="637"/>
        <v>1638.4099999999999</v>
      </c>
      <c r="Q629" s="940">
        <f t="shared" si="637"/>
        <v>-3482.1499999999996</v>
      </c>
      <c r="R629" s="940">
        <f t="shared" si="637"/>
        <v>1138.0599999999995</v>
      </c>
      <c r="S629" s="940">
        <f t="shared" si="637"/>
        <v>2043.1599999999999</v>
      </c>
      <c r="T629" s="940">
        <f t="shared" si="637"/>
        <v>-436.94000000000051</v>
      </c>
      <c r="U629" s="940">
        <f t="shared" si="637"/>
        <v>-4990.1499999999996</v>
      </c>
      <c r="V629" s="940">
        <f t="shared" si="637"/>
        <v>2902.0299999999988</v>
      </c>
      <c r="W629" s="940">
        <f t="shared" si="637"/>
        <v>3216.619999999999</v>
      </c>
      <c r="X629" s="940">
        <f t="shared" si="637"/>
        <v>2496.0400000000009</v>
      </c>
      <c r="Y629" s="940">
        <f t="shared" si="637"/>
        <v>-6297.23</v>
      </c>
      <c r="Z629" s="940">
        <f t="shared" si="637"/>
        <v>4101.5599999999995</v>
      </c>
      <c r="AA629" s="940">
        <f t="shared" si="637"/>
        <v>2465.0499999999993</v>
      </c>
      <c r="AB629" s="940">
        <f t="shared" si="637"/>
        <v>3412.0400000000009</v>
      </c>
      <c r="AC629" s="940">
        <f t="shared" si="637"/>
        <v>-8699.85</v>
      </c>
      <c r="AD629" s="940">
        <f t="shared" si="637"/>
        <v>3756.8999999999996</v>
      </c>
      <c r="AE629" s="940">
        <f t="shared" si="637"/>
        <v>2468.2700000000004</v>
      </c>
      <c r="AF629" s="940">
        <f t="shared" si="637"/>
        <v>1174.119999999999</v>
      </c>
      <c r="AG629" s="939"/>
      <c r="AH629" s="939"/>
      <c r="AI629" s="939"/>
      <c r="AK629" s="939"/>
      <c r="AL629" s="939"/>
      <c r="AM629" s="940">
        <f>+AM630-AM627-AM626-AM628</f>
        <v>-95.000000000000909</v>
      </c>
      <c r="AN629" s="940">
        <f t="shared" ref="AN629:AW629" si="638">+AN630-AN627-AN626-AN628</f>
        <v>-337</v>
      </c>
      <c r="AO629" s="940">
        <f t="shared" si="638"/>
        <v>1545.9999999999991</v>
      </c>
      <c r="AP629" s="940">
        <f t="shared" si="638"/>
        <v>-1404</v>
      </c>
      <c r="AQ629" s="940">
        <f t="shared" si="638"/>
        <v>-709</v>
      </c>
      <c r="AR629" s="940">
        <f t="shared" si="638"/>
        <v>915</v>
      </c>
      <c r="AS629" s="940">
        <f t="shared" si="638"/>
        <v>-673</v>
      </c>
      <c r="AT629" s="940">
        <f t="shared" si="638"/>
        <v>2396.9999999999982</v>
      </c>
      <c r="AU629" s="940">
        <f t="shared" si="638"/>
        <v>-2981</v>
      </c>
      <c r="AV629" s="940">
        <f t="shared" si="638"/>
        <v>-431</v>
      </c>
      <c r="AW629" s="940">
        <f t="shared" si="638"/>
        <v>1347.0000000000018</v>
      </c>
      <c r="AY629" s="940">
        <f>+AY630-AY627-AY626-AY628</f>
        <v>1186</v>
      </c>
      <c r="AZ629" s="940">
        <f t="shared" ref="AZ629:BC629" si="639">+AZ630-AZ627-AZ626-AZ628</f>
        <v>-344.00000000000182</v>
      </c>
      <c r="BA629" s="940">
        <f t="shared" si="639"/>
        <v>-1291</v>
      </c>
      <c r="BB629" s="940">
        <f t="shared" si="639"/>
        <v>563</v>
      </c>
      <c r="BC629" s="940">
        <f t="shared" si="639"/>
        <v>2054</v>
      </c>
      <c r="BD629" s="940">
        <f t="shared" ref="BD629:BE629" si="640">+BD630-BD627-BD626</f>
        <v>2765.4199999999983</v>
      </c>
      <c r="BE629" s="940">
        <f t="shared" si="640"/>
        <v>937.36000000000058</v>
      </c>
      <c r="BF629" s="939"/>
    </row>
    <row r="630" spans="2:58" s="1" customFormat="1" ht="10.5">
      <c r="B630" s="837" t="s">
        <v>145</v>
      </c>
      <c r="D630" s="838"/>
      <c r="E630" s="838"/>
      <c r="F630" s="838"/>
      <c r="G630" s="838"/>
      <c r="H630" s="838">
        <f t="shared" ref="H630:AF630" si="641">+H595-H635</f>
        <v>9249</v>
      </c>
      <c r="I630" s="838">
        <f t="shared" si="641"/>
        <v>3793</v>
      </c>
      <c r="J630" s="838">
        <f t="shared" si="641"/>
        <v>8560</v>
      </c>
      <c r="K630" s="838">
        <f t="shared" si="641"/>
        <v>7705</v>
      </c>
      <c r="L630" s="838">
        <f t="shared" si="641"/>
        <v>9740</v>
      </c>
      <c r="M630" s="838">
        <f t="shared" si="641"/>
        <v>4575</v>
      </c>
      <c r="N630" s="838">
        <f t="shared" si="641"/>
        <v>8651</v>
      </c>
      <c r="O630" s="838">
        <f t="shared" si="641"/>
        <v>7318</v>
      </c>
      <c r="P630" s="838">
        <f t="shared" si="641"/>
        <v>9357</v>
      </c>
      <c r="Q630" s="838">
        <f t="shared" si="641"/>
        <v>5000</v>
      </c>
      <c r="R630" s="838">
        <f t="shared" si="641"/>
        <v>10120</v>
      </c>
      <c r="S630" s="838">
        <f t="shared" si="641"/>
        <v>10808</v>
      </c>
      <c r="T630" s="838">
        <f t="shared" si="641"/>
        <v>9018</v>
      </c>
      <c r="U630" s="838">
        <f t="shared" si="641"/>
        <v>6180</v>
      </c>
      <c r="V630" s="838">
        <f t="shared" si="641"/>
        <v>13604</v>
      </c>
      <c r="W630" s="838">
        <f t="shared" si="641"/>
        <v>12873</v>
      </c>
      <c r="X630" s="838">
        <f t="shared" si="641"/>
        <v>13835</v>
      </c>
      <c r="Y630" s="838">
        <f t="shared" si="641"/>
        <v>7116</v>
      </c>
      <c r="Z630" s="838">
        <f t="shared" si="641"/>
        <v>16179</v>
      </c>
      <c r="AA630" s="838">
        <f t="shared" si="641"/>
        <v>15410</v>
      </c>
      <c r="AB630" s="838">
        <f t="shared" si="641"/>
        <v>17140</v>
      </c>
      <c r="AC630" s="838">
        <f t="shared" si="641"/>
        <v>7680</v>
      </c>
      <c r="AD630" s="838">
        <f t="shared" si="641"/>
        <v>19086</v>
      </c>
      <c r="AE630" s="838">
        <f t="shared" si="641"/>
        <v>15929</v>
      </c>
      <c r="AF630" s="838">
        <f t="shared" si="641"/>
        <v>16598</v>
      </c>
      <c r="AG630" s="838"/>
      <c r="AH630" s="838"/>
      <c r="AI630" s="838"/>
      <c r="AK630" s="838"/>
      <c r="AL630" s="838"/>
      <c r="AM630" s="838">
        <f t="shared" ref="AM630:AW630" si="642">+AM595-AM635</f>
        <v>15532</v>
      </c>
      <c r="AN630" s="838">
        <f t="shared" si="642"/>
        <v>18430</v>
      </c>
      <c r="AO630" s="838">
        <f t="shared" si="642"/>
        <v>15918</v>
      </c>
      <c r="AP630" s="838">
        <f t="shared" si="642"/>
        <v>22096</v>
      </c>
      <c r="AQ630" s="838">
        <f t="shared" si="642"/>
        <v>24639</v>
      </c>
      <c r="AR630" s="838">
        <f t="shared" si="642"/>
        <v>29321</v>
      </c>
      <c r="AS630" s="838">
        <f t="shared" si="642"/>
        <v>24576</v>
      </c>
      <c r="AT630" s="838">
        <f t="shared" si="642"/>
        <v>27017</v>
      </c>
      <c r="AU630" s="838">
        <f t="shared" si="642"/>
        <v>23724</v>
      </c>
      <c r="AV630" s="838">
        <f t="shared" si="642"/>
        <v>24425</v>
      </c>
      <c r="AW630" s="838">
        <f t="shared" si="642"/>
        <v>29307</v>
      </c>
      <c r="AY630" s="838">
        <f t="shared" ref="AY630:BE630" si="643">+AY595-AY635</f>
        <v>24425</v>
      </c>
      <c r="AZ630" s="838">
        <f t="shared" si="643"/>
        <v>29307</v>
      </c>
      <c r="BA630" s="838">
        <f t="shared" si="643"/>
        <v>30284</v>
      </c>
      <c r="BB630" s="838">
        <f t="shared" si="643"/>
        <v>35285</v>
      </c>
      <c r="BC630" s="838">
        <f t="shared" si="643"/>
        <v>41675</v>
      </c>
      <c r="BD630" s="838">
        <f t="shared" si="643"/>
        <v>52540</v>
      </c>
      <c r="BE630" s="838">
        <f t="shared" si="643"/>
        <v>59835</v>
      </c>
      <c r="BF630" s="838"/>
    </row>
    <row r="631" spans="2:58" s="1" customFormat="1" ht="10.5">
      <c r="B631" s="837"/>
      <c r="D631" s="838"/>
      <c r="E631" s="838"/>
      <c r="F631" s="838"/>
      <c r="G631" s="838"/>
      <c r="H631" s="838"/>
      <c r="I631" s="838"/>
      <c r="J631" s="838"/>
      <c r="K631" s="838"/>
      <c r="L631" s="838"/>
      <c r="M631" s="838"/>
      <c r="N631" s="838"/>
      <c r="O631" s="838"/>
      <c r="P631" s="838"/>
      <c r="Q631" s="838"/>
      <c r="R631" s="838"/>
      <c r="S631" s="838"/>
      <c r="T631" s="838"/>
      <c r="U631" s="838"/>
      <c r="V631" s="838"/>
      <c r="W631" s="838"/>
      <c r="X631" s="838"/>
      <c r="Y631" s="838"/>
      <c r="Z631" s="838"/>
      <c r="AA631" s="838"/>
      <c r="AB631" s="838"/>
      <c r="AC631" s="838"/>
      <c r="AD631" s="838"/>
      <c r="AE631" s="838"/>
      <c r="AF631" s="838"/>
      <c r="AG631" s="838"/>
      <c r="AH631" s="838"/>
      <c r="AI631" s="838"/>
      <c r="AK631" s="838"/>
      <c r="AL631" s="838"/>
      <c r="AM631" s="838"/>
      <c r="AN631" s="838"/>
      <c r="AO631" s="838"/>
      <c r="AP631" s="838"/>
      <c r="AQ631" s="838"/>
      <c r="AR631" s="838"/>
      <c r="AS631" s="838"/>
      <c r="AT631" s="838"/>
      <c r="AU631" s="838"/>
      <c r="AV631" s="838"/>
      <c r="AW631" s="838"/>
      <c r="AY631" s="838"/>
      <c r="AZ631" s="838"/>
      <c r="BA631" s="838"/>
      <c r="BB631" s="838"/>
      <c r="BC631" s="838"/>
      <c r="BD631" s="838"/>
      <c r="BE631" s="838"/>
      <c r="BF631" s="838"/>
    </row>
    <row r="632" spans="2:58" s="1" customFormat="1" ht="10.5">
      <c r="B632" s="45" t="s">
        <v>131</v>
      </c>
      <c r="D632" s="838"/>
      <c r="E632" s="838"/>
      <c r="F632" s="838"/>
      <c r="G632" s="838"/>
      <c r="H632" s="838"/>
      <c r="I632" s="838"/>
      <c r="J632" s="838"/>
      <c r="K632" s="838"/>
      <c r="L632" s="838"/>
      <c r="M632" s="838"/>
      <c r="N632" s="838"/>
      <c r="O632" s="838"/>
      <c r="P632" s="838"/>
      <c r="Q632" s="838"/>
      <c r="R632" s="838"/>
      <c r="S632" s="838"/>
      <c r="T632" s="838"/>
      <c r="U632" s="838"/>
      <c r="V632" s="838"/>
      <c r="W632" s="838"/>
      <c r="X632" s="838"/>
      <c r="Y632" s="838"/>
      <c r="Z632" s="838"/>
      <c r="AA632" s="838"/>
      <c r="AB632" s="838"/>
      <c r="AC632" s="838"/>
      <c r="AD632" s="838"/>
      <c r="AE632" s="838"/>
      <c r="AF632" s="838"/>
      <c r="AG632" s="838"/>
      <c r="AH632" s="838"/>
      <c r="AI632" s="838"/>
      <c r="AK632" s="838"/>
      <c r="AL632" s="838"/>
      <c r="AM632" s="838"/>
      <c r="AN632" s="838"/>
      <c r="AO632" s="838"/>
      <c r="AP632" s="838"/>
      <c r="AQ632" s="838"/>
      <c r="AR632" s="838"/>
      <c r="AS632" s="838"/>
      <c r="AT632" s="838"/>
      <c r="AU632" s="838"/>
      <c r="AV632" s="838"/>
      <c r="AW632" s="838"/>
      <c r="AY632" s="838"/>
      <c r="AZ632" s="838"/>
      <c r="BA632" s="838"/>
      <c r="BB632" s="838"/>
      <c r="BC632" s="838"/>
      <c r="BD632" s="838"/>
      <c r="BE632" s="838"/>
      <c r="BF632" s="838"/>
    </row>
    <row r="633" spans="2:58" s="100" customFormat="1">
      <c r="B633" s="100" t="str">
        <f>+B598</f>
        <v>Additions to property plant and equipment</v>
      </c>
      <c r="D633" s="11">
        <f t="shared" ref="D633:O633" si="644">+D635-D634</f>
        <v>1356</v>
      </c>
      <c r="E633" s="11">
        <f t="shared" si="644"/>
        <v>2024</v>
      </c>
      <c r="F633" s="11">
        <f t="shared" si="644"/>
        <v>2308</v>
      </c>
      <c r="G633" s="11">
        <f t="shared" si="644"/>
        <v>2655</v>
      </c>
      <c r="H633" s="857">
        <f t="shared" si="644"/>
        <v>2163</v>
      </c>
      <c r="I633" s="857">
        <f t="shared" si="644"/>
        <v>1988</v>
      </c>
      <c r="J633" s="857">
        <f t="shared" si="644"/>
        <v>1695</v>
      </c>
      <c r="K633" s="857">
        <f t="shared" si="644"/>
        <v>2283</v>
      </c>
      <c r="L633" s="857">
        <f t="shared" si="644"/>
        <v>2132</v>
      </c>
      <c r="M633" s="857">
        <f t="shared" si="644"/>
        <v>2586</v>
      </c>
      <c r="N633" s="857">
        <f t="shared" si="644"/>
        <v>2934</v>
      </c>
      <c r="O633" s="857">
        <f t="shared" si="644"/>
        <v>3980</v>
      </c>
      <c r="P633" s="857">
        <f>+P635-P634</f>
        <v>3602</v>
      </c>
      <c r="Q633" s="857">
        <f t="shared" ref="Q633:BE633" si="645">+Q635-Q634</f>
        <v>3707</v>
      </c>
      <c r="R633" s="857">
        <f t="shared" si="645"/>
        <v>2565</v>
      </c>
      <c r="S633" s="857">
        <f t="shared" si="645"/>
        <v>4051</v>
      </c>
      <c r="T633" s="857">
        <f t="shared" si="645"/>
        <v>3385</v>
      </c>
      <c r="U633" s="857">
        <f t="shared" si="645"/>
        <v>3545</v>
      </c>
      <c r="V633" s="857">
        <f t="shared" si="645"/>
        <v>3767</v>
      </c>
      <c r="W633" s="857">
        <f t="shared" si="645"/>
        <v>4744</v>
      </c>
      <c r="X633" s="857">
        <f t="shared" si="645"/>
        <v>4907</v>
      </c>
      <c r="Y633" s="857">
        <f t="shared" si="645"/>
        <v>4174</v>
      </c>
      <c r="Z633" s="857">
        <f t="shared" si="645"/>
        <v>5089</v>
      </c>
      <c r="AA633" s="857">
        <f t="shared" si="645"/>
        <v>6452</v>
      </c>
      <c r="AB633" s="857">
        <f t="shared" si="645"/>
        <v>5810</v>
      </c>
      <c r="AC633" s="857">
        <f t="shared" si="645"/>
        <v>5865</v>
      </c>
      <c r="AD633" s="857">
        <f t="shared" si="645"/>
        <v>5340</v>
      </c>
      <c r="AE633" s="857">
        <f t="shared" si="645"/>
        <v>6871</v>
      </c>
      <c r="AF633" s="857">
        <f t="shared" si="645"/>
        <v>6283</v>
      </c>
      <c r="AG633" s="11"/>
      <c r="AH633" s="11"/>
      <c r="AI633" s="11"/>
      <c r="AK633" s="11">
        <f t="shared" si="645"/>
        <v>812</v>
      </c>
      <c r="AL633" s="11">
        <f t="shared" si="645"/>
        <v>1578</v>
      </c>
      <c r="AM633" s="11">
        <f t="shared" si="645"/>
        <v>2264</v>
      </c>
      <c r="AN633" s="11">
        <f t="shared" si="645"/>
        <v>3182</v>
      </c>
      <c r="AO633" s="11">
        <f t="shared" si="645"/>
        <v>3119</v>
      </c>
      <c r="AP633" s="11">
        <f t="shared" si="645"/>
        <v>1977</v>
      </c>
      <c r="AQ633" s="11">
        <f t="shared" si="645"/>
        <v>2355</v>
      </c>
      <c r="AR633" s="11">
        <f t="shared" si="645"/>
        <v>2305</v>
      </c>
      <c r="AS633" s="11">
        <f t="shared" si="645"/>
        <v>4257</v>
      </c>
      <c r="AT633" s="11">
        <f t="shared" si="645"/>
        <v>5485</v>
      </c>
      <c r="AU633" s="11">
        <f t="shared" si="645"/>
        <v>5944</v>
      </c>
      <c r="AV633" s="11">
        <f t="shared" si="645"/>
        <v>8343</v>
      </c>
      <c r="AW633" s="11">
        <f t="shared" si="645"/>
        <v>8129</v>
      </c>
      <c r="AY633" s="11">
        <f t="shared" si="645"/>
        <v>8343</v>
      </c>
      <c r="AZ633" s="11">
        <f t="shared" si="645"/>
        <v>8129</v>
      </c>
      <c r="BA633" s="11">
        <f t="shared" si="645"/>
        <v>11632</v>
      </c>
      <c r="BB633" s="11">
        <f t="shared" si="645"/>
        <v>13925</v>
      </c>
      <c r="BC633" s="11">
        <f t="shared" si="645"/>
        <v>15441</v>
      </c>
      <c r="BD633" s="11">
        <f t="shared" si="645"/>
        <v>20622</v>
      </c>
      <c r="BE633" s="11">
        <f t="shared" si="645"/>
        <v>23886</v>
      </c>
      <c r="BF633" s="11"/>
    </row>
    <row r="634" spans="2:58" s="953" customFormat="1" ht="11.45">
      <c r="B634" t="s">
        <v>570</v>
      </c>
      <c r="D634" s="34">
        <f t="shared" ref="D634:AF634" si="646">+D635-(-D598)</f>
        <v>144</v>
      </c>
      <c r="E634" s="34">
        <f t="shared" si="646"/>
        <v>-24</v>
      </c>
      <c r="F634" s="34">
        <f t="shared" si="646"/>
        <v>-8</v>
      </c>
      <c r="G634" s="34">
        <f t="shared" si="646"/>
        <v>445</v>
      </c>
      <c r="H634" s="34">
        <f t="shared" si="646"/>
        <v>137</v>
      </c>
      <c r="I634" s="34">
        <f t="shared" si="646"/>
        <v>512</v>
      </c>
      <c r="J634" s="34">
        <f t="shared" si="646"/>
        <v>405</v>
      </c>
      <c r="K634" s="34">
        <f t="shared" si="646"/>
        <v>1017</v>
      </c>
      <c r="L634" s="34">
        <f t="shared" si="646"/>
        <v>568</v>
      </c>
      <c r="M634" s="34">
        <f t="shared" si="646"/>
        <v>714</v>
      </c>
      <c r="N634" s="34">
        <f t="shared" si="646"/>
        <v>566</v>
      </c>
      <c r="O634" s="34">
        <f t="shared" si="646"/>
        <v>120</v>
      </c>
      <c r="P634" s="34">
        <f t="shared" si="646"/>
        <v>698</v>
      </c>
      <c r="Q634" s="34">
        <f t="shared" si="646"/>
        <v>193</v>
      </c>
      <c r="R634" s="34">
        <f t="shared" si="646"/>
        <v>835</v>
      </c>
      <c r="S634" s="34">
        <f t="shared" si="646"/>
        <v>1249</v>
      </c>
      <c r="T634" s="34">
        <f t="shared" si="646"/>
        <v>1415</v>
      </c>
      <c r="U634" s="34">
        <f t="shared" si="646"/>
        <v>955</v>
      </c>
      <c r="V634" s="34">
        <f t="shared" si="646"/>
        <v>133</v>
      </c>
      <c r="W634" s="34">
        <f t="shared" si="646"/>
        <v>1056</v>
      </c>
      <c r="X634" s="34">
        <f t="shared" si="646"/>
        <v>593</v>
      </c>
      <c r="Y634" s="34">
        <f t="shared" si="646"/>
        <v>1226</v>
      </c>
      <c r="Z634" s="34">
        <f t="shared" si="646"/>
        <v>911</v>
      </c>
      <c r="AA634" s="34">
        <f t="shared" si="646"/>
        <v>848</v>
      </c>
      <c r="AB634" s="34">
        <f t="shared" si="646"/>
        <v>1590</v>
      </c>
      <c r="AC634" s="34">
        <f t="shared" si="646"/>
        <v>935</v>
      </c>
      <c r="AD634" s="34">
        <f t="shared" si="646"/>
        <v>960</v>
      </c>
      <c r="AE634" s="34">
        <f t="shared" si="646"/>
        <v>1829</v>
      </c>
      <c r="AF634" s="34">
        <f t="shared" si="646"/>
        <v>317</v>
      </c>
      <c r="AG634" s="34"/>
      <c r="AH634" s="34"/>
      <c r="AI634" s="34"/>
      <c r="AK634" s="34">
        <f t="shared" ref="AK634:AW634" si="647">+AK635-(-AK598)</f>
        <v>0</v>
      </c>
      <c r="AL634" s="34">
        <f t="shared" si="647"/>
        <v>0</v>
      </c>
      <c r="AM634" s="34">
        <f t="shared" si="647"/>
        <v>0</v>
      </c>
      <c r="AN634" s="34">
        <f t="shared" si="647"/>
        <v>0</v>
      </c>
      <c r="AO634" s="34">
        <f t="shared" si="647"/>
        <v>0</v>
      </c>
      <c r="AP634" s="34">
        <f t="shared" si="647"/>
        <v>0</v>
      </c>
      <c r="AQ634" s="34">
        <f t="shared" si="647"/>
        <v>0</v>
      </c>
      <c r="AR634" s="34">
        <f t="shared" si="647"/>
        <v>0</v>
      </c>
      <c r="AS634" s="34">
        <f t="shared" si="647"/>
        <v>0</v>
      </c>
      <c r="AT634" s="34">
        <f t="shared" si="647"/>
        <v>0</v>
      </c>
      <c r="AU634" s="34">
        <f t="shared" si="647"/>
        <v>0</v>
      </c>
      <c r="AV634" s="34">
        <f t="shared" si="647"/>
        <v>557</v>
      </c>
      <c r="AW634" s="34">
        <f t="shared" si="647"/>
        <v>2071</v>
      </c>
      <c r="AY634" s="34">
        <f t="shared" ref="AY634:BE634" si="648">+AY635-(-AY598)</f>
        <v>557</v>
      </c>
      <c r="AZ634" s="34">
        <f t="shared" si="648"/>
        <v>2071</v>
      </c>
      <c r="BA634" s="34">
        <f t="shared" si="648"/>
        <v>1968</v>
      </c>
      <c r="BB634" s="34">
        <f t="shared" si="648"/>
        <v>2975</v>
      </c>
      <c r="BC634" s="34">
        <f t="shared" si="648"/>
        <v>3559</v>
      </c>
      <c r="BD634" s="34">
        <f t="shared" si="648"/>
        <v>3578</v>
      </c>
      <c r="BE634" s="34">
        <f t="shared" si="648"/>
        <v>5314</v>
      </c>
      <c r="BF634" s="30"/>
    </row>
    <row r="635" spans="2:58" s="1" customFormat="1" ht="10.5">
      <c r="B635" s="837" t="s">
        <v>571</v>
      </c>
      <c r="C635"/>
      <c r="D635" s="29">
        <v>1500</v>
      </c>
      <c r="E635" s="29">
        <v>2000</v>
      </c>
      <c r="F635" s="29">
        <v>2300</v>
      </c>
      <c r="G635" s="29">
        <v>3100</v>
      </c>
      <c r="H635" s="29">
        <v>2300</v>
      </c>
      <c r="I635" s="29">
        <v>2500</v>
      </c>
      <c r="J635" s="29">
        <v>2100</v>
      </c>
      <c r="K635" s="11">
        <v>3300</v>
      </c>
      <c r="L635" s="29">
        <v>2700</v>
      </c>
      <c r="M635" s="29">
        <v>3300</v>
      </c>
      <c r="N635" s="29">
        <v>3500</v>
      </c>
      <c r="O635" s="11">
        <v>4100</v>
      </c>
      <c r="P635" s="29">
        <v>4300</v>
      </c>
      <c r="Q635" s="29">
        <v>3900</v>
      </c>
      <c r="R635" s="29">
        <v>3400</v>
      </c>
      <c r="S635" s="11">
        <v>5300</v>
      </c>
      <c r="T635" s="29">
        <v>4800</v>
      </c>
      <c r="U635" s="29">
        <v>4500</v>
      </c>
      <c r="V635" s="29">
        <v>3900</v>
      </c>
      <c r="W635" s="29">
        <v>5800</v>
      </c>
      <c r="X635" s="29">
        <v>5500</v>
      </c>
      <c r="Y635" s="29">
        <v>5400</v>
      </c>
      <c r="Z635" s="29">
        <v>6000</v>
      </c>
      <c r="AA635" s="29">
        <v>7300</v>
      </c>
      <c r="AB635" s="29">
        <v>7400</v>
      </c>
      <c r="AC635" s="29">
        <v>6800</v>
      </c>
      <c r="AD635" s="29">
        <v>6300</v>
      </c>
      <c r="AE635" s="29">
        <v>8700</v>
      </c>
      <c r="AF635" s="29">
        <v>6600</v>
      </c>
      <c r="AG635" s="11"/>
      <c r="AH635" s="11"/>
      <c r="AI635" s="11"/>
      <c r="AJ635"/>
      <c r="AK635" s="8">
        <f t="shared" ref="AK635:AU635" si="649">-AK598</f>
        <v>812</v>
      </c>
      <c r="AL635" s="8">
        <f t="shared" si="649"/>
        <v>1578</v>
      </c>
      <c r="AM635" s="8">
        <f t="shared" si="649"/>
        <v>2264</v>
      </c>
      <c r="AN635" s="8">
        <f t="shared" si="649"/>
        <v>3182</v>
      </c>
      <c r="AO635" s="8">
        <f t="shared" si="649"/>
        <v>3119</v>
      </c>
      <c r="AP635" s="8">
        <f t="shared" si="649"/>
        <v>1977</v>
      </c>
      <c r="AQ635" s="8">
        <f t="shared" si="649"/>
        <v>2355</v>
      </c>
      <c r="AR635" s="8">
        <f t="shared" si="649"/>
        <v>2305</v>
      </c>
      <c r="AS635" s="8">
        <f t="shared" si="649"/>
        <v>4257</v>
      </c>
      <c r="AT635" s="8">
        <f t="shared" si="649"/>
        <v>5485</v>
      </c>
      <c r="AU635" s="8">
        <f t="shared" si="649"/>
        <v>5944</v>
      </c>
      <c r="AV635" s="8">
        <f>+SUM(D635:G635)</f>
        <v>8900</v>
      </c>
      <c r="AW635" s="8">
        <f>+SUM(H635:K635)</f>
        <v>10200</v>
      </c>
      <c r="AX635"/>
      <c r="AY635" s="8">
        <f>+AV635</f>
        <v>8900</v>
      </c>
      <c r="AZ635" s="8">
        <f>+SUM(H635:K635)</f>
        <v>10200</v>
      </c>
      <c r="BA635" s="29">
        <f>+SUM(L635:O635)</f>
        <v>13600</v>
      </c>
      <c r="BB635" s="29">
        <f>+SUM(P635:S635)</f>
        <v>16900</v>
      </c>
      <c r="BC635" s="8">
        <f>SUM(T635:W635)</f>
        <v>19000</v>
      </c>
      <c r="BD635" s="11">
        <f>SUM(X635:AA635)</f>
        <v>24200</v>
      </c>
      <c r="BE635" s="8">
        <f>SUM(AB635:AE635)</f>
        <v>29200</v>
      </c>
      <c r="BF635" s="838"/>
    </row>
    <row r="636" spans="2:58" s="1" customFormat="1" ht="10.5">
      <c r="B636" s="837"/>
      <c r="D636" s="838"/>
      <c r="E636" s="838"/>
      <c r="F636" s="838"/>
      <c r="G636" s="838"/>
      <c r="H636" s="838"/>
      <c r="I636" s="838"/>
      <c r="J636" s="838"/>
      <c r="K636" s="838"/>
      <c r="L636" s="838"/>
      <c r="M636" s="838"/>
      <c r="N636" s="838"/>
      <c r="O636" s="838"/>
      <c r="P636" s="838"/>
      <c r="Q636" s="838"/>
      <c r="R636" s="838"/>
      <c r="S636" s="838"/>
      <c r="T636" s="838"/>
      <c r="U636" s="838"/>
      <c r="V636" s="838"/>
      <c r="W636" s="838"/>
      <c r="X636" s="838"/>
      <c r="Y636" s="838"/>
      <c r="Z636" s="838"/>
      <c r="AA636" s="838"/>
      <c r="AB636" s="838"/>
      <c r="AC636" s="838"/>
      <c r="AD636" s="838"/>
      <c r="AE636" s="838"/>
      <c r="AF636" s="838"/>
      <c r="AG636" s="838"/>
      <c r="AH636" s="838"/>
      <c r="AI636" s="838"/>
      <c r="AK636" s="838"/>
      <c r="AL636" s="838"/>
      <c r="AM636" s="838"/>
      <c r="AN636" s="838"/>
      <c r="AO636" s="838"/>
      <c r="AP636" s="838"/>
      <c r="AQ636" s="838"/>
      <c r="AR636" s="838"/>
      <c r="AS636" s="838"/>
      <c r="AT636" s="838"/>
      <c r="AU636" s="838"/>
      <c r="AV636" s="838"/>
      <c r="AW636" s="838"/>
      <c r="AY636" s="838"/>
      <c r="AZ636" s="838"/>
      <c r="BA636" s="838"/>
      <c r="BB636" s="838"/>
      <c r="BC636" s="838"/>
      <c r="BD636" s="838"/>
      <c r="BE636" s="838"/>
      <c r="BF636" s="838"/>
    </row>
    <row r="637" spans="2:58" s="1" customFormat="1" ht="10.5">
      <c r="B637" s="847" t="s">
        <v>118</v>
      </c>
      <c r="D637" s="838"/>
      <c r="E637" s="838"/>
      <c r="F637" s="838"/>
      <c r="G637" s="838"/>
      <c r="H637" s="838"/>
      <c r="I637" s="838"/>
      <c r="J637" s="838"/>
      <c r="K637" s="838"/>
      <c r="L637" s="838"/>
      <c r="M637" s="838"/>
      <c r="N637" s="838"/>
      <c r="O637" s="838"/>
      <c r="P637" s="838"/>
      <c r="Q637" s="838"/>
      <c r="R637" s="838"/>
      <c r="S637" s="838"/>
      <c r="T637" s="838"/>
      <c r="U637" s="838"/>
      <c r="V637" s="838"/>
      <c r="W637" s="838"/>
      <c r="X637" s="838"/>
      <c r="Y637" s="838"/>
      <c r="Z637" s="838"/>
      <c r="AA637" s="838"/>
      <c r="AB637" s="838"/>
      <c r="AC637" s="838"/>
      <c r="AD637" s="838"/>
      <c r="AE637" s="838"/>
      <c r="AF637" s="838"/>
      <c r="AG637" s="838"/>
      <c r="AH637" s="838"/>
      <c r="AI637" s="838"/>
      <c r="AK637" s="838"/>
      <c r="AL637" s="838"/>
      <c r="AM637" s="838"/>
      <c r="AN637" s="838"/>
      <c r="AO637" s="838"/>
      <c r="AP637" s="838"/>
      <c r="AQ637" s="838"/>
      <c r="AR637" s="838"/>
      <c r="AS637" s="838"/>
      <c r="AT637" s="838"/>
      <c r="AU637" s="838"/>
      <c r="AV637" s="838"/>
      <c r="AW637" s="838"/>
      <c r="AX637" s="838"/>
      <c r="AY637" s="849"/>
      <c r="AZ637" s="849"/>
      <c r="BA637" s="849"/>
      <c r="BB637" s="849"/>
      <c r="BC637" s="849"/>
      <c r="BD637" s="849"/>
      <c r="BE637" s="849"/>
      <c r="BF637" s="849"/>
    </row>
    <row r="638" spans="2:58" s="3" customFormat="1">
      <c r="B638" s="884" t="str">
        <f>+B633</f>
        <v>Additions to property plant and equipment</v>
      </c>
      <c r="D638" s="228">
        <f t="shared" ref="D638:I638" si="650">+D633/D$12</f>
        <v>6.4849354375896701E-2</v>
      </c>
      <c r="E638" s="228">
        <f t="shared" si="650"/>
        <v>8.0148893200807828E-2</v>
      </c>
      <c r="F638" s="228">
        <f t="shared" si="650"/>
        <v>0.10726402379513873</v>
      </c>
      <c r="G638" s="228">
        <f t="shared" si="650"/>
        <v>0.11310385958933288</v>
      </c>
      <c r="H638" s="228">
        <f t="shared" si="650"/>
        <v>9.8641006931776729E-2</v>
      </c>
      <c r="I638" s="228">
        <f t="shared" si="650"/>
        <v>7.6976690157205915E-2</v>
      </c>
      <c r="J638" s="228">
        <f t="shared" ref="J638:O638" si="651">+J633/J$12</f>
        <v>7.3022574530415302E-2</v>
      </c>
      <c r="K638" s="228">
        <f t="shared" si="651"/>
        <v>8.9162272993555947E-2</v>
      </c>
      <c r="L638" s="228">
        <f t="shared" si="651"/>
        <v>8.688564675197652E-2</v>
      </c>
      <c r="M638" s="228">
        <f t="shared" si="651"/>
        <v>8.942527145722387E-2</v>
      </c>
      <c r="N638" s="228">
        <f t="shared" si="651"/>
        <v>0.10940005220179723</v>
      </c>
      <c r="O638" s="228">
        <f t="shared" si="651"/>
        <v>0.13229183978726941</v>
      </c>
      <c r="P638" s="228">
        <f>+P633/P$12</f>
        <v>0.1238481639389355</v>
      </c>
      <c r="Q638" s="228">
        <f t="shared" ref="Q638:AF638" si="652">+Q633/Q$12</f>
        <v>0.11416340734809523</v>
      </c>
      <c r="R638" s="228">
        <f t="shared" si="652"/>
        <v>8.3903045369794899E-2</v>
      </c>
      <c r="S638" s="228">
        <f t="shared" si="652"/>
        <v>0.12014710680072367</v>
      </c>
      <c r="T638" s="228">
        <f t="shared" si="652"/>
        <v>0.10240508243836031</v>
      </c>
      <c r="U638" s="228">
        <f t="shared" si="652"/>
        <v>9.605484203110605E-2</v>
      </c>
      <c r="V638" s="228">
        <f t="shared" si="652"/>
        <v>0.10756403300876617</v>
      </c>
      <c r="W638" s="228">
        <f t="shared" si="652"/>
        <v>0.12473378381931481</v>
      </c>
      <c r="X638" s="228">
        <f t="shared" si="652"/>
        <v>0.13207191688647252</v>
      </c>
      <c r="Y638" s="228">
        <f t="shared" si="652"/>
        <v>9.6898504967963595E-2</v>
      </c>
      <c r="Z638" s="228">
        <f t="shared" si="652"/>
        <v>0.12202081235313864</v>
      </c>
      <c r="AA638" s="228">
        <f t="shared" si="652"/>
        <v>0.13979892529034496</v>
      </c>
      <c r="AB638" s="228">
        <f t="shared" si="652"/>
        <v>0.12820795727872542</v>
      </c>
      <c r="AC638" s="228">
        <f t="shared" si="652"/>
        <v>0.11338153417878132</v>
      </c>
      <c r="AD638" s="228">
        <f t="shared" si="652"/>
        <v>0.10818476499189628</v>
      </c>
      <c r="AE638" s="228">
        <f t="shared" si="652"/>
        <v>0.13247855008194351</v>
      </c>
      <c r="AF638" s="228">
        <f t="shared" si="652"/>
        <v>0.12535413590838354</v>
      </c>
      <c r="AG638" s="228"/>
      <c r="AH638" s="228"/>
      <c r="AI638" s="228"/>
      <c r="AJ638" s="228"/>
      <c r="AK638" s="228">
        <f t="shared" ref="AK638:BD638" si="653">+AK633/AK$12</f>
        <v>2.0408163265306121E-2</v>
      </c>
      <c r="AL638" s="228">
        <f t="shared" si="653"/>
        <v>3.5635246827153244E-2</v>
      </c>
      <c r="AM638" s="228">
        <f t="shared" si="653"/>
        <v>4.4286217284143815E-2</v>
      </c>
      <c r="AN638" s="228">
        <f t="shared" si="653"/>
        <v>5.2664680569347901E-2</v>
      </c>
      <c r="AO638" s="228">
        <f t="shared" si="653"/>
        <v>5.3373718705614595E-2</v>
      </c>
      <c r="AP638" s="228">
        <f t="shared" si="653"/>
        <v>3.1640099865565582E-2</v>
      </c>
      <c r="AQ638" s="228">
        <f t="shared" si="653"/>
        <v>3.3670274366269674E-2</v>
      </c>
      <c r="AR638" s="228">
        <f t="shared" si="653"/>
        <v>3.1265683707933749E-2</v>
      </c>
      <c r="AS638" s="228">
        <f t="shared" si="653"/>
        <v>5.4682783336972858E-2</v>
      </c>
      <c r="AT638" s="228">
        <f t="shared" si="653"/>
        <v>6.3167229048863904E-2</v>
      </c>
      <c r="AU638" s="228">
        <f t="shared" si="653"/>
        <v>6.3517845693524255E-2</v>
      </c>
      <c r="AV638" s="228">
        <f t="shared" si="653"/>
        <v>9.7784810126582272E-2</v>
      </c>
      <c r="AW638" s="228">
        <f t="shared" si="653"/>
        <v>9.0372429127292944E-2</v>
      </c>
      <c r="AX638" s="228"/>
      <c r="AY638" s="228">
        <f t="shared" si="653"/>
        <v>9.1526427803497373E-2</v>
      </c>
      <c r="AZ638" s="228">
        <f t="shared" si="653"/>
        <v>8.4176409066904143E-2</v>
      </c>
      <c r="BA638" s="228">
        <f t="shared" si="653"/>
        <v>0.10540050743022834</v>
      </c>
      <c r="BB638" s="228">
        <f t="shared" si="653"/>
        <v>0.11065375110256431</v>
      </c>
      <c r="BC638" s="228">
        <f t="shared" si="653"/>
        <v>0.10796769569625564</v>
      </c>
      <c r="BD638" s="228">
        <f t="shared" si="653"/>
        <v>0.12268573604302509</v>
      </c>
      <c r="BE638" s="228">
        <f t="shared" ref="BE638:BE640" si="654">+BE633/BE$12</f>
        <v>0.12047208352246935</v>
      </c>
      <c r="BF638" s="94"/>
    </row>
    <row r="639" spans="2:58" s="942" customFormat="1" ht="11.45">
      <c r="B639" s="884" t="str">
        <f t="shared" ref="B639:B640" si="655">+B634</f>
        <v>Assets acquired under capital leases</v>
      </c>
      <c r="D639" s="840">
        <f t="shared" ref="D639:I639" si="656">+D634/D$12</f>
        <v>6.8866571018651361E-3</v>
      </c>
      <c r="E639" s="840">
        <f t="shared" si="656"/>
        <v>-9.5038213281590307E-4</v>
      </c>
      <c r="F639" s="840">
        <f t="shared" si="656"/>
        <v>-3.7179904261746524E-4</v>
      </c>
      <c r="G639" s="840">
        <f t="shared" si="656"/>
        <v>1.8957144074294965E-2</v>
      </c>
      <c r="H639" s="840">
        <f t="shared" si="656"/>
        <v>6.2477198102882164E-3</v>
      </c>
      <c r="I639" s="840">
        <f t="shared" si="656"/>
        <v>1.9824982575698907E-2</v>
      </c>
      <c r="J639" s="840">
        <f t="shared" ref="J639:O639" si="657">+J634/J$12</f>
        <v>1.7447871790453214E-2</v>
      </c>
      <c r="K639" s="840">
        <f t="shared" si="657"/>
        <v>3.9718804920913883E-2</v>
      </c>
      <c r="L639" s="840">
        <f t="shared" si="657"/>
        <v>2.314777080446654E-2</v>
      </c>
      <c r="M639" s="840">
        <f t="shared" si="657"/>
        <v>2.4690504184245107E-2</v>
      </c>
      <c r="N639" s="840">
        <f t="shared" si="657"/>
        <v>2.1104440881464633E-2</v>
      </c>
      <c r="O639" s="840">
        <f t="shared" si="657"/>
        <v>3.9886986870533488E-3</v>
      </c>
      <c r="P639" s="840">
        <f t="shared" ref="P639:AF640" si="658">+P634/P$12</f>
        <v>2.3999449869343971E-2</v>
      </c>
      <c r="Q639" s="840">
        <f t="shared" si="658"/>
        <v>5.9437652058760126E-3</v>
      </c>
      <c r="R639" s="840">
        <f t="shared" si="658"/>
        <v>2.7313467011219783E-2</v>
      </c>
      <c r="S639" s="840">
        <f t="shared" si="658"/>
        <v>3.7043627843521075E-2</v>
      </c>
      <c r="T639" s="840">
        <f t="shared" si="658"/>
        <v>4.2807442141884734E-2</v>
      </c>
      <c r="U639" s="840">
        <f t="shared" si="658"/>
        <v>2.5876551238281038E-2</v>
      </c>
      <c r="V639" s="840">
        <f t="shared" si="658"/>
        <v>3.797721367179692E-3</v>
      </c>
      <c r="W639" s="840">
        <f t="shared" si="658"/>
        <v>2.7765361659611389E-2</v>
      </c>
      <c r="X639" s="840">
        <f t="shared" si="658"/>
        <v>1.5960596436453679E-2</v>
      </c>
      <c r="Y639" s="840">
        <f t="shared" si="658"/>
        <v>2.846132417123224E-2</v>
      </c>
      <c r="Z639" s="840">
        <f t="shared" si="658"/>
        <v>2.1843379849422147E-2</v>
      </c>
      <c r="AA639" s="840">
        <f t="shared" si="658"/>
        <v>1.8374068296065176E-2</v>
      </c>
      <c r="AB639" s="840">
        <f t="shared" si="658"/>
        <v>3.5086170752697661E-2</v>
      </c>
      <c r="AC639" s="840">
        <f t="shared" si="658"/>
        <v>1.8075317042994123E-2</v>
      </c>
      <c r="AD639" s="840">
        <f t="shared" si="658"/>
        <v>1.9448946515397084E-2</v>
      </c>
      <c r="AE639" s="840">
        <f t="shared" si="658"/>
        <v>3.5264629326135159E-2</v>
      </c>
      <c r="AF639" s="840">
        <f t="shared" si="658"/>
        <v>6.3245680539483658E-3</v>
      </c>
      <c r="AG639" s="840"/>
      <c r="AH639" s="840"/>
      <c r="AI639" s="840"/>
      <c r="AJ639" s="840"/>
      <c r="AK639" s="840">
        <f t="shared" ref="AK639:BD639" si="659">+AK634/AK$12</f>
        <v>0</v>
      </c>
      <c r="AL639" s="840">
        <f t="shared" si="659"/>
        <v>0</v>
      </c>
      <c r="AM639" s="840">
        <f t="shared" si="659"/>
        <v>0</v>
      </c>
      <c r="AN639" s="840">
        <f t="shared" si="659"/>
        <v>0</v>
      </c>
      <c r="AO639" s="840">
        <f t="shared" si="659"/>
        <v>0</v>
      </c>
      <c r="AP639" s="840">
        <f t="shared" si="659"/>
        <v>0</v>
      </c>
      <c r="AQ639" s="840">
        <f t="shared" si="659"/>
        <v>0</v>
      </c>
      <c r="AR639" s="840">
        <f t="shared" si="659"/>
        <v>0</v>
      </c>
      <c r="AS639" s="840">
        <f t="shared" si="659"/>
        <v>0</v>
      </c>
      <c r="AT639" s="840">
        <f t="shared" si="659"/>
        <v>0</v>
      </c>
      <c r="AU639" s="840">
        <f t="shared" si="659"/>
        <v>0</v>
      </c>
      <c r="AV639" s="840">
        <f t="shared" si="659"/>
        <v>6.5283638068448198E-3</v>
      </c>
      <c r="AW639" s="840">
        <f t="shared" si="659"/>
        <v>2.3023902167871039E-2</v>
      </c>
      <c r="AX639" s="840"/>
      <c r="AY639" s="840">
        <f t="shared" si="659"/>
        <v>6.1105382100620931E-3</v>
      </c>
      <c r="AZ639" s="840">
        <f t="shared" si="659"/>
        <v>2.1445361443911733E-2</v>
      </c>
      <c r="BA639" s="840">
        <f t="shared" si="659"/>
        <v>1.7832548024646611E-2</v>
      </c>
      <c r="BB639" s="840">
        <f t="shared" si="659"/>
        <v>2.3640568009344977E-2</v>
      </c>
      <c r="BC639" s="840">
        <f t="shared" si="659"/>
        <v>2.4885501520819496E-2</v>
      </c>
      <c r="BD639" s="840">
        <f t="shared" si="659"/>
        <v>2.1286468992432535E-2</v>
      </c>
      <c r="BE639" s="840">
        <f t="shared" si="654"/>
        <v>2.6801835880365159E-2</v>
      </c>
      <c r="BF639" s="943"/>
    </row>
    <row r="640" spans="2:58" s="7" customFormat="1">
      <c r="B640" s="841" t="str">
        <f t="shared" si="655"/>
        <v>Total Capex</v>
      </c>
      <c r="D640" s="842">
        <f t="shared" ref="D640:I640" si="660">+D635/D$12</f>
        <v>7.1736011477761832E-2</v>
      </c>
      <c r="E640" s="842">
        <f t="shared" si="660"/>
        <v>7.9198511067991917E-2</v>
      </c>
      <c r="F640" s="842">
        <f t="shared" si="660"/>
        <v>0.10689222475252126</v>
      </c>
      <c r="G640" s="842">
        <f t="shared" si="660"/>
        <v>0.13206100366362786</v>
      </c>
      <c r="H640" s="842">
        <f t="shared" si="660"/>
        <v>0.10488872674206494</v>
      </c>
      <c r="I640" s="842">
        <f t="shared" si="660"/>
        <v>9.6801672732904825E-2</v>
      </c>
      <c r="J640" s="842">
        <f t="shared" ref="J640:O640" si="661">+J635/J$12</f>
        <v>9.0470446320868522E-2</v>
      </c>
      <c r="K640" s="842">
        <f t="shared" si="661"/>
        <v>0.12888107791446984</v>
      </c>
      <c r="L640" s="842">
        <f t="shared" si="661"/>
        <v>0.11003341755644307</v>
      </c>
      <c r="M640" s="842">
        <f t="shared" si="661"/>
        <v>0.11411577564146898</v>
      </c>
      <c r="N640" s="842">
        <f t="shared" si="661"/>
        <v>0.13050449308326187</v>
      </c>
      <c r="O640" s="842">
        <f t="shared" si="661"/>
        <v>0.13628053847432275</v>
      </c>
      <c r="P640" s="842">
        <f t="shared" si="658"/>
        <v>0.14784761380827946</v>
      </c>
      <c r="Q640" s="842">
        <f t="shared" si="658"/>
        <v>0.12010717255397124</v>
      </c>
      <c r="R640" s="842">
        <f t="shared" si="658"/>
        <v>0.11121651238101468</v>
      </c>
      <c r="S640" s="842">
        <f t="shared" si="658"/>
        <v>0.15719073464424474</v>
      </c>
      <c r="T640" s="842">
        <f t="shared" si="658"/>
        <v>0.14521252458024506</v>
      </c>
      <c r="U640" s="842">
        <f t="shared" si="658"/>
        <v>0.12193139326938709</v>
      </c>
      <c r="V640" s="842">
        <f t="shared" si="658"/>
        <v>0.11136175437594587</v>
      </c>
      <c r="W640" s="842">
        <f t="shared" si="658"/>
        <v>0.15249914547892621</v>
      </c>
      <c r="X640" s="842">
        <f t="shared" si="658"/>
        <v>0.14803251332292619</v>
      </c>
      <c r="Y640" s="842">
        <f t="shared" si="658"/>
        <v>0.12535982913919583</v>
      </c>
      <c r="Z640" s="842">
        <f t="shared" si="658"/>
        <v>0.14386419220256078</v>
      </c>
      <c r="AA640" s="842">
        <f t="shared" si="658"/>
        <v>0.15817299358641013</v>
      </c>
      <c r="AB640" s="842">
        <f t="shared" si="658"/>
        <v>0.1632941280314231</v>
      </c>
      <c r="AC640" s="842">
        <f t="shared" si="658"/>
        <v>0.13145685122177544</v>
      </c>
      <c r="AD640" s="842">
        <f t="shared" si="658"/>
        <v>0.12763371150729336</v>
      </c>
      <c r="AE640" s="842">
        <f t="shared" si="658"/>
        <v>0.16774317940807867</v>
      </c>
      <c r="AF640" s="842">
        <f t="shared" si="658"/>
        <v>0.13167870396233192</v>
      </c>
      <c r="AG640" s="842"/>
      <c r="AH640" s="842"/>
      <c r="AI640" s="842"/>
      <c r="AJ640" s="842"/>
      <c r="AK640" s="842">
        <f t="shared" ref="AK640:BD640" si="662">+AK635/AK$12</f>
        <v>2.0408163265306121E-2</v>
      </c>
      <c r="AL640" s="842">
        <f t="shared" si="662"/>
        <v>3.5635246827153244E-2</v>
      </c>
      <c r="AM640" s="842">
        <f t="shared" si="662"/>
        <v>4.4286217284143815E-2</v>
      </c>
      <c r="AN640" s="842">
        <f t="shared" si="662"/>
        <v>5.2664680569347901E-2</v>
      </c>
      <c r="AO640" s="842">
        <f t="shared" si="662"/>
        <v>5.3373718705614595E-2</v>
      </c>
      <c r="AP640" s="842">
        <f t="shared" si="662"/>
        <v>3.1640099865565582E-2</v>
      </c>
      <c r="AQ640" s="842">
        <f t="shared" si="662"/>
        <v>3.3670274366269674E-2</v>
      </c>
      <c r="AR640" s="842">
        <f t="shared" si="662"/>
        <v>3.1265683707933749E-2</v>
      </c>
      <c r="AS640" s="842">
        <f t="shared" si="662"/>
        <v>5.4682783336972858E-2</v>
      </c>
      <c r="AT640" s="842">
        <f t="shared" si="662"/>
        <v>6.3167229048863904E-2</v>
      </c>
      <c r="AU640" s="842">
        <f t="shared" si="662"/>
        <v>6.3517845693524255E-2</v>
      </c>
      <c r="AV640" s="842">
        <f t="shared" si="662"/>
        <v>0.10431317393342709</v>
      </c>
      <c r="AW640" s="842">
        <f t="shared" si="662"/>
        <v>0.11339633129516398</v>
      </c>
      <c r="AX640" s="842"/>
      <c r="AY640" s="842">
        <f t="shared" si="662"/>
        <v>9.7636966013559465E-2</v>
      </c>
      <c r="AZ640" s="842">
        <f t="shared" si="662"/>
        <v>0.10562177051081588</v>
      </c>
      <c r="BA640" s="842">
        <f t="shared" si="662"/>
        <v>0.12323305545487495</v>
      </c>
      <c r="BB640" s="842">
        <f t="shared" si="662"/>
        <v>0.13429431911190928</v>
      </c>
      <c r="BC640" s="842">
        <f t="shared" si="662"/>
        <v>0.13285319721707514</v>
      </c>
      <c r="BD640" s="842">
        <f t="shared" si="662"/>
        <v>0.14397220503545763</v>
      </c>
      <c r="BE640" s="842">
        <f t="shared" si="654"/>
        <v>0.14727391940283452</v>
      </c>
      <c r="BF640" s="842"/>
    </row>
    <row r="641" spans="2:58" s="1" customFormat="1" ht="10.5">
      <c r="B641" s="837"/>
      <c r="D641" s="838"/>
      <c r="E641" s="838"/>
      <c r="F641" s="838"/>
      <c r="G641" s="838"/>
      <c r="H641" s="838"/>
      <c r="I641" s="838"/>
      <c r="J641" s="838"/>
      <c r="K641" s="838"/>
      <c r="L641" s="838"/>
      <c r="M641" s="838"/>
      <c r="N641" s="838"/>
      <c r="O641" s="838"/>
      <c r="P641" s="838"/>
      <c r="Q641" s="838"/>
      <c r="R641" s="838"/>
      <c r="S641" s="838"/>
      <c r="T641" s="838"/>
      <c r="U641" s="838"/>
      <c r="V641" s="838"/>
      <c r="W641" s="838"/>
      <c r="X641" s="838"/>
      <c r="Y641" s="838"/>
      <c r="Z641" s="838"/>
      <c r="AA641" s="838"/>
      <c r="AB641" s="838"/>
      <c r="AC641" s="838"/>
      <c r="AD641" s="838"/>
      <c r="AE641" s="838"/>
      <c r="AF641" s="838"/>
      <c r="AG641" s="838"/>
      <c r="AH641" s="838"/>
      <c r="AI641" s="838"/>
      <c r="AK641" s="838"/>
      <c r="AL641" s="838"/>
      <c r="AM641" s="838"/>
      <c r="AN641" s="838"/>
      <c r="AO641" s="838"/>
      <c r="AP641" s="838"/>
      <c r="AQ641" s="838"/>
      <c r="AR641" s="838"/>
      <c r="AS641" s="838"/>
      <c r="AT641" s="838"/>
      <c r="AU641" s="838"/>
      <c r="AV641" s="838"/>
      <c r="AW641" s="838"/>
      <c r="AY641" s="838"/>
      <c r="AZ641" s="838"/>
      <c r="BA641" s="838"/>
      <c r="BB641" s="838"/>
      <c r="BC641" s="838"/>
      <c r="BD641" s="838"/>
      <c r="BE641" s="838"/>
      <c r="BF641" s="838"/>
    </row>
    <row r="642" spans="2:58" ht="10.5">
      <c r="B642" s="5" t="s">
        <v>572</v>
      </c>
      <c r="C642" s="4"/>
      <c r="BD642" s="100"/>
    </row>
    <row r="643" spans="2:58" ht="10.5">
      <c r="B643" s="1"/>
      <c r="BD643" s="100"/>
    </row>
    <row r="644" spans="2:58" ht="10.5">
      <c r="B644" s="45" t="s">
        <v>573</v>
      </c>
      <c r="D644" s="876" t="s">
        <v>574</v>
      </c>
      <c r="E644" s="877"/>
      <c r="F644" s="877"/>
      <c r="G644" s="877"/>
      <c r="H644" s="877"/>
      <c r="I644" s="877"/>
      <c r="J644" s="877"/>
      <c r="BD644" s="100"/>
    </row>
    <row r="645" spans="2:58">
      <c r="B645" t="s">
        <v>575</v>
      </c>
      <c r="D645" s="29">
        <v>5431</v>
      </c>
      <c r="E645" s="29">
        <v>7185</v>
      </c>
      <c r="F645" s="29">
        <v>7170</v>
      </c>
      <c r="G645" s="29">
        <v>6510</v>
      </c>
      <c r="H645" s="29">
        <v>13928</v>
      </c>
      <c r="I645" s="29">
        <v>8468</v>
      </c>
      <c r="J645" s="29">
        <v>6713</v>
      </c>
      <c r="K645" s="29">
        <v>7663</v>
      </c>
      <c r="L645" s="29">
        <v>6884</v>
      </c>
      <c r="M645" s="29">
        <v>12859</v>
      </c>
      <c r="N645" s="29">
        <v>9221</v>
      </c>
      <c r="O645" s="29">
        <v>11946</v>
      </c>
      <c r="P645" s="29">
        <v>15137</v>
      </c>
      <c r="Q645" s="29">
        <v>6638</v>
      </c>
      <c r="R645" s="29">
        <v>11212</v>
      </c>
      <c r="S645" s="29">
        <f>+BB645</f>
        <v>11356</v>
      </c>
      <c r="T645" s="29">
        <v>13117</v>
      </c>
      <c r="U645" s="29">
        <v>8864</v>
      </c>
      <c r="V645" s="29">
        <v>11710</v>
      </c>
      <c r="W645" s="29">
        <v>13576</v>
      </c>
      <c r="X645" s="29">
        <v>17205</v>
      </c>
      <c r="Y645" s="29">
        <v>14432</v>
      </c>
      <c r="Z645" s="29">
        <v>13702</v>
      </c>
      <c r="AA645" s="29">
        <v>14224</v>
      </c>
      <c r="AB645" s="29">
        <v>19165</v>
      </c>
      <c r="AC645" s="29">
        <v>20604</v>
      </c>
      <c r="AD645" s="29">
        <v>12498</v>
      </c>
      <c r="AE645" s="29">
        <v>13931</v>
      </c>
      <c r="AF645" s="29">
        <v>22884</v>
      </c>
      <c r="AG645" s="952"/>
      <c r="AH645" s="29"/>
      <c r="AI645" s="952"/>
      <c r="AK645" s="29">
        <v>4851</v>
      </c>
      <c r="AL645" s="29">
        <v>6714</v>
      </c>
      <c r="AM645" s="29">
        <v>6111</v>
      </c>
      <c r="AN645" s="29">
        <v>10339</v>
      </c>
      <c r="AO645" s="29">
        <v>6076</v>
      </c>
      <c r="AP645" s="29">
        <v>5505</v>
      </c>
      <c r="AQ645" s="29">
        <v>9610</v>
      </c>
      <c r="AR645" s="29">
        <v>6938</v>
      </c>
      <c r="AS645" s="29">
        <v>3804</v>
      </c>
      <c r="AT645" s="29">
        <v>8669</v>
      </c>
      <c r="AU645" s="29">
        <v>5595</v>
      </c>
      <c r="AV645" s="29">
        <v>6510</v>
      </c>
      <c r="AW645" s="29">
        <v>7663</v>
      </c>
      <c r="AY645" s="1016"/>
      <c r="AZ645" s="29">
        <v>7663</v>
      </c>
      <c r="BA645" s="29">
        <v>11946</v>
      </c>
      <c r="BB645" s="29">
        <v>11356</v>
      </c>
      <c r="BC645" s="11">
        <f t="shared" ref="BC645:BC650" si="663">+W645</f>
        <v>13576</v>
      </c>
      <c r="BD645" s="11">
        <f>+AA645</f>
        <v>14224</v>
      </c>
      <c r="BE645" s="11">
        <f>+AE645</f>
        <v>13931</v>
      </c>
      <c r="BF645" s="29"/>
    </row>
    <row r="646" spans="2:58">
      <c r="B646" t="s">
        <v>576</v>
      </c>
      <c r="D646" s="29">
        <v>93924</v>
      </c>
      <c r="E646" s="29">
        <v>95455</v>
      </c>
      <c r="F646" s="29">
        <v>98382</v>
      </c>
      <c r="G646" s="29">
        <v>106730</v>
      </c>
      <c r="H646" s="29">
        <v>123004</v>
      </c>
      <c r="I646" s="29">
        <v>114313</v>
      </c>
      <c r="J646" s="29">
        <v>119305</v>
      </c>
      <c r="K646" s="29">
        <v>125318</v>
      </c>
      <c r="L646" s="29">
        <v>131587</v>
      </c>
      <c r="M646" s="29">
        <v>129921</v>
      </c>
      <c r="N646" s="29">
        <v>123049</v>
      </c>
      <c r="O646" s="29">
        <v>121822</v>
      </c>
      <c r="P646" s="29">
        <v>120743</v>
      </c>
      <c r="Q646" s="29">
        <v>121024</v>
      </c>
      <c r="R646" s="29">
        <v>120406</v>
      </c>
      <c r="S646" s="29">
        <f t="shared" ref="S646:S650" si="664">+BB646</f>
        <v>122463</v>
      </c>
      <c r="T646" s="29">
        <v>123519</v>
      </c>
      <c r="U646" s="29">
        <v>125389</v>
      </c>
      <c r="V646" s="29">
        <v>125916</v>
      </c>
      <c r="W646" s="29">
        <v>122951</v>
      </c>
      <c r="X646" s="29">
        <v>120772</v>
      </c>
      <c r="Y646" s="29">
        <v>117536</v>
      </c>
      <c r="Z646" s="29">
        <v>111705</v>
      </c>
      <c r="AA646" s="29">
        <v>116110</v>
      </c>
      <c r="AB646" s="29">
        <v>111450</v>
      </c>
      <c r="AC646" s="29">
        <v>104765</v>
      </c>
      <c r="AD646" s="29">
        <v>92195</v>
      </c>
      <c r="AE646" s="29">
        <v>90826</v>
      </c>
      <c r="AF646" s="29">
        <v>84378</v>
      </c>
      <c r="AG646" s="29"/>
      <c r="AH646" s="29"/>
      <c r="AI646" s="29"/>
      <c r="AK646" s="29">
        <v>32900</v>
      </c>
      <c r="AL646" s="29">
        <v>27447</v>
      </c>
      <c r="AM646" s="29">
        <v>17300</v>
      </c>
      <c r="AN646" s="29">
        <v>13323</v>
      </c>
      <c r="AO646" s="29">
        <v>25371</v>
      </c>
      <c r="AP646" s="29">
        <v>31283</v>
      </c>
      <c r="AQ646" s="29">
        <v>43162</v>
      </c>
      <c r="AR646" s="29">
        <v>56102</v>
      </c>
      <c r="AS646" s="29">
        <v>73218</v>
      </c>
      <c r="AT646" s="29">
        <v>77040</v>
      </c>
      <c r="AU646" s="29">
        <v>90931</v>
      </c>
      <c r="AV646" s="29">
        <v>106730</v>
      </c>
      <c r="AW646" s="29">
        <v>125318</v>
      </c>
      <c r="AY646" s="1018"/>
      <c r="AZ646" s="29">
        <v>125318</v>
      </c>
      <c r="BA646" s="29">
        <v>121822</v>
      </c>
      <c r="BB646" s="29">
        <v>122463</v>
      </c>
      <c r="BC646" s="11">
        <f t="shared" si="663"/>
        <v>122951</v>
      </c>
      <c r="BD646" s="11">
        <f t="shared" ref="BD646:BD659" si="665">+AA646</f>
        <v>116110</v>
      </c>
      <c r="BE646" s="11">
        <f t="shared" ref="BE646:BE659" si="666">+AE646</f>
        <v>90826</v>
      </c>
      <c r="BF646" s="29"/>
    </row>
    <row r="647" spans="2:58">
      <c r="B647" t="s">
        <v>577</v>
      </c>
      <c r="D647" s="29">
        <v>11444</v>
      </c>
      <c r="E647" s="29">
        <v>14507</v>
      </c>
      <c r="F647" s="29">
        <v>12247</v>
      </c>
      <c r="G647" s="29">
        <v>18277</v>
      </c>
      <c r="H647" s="29">
        <v>11129</v>
      </c>
      <c r="I647" s="29">
        <v>14343</v>
      </c>
      <c r="J647" s="29">
        <v>12882</v>
      </c>
      <c r="K647" s="29">
        <v>22431</v>
      </c>
      <c r="L647" s="29">
        <v>14561</v>
      </c>
      <c r="M647" s="29">
        <v>18428</v>
      </c>
      <c r="N647" s="29">
        <v>17208</v>
      </c>
      <c r="O647" s="29">
        <v>26481</v>
      </c>
      <c r="P647" s="29">
        <v>17390</v>
      </c>
      <c r="Q647" s="29">
        <v>19680</v>
      </c>
      <c r="R647" s="29">
        <v>19269</v>
      </c>
      <c r="S647" s="29">
        <f t="shared" si="664"/>
        <v>29524</v>
      </c>
      <c r="T647" s="29">
        <v>19087</v>
      </c>
      <c r="U647" s="29">
        <v>23525</v>
      </c>
      <c r="V647" s="29">
        <v>22699</v>
      </c>
      <c r="W647" s="29">
        <v>32011</v>
      </c>
      <c r="X647" s="29">
        <v>22851</v>
      </c>
      <c r="Y647" s="29">
        <v>27312</v>
      </c>
      <c r="Z647" s="29">
        <v>26322</v>
      </c>
      <c r="AA647" s="29">
        <v>38043</v>
      </c>
      <c r="AB647" s="29">
        <v>27349</v>
      </c>
      <c r="AC647" s="29">
        <v>33520</v>
      </c>
      <c r="AD647" s="29">
        <v>32613</v>
      </c>
      <c r="AE647" s="29">
        <v>44261</v>
      </c>
      <c r="AF647" s="29">
        <v>31279</v>
      </c>
      <c r="AG647" s="29"/>
      <c r="AH647" s="29"/>
      <c r="AI647" s="29"/>
      <c r="AK647" s="29">
        <v>7180</v>
      </c>
      <c r="AL647" s="29">
        <v>9316</v>
      </c>
      <c r="AM647" s="29">
        <v>11338</v>
      </c>
      <c r="AN647" s="29">
        <v>13589</v>
      </c>
      <c r="AO647" s="29">
        <v>11192</v>
      </c>
      <c r="AP647" s="29">
        <v>13014</v>
      </c>
      <c r="AQ647" s="29">
        <v>14987</v>
      </c>
      <c r="AR647" s="29">
        <v>15780</v>
      </c>
      <c r="AS647" s="29">
        <v>17486</v>
      </c>
      <c r="AT647" s="29">
        <v>19544</v>
      </c>
      <c r="AU647" s="29">
        <v>17908</v>
      </c>
      <c r="AV647" s="29">
        <v>18277</v>
      </c>
      <c r="AW647" s="29">
        <v>19792</v>
      </c>
      <c r="AY647" s="1018"/>
      <c r="AZ647" s="29">
        <v>22431</v>
      </c>
      <c r="BA647" s="29">
        <v>26481</v>
      </c>
      <c r="BB647" s="29">
        <v>29524</v>
      </c>
      <c r="BC647" s="11">
        <f t="shared" si="663"/>
        <v>32011</v>
      </c>
      <c r="BD647" s="11">
        <f t="shared" si="665"/>
        <v>38043</v>
      </c>
      <c r="BE647" s="11">
        <f t="shared" si="666"/>
        <v>44261</v>
      </c>
      <c r="BF647" s="29"/>
    </row>
    <row r="648" spans="2:58">
      <c r="B648" t="s">
        <v>538</v>
      </c>
      <c r="D648" s="29">
        <v>3816</v>
      </c>
      <c r="E648" s="29">
        <v>2702</v>
      </c>
      <c r="F648" s="29">
        <v>2450</v>
      </c>
      <c r="G648" s="29">
        <v>2251</v>
      </c>
      <c r="H648" s="29">
        <v>3122</v>
      </c>
      <c r="I648" s="29">
        <v>1961</v>
      </c>
      <c r="J648" s="29">
        <v>1979</v>
      </c>
      <c r="K648" s="29">
        <v>2181</v>
      </c>
      <c r="L648" s="29">
        <v>3211</v>
      </c>
      <c r="M648" s="29">
        <v>2003</v>
      </c>
      <c r="N648" s="29">
        <v>2084</v>
      </c>
      <c r="O648" s="29">
        <v>2662</v>
      </c>
      <c r="P648" s="29">
        <v>3614</v>
      </c>
      <c r="Q648" s="29">
        <v>1961</v>
      </c>
      <c r="R648" s="29">
        <v>1951</v>
      </c>
      <c r="S648" s="29">
        <f t="shared" si="664"/>
        <v>2063</v>
      </c>
      <c r="T648" s="29">
        <v>2622</v>
      </c>
      <c r="U648" s="29">
        <v>1823</v>
      </c>
      <c r="V648" s="29">
        <v>1644</v>
      </c>
      <c r="W648" s="29">
        <v>1895</v>
      </c>
      <c r="X648" s="29">
        <v>2705</v>
      </c>
      <c r="Y648" s="29">
        <v>1924</v>
      </c>
      <c r="Z648" s="29">
        <v>2245</v>
      </c>
      <c r="AA648" s="29">
        <v>2636</v>
      </c>
      <c r="AB648" s="29">
        <v>3411</v>
      </c>
      <c r="AC648" s="29">
        <v>3019</v>
      </c>
      <c r="AD648" s="29">
        <v>3296</v>
      </c>
      <c r="AE648" s="29">
        <v>3742</v>
      </c>
      <c r="AF648" s="29">
        <v>4268</v>
      </c>
      <c r="AG648" s="29"/>
      <c r="AH648" s="29"/>
      <c r="AI648" s="29"/>
      <c r="AK648" s="29">
        <v>491</v>
      </c>
      <c r="AL648" s="29">
        <v>1478</v>
      </c>
      <c r="AM648" s="29">
        <v>1127</v>
      </c>
      <c r="AN648" s="29">
        <v>985</v>
      </c>
      <c r="AO648" s="29">
        <v>717</v>
      </c>
      <c r="AP648" s="29">
        <v>740</v>
      </c>
      <c r="AQ648" s="29">
        <v>1372</v>
      </c>
      <c r="AR648" s="29">
        <v>1137</v>
      </c>
      <c r="AS648" s="29">
        <v>1938</v>
      </c>
      <c r="AT648" s="29">
        <v>2660</v>
      </c>
      <c r="AU648" s="29">
        <v>2902</v>
      </c>
      <c r="AV648" s="29">
        <v>2251</v>
      </c>
      <c r="AW648" s="29">
        <v>2181</v>
      </c>
      <c r="AY648" s="1018"/>
      <c r="AZ648" s="29">
        <v>2181</v>
      </c>
      <c r="BA648" s="29">
        <v>2662</v>
      </c>
      <c r="BB648" s="29">
        <v>2063</v>
      </c>
      <c r="BC648" s="11">
        <f t="shared" si="663"/>
        <v>1895</v>
      </c>
      <c r="BD648" s="11">
        <f t="shared" si="665"/>
        <v>2636</v>
      </c>
      <c r="BE648" s="11">
        <f t="shared" si="666"/>
        <v>3742</v>
      </c>
      <c r="BF648" s="29"/>
    </row>
    <row r="649" spans="2:58">
      <c r="B649" t="s">
        <v>534</v>
      </c>
      <c r="D649" s="29">
        <v>1447</v>
      </c>
      <c r="E649" s="29">
        <v>1618</v>
      </c>
      <c r="F649" s="29">
        <v>1574</v>
      </c>
      <c r="G649" s="29">
        <v>0</v>
      </c>
      <c r="H649" s="29">
        <v>0</v>
      </c>
      <c r="I649" s="29">
        <v>0</v>
      </c>
      <c r="J649" s="29">
        <v>0</v>
      </c>
      <c r="K649" s="29">
        <v>0</v>
      </c>
      <c r="L649" s="29">
        <v>0</v>
      </c>
      <c r="M649" s="29">
        <v>0</v>
      </c>
      <c r="N649" s="29">
        <v>0</v>
      </c>
      <c r="O649" s="29">
        <v>0</v>
      </c>
      <c r="P649" s="29">
        <v>0</v>
      </c>
      <c r="Q649" s="29">
        <v>0</v>
      </c>
      <c r="R649" s="29">
        <v>0</v>
      </c>
      <c r="S649" s="29">
        <f t="shared" si="664"/>
        <v>0</v>
      </c>
      <c r="T649" s="29">
        <v>0</v>
      </c>
      <c r="U649" s="29">
        <v>0</v>
      </c>
      <c r="V649" s="29">
        <v>0</v>
      </c>
      <c r="W649" s="29">
        <v>0</v>
      </c>
      <c r="X649" s="29">
        <v>0</v>
      </c>
      <c r="Y649" s="29">
        <v>0</v>
      </c>
      <c r="Z649" s="29">
        <v>0</v>
      </c>
      <c r="AA649" s="29">
        <v>0</v>
      </c>
      <c r="AB649" s="29">
        <v>0</v>
      </c>
      <c r="AC649" s="29">
        <v>0</v>
      </c>
      <c r="AD649" s="29">
        <v>0</v>
      </c>
      <c r="AE649" s="29">
        <v>0</v>
      </c>
      <c r="AF649" s="29">
        <v>0</v>
      </c>
      <c r="AG649" s="29"/>
      <c r="AH649" s="29"/>
      <c r="AI649" s="29"/>
      <c r="AK649" s="29">
        <v>1701</v>
      </c>
      <c r="AL649" s="29">
        <v>1940</v>
      </c>
      <c r="AM649" s="29">
        <v>1899</v>
      </c>
      <c r="AN649" s="29">
        <v>2017</v>
      </c>
      <c r="AO649" s="29">
        <v>2213</v>
      </c>
      <c r="AP649" s="29">
        <v>2184</v>
      </c>
      <c r="AQ649" s="29">
        <v>2467</v>
      </c>
      <c r="AR649" s="29">
        <v>2035</v>
      </c>
      <c r="AS649" s="29">
        <v>1632</v>
      </c>
      <c r="AT649" s="29">
        <v>1941</v>
      </c>
      <c r="AU649" s="29">
        <v>0</v>
      </c>
      <c r="AV649" s="29">
        <v>0</v>
      </c>
      <c r="AW649" s="29">
        <v>0</v>
      </c>
      <c r="AY649" s="1018"/>
      <c r="AZ649" s="29">
        <v>0</v>
      </c>
      <c r="BA649" s="29">
        <v>0</v>
      </c>
      <c r="BB649" s="29">
        <v>0</v>
      </c>
      <c r="BC649" s="11">
        <f t="shared" si="663"/>
        <v>0</v>
      </c>
      <c r="BD649" s="11">
        <f t="shared" si="665"/>
        <v>0</v>
      </c>
      <c r="BE649" s="11">
        <f t="shared" si="666"/>
        <v>0</v>
      </c>
      <c r="BF649" s="29"/>
    </row>
    <row r="650" spans="2:58" s="852" customFormat="1" ht="11.45">
      <c r="B650" t="s">
        <v>544</v>
      </c>
      <c r="D650" s="939">
        <v>5594</v>
      </c>
      <c r="E650" s="939">
        <v>6345</v>
      </c>
      <c r="F650" s="939">
        <v>6598</v>
      </c>
      <c r="G650" s="939">
        <v>5892</v>
      </c>
      <c r="H650" s="939">
        <v>6726</v>
      </c>
      <c r="I650" s="939">
        <v>5864</v>
      </c>
      <c r="J650" s="939">
        <v>5434</v>
      </c>
      <c r="K650" s="939">
        <v>5103</v>
      </c>
      <c r="L650" s="939">
        <v>4788</v>
      </c>
      <c r="M650" s="939">
        <v>4422</v>
      </c>
      <c r="N650" s="939">
        <v>5097</v>
      </c>
      <c r="O650" s="939">
        <v>6751</v>
      </c>
      <c r="P650" s="939">
        <v>7311</v>
      </c>
      <c r="Q650" s="939">
        <v>7571</v>
      </c>
      <c r="R650" s="939">
        <v>7049</v>
      </c>
      <c r="S650" s="939">
        <f t="shared" si="664"/>
        <v>10146</v>
      </c>
      <c r="T650" s="939">
        <v>7551</v>
      </c>
      <c r="U650" s="939">
        <v>7473</v>
      </c>
      <c r="V650" s="939">
        <v>8536</v>
      </c>
      <c r="W650" s="939">
        <v>11482</v>
      </c>
      <c r="X650" s="939">
        <v>13544</v>
      </c>
      <c r="Y650" s="939">
        <v>12769</v>
      </c>
      <c r="Z650" s="30">
        <v>11640</v>
      </c>
      <c r="AA650" s="939">
        <v>13393</v>
      </c>
      <c r="AB650" s="939">
        <v>12951</v>
      </c>
      <c r="AC650" s="939">
        <v>12280</v>
      </c>
      <c r="AD650" s="939">
        <v>13320</v>
      </c>
      <c r="AE650" s="939">
        <v>16924</v>
      </c>
      <c r="AF650" s="939">
        <v>18003</v>
      </c>
      <c r="AG650" s="939"/>
      <c r="AH650" s="939"/>
      <c r="AI650" s="939"/>
      <c r="AK650" s="939">
        <v>1614</v>
      </c>
      <c r="AL650" s="939">
        <v>2115</v>
      </c>
      <c r="AM650" s="939">
        <v>2393</v>
      </c>
      <c r="AN650" s="939">
        <v>2989</v>
      </c>
      <c r="AO650" s="939">
        <v>3711</v>
      </c>
      <c r="AP650" s="939">
        <v>2950</v>
      </c>
      <c r="AQ650" s="939">
        <v>3320</v>
      </c>
      <c r="AR650" s="939">
        <v>3092</v>
      </c>
      <c r="AS650" s="939">
        <v>3388</v>
      </c>
      <c r="AT650" s="939">
        <v>4392</v>
      </c>
      <c r="AU650" s="939">
        <v>5461</v>
      </c>
      <c r="AV650" s="939">
        <v>5892</v>
      </c>
      <c r="AW650" s="939">
        <v>4897</v>
      </c>
      <c r="AY650" s="1019"/>
      <c r="AZ650" s="939">
        <v>5103</v>
      </c>
      <c r="BA650" s="939">
        <v>6751</v>
      </c>
      <c r="BB650" s="939">
        <v>10146</v>
      </c>
      <c r="BC650" s="940">
        <f t="shared" si="663"/>
        <v>11482</v>
      </c>
      <c r="BD650" s="940">
        <f t="shared" si="665"/>
        <v>13393</v>
      </c>
      <c r="BE650" s="940">
        <f t="shared" si="666"/>
        <v>16924</v>
      </c>
      <c r="BF650" s="939"/>
    </row>
    <row r="651" spans="2:58">
      <c r="B651" s="12" t="s">
        <v>578</v>
      </c>
      <c r="D651" s="8">
        <f>SUM(D645:D650)</f>
        <v>121656</v>
      </c>
      <c r="E651" s="8">
        <f t="shared" ref="E651:AF651" si="667">SUM(E645:E650)</f>
        <v>127812</v>
      </c>
      <c r="F651" s="8">
        <f t="shared" si="667"/>
        <v>128421</v>
      </c>
      <c r="G651" s="8">
        <f t="shared" si="667"/>
        <v>139660</v>
      </c>
      <c r="H651" s="8">
        <f t="shared" si="667"/>
        <v>157909</v>
      </c>
      <c r="I651" s="8">
        <f t="shared" si="667"/>
        <v>144949</v>
      </c>
      <c r="J651" s="8">
        <f t="shared" si="667"/>
        <v>146313</v>
      </c>
      <c r="K651" s="8">
        <f t="shared" si="667"/>
        <v>162696</v>
      </c>
      <c r="L651" s="8">
        <f t="shared" si="667"/>
        <v>161031</v>
      </c>
      <c r="M651" s="8">
        <f t="shared" si="667"/>
        <v>167633</v>
      </c>
      <c r="N651" s="8">
        <f t="shared" si="667"/>
        <v>156659</v>
      </c>
      <c r="O651" s="8">
        <f t="shared" si="667"/>
        <v>169662</v>
      </c>
      <c r="P651" s="8">
        <f t="shared" si="667"/>
        <v>164195</v>
      </c>
      <c r="Q651" s="8">
        <f t="shared" si="667"/>
        <v>156874</v>
      </c>
      <c r="R651" s="8">
        <f t="shared" si="667"/>
        <v>159887</v>
      </c>
      <c r="S651" s="8">
        <f t="shared" si="667"/>
        <v>175552</v>
      </c>
      <c r="T651" s="8">
        <f t="shared" si="667"/>
        <v>165896</v>
      </c>
      <c r="U651" s="8">
        <f t="shared" si="667"/>
        <v>167074</v>
      </c>
      <c r="V651" s="8">
        <f t="shared" si="667"/>
        <v>170505</v>
      </c>
      <c r="W651" s="8">
        <f t="shared" si="667"/>
        <v>181915</v>
      </c>
      <c r="X651" s="8">
        <f t="shared" si="667"/>
        <v>177077</v>
      </c>
      <c r="Y651" s="8">
        <f t="shared" si="667"/>
        <v>173973</v>
      </c>
      <c r="Z651" s="8">
        <f t="shared" si="667"/>
        <v>165614</v>
      </c>
      <c r="AA651" s="8">
        <f t="shared" si="667"/>
        <v>184406</v>
      </c>
      <c r="AB651" s="8">
        <f t="shared" si="667"/>
        <v>174326</v>
      </c>
      <c r="AC651" s="8">
        <f t="shared" si="667"/>
        <v>174188</v>
      </c>
      <c r="AD651" s="8">
        <f t="shared" si="667"/>
        <v>153922</v>
      </c>
      <c r="AE651" s="8">
        <f t="shared" si="667"/>
        <v>169684</v>
      </c>
      <c r="AF651" s="8">
        <f t="shared" si="667"/>
        <v>160812</v>
      </c>
      <c r="AG651" s="8"/>
      <c r="AH651" s="8"/>
      <c r="AI651" s="8"/>
      <c r="AK651" s="8">
        <f>SUM(AK645:AK650)</f>
        <v>48737</v>
      </c>
      <c r="AL651" s="8">
        <f t="shared" ref="AL651:AW651" si="668">SUM(AL645:AL650)</f>
        <v>49010</v>
      </c>
      <c r="AM651" s="8">
        <f t="shared" si="668"/>
        <v>40168</v>
      </c>
      <c r="AN651" s="8">
        <f t="shared" si="668"/>
        <v>43242</v>
      </c>
      <c r="AO651" s="8">
        <f t="shared" si="668"/>
        <v>49280</v>
      </c>
      <c r="AP651" s="8">
        <f t="shared" si="668"/>
        <v>55676</v>
      </c>
      <c r="AQ651" s="8">
        <f t="shared" si="668"/>
        <v>74918</v>
      </c>
      <c r="AR651" s="8">
        <f t="shared" si="668"/>
        <v>85084</v>
      </c>
      <c r="AS651" s="8">
        <f t="shared" si="668"/>
        <v>101466</v>
      </c>
      <c r="AT651" s="8">
        <f t="shared" si="668"/>
        <v>114246</v>
      </c>
      <c r="AU651" s="8">
        <f t="shared" si="668"/>
        <v>122797</v>
      </c>
      <c r="AV651" s="8">
        <f t="shared" si="668"/>
        <v>139660</v>
      </c>
      <c r="AW651" s="8">
        <f t="shared" si="668"/>
        <v>159851</v>
      </c>
      <c r="AY651" s="1016"/>
      <c r="AZ651" s="8">
        <f t="shared" ref="AZ651" si="669">SUM(AZ645:AZ650)</f>
        <v>162696</v>
      </c>
      <c r="BA651" s="8">
        <v>169662</v>
      </c>
      <c r="BB651" s="8">
        <f>+SUM(BB645:BB650)</f>
        <v>175552</v>
      </c>
      <c r="BC651" s="11">
        <f>+SUM(BC645:BC650)</f>
        <v>181915</v>
      </c>
      <c r="BD651" s="11">
        <f t="shared" si="665"/>
        <v>184406</v>
      </c>
      <c r="BE651" s="11">
        <f t="shared" si="666"/>
        <v>169684</v>
      </c>
      <c r="BF651" s="8"/>
    </row>
    <row r="652" spans="2:58">
      <c r="B652" t="s">
        <v>579</v>
      </c>
      <c r="D652" s="29">
        <v>0</v>
      </c>
      <c r="E652" s="29">
        <v>0</v>
      </c>
      <c r="F652" s="29">
        <v>0</v>
      </c>
      <c r="G652" s="29">
        <v>0</v>
      </c>
      <c r="H652" s="29">
        <v>0</v>
      </c>
      <c r="I652" s="29">
        <v>0</v>
      </c>
      <c r="J652" s="29">
        <v>0</v>
      </c>
      <c r="K652" s="29">
        <v>6555</v>
      </c>
      <c r="L652" s="29">
        <v>6844</v>
      </c>
      <c r="M652" s="29">
        <v>6749</v>
      </c>
      <c r="N652" s="29">
        <v>6859</v>
      </c>
      <c r="O652" s="29">
        <v>6686</v>
      </c>
      <c r="P652" s="29">
        <v>6734</v>
      </c>
      <c r="Q652" s="29">
        <v>6806</v>
      </c>
      <c r="R652" s="29">
        <v>7121</v>
      </c>
      <c r="S652" s="29">
        <f t="shared" ref="S652:S658" si="670">+BB652</f>
        <v>7379</v>
      </c>
      <c r="T652" s="29">
        <v>7890</v>
      </c>
      <c r="U652" s="29">
        <v>8439</v>
      </c>
      <c r="V652" s="29">
        <v>8448</v>
      </c>
      <c r="W652" s="29">
        <v>8753</v>
      </c>
      <c r="X652" s="29">
        <v>9047</v>
      </c>
      <c r="Y652" s="29">
        <v>10298</v>
      </c>
      <c r="Z652" s="29">
        <v>10673</v>
      </c>
      <c r="AA652" s="29">
        <v>59715</v>
      </c>
      <c r="AB652" s="29">
        <v>63772</v>
      </c>
      <c r="AC652" s="29">
        <v>67214</v>
      </c>
      <c r="AD652" s="29">
        <v>70298</v>
      </c>
      <c r="AE652" s="29">
        <v>74398</v>
      </c>
      <c r="AF652" s="29">
        <v>77037</v>
      </c>
      <c r="AG652" s="29"/>
      <c r="AH652" s="29"/>
      <c r="AI652" s="29"/>
      <c r="AK652" s="29">
        <v>0</v>
      </c>
      <c r="AL652" s="29">
        <v>0</v>
      </c>
      <c r="AM652" s="29">
        <v>0</v>
      </c>
      <c r="AN652" s="29">
        <v>0</v>
      </c>
      <c r="AO652" s="29">
        <v>0</v>
      </c>
      <c r="AP652" s="29">
        <v>0</v>
      </c>
      <c r="AQ652" s="29">
        <v>0</v>
      </c>
      <c r="AR652" s="29">
        <v>0</v>
      </c>
      <c r="AS652" s="29">
        <v>0</v>
      </c>
      <c r="AT652" s="29">
        <v>0</v>
      </c>
      <c r="AU652" s="29">
        <v>0</v>
      </c>
      <c r="AV652" s="29">
        <v>0</v>
      </c>
      <c r="AW652" s="29">
        <v>0</v>
      </c>
      <c r="AY652" s="1018"/>
      <c r="AZ652" s="29">
        <v>6555</v>
      </c>
      <c r="BA652" s="29">
        <v>6686</v>
      </c>
      <c r="BB652" s="29">
        <v>7379</v>
      </c>
      <c r="BC652" s="11">
        <f t="shared" ref="BC652:BC658" si="671">+W652</f>
        <v>8753</v>
      </c>
      <c r="BD652" s="11">
        <f t="shared" si="665"/>
        <v>59715</v>
      </c>
      <c r="BE652" s="11">
        <f t="shared" si="666"/>
        <v>74398</v>
      </c>
      <c r="BF652" s="29"/>
    </row>
    <row r="653" spans="2:58">
      <c r="B653" t="s">
        <v>580</v>
      </c>
      <c r="D653" s="29">
        <v>15046</v>
      </c>
      <c r="E653" s="29">
        <v>15789</v>
      </c>
      <c r="F653" s="29">
        <v>16831</v>
      </c>
      <c r="G653" s="29">
        <v>18356</v>
      </c>
      <c r="H653" s="29">
        <v>19224</v>
      </c>
      <c r="I653" s="29">
        <v>21379</v>
      </c>
      <c r="J653" s="29">
        <v>21962</v>
      </c>
      <c r="K653" s="29">
        <v>23734</v>
      </c>
      <c r="L653" s="29">
        <v>24809</v>
      </c>
      <c r="M653" s="29">
        <v>26304</v>
      </c>
      <c r="N653" s="29">
        <v>27929</v>
      </c>
      <c r="O653" s="29">
        <v>29460</v>
      </c>
      <c r="P653" s="29">
        <v>31430</v>
      </c>
      <c r="Q653" s="29">
        <v>32717</v>
      </c>
      <c r="R653" s="29">
        <v>33648</v>
      </c>
      <c r="S653" s="29">
        <f t="shared" si="670"/>
        <v>36477</v>
      </c>
      <c r="T653" s="29">
        <v>38409</v>
      </c>
      <c r="U653" s="29">
        <v>40522</v>
      </c>
      <c r="V653" s="29">
        <v>41221</v>
      </c>
      <c r="W653" s="29">
        <v>44151</v>
      </c>
      <c r="X653" s="29">
        <v>47927</v>
      </c>
      <c r="Y653" s="29">
        <v>51737</v>
      </c>
      <c r="Z653" s="29">
        <v>54945</v>
      </c>
      <c r="AA653" s="29">
        <v>11088</v>
      </c>
      <c r="AB653" s="29">
        <v>11575</v>
      </c>
      <c r="AC653" s="29">
        <v>12354</v>
      </c>
      <c r="AD653" s="29">
        <v>12916</v>
      </c>
      <c r="AE653" s="29">
        <v>13148</v>
      </c>
      <c r="AF653" s="29">
        <v>13347</v>
      </c>
      <c r="AG653" s="29"/>
      <c r="AH653" s="29"/>
      <c r="AI653" s="29"/>
      <c r="AK653" s="29">
        <v>2346</v>
      </c>
      <c r="AL653" s="29">
        <v>3044</v>
      </c>
      <c r="AM653" s="29">
        <v>4350</v>
      </c>
      <c r="AN653" s="29">
        <v>6242</v>
      </c>
      <c r="AO653" s="29">
        <v>7535</v>
      </c>
      <c r="AP653" s="29">
        <v>7630</v>
      </c>
      <c r="AQ653" s="29">
        <v>8162</v>
      </c>
      <c r="AR653" s="29">
        <v>8269</v>
      </c>
      <c r="AS653" s="29">
        <v>9991</v>
      </c>
      <c r="AT653" s="29">
        <v>13011</v>
      </c>
      <c r="AU653" s="29">
        <v>14731</v>
      </c>
      <c r="AV653" s="29">
        <v>18356</v>
      </c>
      <c r="AW653" s="29">
        <v>23734</v>
      </c>
      <c r="AY653" s="1018"/>
      <c r="AZ653" s="29">
        <v>23734</v>
      </c>
      <c r="BA653" s="29">
        <v>29460</v>
      </c>
      <c r="BB653" s="29">
        <v>36477</v>
      </c>
      <c r="BC653" s="11">
        <f t="shared" si="671"/>
        <v>44151</v>
      </c>
      <c r="BD653" s="11">
        <f t="shared" si="665"/>
        <v>11088</v>
      </c>
      <c r="BE653" s="11">
        <f t="shared" si="666"/>
        <v>13148</v>
      </c>
      <c r="BF653" s="29"/>
    </row>
    <row r="654" spans="2:58">
      <c r="B654" t="s">
        <v>581</v>
      </c>
      <c r="D654" s="29">
        <v>11438</v>
      </c>
      <c r="E654" s="29">
        <v>11514</v>
      </c>
      <c r="F654" s="29">
        <v>11315</v>
      </c>
      <c r="G654" s="29">
        <v>10431</v>
      </c>
      <c r="H654" s="29">
        <v>10486</v>
      </c>
      <c r="I654" s="29">
        <v>8912</v>
      </c>
      <c r="J654" s="29">
        <v>7381</v>
      </c>
      <c r="K654" s="29">
        <v>6023</v>
      </c>
      <c r="L654" s="29">
        <v>5343</v>
      </c>
      <c r="M654" s="29">
        <v>3961</v>
      </c>
      <c r="N654" s="29">
        <v>2818</v>
      </c>
      <c r="O654" s="29">
        <v>1862</v>
      </c>
      <c r="P654" s="29">
        <v>2034</v>
      </c>
      <c r="Q654" s="29">
        <v>2274</v>
      </c>
      <c r="R654" s="29">
        <v>2403</v>
      </c>
      <c r="S654" s="29">
        <f t="shared" si="670"/>
        <v>2649</v>
      </c>
      <c r="T654" s="29">
        <v>2684</v>
      </c>
      <c r="U654" s="29">
        <v>2755</v>
      </c>
      <c r="V654" s="29">
        <v>2660</v>
      </c>
      <c r="W654" s="29">
        <v>2965</v>
      </c>
      <c r="X654" s="29">
        <v>3103</v>
      </c>
      <c r="Y654" s="29">
        <v>3794</v>
      </c>
      <c r="Z654" s="29">
        <v>5395</v>
      </c>
      <c r="AA654" s="29">
        <v>5984</v>
      </c>
      <c r="AB654" s="29">
        <v>6393</v>
      </c>
      <c r="AC654" s="29">
        <v>6994</v>
      </c>
      <c r="AD654" s="29">
        <v>6907</v>
      </c>
      <c r="AE654" s="29">
        <v>6891</v>
      </c>
      <c r="AF654" s="29">
        <v>6839</v>
      </c>
      <c r="AG654" s="29"/>
      <c r="AH654" s="29"/>
      <c r="AI654" s="29"/>
      <c r="AK654" s="29">
        <v>11004</v>
      </c>
      <c r="AL654" s="29">
        <v>9232</v>
      </c>
      <c r="AM654" s="29">
        <v>10117</v>
      </c>
      <c r="AN654" s="29">
        <v>6588</v>
      </c>
      <c r="AO654" s="29">
        <v>4933</v>
      </c>
      <c r="AP654" s="29">
        <v>7754</v>
      </c>
      <c r="AQ654" s="29">
        <v>10865</v>
      </c>
      <c r="AR654" s="29">
        <v>9776</v>
      </c>
      <c r="AS654" s="29">
        <v>10844</v>
      </c>
      <c r="AT654" s="29">
        <v>14597</v>
      </c>
      <c r="AU654" s="29">
        <v>12053</v>
      </c>
      <c r="AV654" s="29">
        <v>10431</v>
      </c>
      <c r="AW654" s="29">
        <v>6023</v>
      </c>
      <c r="AY654" s="1018"/>
      <c r="AZ654" s="29">
        <v>6023</v>
      </c>
      <c r="BA654" s="29">
        <v>1862</v>
      </c>
      <c r="BB654" s="29">
        <v>2649</v>
      </c>
      <c r="BC654" s="11">
        <f t="shared" si="671"/>
        <v>2965</v>
      </c>
      <c r="BD654" s="11">
        <f t="shared" si="665"/>
        <v>5984</v>
      </c>
      <c r="BE654" s="11">
        <f t="shared" si="666"/>
        <v>6891</v>
      </c>
      <c r="BF654" s="29"/>
    </row>
    <row r="655" spans="2:58">
      <c r="B655" t="s">
        <v>534</v>
      </c>
      <c r="D655" s="29">
        <v>0</v>
      </c>
      <c r="E655" s="29">
        <v>0</v>
      </c>
      <c r="F655" s="29">
        <v>0</v>
      </c>
      <c r="G655" s="29">
        <v>0</v>
      </c>
      <c r="H655" s="29">
        <v>0</v>
      </c>
      <c r="I655" s="29">
        <v>0</v>
      </c>
      <c r="J655" s="29">
        <v>0</v>
      </c>
      <c r="K655" s="29">
        <v>0</v>
      </c>
      <c r="L655" s="29">
        <v>0</v>
      </c>
      <c r="M655" s="29">
        <v>0</v>
      </c>
      <c r="N655" s="29">
        <v>0</v>
      </c>
      <c r="O655" s="29">
        <v>0</v>
      </c>
      <c r="P655" s="29">
        <v>0</v>
      </c>
      <c r="Q655" s="29">
        <v>0</v>
      </c>
      <c r="R655" s="29">
        <v>0</v>
      </c>
      <c r="S655" s="29">
        <f t="shared" si="670"/>
        <v>0</v>
      </c>
      <c r="T655" s="29">
        <v>0</v>
      </c>
      <c r="U655" s="29">
        <v>0</v>
      </c>
      <c r="V655" s="29">
        <v>0</v>
      </c>
      <c r="W655" s="29">
        <v>0</v>
      </c>
      <c r="X655" s="29">
        <v>0</v>
      </c>
      <c r="Y655" s="29">
        <v>0</v>
      </c>
      <c r="Z655" s="29">
        <v>0</v>
      </c>
      <c r="AA655" s="29">
        <v>0</v>
      </c>
      <c r="AB655" s="29">
        <v>0</v>
      </c>
      <c r="AC655" s="29">
        <v>0</v>
      </c>
      <c r="AD655" s="29">
        <v>0</v>
      </c>
      <c r="AE655" s="29">
        <v>0</v>
      </c>
      <c r="AF655" s="29">
        <v>0</v>
      </c>
      <c r="AG655" s="29"/>
      <c r="AK655" s="29">
        <v>3621</v>
      </c>
      <c r="AL655" s="29">
        <v>2611</v>
      </c>
      <c r="AM655" s="29">
        <v>1389</v>
      </c>
      <c r="AN655" s="29">
        <v>949</v>
      </c>
      <c r="AO655" s="29">
        <v>279</v>
      </c>
      <c r="AP655" s="29">
        <v>0</v>
      </c>
      <c r="AQ655" s="29">
        <v>0</v>
      </c>
      <c r="AR655" s="29">
        <v>0</v>
      </c>
      <c r="AS655" s="29">
        <v>0</v>
      </c>
      <c r="AT655" s="29">
        <v>0</v>
      </c>
      <c r="AU655" s="29">
        <v>0</v>
      </c>
      <c r="AV655" s="29">
        <v>0</v>
      </c>
      <c r="AW655" s="29">
        <v>0</v>
      </c>
      <c r="AY655" s="1018"/>
      <c r="AZ655" s="29">
        <v>0</v>
      </c>
      <c r="BA655" s="29">
        <v>0</v>
      </c>
      <c r="BB655" s="29">
        <v>0</v>
      </c>
      <c r="BC655" s="11">
        <f t="shared" si="671"/>
        <v>0</v>
      </c>
      <c r="BD655" s="11">
        <f t="shared" si="665"/>
        <v>0</v>
      </c>
      <c r="BE655" s="11">
        <f t="shared" si="666"/>
        <v>0</v>
      </c>
      <c r="BF655" s="29"/>
    </row>
    <row r="656" spans="2:58">
      <c r="B656" t="s">
        <v>179</v>
      </c>
      <c r="D656" s="29">
        <v>17142</v>
      </c>
      <c r="E656" s="29">
        <v>17436</v>
      </c>
      <c r="F656" s="29">
        <v>17948</v>
      </c>
      <c r="G656" s="29">
        <v>17872</v>
      </c>
      <c r="H656" s="29">
        <v>17907</v>
      </c>
      <c r="I656" s="29">
        <v>34524</v>
      </c>
      <c r="J656" s="29">
        <v>34668</v>
      </c>
      <c r="K656" s="29">
        <v>35122</v>
      </c>
      <c r="L656" s="29">
        <v>35389</v>
      </c>
      <c r="M656" s="29">
        <v>35355</v>
      </c>
      <c r="N656" s="29">
        <v>35582</v>
      </c>
      <c r="O656" s="29">
        <v>35683</v>
      </c>
      <c r="P656" s="29">
        <v>35855</v>
      </c>
      <c r="Q656" s="29">
        <v>41577</v>
      </c>
      <c r="R656" s="29">
        <v>41861</v>
      </c>
      <c r="S656" s="29">
        <f t="shared" si="670"/>
        <v>42026</v>
      </c>
      <c r="T656" s="29">
        <v>42113</v>
      </c>
      <c r="U656" s="29">
        <v>42248</v>
      </c>
      <c r="V656" s="29">
        <v>42064</v>
      </c>
      <c r="W656" s="29">
        <v>43351</v>
      </c>
      <c r="X656" s="29">
        <v>43890</v>
      </c>
      <c r="Y656" s="29">
        <v>44219</v>
      </c>
      <c r="Z656" s="29">
        <v>49698</v>
      </c>
      <c r="AA656" s="29">
        <v>49711</v>
      </c>
      <c r="AB656" s="29">
        <v>50455</v>
      </c>
      <c r="AC656" s="29">
        <v>50921</v>
      </c>
      <c r="AD656" s="29">
        <v>67371</v>
      </c>
      <c r="AE656" s="29">
        <v>67524</v>
      </c>
      <c r="AF656" s="29">
        <v>67459</v>
      </c>
      <c r="AG656" s="29"/>
      <c r="AH656" s="29"/>
      <c r="AI656" s="29"/>
      <c r="AK656" s="29">
        <v>3309</v>
      </c>
      <c r="AL656" s="29">
        <v>3866</v>
      </c>
      <c r="AM656" s="29">
        <v>4760</v>
      </c>
      <c r="AN656" s="29">
        <v>12108</v>
      </c>
      <c r="AO656" s="29">
        <v>12503</v>
      </c>
      <c r="AP656" s="29">
        <v>12394</v>
      </c>
      <c r="AQ656" s="29">
        <v>12581</v>
      </c>
      <c r="AR656" s="29">
        <v>13452</v>
      </c>
      <c r="AS656" s="29">
        <v>14655</v>
      </c>
      <c r="AT656" s="29">
        <v>20127</v>
      </c>
      <c r="AU656" s="29">
        <v>16939</v>
      </c>
      <c r="AV656" s="29">
        <v>17872</v>
      </c>
      <c r="AW656" s="29">
        <v>35122</v>
      </c>
      <c r="AY656" s="1018"/>
      <c r="AZ656" s="29">
        <v>35122</v>
      </c>
      <c r="BA656" s="29">
        <v>35683</v>
      </c>
      <c r="BB656" s="29">
        <v>42026</v>
      </c>
      <c r="BC656" s="11">
        <f t="shared" si="671"/>
        <v>43351</v>
      </c>
      <c r="BD656" s="11">
        <f t="shared" si="665"/>
        <v>49711</v>
      </c>
      <c r="BE656" s="11">
        <f t="shared" si="666"/>
        <v>67524</v>
      </c>
      <c r="BF656" s="29"/>
    </row>
    <row r="657" spans="2:58">
      <c r="B657" t="s">
        <v>582</v>
      </c>
      <c r="D657" s="29">
        <v>4745</v>
      </c>
      <c r="E657" s="29">
        <v>4619</v>
      </c>
      <c r="F657" s="29">
        <v>4459</v>
      </c>
      <c r="G657" s="29">
        <v>3733</v>
      </c>
      <c r="H657" s="29">
        <v>3522</v>
      </c>
      <c r="I657" s="29">
        <v>11001</v>
      </c>
      <c r="J657" s="29">
        <v>10547</v>
      </c>
      <c r="K657" s="29">
        <v>10106</v>
      </c>
      <c r="L657" s="29">
        <v>9598</v>
      </c>
      <c r="M657" s="29">
        <v>9034</v>
      </c>
      <c r="N657" s="29">
        <v>8544</v>
      </c>
      <c r="O657" s="29">
        <v>8053</v>
      </c>
      <c r="P657" s="29">
        <v>7579</v>
      </c>
      <c r="Q657" s="29">
        <v>8482</v>
      </c>
      <c r="R657" s="29">
        <v>8103</v>
      </c>
      <c r="S657" s="29">
        <f t="shared" si="670"/>
        <v>7750</v>
      </c>
      <c r="T657" s="29">
        <v>7508</v>
      </c>
      <c r="U657" s="29">
        <v>7126</v>
      </c>
      <c r="V657" s="29">
        <v>6855</v>
      </c>
      <c r="W657" s="29">
        <v>7038</v>
      </c>
      <c r="X657" s="29">
        <v>6923</v>
      </c>
      <c r="Y657" s="29">
        <v>6555</v>
      </c>
      <c r="Z657" s="29">
        <v>8127</v>
      </c>
      <c r="AA657" s="29">
        <v>7800</v>
      </c>
      <c r="AB657" s="29">
        <v>7794</v>
      </c>
      <c r="AC657" s="29">
        <v>7462</v>
      </c>
      <c r="AD657" s="29">
        <v>11348</v>
      </c>
      <c r="AE657" s="29">
        <v>11298</v>
      </c>
      <c r="AF657" s="29">
        <v>10808</v>
      </c>
      <c r="AG657" s="29"/>
      <c r="AH657" s="29"/>
      <c r="AI657" s="29"/>
      <c r="AK657" s="29">
        <v>499</v>
      </c>
      <c r="AL657" s="29">
        <v>539</v>
      </c>
      <c r="AM657" s="29">
        <v>878</v>
      </c>
      <c r="AN657" s="29">
        <v>1973</v>
      </c>
      <c r="AO657" s="29">
        <v>1759</v>
      </c>
      <c r="AP657" s="29">
        <v>1158</v>
      </c>
      <c r="AQ657" s="29">
        <v>744</v>
      </c>
      <c r="AR657" s="29">
        <v>3170</v>
      </c>
      <c r="AS657" s="29">
        <v>3083</v>
      </c>
      <c r="AT657" s="29">
        <v>6981</v>
      </c>
      <c r="AU657" s="29">
        <v>4835</v>
      </c>
      <c r="AV657" s="29">
        <v>3733</v>
      </c>
      <c r="AW657" s="29">
        <v>10106</v>
      </c>
      <c r="AY657" s="1018"/>
      <c r="AZ657" s="29">
        <v>10106</v>
      </c>
      <c r="BA657" s="29">
        <v>8053</v>
      </c>
      <c r="BB657" s="29">
        <v>7750</v>
      </c>
      <c r="BC657" s="11">
        <f t="shared" si="671"/>
        <v>7038</v>
      </c>
      <c r="BD657" s="11">
        <f t="shared" si="665"/>
        <v>7800</v>
      </c>
      <c r="BE657" s="11">
        <f t="shared" si="666"/>
        <v>11298</v>
      </c>
      <c r="BF657" s="29"/>
    </row>
    <row r="658" spans="2:58" s="852" customFormat="1" ht="11.45">
      <c r="B658" t="s">
        <v>535</v>
      </c>
      <c r="D658" s="939">
        <v>2869</v>
      </c>
      <c r="E658" s="939">
        <v>2928</v>
      </c>
      <c r="F658" s="939">
        <v>2895</v>
      </c>
      <c r="G658" s="939">
        <v>3416</v>
      </c>
      <c r="H658" s="939">
        <v>3476</v>
      </c>
      <c r="I658" s="939">
        <v>3845</v>
      </c>
      <c r="J658" s="939">
        <v>4146</v>
      </c>
      <c r="K658" s="939">
        <v>6250</v>
      </c>
      <c r="L658" s="939">
        <v>6083</v>
      </c>
      <c r="M658" s="939">
        <v>6967</v>
      </c>
      <c r="N658" s="939">
        <v>7106</v>
      </c>
      <c r="O658" s="939">
        <v>7442</v>
      </c>
      <c r="P658" s="939">
        <v>9792</v>
      </c>
      <c r="Q658" s="939">
        <v>10129</v>
      </c>
      <c r="R658" s="939">
        <v>10258</v>
      </c>
      <c r="S658" s="939">
        <f t="shared" si="670"/>
        <v>14723</v>
      </c>
      <c r="T658" s="939">
        <v>14455</v>
      </c>
      <c r="U658" s="939">
        <v>14630</v>
      </c>
      <c r="V658" s="939">
        <v>13696</v>
      </c>
      <c r="W658" s="939">
        <v>13138</v>
      </c>
      <c r="X658" s="939">
        <v>13034</v>
      </c>
      <c r="Y658" s="939">
        <v>13561</v>
      </c>
      <c r="Z658" s="939">
        <v>14427</v>
      </c>
      <c r="AA658" s="939">
        <v>15075</v>
      </c>
      <c r="AB658" s="939">
        <v>21103</v>
      </c>
      <c r="AC658" s="939">
        <v>21256</v>
      </c>
      <c r="AD658" s="30">
        <v>21845</v>
      </c>
      <c r="AE658" s="30">
        <v>21897</v>
      </c>
      <c r="AF658" s="29">
        <v>23482</v>
      </c>
      <c r="AG658" s="29"/>
      <c r="AH658" s="29"/>
      <c r="AI658" s="29"/>
      <c r="AK658" s="939">
        <v>1299</v>
      </c>
      <c r="AL658" s="939">
        <v>1295</v>
      </c>
      <c r="AM658" s="939">
        <v>1509</v>
      </c>
      <c r="AN658" s="939">
        <v>1691</v>
      </c>
      <c r="AO658" s="939">
        <v>1599</v>
      </c>
      <c r="AP658" s="939">
        <v>1501</v>
      </c>
      <c r="AQ658" s="939">
        <v>1434</v>
      </c>
      <c r="AR658" s="939">
        <v>1520</v>
      </c>
      <c r="AS658" s="939">
        <v>2392</v>
      </c>
      <c r="AT658" s="939">
        <v>3422</v>
      </c>
      <c r="AU658" s="939">
        <v>3117</v>
      </c>
      <c r="AV658" s="939">
        <v>3416</v>
      </c>
      <c r="AW658" s="939">
        <v>6250</v>
      </c>
      <c r="AY658" s="1019"/>
      <c r="AZ658" s="939">
        <v>6250</v>
      </c>
      <c r="BA658" s="939">
        <v>7442</v>
      </c>
      <c r="BB658" s="939">
        <v>14723</v>
      </c>
      <c r="BC658" s="940">
        <f t="shared" si="671"/>
        <v>13138</v>
      </c>
      <c r="BD658" s="940">
        <f t="shared" si="665"/>
        <v>15075</v>
      </c>
      <c r="BE658" s="940">
        <f t="shared" si="666"/>
        <v>21897</v>
      </c>
      <c r="BF658" s="939"/>
    </row>
    <row r="659" spans="2:58" s="1" customFormat="1" ht="10.5">
      <c r="B659" s="837" t="s">
        <v>583</v>
      </c>
      <c r="D659" s="838">
        <f t="shared" ref="D659:Q659" si="672">SUM(D652:D658)+D651</f>
        <v>172896</v>
      </c>
      <c r="E659" s="838">
        <f t="shared" si="672"/>
        <v>180098</v>
      </c>
      <c r="F659" s="838">
        <f t="shared" si="672"/>
        <v>181869</v>
      </c>
      <c r="G659" s="838">
        <f t="shared" si="672"/>
        <v>193468</v>
      </c>
      <c r="H659" s="838">
        <f t="shared" si="672"/>
        <v>212524</v>
      </c>
      <c r="I659" s="838">
        <f t="shared" si="672"/>
        <v>224610</v>
      </c>
      <c r="J659" s="838">
        <f t="shared" si="672"/>
        <v>225017</v>
      </c>
      <c r="K659" s="838">
        <f t="shared" si="672"/>
        <v>250486</v>
      </c>
      <c r="L659" s="838">
        <f t="shared" si="672"/>
        <v>249097</v>
      </c>
      <c r="M659" s="838">
        <f t="shared" si="672"/>
        <v>256003</v>
      </c>
      <c r="N659" s="838">
        <f t="shared" si="672"/>
        <v>245497</v>
      </c>
      <c r="O659" s="838">
        <f t="shared" si="672"/>
        <v>258848</v>
      </c>
      <c r="P659" s="838">
        <f t="shared" si="672"/>
        <v>257619</v>
      </c>
      <c r="Q659" s="838">
        <f t="shared" si="672"/>
        <v>258859</v>
      </c>
      <c r="R659" s="838">
        <f t="shared" ref="R659:T659" si="673">SUM(R652:R658)+R651</f>
        <v>263281</v>
      </c>
      <c r="S659" s="838">
        <f t="shared" si="673"/>
        <v>286556</v>
      </c>
      <c r="T659" s="838">
        <f t="shared" si="673"/>
        <v>278955</v>
      </c>
      <c r="U659" s="838">
        <f t="shared" ref="U659:AF659" si="674">SUM(U652:U658)+U651</f>
        <v>282794</v>
      </c>
      <c r="V659" s="838">
        <f t="shared" si="674"/>
        <v>285449</v>
      </c>
      <c r="W659" s="838">
        <f t="shared" si="674"/>
        <v>301311</v>
      </c>
      <c r="X659" s="838">
        <f t="shared" si="674"/>
        <v>301001</v>
      </c>
      <c r="Y659" s="838">
        <f t="shared" si="674"/>
        <v>304137</v>
      </c>
      <c r="Z659" s="838">
        <f t="shared" si="674"/>
        <v>308879</v>
      </c>
      <c r="AA659" s="838">
        <f t="shared" si="674"/>
        <v>333779</v>
      </c>
      <c r="AB659" s="838">
        <f t="shared" si="674"/>
        <v>335418</v>
      </c>
      <c r="AC659" s="838">
        <f t="shared" si="674"/>
        <v>340389</v>
      </c>
      <c r="AD659" s="838">
        <f t="shared" si="674"/>
        <v>344607</v>
      </c>
      <c r="AE659" s="838">
        <f t="shared" si="674"/>
        <v>364840</v>
      </c>
      <c r="AF659" s="838">
        <f t="shared" si="674"/>
        <v>359784</v>
      </c>
      <c r="AG659" s="838"/>
      <c r="AH659" s="838"/>
      <c r="AI659" s="838"/>
      <c r="AK659" s="838">
        <f t="shared" ref="AK659:AW659" si="675">SUM(AK652:AK658)+AK651</f>
        <v>70815</v>
      </c>
      <c r="AL659" s="838">
        <f t="shared" si="675"/>
        <v>69597</v>
      </c>
      <c r="AM659" s="838">
        <f t="shared" si="675"/>
        <v>63171</v>
      </c>
      <c r="AN659" s="838">
        <f t="shared" si="675"/>
        <v>72793</v>
      </c>
      <c r="AO659" s="838">
        <f t="shared" si="675"/>
        <v>77888</v>
      </c>
      <c r="AP659" s="838">
        <f t="shared" si="675"/>
        <v>86113</v>
      </c>
      <c r="AQ659" s="838">
        <f t="shared" si="675"/>
        <v>108704</v>
      </c>
      <c r="AR659" s="838">
        <f t="shared" si="675"/>
        <v>121271</v>
      </c>
      <c r="AS659" s="838">
        <f t="shared" si="675"/>
        <v>142431</v>
      </c>
      <c r="AT659" s="838">
        <f t="shared" si="675"/>
        <v>172384</v>
      </c>
      <c r="AU659" s="838">
        <f t="shared" si="675"/>
        <v>174472</v>
      </c>
      <c r="AV659" s="838">
        <f t="shared" si="675"/>
        <v>193468</v>
      </c>
      <c r="AW659" s="838">
        <f t="shared" si="675"/>
        <v>241086</v>
      </c>
      <c r="AY659" s="1020"/>
      <c r="AZ659" s="838">
        <f>SUM(AZ652:AZ658)+AZ651</f>
        <v>250486</v>
      </c>
      <c r="BA659" s="838">
        <v>258848</v>
      </c>
      <c r="BB659" s="838">
        <f>SUM(BB652:BB658,BB651)</f>
        <v>286556</v>
      </c>
      <c r="BC659" s="849">
        <f>SUM(BC652:BC658,BC651)</f>
        <v>301311</v>
      </c>
      <c r="BD659" s="849">
        <f t="shared" si="665"/>
        <v>333779</v>
      </c>
      <c r="BE659" s="849">
        <f t="shared" si="666"/>
        <v>364840</v>
      </c>
      <c r="BF659" s="838"/>
    </row>
    <row r="660" spans="2:58">
      <c r="AY660" s="1018"/>
      <c r="BC660" s="100"/>
      <c r="BD660" s="100"/>
      <c r="BE660" s="100"/>
    </row>
    <row r="661" spans="2:58" ht="10.5">
      <c r="B661" s="45" t="s">
        <v>584</v>
      </c>
      <c r="AY661" s="1018"/>
      <c r="BC661" s="100"/>
      <c r="BD661" s="100"/>
      <c r="BE661" s="100"/>
    </row>
    <row r="662" spans="2:58">
      <c r="B662" t="s">
        <v>539</v>
      </c>
      <c r="D662" s="29">
        <v>6630</v>
      </c>
      <c r="E662" s="29">
        <v>6936</v>
      </c>
      <c r="F662" s="29">
        <v>6759</v>
      </c>
      <c r="G662" s="29">
        <v>6898</v>
      </c>
      <c r="H662" s="29">
        <v>6296</v>
      </c>
      <c r="I662" s="29">
        <v>6580</v>
      </c>
      <c r="J662" s="29">
        <v>6217</v>
      </c>
      <c r="K662" s="29">
        <v>7390</v>
      </c>
      <c r="L662" s="29">
        <v>6866</v>
      </c>
      <c r="M662" s="29">
        <v>7850</v>
      </c>
      <c r="N662" s="29">
        <v>7623</v>
      </c>
      <c r="O662" s="29">
        <v>8617</v>
      </c>
      <c r="P662" s="29">
        <v>8511</v>
      </c>
      <c r="Q662" s="29">
        <v>7563</v>
      </c>
      <c r="R662" s="29">
        <v>7544</v>
      </c>
      <c r="S662" s="29">
        <f t="shared" ref="S662:S669" si="676">+BB662</f>
        <v>9382</v>
      </c>
      <c r="T662" s="29">
        <v>8574</v>
      </c>
      <c r="U662" s="29">
        <v>8811</v>
      </c>
      <c r="V662" s="29">
        <v>9246</v>
      </c>
      <c r="W662" s="29">
        <v>12530</v>
      </c>
      <c r="X662" s="29">
        <v>12509</v>
      </c>
      <c r="Y662" s="29">
        <v>12770</v>
      </c>
      <c r="Z662" s="29">
        <v>13412</v>
      </c>
      <c r="AA662" s="29">
        <v>15163</v>
      </c>
      <c r="AB662" s="29">
        <v>14832</v>
      </c>
      <c r="AC662" s="29">
        <v>15314</v>
      </c>
      <c r="AD662" s="29">
        <v>16085</v>
      </c>
      <c r="AE662" s="29">
        <v>19000</v>
      </c>
      <c r="AF662" s="29">
        <v>16609</v>
      </c>
      <c r="AG662" s="952"/>
      <c r="AH662" s="29"/>
      <c r="AI662" s="952"/>
      <c r="AK662" s="29">
        <v>2086</v>
      </c>
      <c r="AL662" s="29">
        <v>2909</v>
      </c>
      <c r="AM662" s="29">
        <v>3247</v>
      </c>
      <c r="AN662" s="29">
        <v>4034</v>
      </c>
      <c r="AO662" s="29">
        <v>3324</v>
      </c>
      <c r="AP662" s="29">
        <v>4025</v>
      </c>
      <c r="AQ662" s="29">
        <v>4197</v>
      </c>
      <c r="AR662" s="29">
        <v>4175</v>
      </c>
      <c r="AS662" s="29">
        <v>4828</v>
      </c>
      <c r="AT662" s="29">
        <v>7432</v>
      </c>
      <c r="AU662" s="29">
        <v>6591</v>
      </c>
      <c r="AV662" s="29">
        <v>6898</v>
      </c>
      <c r="AW662" s="29">
        <v>7390</v>
      </c>
      <c r="AY662" s="1018"/>
      <c r="AZ662" s="29">
        <v>7390</v>
      </c>
      <c r="BA662" s="29">
        <v>8617</v>
      </c>
      <c r="BB662" s="29">
        <v>9382</v>
      </c>
      <c r="BC662" s="11">
        <f t="shared" ref="BC662:BC669" si="677">+W662</f>
        <v>12530</v>
      </c>
      <c r="BD662" s="11">
        <f t="shared" ref="BD662:BD677" si="678">+AA662</f>
        <v>15163</v>
      </c>
      <c r="BE662" s="11">
        <f t="shared" ref="BE662:BE684" si="679">+AE662</f>
        <v>19000</v>
      </c>
      <c r="BF662" s="29"/>
    </row>
    <row r="663" spans="2:58">
      <c r="B663" t="s">
        <v>585</v>
      </c>
      <c r="D663" s="29">
        <v>3450</v>
      </c>
      <c r="E663" s="29">
        <v>3649</v>
      </c>
      <c r="F663" s="29">
        <v>4276</v>
      </c>
      <c r="G663" s="29">
        <v>5264</v>
      </c>
      <c r="H663" s="29">
        <v>3621</v>
      </c>
      <c r="I663" s="29">
        <v>3982</v>
      </c>
      <c r="J663" s="29">
        <v>4604</v>
      </c>
      <c r="K663" s="29">
        <v>5819</v>
      </c>
      <c r="L663" s="29">
        <v>4108</v>
      </c>
      <c r="M663" s="29">
        <v>4427</v>
      </c>
      <c r="N663" s="29">
        <v>5149</v>
      </c>
      <c r="O663" s="29">
        <v>6103</v>
      </c>
      <c r="P663" s="29">
        <v>4271</v>
      </c>
      <c r="Q663" s="29">
        <v>4624</v>
      </c>
      <c r="R663" s="29">
        <v>5764</v>
      </c>
      <c r="S663" s="29">
        <f t="shared" si="676"/>
        <v>6830</v>
      </c>
      <c r="T663" s="29">
        <v>4676</v>
      </c>
      <c r="U663" s="29">
        <v>5421</v>
      </c>
      <c r="V663" s="29">
        <v>6254</v>
      </c>
      <c r="W663" s="29">
        <v>7874</v>
      </c>
      <c r="X663" s="29">
        <v>6497</v>
      </c>
      <c r="Y663" s="29">
        <v>6838</v>
      </c>
      <c r="Z663" s="29">
        <v>8032</v>
      </c>
      <c r="AA663" s="29">
        <v>10057</v>
      </c>
      <c r="AB663" s="29">
        <v>6894</v>
      </c>
      <c r="AC663" s="29">
        <v>4998</v>
      </c>
      <c r="AD663" s="29">
        <v>9067</v>
      </c>
      <c r="AE663" s="29">
        <v>10661</v>
      </c>
      <c r="AF663" s="29">
        <v>7405</v>
      </c>
      <c r="AG663" s="825"/>
      <c r="AI663" s="825"/>
      <c r="AK663" s="29">
        <v>1662</v>
      </c>
      <c r="AL663" s="29">
        <v>1938</v>
      </c>
      <c r="AM663" s="29">
        <v>2325</v>
      </c>
      <c r="AN663" s="29">
        <v>2934</v>
      </c>
      <c r="AO663" s="29">
        <v>3156</v>
      </c>
      <c r="AP663" s="29">
        <v>3283</v>
      </c>
      <c r="AQ663" s="29">
        <v>3575</v>
      </c>
      <c r="AR663" s="29">
        <v>3875</v>
      </c>
      <c r="AS663" s="29">
        <v>4117</v>
      </c>
      <c r="AT663" s="29">
        <v>4797</v>
      </c>
      <c r="AU663" s="29">
        <v>5096</v>
      </c>
      <c r="AV663" s="29">
        <v>5264</v>
      </c>
      <c r="AW663" s="29">
        <v>5819</v>
      </c>
      <c r="AY663" s="1018"/>
      <c r="AZ663" s="29">
        <v>5819</v>
      </c>
      <c r="BA663" s="29">
        <v>6103</v>
      </c>
      <c r="BB663" s="29">
        <v>6830</v>
      </c>
      <c r="BC663" s="11">
        <f t="shared" si="677"/>
        <v>7874</v>
      </c>
      <c r="BD663" s="11">
        <f t="shared" si="678"/>
        <v>10057</v>
      </c>
      <c r="BE663" s="11">
        <f t="shared" si="679"/>
        <v>10661</v>
      </c>
      <c r="BF663" s="29"/>
    </row>
    <row r="664" spans="2:58">
      <c r="B664" t="s">
        <v>586</v>
      </c>
      <c r="D664" s="29">
        <v>9998</v>
      </c>
      <c r="E664" s="29">
        <v>3000</v>
      </c>
      <c r="F664" s="29">
        <v>5498</v>
      </c>
      <c r="G664" s="29">
        <v>12904</v>
      </c>
      <c r="H664" s="29">
        <v>14536</v>
      </c>
      <c r="I664" s="29">
        <v>25065</v>
      </c>
      <c r="J664" s="29">
        <v>7187</v>
      </c>
      <c r="K664" s="29">
        <v>9072</v>
      </c>
      <c r="L664" s="29">
        <v>8170</v>
      </c>
      <c r="M664" s="29">
        <v>12466</v>
      </c>
      <c r="N664" s="29">
        <v>230</v>
      </c>
      <c r="O664" s="29">
        <v>0</v>
      </c>
      <c r="P664" s="29">
        <v>0</v>
      </c>
      <c r="Q664" s="29">
        <v>0</v>
      </c>
      <c r="R664" s="29">
        <v>0</v>
      </c>
      <c r="S664" s="29">
        <f t="shared" si="676"/>
        <v>0</v>
      </c>
      <c r="T664" s="29">
        <v>0</v>
      </c>
      <c r="U664" s="29">
        <v>0</v>
      </c>
      <c r="V664" s="29">
        <v>0</v>
      </c>
      <c r="W664" s="29">
        <v>0</v>
      </c>
      <c r="X664" s="29">
        <v>0</v>
      </c>
      <c r="Y664" s="29">
        <v>0</v>
      </c>
      <c r="Z664" s="29">
        <v>0</v>
      </c>
      <c r="AA664" s="29">
        <v>0</v>
      </c>
      <c r="AB664" s="29">
        <v>0</v>
      </c>
      <c r="AC664" s="29">
        <v>0</v>
      </c>
      <c r="AD664" s="29">
        <v>0</v>
      </c>
      <c r="AE664" s="29">
        <v>0</v>
      </c>
      <c r="AF664" s="29">
        <v>0</v>
      </c>
      <c r="AG664" s="29"/>
      <c r="AK664" s="29">
        <v>0</v>
      </c>
      <c r="AL664" s="29">
        <v>0</v>
      </c>
      <c r="AM664" s="29">
        <v>0</v>
      </c>
      <c r="AN664" s="29">
        <v>0</v>
      </c>
      <c r="AO664" s="29">
        <v>2000</v>
      </c>
      <c r="AP664" s="29">
        <v>1000</v>
      </c>
      <c r="AQ664" s="29">
        <v>0</v>
      </c>
      <c r="AR664" s="29">
        <v>0</v>
      </c>
      <c r="AS664" s="29">
        <v>0</v>
      </c>
      <c r="AT664" s="29">
        <v>2000</v>
      </c>
      <c r="AU664" s="29">
        <v>4985</v>
      </c>
      <c r="AV664" s="29">
        <v>12904</v>
      </c>
      <c r="AW664" s="29">
        <v>9072</v>
      </c>
      <c r="AY664" s="1018"/>
      <c r="AZ664" s="29">
        <v>9072</v>
      </c>
      <c r="BA664" s="29">
        <v>0</v>
      </c>
      <c r="BB664" s="29">
        <v>0</v>
      </c>
      <c r="BC664" s="11">
        <f t="shared" si="677"/>
        <v>0</v>
      </c>
      <c r="BD664" s="11">
        <f t="shared" si="678"/>
        <v>0</v>
      </c>
      <c r="BE664" s="11">
        <f t="shared" si="679"/>
        <v>0</v>
      </c>
      <c r="BF664" s="29"/>
    </row>
    <row r="665" spans="2:58">
      <c r="B665" t="s">
        <v>587</v>
      </c>
      <c r="D665" s="29">
        <v>750</v>
      </c>
      <c r="E665" s="29">
        <v>750</v>
      </c>
      <c r="F665" s="29">
        <v>0</v>
      </c>
      <c r="G665" s="29">
        <v>0</v>
      </c>
      <c r="H665" s="29">
        <v>0</v>
      </c>
      <c r="I665" s="29">
        <v>599</v>
      </c>
      <c r="J665" s="29">
        <v>599</v>
      </c>
      <c r="K665" s="29">
        <v>1049</v>
      </c>
      <c r="L665" s="29">
        <v>1050</v>
      </c>
      <c r="M665" s="29">
        <v>3446</v>
      </c>
      <c r="N665" s="29">
        <v>3447</v>
      </c>
      <c r="O665" s="29">
        <v>3998</v>
      </c>
      <c r="P665" s="29">
        <v>6497</v>
      </c>
      <c r="Q665" s="29">
        <v>3516</v>
      </c>
      <c r="R665" s="29">
        <v>6515</v>
      </c>
      <c r="S665" s="29">
        <f t="shared" si="676"/>
        <v>5516</v>
      </c>
      <c r="T665" s="29">
        <v>3017</v>
      </c>
      <c r="U665" s="29">
        <v>6247</v>
      </c>
      <c r="V665" s="29">
        <v>3748</v>
      </c>
      <c r="W665" s="29">
        <v>3749</v>
      </c>
      <c r="X665" s="29">
        <v>5714</v>
      </c>
      <c r="Y665" s="29">
        <v>5387</v>
      </c>
      <c r="Z665" s="29">
        <v>8051</v>
      </c>
      <c r="AA665" s="29">
        <v>8072</v>
      </c>
      <c r="AB665" s="29">
        <v>3249</v>
      </c>
      <c r="AC665" s="29">
        <v>7782</v>
      </c>
      <c r="AD665" s="29">
        <v>1749</v>
      </c>
      <c r="AE665" s="29">
        <v>2749</v>
      </c>
      <c r="AF665" s="29">
        <v>3248</v>
      </c>
      <c r="AG665" s="29"/>
      <c r="AH665" s="29"/>
      <c r="AI665" s="29"/>
      <c r="AK665" s="29">
        <v>0</v>
      </c>
      <c r="AL665" s="29">
        <v>0</v>
      </c>
      <c r="AM665" s="29">
        <v>0</v>
      </c>
      <c r="AN665" s="29">
        <v>0</v>
      </c>
      <c r="AO665" s="29">
        <v>0</v>
      </c>
      <c r="AP665" s="29">
        <v>0</v>
      </c>
      <c r="AQ665" s="29">
        <v>0</v>
      </c>
      <c r="AR665" s="29">
        <v>1231</v>
      </c>
      <c r="AS665" s="29">
        <v>2999</v>
      </c>
      <c r="AT665" s="29">
        <v>0</v>
      </c>
      <c r="AU665" s="29">
        <v>2499</v>
      </c>
      <c r="AV665" s="29">
        <v>0</v>
      </c>
      <c r="AW665" s="29">
        <v>1049</v>
      </c>
      <c r="AY665" s="1018"/>
      <c r="AZ665" s="29">
        <v>1049</v>
      </c>
      <c r="BA665" s="29">
        <v>3998</v>
      </c>
      <c r="BB665" s="29">
        <v>5516</v>
      </c>
      <c r="BC665" s="11">
        <f t="shared" si="677"/>
        <v>3749</v>
      </c>
      <c r="BD665" s="11">
        <f t="shared" si="678"/>
        <v>8072</v>
      </c>
      <c r="BE665" s="11">
        <f t="shared" si="679"/>
        <v>2749</v>
      </c>
      <c r="BF665" s="29"/>
    </row>
    <row r="666" spans="2:58">
      <c r="B666" t="s">
        <v>588</v>
      </c>
      <c r="D666" s="29">
        <v>607</v>
      </c>
      <c r="E666" s="29">
        <v>493</v>
      </c>
      <c r="F666" s="29">
        <v>685</v>
      </c>
      <c r="G666" s="29">
        <v>580</v>
      </c>
      <c r="H666" s="29">
        <v>720</v>
      </c>
      <c r="I666" s="29">
        <v>508</v>
      </c>
      <c r="J666" s="29">
        <v>654</v>
      </c>
      <c r="K666" s="29">
        <v>718</v>
      </c>
      <c r="L666" s="29">
        <v>920</v>
      </c>
      <c r="M666" s="29">
        <v>788</v>
      </c>
      <c r="N666" s="29">
        <v>814</v>
      </c>
      <c r="O666" s="29">
        <v>2121</v>
      </c>
      <c r="P666" s="29">
        <v>2341</v>
      </c>
      <c r="Q666" s="29">
        <v>2033</v>
      </c>
      <c r="R666" s="29">
        <v>1950</v>
      </c>
      <c r="S666" s="29">
        <f t="shared" si="676"/>
        <v>5665</v>
      </c>
      <c r="T666" s="29">
        <v>3440</v>
      </c>
      <c r="U666" s="29">
        <v>2687</v>
      </c>
      <c r="V666" s="29">
        <v>3296</v>
      </c>
      <c r="W666" s="29">
        <v>2130</v>
      </c>
      <c r="X666" s="29">
        <v>2384</v>
      </c>
      <c r="Y666" s="29">
        <v>1562</v>
      </c>
      <c r="Z666" s="29">
        <v>2165</v>
      </c>
      <c r="AA666" s="29">
        <v>2174</v>
      </c>
      <c r="AB666" s="29">
        <v>6272</v>
      </c>
      <c r="AC666" s="29">
        <v>3731</v>
      </c>
      <c r="AD666" s="29">
        <v>4646</v>
      </c>
      <c r="AE666" s="29">
        <v>4067</v>
      </c>
      <c r="AF666" s="29">
        <v>6729</v>
      </c>
      <c r="AG666" s="29"/>
      <c r="AH666" s="29"/>
      <c r="AI666" s="29"/>
      <c r="AK666" s="29">
        <v>2020</v>
      </c>
      <c r="AL666" s="29">
        <v>1557</v>
      </c>
      <c r="AM666" s="29">
        <v>1040</v>
      </c>
      <c r="AN666" s="29">
        <v>3248</v>
      </c>
      <c r="AO666" s="29">
        <v>725</v>
      </c>
      <c r="AP666" s="29">
        <v>1074</v>
      </c>
      <c r="AQ666" s="29">
        <v>580</v>
      </c>
      <c r="AR666" s="29">
        <v>789</v>
      </c>
      <c r="AS666" s="29">
        <v>592</v>
      </c>
      <c r="AT666" s="29">
        <v>782</v>
      </c>
      <c r="AU666" s="29">
        <v>606</v>
      </c>
      <c r="AV666" s="29">
        <v>580</v>
      </c>
      <c r="AW666" s="29">
        <v>718</v>
      </c>
      <c r="AY666" s="1018"/>
      <c r="AZ666" s="29">
        <v>718</v>
      </c>
      <c r="BA666" s="29">
        <v>2121</v>
      </c>
      <c r="BB666" s="29">
        <v>5665</v>
      </c>
      <c r="BC666" s="11">
        <f t="shared" si="677"/>
        <v>2130</v>
      </c>
      <c r="BD666" s="11">
        <f t="shared" si="678"/>
        <v>2174</v>
      </c>
      <c r="BE666" s="11">
        <f t="shared" si="679"/>
        <v>4067</v>
      </c>
      <c r="BF666" s="29"/>
    </row>
    <row r="667" spans="2:58">
      <c r="B667" t="s">
        <v>589</v>
      </c>
      <c r="D667" s="29">
        <v>21603</v>
      </c>
      <c r="E667" s="29">
        <v>20929</v>
      </c>
      <c r="F667" s="29">
        <v>20876</v>
      </c>
      <c r="G667" s="29">
        <v>27468</v>
      </c>
      <c r="H667" s="29">
        <v>26304</v>
      </c>
      <c r="I667" s="29">
        <v>26085</v>
      </c>
      <c r="J667" s="29">
        <v>26518</v>
      </c>
      <c r="K667" s="29">
        <v>24013</v>
      </c>
      <c r="L667" s="29">
        <v>22778</v>
      </c>
      <c r="M667" s="29">
        <v>21309</v>
      </c>
      <c r="N667" s="29">
        <v>21370</v>
      </c>
      <c r="O667" s="29">
        <v>28905</v>
      </c>
      <c r="P667" s="29">
        <v>26704</v>
      </c>
      <c r="Q667" s="29">
        <v>24285</v>
      </c>
      <c r="R667" s="29">
        <v>24251</v>
      </c>
      <c r="S667" s="29">
        <f t="shared" si="676"/>
        <v>32676</v>
      </c>
      <c r="T667" s="29">
        <v>29904</v>
      </c>
      <c r="U667" s="29">
        <v>27343</v>
      </c>
      <c r="V667" s="29">
        <v>27012</v>
      </c>
      <c r="W667" s="29">
        <v>36000</v>
      </c>
      <c r="X667" s="29">
        <v>33476</v>
      </c>
      <c r="Y667" s="29">
        <v>30402</v>
      </c>
      <c r="Z667" s="29">
        <v>30083</v>
      </c>
      <c r="AA667" s="29">
        <v>41525</v>
      </c>
      <c r="AB667" s="29">
        <v>38465</v>
      </c>
      <c r="AC667" s="29">
        <v>34001</v>
      </c>
      <c r="AD667" s="29">
        <v>34027</v>
      </c>
      <c r="AE667" s="29">
        <v>45538</v>
      </c>
      <c r="AF667" s="29">
        <v>41340</v>
      </c>
      <c r="AG667" s="29"/>
      <c r="AH667" s="29"/>
      <c r="AI667" s="29"/>
      <c r="AK667" s="29">
        <v>7502</v>
      </c>
      <c r="AL667" s="29">
        <v>9138</v>
      </c>
      <c r="AM667" s="29">
        <v>10779</v>
      </c>
      <c r="AN667" s="29">
        <v>13397</v>
      </c>
      <c r="AO667" s="29">
        <v>13003</v>
      </c>
      <c r="AP667" s="29">
        <v>13652</v>
      </c>
      <c r="AQ667" s="29">
        <v>15722</v>
      </c>
      <c r="AR667" s="29">
        <v>18653</v>
      </c>
      <c r="AS667" s="29">
        <v>20639</v>
      </c>
      <c r="AT667" s="29">
        <v>23150</v>
      </c>
      <c r="AU667" s="29">
        <v>23223</v>
      </c>
      <c r="AV667" s="29">
        <v>27468</v>
      </c>
      <c r="AW667" s="29">
        <v>34102</v>
      </c>
      <c r="AY667" s="1018"/>
      <c r="AZ667" s="29">
        <v>24013</v>
      </c>
      <c r="BA667" s="29">
        <v>28905</v>
      </c>
      <c r="BB667" s="29">
        <v>32676</v>
      </c>
      <c r="BC667" s="11">
        <f t="shared" si="677"/>
        <v>36000</v>
      </c>
      <c r="BD667" s="11">
        <f t="shared" si="678"/>
        <v>41525</v>
      </c>
      <c r="BE667" s="11">
        <f t="shared" si="679"/>
        <v>45538</v>
      </c>
      <c r="BF667" s="29"/>
    </row>
    <row r="668" spans="2:58">
      <c r="B668" t="s">
        <v>543</v>
      </c>
      <c r="D668" s="29">
        <v>6207</v>
      </c>
      <c r="E668" s="29">
        <v>6447</v>
      </c>
      <c r="F668" s="29">
        <v>5887</v>
      </c>
      <c r="G668" s="29">
        <v>5949</v>
      </c>
      <c r="H668" s="29">
        <v>7123</v>
      </c>
      <c r="I668" s="29">
        <v>6688</v>
      </c>
      <c r="J668" s="29">
        <v>6025</v>
      </c>
      <c r="K668" s="29">
        <v>7684</v>
      </c>
      <c r="L668" s="29">
        <v>7520</v>
      </c>
      <c r="M668" s="29">
        <v>7787</v>
      </c>
      <c r="N668" s="29">
        <v>7500</v>
      </c>
      <c r="O668" s="29">
        <v>8744</v>
      </c>
      <c r="P668" s="29">
        <v>7953</v>
      </c>
      <c r="Q668" s="29">
        <v>8297</v>
      </c>
      <c r="R668" s="29">
        <v>7837</v>
      </c>
      <c r="S668" s="29">
        <f t="shared" si="676"/>
        <v>9351</v>
      </c>
      <c r="T668" s="29">
        <v>8507</v>
      </c>
      <c r="U668" s="29">
        <v>9131</v>
      </c>
      <c r="V668" s="29">
        <v>9151</v>
      </c>
      <c r="W668" s="29">
        <v>10027</v>
      </c>
      <c r="X668" s="29">
        <v>9476</v>
      </c>
      <c r="Y668" s="29">
        <v>10527</v>
      </c>
      <c r="Z668" s="29">
        <v>10450</v>
      </c>
      <c r="AA668" s="29">
        <v>11666</v>
      </c>
      <c r="AB668" s="29">
        <v>10816</v>
      </c>
      <c r="AC668" s="29">
        <v>11684</v>
      </c>
      <c r="AD668" s="29">
        <v>11865</v>
      </c>
      <c r="AE668" s="29">
        <v>13067</v>
      </c>
      <c r="AF668" s="29">
        <v>12058</v>
      </c>
      <c r="AG668" s="29"/>
      <c r="AH668" s="29"/>
      <c r="AI668" s="29"/>
      <c r="AK668" s="29">
        <v>3607</v>
      </c>
      <c r="AL668" s="29">
        <v>3783</v>
      </c>
      <c r="AM668" s="29">
        <v>3622</v>
      </c>
      <c r="AN668" s="29">
        <v>3659</v>
      </c>
      <c r="AO668" s="29">
        <v>3142</v>
      </c>
      <c r="AP668" s="29">
        <v>2931</v>
      </c>
      <c r="AQ668" s="29">
        <v>3492</v>
      </c>
      <c r="AR668" s="29">
        <v>3151</v>
      </c>
      <c r="AS668" s="29">
        <v>3597</v>
      </c>
      <c r="AT668" s="29">
        <v>6906</v>
      </c>
      <c r="AU668" s="29">
        <v>6555</v>
      </c>
      <c r="AV668" s="29">
        <v>5949</v>
      </c>
      <c r="AW668" s="29">
        <v>6280</v>
      </c>
      <c r="AY668" s="1018"/>
      <c r="AZ668" s="29">
        <v>7684</v>
      </c>
      <c r="BA668" s="29">
        <v>8744</v>
      </c>
      <c r="BB668" s="29">
        <v>9351</v>
      </c>
      <c r="BC668" s="11">
        <f t="shared" si="677"/>
        <v>10027</v>
      </c>
      <c r="BD668" s="11">
        <f t="shared" si="678"/>
        <v>11666</v>
      </c>
      <c r="BE668" s="11">
        <f t="shared" si="679"/>
        <v>13067</v>
      </c>
      <c r="BF668" s="29"/>
    </row>
    <row r="669" spans="2:58" s="852" customFormat="1">
      <c r="B669" t="s">
        <v>590</v>
      </c>
      <c r="D669" s="939">
        <v>154</v>
      </c>
      <c r="E669" s="939">
        <v>439</v>
      </c>
      <c r="F669" s="939">
        <v>373</v>
      </c>
      <c r="G669" s="939">
        <v>294</v>
      </c>
      <c r="H669" s="939">
        <v>210</v>
      </c>
      <c r="I669" s="939">
        <v>1280</v>
      </c>
      <c r="J669" s="939">
        <v>201</v>
      </c>
      <c r="K669" s="939">
        <v>0</v>
      </c>
      <c r="L669" s="939">
        <v>203</v>
      </c>
      <c r="M669" s="939">
        <v>26</v>
      </c>
      <c r="N669" s="939">
        <v>0</v>
      </c>
      <c r="O669" s="939">
        <v>0</v>
      </c>
      <c r="P669" s="939">
        <v>0</v>
      </c>
      <c r="Q669" s="939">
        <v>0</v>
      </c>
      <c r="R669" s="939">
        <v>0</v>
      </c>
      <c r="S669" s="939">
        <f t="shared" si="676"/>
        <v>0</v>
      </c>
      <c r="T669" s="939">
        <v>0</v>
      </c>
      <c r="U669" s="939">
        <v>0</v>
      </c>
      <c r="V669" s="939">
        <v>0</v>
      </c>
      <c r="W669" s="939">
        <v>0</v>
      </c>
      <c r="X669" s="939">
        <v>0</v>
      </c>
      <c r="Y669" s="939">
        <v>0</v>
      </c>
      <c r="Z669" s="939">
        <v>0</v>
      </c>
      <c r="AA669" s="939">
        <v>0</v>
      </c>
      <c r="AB669" s="939">
        <v>0</v>
      </c>
      <c r="AC669" s="939">
        <v>0</v>
      </c>
      <c r="AD669" s="939">
        <v>0</v>
      </c>
      <c r="AE669" s="939">
        <v>0</v>
      </c>
      <c r="AF669" s="939">
        <v>0</v>
      </c>
      <c r="AG669" s="939"/>
      <c r="AH669" s="939"/>
      <c r="AI669" s="939"/>
      <c r="AK669" s="939">
        <v>0</v>
      </c>
      <c r="AL669" s="939">
        <v>3117</v>
      </c>
      <c r="AM669" s="939">
        <v>2741</v>
      </c>
      <c r="AN669" s="939">
        <v>2614</v>
      </c>
      <c r="AO669" s="939">
        <v>1684</v>
      </c>
      <c r="AP669" s="939">
        <v>182</v>
      </c>
      <c r="AQ669" s="939">
        <v>1208</v>
      </c>
      <c r="AR669" s="939">
        <v>814</v>
      </c>
      <c r="AS669" s="939">
        <v>645</v>
      </c>
      <c r="AT669" s="939">
        <v>558</v>
      </c>
      <c r="AU669" s="939">
        <v>92</v>
      </c>
      <c r="AV669" s="939">
        <v>294</v>
      </c>
      <c r="AW669" s="939">
        <v>97</v>
      </c>
      <c r="AY669" s="1019"/>
      <c r="AZ669" s="939">
        <v>0</v>
      </c>
      <c r="BA669" s="939">
        <v>0</v>
      </c>
      <c r="BB669" s="939">
        <v>0</v>
      </c>
      <c r="BC669" s="940">
        <f t="shared" si="677"/>
        <v>0</v>
      </c>
      <c r="BD669" s="940">
        <f t="shared" si="678"/>
        <v>0</v>
      </c>
      <c r="BE669" s="940">
        <f t="shared" si="679"/>
        <v>0</v>
      </c>
      <c r="BF669" s="939"/>
    </row>
    <row r="670" spans="2:58">
      <c r="B670" s="12" t="s">
        <v>591</v>
      </c>
      <c r="D670" s="8">
        <f>SUM(D662:D669)</f>
        <v>49399</v>
      </c>
      <c r="E670" s="8">
        <f t="shared" ref="E670:AF670" si="680">SUM(E662:E669)</f>
        <v>42643</v>
      </c>
      <c r="F670" s="8">
        <f t="shared" si="680"/>
        <v>44354</v>
      </c>
      <c r="G670" s="8">
        <f t="shared" si="680"/>
        <v>59357</v>
      </c>
      <c r="H670" s="8">
        <f t="shared" si="680"/>
        <v>58810</v>
      </c>
      <c r="I670" s="8">
        <f t="shared" si="680"/>
        <v>70787</v>
      </c>
      <c r="J670" s="8">
        <f t="shared" si="680"/>
        <v>52005</v>
      </c>
      <c r="K670" s="8">
        <f t="shared" si="680"/>
        <v>55745</v>
      </c>
      <c r="L670" s="8">
        <f t="shared" si="680"/>
        <v>51615</v>
      </c>
      <c r="M670" s="8">
        <f t="shared" si="680"/>
        <v>58099</v>
      </c>
      <c r="N670" s="8">
        <f t="shared" si="680"/>
        <v>46133</v>
      </c>
      <c r="O670" s="8">
        <f t="shared" si="680"/>
        <v>58488</v>
      </c>
      <c r="P670" s="8">
        <f t="shared" si="680"/>
        <v>56277</v>
      </c>
      <c r="Q670" s="8">
        <f t="shared" si="680"/>
        <v>50318</v>
      </c>
      <c r="R670" s="8">
        <f t="shared" si="680"/>
        <v>53861</v>
      </c>
      <c r="S670" s="8">
        <f t="shared" si="680"/>
        <v>69420</v>
      </c>
      <c r="T670" s="8">
        <f t="shared" si="680"/>
        <v>58118</v>
      </c>
      <c r="U670" s="8">
        <f t="shared" si="680"/>
        <v>59640</v>
      </c>
      <c r="V670" s="8">
        <f t="shared" si="680"/>
        <v>58707</v>
      </c>
      <c r="W670" s="8">
        <f t="shared" si="680"/>
        <v>72310</v>
      </c>
      <c r="X670" s="8">
        <f t="shared" si="680"/>
        <v>70056</v>
      </c>
      <c r="Y670" s="8">
        <f t="shared" si="680"/>
        <v>67486</v>
      </c>
      <c r="Z670" s="8">
        <f t="shared" si="680"/>
        <v>72193</v>
      </c>
      <c r="AA670" s="8">
        <f t="shared" si="680"/>
        <v>88657</v>
      </c>
      <c r="AB670" s="8">
        <f t="shared" si="680"/>
        <v>80528</v>
      </c>
      <c r="AC670" s="8">
        <f t="shared" si="680"/>
        <v>77510</v>
      </c>
      <c r="AD670" s="8">
        <f t="shared" si="680"/>
        <v>77439</v>
      </c>
      <c r="AE670" s="8">
        <f t="shared" si="680"/>
        <v>95082</v>
      </c>
      <c r="AF670" s="8">
        <f t="shared" si="680"/>
        <v>87389</v>
      </c>
      <c r="AK670" s="8">
        <f>SUM(AK662:AK669)</f>
        <v>16877</v>
      </c>
      <c r="AL670" s="8">
        <f t="shared" ref="AL670:AW670" si="681">SUM(AL662:AL669)</f>
        <v>22442</v>
      </c>
      <c r="AM670" s="8">
        <f t="shared" si="681"/>
        <v>23754</v>
      </c>
      <c r="AN670" s="8">
        <f t="shared" si="681"/>
        <v>29886</v>
      </c>
      <c r="AO670" s="8">
        <f t="shared" si="681"/>
        <v>27034</v>
      </c>
      <c r="AP670" s="8">
        <f t="shared" si="681"/>
        <v>26147</v>
      </c>
      <c r="AQ670" s="8">
        <f t="shared" si="681"/>
        <v>28774</v>
      </c>
      <c r="AR670" s="8">
        <f t="shared" si="681"/>
        <v>32688</v>
      </c>
      <c r="AS670" s="8">
        <f t="shared" si="681"/>
        <v>37417</v>
      </c>
      <c r="AT670" s="8">
        <f t="shared" si="681"/>
        <v>45625</v>
      </c>
      <c r="AU670" s="8">
        <f t="shared" si="681"/>
        <v>49647</v>
      </c>
      <c r="AV670" s="8">
        <f t="shared" si="681"/>
        <v>59357</v>
      </c>
      <c r="AW670" s="8">
        <f t="shared" si="681"/>
        <v>64527</v>
      </c>
      <c r="AY670" s="1016"/>
      <c r="AZ670" s="8">
        <f t="shared" ref="AZ670" si="682">SUM(AZ662:AZ669)</f>
        <v>55745</v>
      </c>
      <c r="BA670" s="8">
        <v>58488</v>
      </c>
      <c r="BB670" s="8">
        <f>SUM(BB662:BB669)</f>
        <v>69420</v>
      </c>
      <c r="BC670" s="11">
        <f>SUM(BC662:BC669)</f>
        <v>72310</v>
      </c>
      <c r="BD670" s="11">
        <f t="shared" si="678"/>
        <v>88657</v>
      </c>
      <c r="BE670" s="11">
        <f t="shared" si="679"/>
        <v>95082</v>
      </c>
      <c r="BF670" s="8"/>
    </row>
    <row r="671" spans="2:58">
      <c r="B671" t="s">
        <v>592</v>
      </c>
      <c r="D671" s="29">
        <v>27819</v>
      </c>
      <c r="E671" s="29">
        <v>40679</v>
      </c>
      <c r="F671" s="29">
        <v>40896</v>
      </c>
      <c r="G671" s="29">
        <v>40557</v>
      </c>
      <c r="H671" s="29">
        <v>60154</v>
      </c>
      <c r="I671" s="29">
        <v>59306</v>
      </c>
      <c r="J671" s="29">
        <v>76222</v>
      </c>
      <c r="K671" s="29">
        <v>76073</v>
      </c>
      <c r="L671" s="29">
        <v>76255</v>
      </c>
      <c r="M671" s="29">
        <v>73348</v>
      </c>
      <c r="N671" s="29">
        <v>73480</v>
      </c>
      <c r="O671" s="29">
        <v>72242</v>
      </c>
      <c r="P671" s="29">
        <v>69733</v>
      </c>
      <c r="Q671" s="29">
        <v>69653</v>
      </c>
      <c r="R671" s="29">
        <v>66585</v>
      </c>
      <c r="S671" s="29">
        <f t="shared" ref="S671:S676" si="683">+BB671</f>
        <v>66662</v>
      </c>
      <c r="T671" s="29">
        <v>66478</v>
      </c>
      <c r="U671" s="29">
        <v>63361</v>
      </c>
      <c r="V671" s="29">
        <v>62862</v>
      </c>
      <c r="W671" s="29">
        <v>59578</v>
      </c>
      <c r="X671" s="29">
        <v>57055</v>
      </c>
      <c r="Y671" s="29">
        <v>55136</v>
      </c>
      <c r="Z671" s="29">
        <v>50007</v>
      </c>
      <c r="AA671" s="29">
        <v>50074</v>
      </c>
      <c r="AB671" s="29">
        <v>50039</v>
      </c>
      <c r="AC671" s="29">
        <v>48260</v>
      </c>
      <c r="AD671" s="29">
        <v>48177</v>
      </c>
      <c r="AE671" s="29">
        <v>47032</v>
      </c>
      <c r="AF671" s="29">
        <v>45374</v>
      </c>
      <c r="AG671" s="29"/>
      <c r="AH671" s="29"/>
      <c r="AI671" s="29"/>
      <c r="AK671" s="29">
        <v>0</v>
      </c>
      <c r="AL671" s="29">
        <v>0</v>
      </c>
      <c r="AM671" s="29">
        <v>0</v>
      </c>
      <c r="AN671" s="29">
        <v>0</v>
      </c>
      <c r="AO671" s="29">
        <v>3746</v>
      </c>
      <c r="AP671" s="29">
        <v>4939</v>
      </c>
      <c r="AQ671" s="29">
        <v>11921</v>
      </c>
      <c r="AR671" s="29">
        <v>10713</v>
      </c>
      <c r="AS671" s="29">
        <v>12601</v>
      </c>
      <c r="AT671" s="29">
        <v>20645</v>
      </c>
      <c r="AU671" s="29">
        <v>27808</v>
      </c>
      <c r="AV671" s="29">
        <v>40557</v>
      </c>
      <c r="AW671" s="29">
        <v>76073</v>
      </c>
      <c r="AY671" s="1018"/>
      <c r="AZ671" s="29">
        <v>76073</v>
      </c>
      <c r="BA671" s="29">
        <v>72242</v>
      </c>
      <c r="BB671" s="29">
        <v>66662</v>
      </c>
      <c r="BC671" s="11">
        <f t="shared" ref="BC671:BC676" si="684">+W671</f>
        <v>59578</v>
      </c>
      <c r="BD671" s="11">
        <f t="shared" si="678"/>
        <v>50074</v>
      </c>
      <c r="BE671" s="11">
        <f t="shared" si="679"/>
        <v>47032</v>
      </c>
      <c r="BF671" s="29"/>
    </row>
    <row r="672" spans="2:58">
      <c r="B672" t="s">
        <v>593</v>
      </c>
      <c r="D672" s="29">
        <v>0</v>
      </c>
      <c r="E672" s="29">
        <v>0</v>
      </c>
      <c r="F672" s="29">
        <v>0</v>
      </c>
      <c r="G672" s="29">
        <v>0</v>
      </c>
      <c r="H672" s="29">
        <v>0</v>
      </c>
      <c r="I672" s="29">
        <v>0</v>
      </c>
      <c r="J672" s="29">
        <v>0</v>
      </c>
      <c r="K672" s="29">
        <v>5372</v>
      </c>
      <c r="L672" s="29">
        <v>5768</v>
      </c>
      <c r="M672" s="29">
        <v>5640</v>
      </c>
      <c r="N672" s="29">
        <v>5751</v>
      </c>
      <c r="O672" s="29">
        <v>5568</v>
      </c>
      <c r="P672" s="29">
        <v>5652</v>
      </c>
      <c r="Q672" s="29">
        <v>5683</v>
      </c>
      <c r="R672" s="29">
        <v>5972</v>
      </c>
      <c r="S672" s="29">
        <f t="shared" si="683"/>
        <v>6188</v>
      </c>
      <c r="T672" s="29">
        <v>6659</v>
      </c>
      <c r="U672" s="29">
        <v>7172</v>
      </c>
      <c r="V672" s="29">
        <v>7248</v>
      </c>
      <c r="W672" s="29">
        <v>7671</v>
      </c>
      <c r="X672" s="29">
        <v>7753</v>
      </c>
      <c r="Y672" s="29">
        <v>8875</v>
      </c>
      <c r="Z672" s="29">
        <v>9272</v>
      </c>
      <c r="AA672" s="29">
        <v>9629</v>
      </c>
      <c r="AB672" s="29">
        <v>14346</v>
      </c>
      <c r="AC672" s="29">
        <v>26121</v>
      </c>
      <c r="AD672" s="29">
        <v>11357</v>
      </c>
      <c r="AE672" s="29">
        <v>11489</v>
      </c>
      <c r="AF672" s="29">
        <v>2549</v>
      </c>
      <c r="AG672" s="29"/>
      <c r="AH672" s="29"/>
      <c r="AI672" s="29"/>
      <c r="AK672" s="29">
        <v>0</v>
      </c>
      <c r="AL672" s="29">
        <v>0</v>
      </c>
      <c r="AM672" s="29">
        <v>0</v>
      </c>
      <c r="AN672" s="29">
        <v>0</v>
      </c>
      <c r="AO672" s="29">
        <v>0</v>
      </c>
      <c r="AP672" s="29">
        <v>0</v>
      </c>
      <c r="AQ672" s="29">
        <v>0</v>
      </c>
      <c r="AR672" s="29">
        <v>0</v>
      </c>
      <c r="AS672" s="29">
        <v>0</v>
      </c>
      <c r="AT672" s="29">
        <v>0</v>
      </c>
      <c r="AU672" s="29">
        <v>0</v>
      </c>
      <c r="AV672" s="29">
        <v>0</v>
      </c>
      <c r="AW672" s="29">
        <v>0</v>
      </c>
      <c r="AY672" s="1018"/>
      <c r="AZ672" s="29">
        <v>5372</v>
      </c>
      <c r="BA672" s="29">
        <v>5568</v>
      </c>
      <c r="BB672" s="29">
        <v>6188</v>
      </c>
      <c r="BC672" s="11">
        <f t="shared" si="684"/>
        <v>7671</v>
      </c>
      <c r="BD672" s="11">
        <f t="shared" si="678"/>
        <v>9629</v>
      </c>
      <c r="BE672" s="11">
        <f t="shared" si="679"/>
        <v>11489</v>
      </c>
      <c r="BF672" s="29"/>
    </row>
    <row r="673" spans="2:58">
      <c r="B673" t="s">
        <v>594</v>
      </c>
      <c r="D673" s="29">
        <v>2784</v>
      </c>
      <c r="E673" s="29">
        <v>4102</v>
      </c>
      <c r="F673" s="29">
        <v>5017</v>
      </c>
      <c r="G673" s="29">
        <v>6441</v>
      </c>
      <c r="H673" s="29">
        <v>7284</v>
      </c>
      <c r="I673" s="29">
        <v>8595</v>
      </c>
      <c r="J673" s="29">
        <v>9215</v>
      </c>
      <c r="K673" s="29">
        <v>2643</v>
      </c>
      <c r="L673" s="29">
        <v>2126</v>
      </c>
      <c r="M673" s="29">
        <v>2500</v>
      </c>
      <c r="N673" s="29">
        <v>2585</v>
      </c>
      <c r="O673" s="29">
        <v>3815</v>
      </c>
      <c r="P673" s="29">
        <v>3538</v>
      </c>
      <c r="Q673" s="29">
        <v>3799</v>
      </c>
      <c r="R673" s="29">
        <v>3884</v>
      </c>
      <c r="S673" s="29">
        <f t="shared" si="683"/>
        <v>4530</v>
      </c>
      <c r="T673" s="29">
        <v>4122</v>
      </c>
      <c r="U673" s="29">
        <v>3878</v>
      </c>
      <c r="V673" s="29">
        <v>3385</v>
      </c>
      <c r="W673" s="29">
        <v>3180</v>
      </c>
      <c r="X673" s="29">
        <v>2829</v>
      </c>
      <c r="Y673" s="29">
        <v>2985</v>
      </c>
      <c r="Z673" s="29">
        <v>2631</v>
      </c>
      <c r="AA673" s="29">
        <v>2616</v>
      </c>
      <c r="AB673" s="29">
        <v>2550</v>
      </c>
      <c r="AC673" s="29">
        <v>2768</v>
      </c>
      <c r="AD673" s="29">
        <v>2769</v>
      </c>
      <c r="AE673" s="29">
        <v>2870</v>
      </c>
      <c r="AF673" s="29">
        <v>11660</v>
      </c>
      <c r="AG673" s="939"/>
      <c r="AH673" s="939"/>
      <c r="AI673" s="939"/>
      <c r="AK673" s="29">
        <v>1665</v>
      </c>
      <c r="AL673" s="29">
        <v>1764</v>
      </c>
      <c r="AM673" s="29">
        <v>1867</v>
      </c>
      <c r="AN673" s="29">
        <v>1900</v>
      </c>
      <c r="AO673" s="29">
        <v>1281</v>
      </c>
      <c r="AP673" s="29">
        <v>1178</v>
      </c>
      <c r="AQ673" s="29">
        <v>1398</v>
      </c>
      <c r="AR673" s="29">
        <v>1406</v>
      </c>
      <c r="AS673" s="29">
        <v>1760</v>
      </c>
      <c r="AT673" s="29">
        <v>2008</v>
      </c>
      <c r="AU673" s="29">
        <v>2095</v>
      </c>
      <c r="AV673" s="29">
        <v>6441</v>
      </c>
      <c r="AW673" s="29">
        <v>10377</v>
      </c>
      <c r="AY673" s="1018"/>
      <c r="AZ673" s="29">
        <v>2643</v>
      </c>
      <c r="BA673" s="29">
        <v>3815</v>
      </c>
      <c r="BB673" s="29">
        <v>4530</v>
      </c>
      <c r="BC673" s="11">
        <f t="shared" si="684"/>
        <v>3180</v>
      </c>
      <c r="BD673" s="11">
        <f t="shared" si="678"/>
        <v>2616</v>
      </c>
      <c r="BE673" s="11">
        <f t="shared" si="679"/>
        <v>2870</v>
      </c>
      <c r="BF673" s="29"/>
    </row>
    <row r="674" spans="2:58">
      <c r="B674" t="s">
        <v>534</v>
      </c>
      <c r="D674" s="29">
        <v>2169</v>
      </c>
      <c r="E674" s="29">
        <v>2194</v>
      </c>
      <c r="F674" s="29">
        <v>2674</v>
      </c>
      <c r="G674" s="29">
        <v>1476</v>
      </c>
      <c r="H674" s="29">
        <v>1564</v>
      </c>
      <c r="I674" s="29">
        <v>1133</v>
      </c>
      <c r="J674" s="29">
        <v>465</v>
      </c>
      <c r="K674" s="29">
        <v>5734</v>
      </c>
      <c r="L674" s="29">
        <v>5513</v>
      </c>
      <c r="M674" s="29">
        <v>3186</v>
      </c>
      <c r="N674" s="29">
        <v>2417</v>
      </c>
      <c r="O674" s="29">
        <v>541</v>
      </c>
      <c r="P674" s="29">
        <v>1977</v>
      </c>
      <c r="Q674" s="29">
        <v>2062</v>
      </c>
      <c r="R674" s="29">
        <v>1838</v>
      </c>
      <c r="S674" s="29">
        <f t="shared" si="683"/>
        <v>233</v>
      </c>
      <c r="T674" s="29">
        <v>234</v>
      </c>
      <c r="U674" s="29">
        <v>222</v>
      </c>
      <c r="V674" s="29">
        <v>185</v>
      </c>
      <c r="W674" s="29">
        <v>204</v>
      </c>
      <c r="X674" s="29">
        <v>187</v>
      </c>
      <c r="Y674" s="29">
        <v>174</v>
      </c>
      <c r="Z674" s="29">
        <v>173</v>
      </c>
      <c r="AA674" s="29">
        <v>198</v>
      </c>
      <c r="AB674" s="29">
        <v>212</v>
      </c>
      <c r="AC674" s="29">
        <v>199</v>
      </c>
      <c r="AD674" s="29">
        <v>304</v>
      </c>
      <c r="AE674" s="29">
        <v>230</v>
      </c>
      <c r="AF674" s="29">
        <v>223</v>
      </c>
      <c r="AG674" s="29"/>
      <c r="AH674" s="29"/>
      <c r="AI674" s="29"/>
      <c r="AK674" s="29">
        <v>0</v>
      </c>
      <c r="AL674" s="29">
        <v>0</v>
      </c>
      <c r="AM674" s="29">
        <v>0</v>
      </c>
      <c r="AN674" s="29">
        <v>0</v>
      </c>
      <c r="AO674" s="29">
        <v>0</v>
      </c>
      <c r="AP674" s="29">
        <v>229</v>
      </c>
      <c r="AQ674" s="29">
        <v>1456</v>
      </c>
      <c r="AR674" s="29">
        <v>1893</v>
      </c>
      <c r="AS674" s="29">
        <v>1709</v>
      </c>
      <c r="AT674" s="29">
        <v>2728</v>
      </c>
      <c r="AU674" s="29">
        <v>1295</v>
      </c>
      <c r="AV674" s="29">
        <v>1476</v>
      </c>
      <c r="AW674" s="29">
        <v>531</v>
      </c>
      <c r="AY674" s="1018"/>
      <c r="AZ674" s="29">
        <v>5734</v>
      </c>
      <c r="BA674" s="29">
        <v>541</v>
      </c>
      <c r="BB674" s="29">
        <v>233</v>
      </c>
      <c r="BC674" s="11">
        <f t="shared" si="684"/>
        <v>204</v>
      </c>
      <c r="BD674" s="11">
        <f t="shared" si="678"/>
        <v>198</v>
      </c>
      <c r="BE674" s="11">
        <f t="shared" si="679"/>
        <v>230</v>
      </c>
      <c r="BF674" s="29"/>
    </row>
    <row r="675" spans="2:58">
      <c r="B675" t="s">
        <v>536</v>
      </c>
      <c r="D675" s="29">
        <v>13280</v>
      </c>
      <c r="E675" s="29">
        <v>13700</v>
      </c>
      <c r="F675" s="29">
        <v>14122</v>
      </c>
      <c r="G675" s="29">
        <v>13640</v>
      </c>
      <c r="H675" s="29">
        <v>14340</v>
      </c>
      <c r="I675" s="29">
        <v>15980</v>
      </c>
      <c r="J675" s="29">
        <v>17381</v>
      </c>
      <c r="K675" s="29">
        <v>3549</v>
      </c>
      <c r="L675" s="29">
        <v>18173</v>
      </c>
      <c r="M675" s="29">
        <v>4820</v>
      </c>
      <c r="N675" s="29">
        <v>5223</v>
      </c>
      <c r="O675" s="29">
        <v>5211</v>
      </c>
      <c r="P675" s="29">
        <v>5539</v>
      </c>
      <c r="Q675" s="29">
        <v>6055</v>
      </c>
      <c r="R675" s="29">
        <v>6763</v>
      </c>
      <c r="S675" s="29">
        <f t="shared" si="683"/>
        <v>7581</v>
      </c>
      <c r="T675" s="29">
        <v>8826</v>
      </c>
      <c r="U675" s="29">
        <v>9658</v>
      </c>
      <c r="V675" s="29">
        <v>9673</v>
      </c>
      <c r="W675" s="29">
        <v>10632</v>
      </c>
      <c r="X675" s="29">
        <v>11525</v>
      </c>
      <c r="Y675" s="29">
        <v>12544</v>
      </c>
      <c r="Z675" s="29">
        <v>12941</v>
      </c>
      <c r="AA675" s="29">
        <v>13427</v>
      </c>
      <c r="AB675" s="29">
        <v>10050</v>
      </c>
      <c r="AC675" s="29">
        <v>10774</v>
      </c>
      <c r="AD675" s="29">
        <v>15154</v>
      </c>
      <c r="AE675" s="29">
        <v>15526</v>
      </c>
      <c r="AF675" s="29">
        <v>15311</v>
      </c>
      <c r="AG675" s="825"/>
      <c r="AH675" s="29"/>
      <c r="AI675" s="29"/>
      <c r="AK675" s="29">
        <v>4158</v>
      </c>
      <c r="AL675" s="29">
        <v>5287</v>
      </c>
      <c r="AM675" s="29">
        <v>6453</v>
      </c>
      <c r="AN675" s="29">
        <v>4721</v>
      </c>
      <c r="AO675" s="29">
        <v>6269</v>
      </c>
      <c r="AP675" s="29">
        <v>7445</v>
      </c>
      <c r="AQ675" s="29">
        <v>8072</v>
      </c>
      <c r="AR675" s="29">
        <v>8208</v>
      </c>
      <c r="AS675" s="29">
        <v>10000</v>
      </c>
      <c r="AT675" s="29">
        <v>11594</v>
      </c>
      <c r="AU675" s="29">
        <v>13544</v>
      </c>
      <c r="AV675" s="29">
        <v>13640</v>
      </c>
      <c r="AW675" s="29">
        <v>17184</v>
      </c>
      <c r="AY675" s="1018"/>
      <c r="AZ675" s="29">
        <v>3549</v>
      </c>
      <c r="BA675" s="29">
        <v>5211</v>
      </c>
      <c r="BB675" s="29">
        <v>7581</v>
      </c>
      <c r="BC675" s="11">
        <f t="shared" si="684"/>
        <v>10632</v>
      </c>
      <c r="BD675" s="11">
        <f t="shared" si="678"/>
        <v>13427</v>
      </c>
      <c r="BE675" s="11">
        <f t="shared" si="679"/>
        <v>15526</v>
      </c>
      <c r="BF675" s="29"/>
    </row>
    <row r="676" spans="2:58" s="852" customFormat="1" ht="11.45">
      <c r="B676" t="s">
        <v>595</v>
      </c>
      <c r="D676" s="939">
        <v>0</v>
      </c>
      <c r="E676" s="939">
        <v>0</v>
      </c>
      <c r="F676" s="939">
        <v>0</v>
      </c>
      <c r="G676" s="939">
        <v>0</v>
      </c>
      <c r="H676" s="939">
        <v>0</v>
      </c>
      <c r="I676" s="939">
        <v>0</v>
      </c>
      <c r="J676" s="939">
        <v>0</v>
      </c>
      <c r="K676" s="939">
        <v>13485</v>
      </c>
      <c r="L676" s="939">
        <v>0</v>
      </c>
      <c r="M676" s="939">
        <v>30050</v>
      </c>
      <c r="N676" s="939">
        <v>30669</v>
      </c>
      <c r="O676" s="939">
        <v>30265</v>
      </c>
      <c r="P676" s="939">
        <v>28936</v>
      </c>
      <c r="Q676" s="939">
        <v>29161</v>
      </c>
      <c r="R676" s="939">
        <v>29514</v>
      </c>
      <c r="S676" s="939">
        <f t="shared" si="683"/>
        <v>29612</v>
      </c>
      <c r="T676" s="939">
        <v>28457</v>
      </c>
      <c r="U676" s="939">
        <v>28754</v>
      </c>
      <c r="V676" s="939">
        <v>28888</v>
      </c>
      <c r="W676" s="939">
        <v>29432</v>
      </c>
      <c r="X676" s="939">
        <v>28204</v>
      </c>
      <c r="Y676" s="939">
        <v>26701</v>
      </c>
      <c r="Z676" s="939">
        <v>27157</v>
      </c>
      <c r="AA676" s="939">
        <v>27190</v>
      </c>
      <c r="AB676" s="30">
        <v>25715</v>
      </c>
      <c r="AC676" s="30">
        <v>14747</v>
      </c>
      <c r="AD676" s="30">
        <v>26483</v>
      </c>
      <c r="AE676" s="30">
        <v>26069</v>
      </c>
      <c r="AF676" s="30">
        <v>23712</v>
      </c>
      <c r="AG676" s="29"/>
      <c r="AH676" s="29"/>
      <c r="AI676" s="29"/>
      <c r="AK676" s="939">
        <v>0</v>
      </c>
      <c r="AL676" s="939">
        <v>0</v>
      </c>
      <c r="AM676" s="939">
        <v>0</v>
      </c>
      <c r="AN676" s="939">
        <v>0</v>
      </c>
      <c r="AO676" s="939">
        <v>0</v>
      </c>
      <c r="AP676" s="939">
        <v>0</v>
      </c>
      <c r="AQ676" s="939">
        <v>0</v>
      </c>
      <c r="AR676" s="939">
        <v>0</v>
      </c>
      <c r="AS676" s="939">
        <v>0</v>
      </c>
      <c r="AT676" s="939">
        <v>0</v>
      </c>
      <c r="AU676" s="939">
        <v>0</v>
      </c>
      <c r="AV676" s="939">
        <v>0</v>
      </c>
      <c r="AW676" s="939">
        <v>0</v>
      </c>
      <c r="AY676" s="1019"/>
      <c r="AZ676" s="939">
        <v>13485</v>
      </c>
      <c r="BA676" s="939">
        <v>30265</v>
      </c>
      <c r="BB676" s="939">
        <v>29612</v>
      </c>
      <c r="BC676" s="940">
        <f t="shared" si="684"/>
        <v>29432</v>
      </c>
      <c r="BD676" s="940">
        <f t="shared" si="678"/>
        <v>27190</v>
      </c>
      <c r="BE676" s="940">
        <f t="shared" si="679"/>
        <v>26069</v>
      </c>
      <c r="BF676" s="939"/>
    </row>
    <row r="677" spans="2:58" s="1" customFormat="1" ht="10.5">
      <c r="B677" s="837" t="s">
        <v>596</v>
      </c>
      <c r="D677" s="838">
        <f t="shared" ref="D677:Q677" si="685">SUM(D671:D676)+D670</f>
        <v>95451</v>
      </c>
      <c r="E677" s="838">
        <f t="shared" si="685"/>
        <v>103318</v>
      </c>
      <c r="F677" s="838">
        <f t="shared" si="685"/>
        <v>107063</v>
      </c>
      <c r="G677" s="838">
        <f t="shared" si="685"/>
        <v>121471</v>
      </c>
      <c r="H677" s="838">
        <f t="shared" si="685"/>
        <v>142152</v>
      </c>
      <c r="I677" s="838">
        <f t="shared" si="685"/>
        <v>155801</v>
      </c>
      <c r="J677" s="838">
        <f t="shared" si="685"/>
        <v>155288</v>
      </c>
      <c r="K677" s="838">
        <f t="shared" si="685"/>
        <v>162601</v>
      </c>
      <c r="L677" s="838">
        <f t="shared" si="685"/>
        <v>159450</v>
      </c>
      <c r="M677" s="838">
        <f t="shared" si="685"/>
        <v>177643</v>
      </c>
      <c r="N677" s="838">
        <f t="shared" si="685"/>
        <v>166258</v>
      </c>
      <c r="O677" s="838">
        <f t="shared" si="685"/>
        <v>176130</v>
      </c>
      <c r="P677" s="838">
        <f t="shared" si="685"/>
        <v>171652</v>
      </c>
      <c r="Q677" s="838">
        <f t="shared" si="685"/>
        <v>166731</v>
      </c>
      <c r="R677" s="838">
        <f t="shared" ref="R677:T677" si="686">SUM(R671:R676)+R670</f>
        <v>168417</v>
      </c>
      <c r="S677" s="838">
        <f t="shared" si="686"/>
        <v>184226</v>
      </c>
      <c r="T677" s="838">
        <f t="shared" si="686"/>
        <v>172894</v>
      </c>
      <c r="U677" s="838">
        <f t="shared" ref="U677:AF677" si="687">SUM(U671:U676)+U670</f>
        <v>172685</v>
      </c>
      <c r="V677" s="838">
        <f t="shared" si="687"/>
        <v>170948</v>
      </c>
      <c r="W677" s="838">
        <f t="shared" si="687"/>
        <v>183007</v>
      </c>
      <c r="X677" s="838">
        <f t="shared" si="687"/>
        <v>177609</v>
      </c>
      <c r="Y677" s="838">
        <f t="shared" si="687"/>
        <v>173901</v>
      </c>
      <c r="Z677" s="838">
        <f t="shared" si="687"/>
        <v>174374</v>
      </c>
      <c r="AA677" s="838">
        <f t="shared" si="687"/>
        <v>191791</v>
      </c>
      <c r="AB677" s="838">
        <f t="shared" si="687"/>
        <v>183440</v>
      </c>
      <c r="AC677" s="838">
        <f t="shared" si="687"/>
        <v>180379</v>
      </c>
      <c r="AD677" s="838">
        <f t="shared" si="687"/>
        <v>181683</v>
      </c>
      <c r="AE677" s="838">
        <f t="shared" si="687"/>
        <v>198298</v>
      </c>
      <c r="AF677" s="838">
        <f t="shared" si="687"/>
        <v>186218</v>
      </c>
      <c r="AK677" s="838">
        <f t="shared" ref="AK677:AW677" si="688">SUM(AK671:AK676)+AK670</f>
        <v>22700</v>
      </c>
      <c r="AL677" s="838">
        <f t="shared" si="688"/>
        <v>29493</v>
      </c>
      <c r="AM677" s="838">
        <f t="shared" si="688"/>
        <v>32074</v>
      </c>
      <c r="AN677" s="838">
        <f t="shared" si="688"/>
        <v>36507</v>
      </c>
      <c r="AO677" s="838">
        <f t="shared" si="688"/>
        <v>38330</v>
      </c>
      <c r="AP677" s="838">
        <f t="shared" si="688"/>
        <v>39938</v>
      </c>
      <c r="AQ677" s="838">
        <f t="shared" si="688"/>
        <v>51621</v>
      </c>
      <c r="AR677" s="838">
        <f t="shared" si="688"/>
        <v>54908</v>
      </c>
      <c r="AS677" s="838">
        <f t="shared" si="688"/>
        <v>63487</v>
      </c>
      <c r="AT677" s="838">
        <f t="shared" si="688"/>
        <v>82600</v>
      </c>
      <c r="AU677" s="838">
        <f t="shared" si="688"/>
        <v>94389</v>
      </c>
      <c r="AV677" s="838">
        <f t="shared" si="688"/>
        <v>121471</v>
      </c>
      <c r="AW677" s="838">
        <f t="shared" si="688"/>
        <v>168692</v>
      </c>
      <c r="AY677" s="1020"/>
      <c r="AZ677" s="838">
        <f>SUM(AZ671:AZ676)+AZ670</f>
        <v>162601</v>
      </c>
      <c r="BA677" s="838">
        <f>SUM(BA671:BA676)+BA670</f>
        <v>176130</v>
      </c>
      <c r="BB677" s="838">
        <f>SUM(BB671:BB676)+BB670</f>
        <v>184226</v>
      </c>
      <c r="BC677" s="849">
        <f>SUM(BC671:BC676)+BC670</f>
        <v>183007</v>
      </c>
      <c r="BD677" s="849">
        <f t="shared" si="678"/>
        <v>191791</v>
      </c>
      <c r="BE677" s="849">
        <f t="shared" si="679"/>
        <v>198298</v>
      </c>
      <c r="BF677" s="838"/>
    </row>
    <row r="678" spans="2:58">
      <c r="AY678" s="1018"/>
      <c r="BC678" s="100"/>
      <c r="BD678" s="100"/>
      <c r="BE678" s="100"/>
    </row>
    <row r="679" spans="2:58" ht="10.5">
      <c r="B679" s="45" t="s">
        <v>597</v>
      </c>
      <c r="AY679" s="1018"/>
      <c r="BC679" s="100"/>
      <c r="BD679" s="100"/>
      <c r="BE679" s="100"/>
    </row>
    <row r="680" spans="2:58">
      <c r="B680" t="s">
        <v>598</v>
      </c>
      <c r="D680" s="29">
        <v>68093</v>
      </c>
      <c r="E680" s="29">
        <v>68279</v>
      </c>
      <c r="F680" s="29">
        <v>68012</v>
      </c>
      <c r="G680" s="29">
        <v>68178</v>
      </c>
      <c r="H680" s="29">
        <v>67747</v>
      </c>
      <c r="I680" s="29">
        <v>68177</v>
      </c>
      <c r="J680" s="29">
        <v>68554</v>
      </c>
      <c r="K680" s="29">
        <v>69315</v>
      </c>
      <c r="L680" s="29">
        <v>69419</v>
      </c>
      <c r="M680" s="29">
        <v>70192</v>
      </c>
      <c r="N680" s="29">
        <v>70418</v>
      </c>
      <c r="O680" s="29">
        <v>71223</v>
      </c>
      <c r="P680" s="29">
        <v>71303</v>
      </c>
      <c r="Q680" s="29">
        <v>77556</v>
      </c>
      <c r="R680" s="29">
        <v>77791</v>
      </c>
      <c r="S680" s="29">
        <f t="shared" ref="S680:S682" si="689">+BB680</f>
        <v>78520</v>
      </c>
      <c r="T680" s="29">
        <v>78882</v>
      </c>
      <c r="U680" s="29">
        <v>79625</v>
      </c>
      <c r="V680" s="29">
        <v>79813</v>
      </c>
      <c r="W680" s="29">
        <v>80552</v>
      </c>
      <c r="X680" s="29">
        <v>81089</v>
      </c>
      <c r="Y680" s="29">
        <v>81896</v>
      </c>
      <c r="Z680" s="29">
        <v>82308</v>
      </c>
      <c r="AA680" s="29">
        <v>83111</v>
      </c>
      <c r="AB680" s="29">
        <v>83751</v>
      </c>
      <c r="AC680" s="29">
        <v>84528</v>
      </c>
      <c r="AD680" s="29">
        <v>85767</v>
      </c>
      <c r="AE680" s="29">
        <v>86939</v>
      </c>
      <c r="AF680" s="29">
        <v>88535</v>
      </c>
      <c r="AG680" s="29"/>
      <c r="AH680" s="29"/>
      <c r="AI680" s="29"/>
      <c r="AK680" s="29">
        <v>60413</v>
      </c>
      <c r="AL680" s="29">
        <v>59005</v>
      </c>
      <c r="AM680" s="29">
        <v>60557</v>
      </c>
      <c r="AN680" s="29">
        <v>62849</v>
      </c>
      <c r="AO680" s="29">
        <v>62382</v>
      </c>
      <c r="AP680" s="29">
        <v>62856</v>
      </c>
      <c r="AQ680" s="29">
        <v>63415</v>
      </c>
      <c r="AR680" s="29">
        <v>65797</v>
      </c>
      <c r="AS680" s="29">
        <v>67306</v>
      </c>
      <c r="AT680" s="29">
        <v>68366</v>
      </c>
      <c r="AU680" s="29">
        <v>68465</v>
      </c>
      <c r="AV680" s="29">
        <v>68178</v>
      </c>
      <c r="AW680" s="29">
        <v>69315</v>
      </c>
      <c r="AY680" s="1018"/>
      <c r="AZ680" s="29">
        <v>69315</v>
      </c>
      <c r="BA680" s="29">
        <v>71223</v>
      </c>
      <c r="BB680" s="29">
        <v>78520</v>
      </c>
      <c r="BC680" s="11">
        <f>+W680</f>
        <v>80552</v>
      </c>
      <c r="BD680" s="11">
        <f t="shared" ref="BD680:BD684" si="690">+AA680</f>
        <v>83111</v>
      </c>
      <c r="BE680" s="11">
        <f t="shared" si="679"/>
        <v>86939</v>
      </c>
      <c r="BF680" s="29"/>
    </row>
    <row r="681" spans="2:58">
      <c r="B681" t="s">
        <v>599</v>
      </c>
      <c r="D681" s="29">
        <v>7614</v>
      </c>
      <c r="E681" s="29">
        <v>6728</v>
      </c>
      <c r="F681" s="29">
        <v>4954</v>
      </c>
      <c r="G681" s="29">
        <v>2282</v>
      </c>
      <c r="H681" s="29">
        <v>944</v>
      </c>
      <c r="I681" s="29">
        <v>120</v>
      </c>
      <c r="J681" s="29">
        <v>531</v>
      </c>
      <c r="K681" s="29">
        <v>17769</v>
      </c>
      <c r="L681" s="29">
        <v>19702</v>
      </c>
      <c r="M681" s="29">
        <v>8567</v>
      </c>
      <c r="N681" s="29">
        <v>9974</v>
      </c>
      <c r="O681" s="29">
        <v>13682</v>
      </c>
      <c r="P681" s="29">
        <v>17279</v>
      </c>
      <c r="Q681" s="29">
        <v>16585</v>
      </c>
      <c r="R681" s="29">
        <v>18338</v>
      </c>
      <c r="S681" s="29">
        <f t="shared" si="689"/>
        <v>24150</v>
      </c>
      <c r="T681" s="29">
        <v>27240</v>
      </c>
      <c r="U681" s="29">
        <v>30739</v>
      </c>
      <c r="V681" s="29">
        <v>32012</v>
      </c>
      <c r="W681" s="29">
        <v>34566</v>
      </c>
      <c r="X681" s="29">
        <v>39193</v>
      </c>
      <c r="Y681" s="29">
        <v>44973</v>
      </c>
      <c r="Z681" s="29">
        <v>50735</v>
      </c>
      <c r="AA681" s="29">
        <v>57055</v>
      </c>
      <c r="AB681" s="29">
        <v>66944</v>
      </c>
      <c r="AC681" s="29">
        <v>75045</v>
      </c>
      <c r="AD681" s="29">
        <v>79633</v>
      </c>
      <c r="AE681" s="29">
        <v>84281</v>
      </c>
      <c r="AF681" s="29">
        <v>92374</v>
      </c>
      <c r="AG681" s="29"/>
      <c r="AH681" s="29"/>
      <c r="AI681" s="29"/>
      <c r="AK681" s="29">
        <v>-12298</v>
      </c>
      <c r="AL681" s="29">
        <v>-18901</v>
      </c>
      <c r="AM681" s="29">
        <v>-29460</v>
      </c>
      <c r="AN681" s="29">
        <v>-26563</v>
      </c>
      <c r="AO681" s="29">
        <v>-22824</v>
      </c>
      <c r="AP681" s="29">
        <v>-16681</v>
      </c>
      <c r="AQ681" s="29">
        <v>-6332</v>
      </c>
      <c r="AR681" s="29">
        <v>-856</v>
      </c>
      <c r="AS681" s="29">
        <v>9895</v>
      </c>
      <c r="AT681" s="29">
        <v>17710</v>
      </c>
      <c r="AU681" s="29">
        <v>9096</v>
      </c>
      <c r="AV681" s="29">
        <v>2282</v>
      </c>
      <c r="AW681" s="29">
        <v>2648</v>
      </c>
      <c r="AY681" s="1018"/>
      <c r="AZ681" s="29">
        <v>17769</v>
      </c>
      <c r="BA681" s="29">
        <v>13682</v>
      </c>
      <c r="BB681" s="29">
        <v>24150</v>
      </c>
      <c r="BC681" s="11">
        <f>+W681</f>
        <v>34566</v>
      </c>
      <c r="BD681" s="11">
        <f t="shared" si="690"/>
        <v>57055</v>
      </c>
      <c r="BE681" s="11">
        <f t="shared" si="679"/>
        <v>84281</v>
      </c>
      <c r="BF681" s="29"/>
    </row>
    <row r="682" spans="2:58" ht="11.45">
      <c r="B682" t="s">
        <v>600</v>
      </c>
      <c r="D682" s="30">
        <v>1738</v>
      </c>
      <c r="E682" s="30">
        <v>1773</v>
      </c>
      <c r="F682" s="30">
        <v>1840</v>
      </c>
      <c r="G682" s="30">
        <v>1537</v>
      </c>
      <c r="H682" s="30">
        <v>1681</v>
      </c>
      <c r="I682" s="30">
        <v>512</v>
      </c>
      <c r="J682" s="30">
        <v>644</v>
      </c>
      <c r="K682" s="30">
        <v>627</v>
      </c>
      <c r="L682" s="30">
        <v>526</v>
      </c>
      <c r="M682" s="30">
        <v>-399</v>
      </c>
      <c r="N682" s="30">
        <v>-1153</v>
      </c>
      <c r="O682" s="30">
        <v>-2187</v>
      </c>
      <c r="P682" s="30">
        <v>-2615</v>
      </c>
      <c r="Q682" s="30">
        <v>-2013</v>
      </c>
      <c r="R682" s="30">
        <v>-1265</v>
      </c>
      <c r="S682" s="30">
        <f t="shared" si="689"/>
        <v>-340</v>
      </c>
      <c r="T682" s="30">
        <v>-61</v>
      </c>
      <c r="U682" s="30">
        <v>-255</v>
      </c>
      <c r="V682" s="30">
        <v>2676</v>
      </c>
      <c r="W682" s="30">
        <v>3186</v>
      </c>
      <c r="X682" s="30">
        <v>3110</v>
      </c>
      <c r="Y682" s="30">
        <v>3367</v>
      </c>
      <c r="Z682" s="30">
        <v>1462</v>
      </c>
      <c r="AA682" s="30">
        <v>1822</v>
      </c>
      <c r="AB682" s="30">
        <v>1283</v>
      </c>
      <c r="AC682" s="30">
        <v>437</v>
      </c>
      <c r="AD682" s="30">
        <v>-2476</v>
      </c>
      <c r="AE682" s="30">
        <v>-4678</v>
      </c>
      <c r="AF682" s="30">
        <v>-7343</v>
      </c>
      <c r="AG682" s="30"/>
      <c r="AH682" s="30"/>
      <c r="AI682" s="30"/>
      <c r="AK682" s="30">
        <v>0</v>
      </c>
      <c r="AL682" s="30">
        <v>0</v>
      </c>
      <c r="AM682" s="30">
        <v>0</v>
      </c>
      <c r="AN682" s="30">
        <v>0</v>
      </c>
      <c r="AO682" s="30">
        <v>0</v>
      </c>
      <c r="AP682" s="30">
        <v>0</v>
      </c>
      <c r="AQ682" s="30">
        <v>0</v>
      </c>
      <c r="AR682" s="30">
        <v>1422</v>
      </c>
      <c r="AS682" s="30">
        <v>1743</v>
      </c>
      <c r="AT682" s="30">
        <v>3708</v>
      </c>
      <c r="AU682" s="30">
        <v>2522</v>
      </c>
      <c r="AV682" s="30">
        <v>1537</v>
      </c>
      <c r="AW682" s="30">
        <v>431</v>
      </c>
      <c r="AX682" s="953"/>
      <c r="AY682" s="1021"/>
      <c r="AZ682" s="30">
        <v>627</v>
      </c>
      <c r="BA682" s="30">
        <v>-2187</v>
      </c>
      <c r="BB682" s="30">
        <v>-340</v>
      </c>
      <c r="BC682" s="34">
        <f>+W682</f>
        <v>3186</v>
      </c>
      <c r="BD682" s="34">
        <f t="shared" si="690"/>
        <v>1822</v>
      </c>
      <c r="BE682" s="34">
        <f t="shared" si="679"/>
        <v>-4678</v>
      </c>
      <c r="BF682" s="30"/>
    </row>
    <row r="683" spans="2:58" s="1" customFormat="1" ht="13.5">
      <c r="B683" s="837" t="s">
        <v>601</v>
      </c>
      <c r="D683" s="959">
        <f>SUM(D680:D682)</f>
        <v>77445</v>
      </c>
      <c r="E683" s="959">
        <f t="shared" ref="E683:AF683" si="691">SUM(E680:E682)</f>
        <v>76780</v>
      </c>
      <c r="F683" s="959">
        <f t="shared" si="691"/>
        <v>74806</v>
      </c>
      <c r="G683" s="959">
        <f t="shared" si="691"/>
        <v>71997</v>
      </c>
      <c r="H683" s="959">
        <f t="shared" si="691"/>
        <v>70372</v>
      </c>
      <c r="I683" s="959">
        <f t="shared" si="691"/>
        <v>68809</v>
      </c>
      <c r="J683" s="959">
        <f t="shared" si="691"/>
        <v>69729</v>
      </c>
      <c r="K683" s="959">
        <f t="shared" si="691"/>
        <v>87711</v>
      </c>
      <c r="L683" s="959">
        <f t="shared" si="691"/>
        <v>89647</v>
      </c>
      <c r="M683" s="959">
        <f t="shared" si="691"/>
        <v>78360</v>
      </c>
      <c r="N683" s="959">
        <f t="shared" si="691"/>
        <v>79239</v>
      </c>
      <c r="O683" s="959">
        <f t="shared" si="691"/>
        <v>82718</v>
      </c>
      <c r="P683" s="959">
        <f t="shared" si="691"/>
        <v>85967</v>
      </c>
      <c r="Q683" s="959">
        <f t="shared" si="691"/>
        <v>92128</v>
      </c>
      <c r="R683" s="959">
        <f t="shared" si="691"/>
        <v>94864</v>
      </c>
      <c r="S683" s="959">
        <f t="shared" si="691"/>
        <v>102330</v>
      </c>
      <c r="T683" s="959">
        <f t="shared" si="691"/>
        <v>106061</v>
      </c>
      <c r="U683" s="959">
        <f t="shared" si="691"/>
        <v>110109</v>
      </c>
      <c r="V683" s="959">
        <f t="shared" si="691"/>
        <v>114501</v>
      </c>
      <c r="W683" s="959">
        <f t="shared" si="691"/>
        <v>118304</v>
      </c>
      <c r="X683" s="959">
        <f t="shared" si="691"/>
        <v>123392</v>
      </c>
      <c r="Y683" s="959">
        <f t="shared" si="691"/>
        <v>130236</v>
      </c>
      <c r="Z683" s="959">
        <f t="shared" si="691"/>
        <v>134505</v>
      </c>
      <c r="AA683" s="959">
        <f t="shared" si="691"/>
        <v>141988</v>
      </c>
      <c r="AB683" s="959">
        <f t="shared" si="691"/>
        <v>151978</v>
      </c>
      <c r="AC683" s="959">
        <f t="shared" si="691"/>
        <v>160010</v>
      </c>
      <c r="AD683" s="959">
        <f t="shared" si="691"/>
        <v>162924</v>
      </c>
      <c r="AE683" s="959">
        <f t="shared" si="691"/>
        <v>166542</v>
      </c>
      <c r="AF683" s="959">
        <f t="shared" si="691"/>
        <v>173566</v>
      </c>
      <c r="AG683" s="959"/>
      <c r="AH683" s="959"/>
      <c r="AI683" s="959"/>
      <c r="AK683" s="959">
        <f>SUM(AK680:AK682)</f>
        <v>48115</v>
      </c>
      <c r="AL683" s="959">
        <f t="shared" ref="AL683:AW683" si="692">SUM(AL680:AL682)</f>
        <v>40104</v>
      </c>
      <c r="AM683" s="959">
        <f t="shared" si="692"/>
        <v>31097</v>
      </c>
      <c r="AN683" s="959">
        <f t="shared" si="692"/>
        <v>36286</v>
      </c>
      <c r="AO683" s="959">
        <f t="shared" si="692"/>
        <v>39558</v>
      </c>
      <c r="AP683" s="959">
        <f t="shared" si="692"/>
        <v>46175</v>
      </c>
      <c r="AQ683" s="959">
        <f t="shared" si="692"/>
        <v>57083</v>
      </c>
      <c r="AR683" s="959">
        <f t="shared" si="692"/>
        <v>66363</v>
      </c>
      <c r="AS683" s="959">
        <f t="shared" si="692"/>
        <v>78944</v>
      </c>
      <c r="AT683" s="959">
        <f t="shared" si="692"/>
        <v>89784</v>
      </c>
      <c r="AU683" s="959">
        <f t="shared" si="692"/>
        <v>80083</v>
      </c>
      <c r="AV683" s="959">
        <f t="shared" si="692"/>
        <v>71997</v>
      </c>
      <c r="AW683" s="959">
        <f t="shared" si="692"/>
        <v>72394</v>
      </c>
      <c r="AX683" s="102"/>
      <c r="AY683" s="1022"/>
      <c r="AZ683" s="959">
        <f t="shared" ref="AZ683:BC683" si="693">SUM(AZ680:AZ682)</f>
        <v>87711</v>
      </c>
      <c r="BA683" s="959">
        <f t="shared" si="693"/>
        <v>82718</v>
      </c>
      <c r="BB683" s="959">
        <f t="shared" si="693"/>
        <v>102330</v>
      </c>
      <c r="BC683" s="959">
        <f t="shared" si="693"/>
        <v>118304</v>
      </c>
      <c r="BD683" s="959">
        <f t="shared" si="690"/>
        <v>141988</v>
      </c>
      <c r="BE683" s="959">
        <f t="shared" si="679"/>
        <v>166542</v>
      </c>
      <c r="BF683" s="959"/>
    </row>
    <row r="684" spans="2:58" s="1" customFormat="1" ht="10.5">
      <c r="B684" s="1" t="s">
        <v>602</v>
      </c>
      <c r="D684" s="838">
        <f>+D677+D683</f>
        <v>172896</v>
      </c>
      <c r="E684" s="838">
        <f t="shared" ref="E684:AF684" si="694">+E677+E683</f>
        <v>180098</v>
      </c>
      <c r="F684" s="838">
        <f t="shared" si="694"/>
        <v>181869</v>
      </c>
      <c r="G684" s="838">
        <f t="shared" si="694"/>
        <v>193468</v>
      </c>
      <c r="H684" s="838">
        <f t="shared" si="694"/>
        <v>212524</v>
      </c>
      <c r="I684" s="838">
        <f t="shared" si="694"/>
        <v>224610</v>
      </c>
      <c r="J684" s="838">
        <f t="shared" si="694"/>
        <v>225017</v>
      </c>
      <c r="K684" s="838">
        <f t="shared" si="694"/>
        <v>250312</v>
      </c>
      <c r="L684" s="838">
        <f t="shared" si="694"/>
        <v>249097</v>
      </c>
      <c r="M684" s="838">
        <f t="shared" si="694"/>
        <v>256003</v>
      </c>
      <c r="N684" s="838">
        <f t="shared" si="694"/>
        <v>245497</v>
      </c>
      <c r="O684" s="838">
        <f t="shared" si="694"/>
        <v>258848</v>
      </c>
      <c r="P684" s="838">
        <f t="shared" si="694"/>
        <v>257619</v>
      </c>
      <c r="Q684" s="838">
        <f t="shared" si="694"/>
        <v>258859</v>
      </c>
      <c r="R684" s="838">
        <f t="shared" si="694"/>
        <v>263281</v>
      </c>
      <c r="S684" s="838">
        <f t="shared" si="694"/>
        <v>286556</v>
      </c>
      <c r="T684" s="838">
        <f t="shared" si="694"/>
        <v>278955</v>
      </c>
      <c r="U684" s="838">
        <f t="shared" si="694"/>
        <v>282794</v>
      </c>
      <c r="V684" s="838">
        <f t="shared" si="694"/>
        <v>285449</v>
      </c>
      <c r="W684" s="838">
        <f t="shared" si="694"/>
        <v>301311</v>
      </c>
      <c r="X684" s="838">
        <f t="shared" si="694"/>
        <v>301001</v>
      </c>
      <c r="Y684" s="838">
        <f t="shared" si="694"/>
        <v>304137</v>
      </c>
      <c r="Z684" s="838">
        <f t="shared" si="694"/>
        <v>308879</v>
      </c>
      <c r="AA684" s="838">
        <f t="shared" si="694"/>
        <v>333779</v>
      </c>
      <c r="AB684" s="838">
        <f t="shared" si="694"/>
        <v>335418</v>
      </c>
      <c r="AC684" s="838">
        <f t="shared" si="694"/>
        <v>340389</v>
      </c>
      <c r="AD684" s="838">
        <f t="shared" si="694"/>
        <v>344607</v>
      </c>
      <c r="AE684" s="838">
        <f t="shared" si="694"/>
        <v>364840</v>
      </c>
      <c r="AF684" s="838">
        <f t="shared" si="694"/>
        <v>359784</v>
      </c>
      <c r="AG684" s="838"/>
      <c r="AH684" s="838"/>
      <c r="AI684" s="838"/>
      <c r="AK684" s="838">
        <f>+AK677+AK683</f>
        <v>70815</v>
      </c>
      <c r="AL684" s="838">
        <f t="shared" ref="AL684:AW684" si="695">+AL677+AL683</f>
        <v>69597</v>
      </c>
      <c r="AM684" s="838">
        <f t="shared" si="695"/>
        <v>63171</v>
      </c>
      <c r="AN684" s="838">
        <f t="shared" si="695"/>
        <v>72793</v>
      </c>
      <c r="AO684" s="838">
        <f t="shared" si="695"/>
        <v>77888</v>
      </c>
      <c r="AP684" s="838">
        <f t="shared" si="695"/>
        <v>86113</v>
      </c>
      <c r="AQ684" s="838">
        <f t="shared" si="695"/>
        <v>108704</v>
      </c>
      <c r="AR684" s="838">
        <f t="shared" si="695"/>
        <v>121271</v>
      </c>
      <c r="AS684" s="838">
        <f t="shared" si="695"/>
        <v>142431</v>
      </c>
      <c r="AT684" s="838">
        <f t="shared" si="695"/>
        <v>172384</v>
      </c>
      <c r="AU684" s="838">
        <f t="shared" si="695"/>
        <v>174472</v>
      </c>
      <c r="AV684" s="838">
        <f t="shared" si="695"/>
        <v>193468</v>
      </c>
      <c r="AW684" s="838">
        <f t="shared" si="695"/>
        <v>241086</v>
      </c>
      <c r="AY684" s="1023"/>
      <c r="AZ684" s="838">
        <f t="shared" ref="AZ684:BC684" si="696">+AZ677+AZ683</f>
        <v>250312</v>
      </c>
      <c r="BA684" s="838">
        <f t="shared" si="696"/>
        <v>258848</v>
      </c>
      <c r="BB684" s="838">
        <f t="shared" si="696"/>
        <v>286556</v>
      </c>
      <c r="BC684" s="849">
        <f t="shared" si="696"/>
        <v>301311</v>
      </c>
      <c r="BD684" s="849">
        <f t="shared" si="690"/>
        <v>333779</v>
      </c>
      <c r="BE684" s="849">
        <f t="shared" si="679"/>
        <v>364840</v>
      </c>
      <c r="BF684" s="838"/>
    </row>
    <row r="685" spans="2:58">
      <c r="BC685" s="100"/>
      <c r="BD685" s="100"/>
    </row>
    <row r="686" spans="2:58" ht="10.5">
      <c r="B686" s="5" t="s">
        <v>614</v>
      </c>
      <c r="C686" s="4"/>
      <c r="BC686" s="100"/>
      <c r="BD686" s="100"/>
    </row>
    <row r="687" spans="2:58">
      <c r="BC687" s="100"/>
      <c r="BD687" s="100"/>
    </row>
    <row r="688" spans="2:58" ht="10.5">
      <c r="B688" s="45" t="s">
        <v>615</v>
      </c>
    </row>
    <row r="689" spans="2:62">
      <c r="B689" t="s">
        <v>335</v>
      </c>
      <c r="D689" s="29">
        <v>8718</v>
      </c>
      <c r="E689" s="29">
        <v>8257</v>
      </c>
      <c r="F689" s="29">
        <v>8006</v>
      </c>
      <c r="G689" s="29">
        <v>10673</v>
      </c>
      <c r="H689" s="29">
        <v>9656</v>
      </c>
      <c r="I689" s="29">
        <v>9839</v>
      </c>
      <c r="J689" s="29">
        <v>9697</v>
      </c>
      <c r="K689" s="29">
        <v>12692</v>
      </c>
      <c r="L689" s="29">
        <v>11808</v>
      </c>
      <c r="M689" s="29">
        <v>11290</v>
      </c>
      <c r="N689" s="29">
        <v>11185</v>
      </c>
      <c r="O689" s="29">
        <v>14864</v>
      </c>
      <c r="P689" s="29">
        <v>13753</v>
      </c>
      <c r="Q689" s="29">
        <v>12635</v>
      </c>
      <c r="R689" s="29">
        <v>12679</v>
      </c>
      <c r="S689" s="29">
        <v>16831</v>
      </c>
      <c r="T689" s="29">
        <v>15560</v>
      </c>
      <c r="U689" s="29">
        <v>14266</v>
      </c>
      <c r="V689" s="29">
        <v>14077</v>
      </c>
      <c r="W689" s="29">
        <v>18643</v>
      </c>
      <c r="X689" s="29">
        <v>17675</v>
      </c>
      <c r="Y689" s="29">
        <v>16225</v>
      </c>
      <c r="Z689" s="29">
        <v>16169</v>
      </c>
      <c r="AA689" s="29">
        <v>22120</v>
      </c>
      <c r="AB689" s="29">
        <v>20565</v>
      </c>
      <c r="AC689" s="29">
        <v>18494</v>
      </c>
      <c r="AD689" s="29">
        <v>18578</v>
      </c>
      <c r="AE689" s="29">
        <v>24558</v>
      </c>
      <c r="AF689" s="29">
        <v>22405</v>
      </c>
      <c r="AG689" s="29"/>
      <c r="AH689" s="29"/>
      <c r="AI689" s="29"/>
      <c r="AY689" s="8">
        <f>+G689</f>
        <v>10673</v>
      </c>
      <c r="AZ689" s="8">
        <f>+K689</f>
        <v>12692</v>
      </c>
      <c r="BA689" s="8">
        <f>+O689</f>
        <v>14864</v>
      </c>
      <c r="BB689" s="8">
        <f>+S689</f>
        <v>16831</v>
      </c>
      <c r="BC689" s="8">
        <f>+W689</f>
        <v>18643</v>
      </c>
      <c r="BD689" s="8">
        <f>+AA689</f>
        <v>22120</v>
      </c>
      <c r="BE689" s="8">
        <f>+AE689</f>
        <v>24558</v>
      </c>
      <c r="BF689" s="8"/>
    </row>
    <row r="690" spans="2:62">
      <c r="B690" t="s">
        <v>337</v>
      </c>
      <c r="D690" s="29">
        <v>7107</v>
      </c>
      <c r="E690" s="29">
        <v>6702</v>
      </c>
      <c r="F690" s="29">
        <v>6679</v>
      </c>
      <c r="G690" s="29">
        <v>8913</v>
      </c>
      <c r="H690" s="29">
        <v>8057</v>
      </c>
      <c r="I690" s="29">
        <v>7676</v>
      </c>
      <c r="J690" s="29">
        <v>7735</v>
      </c>
      <c r="K690" s="29">
        <v>11152</v>
      </c>
      <c r="L690" s="29">
        <v>10156</v>
      </c>
      <c r="M690" s="29">
        <v>9759</v>
      </c>
      <c r="N690" s="29">
        <v>9987</v>
      </c>
      <c r="O690" s="29">
        <v>14706</v>
      </c>
      <c r="P690" s="29">
        <v>13298</v>
      </c>
      <c r="Q690" s="29">
        <v>12551</v>
      </c>
      <c r="R690" s="29">
        <v>12531</v>
      </c>
      <c r="S690" s="29">
        <v>16988</v>
      </c>
      <c r="T690" s="29">
        <v>15255</v>
      </c>
      <c r="U690" s="29">
        <v>13766</v>
      </c>
      <c r="V690" s="29">
        <v>12984</v>
      </c>
      <c r="W690" s="29">
        <v>16620</v>
      </c>
      <c r="X690" s="29">
        <v>15039</v>
      </c>
      <c r="Y690" s="29">
        <v>13786</v>
      </c>
      <c r="Z690" s="29">
        <v>13098</v>
      </c>
      <c r="AA690" s="29">
        <v>17710</v>
      </c>
      <c r="AB690" s="29">
        <v>16117</v>
      </c>
      <c r="AC690" s="29">
        <v>14549</v>
      </c>
      <c r="AD690" s="29">
        <v>14524</v>
      </c>
      <c r="AE690" s="29">
        <v>19371</v>
      </c>
      <c r="AF690" s="29">
        <v>17294</v>
      </c>
      <c r="AG690" s="29"/>
      <c r="AH690" s="29"/>
      <c r="AI690" s="29"/>
      <c r="AY690" s="8">
        <f t="shared" ref="AY690:AY692" si="697">+G690</f>
        <v>8913</v>
      </c>
      <c r="AZ690" s="8">
        <f t="shared" ref="AZ690:AZ692" si="698">+K690</f>
        <v>11152</v>
      </c>
      <c r="BA690" s="8">
        <f t="shared" ref="BA690:BA692" si="699">+O690</f>
        <v>14706</v>
      </c>
      <c r="BB690" s="8">
        <f t="shared" ref="BB690:BB692" si="700">+S690</f>
        <v>16988</v>
      </c>
      <c r="BC690" s="8">
        <f t="shared" ref="BC690:BC692" si="701">+W690</f>
        <v>16620</v>
      </c>
      <c r="BD690" s="8">
        <f t="shared" ref="BD690:BD692" si="702">+AA690</f>
        <v>17710</v>
      </c>
      <c r="BE690" s="8">
        <f t="shared" ref="BE690:BE692" si="703">+AE690</f>
        <v>19371</v>
      </c>
      <c r="BF690" s="8"/>
    </row>
    <row r="691" spans="2:62" s="852" customFormat="1">
      <c r="B691" t="s">
        <v>339</v>
      </c>
      <c r="D691" s="939">
        <v>2366</v>
      </c>
      <c r="E691" s="939">
        <v>2393</v>
      </c>
      <c r="F691" s="939">
        <v>2427</v>
      </c>
      <c r="G691" s="939">
        <v>2607</v>
      </c>
      <c r="H691" s="939">
        <v>2657</v>
      </c>
      <c r="I691" s="939">
        <v>2476</v>
      </c>
      <c r="J691" s="939">
        <v>2472</v>
      </c>
      <c r="K691" s="939">
        <v>2812</v>
      </c>
      <c r="L691" s="939">
        <v>2940</v>
      </c>
      <c r="M691" s="939">
        <v>2760</v>
      </c>
      <c r="N691" s="939">
        <v>2783</v>
      </c>
      <c r="O691" s="939">
        <v>3150</v>
      </c>
      <c r="P691" s="939">
        <v>3191</v>
      </c>
      <c r="Q691" s="939">
        <v>2898</v>
      </c>
      <c r="R691" s="939">
        <v>2925</v>
      </c>
      <c r="S691" s="939">
        <v>3387</v>
      </c>
      <c r="T691" s="939">
        <v>3211</v>
      </c>
      <c r="U691" s="939">
        <v>3189</v>
      </c>
      <c r="V691" s="939">
        <v>3336</v>
      </c>
      <c r="W691" s="939">
        <v>3917</v>
      </c>
      <c r="X691" s="939">
        <v>3591</v>
      </c>
      <c r="Y691" s="939">
        <v>3376</v>
      </c>
      <c r="Z691" s="939">
        <v>3447</v>
      </c>
      <c r="AA691" s="939">
        <v>4311</v>
      </c>
      <c r="AB691" s="939">
        <v>4333</v>
      </c>
      <c r="AC691" s="939">
        <v>3726</v>
      </c>
      <c r="AD691" s="939">
        <v>3694</v>
      </c>
      <c r="AE691" s="939">
        <v>4479</v>
      </c>
      <c r="AF691" s="939">
        <v>4190</v>
      </c>
      <c r="AG691" s="939"/>
      <c r="AH691" s="939"/>
      <c r="AI691" s="939"/>
      <c r="AK691" s="939"/>
      <c r="AL691" s="939"/>
      <c r="AM691" s="939"/>
      <c r="AN691" s="939"/>
      <c r="AO691" s="939"/>
      <c r="AP691" s="939"/>
      <c r="AQ691" s="939"/>
      <c r="AR691" s="939"/>
      <c r="AS691" s="939"/>
      <c r="AT691" s="939"/>
      <c r="AU691" s="939"/>
      <c r="AV691" s="939"/>
      <c r="AW691" s="939"/>
      <c r="AY691" s="940">
        <f t="shared" si="697"/>
        <v>2607</v>
      </c>
      <c r="AZ691" s="940">
        <f t="shared" si="698"/>
        <v>2812</v>
      </c>
      <c r="BA691" s="940">
        <f t="shared" si="699"/>
        <v>3150</v>
      </c>
      <c r="BB691" s="940">
        <f t="shared" si="700"/>
        <v>3387</v>
      </c>
      <c r="BC691" s="940">
        <f t="shared" si="701"/>
        <v>3917</v>
      </c>
      <c r="BD691" s="940">
        <f t="shared" si="702"/>
        <v>4311</v>
      </c>
      <c r="BE691" s="940">
        <f t="shared" si="703"/>
        <v>4479</v>
      </c>
      <c r="BF691" s="939"/>
    </row>
    <row r="692" spans="2:62" s="1" customFormat="1" ht="10.5">
      <c r="B692" s="837" t="s">
        <v>616</v>
      </c>
      <c r="D692" s="838">
        <f>SUM(D689:D691)</f>
        <v>18191</v>
      </c>
      <c r="E692" s="838">
        <f t="shared" ref="E692:AF692" si="704">SUM(E689:E691)</f>
        <v>17352</v>
      </c>
      <c r="F692" s="838">
        <f t="shared" si="704"/>
        <v>17112</v>
      </c>
      <c r="G692" s="838">
        <f t="shared" si="704"/>
        <v>22193</v>
      </c>
      <c r="H692" s="838">
        <f t="shared" si="704"/>
        <v>20370</v>
      </c>
      <c r="I692" s="838">
        <f t="shared" si="704"/>
        <v>19991</v>
      </c>
      <c r="J692" s="838">
        <f t="shared" si="704"/>
        <v>19904</v>
      </c>
      <c r="K692" s="838">
        <f t="shared" si="704"/>
        <v>26656</v>
      </c>
      <c r="L692" s="838">
        <f t="shared" si="704"/>
        <v>24904</v>
      </c>
      <c r="M692" s="838">
        <f t="shared" si="704"/>
        <v>23809</v>
      </c>
      <c r="N692" s="838">
        <f t="shared" si="704"/>
        <v>23955</v>
      </c>
      <c r="O692" s="838">
        <f t="shared" si="704"/>
        <v>32720</v>
      </c>
      <c r="P692" s="838">
        <f t="shared" si="704"/>
        <v>30242</v>
      </c>
      <c r="Q692" s="838">
        <f t="shared" si="704"/>
        <v>28084</v>
      </c>
      <c r="R692" s="838">
        <f t="shared" si="704"/>
        <v>28135</v>
      </c>
      <c r="S692" s="838">
        <f t="shared" si="704"/>
        <v>37206</v>
      </c>
      <c r="T692" s="838">
        <f t="shared" si="704"/>
        <v>34026</v>
      </c>
      <c r="U692" s="838">
        <f t="shared" si="704"/>
        <v>31221</v>
      </c>
      <c r="V692" s="838">
        <f t="shared" si="704"/>
        <v>30397</v>
      </c>
      <c r="W692" s="838">
        <f t="shared" si="704"/>
        <v>39180</v>
      </c>
      <c r="X692" s="838">
        <f t="shared" si="704"/>
        <v>36305</v>
      </c>
      <c r="Y692" s="838">
        <f t="shared" si="704"/>
        <v>33387</v>
      </c>
      <c r="Z692" s="838">
        <f t="shared" si="704"/>
        <v>32714</v>
      </c>
      <c r="AA692" s="838">
        <f t="shared" si="704"/>
        <v>44141</v>
      </c>
      <c r="AB692" s="838">
        <f t="shared" si="704"/>
        <v>41015</v>
      </c>
      <c r="AC692" s="838">
        <f t="shared" si="704"/>
        <v>36769</v>
      </c>
      <c r="AD692" s="838">
        <f t="shared" si="704"/>
        <v>36796</v>
      </c>
      <c r="AE692" s="838">
        <f t="shared" si="704"/>
        <v>48408</v>
      </c>
      <c r="AF692" s="838">
        <f t="shared" si="704"/>
        <v>43889</v>
      </c>
      <c r="AG692" s="838"/>
      <c r="AH692" s="838"/>
      <c r="AI692" s="838"/>
      <c r="AK692" s="838">
        <f t="shared" ref="AK692:AT692" si="705">+AK673+AK667</f>
        <v>9167</v>
      </c>
      <c r="AL692" s="838">
        <f t="shared" si="705"/>
        <v>10902</v>
      </c>
      <c r="AM692" s="838">
        <f t="shared" si="705"/>
        <v>12646</v>
      </c>
      <c r="AN692" s="838">
        <f t="shared" si="705"/>
        <v>15297</v>
      </c>
      <c r="AO692" s="838">
        <f t="shared" si="705"/>
        <v>14284</v>
      </c>
      <c r="AP692" s="838">
        <f t="shared" si="705"/>
        <v>14830</v>
      </c>
      <c r="AQ692" s="838">
        <f t="shared" si="705"/>
        <v>17120</v>
      </c>
      <c r="AR692" s="838">
        <f t="shared" si="705"/>
        <v>20059</v>
      </c>
      <c r="AS692" s="838">
        <f t="shared" si="705"/>
        <v>22399</v>
      </c>
      <c r="AT692" s="838">
        <f t="shared" si="705"/>
        <v>25158</v>
      </c>
      <c r="AU692" s="838">
        <f>+AU673+AU667</f>
        <v>25318</v>
      </c>
      <c r="AV692" s="838"/>
      <c r="AW692" s="838"/>
      <c r="AY692" s="838">
        <f t="shared" si="697"/>
        <v>22193</v>
      </c>
      <c r="AZ692" s="838">
        <f t="shared" si="698"/>
        <v>26656</v>
      </c>
      <c r="BA692" s="838">
        <f t="shared" si="699"/>
        <v>32720</v>
      </c>
      <c r="BB692" s="838">
        <f t="shared" si="700"/>
        <v>37206</v>
      </c>
      <c r="BC692" s="838">
        <f t="shared" si="701"/>
        <v>39180</v>
      </c>
      <c r="BD692" s="838">
        <f t="shared" si="702"/>
        <v>44141</v>
      </c>
      <c r="BE692" s="838">
        <f t="shared" si="703"/>
        <v>48408</v>
      </c>
      <c r="BF692" s="838"/>
    </row>
    <row r="694" spans="2:62" s="3" customFormat="1">
      <c r="B694" s="24" t="s">
        <v>113</v>
      </c>
    </row>
    <row r="695" spans="2:62" s="3" customFormat="1">
      <c r="B695" s="13" t="str">
        <f>+B689</f>
        <v>Productivity and Business Processes</v>
      </c>
      <c r="D695" s="228"/>
      <c r="E695" s="228"/>
      <c r="F695" s="228"/>
      <c r="G695" s="228"/>
      <c r="H695" s="228">
        <f>+IFERROR(H689/D689-1,"n/a ")</f>
        <v>0.10759348474420749</v>
      </c>
      <c r="I695" s="228">
        <f t="shared" ref="I695:AF698" si="706">+IFERROR(I689/E689-1,"n/a ")</f>
        <v>0.19159501029429582</v>
      </c>
      <c r="J695" s="228">
        <f t="shared" si="706"/>
        <v>0.21121658755933059</v>
      </c>
      <c r="K695" s="228">
        <f t="shared" si="706"/>
        <v>0.18916893094725018</v>
      </c>
      <c r="L695" s="228">
        <f t="shared" si="706"/>
        <v>0.22286661143330577</v>
      </c>
      <c r="M695" s="228">
        <f t="shared" si="706"/>
        <v>0.14747433682284794</v>
      </c>
      <c r="N695" s="228">
        <f t="shared" si="706"/>
        <v>0.15344952047024862</v>
      </c>
      <c r="O695" s="228">
        <f t="shared" si="706"/>
        <v>0.1711314213677908</v>
      </c>
      <c r="P695" s="228">
        <f t="shared" si="706"/>
        <v>0.1647188346883468</v>
      </c>
      <c r="Q695" s="228">
        <f t="shared" si="706"/>
        <v>0.11913197519929142</v>
      </c>
      <c r="R695" s="228">
        <f t="shared" si="706"/>
        <v>0.13357174787662052</v>
      </c>
      <c r="S695" s="228">
        <f t="shared" si="706"/>
        <v>0.13233315392895584</v>
      </c>
      <c r="T695" s="228">
        <f t="shared" si="706"/>
        <v>0.13138951501490581</v>
      </c>
      <c r="U695" s="228">
        <f t="shared" si="706"/>
        <v>0.12908587257617721</v>
      </c>
      <c r="V695" s="228">
        <f t="shared" si="706"/>
        <v>0.11026106159791782</v>
      </c>
      <c r="W695" s="228">
        <f t="shared" si="706"/>
        <v>0.10765848731507344</v>
      </c>
      <c r="X695" s="228">
        <f t="shared" si="706"/>
        <v>0.13592544987146526</v>
      </c>
      <c r="Y695" s="228">
        <f t="shared" si="706"/>
        <v>0.13731950091125755</v>
      </c>
      <c r="Z695" s="228">
        <f t="shared" si="706"/>
        <v>0.14861120977481002</v>
      </c>
      <c r="AA695" s="228">
        <f t="shared" si="706"/>
        <v>0.1865043179745749</v>
      </c>
      <c r="AB695" s="228">
        <f t="shared" si="706"/>
        <v>0.16350777934936356</v>
      </c>
      <c r="AC695" s="228">
        <f t="shared" si="706"/>
        <v>0.13984591679506941</v>
      </c>
      <c r="AD695" s="228">
        <f t="shared" si="706"/>
        <v>0.14898880573937778</v>
      </c>
      <c r="AE695" s="228">
        <f t="shared" si="706"/>
        <v>0.11021699819168163</v>
      </c>
      <c r="AF695" s="228">
        <f t="shared" si="706"/>
        <v>8.9472404570872799E-2</v>
      </c>
      <c r="AG695" s="228"/>
      <c r="AH695" s="228"/>
      <c r="AI695" s="228"/>
      <c r="AJ695" s="228"/>
      <c r="AK695" s="228"/>
      <c r="AL695" s="228"/>
      <c r="AM695" s="228"/>
      <c r="AN695" s="228"/>
      <c r="AO695" s="228"/>
      <c r="AP695" s="228"/>
      <c r="AQ695" s="228"/>
      <c r="AR695" s="228"/>
      <c r="AS695" s="228"/>
      <c r="AT695" s="228"/>
      <c r="AU695" s="228"/>
      <c r="AV695" s="228"/>
      <c r="AW695" s="228"/>
      <c r="AX695" s="228"/>
      <c r="AY695" s="228"/>
      <c r="AZ695" s="228">
        <f>+IFERROR(AZ689/AY689-1,"n/a ")</f>
        <v>0.18916893094725018</v>
      </c>
      <c r="BA695" s="228">
        <f>+IFERROR(BA689/AZ689-1,"n/a ")</f>
        <v>0.1711314213677908</v>
      </c>
      <c r="BB695" s="228">
        <f t="shared" ref="BB695:BE698" si="707">+IFERROR(BB689/BA689-1,"n/a ")</f>
        <v>0.13233315392895584</v>
      </c>
      <c r="BC695" s="228">
        <f t="shared" si="707"/>
        <v>0.10765848731507344</v>
      </c>
      <c r="BD695" s="228">
        <f t="shared" si="707"/>
        <v>0.1865043179745749</v>
      </c>
      <c r="BE695" s="228">
        <f t="shared" si="707"/>
        <v>0.11021699819168163</v>
      </c>
      <c r="BF695" s="228"/>
      <c r="BG695" s="228"/>
      <c r="BH695" s="228"/>
      <c r="BI695" s="228"/>
      <c r="BJ695" s="228"/>
    </row>
    <row r="696" spans="2:62" s="3" customFormat="1">
      <c r="B696" s="13" t="str">
        <f t="shared" ref="B696:B698" si="708">+B690</f>
        <v>Intelligent Cloud</v>
      </c>
      <c r="D696" s="228"/>
      <c r="E696" s="228"/>
      <c r="F696" s="228"/>
      <c r="G696" s="228"/>
      <c r="H696" s="228">
        <f t="shared" ref="H696:H698" si="709">+IFERROR(H690/D690-1,"n/a ")</f>
        <v>0.13367102856338819</v>
      </c>
      <c r="I696" s="228">
        <f t="shared" si="706"/>
        <v>0.14532975231274237</v>
      </c>
      <c r="J696" s="228">
        <f t="shared" si="706"/>
        <v>0.15810750112292249</v>
      </c>
      <c r="K696" s="228">
        <f t="shared" si="706"/>
        <v>0.25120610344440708</v>
      </c>
      <c r="L696" s="228">
        <f t="shared" si="706"/>
        <v>0.2605188035248851</v>
      </c>
      <c r="M696" s="228">
        <f t="shared" si="706"/>
        <v>0.27136529442417934</v>
      </c>
      <c r="N696" s="228">
        <f t="shared" si="706"/>
        <v>0.29114414996767946</v>
      </c>
      <c r="O696" s="228">
        <f t="shared" si="706"/>
        <v>0.31868723098995688</v>
      </c>
      <c r="P696" s="228">
        <f t="shared" si="706"/>
        <v>0.30937376920047255</v>
      </c>
      <c r="Q696" s="228">
        <f t="shared" si="706"/>
        <v>0.28609488677118566</v>
      </c>
      <c r="R696" s="228">
        <f t="shared" si="706"/>
        <v>0.25473115049564443</v>
      </c>
      <c r="S696" s="228">
        <f t="shared" si="706"/>
        <v>0.1551747586019312</v>
      </c>
      <c r="T696" s="228">
        <f t="shared" si="706"/>
        <v>0.1471649872161227</v>
      </c>
      <c r="U696" s="228">
        <f t="shared" si="706"/>
        <v>9.6805035455342248E-2</v>
      </c>
      <c r="V696" s="228">
        <f t="shared" si="706"/>
        <v>3.6150347139095151E-2</v>
      </c>
      <c r="W696" s="228">
        <f t="shared" si="706"/>
        <v>-2.1662349894042809E-2</v>
      </c>
      <c r="X696" s="228">
        <f t="shared" si="706"/>
        <v>-1.415929203539823E-2</v>
      </c>
      <c r="Y696" s="228">
        <f t="shared" si="706"/>
        <v>1.4528548597994018E-3</v>
      </c>
      <c r="Z696" s="228">
        <f t="shared" si="706"/>
        <v>8.7800369685766544E-3</v>
      </c>
      <c r="AA696" s="228">
        <f t="shared" si="706"/>
        <v>6.5583634175691907E-2</v>
      </c>
      <c r="AB696" s="228">
        <f t="shared" si="706"/>
        <v>7.1680297892147138E-2</v>
      </c>
      <c r="AC696" s="228">
        <f t="shared" si="706"/>
        <v>5.5346003191643733E-2</v>
      </c>
      <c r="AD696" s="228">
        <f t="shared" si="706"/>
        <v>0.10887158344785464</v>
      </c>
      <c r="AE696" s="228">
        <f t="shared" si="706"/>
        <v>9.3788819875776364E-2</v>
      </c>
      <c r="AF696" s="228">
        <f t="shared" si="706"/>
        <v>7.3028479245517142E-2</v>
      </c>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f t="shared" ref="AZ696:BA698" si="710">+IFERROR(AZ690/AY690-1,"n/a ")</f>
        <v>0.25120610344440708</v>
      </c>
      <c r="BA696" s="228">
        <f t="shared" si="710"/>
        <v>0.31868723098995688</v>
      </c>
      <c r="BB696" s="228">
        <f t="shared" si="707"/>
        <v>0.1551747586019312</v>
      </c>
      <c r="BC696" s="228">
        <f t="shared" si="707"/>
        <v>-2.1662349894042809E-2</v>
      </c>
      <c r="BD696" s="228">
        <f t="shared" si="707"/>
        <v>6.5583634175691907E-2</v>
      </c>
      <c r="BE696" s="228">
        <f t="shared" si="707"/>
        <v>9.3788819875776364E-2</v>
      </c>
      <c r="BF696" s="228"/>
      <c r="BG696" s="228"/>
      <c r="BH696" s="228"/>
      <c r="BI696" s="228"/>
      <c r="BJ696" s="228"/>
    </row>
    <row r="697" spans="2:62" s="839" customFormat="1" ht="11.45">
      <c r="B697" s="13" t="str">
        <f t="shared" si="708"/>
        <v>More Personal Computing</v>
      </c>
      <c r="D697" s="840"/>
      <c r="E697" s="840"/>
      <c r="F697" s="840"/>
      <c r="G697" s="840"/>
      <c r="H697" s="840">
        <f t="shared" si="709"/>
        <v>0.1229923922231615</v>
      </c>
      <c r="I697" s="840">
        <f t="shared" si="706"/>
        <v>3.4684496447973334E-2</v>
      </c>
      <c r="J697" s="840">
        <f t="shared" si="706"/>
        <v>1.8541409147095234E-2</v>
      </c>
      <c r="K697" s="840">
        <f t="shared" si="706"/>
        <v>7.8634445723053226E-2</v>
      </c>
      <c r="L697" s="840">
        <f t="shared" si="706"/>
        <v>0.10651110274745945</v>
      </c>
      <c r="M697" s="840">
        <f t="shared" si="706"/>
        <v>0.1147011308562198</v>
      </c>
      <c r="N697" s="840">
        <f t="shared" si="706"/>
        <v>0.1258090614886731</v>
      </c>
      <c r="O697" s="840">
        <f t="shared" si="706"/>
        <v>0.12019914651493591</v>
      </c>
      <c r="P697" s="840">
        <f t="shared" si="706"/>
        <v>8.5374149659863896E-2</v>
      </c>
      <c r="Q697" s="840">
        <f t="shared" si="706"/>
        <v>5.0000000000000044E-2</v>
      </c>
      <c r="R697" s="840">
        <f t="shared" si="706"/>
        <v>5.1024074739489667E-2</v>
      </c>
      <c r="S697" s="840">
        <f t="shared" si="706"/>
        <v>7.5238095238095326E-2</v>
      </c>
      <c r="T697" s="840">
        <f t="shared" si="706"/>
        <v>6.2676277029145577E-3</v>
      </c>
      <c r="U697" s="840">
        <f t="shared" si="706"/>
        <v>0.10041407867494834</v>
      </c>
      <c r="V697" s="840">
        <f t="shared" si="706"/>
        <v>0.14051282051282055</v>
      </c>
      <c r="W697" s="840">
        <f t="shared" si="706"/>
        <v>0.15648066135222916</v>
      </c>
      <c r="X697" s="840">
        <f t="shared" si="706"/>
        <v>0.11834319526627213</v>
      </c>
      <c r="Y697" s="840">
        <f t="shared" si="706"/>
        <v>5.8639071809344578E-2</v>
      </c>
      <c r="Z697" s="840">
        <f t="shared" si="706"/>
        <v>3.3273381294963933E-2</v>
      </c>
      <c r="AA697" s="840">
        <f t="shared" si="706"/>
        <v>0.100587184069441</v>
      </c>
      <c r="AB697" s="840">
        <f t="shared" si="706"/>
        <v>0.20662768031189094</v>
      </c>
      <c r="AC697" s="840">
        <f t="shared" si="706"/>
        <v>0.10367298578199047</v>
      </c>
      <c r="AD697" s="840">
        <f t="shared" si="706"/>
        <v>7.1656512909776593E-2</v>
      </c>
      <c r="AE697" s="840">
        <f t="shared" si="706"/>
        <v>3.8970076548364707E-2</v>
      </c>
      <c r="AF697" s="840">
        <f t="shared" si="706"/>
        <v>-3.3002538656819791E-2</v>
      </c>
      <c r="AG697" s="840"/>
      <c r="AH697" s="840"/>
      <c r="AI697" s="840"/>
      <c r="AJ697" s="840"/>
      <c r="AK697" s="840"/>
      <c r="AL697" s="840"/>
      <c r="AM697" s="840"/>
      <c r="AN697" s="840"/>
      <c r="AO697" s="840"/>
      <c r="AP697" s="840"/>
      <c r="AQ697" s="840"/>
      <c r="AR697" s="840"/>
      <c r="AS697" s="840"/>
      <c r="AT697" s="840"/>
      <c r="AU697" s="840"/>
      <c r="AV697" s="840"/>
      <c r="AW697" s="840"/>
      <c r="AX697" s="840"/>
      <c r="AY697" s="840"/>
      <c r="AZ697" s="840">
        <f t="shared" si="710"/>
        <v>7.8634445723053226E-2</v>
      </c>
      <c r="BA697" s="840">
        <f t="shared" si="710"/>
        <v>0.12019914651493591</v>
      </c>
      <c r="BB697" s="840">
        <f t="shared" si="707"/>
        <v>7.5238095238095326E-2</v>
      </c>
      <c r="BC697" s="840">
        <f t="shared" si="707"/>
        <v>0.15648066135222916</v>
      </c>
      <c r="BD697" s="840">
        <f t="shared" si="707"/>
        <v>0.100587184069441</v>
      </c>
      <c r="BE697" s="840">
        <f t="shared" si="707"/>
        <v>3.8970076548364707E-2</v>
      </c>
      <c r="BF697" s="840"/>
      <c r="BG697" s="840"/>
      <c r="BH697" s="840"/>
      <c r="BI697" s="840"/>
      <c r="BJ697" s="840"/>
    </row>
    <row r="698" spans="2:62" s="7" customFormat="1">
      <c r="B698" s="841" t="str">
        <f t="shared" si="708"/>
        <v>Total uneaerned revenue</v>
      </c>
      <c r="D698" s="842"/>
      <c r="E698" s="842"/>
      <c r="F698" s="842"/>
      <c r="G698" s="842"/>
      <c r="H698" s="842">
        <f t="shared" si="709"/>
        <v>0.11978450882304426</v>
      </c>
      <c r="I698" s="842">
        <f t="shared" si="706"/>
        <v>0.15208621484555085</v>
      </c>
      <c r="J698" s="842">
        <f t="shared" si="706"/>
        <v>0.16316035530621775</v>
      </c>
      <c r="K698" s="842">
        <f t="shared" si="706"/>
        <v>0.20109944577118921</v>
      </c>
      <c r="L698" s="842">
        <f t="shared" si="706"/>
        <v>0.22258222876779588</v>
      </c>
      <c r="M698" s="842">
        <f t="shared" si="706"/>
        <v>0.19098594367465349</v>
      </c>
      <c r="N698" s="842">
        <f t="shared" si="706"/>
        <v>0.20352692926045024</v>
      </c>
      <c r="O698" s="842">
        <f t="shared" si="706"/>
        <v>0.22749099639855941</v>
      </c>
      <c r="P698" s="842">
        <f t="shared" si="706"/>
        <v>0.21434307741728231</v>
      </c>
      <c r="Q698" s="842">
        <f t="shared" si="706"/>
        <v>0.17955395018690412</v>
      </c>
      <c r="R698" s="842">
        <f t="shared" si="706"/>
        <v>0.17449384262158207</v>
      </c>
      <c r="S698" s="842">
        <f t="shared" si="706"/>
        <v>0.13710268948655258</v>
      </c>
      <c r="T698" s="842">
        <f t="shared" si="706"/>
        <v>0.12512399973546717</v>
      </c>
      <c r="U698" s="842">
        <f t="shared" si="706"/>
        <v>0.11170061244836926</v>
      </c>
      <c r="V698" s="842">
        <f t="shared" si="706"/>
        <v>8.0398080682424045E-2</v>
      </c>
      <c r="W698" s="842">
        <f t="shared" si="706"/>
        <v>5.3055958716336171E-2</v>
      </c>
      <c r="X698" s="842">
        <f t="shared" si="706"/>
        <v>6.6978193146417508E-2</v>
      </c>
      <c r="Y698" s="842">
        <f t="shared" si="706"/>
        <v>6.9376381281829547E-2</v>
      </c>
      <c r="Z698" s="842">
        <f t="shared" si="706"/>
        <v>7.6224627430338421E-2</v>
      </c>
      <c r="AA698" s="842">
        <f t="shared" si="706"/>
        <v>0.12662072485962228</v>
      </c>
      <c r="AB698" s="842">
        <f t="shared" si="706"/>
        <v>0.1297341963916816</v>
      </c>
      <c r="AC698" s="842">
        <f t="shared" si="706"/>
        <v>0.10129691197172552</v>
      </c>
      <c r="AD698" s="842">
        <f t="shared" si="706"/>
        <v>0.12477838234395056</v>
      </c>
      <c r="AE698" s="842">
        <f t="shared" si="706"/>
        <v>9.666749733807567E-2</v>
      </c>
      <c r="AF698" s="842">
        <f t="shared" si="706"/>
        <v>7.0071924905522387E-2</v>
      </c>
      <c r="AG698" s="842"/>
      <c r="AH698" s="842"/>
      <c r="AI698" s="842"/>
      <c r="AJ698" s="842"/>
      <c r="AK698" s="842"/>
      <c r="AL698" s="842">
        <f t="shared" ref="AL698" si="711">+IFERROR(AL692/AK692-1,"n/a ")</f>
        <v>0.18926584487836795</v>
      </c>
      <c r="AM698" s="842">
        <f t="shared" ref="AM698" si="712">+IFERROR(AM692/AL692-1,"n/a ")</f>
        <v>0.1599706475875986</v>
      </c>
      <c r="AN698" s="842">
        <f t="shared" ref="AN698" si="713">+IFERROR(AN692/AM692-1,"n/a ")</f>
        <v>0.20963150403289577</v>
      </c>
      <c r="AO698" s="842">
        <f t="shared" ref="AO698" si="714">+IFERROR(AO692/AN692-1,"n/a ")</f>
        <v>-6.6222135059161968E-2</v>
      </c>
      <c r="AP698" s="842">
        <f t="shared" ref="AP698" si="715">+IFERROR(AP692/AO692-1,"n/a ")</f>
        <v>3.822458695043407E-2</v>
      </c>
      <c r="AQ698" s="842">
        <f t="shared" ref="AQ698" si="716">+IFERROR(AQ692/AP692-1,"n/a ")</f>
        <v>0.15441672285906938</v>
      </c>
      <c r="AR698" s="842">
        <f t="shared" ref="AR698" si="717">+IFERROR(AR692/AQ692-1,"n/a ")</f>
        <v>0.17167056074766363</v>
      </c>
      <c r="AS698" s="842">
        <f t="shared" ref="AS698" si="718">+IFERROR(AS692/AR692-1,"n/a ")</f>
        <v>0.1166558651976668</v>
      </c>
      <c r="AT698" s="842">
        <f t="shared" ref="AT698" si="719">+IFERROR(AT692/AS692-1,"n/a ")</f>
        <v>0.12317514174739941</v>
      </c>
      <c r="AU698" s="842">
        <f t="shared" ref="AU698" si="720">+IFERROR(AU692/AT692-1,"n/a ")</f>
        <v>6.359806025916237E-3</v>
      </c>
      <c r="AV698" s="842">
        <f t="shared" ref="AV698" si="721">+IFERROR(AV692/AU692-1,"n/a ")</f>
        <v>-1</v>
      </c>
      <c r="AW698" s="842" t="str">
        <f t="shared" ref="AW698" si="722">+IFERROR(AW692/AV692-1,"n/a ")</f>
        <v xml:space="preserve">n/a </v>
      </c>
      <c r="AX698" s="842" t="str">
        <f t="shared" ref="AX698" si="723">+IFERROR(AX692/AW692-1,"n/a ")</f>
        <v xml:space="preserve">n/a </v>
      </c>
      <c r="AY698" s="842">
        <f>+AY692/AU692-1</f>
        <v>-0.12342997077178297</v>
      </c>
      <c r="AZ698" s="842">
        <f t="shared" si="710"/>
        <v>0.20109944577118921</v>
      </c>
      <c r="BA698" s="842">
        <f t="shared" si="710"/>
        <v>0.22749099639855941</v>
      </c>
      <c r="BB698" s="842">
        <f t="shared" si="707"/>
        <v>0.13710268948655258</v>
      </c>
      <c r="BC698" s="842">
        <f t="shared" si="707"/>
        <v>5.3055958716336171E-2</v>
      </c>
      <c r="BD698" s="842">
        <f t="shared" si="707"/>
        <v>0.12662072485962228</v>
      </c>
      <c r="BE698" s="842">
        <f t="shared" si="707"/>
        <v>9.666749733807567E-2</v>
      </c>
      <c r="BF698" s="842"/>
      <c r="BG698" s="842"/>
      <c r="BH698" s="842"/>
      <c r="BI698" s="842"/>
      <c r="BJ698" s="842"/>
    </row>
    <row r="700" spans="2:62" s="100" customFormat="1" ht="10.5">
      <c r="B700" s="958" t="s">
        <v>617</v>
      </c>
    </row>
    <row r="701" spans="2:62" s="100" customFormat="1">
      <c r="B701" s="100" t="s">
        <v>335</v>
      </c>
      <c r="D701" s="11"/>
      <c r="E701" s="11"/>
      <c r="F701" s="11"/>
      <c r="G701" s="11"/>
      <c r="H701" s="11">
        <f t="shared" ref="H701:AF704" si="724">+H689-G689</f>
        <v>-1017</v>
      </c>
      <c r="I701" s="11">
        <f t="shared" si="724"/>
        <v>183</v>
      </c>
      <c r="J701" s="11">
        <f t="shared" si="724"/>
        <v>-142</v>
      </c>
      <c r="K701" s="11">
        <f t="shared" si="724"/>
        <v>2995</v>
      </c>
      <c r="L701" s="11">
        <f t="shared" si="724"/>
        <v>-884</v>
      </c>
      <c r="M701" s="11">
        <f t="shared" si="724"/>
        <v>-518</v>
      </c>
      <c r="N701" s="11">
        <f t="shared" si="724"/>
        <v>-105</v>
      </c>
      <c r="O701" s="11">
        <f t="shared" si="724"/>
        <v>3679</v>
      </c>
      <c r="P701" s="11">
        <f t="shared" si="724"/>
        <v>-1111</v>
      </c>
      <c r="Q701" s="11">
        <f t="shared" si="724"/>
        <v>-1118</v>
      </c>
      <c r="R701" s="11">
        <f t="shared" si="724"/>
        <v>44</v>
      </c>
      <c r="S701" s="11">
        <f t="shared" si="724"/>
        <v>4152</v>
      </c>
      <c r="T701" s="11">
        <f t="shared" si="724"/>
        <v>-1271</v>
      </c>
      <c r="U701" s="11">
        <f t="shared" si="724"/>
        <v>-1294</v>
      </c>
      <c r="V701" s="11">
        <f t="shared" si="724"/>
        <v>-189</v>
      </c>
      <c r="W701" s="11">
        <f t="shared" si="724"/>
        <v>4566</v>
      </c>
      <c r="X701" s="11">
        <f t="shared" si="724"/>
        <v>-968</v>
      </c>
      <c r="Y701" s="11">
        <f t="shared" si="724"/>
        <v>-1450</v>
      </c>
      <c r="Z701" s="11">
        <f t="shared" si="724"/>
        <v>-56</v>
      </c>
      <c r="AA701" s="11">
        <f t="shared" si="724"/>
        <v>5951</v>
      </c>
      <c r="AB701" s="11">
        <f t="shared" si="724"/>
        <v>-1555</v>
      </c>
      <c r="AC701" s="11">
        <f t="shared" si="724"/>
        <v>-2071</v>
      </c>
      <c r="AD701" s="11">
        <f t="shared" si="724"/>
        <v>84</v>
      </c>
      <c r="AE701" s="11">
        <f t="shared" si="724"/>
        <v>5980</v>
      </c>
      <c r="AF701" s="11">
        <f>+AF689-AE689</f>
        <v>-2153</v>
      </c>
      <c r="AG701" s="11"/>
      <c r="AH701" s="11"/>
      <c r="AI701" s="11"/>
      <c r="AY701" s="11"/>
      <c r="AZ701" s="11">
        <f t="shared" ref="AZ701:BE704" si="725">+AZ689-AY689</f>
        <v>2019</v>
      </c>
      <c r="BA701" s="11">
        <f t="shared" si="725"/>
        <v>2172</v>
      </c>
      <c r="BB701" s="11">
        <f t="shared" si="725"/>
        <v>1967</v>
      </c>
      <c r="BC701" s="11">
        <f t="shared" si="725"/>
        <v>1812</v>
      </c>
      <c r="BD701" s="11">
        <f t="shared" si="725"/>
        <v>3477</v>
      </c>
      <c r="BE701" s="11">
        <f t="shared" si="725"/>
        <v>2438</v>
      </c>
      <c r="BF701" s="11"/>
    </row>
    <row r="702" spans="2:62" s="100" customFormat="1">
      <c r="B702" s="100" t="s">
        <v>337</v>
      </c>
      <c r="D702" s="11"/>
      <c r="E702" s="11"/>
      <c r="F702" s="11"/>
      <c r="G702" s="11"/>
      <c r="H702" s="11">
        <f t="shared" si="724"/>
        <v>-856</v>
      </c>
      <c r="I702" s="11">
        <f t="shared" si="724"/>
        <v>-381</v>
      </c>
      <c r="J702" s="11">
        <f t="shared" si="724"/>
        <v>59</v>
      </c>
      <c r="K702" s="11">
        <f t="shared" si="724"/>
        <v>3417</v>
      </c>
      <c r="L702" s="11">
        <f t="shared" si="724"/>
        <v>-996</v>
      </c>
      <c r="M702" s="11">
        <f t="shared" si="724"/>
        <v>-397</v>
      </c>
      <c r="N702" s="11">
        <f t="shared" si="724"/>
        <v>228</v>
      </c>
      <c r="O702" s="11">
        <f t="shared" si="724"/>
        <v>4719</v>
      </c>
      <c r="P702" s="11">
        <f t="shared" si="724"/>
        <v>-1408</v>
      </c>
      <c r="Q702" s="11">
        <f t="shared" si="724"/>
        <v>-747</v>
      </c>
      <c r="R702" s="11">
        <f t="shared" si="724"/>
        <v>-20</v>
      </c>
      <c r="S702" s="11">
        <f t="shared" si="724"/>
        <v>4457</v>
      </c>
      <c r="T702" s="11">
        <f t="shared" si="724"/>
        <v>-1733</v>
      </c>
      <c r="U702" s="11">
        <f t="shared" si="724"/>
        <v>-1489</v>
      </c>
      <c r="V702" s="11">
        <f t="shared" si="724"/>
        <v>-782</v>
      </c>
      <c r="W702" s="11">
        <f t="shared" si="724"/>
        <v>3636</v>
      </c>
      <c r="X702" s="11">
        <f t="shared" si="724"/>
        <v>-1581</v>
      </c>
      <c r="Y702" s="11">
        <f t="shared" si="724"/>
        <v>-1253</v>
      </c>
      <c r="Z702" s="11">
        <f t="shared" si="724"/>
        <v>-688</v>
      </c>
      <c r="AA702" s="11">
        <f t="shared" si="724"/>
        <v>4612</v>
      </c>
      <c r="AB702" s="11">
        <f t="shared" si="724"/>
        <v>-1593</v>
      </c>
      <c r="AC702" s="11">
        <f t="shared" si="724"/>
        <v>-1568</v>
      </c>
      <c r="AD702" s="11">
        <f t="shared" si="724"/>
        <v>-25</v>
      </c>
      <c r="AE702" s="11">
        <f t="shared" si="724"/>
        <v>4847</v>
      </c>
      <c r="AF702" s="11">
        <f t="shared" si="724"/>
        <v>-2077</v>
      </c>
      <c r="AG702" s="11"/>
      <c r="AH702" s="11"/>
      <c r="AI702" s="11"/>
      <c r="AY702" s="11"/>
      <c r="AZ702" s="11">
        <f t="shared" si="725"/>
        <v>2239</v>
      </c>
      <c r="BA702" s="11">
        <f t="shared" si="725"/>
        <v>3554</v>
      </c>
      <c r="BB702" s="11">
        <f t="shared" si="725"/>
        <v>2282</v>
      </c>
      <c r="BC702" s="11">
        <f t="shared" si="725"/>
        <v>-368</v>
      </c>
      <c r="BD702" s="11">
        <f t="shared" si="725"/>
        <v>1090</v>
      </c>
      <c r="BE702" s="11">
        <f t="shared" si="725"/>
        <v>1661</v>
      </c>
      <c r="BF702" s="11"/>
    </row>
    <row r="703" spans="2:62" s="1003" customFormat="1">
      <c r="B703" s="100" t="s">
        <v>339</v>
      </c>
      <c r="D703" s="940"/>
      <c r="E703" s="940"/>
      <c r="F703" s="940"/>
      <c r="G703" s="940"/>
      <c r="H703" s="940">
        <f t="shared" si="724"/>
        <v>50</v>
      </c>
      <c r="I703" s="940">
        <f t="shared" si="724"/>
        <v>-181</v>
      </c>
      <c r="J703" s="940">
        <f t="shared" si="724"/>
        <v>-4</v>
      </c>
      <c r="K703" s="940">
        <f t="shared" si="724"/>
        <v>340</v>
      </c>
      <c r="L703" s="940">
        <f t="shared" si="724"/>
        <v>128</v>
      </c>
      <c r="M703" s="940">
        <f t="shared" si="724"/>
        <v>-180</v>
      </c>
      <c r="N703" s="940">
        <f t="shared" si="724"/>
        <v>23</v>
      </c>
      <c r="O703" s="940">
        <f t="shared" si="724"/>
        <v>367</v>
      </c>
      <c r="P703" s="940">
        <f t="shared" si="724"/>
        <v>41</v>
      </c>
      <c r="Q703" s="940">
        <f t="shared" si="724"/>
        <v>-293</v>
      </c>
      <c r="R703" s="940">
        <f t="shared" si="724"/>
        <v>27</v>
      </c>
      <c r="S703" s="940">
        <f t="shared" si="724"/>
        <v>462</v>
      </c>
      <c r="T703" s="940">
        <f t="shared" si="724"/>
        <v>-176</v>
      </c>
      <c r="U703" s="940">
        <f t="shared" si="724"/>
        <v>-22</v>
      </c>
      <c r="V703" s="940">
        <f t="shared" si="724"/>
        <v>147</v>
      </c>
      <c r="W703" s="940">
        <f t="shared" si="724"/>
        <v>581</v>
      </c>
      <c r="X703" s="940">
        <f t="shared" si="724"/>
        <v>-326</v>
      </c>
      <c r="Y703" s="940">
        <f t="shared" si="724"/>
        <v>-215</v>
      </c>
      <c r="Z703" s="940">
        <f t="shared" si="724"/>
        <v>71</v>
      </c>
      <c r="AA703" s="940">
        <f t="shared" si="724"/>
        <v>864</v>
      </c>
      <c r="AB703" s="940">
        <f t="shared" si="724"/>
        <v>22</v>
      </c>
      <c r="AC703" s="940">
        <f t="shared" si="724"/>
        <v>-607</v>
      </c>
      <c r="AD703" s="940">
        <f t="shared" si="724"/>
        <v>-32</v>
      </c>
      <c r="AE703" s="940">
        <f t="shared" si="724"/>
        <v>785</v>
      </c>
      <c r="AF703" s="940">
        <f t="shared" si="724"/>
        <v>-289</v>
      </c>
      <c r="AG703" s="940"/>
      <c r="AH703" s="940"/>
      <c r="AI703" s="940"/>
      <c r="AK703" s="940"/>
      <c r="AL703" s="940"/>
      <c r="AM703" s="940"/>
      <c r="AN703" s="940"/>
      <c r="AO703" s="940"/>
      <c r="AP703" s="940"/>
      <c r="AQ703" s="940"/>
      <c r="AR703" s="940"/>
      <c r="AS703" s="940"/>
      <c r="AT703" s="940"/>
      <c r="AU703" s="940"/>
      <c r="AV703" s="940"/>
      <c r="AW703" s="940"/>
      <c r="AY703" s="940"/>
      <c r="AZ703" s="940">
        <f t="shared" si="725"/>
        <v>205</v>
      </c>
      <c r="BA703" s="940">
        <f t="shared" si="725"/>
        <v>338</v>
      </c>
      <c r="BB703" s="940">
        <f t="shared" si="725"/>
        <v>237</v>
      </c>
      <c r="BC703" s="940">
        <f t="shared" si="725"/>
        <v>530</v>
      </c>
      <c r="BD703" s="940">
        <f t="shared" si="725"/>
        <v>394</v>
      </c>
      <c r="BE703" s="940">
        <f t="shared" si="725"/>
        <v>168</v>
      </c>
      <c r="BF703" s="940"/>
    </row>
    <row r="704" spans="2:62" s="102" customFormat="1" ht="10.5">
      <c r="B704" s="873" t="s">
        <v>618</v>
      </c>
      <c r="D704" s="849"/>
      <c r="E704" s="849"/>
      <c r="F704" s="849"/>
      <c r="G704" s="849"/>
      <c r="H704" s="849">
        <f t="shared" si="724"/>
        <v>-1823</v>
      </c>
      <c r="I704" s="849">
        <f t="shared" si="724"/>
        <v>-379</v>
      </c>
      <c r="J704" s="849">
        <f t="shared" si="724"/>
        <v>-87</v>
      </c>
      <c r="K704" s="849">
        <f t="shared" si="724"/>
        <v>6752</v>
      </c>
      <c r="L704" s="849">
        <f t="shared" si="724"/>
        <v>-1752</v>
      </c>
      <c r="M704" s="849">
        <f t="shared" si="724"/>
        <v>-1095</v>
      </c>
      <c r="N704" s="849">
        <f t="shared" si="724"/>
        <v>146</v>
      </c>
      <c r="O704" s="849">
        <f t="shared" si="724"/>
        <v>8765</v>
      </c>
      <c r="P704" s="849">
        <f t="shared" si="724"/>
        <v>-2478</v>
      </c>
      <c r="Q704" s="849">
        <f t="shared" si="724"/>
        <v>-2158</v>
      </c>
      <c r="R704" s="849">
        <f t="shared" si="724"/>
        <v>51</v>
      </c>
      <c r="S704" s="849">
        <f t="shared" si="724"/>
        <v>9071</v>
      </c>
      <c r="T704" s="849">
        <f t="shared" si="724"/>
        <v>-3180</v>
      </c>
      <c r="U704" s="849">
        <f t="shared" si="724"/>
        <v>-2805</v>
      </c>
      <c r="V704" s="849">
        <f t="shared" si="724"/>
        <v>-824</v>
      </c>
      <c r="W704" s="849">
        <f t="shared" si="724"/>
        <v>8783</v>
      </c>
      <c r="X704" s="849">
        <f t="shared" si="724"/>
        <v>-2875</v>
      </c>
      <c r="Y704" s="849">
        <f t="shared" si="724"/>
        <v>-2918</v>
      </c>
      <c r="Z704" s="849">
        <f t="shared" si="724"/>
        <v>-673</v>
      </c>
      <c r="AA704" s="849">
        <f t="shared" si="724"/>
        <v>11427</v>
      </c>
      <c r="AB704" s="849">
        <f t="shared" si="724"/>
        <v>-3126</v>
      </c>
      <c r="AC704" s="849">
        <f t="shared" si="724"/>
        <v>-4246</v>
      </c>
      <c r="AD704" s="849">
        <f t="shared" si="724"/>
        <v>27</v>
      </c>
      <c r="AE704" s="849">
        <f t="shared" si="724"/>
        <v>11612</v>
      </c>
      <c r="AF704" s="849">
        <f t="shared" si="724"/>
        <v>-4519</v>
      </c>
      <c r="AG704" s="849"/>
      <c r="AH704" s="849"/>
      <c r="AI704" s="849"/>
      <c r="AK704" s="849"/>
      <c r="AL704" s="849">
        <f t="shared" ref="AL704:AT704" si="726">+AL692-AK692</f>
        <v>1735</v>
      </c>
      <c r="AM704" s="849">
        <f t="shared" si="726"/>
        <v>1744</v>
      </c>
      <c r="AN704" s="849">
        <f t="shared" si="726"/>
        <v>2651</v>
      </c>
      <c r="AO704" s="849">
        <f t="shared" si="726"/>
        <v>-1013</v>
      </c>
      <c r="AP704" s="849">
        <f t="shared" si="726"/>
        <v>546</v>
      </c>
      <c r="AQ704" s="849">
        <f t="shared" si="726"/>
        <v>2290</v>
      </c>
      <c r="AR704" s="849">
        <f t="shared" si="726"/>
        <v>2939</v>
      </c>
      <c r="AS704" s="849">
        <f t="shared" si="726"/>
        <v>2340</v>
      </c>
      <c r="AT704" s="849">
        <f t="shared" si="726"/>
        <v>2759</v>
      </c>
      <c r="AU704" s="849">
        <f>+AU692-AT692</f>
        <v>160</v>
      </c>
      <c r="AV704" s="849">
        <f t="shared" ref="AV704:AX704" si="727">+AV692-AR692</f>
        <v>-20059</v>
      </c>
      <c r="AW704" s="849">
        <f t="shared" si="727"/>
        <v>-22399</v>
      </c>
      <c r="AX704" s="849">
        <f t="shared" si="727"/>
        <v>-25158</v>
      </c>
      <c r="AY704" s="849">
        <f>+AY692-AU692</f>
        <v>-3125</v>
      </c>
      <c r="AZ704" s="849">
        <f t="shared" si="725"/>
        <v>4463</v>
      </c>
      <c r="BA704" s="849">
        <f t="shared" si="725"/>
        <v>6064</v>
      </c>
      <c r="BB704" s="849">
        <f t="shared" si="725"/>
        <v>4486</v>
      </c>
      <c r="BC704" s="849">
        <f t="shared" si="725"/>
        <v>1974</v>
      </c>
      <c r="BD704" s="849">
        <f t="shared" si="725"/>
        <v>4961</v>
      </c>
      <c r="BE704" s="849">
        <f t="shared" si="725"/>
        <v>4267</v>
      </c>
      <c r="BF704" s="849"/>
    </row>
    <row r="706" spans="2:62" s="100" customFormat="1" ht="10.5">
      <c r="B706" s="958" t="s">
        <v>86</v>
      </c>
    </row>
    <row r="707" spans="2:62" s="100" customFormat="1">
      <c r="B707" s="100" t="s">
        <v>335</v>
      </c>
      <c r="D707" s="11"/>
      <c r="E707" s="11"/>
      <c r="F707" s="11"/>
      <c r="G707" s="11"/>
      <c r="H707" s="11">
        <f t="shared" ref="H707:AF707" si="728">+H114</f>
        <v>6436</v>
      </c>
      <c r="I707" s="11">
        <f t="shared" si="728"/>
        <v>7179</v>
      </c>
      <c r="J707" s="11">
        <f t="shared" si="728"/>
        <v>7707</v>
      </c>
      <c r="K707" s="11">
        <f t="shared" si="728"/>
        <v>8548</v>
      </c>
      <c r="L707" s="11">
        <f t="shared" si="728"/>
        <v>8238</v>
      </c>
      <c r="M707" s="11">
        <f t="shared" si="728"/>
        <v>8953</v>
      </c>
      <c r="N707" s="11">
        <f t="shared" si="728"/>
        <v>9006</v>
      </c>
      <c r="O707" s="11">
        <f t="shared" si="728"/>
        <v>9668</v>
      </c>
      <c r="P707" s="11">
        <f t="shared" si="728"/>
        <v>9771</v>
      </c>
      <c r="Q707" s="11">
        <f t="shared" si="728"/>
        <v>10100</v>
      </c>
      <c r="R707" s="11">
        <f t="shared" si="728"/>
        <v>10242</v>
      </c>
      <c r="S707" s="11">
        <f t="shared" si="728"/>
        <v>11047</v>
      </c>
      <c r="T707" s="11">
        <f t="shared" si="728"/>
        <v>11077</v>
      </c>
      <c r="U707" s="11">
        <f t="shared" si="728"/>
        <v>11826</v>
      </c>
      <c r="V707" s="11">
        <f t="shared" si="728"/>
        <v>11743</v>
      </c>
      <c r="W707" s="11">
        <f t="shared" si="728"/>
        <v>11752</v>
      </c>
      <c r="X707" s="11">
        <f t="shared" si="728"/>
        <v>12319</v>
      </c>
      <c r="Y707" s="11">
        <f t="shared" si="728"/>
        <v>13353</v>
      </c>
      <c r="Z707" s="11">
        <f t="shared" si="728"/>
        <v>13552</v>
      </c>
      <c r="AA707" s="11">
        <f t="shared" si="728"/>
        <v>14691</v>
      </c>
      <c r="AB707" s="11">
        <f t="shared" si="728"/>
        <v>15039</v>
      </c>
      <c r="AC707" s="11">
        <f t="shared" si="728"/>
        <v>15936</v>
      </c>
      <c r="AD707" s="11">
        <f t="shared" si="728"/>
        <v>15789</v>
      </c>
      <c r="AE707" s="11">
        <f t="shared" si="728"/>
        <v>16600</v>
      </c>
      <c r="AF707" s="11">
        <f t="shared" si="728"/>
        <v>16465</v>
      </c>
      <c r="AG707" s="11"/>
      <c r="AH707" s="11"/>
      <c r="AI707" s="11"/>
      <c r="AY707" s="11"/>
      <c r="AZ707" s="11">
        <f t="shared" ref="AZ707:BE709" si="729">+AZ114</f>
        <v>29870</v>
      </c>
      <c r="BA707" s="11">
        <f t="shared" si="729"/>
        <v>35865</v>
      </c>
      <c r="BB707" s="11">
        <f t="shared" si="729"/>
        <v>41160</v>
      </c>
      <c r="BC707" s="11">
        <f t="shared" si="729"/>
        <v>46398</v>
      </c>
      <c r="BD707" s="11">
        <f t="shared" si="729"/>
        <v>53915</v>
      </c>
      <c r="BE707" s="11">
        <f t="shared" si="729"/>
        <v>63364</v>
      </c>
      <c r="BF707" s="11"/>
    </row>
    <row r="708" spans="2:62" s="100" customFormat="1">
      <c r="B708" s="100" t="s">
        <v>337</v>
      </c>
      <c r="D708" s="11"/>
      <c r="E708" s="11"/>
      <c r="F708" s="11"/>
      <c r="G708" s="11"/>
      <c r="H708" s="11">
        <f t="shared" ref="H708:AF708" si="730">+H115</f>
        <v>6097</v>
      </c>
      <c r="I708" s="11">
        <f t="shared" si="730"/>
        <v>6758</v>
      </c>
      <c r="J708" s="11">
        <f t="shared" si="730"/>
        <v>6730</v>
      </c>
      <c r="K708" s="11">
        <f t="shared" si="730"/>
        <v>7822</v>
      </c>
      <c r="L708" s="11">
        <f t="shared" si="730"/>
        <v>6922</v>
      </c>
      <c r="M708" s="11">
        <f t="shared" si="730"/>
        <v>7795</v>
      </c>
      <c r="N708" s="11">
        <f t="shared" si="730"/>
        <v>7896</v>
      </c>
      <c r="O708" s="11">
        <f t="shared" si="730"/>
        <v>9606</v>
      </c>
      <c r="P708" s="11">
        <f t="shared" si="730"/>
        <v>8567</v>
      </c>
      <c r="Q708" s="11">
        <f t="shared" si="730"/>
        <v>9378</v>
      </c>
      <c r="R708" s="11">
        <f t="shared" si="730"/>
        <v>9649</v>
      </c>
      <c r="S708" s="11">
        <f t="shared" si="730"/>
        <v>11391</v>
      </c>
      <c r="T708" s="11">
        <f t="shared" si="730"/>
        <v>10845</v>
      </c>
      <c r="U708" s="11">
        <f t="shared" si="730"/>
        <v>11869</v>
      </c>
      <c r="V708" s="11">
        <f t="shared" si="730"/>
        <v>12281</v>
      </c>
      <c r="W708" s="11">
        <f t="shared" si="730"/>
        <v>13371</v>
      </c>
      <c r="X708" s="11">
        <f t="shared" si="730"/>
        <v>12986</v>
      </c>
      <c r="Y708" s="11">
        <f t="shared" si="730"/>
        <v>14601</v>
      </c>
      <c r="Z708" s="11">
        <f t="shared" si="730"/>
        <v>15118</v>
      </c>
      <c r="AA708" s="11">
        <f t="shared" si="730"/>
        <v>17375</v>
      </c>
      <c r="AB708" s="11">
        <f t="shared" si="730"/>
        <v>16964</v>
      </c>
      <c r="AC708" s="11">
        <f t="shared" si="730"/>
        <v>18327</v>
      </c>
      <c r="AD708" s="11">
        <f t="shared" si="730"/>
        <v>19051</v>
      </c>
      <c r="AE708" s="11">
        <f t="shared" si="730"/>
        <v>20909</v>
      </c>
      <c r="AF708" s="11">
        <f t="shared" si="730"/>
        <v>20325</v>
      </c>
      <c r="AG708" s="11"/>
      <c r="AH708" s="11"/>
      <c r="AI708" s="11"/>
      <c r="AY708" s="11"/>
      <c r="AZ708" s="11">
        <f t="shared" si="729"/>
        <v>27407</v>
      </c>
      <c r="BA708" s="11">
        <f t="shared" si="729"/>
        <v>32219</v>
      </c>
      <c r="BB708" s="11">
        <f t="shared" si="729"/>
        <v>38985</v>
      </c>
      <c r="BC708" s="11">
        <f t="shared" si="729"/>
        <v>48366</v>
      </c>
      <c r="BD708" s="11">
        <f t="shared" si="729"/>
        <v>60080</v>
      </c>
      <c r="BE708" s="11">
        <f t="shared" si="729"/>
        <v>75251</v>
      </c>
      <c r="BF708" s="11"/>
    </row>
    <row r="709" spans="2:62" s="1003" customFormat="1">
      <c r="B709" s="100" t="s">
        <v>339</v>
      </c>
      <c r="D709" s="940"/>
      <c r="E709" s="940"/>
      <c r="F709" s="940"/>
      <c r="G709" s="940"/>
      <c r="H709" s="940">
        <f t="shared" ref="H709:AF709" si="731">+H116</f>
        <v>9395</v>
      </c>
      <c r="I709" s="940">
        <f t="shared" si="731"/>
        <v>11889</v>
      </c>
      <c r="J709" s="940">
        <f t="shared" si="731"/>
        <v>8775</v>
      </c>
      <c r="K709" s="940">
        <f t="shared" si="731"/>
        <v>9235</v>
      </c>
      <c r="L709" s="940">
        <f t="shared" si="731"/>
        <v>9378</v>
      </c>
      <c r="M709" s="940">
        <f t="shared" si="731"/>
        <v>12170</v>
      </c>
      <c r="N709" s="940">
        <f t="shared" si="731"/>
        <v>9917</v>
      </c>
      <c r="O709" s="940">
        <f t="shared" si="731"/>
        <v>10811</v>
      </c>
      <c r="P709" s="940">
        <f t="shared" si="731"/>
        <v>10746</v>
      </c>
      <c r="Q709" s="940">
        <f t="shared" si="731"/>
        <v>12993</v>
      </c>
      <c r="R709" s="940">
        <f t="shared" si="731"/>
        <v>10680</v>
      </c>
      <c r="S709" s="940">
        <f t="shared" si="731"/>
        <v>11279</v>
      </c>
      <c r="T709" s="940">
        <f t="shared" si="731"/>
        <v>11133</v>
      </c>
      <c r="U709" s="940">
        <f t="shared" si="731"/>
        <v>13211</v>
      </c>
      <c r="V709" s="940">
        <f t="shared" si="731"/>
        <v>10997</v>
      </c>
      <c r="W709" s="940">
        <f t="shared" si="731"/>
        <v>12910</v>
      </c>
      <c r="X709" s="940">
        <f t="shared" si="731"/>
        <v>11849</v>
      </c>
      <c r="Y709" s="940">
        <f t="shared" si="731"/>
        <v>15122</v>
      </c>
      <c r="Z709" s="940">
        <f t="shared" si="731"/>
        <v>13036</v>
      </c>
      <c r="AA709" s="940">
        <f t="shared" si="731"/>
        <v>14086</v>
      </c>
      <c r="AB709" s="940">
        <f t="shared" si="731"/>
        <v>13314</v>
      </c>
      <c r="AC709" s="940">
        <f t="shared" si="731"/>
        <v>17465</v>
      </c>
      <c r="AD709" s="940">
        <f t="shared" si="731"/>
        <v>14520</v>
      </c>
      <c r="AE709" s="940">
        <f t="shared" si="731"/>
        <v>14356</v>
      </c>
      <c r="AF709" s="940">
        <f t="shared" si="731"/>
        <v>13332</v>
      </c>
      <c r="AG709" s="940"/>
      <c r="AH709" s="940"/>
      <c r="AI709" s="940"/>
      <c r="AK709" s="940"/>
      <c r="AL709" s="940"/>
      <c r="AM709" s="940"/>
      <c r="AN709" s="940"/>
      <c r="AO709" s="940"/>
      <c r="AP709" s="940"/>
      <c r="AQ709" s="940"/>
      <c r="AR709" s="940"/>
      <c r="AS709" s="940"/>
      <c r="AT709" s="940"/>
      <c r="AU709" s="940"/>
      <c r="AV709" s="940"/>
      <c r="AW709" s="940"/>
      <c r="AY709" s="940"/>
      <c r="AZ709" s="940">
        <f t="shared" si="729"/>
        <v>39294</v>
      </c>
      <c r="BA709" s="940">
        <f t="shared" si="729"/>
        <v>42276</v>
      </c>
      <c r="BB709" s="940">
        <f t="shared" si="729"/>
        <v>45698</v>
      </c>
      <c r="BC709" s="940">
        <f t="shared" si="729"/>
        <v>48251</v>
      </c>
      <c r="BD709" s="940">
        <f t="shared" si="729"/>
        <v>54093</v>
      </c>
      <c r="BE709" s="940">
        <f t="shared" si="729"/>
        <v>59655</v>
      </c>
      <c r="BF709" s="940"/>
    </row>
    <row r="710" spans="2:62" s="102" customFormat="1" ht="10.5">
      <c r="B710" s="873" t="s">
        <v>477</v>
      </c>
      <c r="D710" s="849"/>
      <c r="E710" s="849"/>
      <c r="F710" s="849"/>
      <c r="G710" s="849"/>
      <c r="H710" s="849">
        <f>SUM(H707:H709)</f>
        <v>21928</v>
      </c>
      <c r="I710" s="849">
        <f t="shared" ref="I710:AF710" si="732">SUM(I707:I709)</f>
        <v>25826</v>
      </c>
      <c r="J710" s="849">
        <f t="shared" si="732"/>
        <v>23212</v>
      </c>
      <c r="K710" s="849">
        <f t="shared" si="732"/>
        <v>25605</v>
      </c>
      <c r="L710" s="849">
        <f t="shared" si="732"/>
        <v>24538</v>
      </c>
      <c r="M710" s="849">
        <f t="shared" si="732"/>
        <v>28918</v>
      </c>
      <c r="N710" s="849">
        <f t="shared" si="732"/>
        <v>26819</v>
      </c>
      <c r="O710" s="849">
        <f t="shared" si="732"/>
        <v>30085</v>
      </c>
      <c r="P710" s="849">
        <f t="shared" si="732"/>
        <v>29084</v>
      </c>
      <c r="Q710" s="849">
        <f t="shared" si="732"/>
        <v>32471</v>
      </c>
      <c r="R710" s="849">
        <f t="shared" si="732"/>
        <v>30571</v>
      </c>
      <c r="S710" s="849">
        <f t="shared" si="732"/>
        <v>33717</v>
      </c>
      <c r="T710" s="849">
        <f t="shared" si="732"/>
        <v>33055</v>
      </c>
      <c r="U710" s="849">
        <f t="shared" si="732"/>
        <v>36906</v>
      </c>
      <c r="V710" s="849">
        <f t="shared" si="732"/>
        <v>35021</v>
      </c>
      <c r="W710" s="849">
        <f t="shared" si="732"/>
        <v>38033</v>
      </c>
      <c r="X710" s="849">
        <f t="shared" si="732"/>
        <v>37154</v>
      </c>
      <c r="Y710" s="849">
        <f t="shared" si="732"/>
        <v>43076</v>
      </c>
      <c r="Z710" s="849">
        <f t="shared" si="732"/>
        <v>41706</v>
      </c>
      <c r="AA710" s="849">
        <f t="shared" si="732"/>
        <v>46152</v>
      </c>
      <c r="AB710" s="849">
        <f t="shared" si="732"/>
        <v>45317</v>
      </c>
      <c r="AC710" s="849">
        <f t="shared" si="732"/>
        <v>51728</v>
      </c>
      <c r="AD710" s="849">
        <f t="shared" si="732"/>
        <v>49360</v>
      </c>
      <c r="AE710" s="849">
        <f t="shared" si="732"/>
        <v>51865</v>
      </c>
      <c r="AF710" s="849">
        <f t="shared" si="732"/>
        <v>50122</v>
      </c>
      <c r="AG710" s="849"/>
      <c r="AH710" s="849"/>
      <c r="AI710" s="849"/>
      <c r="AK710" s="849"/>
      <c r="AL710" s="849">
        <f t="shared" ref="AL710:AX710" si="733">+AL12</f>
        <v>44282</v>
      </c>
      <c r="AM710" s="849">
        <f t="shared" si="733"/>
        <v>51122</v>
      </c>
      <c r="AN710" s="849">
        <f t="shared" si="733"/>
        <v>60420</v>
      </c>
      <c r="AO710" s="849">
        <f t="shared" si="733"/>
        <v>58437</v>
      </c>
      <c r="AP710" s="849">
        <f t="shared" si="733"/>
        <v>62484</v>
      </c>
      <c r="AQ710" s="849">
        <f t="shared" si="733"/>
        <v>69943</v>
      </c>
      <c r="AR710" s="849">
        <f t="shared" si="733"/>
        <v>73723</v>
      </c>
      <c r="AS710" s="849">
        <f t="shared" si="733"/>
        <v>77849</v>
      </c>
      <c r="AT710" s="849">
        <f t="shared" si="733"/>
        <v>86833</v>
      </c>
      <c r="AU710" s="849">
        <f t="shared" si="733"/>
        <v>93580</v>
      </c>
      <c r="AV710" s="849">
        <f t="shared" si="733"/>
        <v>85320</v>
      </c>
      <c r="AW710" s="849">
        <f t="shared" si="733"/>
        <v>89950</v>
      </c>
      <c r="AX710" s="849">
        <f t="shared" si="733"/>
        <v>0</v>
      </c>
      <c r="AY710" s="849">
        <f>+AY12</f>
        <v>91154</v>
      </c>
      <c r="AZ710" s="849">
        <f t="shared" ref="AZ710:BE710" si="734">SUM(AZ707:AZ709)</f>
        <v>96571</v>
      </c>
      <c r="BA710" s="849">
        <f t="shared" si="734"/>
        <v>110360</v>
      </c>
      <c r="BB710" s="849">
        <f t="shared" si="734"/>
        <v>125843</v>
      </c>
      <c r="BC710" s="849">
        <f t="shared" si="734"/>
        <v>143015</v>
      </c>
      <c r="BD710" s="849">
        <f t="shared" si="734"/>
        <v>168088</v>
      </c>
      <c r="BE710" s="849">
        <f t="shared" si="734"/>
        <v>198270</v>
      </c>
      <c r="BF710" s="849"/>
    </row>
    <row r="712" spans="2:62" s="100" customFormat="1" ht="10.5">
      <c r="B712" s="958" t="s">
        <v>614</v>
      </c>
    </row>
    <row r="713" spans="2:62" s="100" customFormat="1">
      <c r="B713" s="100" t="s">
        <v>335</v>
      </c>
      <c r="D713" s="11"/>
      <c r="E713" s="11"/>
      <c r="F713" s="11"/>
      <c r="G713" s="11"/>
      <c r="H713" s="11">
        <f>+H707+H701</f>
        <v>5419</v>
      </c>
      <c r="I713" s="11">
        <f t="shared" ref="I713:AF713" si="735">+I707+I701</f>
        <v>7362</v>
      </c>
      <c r="J713" s="11">
        <f t="shared" si="735"/>
        <v>7565</v>
      </c>
      <c r="K713" s="11">
        <f t="shared" si="735"/>
        <v>11543</v>
      </c>
      <c r="L713" s="11">
        <f t="shared" si="735"/>
        <v>7354</v>
      </c>
      <c r="M713" s="11">
        <f t="shared" si="735"/>
        <v>8435</v>
      </c>
      <c r="N713" s="11">
        <f t="shared" si="735"/>
        <v>8901</v>
      </c>
      <c r="O713" s="11">
        <f t="shared" si="735"/>
        <v>13347</v>
      </c>
      <c r="P713" s="11">
        <f t="shared" si="735"/>
        <v>8660</v>
      </c>
      <c r="Q713" s="11">
        <f t="shared" si="735"/>
        <v>8982</v>
      </c>
      <c r="R713" s="11">
        <f t="shared" si="735"/>
        <v>10286</v>
      </c>
      <c r="S713" s="11">
        <f t="shared" si="735"/>
        <v>15199</v>
      </c>
      <c r="T713" s="11">
        <f t="shared" si="735"/>
        <v>9806</v>
      </c>
      <c r="U713" s="11">
        <f t="shared" si="735"/>
        <v>10532</v>
      </c>
      <c r="V713" s="11">
        <f t="shared" si="735"/>
        <v>11554</v>
      </c>
      <c r="W713" s="11">
        <f t="shared" si="735"/>
        <v>16318</v>
      </c>
      <c r="X713" s="11">
        <f t="shared" si="735"/>
        <v>11351</v>
      </c>
      <c r="Y713" s="11">
        <f t="shared" si="735"/>
        <v>11903</v>
      </c>
      <c r="Z713" s="11">
        <f t="shared" si="735"/>
        <v>13496</v>
      </c>
      <c r="AA713" s="11">
        <f t="shared" si="735"/>
        <v>20642</v>
      </c>
      <c r="AB713" s="11">
        <f t="shared" si="735"/>
        <v>13484</v>
      </c>
      <c r="AC713" s="11">
        <f t="shared" si="735"/>
        <v>13865</v>
      </c>
      <c r="AD713" s="11">
        <f t="shared" si="735"/>
        <v>15873</v>
      </c>
      <c r="AE713" s="11">
        <f t="shared" si="735"/>
        <v>22580</v>
      </c>
      <c r="AF713" s="11">
        <f t="shared" si="735"/>
        <v>14312</v>
      </c>
      <c r="AG713" s="11"/>
      <c r="AH713" s="11"/>
      <c r="AI713" s="11"/>
      <c r="AY713" s="11"/>
      <c r="AZ713" s="11">
        <f t="shared" ref="AY713:BE716" si="736">+AZ707+AZ701</f>
        <v>31889</v>
      </c>
      <c r="BA713" s="11">
        <f t="shared" si="736"/>
        <v>38037</v>
      </c>
      <c r="BB713" s="11">
        <f t="shared" si="736"/>
        <v>43127</v>
      </c>
      <c r="BC713" s="11">
        <f t="shared" si="736"/>
        <v>48210</v>
      </c>
      <c r="BD713" s="11">
        <f t="shared" si="736"/>
        <v>57392</v>
      </c>
      <c r="BE713" s="11">
        <f t="shared" si="736"/>
        <v>65802</v>
      </c>
      <c r="BF713" s="11"/>
    </row>
    <row r="714" spans="2:62" s="100" customFormat="1">
      <c r="B714" s="100" t="s">
        <v>337</v>
      </c>
      <c r="D714" s="11"/>
      <c r="E714" s="11"/>
      <c r="F714" s="11"/>
      <c r="G714" s="11"/>
      <c r="H714" s="11">
        <f t="shared" ref="H714:AF716" si="737">+H708+H702</f>
        <v>5241</v>
      </c>
      <c r="I714" s="11">
        <f t="shared" si="737"/>
        <v>6377</v>
      </c>
      <c r="J714" s="11">
        <f t="shared" si="737"/>
        <v>6789</v>
      </c>
      <c r="K714" s="11">
        <f t="shared" si="737"/>
        <v>11239</v>
      </c>
      <c r="L714" s="11">
        <f t="shared" si="737"/>
        <v>5926</v>
      </c>
      <c r="M714" s="11">
        <f t="shared" si="737"/>
        <v>7398</v>
      </c>
      <c r="N714" s="11">
        <f t="shared" si="737"/>
        <v>8124</v>
      </c>
      <c r="O714" s="11">
        <f t="shared" si="737"/>
        <v>14325</v>
      </c>
      <c r="P714" s="11">
        <f t="shared" si="737"/>
        <v>7159</v>
      </c>
      <c r="Q714" s="11">
        <f t="shared" si="737"/>
        <v>8631</v>
      </c>
      <c r="R714" s="11">
        <f t="shared" si="737"/>
        <v>9629</v>
      </c>
      <c r="S714" s="11">
        <f t="shared" si="737"/>
        <v>15848</v>
      </c>
      <c r="T714" s="11">
        <f t="shared" si="737"/>
        <v>9112</v>
      </c>
      <c r="U714" s="11">
        <f t="shared" si="737"/>
        <v>10380</v>
      </c>
      <c r="V714" s="11">
        <f t="shared" si="737"/>
        <v>11499</v>
      </c>
      <c r="W714" s="11">
        <f t="shared" si="737"/>
        <v>17007</v>
      </c>
      <c r="X714" s="11">
        <f t="shared" si="737"/>
        <v>11405</v>
      </c>
      <c r="Y714" s="11">
        <f t="shared" si="737"/>
        <v>13348</v>
      </c>
      <c r="Z714" s="11">
        <f t="shared" si="737"/>
        <v>14430</v>
      </c>
      <c r="AA714" s="11">
        <f t="shared" si="737"/>
        <v>21987</v>
      </c>
      <c r="AB714" s="11">
        <f t="shared" si="737"/>
        <v>15371</v>
      </c>
      <c r="AC714" s="11">
        <f t="shared" si="737"/>
        <v>16759</v>
      </c>
      <c r="AD714" s="11">
        <f t="shared" si="737"/>
        <v>19026</v>
      </c>
      <c r="AE714" s="11">
        <f t="shared" si="737"/>
        <v>25756</v>
      </c>
      <c r="AF714" s="11">
        <f t="shared" si="737"/>
        <v>18248</v>
      </c>
      <c r="AG714" s="11"/>
      <c r="AH714" s="11"/>
      <c r="AI714" s="11"/>
      <c r="AY714" s="11"/>
      <c r="AZ714" s="11">
        <f t="shared" si="736"/>
        <v>29646</v>
      </c>
      <c r="BA714" s="11">
        <f t="shared" si="736"/>
        <v>35773</v>
      </c>
      <c r="BB714" s="11">
        <f t="shared" si="736"/>
        <v>41267</v>
      </c>
      <c r="BC714" s="11">
        <f t="shared" si="736"/>
        <v>47998</v>
      </c>
      <c r="BD714" s="11">
        <f t="shared" si="736"/>
        <v>61170</v>
      </c>
      <c r="BE714" s="11">
        <f t="shared" si="736"/>
        <v>76912</v>
      </c>
      <c r="BF714" s="11"/>
    </row>
    <row r="715" spans="2:62" s="1003" customFormat="1">
      <c r="B715" s="100" t="s">
        <v>339</v>
      </c>
      <c r="D715" s="940"/>
      <c r="E715" s="940"/>
      <c r="F715" s="940"/>
      <c r="G715" s="940"/>
      <c r="H715" s="940">
        <f t="shared" si="737"/>
        <v>9445</v>
      </c>
      <c r="I715" s="940">
        <f t="shared" si="737"/>
        <v>11708</v>
      </c>
      <c r="J715" s="940">
        <f t="shared" si="737"/>
        <v>8771</v>
      </c>
      <c r="K715" s="940">
        <f t="shared" si="737"/>
        <v>9575</v>
      </c>
      <c r="L715" s="940">
        <f t="shared" si="737"/>
        <v>9506</v>
      </c>
      <c r="M715" s="940">
        <f t="shared" si="737"/>
        <v>11990</v>
      </c>
      <c r="N715" s="940">
        <f t="shared" si="737"/>
        <v>9940</v>
      </c>
      <c r="O715" s="940">
        <f t="shared" si="737"/>
        <v>11178</v>
      </c>
      <c r="P715" s="940">
        <f t="shared" si="737"/>
        <v>10787</v>
      </c>
      <c r="Q715" s="940">
        <f t="shared" si="737"/>
        <v>12700</v>
      </c>
      <c r="R715" s="940">
        <f t="shared" si="737"/>
        <v>10707</v>
      </c>
      <c r="S715" s="940">
        <f t="shared" si="737"/>
        <v>11741</v>
      </c>
      <c r="T715" s="940">
        <f t="shared" si="737"/>
        <v>10957</v>
      </c>
      <c r="U715" s="940">
        <f t="shared" si="737"/>
        <v>13189</v>
      </c>
      <c r="V715" s="940">
        <f t="shared" si="737"/>
        <v>11144</v>
      </c>
      <c r="W715" s="940">
        <f t="shared" si="737"/>
        <v>13491</v>
      </c>
      <c r="X715" s="940">
        <f t="shared" si="737"/>
        <v>11523</v>
      </c>
      <c r="Y715" s="940">
        <f t="shared" si="737"/>
        <v>14907</v>
      </c>
      <c r="Z715" s="940">
        <f t="shared" si="737"/>
        <v>13107</v>
      </c>
      <c r="AA715" s="940">
        <f t="shared" si="737"/>
        <v>14950</v>
      </c>
      <c r="AB715" s="940">
        <f t="shared" si="737"/>
        <v>13336</v>
      </c>
      <c r="AC715" s="940">
        <f t="shared" si="737"/>
        <v>16858</v>
      </c>
      <c r="AD715" s="940">
        <f t="shared" si="737"/>
        <v>14488</v>
      </c>
      <c r="AE715" s="940">
        <f t="shared" si="737"/>
        <v>15141</v>
      </c>
      <c r="AF715" s="940">
        <f t="shared" si="737"/>
        <v>13043</v>
      </c>
      <c r="AG715" s="940"/>
      <c r="AH715" s="940"/>
      <c r="AI715" s="940"/>
      <c r="AK715" s="940"/>
      <c r="AL715" s="940"/>
      <c r="AM715" s="940"/>
      <c r="AN715" s="940"/>
      <c r="AO715" s="940"/>
      <c r="AP715" s="940"/>
      <c r="AQ715" s="940"/>
      <c r="AR715" s="940"/>
      <c r="AS715" s="940"/>
      <c r="AT715" s="940"/>
      <c r="AU715" s="940"/>
      <c r="AV715" s="940"/>
      <c r="AW715" s="940"/>
      <c r="AY715" s="940"/>
      <c r="AZ715" s="940">
        <f t="shared" si="736"/>
        <v>39499</v>
      </c>
      <c r="BA715" s="940">
        <f t="shared" si="736"/>
        <v>42614</v>
      </c>
      <c r="BB715" s="940">
        <f t="shared" si="736"/>
        <v>45935</v>
      </c>
      <c r="BC715" s="940">
        <f t="shared" si="736"/>
        <v>48781</v>
      </c>
      <c r="BD715" s="940">
        <f t="shared" si="736"/>
        <v>54487</v>
      </c>
      <c r="BE715" s="940">
        <f t="shared" si="736"/>
        <v>59823</v>
      </c>
      <c r="BF715" s="940"/>
    </row>
    <row r="716" spans="2:62" s="102" customFormat="1" ht="10.5">
      <c r="B716" s="873" t="s">
        <v>619</v>
      </c>
      <c r="D716" s="849"/>
      <c r="E716" s="849"/>
      <c r="F716" s="849"/>
      <c r="G716" s="849"/>
      <c r="H716" s="849">
        <f t="shared" si="737"/>
        <v>20105</v>
      </c>
      <c r="I716" s="849">
        <f t="shared" si="737"/>
        <v>25447</v>
      </c>
      <c r="J716" s="849">
        <f t="shared" si="737"/>
        <v>23125</v>
      </c>
      <c r="K716" s="849">
        <f t="shared" si="737"/>
        <v>32357</v>
      </c>
      <c r="L716" s="849">
        <f t="shared" si="737"/>
        <v>22786</v>
      </c>
      <c r="M716" s="849">
        <f t="shared" si="737"/>
        <v>27823</v>
      </c>
      <c r="N716" s="849">
        <f t="shared" si="737"/>
        <v>26965</v>
      </c>
      <c r="O716" s="849">
        <f t="shared" si="737"/>
        <v>38850</v>
      </c>
      <c r="P716" s="849">
        <f t="shared" si="737"/>
        <v>26606</v>
      </c>
      <c r="Q716" s="849">
        <f t="shared" si="737"/>
        <v>30313</v>
      </c>
      <c r="R716" s="849">
        <f t="shared" si="737"/>
        <v>30622</v>
      </c>
      <c r="S716" s="849">
        <f t="shared" si="737"/>
        <v>42788</v>
      </c>
      <c r="T716" s="849">
        <f t="shared" si="737"/>
        <v>29875</v>
      </c>
      <c r="U716" s="849">
        <f t="shared" si="737"/>
        <v>34101</v>
      </c>
      <c r="V716" s="849">
        <f t="shared" si="737"/>
        <v>34197</v>
      </c>
      <c r="W716" s="849">
        <f t="shared" si="737"/>
        <v>46816</v>
      </c>
      <c r="X716" s="849">
        <f t="shared" si="737"/>
        <v>34279</v>
      </c>
      <c r="Y716" s="849">
        <f t="shared" si="737"/>
        <v>40158</v>
      </c>
      <c r="Z716" s="849">
        <f t="shared" si="737"/>
        <v>41033</v>
      </c>
      <c r="AA716" s="849">
        <f t="shared" si="737"/>
        <v>57579</v>
      </c>
      <c r="AB716" s="849">
        <f t="shared" si="737"/>
        <v>42191</v>
      </c>
      <c r="AC716" s="849">
        <f t="shared" si="737"/>
        <v>47482</v>
      </c>
      <c r="AD716" s="849">
        <f t="shared" si="737"/>
        <v>49387</v>
      </c>
      <c r="AE716" s="849">
        <f t="shared" si="737"/>
        <v>63477</v>
      </c>
      <c r="AF716" s="849">
        <f t="shared" si="737"/>
        <v>45603</v>
      </c>
      <c r="AG716" s="849"/>
      <c r="AH716" s="849"/>
      <c r="AI716" s="849"/>
      <c r="AK716" s="849"/>
      <c r="AL716" s="849">
        <f t="shared" ref="AL716:AX716" si="738">+AL710+AL704</f>
        <v>46017</v>
      </c>
      <c r="AM716" s="849">
        <f t="shared" si="738"/>
        <v>52866</v>
      </c>
      <c r="AN716" s="849">
        <f t="shared" si="738"/>
        <v>63071</v>
      </c>
      <c r="AO716" s="849">
        <f t="shared" si="738"/>
        <v>57424</v>
      </c>
      <c r="AP716" s="849">
        <f t="shared" si="738"/>
        <v>63030</v>
      </c>
      <c r="AQ716" s="849">
        <f t="shared" si="738"/>
        <v>72233</v>
      </c>
      <c r="AR716" s="849">
        <f t="shared" si="738"/>
        <v>76662</v>
      </c>
      <c r="AS716" s="849">
        <f t="shared" si="738"/>
        <v>80189</v>
      </c>
      <c r="AT716" s="849">
        <f t="shared" si="738"/>
        <v>89592</v>
      </c>
      <c r="AU716" s="849">
        <f t="shared" si="738"/>
        <v>93740</v>
      </c>
      <c r="AV716" s="849">
        <f t="shared" si="738"/>
        <v>65261</v>
      </c>
      <c r="AW716" s="849">
        <f t="shared" si="738"/>
        <v>67551</v>
      </c>
      <c r="AX716" s="849">
        <f t="shared" si="738"/>
        <v>-25158</v>
      </c>
      <c r="AY716" s="849">
        <f t="shared" si="736"/>
        <v>88029</v>
      </c>
      <c r="AZ716" s="849">
        <f t="shared" si="736"/>
        <v>101034</v>
      </c>
      <c r="BA716" s="849">
        <f t="shared" si="736"/>
        <v>116424</v>
      </c>
      <c r="BB716" s="849">
        <f t="shared" si="736"/>
        <v>130329</v>
      </c>
      <c r="BC716" s="849">
        <f t="shared" si="736"/>
        <v>144989</v>
      </c>
      <c r="BD716" s="849">
        <f t="shared" si="736"/>
        <v>173049</v>
      </c>
      <c r="BE716" s="849">
        <f t="shared" si="736"/>
        <v>202537</v>
      </c>
      <c r="BF716" s="849"/>
    </row>
    <row r="718" spans="2:62" s="3" customFormat="1">
      <c r="B718" s="24" t="s">
        <v>113</v>
      </c>
    </row>
    <row r="719" spans="2:62" s="3" customFormat="1">
      <c r="B719" s="13" t="str">
        <f>+B713</f>
        <v>Productivity and Business Processes</v>
      </c>
      <c r="D719" s="228"/>
      <c r="E719" s="228"/>
      <c r="F719" s="228"/>
      <c r="G719" s="228"/>
      <c r="H719" s="228" t="str">
        <f>+IFERROR(H713/D713-1,"n/a ")</f>
        <v xml:space="preserve">n/a </v>
      </c>
      <c r="I719" s="228" t="str">
        <f t="shared" ref="I719:AF722" si="739">+IFERROR(I713/E713-1,"n/a ")</f>
        <v xml:space="preserve">n/a </v>
      </c>
      <c r="J719" s="228" t="str">
        <f t="shared" si="739"/>
        <v xml:space="preserve">n/a </v>
      </c>
      <c r="K719" s="228" t="str">
        <f t="shared" si="739"/>
        <v xml:space="preserve">n/a </v>
      </c>
      <c r="L719" s="228">
        <f t="shared" si="739"/>
        <v>0.35707695146706042</v>
      </c>
      <c r="M719" s="228">
        <f t="shared" si="739"/>
        <v>0.14574843792447711</v>
      </c>
      <c r="N719" s="228">
        <f t="shared" si="739"/>
        <v>0.17660277594183738</v>
      </c>
      <c r="O719" s="228">
        <f t="shared" si="739"/>
        <v>0.15628519449016731</v>
      </c>
      <c r="P719" s="228">
        <f t="shared" si="739"/>
        <v>0.17759042697851513</v>
      </c>
      <c r="Q719" s="228">
        <f t="shared" si="739"/>
        <v>6.4848844101956127E-2</v>
      </c>
      <c r="R719" s="228">
        <f t="shared" si="739"/>
        <v>0.15560049432648015</v>
      </c>
      <c r="S719" s="228">
        <f t="shared" si="739"/>
        <v>0.13875777328238548</v>
      </c>
      <c r="T719" s="228">
        <f t="shared" si="739"/>
        <v>0.13233256351039269</v>
      </c>
      <c r="U719" s="228">
        <f t="shared" si="739"/>
        <v>0.17256735693609437</v>
      </c>
      <c r="V719" s="228">
        <f t="shared" si="739"/>
        <v>0.12327435349018079</v>
      </c>
      <c r="W719" s="228">
        <f t="shared" si="739"/>
        <v>7.362326468846625E-2</v>
      </c>
      <c r="X719" s="228">
        <f t="shared" si="739"/>
        <v>0.15755659800122368</v>
      </c>
      <c r="Y719" s="228">
        <f t="shared" si="739"/>
        <v>0.13017470565894418</v>
      </c>
      <c r="Z719" s="228">
        <f t="shared" si="739"/>
        <v>0.16808031850441396</v>
      </c>
      <c r="AA719" s="228">
        <f t="shared" si="739"/>
        <v>0.26498345385463895</v>
      </c>
      <c r="AB719" s="228">
        <f t="shared" si="739"/>
        <v>0.18791295921064233</v>
      </c>
      <c r="AC719" s="228">
        <f t="shared" si="739"/>
        <v>0.16483239519448878</v>
      </c>
      <c r="AD719" s="228">
        <f t="shared" si="739"/>
        <v>0.17612625963248374</v>
      </c>
      <c r="AE719" s="228">
        <f t="shared" si="739"/>
        <v>9.388625133223516E-2</v>
      </c>
      <c r="AF719" s="228">
        <f t="shared" si="739"/>
        <v>6.1406110946306658E-2</v>
      </c>
      <c r="AG719" s="228"/>
      <c r="AH719" s="228"/>
      <c r="AI719" s="228"/>
      <c r="AJ719" s="228"/>
      <c r="AK719" s="228"/>
      <c r="AL719" s="228"/>
      <c r="AM719" s="228"/>
      <c r="AN719" s="228"/>
      <c r="AO719" s="228"/>
      <c r="AP719" s="228"/>
      <c r="AQ719" s="228"/>
      <c r="AR719" s="228"/>
      <c r="AS719" s="228"/>
      <c r="AT719" s="228"/>
      <c r="AU719" s="228"/>
      <c r="AV719" s="228"/>
      <c r="AW719" s="228"/>
      <c r="AX719" s="228"/>
      <c r="AY719" s="228"/>
      <c r="AZ719" s="228" t="str">
        <f>+IFERROR(AZ713/AY713-1,"n/a ")</f>
        <v xml:space="preserve">n/a </v>
      </c>
      <c r="BA719" s="228">
        <f>+IFERROR(BA713/AZ713-1,"n/a ")</f>
        <v>0.19279375333186999</v>
      </c>
      <c r="BB719" s="228">
        <f t="shared" ref="BB719:BE722" si="740">+IFERROR(BB713/BA713-1,"n/a ")</f>
        <v>0.13381707285011957</v>
      </c>
      <c r="BC719" s="228">
        <f t="shared" si="740"/>
        <v>0.11786120063997041</v>
      </c>
      <c r="BD719" s="228">
        <f t="shared" si="740"/>
        <v>0.19045841111802542</v>
      </c>
      <c r="BE719" s="228">
        <f t="shared" si="740"/>
        <v>0.14653610259269589</v>
      </c>
      <c r="BF719" s="228"/>
      <c r="BG719" s="228"/>
      <c r="BH719" s="228"/>
      <c r="BI719" s="228"/>
      <c r="BJ719" s="228"/>
    </row>
    <row r="720" spans="2:62" s="3" customFormat="1">
      <c r="B720" s="13" t="str">
        <f t="shared" ref="B720:B722" si="741">+B714</f>
        <v>Intelligent Cloud</v>
      </c>
      <c r="D720" s="228"/>
      <c r="E720" s="228"/>
      <c r="F720" s="228"/>
      <c r="G720" s="228"/>
      <c r="H720" s="228" t="str">
        <f t="shared" ref="H720:H722" si="742">+IFERROR(H714/D714-1,"n/a ")</f>
        <v xml:space="preserve">n/a </v>
      </c>
      <c r="I720" s="228" t="str">
        <f t="shared" si="739"/>
        <v xml:space="preserve">n/a </v>
      </c>
      <c r="J720" s="228" t="str">
        <f t="shared" si="739"/>
        <v xml:space="preserve">n/a </v>
      </c>
      <c r="K720" s="228" t="str">
        <f t="shared" si="739"/>
        <v xml:space="preserve">n/a </v>
      </c>
      <c r="L720" s="228">
        <f t="shared" si="739"/>
        <v>0.13070024804426628</v>
      </c>
      <c r="M720" s="228">
        <f t="shared" si="739"/>
        <v>0.16010663321310958</v>
      </c>
      <c r="N720" s="228">
        <f t="shared" si="739"/>
        <v>0.19664162615996461</v>
      </c>
      <c r="O720" s="228">
        <f t="shared" si="739"/>
        <v>0.27457958893139955</v>
      </c>
      <c r="P720" s="228">
        <f t="shared" si="739"/>
        <v>0.20806614917313526</v>
      </c>
      <c r="Q720" s="228">
        <f t="shared" si="739"/>
        <v>0.16666666666666674</v>
      </c>
      <c r="R720" s="228">
        <f t="shared" si="739"/>
        <v>0.18525356967011319</v>
      </c>
      <c r="S720" s="228">
        <f t="shared" si="739"/>
        <v>0.10631762652705068</v>
      </c>
      <c r="T720" s="228">
        <f t="shared" si="739"/>
        <v>0.27280346417097356</v>
      </c>
      <c r="U720" s="228">
        <f t="shared" si="739"/>
        <v>0.20264164059784506</v>
      </c>
      <c r="V720" s="228">
        <f t="shared" si="739"/>
        <v>0.19420500571191202</v>
      </c>
      <c r="W720" s="228">
        <f t="shared" si="739"/>
        <v>7.3132256436143406E-2</v>
      </c>
      <c r="X720" s="228">
        <f t="shared" si="739"/>
        <v>0.2516461808604038</v>
      </c>
      <c r="Y720" s="228">
        <f t="shared" si="739"/>
        <v>0.28593448940269739</v>
      </c>
      <c r="Z720" s="228">
        <f t="shared" si="739"/>
        <v>0.25489172971562746</v>
      </c>
      <c r="AA720" s="228">
        <f t="shared" si="739"/>
        <v>0.2928206032810019</v>
      </c>
      <c r="AB720" s="228">
        <f t="shared" si="739"/>
        <v>0.34774221832529584</v>
      </c>
      <c r="AC720" s="228">
        <f t="shared" si="739"/>
        <v>0.25554390170812114</v>
      </c>
      <c r="AD720" s="228">
        <f t="shared" si="739"/>
        <v>0.31850311850311841</v>
      </c>
      <c r="AE720" s="228">
        <f t="shared" si="739"/>
        <v>0.17141947514440359</v>
      </c>
      <c r="AF720" s="228">
        <f t="shared" si="739"/>
        <v>0.18717064602172928</v>
      </c>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t="str">
        <f t="shared" ref="AZ720:BA722" si="743">+IFERROR(AZ714/AY714-1,"n/a ")</f>
        <v xml:space="preserve">n/a </v>
      </c>
      <c r="BA720" s="228">
        <f t="shared" si="743"/>
        <v>0.20667206368481406</v>
      </c>
      <c r="BB720" s="228">
        <f t="shared" si="740"/>
        <v>0.15357951527688485</v>
      </c>
      <c r="BC720" s="228">
        <f t="shared" si="740"/>
        <v>0.16310853708774564</v>
      </c>
      <c r="BD720" s="228">
        <f t="shared" si="740"/>
        <v>0.27442810117088201</v>
      </c>
      <c r="BE720" s="228">
        <f t="shared" si="740"/>
        <v>0.25734837338564653</v>
      </c>
      <c r="BF720" s="228"/>
      <c r="BG720" s="228"/>
      <c r="BH720" s="228"/>
      <c r="BI720" s="228"/>
      <c r="BJ720" s="228"/>
    </row>
    <row r="721" spans="2:62" s="839" customFormat="1" ht="11.45">
      <c r="B721" s="13" t="str">
        <f t="shared" si="741"/>
        <v>More Personal Computing</v>
      </c>
      <c r="D721" s="840"/>
      <c r="E721" s="840"/>
      <c r="F721" s="840"/>
      <c r="G721" s="840"/>
      <c r="H721" s="840" t="str">
        <f t="shared" si="742"/>
        <v xml:space="preserve">n/a </v>
      </c>
      <c r="I721" s="840" t="str">
        <f t="shared" si="739"/>
        <v xml:space="preserve">n/a </v>
      </c>
      <c r="J721" s="840" t="str">
        <f t="shared" si="739"/>
        <v xml:space="preserve">n/a </v>
      </c>
      <c r="K721" s="840" t="str">
        <f t="shared" si="739"/>
        <v xml:space="preserve">n/a </v>
      </c>
      <c r="L721" s="840">
        <f t="shared" si="739"/>
        <v>6.4584436209633722E-3</v>
      </c>
      <c r="M721" s="840">
        <f t="shared" si="739"/>
        <v>2.4086094977793016E-2</v>
      </c>
      <c r="N721" s="840">
        <f t="shared" si="739"/>
        <v>0.13328012769353559</v>
      </c>
      <c r="O721" s="840">
        <f t="shared" si="739"/>
        <v>0.16741514360313325</v>
      </c>
      <c r="P721" s="840">
        <f t="shared" si="739"/>
        <v>0.13475699558173782</v>
      </c>
      <c r="Q721" s="840">
        <f t="shared" si="739"/>
        <v>5.92160133444537E-2</v>
      </c>
      <c r="R721" s="840">
        <f t="shared" si="739"/>
        <v>7.7162977867203164E-2</v>
      </c>
      <c r="S721" s="840">
        <f t="shared" si="739"/>
        <v>5.036679191268556E-2</v>
      </c>
      <c r="T721" s="840">
        <f t="shared" si="739"/>
        <v>1.5759710762955459E-2</v>
      </c>
      <c r="U721" s="840">
        <f t="shared" si="739"/>
        <v>3.8503937007873912E-2</v>
      </c>
      <c r="V721" s="840">
        <f t="shared" si="739"/>
        <v>4.0814420472587987E-2</v>
      </c>
      <c r="W721" s="840">
        <f t="shared" si="739"/>
        <v>0.14905033642790233</v>
      </c>
      <c r="X721" s="840">
        <f t="shared" si="739"/>
        <v>5.1656475312585659E-2</v>
      </c>
      <c r="Y721" s="840">
        <f t="shared" si="739"/>
        <v>0.13026006520585343</v>
      </c>
      <c r="Z721" s="840">
        <f t="shared" si="739"/>
        <v>0.17614860014357503</v>
      </c>
      <c r="AA721" s="840">
        <f t="shared" si="739"/>
        <v>0.10814617152175532</v>
      </c>
      <c r="AB721" s="840">
        <f t="shared" si="739"/>
        <v>0.15733749891521298</v>
      </c>
      <c r="AC721" s="840">
        <f t="shared" si="739"/>
        <v>0.13087811095458513</v>
      </c>
      <c r="AD721" s="840">
        <f t="shared" si="739"/>
        <v>0.10536354619668886</v>
      </c>
      <c r="AE721" s="840">
        <f t="shared" si="739"/>
        <v>1.2775919732441521E-2</v>
      </c>
      <c r="AF721" s="840">
        <f t="shared" si="739"/>
        <v>-2.1970605878824268E-2</v>
      </c>
      <c r="AG721" s="840"/>
      <c r="AH721" s="840"/>
      <c r="AI721" s="840"/>
      <c r="AJ721" s="840"/>
      <c r="AK721" s="840"/>
      <c r="AL721" s="840"/>
      <c r="AM721" s="840"/>
      <c r="AN721" s="840"/>
      <c r="AO721" s="840"/>
      <c r="AP721" s="840"/>
      <c r="AQ721" s="840"/>
      <c r="AR721" s="840"/>
      <c r="AS721" s="840"/>
      <c r="AT721" s="840"/>
      <c r="AU721" s="840"/>
      <c r="AV721" s="840"/>
      <c r="AW721" s="840"/>
      <c r="AX721" s="840"/>
      <c r="AY721" s="840"/>
      <c r="AZ721" s="840" t="str">
        <f t="shared" si="743"/>
        <v xml:space="preserve">n/a </v>
      </c>
      <c r="BA721" s="840">
        <f t="shared" si="743"/>
        <v>7.8862756019139724E-2</v>
      </c>
      <c r="BB721" s="840">
        <f t="shared" si="740"/>
        <v>7.7932134979114887E-2</v>
      </c>
      <c r="BC721" s="840">
        <f t="shared" si="740"/>
        <v>6.1957113312289147E-2</v>
      </c>
      <c r="BD721" s="840">
        <f t="shared" si="740"/>
        <v>0.11697177179639606</v>
      </c>
      <c r="BE721" s="840">
        <f t="shared" si="740"/>
        <v>9.7931616715913883E-2</v>
      </c>
      <c r="BF721" s="840"/>
      <c r="BG721" s="840"/>
      <c r="BH721" s="840"/>
      <c r="BI721" s="840"/>
      <c r="BJ721" s="840"/>
    </row>
    <row r="722" spans="2:62" s="7" customFormat="1">
      <c r="B722" s="841" t="str">
        <f t="shared" si="741"/>
        <v>Total billings</v>
      </c>
      <c r="D722" s="842"/>
      <c r="E722" s="842"/>
      <c r="F722" s="842"/>
      <c r="G722" s="842"/>
      <c r="H722" s="842" t="str">
        <f t="shared" si="742"/>
        <v xml:space="preserve">n/a </v>
      </c>
      <c r="I722" s="842" t="str">
        <f t="shared" si="739"/>
        <v xml:space="preserve">n/a </v>
      </c>
      <c r="J722" s="842" t="str">
        <f t="shared" si="739"/>
        <v xml:space="preserve">n/a </v>
      </c>
      <c r="K722" s="842" t="str">
        <f t="shared" si="739"/>
        <v xml:space="preserve">n/a </v>
      </c>
      <c r="L722" s="842">
        <f t="shared" si="739"/>
        <v>0.13334991295697596</v>
      </c>
      <c r="M722" s="842">
        <f t="shared" si="739"/>
        <v>9.3370534837112329E-2</v>
      </c>
      <c r="N722" s="842">
        <f t="shared" si="739"/>
        <v>0.16605405405405405</v>
      </c>
      <c r="O722" s="842">
        <f t="shared" si="739"/>
        <v>0.20066755261612634</v>
      </c>
      <c r="P722" s="842">
        <f t="shared" si="739"/>
        <v>0.16764680066707638</v>
      </c>
      <c r="Q722" s="842">
        <f t="shared" si="739"/>
        <v>8.9494303274269438E-2</v>
      </c>
      <c r="R722" s="842">
        <f t="shared" si="739"/>
        <v>0.13562024847023912</v>
      </c>
      <c r="S722" s="842">
        <f t="shared" si="739"/>
        <v>0.10136422136422141</v>
      </c>
      <c r="T722" s="842">
        <f t="shared" si="739"/>
        <v>0.12286702247613324</v>
      </c>
      <c r="U722" s="842">
        <f t="shared" si="739"/>
        <v>0.12496288721010784</v>
      </c>
      <c r="V722" s="842">
        <f t="shared" si="739"/>
        <v>0.1167461302331656</v>
      </c>
      <c r="W722" s="842">
        <f t="shared" si="739"/>
        <v>9.4138543516873785E-2</v>
      </c>
      <c r="X722" s="842">
        <f t="shared" si="739"/>
        <v>0.14741422594142262</v>
      </c>
      <c r="Y722" s="842">
        <f t="shared" si="739"/>
        <v>0.17761942465030356</v>
      </c>
      <c r="Z722" s="842">
        <f t="shared" si="739"/>
        <v>0.19990057607392453</v>
      </c>
      <c r="AA722" s="842">
        <f t="shared" si="739"/>
        <v>0.22990003417634997</v>
      </c>
      <c r="AB722" s="842">
        <f t="shared" si="739"/>
        <v>0.23081186732401759</v>
      </c>
      <c r="AC722" s="842">
        <f t="shared" si="739"/>
        <v>0.18237960057771807</v>
      </c>
      <c r="AD722" s="842">
        <f t="shared" si="739"/>
        <v>0.20359223064362819</v>
      </c>
      <c r="AE722" s="842">
        <f t="shared" si="739"/>
        <v>0.10243317876309077</v>
      </c>
      <c r="AF722" s="842">
        <f t="shared" si="739"/>
        <v>8.0870327795027341E-2</v>
      </c>
      <c r="AG722" s="842"/>
      <c r="AH722" s="842"/>
      <c r="AI722" s="842"/>
      <c r="AJ722" s="842"/>
      <c r="AK722" s="842"/>
      <c r="AL722" s="842" t="e">
        <f t="shared" ref="AL722:AT722" si="744">+AL716/AK716-1</f>
        <v>#DIV/0!</v>
      </c>
      <c r="AM722" s="842">
        <f t="shared" si="744"/>
        <v>0.14883629962839828</v>
      </c>
      <c r="AN722" s="842">
        <f t="shared" si="744"/>
        <v>0.19303522112510874</v>
      </c>
      <c r="AO722" s="842">
        <f t="shared" si="744"/>
        <v>-8.9534017218690032E-2</v>
      </c>
      <c r="AP722" s="842">
        <f t="shared" si="744"/>
        <v>9.7624686542212347E-2</v>
      </c>
      <c r="AQ722" s="842">
        <f t="shared" si="744"/>
        <v>0.14600983658575273</v>
      </c>
      <c r="AR722" s="842">
        <f t="shared" si="744"/>
        <v>6.1315465230573185E-2</v>
      </c>
      <c r="AS722" s="842">
        <f t="shared" si="744"/>
        <v>4.600714826119856E-2</v>
      </c>
      <c r="AT722" s="842">
        <f t="shared" si="744"/>
        <v>0.11726047213458202</v>
      </c>
      <c r="AU722" s="842">
        <f>+AU716/AT716-1</f>
        <v>4.6298776676489073E-2</v>
      </c>
      <c r="AV722" s="842"/>
      <c r="AW722" s="842"/>
      <c r="AX722" s="842"/>
      <c r="AY722" s="842">
        <f>+AY716/AU716-1</f>
        <v>-6.092383187540007E-2</v>
      </c>
      <c r="AZ722" s="842">
        <f t="shared" si="743"/>
        <v>0.1477354053777733</v>
      </c>
      <c r="BA722" s="842">
        <f t="shared" si="743"/>
        <v>0.15232495991448425</v>
      </c>
      <c r="BB722" s="842">
        <f t="shared" si="740"/>
        <v>0.11943413729128016</v>
      </c>
      <c r="BC722" s="842">
        <f t="shared" si="740"/>
        <v>0.11248455831012283</v>
      </c>
      <c r="BD722" s="842">
        <f t="shared" si="740"/>
        <v>0.19353192311140854</v>
      </c>
      <c r="BE722" s="842">
        <f t="shared" si="740"/>
        <v>0.17040260273101837</v>
      </c>
      <c r="BF722" s="842"/>
      <c r="BG722" s="842"/>
      <c r="BH722" s="842"/>
      <c r="BI722" s="842"/>
      <c r="BJ722" s="842"/>
    </row>
  </sheetData>
  <pageMargins left="0.3" right="0.3" top="0.3" bottom="0.3" header="0.3" footer="0.3"/>
  <pageSetup scale="53" fitToHeight="0" orientation="portrait" r:id="rId1"/>
  <rowBreaks count="7" manualBreakCount="7">
    <brk id="110" min="1" max="57" man="1"/>
    <brk id="285" min="1" max="57" man="1"/>
    <brk id="346" min="1" max="57" man="1"/>
    <brk id="435" min="1" max="57" man="1"/>
    <brk id="499" min="1" max="57" man="1"/>
    <brk id="574" min="1" max="57" man="1"/>
    <brk id="641" min="1" max="57" man="1"/>
  </rowBreaks>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37306-F69A-45C9-AF03-5EEEC1CFD29E}">
  <sheetPr>
    <pageSetUpPr fitToPage="1"/>
  </sheetPr>
  <dimension ref="A1:AA161"/>
  <sheetViews>
    <sheetView view="pageBreakPreview" topLeftCell="A131" zoomScaleNormal="100" zoomScaleSheetLayoutView="100" workbookViewId="0">
      <selection activeCell="I142" sqref="I142"/>
    </sheetView>
  </sheetViews>
  <sheetFormatPr defaultColWidth="9.33203125" defaultRowHeight="9.9499999999999993" outlineLevelRow="1"/>
  <cols>
    <col min="1" max="1" width="22.5" customWidth="1"/>
  </cols>
  <sheetData>
    <row r="1" spans="1:25" s="1" customFormat="1" ht="10.5">
      <c r="A1" t="s">
        <v>60</v>
      </c>
      <c r="B1" s="228"/>
      <c r="C1" s="228"/>
      <c r="D1" s="228"/>
      <c r="E1" s="228"/>
      <c r="F1" s="228"/>
      <c r="G1" s="228"/>
      <c r="H1" s="228"/>
      <c r="I1" s="228"/>
      <c r="J1" s="228"/>
      <c r="K1" s="228"/>
      <c r="L1" s="228"/>
      <c r="M1" s="228"/>
      <c r="N1" s="228"/>
      <c r="O1" s="228"/>
      <c r="P1" s="228"/>
      <c r="Q1" s="228"/>
      <c r="R1" s="792"/>
      <c r="S1" s="792"/>
      <c r="T1" s="792"/>
      <c r="U1" s="792"/>
      <c r="W1" s="792"/>
      <c r="X1" s="792"/>
      <c r="Y1" s="792">
        <f ca="1">TODAY()</f>
        <v>45797</v>
      </c>
    </row>
    <row r="2" spans="1:25" s="2" customFormat="1" ht="10.5">
      <c r="A2" s="2" t="s">
        <v>1233</v>
      </c>
      <c r="B2" s="1052"/>
      <c r="C2" s="1052"/>
      <c r="D2" s="1052"/>
      <c r="E2" s="1052"/>
      <c r="F2" s="1052"/>
      <c r="G2" s="1052"/>
      <c r="H2" s="1052"/>
      <c r="I2" s="1052"/>
      <c r="J2" s="1052"/>
      <c r="K2" s="1052"/>
      <c r="L2" s="1052"/>
      <c r="M2" s="1052"/>
      <c r="N2" s="1052"/>
      <c r="O2" s="1052"/>
      <c r="P2" s="1052"/>
      <c r="Q2" s="1052"/>
      <c r="R2" s="1052"/>
      <c r="S2" s="1052"/>
      <c r="T2" s="1052"/>
      <c r="U2" s="1052"/>
      <c r="V2" s="1052"/>
      <c r="W2" s="1052"/>
      <c r="X2" s="1052"/>
      <c r="Y2" s="1052"/>
    </row>
    <row r="3" spans="1:25">
      <c r="A3" s="3" t="s">
        <v>63</v>
      </c>
    </row>
    <row r="4" spans="1:25" ht="13.5">
      <c r="B4" s="821" t="s">
        <v>203</v>
      </c>
      <c r="C4" s="31"/>
      <c r="D4" s="31"/>
      <c r="E4" s="31"/>
      <c r="F4" s="31"/>
      <c r="G4" s="31"/>
      <c r="H4" s="31"/>
      <c r="I4" s="31"/>
      <c r="J4" s="31"/>
      <c r="K4" s="31"/>
      <c r="L4" s="31"/>
      <c r="M4" s="31"/>
      <c r="N4" s="31"/>
      <c r="O4" s="31"/>
      <c r="P4" s="31"/>
      <c r="Q4" s="31"/>
      <c r="R4" s="31"/>
      <c r="S4" s="31"/>
      <c r="T4" s="31"/>
      <c r="U4" s="31"/>
      <c r="V4" s="31"/>
      <c r="W4" s="31"/>
      <c r="X4" s="31"/>
      <c r="Y4" s="31"/>
    </row>
    <row r="5" spans="1:25" ht="13.5">
      <c r="A5" s="7"/>
      <c r="B5" s="6" t="s">
        <v>212</v>
      </c>
      <c r="C5" s="6" t="s">
        <v>213</v>
      </c>
      <c r="D5" s="6" t="s">
        <v>214</v>
      </c>
      <c r="E5" s="1053" t="s">
        <v>215</v>
      </c>
      <c r="F5" s="6" t="s">
        <v>216</v>
      </c>
      <c r="G5" s="6" t="s">
        <v>217</v>
      </c>
      <c r="H5" s="6" t="s">
        <v>218</v>
      </c>
      <c r="I5" s="1053" t="s">
        <v>219</v>
      </c>
      <c r="J5" s="6" t="s">
        <v>220</v>
      </c>
      <c r="K5" s="6" t="s">
        <v>221</v>
      </c>
      <c r="L5" s="6" t="s">
        <v>222</v>
      </c>
      <c r="M5" s="1053" t="s">
        <v>223</v>
      </c>
      <c r="N5" s="6" t="s">
        <v>224</v>
      </c>
      <c r="O5" s="6" t="s">
        <v>225</v>
      </c>
      <c r="P5" s="6" t="s">
        <v>226</v>
      </c>
      <c r="Q5" s="1053" t="s">
        <v>227</v>
      </c>
      <c r="R5" s="6" t="s">
        <v>228</v>
      </c>
      <c r="S5" s="6" t="s">
        <v>229</v>
      </c>
      <c r="T5" s="6" t="s">
        <v>230</v>
      </c>
      <c r="U5" s="1053" t="s">
        <v>231</v>
      </c>
      <c r="V5" s="1066" t="s">
        <v>232</v>
      </c>
      <c r="W5" s="6" t="s">
        <v>1234</v>
      </c>
      <c r="X5" s="6" t="s">
        <v>1235</v>
      </c>
      <c r="Y5" s="6" t="s">
        <v>1236</v>
      </c>
    </row>
    <row r="6" spans="1:25">
      <c r="E6" s="1065"/>
      <c r="I6" s="1065"/>
      <c r="M6" s="1065"/>
      <c r="N6" s="3" t="s">
        <v>1237</v>
      </c>
      <c r="Q6" s="1065"/>
      <c r="U6" s="1065"/>
      <c r="V6" s="1075" t="s">
        <v>1238</v>
      </c>
    </row>
    <row r="7" spans="1:25" ht="10.5">
      <c r="A7" s="1055" t="s">
        <v>1239</v>
      </c>
      <c r="E7" s="1065"/>
      <c r="I7" s="1065"/>
      <c r="M7" s="1065"/>
      <c r="Q7" s="1065"/>
      <c r="U7" s="1065"/>
      <c r="V7" s="1067"/>
    </row>
    <row r="8" spans="1:25">
      <c r="E8" s="1065"/>
      <c r="I8" s="1065"/>
      <c r="M8" s="1065"/>
      <c r="Q8" s="1065"/>
      <c r="U8" s="1065"/>
      <c r="V8" s="1067"/>
    </row>
    <row r="9" spans="1:25">
      <c r="A9" t="s">
        <v>86</v>
      </c>
      <c r="B9" s="8">
        <f>+'EBIT growth'!B7</f>
        <v>24538</v>
      </c>
      <c r="C9" s="8">
        <f>+'EBIT growth'!C7</f>
        <v>28918</v>
      </c>
      <c r="D9" s="8">
        <f>+'EBIT growth'!D7</f>
        <v>26819</v>
      </c>
      <c r="E9" s="1056">
        <f>+'EBIT growth'!E7</f>
        <v>30085</v>
      </c>
      <c r="F9" s="8">
        <f>+'EBIT growth'!F7</f>
        <v>29084</v>
      </c>
      <c r="G9" s="8">
        <f>+'EBIT growth'!G7</f>
        <v>32471</v>
      </c>
      <c r="H9" s="8">
        <f>+'EBIT growth'!H7</f>
        <v>30571</v>
      </c>
      <c r="I9" s="1056">
        <f>+'EBIT growth'!I7</f>
        <v>33717</v>
      </c>
      <c r="J9" s="8">
        <f>+'EBIT growth'!J7</f>
        <v>33055</v>
      </c>
      <c r="K9" s="8">
        <f>+'EBIT growth'!K7</f>
        <v>36906</v>
      </c>
      <c r="L9" s="8">
        <f>+'EBIT growth'!L7</f>
        <v>35021</v>
      </c>
      <c r="M9" s="1056">
        <f>+'EBIT growth'!M7</f>
        <v>38033</v>
      </c>
      <c r="N9" s="8">
        <f>+'EBIT growth'!N7</f>
        <v>37154</v>
      </c>
      <c r="O9" s="8">
        <f>+'EBIT growth'!O7</f>
        <v>43076</v>
      </c>
      <c r="P9" s="8">
        <f>+'EBIT growth'!P7</f>
        <v>41706</v>
      </c>
      <c r="Q9" s="1056">
        <f>+'EBIT growth'!Q7</f>
        <v>46152</v>
      </c>
      <c r="R9" s="8">
        <f>+'EBIT growth'!R7</f>
        <v>45317</v>
      </c>
      <c r="S9" s="8">
        <f>+'EBIT growth'!S7</f>
        <v>51728</v>
      </c>
      <c r="T9" s="8">
        <f>+'EBIT growth'!T7</f>
        <v>49360</v>
      </c>
      <c r="U9" s="1056">
        <f>+'EBIT growth'!U7</f>
        <v>51865</v>
      </c>
      <c r="V9" s="1068">
        <f>+'EBIT growth'!V7</f>
        <v>50122</v>
      </c>
      <c r="W9" s="8">
        <f>+'EBIT growth'!AD7</f>
        <v>52747</v>
      </c>
      <c r="X9" s="8">
        <f>+'EBIT growth'!AE7</f>
        <v>52857</v>
      </c>
      <c r="Y9" s="8">
        <f>+'EBIT growth'!AF7</f>
        <v>56189</v>
      </c>
    </row>
    <row r="10" spans="1:25" s="3" customFormat="1">
      <c r="A10" s="13" t="s">
        <v>113</v>
      </c>
      <c r="B10" s="836"/>
      <c r="C10" s="836"/>
      <c r="D10" s="836"/>
      <c r="E10" s="1062"/>
      <c r="F10" s="836">
        <f t="shared" ref="F10:V10" si="0">IFERROR(F9/B9-1,"n/a ")</f>
        <v>0.18526367267095933</v>
      </c>
      <c r="G10" s="836">
        <f t="shared" si="0"/>
        <v>0.12286465177398154</v>
      </c>
      <c r="H10" s="836">
        <f t="shared" si="0"/>
        <v>0.13990081658525666</v>
      </c>
      <c r="I10" s="1062">
        <f t="shared" si="0"/>
        <v>0.12072461359481479</v>
      </c>
      <c r="J10" s="836">
        <f t="shared" si="0"/>
        <v>0.13653555219364599</v>
      </c>
      <c r="K10" s="836">
        <f t="shared" si="0"/>
        <v>0.13658341289150311</v>
      </c>
      <c r="L10" s="836">
        <f t="shared" si="0"/>
        <v>0.14556278826338698</v>
      </c>
      <c r="M10" s="1062">
        <f t="shared" si="0"/>
        <v>0.12800664353293589</v>
      </c>
      <c r="N10" s="836">
        <f t="shared" si="0"/>
        <v>0.12400544546967174</v>
      </c>
      <c r="O10" s="836">
        <f t="shared" si="0"/>
        <v>0.16718148810491518</v>
      </c>
      <c r="P10" s="836">
        <f t="shared" si="0"/>
        <v>0.19088546871876866</v>
      </c>
      <c r="Q10" s="1062">
        <f t="shared" si="0"/>
        <v>0.21347251071437956</v>
      </c>
      <c r="R10" s="836">
        <f t="shared" si="0"/>
        <v>0.21970716477364483</v>
      </c>
      <c r="S10" s="836">
        <f t="shared" si="0"/>
        <v>0.2008543040208004</v>
      </c>
      <c r="T10" s="836">
        <f t="shared" si="0"/>
        <v>0.18352275451973332</v>
      </c>
      <c r="U10" s="1062">
        <f t="shared" si="0"/>
        <v>0.12378661813139202</v>
      </c>
      <c r="V10" s="1069">
        <f t="shared" si="0"/>
        <v>0.1060308493501334</v>
      </c>
      <c r="W10" s="836">
        <f t="shared" ref="W10" si="1">IFERROR(W9/S9-1,"n/a ")</f>
        <v>1.9699195793380753E-2</v>
      </c>
      <c r="X10" s="836">
        <f t="shared" ref="X10" si="2">IFERROR(X9/T9-1,"n/a ")</f>
        <v>7.0846839546191198E-2</v>
      </c>
      <c r="Y10" s="836">
        <f t="shared" ref="Y10" si="3">IFERROR(Y9/U9-1,"n/a ")</f>
        <v>8.3370288248336921E-2</v>
      </c>
    </row>
    <row r="11" spans="1:25" s="3" customFormat="1" hidden="1" outlineLevel="1">
      <c r="A11" s="13" t="s">
        <v>270</v>
      </c>
      <c r="B11" s="836"/>
      <c r="C11" s="836"/>
      <c r="D11" s="836"/>
      <c r="E11" s="1062"/>
      <c r="F11" s="836">
        <f>+'EBIT growth'!F9</f>
        <v>0.18546010269785637</v>
      </c>
      <c r="G11" s="836">
        <f>+'EBIT growth'!G9</f>
        <v>0.12631371464139982</v>
      </c>
      <c r="H11" s="836">
        <f>+'EBIT growth'!H9</f>
        <v>0.16</v>
      </c>
      <c r="I11" s="1062">
        <f>+'EBIT growth'!I9</f>
        <v>0.14324347681568889</v>
      </c>
      <c r="J11" s="836">
        <f>+'EBIT growth'!J9</f>
        <v>0.15429033145372026</v>
      </c>
      <c r="K11" s="836">
        <f>+'EBIT growth'!K9</f>
        <v>0.15197037356410337</v>
      </c>
      <c r="L11" s="836">
        <f>+'EBIT growth'!L9</f>
        <v>0.15910928657878379</v>
      </c>
      <c r="M11" s="1062">
        <f>+'EBIT growth'!M9</f>
        <v>0.14502413322656227</v>
      </c>
      <c r="N11" s="836">
        <f>+'EBIT growth'!N9</f>
        <v>0.12050704885796401</v>
      </c>
      <c r="O11" s="836">
        <f>+'EBIT growth'!O9</f>
        <v>0.15363536010404813</v>
      </c>
      <c r="P11" s="836">
        <f>+'EBIT growth'!P9</f>
        <v>0.16171448844978725</v>
      </c>
      <c r="Q11" s="1062">
        <f>+'EBIT growth'!Q9</f>
        <v>0.17445905660873451</v>
      </c>
      <c r="R11" s="836">
        <f>+'EBIT growth'!R9</f>
        <v>0.20385421219787908</v>
      </c>
      <c r="S11" s="836">
        <f>+'EBIT growth'!S9</f>
        <v>0.20078497539232981</v>
      </c>
      <c r="T11" s="836">
        <f>+'EBIT growth'!T9</f>
        <v>0.20149706517047911</v>
      </c>
      <c r="U11" s="1062">
        <f>+'EBIT growth'!U9</f>
        <v>0.16459280637892182</v>
      </c>
      <c r="V11" s="1069">
        <f>+'EBIT growth'!V9</f>
        <v>0.15702183948628548</v>
      </c>
      <c r="W11" s="836">
        <f>+'EBIT growth'!AD9</f>
        <v>7.2159387565728428E-2</v>
      </c>
      <c r="X11" s="836">
        <f>+'EBIT growth'!AE9</f>
        <v>0.10162370340356562</v>
      </c>
      <c r="Y11" s="836">
        <f>+'EBIT growth'!AF9</f>
        <v>9.8637809698255086E-2</v>
      </c>
    </row>
    <row r="12" spans="1:25" collapsed="1">
      <c r="E12" s="1065"/>
      <c r="I12" s="1065"/>
      <c r="M12" s="1065"/>
      <c r="Q12" s="1065"/>
      <c r="U12" s="1065"/>
      <c r="V12" s="1067"/>
    </row>
    <row r="13" spans="1:25">
      <c r="A13" t="s">
        <v>1240</v>
      </c>
      <c r="B13" s="8">
        <f>+'Historical Financials'!L22</f>
        <v>16260</v>
      </c>
      <c r="C13" s="8">
        <f>+'Historical Financials'!M22</f>
        <v>17854</v>
      </c>
      <c r="D13" s="8">
        <f>+'Historical Financials'!N22</f>
        <v>17550</v>
      </c>
      <c r="E13" s="1056">
        <f>+'Historical Financials'!O22</f>
        <v>20343</v>
      </c>
      <c r="F13" s="8">
        <f>+'Historical Financials'!P22</f>
        <v>19179</v>
      </c>
      <c r="G13" s="8">
        <f>+'Historical Financials'!Q22</f>
        <v>20048</v>
      </c>
      <c r="H13" s="8">
        <f>+'Historical Financials'!R22</f>
        <v>20401</v>
      </c>
      <c r="I13" s="1056">
        <f>+'Historical Financials'!S22</f>
        <v>23305</v>
      </c>
      <c r="J13" s="8">
        <f>+'Historical Financials'!T22</f>
        <v>22649</v>
      </c>
      <c r="K13" s="8">
        <f>+'Historical Financials'!U22</f>
        <v>24548</v>
      </c>
      <c r="L13" s="8">
        <f>+'Historical Financials'!V22</f>
        <v>24046</v>
      </c>
      <c r="M13" s="1056">
        <f>+'Historical Financials'!W22</f>
        <v>25694</v>
      </c>
      <c r="N13" s="8">
        <f>+'Historical Financials'!X22</f>
        <v>26152</v>
      </c>
      <c r="O13" s="8">
        <f>+'Historical Financials'!Y22</f>
        <v>28882</v>
      </c>
      <c r="P13" s="8">
        <f>+'Historical Financials'!Z22</f>
        <v>28661</v>
      </c>
      <c r="Q13" s="1056">
        <f>+'Historical Financials'!AA22</f>
        <v>32161</v>
      </c>
      <c r="R13" s="8">
        <f>+'Historical Financials'!AB22</f>
        <v>31671</v>
      </c>
      <c r="S13" s="8">
        <f>+'Historical Financials'!AC22</f>
        <v>34768</v>
      </c>
      <c r="T13" s="8">
        <f>+'Historical Financials'!AD22</f>
        <v>33745</v>
      </c>
      <c r="U13" s="1056">
        <f>+'Historical Financials'!AE22</f>
        <v>35436</v>
      </c>
      <c r="V13" s="1068">
        <f>+'Historical Financials'!AF22</f>
        <v>34670</v>
      </c>
      <c r="W13" s="8">
        <f>+'Historical Financials'!AG22</f>
        <v>35259</v>
      </c>
      <c r="X13" s="8">
        <f>+'Historical Financials'!AH22</f>
        <v>36729</v>
      </c>
      <c r="Y13" s="8">
        <f>+'Historical Financials'!AI22</f>
        <v>39394</v>
      </c>
    </row>
    <row r="14" spans="1:25" s="3" customFormat="1">
      <c r="A14" s="13" t="s">
        <v>113</v>
      </c>
      <c r="B14" s="836"/>
      <c r="C14" s="836"/>
      <c r="D14" s="836"/>
      <c r="E14" s="1062"/>
      <c r="F14" s="836">
        <f t="shared" ref="F14" si="4">IFERROR(F13/B13-1,"n/a ")</f>
        <v>0.17952029520295198</v>
      </c>
      <c r="G14" s="836">
        <f t="shared" ref="G14" si="5">IFERROR(G13/C13-1,"n/a ")</f>
        <v>0.12288562787050528</v>
      </c>
      <c r="H14" s="836">
        <f t="shared" ref="H14" si="6">IFERROR(H13/D13-1,"n/a ")</f>
        <v>0.16245014245014255</v>
      </c>
      <c r="I14" s="1062">
        <f t="shared" ref="I14" si="7">IFERROR(I13/E13-1,"n/a ")</f>
        <v>0.14560291009192361</v>
      </c>
      <c r="J14" s="836">
        <f t="shared" ref="J14" si="8">IFERROR(J13/F13-1,"n/a ")</f>
        <v>0.1809270556337661</v>
      </c>
      <c r="K14" s="836">
        <f t="shared" ref="K14" si="9">IFERROR(K13/G13-1,"n/a ")</f>
        <v>0.22446129289704708</v>
      </c>
      <c r="L14" s="836">
        <f t="shared" ref="L14" si="10">IFERROR(L13/H13-1,"n/a ")</f>
        <v>0.17866771236704082</v>
      </c>
      <c r="M14" s="1062">
        <f t="shared" ref="M14" si="11">IFERROR(M13/I13-1,"n/a ")</f>
        <v>0.10251019094614899</v>
      </c>
      <c r="N14" s="836">
        <f t="shared" ref="N14" si="12">IFERROR(N13/J13-1,"n/a ")</f>
        <v>0.15466466510662724</v>
      </c>
      <c r="O14" s="836">
        <f t="shared" ref="O14" si="13">IFERROR(O13/K13-1,"n/a ")</f>
        <v>0.17655206126772049</v>
      </c>
      <c r="P14" s="836">
        <f t="shared" ref="P14" si="14">IFERROR(P13/L13-1,"n/a ")</f>
        <v>0.19192381269233971</v>
      </c>
      <c r="Q14" s="1062">
        <f t="shared" ref="Q14" si="15">IFERROR(Q13/M13-1,"n/a ")</f>
        <v>0.25169300225733626</v>
      </c>
      <c r="R14" s="836">
        <f t="shared" ref="R14" si="16">IFERROR(R13/N13-1,"n/a ")</f>
        <v>0.2110354848577547</v>
      </c>
      <c r="S14" s="836">
        <f t="shared" ref="S14" si="17">IFERROR(S13/O13-1,"n/a ")</f>
        <v>0.20379475105602096</v>
      </c>
      <c r="T14" s="836">
        <f t="shared" ref="T14" si="18">IFERROR(T13/P13-1,"n/a ")</f>
        <v>0.17738390146889493</v>
      </c>
      <c r="U14" s="1062">
        <f t="shared" ref="U14" si="19">IFERROR(U13/Q13-1,"n/a ")</f>
        <v>0.10183141071484103</v>
      </c>
      <c r="V14" s="1069">
        <f t="shared" ref="V14" si="20">IFERROR(V13/R13-1,"n/a ")</f>
        <v>9.4692305263490262E-2</v>
      </c>
      <c r="W14" s="836">
        <f t="shared" ref="W14" si="21">IFERROR(W13/S13-1,"n/a ")</f>
        <v>1.4122181316152727E-2</v>
      </c>
      <c r="X14" s="836">
        <f t="shared" ref="X14" si="22">IFERROR(X13/T13-1,"n/a ")</f>
        <v>8.8427915246703126E-2</v>
      </c>
      <c r="Y14" s="836">
        <f t="shared" ref="Y14" si="23">IFERROR(Y13/U13-1,"n/a ")</f>
        <v>0.11169432215825714</v>
      </c>
    </row>
    <row r="15" spans="1:25" s="3" customFormat="1">
      <c r="A15" s="13" t="s">
        <v>115</v>
      </c>
      <c r="B15" s="836">
        <f>+B13/B9</f>
        <v>0.66264569239546822</v>
      </c>
      <c r="C15" s="836">
        <f t="shared" ref="C15:V15" si="24">+C13/C9</f>
        <v>0.6174009267584204</v>
      </c>
      <c r="D15" s="836">
        <f t="shared" si="24"/>
        <v>0.65438681531749876</v>
      </c>
      <c r="E15" s="1062">
        <f t="shared" si="24"/>
        <v>0.67618414492271894</v>
      </c>
      <c r="F15" s="836">
        <f t="shared" si="24"/>
        <v>0.65943474075092834</v>
      </c>
      <c r="G15" s="836">
        <f t="shared" si="24"/>
        <v>0.61741246034923469</v>
      </c>
      <c r="H15" s="836">
        <f t="shared" si="24"/>
        <v>0.66733178502502366</v>
      </c>
      <c r="I15" s="1062">
        <f t="shared" si="24"/>
        <v>0.69119435299700449</v>
      </c>
      <c r="J15" s="836">
        <f t="shared" si="24"/>
        <v>0.6851913477537438</v>
      </c>
      <c r="K15" s="836">
        <f t="shared" si="24"/>
        <v>0.66514929821709212</v>
      </c>
      <c r="L15" s="836">
        <f t="shared" si="24"/>
        <v>0.68661660146769077</v>
      </c>
      <c r="M15" s="1062">
        <f t="shared" si="24"/>
        <v>0.67557121447164303</v>
      </c>
      <c r="N15" s="836">
        <f t="shared" si="24"/>
        <v>0.70388114334930285</v>
      </c>
      <c r="O15" s="836">
        <f t="shared" si="24"/>
        <v>0.67048936762930633</v>
      </c>
      <c r="P15" s="836">
        <f t="shared" si="24"/>
        <v>0.68721526878626582</v>
      </c>
      <c r="Q15" s="1062">
        <f t="shared" si="24"/>
        <v>0.69684954064829263</v>
      </c>
      <c r="R15" s="836">
        <f t="shared" si="24"/>
        <v>0.6988768012004325</v>
      </c>
      <c r="S15" s="836">
        <f t="shared" si="24"/>
        <v>0.67213114754098358</v>
      </c>
      <c r="T15" s="836">
        <f t="shared" si="24"/>
        <v>0.68365072933549431</v>
      </c>
      <c r="U15" s="1062">
        <f t="shared" si="24"/>
        <v>0.68323532247180174</v>
      </c>
      <c r="V15" s="1069">
        <f t="shared" si="24"/>
        <v>0.69171222217788597</v>
      </c>
      <c r="W15" s="836">
        <f t="shared" ref="W15:Y15" si="25">+W13/W9</f>
        <v>0.66845507801391546</v>
      </c>
      <c r="X15" s="836">
        <f t="shared" si="25"/>
        <v>0.69487485101311086</v>
      </c>
      <c r="Y15" s="836">
        <f t="shared" si="25"/>
        <v>0.70109807969531401</v>
      </c>
    </row>
    <row r="16" spans="1:25">
      <c r="E16" s="1065"/>
      <c r="I16" s="1065"/>
      <c r="M16" s="1065"/>
      <c r="Q16" s="1065"/>
      <c r="U16" s="1065"/>
      <c r="V16" s="1067"/>
    </row>
    <row r="17" spans="1:27" ht="10.5">
      <c r="A17" s="45" t="s">
        <v>874</v>
      </c>
      <c r="E17" s="1065"/>
      <c r="I17" s="1065"/>
      <c r="M17" s="1065"/>
      <c r="Q17" s="1065"/>
      <c r="U17" s="1065"/>
      <c r="V17" s="1067"/>
    </row>
    <row r="18" spans="1:27">
      <c r="A18" t="s">
        <v>1241</v>
      </c>
      <c r="B18" s="8">
        <f>+B13-B20-B19</f>
        <v>6053</v>
      </c>
      <c r="C18" s="8">
        <f t="shared" ref="C18:V18" si="26">+C13-C20-C19</f>
        <v>6639</v>
      </c>
      <c r="D18" s="8">
        <f t="shared" si="26"/>
        <v>6548</v>
      </c>
      <c r="E18" s="1056">
        <f t="shared" si="26"/>
        <v>7448</v>
      </c>
      <c r="F18" s="8">
        <f t="shared" si="26"/>
        <v>6387</v>
      </c>
      <c r="G18" s="8">
        <f t="shared" si="26"/>
        <v>6795</v>
      </c>
      <c r="H18" s="8">
        <f t="shared" si="26"/>
        <v>7134</v>
      </c>
      <c r="I18" s="1056">
        <f t="shared" si="26"/>
        <v>7976</v>
      </c>
      <c r="J18" s="8">
        <f t="shared" si="26"/>
        <v>6992</v>
      </c>
      <c r="K18" s="8">
        <f t="shared" si="26"/>
        <v>7454</v>
      </c>
      <c r="L18" s="8">
        <f t="shared" si="26"/>
        <v>7953</v>
      </c>
      <c r="M18" s="1056">
        <f t="shared" si="26"/>
        <v>8783</v>
      </c>
      <c r="N18" s="8">
        <f t="shared" si="26"/>
        <v>7631</v>
      </c>
      <c r="O18" s="8">
        <f t="shared" si="26"/>
        <v>8224</v>
      </c>
      <c r="P18" s="8">
        <f t="shared" si="26"/>
        <v>8677</v>
      </c>
      <c r="Q18" s="1056">
        <f t="shared" si="26"/>
        <v>9722</v>
      </c>
      <c r="R18" s="8">
        <f t="shared" si="26"/>
        <v>8221</v>
      </c>
      <c r="S18" s="8">
        <f t="shared" si="26"/>
        <v>9025</v>
      </c>
      <c r="T18" s="8">
        <f t="shared" si="26"/>
        <v>9608</v>
      </c>
      <c r="U18" s="1056">
        <f t="shared" si="26"/>
        <v>10923</v>
      </c>
      <c r="V18" s="1068">
        <f t="shared" si="26"/>
        <v>10362</v>
      </c>
      <c r="W18" s="8">
        <f t="shared" ref="W18" si="27">+W13-W20-W19</f>
        <v>10041</v>
      </c>
      <c r="X18" s="8">
        <f t="shared" ref="X18" si="28">+X13-X20-X19</f>
        <v>10828</v>
      </c>
      <c r="Y18" s="8">
        <f t="shared" ref="Y18" si="29">+Y13-Y20-Y19</f>
        <v>11266</v>
      </c>
    </row>
    <row r="19" spans="1:27" s="953" customFormat="1" ht="11.45">
      <c r="A19" t="s">
        <v>187</v>
      </c>
      <c r="B19" s="10">
        <f>+'Historical Financials'!L85</f>
        <v>2499</v>
      </c>
      <c r="C19" s="10">
        <f>+'Historical Financials'!M85</f>
        <v>2536</v>
      </c>
      <c r="D19" s="10">
        <f>+'Historical Financials'!N85</f>
        <v>2710</v>
      </c>
      <c r="E19" s="1058">
        <f>+'Historical Financials'!O85</f>
        <v>2516</v>
      </c>
      <c r="F19" s="10">
        <f>+'Historical Financials'!P85</f>
        <v>2837</v>
      </c>
      <c r="G19" s="10">
        <f>+'Historical Financials'!Q85</f>
        <v>2995</v>
      </c>
      <c r="H19" s="10">
        <f>+'Historical Financials'!R85</f>
        <v>2926</v>
      </c>
      <c r="I19" s="1058">
        <f>+'Historical Financials'!S85</f>
        <v>2924</v>
      </c>
      <c r="J19" s="10">
        <f>+'Historical Financials'!T85</f>
        <v>2971</v>
      </c>
      <c r="K19" s="10">
        <f>+'Historical Financials'!U85</f>
        <v>3203</v>
      </c>
      <c r="L19" s="10">
        <f>+'Historical Financials'!V85</f>
        <v>3118</v>
      </c>
      <c r="M19" s="1058">
        <f>+'Historical Financials'!W85</f>
        <v>3504</v>
      </c>
      <c r="N19" s="10">
        <f>+'Historical Financials'!X85</f>
        <v>2645</v>
      </c>
      <c r="O19" s="10">
        <f>+'Historical Financials'!Y85</f>
        <v>2761</v>
      </c>
      <c r="P19" s="10">
        <f>+'Historical Financials'!Z85</f>
        <v>2936</v>
      </c>
      <c r="Q19" s="1058">
        <f>+'Historical Financials'!AA85</f>
        <v>3344</v>
      </c>
      <c r="R19" s="10">
        <f>+'Historical Financials'!AB85</f>
        <v>3212</v>
      </c>
      <c r="S19" s="10">
        <f>+'Historical Financials'!AC85</f>
        <v>3496</v>
      </c>
      <c r="T19" s="10">
        <f>+'Historical Financials'!AD85</f>
        <v>3773</v>
      </c>
      <c r="U19" s="1058">
        <f>+'Historical Financials'!AE85</f>
        <v>3979</v>
      </c>
      <c r="V19" s="1070">
        <f>+'Historical Financials'!AF85</f>
        <v>2790</v>
      </c>
      <c r="W19" s="10">
        <f>+'Historical Financials'!AG85</f>
        <v>3648</v>
      </c>
      <c r="X19" s="10">
        <f>+'Historical Financials'!AH85</f>
        <v>3549</v>
      </c>
      <c r="Y19" s="10">
        <f>+'Historical Financials'!AI85</f>
        <v>3874</v>
      </c>
    </row>
    <row r="20" spans="1:27" s="1" customFormat="1" ht="10.5">
      <c r="A20" s="837" t="s">
        <v>874</v>
      </c>
      <c r="B20" s="838">
        <f>+'EBIT growth'!B11</f>
        <v>7708</v>
      </c>
      <c r="C20" s="838">
        <f>+'EBIT growth'!C11</f>
        <v>8679</v>
      </c>
      <c r="D20" s="838">
        <f>+'EBIT growth'!D11</f>
        <v>8292</v>
      </c>
      <c r="E20" s="1057">
        <f>+'EBIT growth'!E11</f>
        <v>10379</v>
      </c>
      <c r="F20" s="838">
        <f>+'EBIT growth'!F11</f>
        <v>9955</v>
      </c>
      <c r="G20" s="838">
        <f>+'EBIT growth'!G11</f>
        <v>10258</v>
      </c>
      <c r="H20" s="838">
        <f>+'EBIT growth'!H11</f>
        <v>10341</v>
      </c>
      <c r="I20" s="1057">
        <f>+'EBIT growth'!I11</f>
        <v>12405</v>
      </c>
      <c r="J20" s="838">
        <f>+'EBIT growth'!J11</f>
        <v>12686</v>
      </c>
      <c r="K20" s="838">
        <f>+'EBIT growth'!K11</f>
        <v>13891</v>
      </c>
      <c r="L20" s="838">
        <f>+'EBIT growth'!L11</f>
        <v>12975</v>
      </c>
      <c r="M20" s="1057">
        <f>+'EBIT growth'!M11</f>
        <v>13407</v>
      </c>
      <c r="N20" s="838">
        <f>+'EBIT growth'!N11</f>
        <v>15876</v>
      </c>
      <c r="O20" s="838">
        <f>+'EBIT growth'!O11</f>
        <v>17897</v>
      </c>
      <c r="P20" s="838">
        <f>+'EBIT growth'!P11</f>
        <v>17048</v>
      </c>
      <c r="Q20" s="1057">
        <f>+'EBIT growth'!Q11</f>
        <v>19095</v>
      </c>
      <c r="R20" s="838">
        <f>+'EBIT growth'!R11</f>
        <v>20238</v>
      </c>
      <c r="S20" s="838">
        <f>+'EBIT growth'!S11</f>
        <v>22247</v>
      </c>
      <c r="T20" s="838">
        <f>+'EBIT growth'!T11</f>
        <v>20364</v>
      </c>
      <c r="U20" s="1057">
        <f>+'EBIT growth'!U11</f>
        <v>20534</v>
      </c>
      <c r="V20" s="1071">
        <f>+'EBIT growth'!V11</f>
        <v>21518</v>
      </c>
      <c r="W20" s="838">
        <f>+'EBIT growth'!AD11</f>
        <v>21570</v>
      </c>
      <c r="X20" s="838">
        <f>+'EBIT growth'!AE11</f>
        <v>22352</v>
      </c>
      <c r="Y20" s="838">
        <f>+'EBIT growth'!AF11</f>
        <v>24254</v>
      </c>
    </row>
    <row r="21" spans="1:27" s="7" customFormat="1">
      <c r="A21" s="841" t="s">
        <v>113</v>
      </c>
      <c r="B21" s="1060"/>
      <c r="C21" s="1060"/>
      <c r="D21" s="1060"/>
      <c r="E21" s="1061"/>
      <c r="F21" s="1060">
        <f t="shared" ref="F21:V21" si="30">IFERROR(F20/B20-1,"n/a ")</f>
        <v>0.29151530877010901</v>
      </c>
      <c r="G21" s="1060">
        <f t="shared" si="30"/>
        <v>0.18193340246572176</v>
      </c>
      <c r="H21" s="1060">
        <f t="shared" si="30"/>
        <v>0.2471056439942112</v>
      </c>
      <c r="I21" s="1061">
        <f t="shared" si="30"/>
        <v>0.19520184988919942</v>
      </c>
      <c r="J21" s="1060">
        <f t="shared" si="30"/>
        <v>0.27433450527373182</v>
      </c>
      <c r="K21" s="1060">
        <f t="shared" si="30"/>
        <v>0.3541626047962565</v>
      </c>
      <c r="L21" s="1060">
        <f t="shared" si="30"/>
        <v>0.25471424427038003</v>
      </c>
      <c r="M21" s="1061">
        <f t="shared" si="30"/>
        <v>8.0773881499395461E-2</v>
      </c>
      <c r="N21" s="1060">
        <f t="shared" si="30"/>
        <v>0.25145830048872764</v>
      </c>
      <c r="O21" s="1060">
        <f t="shared" si="30"/>
        <v>0.28838816499892017</v>
      </c>
      <c r="P21" s="1060">
        <f t="shared" si="30"/>
        <v>0.31391136801541419</v>
      </c>
      <c r="Q21" s="1061">
        <f t="shared" si="30"/>
        <v>0.42425598567912282</v>
      </c>
      <c r="R21" s="1060">
        <f t="shared" si="30"/>
        <v>0.27475434618291761</v>
      </c>
      <c r="S21" s="1060">
        <f t="shared" si="30"/>
        <v>0.24305749566966539</v>
      </c>
      <c r="T21" s="1060">
        <f t="shared" si="30"/>
        <v>0.19450961989676219</v>
      </c>
      <c r="U21" s="1061">
        <f t="shared" si="30"/>
        <v>7.5360041895784269E-2</v>
      </c>
      <c r="V21" s="1072">
        <f t="shared" si="30"/>
        <v>6.3247356458147941E-2</v>
      </c>
      <c r="W21" s="1060">
        <f t="shared" ref="W21" si="31">IFERROR(W20/S20-1,"n/a ")</f>
        <v>-3.0431069357666152E-2</v>
      </c>
      <c r="X21" s="1060">
        <f t="shared" ref="X21" si="32">IFERROR(X20/T20-1,"n/a ")</f>
        <v>9.7623256727558338E-2</v>
      </c>
      <c r="Y21" s="1060">
        <f t="shared" ref="Y21" si="33">IFERROR(Y20/U20-1,"n/a ")</f>
        <v>0.18116294925489429</v>
      </c>
      <c r="AA21" s="7" t="s">
        <v>875</v>
      </c>
    </row>
    <row r="22" spans="1:27" s="7" customFormat="1">
      <c r="A22" s="841" t="s">
        <v>115</v>
      </c>
      <c r="B22" s="1060">
        <f>+B20/B9</f>
        <v>0.3141250305648382</v>
      </c>
      <c r="C22" s="1060">
        <f t="shared" ref="C22:V22" si="34">+C20/C9</f>
        <v>0.30012448993706342</v>
      </c>
      <c r="D22" s="1060">
        <f t="shared" si="34"/>
        <v>0.30918378761325926</v>
      </c>
      <c r="E22" s="1061">
        <f t="shared" si="34"/>
        <v>0.3449891972743892</v>
      </c>
      <c r="F22" s="1060">
        <f t="shared" si="34"/>
        <v>0.34228441754916794</v>
      </c>
      <c r="G22" s="1060">
        <f t="shared" si="34"/>
        <v>0.3159126605278556</v>
      </c>
      <c r="H22" s="1060">
        <f t="shared" si="34"/>
        <v>0.3382617513329626</v>
      </c>
      <c r="I22" s="1061">
        <f t="shared" si="34"/>
        <v>0.3679152949550672</v>
      </c>
      <c r="J22" s="1060">
        <f t="shared" si="34"/>
        <v>0.38378460142187265</v>
      </c>
      <c r="K22" s="1060">
        <f t="shared" si="34"/>
        <v>0.37638866309001245</v>
      </c>
      <c r="L22" s="1060">
        <f t="shared" si="34"/>
        <v>0.37049199051997372</v>
      </c>
      <c r="M22" s="1061">
        <f t="shared" si="34"/>
        <v>0.35250966266137301</v>
      </c>
      <c r="N22" s="1060">
        <f t="shared" si="34"/>
        <v>0.42730257845723207</v>
      </c>
      <c r="O22" s="1060">
        <f t="shared" si="34"/>
        <v>0.41547497446373849</v>
      </c>
      <c r="P22" s="1060">
        <f t="shared" si="34"/>
        <v>0.40876612477820939</v>
      </c>
      <c r="Q22" s="1061">
        <f t="shared" si="34"/>
        <v>0.41374154966198645</v>
      </c>
      <c r="R22" s="1060">
        <f t="shared" si="34"/>
        <v>0.44658737339188381</v>
      </c>
      <c r="S22" s="1060">
        <f t="shared" si="34"/>
        <v>0.43007655428394681</v>
      </c>
      <c r="T22" s="1060">
        <f t="shared" si="34"/>
        <v>0.41256077795786061</v>
      </c>
      <c r="U22" s="1061">
        <f t="shared" si="34"/>
        <v>0.3959124650535043</v>
      </c>
      <c r="V22" s="1072">
        <f t="shared" si="34"/>
        <v>0.42931247755476637</v>
      </c>
      <c r="W22" s="1060">
        <f t="shared" ref="W22:Y22" si="35">+W20/W9</f>
        <v>0.4089332094716287</v>
      </c>
      <c r="X22" s="1060">
        <f t="shared" si="35"/>
        <v>0.42287681858599618</v>
      </c>
      <c r="Y22" s="1060">
        <f t="shared" si="35"/>
        <v>0.4316503230169606</v>
      </c>
      <c r="AA22" s="7" t="s">
        <v>876</v>
      </c>
    </row>
    <row r="23" spans="1:27" s="3" customFormat="1">
      <c r="A23" s="13"/>
      <c r="B23" s="228"/>
      <c r="C23" s="228"/>
      <c r="D23" s="228"/>
      <c r="E23" s="236"/>
      <c r="F23" s="228"/>
      <c r="G23" s="228"/>
      <c r="H23" s="228"/>
      <c r="I23" s="236"/>
      <c r="J23" s="228"/>
      <c r="K23" s="228"/>
      <c r="L23" s="228"/>
      <c r="M23" s="236"/>
      <c r="N23" s="228"/>
      <c r="O23" s="228"/>
      <c r="P23" s="228"/>
      <c r="Q23" s="236"/>
      <c r="R23" s="228"/>
      <c r="S23" s="228"/>
      <c r="T23" s="228"/>
      <c r="U23" s="236"/>
      <c r="V23" s="1073"/>
      <c r="W23" s="228"/>
      <c r="X23" s="228"/>
      <c r="Y23" s="228"/>
    </row>
    <row r="24" spans="1:27" s="3" customFormat="1" hidden="1" outlineLevel="1">
      <c r="A24" s="13" t="s">
        <v>1242</v>
      </c>
      <c r="B24" s="836">
        <f>+B19/B9</f>
        <v>0.10184204091613008</v>
      </c>
      <c r="C24" s="836">
        <f t="shared" ref="C24:V24" si="36">+C19/C9</f>
        <v>8.7696244553565256E-2</v>
      </c>
      <c r="D24" s="836">
        <f t="shared" si="36"/>
        <v>0.10104776464446848</v>
      </c>
      <c r="E24" s="1062">
        <f t="shared" si="36"/>
        <v>8.3629715805218552E-2</v>
      </c>
      <c r="F24" s="836">
        <f t="shared" si="36"/>
        <v>9.7545041947462524E-2</v>
      </c>
      <c r="G24" s="836">
        <f t="shared" si="36"/>
        <v>9.223614917926766E-2</v>
      </c>
      <c r="H24" s="836">
        <f t="shared" si="36"/>
        <v>9.5711622125543822E-2</v>
      </c>
      <c r="I24" s="1062">
        <f t="shared" si="36"/>
        <v>8.672183171693805E-2</v>
      </c>
      <c r="J24" s="836">
        <f t="shared" si="36"/>
        <v>8.9880502193314171E-2</v>
      </c>
      <c r="K24" s="836">
        <f t="shared" si="36"/>
        <v>8.678805614263263E-2</v>
      </c>
      <c r="L24" s="836">
        <f t="shared" si="36"/>
        <v>8.903229490876903E-2</v>
      </c>
      <c r="M24" s="1062">
        <f t="shared" si="36"/>
        <v>9.2130518234165071E-2</v>
      </c>
      <c r="N24" s="836">
        <f t="shared" si="36"/>
        <v>7.1190181407116332E-2</v>
      </c>
      <c r="O24" s="836">
        <f t="shared" si="36"/>
        <v>6.4096016343207357E-2</v>
      </c>
      <c r="P24" s="836">
        <f t="shared" si="36"/>
        <v>7.0397544717786406E-2</v>
      </c>
      <c r="Q24" s="1062">
        <f t="shared" si="36"/>
        <v>7.2456231582596634E-2</v>
      </c>
      <c r="R24" s="836">
        <f t="shared" si="36"/>
        <v>7.0878478275260934E-2</v>
      </c>
      <c r="S24" s="836">
        <f t="shared" si="36"/>
        <v>6.758428703990102E-2</v>
      </c>
      <c r="T24" s="836">
        <f t="shared" si="36"/>
        <v>7.6438411669367906E-2</v>
      </c>
      <c r="U24" s="1062">
        <f t="shared" si="36"/>
        <v>7.6718403547671843E-2</v>
      </c>
      <c r="V24" s="1069">
        <f t="shared" si="36"/>
        <v>5.5664179402258492E-2</v>
      </c>
      <c r="W24" s="836"/>
      <c r="X24" s="836"/>
      <c r="Y24" s="836"/>
    </row>
    <row r="25" spans="1:27" s="3" customFormat="1" hidden="1" outlineLevel="1">
      <c r="A25" s="13"/>
      <c r="B25" s="228"/>
      <c r="C25" s="228"/>
      <c r="D25" s="228"/>
      <c r="E25" s="236"/>
      <c r="F25" s="228"/>
      <c r="G25" s="228"/>
      <c r="H25" s="228"/>
      <c r="I25" s="236"/>
      <c r="J25" s="228"/>
      <c r="K25" s="228"/>
      <c r="L25" s="228"/>
      <c r="M25" s="1056"/>
      <c r="N25" s="228"/>
      <c r="O25" s="228"/>
      <c r="P25" s="228"/>
      <c r="Q25" s="1056"/>
      <c r="R25" s="228"/>
      <c r="S25" s="228"/>
      <c r="T25" s="228"/>
      <c r="U25" s="236"/>
      <c r="V25" s="1073"/>
      <c r="W25" s="228"/>
      <c r="X25" s="228"/>
      <c r="Y25" s="228"/>
    </row>
    <row r="26" spans="1:27" ht="10.5" collapsed="1">
      <c r="A26" s="45" t="s">
        <v>1243</v>
      </c>
      <c r="E26" s="1065"/>
      <c r="I26" s="1065"/>
      <c r="M26" s="1065"/>
      <c r="Q26" s="1065"/>
      <c r="U26" s="1065"/>
      <c r="V26" s="1067"/>
    </row>
    <row r="27" spans="1:27">
      <c r="A27" t="s">
        <v>1241</v>
      </c>
      <c r="B27" s="8">
        <f>+B18</f>
        <v>6053</v>
      </c>
      <c r="C27" s="8">
        <f t="shared" ref="C27:V27" si="37">+C18</f>
        <v>6639</v>
      </c>
      <c r="D27" s="8">
        <f t="shared" si="37"/>
        <v>6548</v>
      </c>
      <c r="E27" s="1056">
        <f t="shared" si="37"/>
        <v>7448</v>
      </c>
      <c r="F27" s="8">
        <f t="shared" si="37"/>
        <v>6387</v>
      </c>
      <c r="G27" s="8">
        <f t="shared" si="37"/>
        <v>6795</v>
      </c>
      <c r="H27" s="8">
        <f t="shared" si="37"/>
        <v>7134</v>
      </c>
      <c r="I27" s="1056">
        <f t="shared" si="37"/>
        <v>7976</v>
      </c>
      <c r="J27" s="8">
        <f t="shared" si="37"/>
        <v>6992</v>
      </c>
      <c r="K27" s="8">
        <f t="shared" si="37"/>
        <v>7454</v>
      </c>
      <c r="L27" s="8">
        <f t="shared" si="37"/>
        <v>7953</v>
      </c>
      <c r="M27" s="1056">
        <f t="shared" si="37"/>
        <v>8783</v>
      </c>
      <c r="N27" s="8">
        <f t="shared" si="37"/>
        <v>7631</v>
      </c>
      <c r="O27" s="8">
        <f t="shared" si="37"/>
        <v>8224</v>
      </c>
      <c r="P27" s="8">
        <f t="shared" si="37"/>
        <v>8677</v>
      </c>
      <c r="Q27" s="1056">
        <f t="shared" si="37"/>
        <v>9722</v>
      </c>
      <c r="R27" s="8">
        <f t="shared" si="37"/>
        <v>8221</v>
      </c>
      <c r="S27" s="8">
        <f t="shared" si="37"/>
        <v>9025</v>
      </c>
      <c r="T27" s="8">
        <f t="shared" si="37"/>
        <v>9608</v>
      </c>
      <c r="U27" s="1056">
        <f t="shared" si="37"/>
        <v>10923</v>
      </c>
      <c r="V27" s="1068">
        <f t="shared" si="37"/>
        <v>10362</v>
      </c>
      <c r="W27" s="8">
        <f t="shared" ref="W27:Y27" si="38">+W18</f>
        <v>10041</v>
      </c>
      <c r="X27" s="8">
        <f t="shared" si="38"/>
        <v>10828</v>
      </c>
      <c r="Y27" s="8">
        <f t="shared" si="38"/>
        <v>11266</v>
      </c>
    </row>
    <row r="28" spans="1:27">
      <c r="A28" t="s">
        <v>187</v>
      </c>
      <c r="B28" s="8">
        <f t="shared" ref="B28:V28" si="39">+B19</f>
        <v>2499</v>
      </c>
      <c r="C28" s="8">
        <f t="shared" si="39"/>
        <v>2536</v>
      </c>
      <c r="D28" s="8">
        <f t="shared" si="39"/>
        <v>2710</v>
      </c>
      <c r="E28" s="1056">
        <f t="shared" si="39"/>
        <v>2516</v>
      </c>
      <c r="F28" s="8">
        <f t="shared" si="39"/>
        <v>2837</v>
      </c>
      <c r="G28" s="8">
        <f t="shared" si="39"/>
        <v>2995</v>
      </c>
      <c r="H28" s="8">
        <f t="shared" si="39"/>
        <v>2926</v>
      </c>
      <c r="I28" s="1056">
        <f t="shared" si="39"/>
        <v>2924</v>
      </c>
      <c r="J28" s="8">
        <f t="shared" si="39"/>
        <v>2971</v>
      </c>
      <c r="K28" s="8">
        <f t="shared" si="39"/>
        <v>3203</v>
      </c>
      <c r="L28" s="8">
        <f t="shared" si="39"/>
        <v>3118</v>
      </c>
      <c r="M28" s="1056">
        <f t="shared" si="39"/>
        <v>3504</v>
      </c>
      <c r="N28" s="8">
        <f t="shared" si="39"/>
        <v>2645</v>
      </c>
      <c r="O28" s="8">
        <f t="shared" si="39"/>
        <v>2761</v>
      </c>
      <c r="P28" s="8">
        <f t="shared" si="39"/>
        <v>2936</v>
      </c>
      <c r="Q28" s="1056">
        <f t="shared" si="39"/>
        <v>3344</v>
      </c>
      <c r="R28" s="8">
        <f t="shared" si="39"/>
        <v>3212</v>
      </c>
      <c r="S28" s="8">
        <f t="shared" si="39"/>
        <v>3496</v>
      </c>
      <c r="T28" s="8">
        <f t="shared" si="39"/>
        <v>3773</v>
      </c>
      <c r="U28" s="1056">
        <f t="shared" si="39"/>
        <v>3979</v>
      </c>
      <c r="V28" s="1068">
        <f t="shared" si="39"/>
        <v>2790</v>
      </c>
      <c r="W28" s="8">
        <f t="shared" ref="W28:Y28" si="40">+W19</f>
        <v>3648</v>
      </c>
      <c r="X28" s="8">
        <f t="shared" si="40"/>
        <v>3549</v>
      </c>
      <c r="Y28" s="8">
        <f t="shared" si="40"/>
        <v>3874</v>
      </c>
    </row>
    <row r="29" spans="1:27" s="953" customFormat="1" ht="11.45">
      <c r="A29" t="s">
        <v>1244</v>
      </c>
      <c r="B29" s="10">
        <v>0</v>
      </c>
      <c r="C29" s="10">
        <v>0</v>
      </c>
      <c r="D29" s="10">
        <v>0</v>
      </c>
      <c r="E29" s="1058">
        <v>0</v>
      </c>
      <c r="F29" s="10">
        <v>0</v>
      </c>
      <c r="G29" s="10">
        <v>0</v>
      </c>
      <c r="H29" s="10">
        <v>0</v>
      </c>
      <c r="I29" s="1058">
        <v>0</v>
      </c>
      <c r="J29" s="10">
        <v>0</v>
      </c>
      <c r="K29" s="10">
        <v>0</v>
      </c>
      <c r="L29" s="10">
        <v>0</v>
      </c>
      <c r="M29" s="1058">
        <v>0</v>
      </c>
      <c r="N29" s="58">
        <v>900</v>
      </c>
      <c r="O29" s="58">
        <f>+N29-150</f>
        <v>750</v>
      </c>
      <c r="P29" s="58">
        <v>650</v>
      </c>
      <c r="Q29" s="1059">
        <f>2700-P29-O29-N29</f>
        <v>400</v>
      </c>
      <c r="R29" s="10">
        <f>+R36*R9</f>
        <v>-906.34</v>
      </c>
      <c r="S29" s="10">
        <f t="shared" ref="S29:U29" si="41">+S36*S9</f>
        <v>-1034.56</v>
      </c>
      <c r="T29" s="10">
        <f t="shared" si="41"/>
        <v>-987.2</v>
      </c>
      <c r="U29" s="1064">
        <f t="shared" si="41"/>
        <v>-518.65</v>
      </c>
      <c r="V29" s="1074">
        <v>1100</v>
      </c>
      <c r="W29" s="58">
        <v>1000</v>
      </c>
      <c r="X29" s="58">
        <v>850</v>
      </c>
      <c r="Y29" s="58">
        <f>3700-X29-W29-V29</f>
        <v>750</v>
      </c>
    </row>
    <row r="30" spans="1:27" s="1" customFormat="1" ht="10.5">
      <c r="A30" s="837" t="s">
        <v>1243</v>
      </c>
      <c r="B30" s="838">
        <f>+B13-B28-B27-B29</f>
        <v>7708</v>
      </c>
      <c r="C30" s="838">
        <f t="shared" ref="C30:V30" si="42">+C13-C28-C27-C29</f>
        <v>8679</v>
      </c>
      <c r="D30" s="838">
        <f t="shared" si="42"/>
        <v>8292</v>
      </c>
      <c r="E30" s="1057">
        <f t="shared" si="42"/>
        <v>10379</v>
      </c>
      <c r="F30" s="838">
        <f t="shared" si="42"/>
        <v>9955</v>
      </c>
      <c r="G30" s="838">
        <f t="shared" si="42"/>
        <v>10258</v>
      </c>
      <c r="H30" s="838">
        <f t="shared" si="42"/>
        <v>10341</v>
      </c>
      <c r="I30" s="1057">
        <f t="shared" si="42"/>
        <v>12405</v>
      </c>
      <c r="J30" s="838">
        <f t="shared" si="42"/>
        <v>12686</v>
      </c>
      <c r="K30" s="838">
        <f t="shared" si="42"/>
        <v>13891</v>
      </c>
      <c r="L30" s="838">
        <f t="shared" si="42"/>
        <v>12975</v>
      </c>
      <c r="M30" s="1057">
        <f t="shared" si="42"/>
        <v>13407</v>
      </c>
      <c r="N30" s="838">
        <f t="shared" si="42"/>
        <v>14976</v>
      </c>
      <c r="O30" s="838">
        <f t="shared" si="42"/>
        <v>17147</v>
      </c>
      <c r="P30" s="838">
        <f t="shared" si="42"/>
        <v>16398</v>
      </c>
      <c r="Q30" s="1057">
        <f t="shared" si="42"/>
        <v>18695</v>
      </c>
      <c r="R30" s="838">
        <f t="shared" si="42"/>
        <v>21144.34</v>
      </c>
      <c r="S30" s="838">
        <f t="shared" si="42"/>
        <v>23281.56</v>
      </c>
      <c r="T30" s="838">
        <f t="shared" si="42"/>
        <v>21351.200000000001</v>
      </c>
      <c r="U30" s="1057">
        <f t="shared" si="42"/>
        <v>21052.65</v>
      </c>
      <c r="V30" s="1071">
        <f t="shared" si="42"/>
        <v>20418</v>
      </c>
      <c r="W30" s="838">
        <f t="shared" ref="W30" si="43">+W13-W28-W27-W29</f>
        <v>20570</v>
      </c>
      <c r="X30" s="838">
        <f t="shared" ref="X30" si="44">+X13-X28-X27-X29</f>
        <v>21502</v>
      </c>
      <c r="Y30" s="838">
        <f t="shared" ref="Y30" si="45">+Y13-Y28-Y27-Y29</f>
        <v>23504</v>
      </c>
    </row>
    <row r="31" spans="1:27" s="7" customFormat="1">
      <c r="A31" s="841" t="s">
        <v>1245</v>
      </c>
      <c r="B31" s="1060"/>
      <c r="C31" s="1060"/>
      <c r="D31" s="1060"/>
      <c r="E31" s="1061"/>
      <c r="F31" s="1060">
        <f>+F30/B20-1</f>
        <v>0.29151530877010901</v>
      </c>
      <c r="G31" s="1060">
        <f t="shared" ref="G31:V31" si="46">+G30/C20-1</f>
        <v>0.18193340246572176</v>
      </c>
      <c r="H31" s="1060">
        <f t="shared" si="46"/>
        <v>0.2471056439942112</v>
      </c>
      <c r="I31" s="1061">
        <f t="shared" si="46"/>
        <v>0.19520184988919942</v>
      </c>
      <c r="J31" s="1060">
        <f t="shared" si="46"/>
        <v>0.27433450527373182</v>
      </c>
      <c r="K31" s="1060">
        <f t="shared" si="46"/>
        <v>0.3541626047962565</v>
      </c>
      <c r="L31" s="1060">
        <f t="shared" si="46"/>
        <v>0.25471424427038003</v>
      </c>
      <c r="M31" s="1061">
        <f t="shared" si="46"/>
        <v>8.0773881499395461E-2</v>
      </c>
      <c r="N31" s="1060">
        <f t="shared" si="46"/>
        <v>0.1805139523884598</v>
      </c>
      <c r="O31" s="1060">
        <f t="shared" si="46"/>
        <v>0.23439637175149386</v>
      </c>
      <c r="P31" s="1060">
        <f t="shared" si="46"/>
        <v>0.26381502890173403</v>
      </c>
      <c r="Q31" s="1061">
        <f t="shared" si="46"/>
        <v>0.39442082494219433</v>
      </c>
      <c r="R31" s="1060">
        <f t="shared" si="46"/>
        <v>0.33184303350970024</v>
      </c>
      <c r="S31" s="1060">
        <f t="shared" si="46"/>
        <v>0.30086383192713861</v>
      </c>
      <c r="T31" s="1060">
        <f t="shared" si="46"/>
        <v>0.2524167057719382</v>
      </c>
      <c r="U31" s="1061">
        <f t="shared" si="46"/>
        <v>0.1025216025137472</v>
      </c>
      <c r="V31" s="1072">
        <f t="shared" si="46"/>
        <v>8.894159501926957E-3</v>
      </c>
      <c r="W31" s="1060">
        <f t="shared" ref="W31" si="47">+W30/S20-1</f>
        <v>-7.5380950240481859E-2</v>
      </c>
      <c r="X31" s="1060">
        <f t="shared" ref="X31" si="48">+X30/T20-1</f>
        <v>5.5882930661952379E-2</v>
      </c>
      <c r="Y31" s="1060">
        <f t="shared" ref="Y31" si="49">+Y30/U20-1</f>
        <v>0.14463816109866556</v>
      </c>
      <c r="AA31" s="7" t="s">
        <v>875</v>
      </c>
    </row>
    <row r="32" spans="1:27" s="7" customFormat="1">
      <c r="A32" s="841" t="s">
        <v>115</v>
      </c>
      <c r="B32" s="1060">
        <f t="shared" ref="B32:V32" si="50">+B30/B9</f>
        <v>0.3141250305648382</v>
      </c>
      <c r="C32" s="1060">
        <f t="shared" si="50"/>
        <v>0.30012448993706342</v>
      </c>
      <c r="D32" s="1060">
        <f t="shared" si="50"/>
        <v>0.30918378761325926</v>
      </c>
      <c r="E32" s="1061">
        <f t="shared" si="50"/>
        <v>0.3449891972743892</v>
      </c>
      <c r="F32" s="1060">
        <f t="shared" si="50"/>
        <v>0.34228441754916794</v>
      </c>
      <c r="G32" s="1060">
        <f t="shared" si="50"/>
        <v>0.3159126605278556</v>
      </c>
      <c r="H32" s="1060">
        <f t="shared" si="50"/>
        <v>0.3382617513329626</v>
      </c>
      <c r="I32" s="1061">
        <f t="shared" si="50"/>
        <v>0.3679152949550672</v>
      </c>
      <c r="J32" s="1060">
        <f t="shared" si="50"/>
        <v>0.38378460142187265</v>
      </c>
      <c r="K32" s="1060">
        <f t="shared" si="50"/>
        <v>0.37638866309001245</v>
      </c>
      <c r="L32" s="1060">
        <f t="shared" si="50"/>
        <v>0.37049199051997372</v>
      </c>
      <c r="M32" s="1061">
        <f t="shared" si="50"/>
        <v>0.35250966266137301</v>
      </c>
      <c r="N32" s="1060">
        <f t="shared" si="50"/>
        <v>0.40307907627711687</v>
      </c>
      <c r="O32" s="1060">
        <f t="shared" si="50"/>
        <v>0.39806388708329465</v>
      </c>
      <c r="P32" s="1060">
        <f t="shared" si="50"/>
        <v>0.39318083728959863</v>
      </c>
      <c r="Q32" s="1061">
        <f t="shared" si="50"/>
        <v>0.4050745363147859</v>
      </c>
      <c r="R32" s="1060">
        <f t="shared" si="50"/>
        <v>0.46658737339188383</v>
      </c>
      <c r="S32" s="1060">
        <f t="shared" si="50"/>
        <v>0.45007655428394683</v>
      </c>
      <c r="T32" s="1060">
        <f t="shared" si="50"/>
        <v>0.43256077795786063</v>
      </c>
      <c r="U32" s="1061">
        <f t="shared" si="50"/>
        <v>0.40591246505350431</v>
      </c>
      <c r="V32" s="1072">
        <f t="shared" si="50"/>
        <v>0.40736602689437773</v>
      </c>
      <c r="W32" s="1060">
        <f t="shared" ref="W32:Y32" si="51">+W30/W9</f>
        <v>0.38997478529584623</v>
      </c>
      <c r="X32" s="1060">
        <f t="shared" si="51"/>
        <v>0.40679569404241633</v>
      </c>
      <c r="Y32" s="1060">
        <f t="shared" si="51"/>
        <v>0.4183025147270818</v>
      </c>
      <c r="AA32" s="7" t="s">
        <v>876</v>
      </c>
    </row>
    <row r="33" spans="1:25" s="3" customFormat="1">
      <c r="A33" s="13"/>
      <c r="B33" s="228"/>
      <c r="C33" s="228"/>
      <c r="D33" s="228"/>
      <c r="E33" s="228"/>
      <c r="F33" s="228"/>
      <c r="G33" s="228"/>
      <c r="H33" s="228"/>
      <c r="I33" s="228"/>
      <c r="J33" s="228"/>
      <c r="K33" s="228"/>
      <c r="L33" s="228"/>
      <c r="M33" s="8"/>
      <c r="N33" s="228"/>
      <c r="O33" s="228"/>
      <c r="P33" s="228"/>
      <c r="Q33" s="228"/>
      <c r="R33" s="228"/>
      <c r="S33" s="228"/>
      <c r="T33" s="228"/>
      <c r="U33" s="228"/>
      <c r="V33" s="228"/>
      <c r="W33" s="228"/>
      <c r="X33" s="228"/>
      <c r="Y33" s="228"/>
    </row>
    <row r="34" spans="1:25" s="3" customFormat="1" hidden="1" outlineLevel="1">
      <c r="A34" s="13" t="s">
        <v>1242</v>
      </c>
      <c r="B34" s="836">
        <f>SUM(B28:B29)/B9</f>
        <v>0.10184204091613008</v>
      </c>
      <c r="C34" s="836">
        <f t="shared" ref="C34:V34" si="52">SUM(C28:C29)/C9</f>
        <v>8.7696244553565256E-2</v>
      </c>
      <c r="D34" s="836">
        <f t="shared" si="52"/>
        <v>0.10104776464446848</v>
      </c>
      <c r="E34" s="836">
        <f t="shared" si="52"/>
        <v>8.3629715805218552E-2</v>
      </c>
      <c r="F34" s="836">
        <f t="shared" si="52"/>
        <v>9.7545041947462524E-2</v>
      </c>
      <c r="G34" s="836">
        <f t="shared" si="52"/>
        <v>9.223614917926766E-2</v>
      </c>
      <c r="H34" s="836">
        <f t="shared" si="52"/>
        <v>9.5711622125543822E-2</v>
      </c>
      <c r="I34" s="836">
        <f t="shared" si="52"/>
        <v>8.672183171693805E-2</v>
      </c>
      <c r="J34" s="836">
        <f t="shared" si="52"/>
        <v>8.9880502193314171E-2</v>
      </c>
      <c r="K34" s="836">
        <f t="shared" si="52"/>
        <v>8.678805614263263E-2</v>
      </c>
      <c r="L34" s="836">
        <f t="shared" si="52"/>
        <v>8.903229490876903E-2</v>
      </c>
      <c r="M34" s="836">
        <f t="shared" si="52"/>
        <v>9.2130518234165071E-2</v>
      </c>
      <c r="N34" s="836">
        <f t="shared" si="52"/>
        <v>9.5413683587231526E-2</v>
      </c>
      <c r="O34" s="836">
        <f t="shared" si="52"/>
        <v>8.150710372365122E-2</v>
      </c>
      <c r="P34" s="836">
        <f t="shared" si="52"/>
        <v>8.5982832206397158E-2</v>
      </c>
      <c r="Q34" s="836">
        <f t="shared" si="52"/>
        <v>8.1123244929797195E-2</v>
      </c>
      <c r="R34" s="836">
        <f t="shared" si="52"/>
        <v>5.0878478275260937E-2</v>
      </c>
      <c r="S34" s="836">
        <f t="shared" si="52"/>
        <v>4.7584287039901023E-2</v>
      </c>
      <c r="T34" s="836">
        <f t="shared" si="52"/>
        <v>5.6438411669367916E-2</v>
      </c>
      <c r="U34" s="836">
        <f t="shared" si="52"/>
        <v>6.6718403547671834E-2</v>
      </c>
      <c r="V34" s="836">
        <f t="shared" si="52"/>
        <v>7.7610630062647137E-2</v>
      </c>
      <c r="W34" s="836">
        <f t="shared" ref="W34:Y34" si="53">SUM(W28:W29)/W9</f>
        <v>8.8118755569037102E-2</v>
      </c>
      <c r="X34" s="836">
        <f t="shared" si="53"/>
        <v>8.322454925553853E-2</v>
      </c>
      <c r="Y34" s="836">
        <f t="shared" si="53"/>
        <v>8.2293687376532768E-2</v>
      </c>
    </row>
    <row r="35" spans="1:25" s="3" customFormat="1" hidden="1" outlineLevel="1">
      <c r="A35" s="13"/>
      <c r="B35" s="228"/>
      <c r="C35" s="228"/>
      <c r="D35" s="228"/>
      <c r="E35" s="228"/>
      <c r="F35" s="228"/>
      <c r="G35" s="228"/>
      <c r="H35" s="228"/>
      <c r="I35" s="228"/>
      <c r="J35" s="228"/>
      <c r="K35" s="228"/>
      <c r="L35" s="228"/>
      <c r="M35" s="1056"/>
      <c r="N35" s="228"/>
      <c r="O35" s="228"/>
      <c r="P35" s="228"/>
      <c r="Q35" s="1056"/>
      <c r="R35" s="228"/>
      <c r="S35" s="228"/>
      <c r="T35" s="228"/>
      <c r="U35" s="228"/>
      <c r="V35" s="228"/>
      <c r="W35" s="228"/>
      <c r="X35" s="228"/>
      <c r="Y35" s="228"/>
    </row>
    <row r="36" spans="1:25" s="3" customFormat="1" collapsed="1">
      <c r="A36" s="13" t="s">
        <v>1246</v>
      </c>
      <c r="B36" s="228"/>
      <c r="C36" s="228"/>
      <c r="D36" s="228"/>
      <c r="E36" s="228"/>
      <c r="F36" s="228"/>
      <c r="G36" s="228"/>
      <c r="H36" s="228"/>
      <c r="I36" s="228"/>
      <c r="J36" s="228"/>
      <c r="K36" s="228"/>
      <c r="L36" s="228"/>
      <c r="M36" s="8"/>
      <c r="N36" s="836">
        <f>+N22-N32</f>
        <v>2.4223502180115208E-2</v>
      </c>
      <c r="O36" s="836">
        <f>+O22-O32</f>
        <v>1.7411087380443835E-2</v>
      </c>
      <c r="P36" s="836">
        <f>+P22-P32</f>
        <v>1.5585287488610766E-2</v>
      </c>
      <c r="Q36" s="836">
        <f>+Q22-Q32</f>
        <v>8.6670133472005473E-3</v>
      </c>
      <c r="R36" s="1063">
        <v>-0.02</v>
      </c>
      <c r="S36" s="1063">
        <v>-0.02</v>
      </c>
      <c r="T36" s="1063">
        <v>-0.02</v>
      </c>
      <c r="U36" s="1063">
        <v>-0.01</v>
      </c>
      <c r="V36" s="836">
        <f>+V22-V32</f>
        <v>2.1946450660388639E-2</v>
      </c>
      <c r="W36" s="836">
        <f t="shared" ref="W36:Y36" si="54">+W22-W32</f>
        <v>1.8958424175782473E-2</v>
      </c>
      <c r="X36" s="836">
        <f t="shared" si="54"/>
        <v>1.608112454357985E-2</v>
      </c>
      <c r="Y36" s="836">
        <f t="shared" si="54"/>
        <v>1.3347808289878804E-2</v>
      </c>
    </row>
    <row r="37" spans="1:25" s="3" customFormat="1">
      <c r="A37" s="13"/>
      <c r="B37" s="228"/>
      <c r="C37" s="228"/>
      <c r="D37" s="228"/>
      <c r="E37" s="228"/>
      <c r="F37" s="228"/>
      <c r="G37" s="228"/>
      <c r="H37" s="228"/>
      <c r="I37" s="228"/>
      <c r="J37" s="228"/>
      <c r="K37" s="228"/>
      <c r="L37" s="228"/>
      <c r="M37" s="228"/>
      <c r="N37" s="986"/>
    </row>
    <row r="38" spans="1:25" ht="10.5">
      <c r="A38" s="1055" t="s">
        <v>769</v>
      </c>
    </row>
    <row r="40" spans="1:25" ht="10.5">
      <c r="A40" s="45" t="s">
        <v>1247</v>
      </c>
    </row>
    <row r="41" spans="1:25" ht="34.5" customHeight="1">
      <c r="A41" s="1432" t="s">
        <v>1248</v>
      </c>
      <c r="B41" s="1432"/>
      <c r="C41" s="1432"/>
      <c r="D41" s="1432"/>
      <c r="E41" s="1432"/>
      <c r="F41" s="1432"/>
      <c r="G41" s="1432"/>
      <c r="H41" s="1432"/>
      <c r="I41" s="1432"/>
      <c r="J41" s="1432"/>
      <c r="K41" s="1432"/>
      <c r="L41" s="1432"/>
      <c r="M41" s="1432"/>
      <c r="N41" s="1432"/>
      <c r="O41" s="1432"/>
      <c r="P41" s="1432"/>
      <c r="Q41" s="1432"/>
      <c r="R41" s="1432"/>
      <c r="S41" s="1432"/>
      <c r="T41" s="1432"/>
      <c r="U41" s="1432"/>
      <c r="V41" s="1432"/>
      <c r="W41" s="42"/>
      <c r="X41" s="42"/>
      <c r="Y41" s="42"/>
    </row>
    <row r="42" spans="1:25" ht="51.75" customHeight="1">
      <c r="A42" s="1432" t="s">
        <v>1249</v>
      </c>
      <c r="B42" s="1432"/>
      <c r="C42" s="1432"/>
      <c r="D42" s="1432"/>
      <c r="E42" s="1432"/>
      <c r="F42" s="1432"/>
      <c r="G42" s="1432"/>
      <c r="H42" s="1432"/>
      <c r="I42" s="1432"/>
      <c r="J42" s="1432"/>
      <c r="K42" s="1432"/>
      <c r="L42" s="1432"/>
      <c r="M42" s="1432"/>
      <c r="N42" s="1432"/>
      <c r="O42" s="1432"/>
      <c r="P42" s="1432"/>
      <c r="Q42" s="1432"/>
      <c r="R42" s="1432"/>
      <c r="S42" s="1432"/>
      <c r="T42" s="1432"/>
      <c r="U42" s="1432"/>
      <c r="V42" s="1432"/>
      <c r="W42" s="42"/>
      <c r="X42" s="42"/>
      <c r="Y42" s="42"/>
    </row>
    <row r="44" spans="1:25">
      <c r="C44" s="852" t="s">
        <v>1250</v>
      </c>
      <c r="M44" s="852" t="s">
        <v>1251</v>
      </c>
    </row>
    <row r="65" spans="1:25" ht="10.5">
      <c r="A65" s="45" t="s">
        <v>769</v>
      </c>
    </row>
    <row r="66" spans="1:25" ht="10.5">
      <c r="A66" s="45"/>
    </row>
    <row r="67" spans="1:25">
      <c r="A67" s="852" t="s">
        <v>1252</v>
      </c>
    </row>
    <row r="68" spans="1:25" ht="22.5" customHeight="1">
      <c r="A68" s="1432" t="s">
        <v>1253</v>
      </c>
      <c r="B68" s="1432"/>
      <c r="C68" s="1432"/>
      <c r="D68" s="1432"/>
      <c r="E68" s="1432"/>
      <c r="F68" s="1432"/>
      <c r="G68" s="1432"/>
      <c r="H68" s="1432"/>
      <c r="I68" s="1432"/>
      <c r="J68" s="1432"/>
      <c r="K68" s="1432"/>
      <c r="L68" s="1432"/>
      <c r="M68" s="1432"/>
      <c r="N68" s="1432"/>
      <c r="O68" s="1432"/>
      <c r="P68" s="1432"/>
      <c r="Q68" s="1432"/>
      <c r="R68" s="1432"/>
      <c r="S68" s="1432"/>
      <c r="T68" s="1432"/>
      <c r="U68" s="1432"/>
      <c r="V68" s="1432"/>
      <c r="W68" s="42"/>
      <c r="X68" s="42"/>
      <c r="Y68" s="42"/>
    </row>
    <row r="69" spans="1:25" ht="10.5">
      <c r="A69" s="45"/>
    </row>
    <row r="70" spans="1:25">
      <c r="A70" s="852" t="s">
        <v>1254</v>
      </c>
      <c r="B70" s="42"/>
      <c r="C70" s="42"/>
      <c r="D70" s="42"/>
      <c r="E70" s="42"/>
      <c r="F70" s="42"/>
      <c r="G70" s="42"/>
      <c r="H70" s="42"/>
      <c r="I70" s="42"/>
      <c r="J70" s="42"/>
      <c r="K70" s="42"/>
      <c r="L70" s="42"/>
      <c r="M70" s="42"/>
      <c r="N70" s="42"/>
      <c r="O70" s="42"/>
      <c r="P70" s="42"/>
      <c r="Q70" s="42"/>
      <c r="R70" s="42"/>
      <c r="S70" s="42"/>
      <c r="T70" s="42"/>
      <c r="U70" s="42"/>
      <c r="V70" s="42"/>
      <c r="W70" s="42"/>
      <c r="X70" s="42"/>
      <c r="Y70" s="42"/>
    </row>
    <row r="71" spans="1:25" ht="23.25" customHeight="1">
      <c r="A71" s="1432" t="s">
        <v>1255</v>
      </c>
      <c r="B71" s="1432"/>
      <c r="C71" s="1432"/>
      <c r="D71" s="1432"/>
      <c r="E71" s="1432"/>
      <c r="F71" s="1432"/>
      <c r="G71" s="1432"/>
      <c r="H71" s="1432"/>
      <c r="I71" s="1432"/>
      <c r="J71" s="1432"/>
      <c r="K71" s="1432"/>
      <c r="L71" s="1432"/>
      <c r="M71" s="1432"/>
      <c r="N71" s="1432"/>
      <c r="O71" s="1432"/>
      <c r="P71" s="1432"/>
      <c r="Q71" s="1432"/>
      <c r="R71" s="1432"/>
      <c r="S71" s="1432"/>
      <c r="T71" s="1432"/>
      <c r="U71" s="1432"/>
      <c r="V71" s="1432"/>
      <c r="W71" s="42"/>
      <c r="X71" s="42"/>
      <c r="Y71" s="42"/>
    </row>
    <row r="72" spans="1:25">
      <c r="A72" s="1432" t="s">
        <v>1256</v>
      </c>
      <c r="B72" s="1432"/>
      <c r="C72" s="1432"/>
      <c r="D72" s="1432"/>
      <c r="E72" s="1432"/>
      <c r="F72" s="1432"/>
      <c r="G72" s="1432"/>
      <c r="H72" s="1432"/>
      <c r="I72" s="1432"/>
      <c r="J72" s="1432"/>
      <c r="K72" s="1432"/>
      <c r="L72" s="1432"/>
      <c r="M72" s="1432"/>
      <c r="N72" s="1432"/>
      <c r="O72" s="1432"/>
      <c r="P72" s="1432"/>
      <c r="Q72" s="1432"/>
      <c r="R72" s="1432"/>
      <c r="S72" s="1432"/>
      <c r="T72" s="1432"/>
      <c r="U72" s="1432"/>
      <c r="V72" s="1432"/>
      <c r="W72" s="42"/>
      <c r="X72" s="42"/>
      <c r="Y72" s="42"/>
    </row>
    <row r="73" spans="1:25" ht="24.75" customHeight="1">
      <c r="A73" s="1432" t="s">
        <v>1257</v>
      </c>
      <c r="B73" s="1432"/>
      <c r="C73" s="1432"/>
      <c r="D73" s="1432"/>
      <c r="E73" s="1432"/>
      <c r="F73" s="1432"/>
      <c r="G73" s="1432"/>
      <c r="H73" s="1432"/>
      <c r="I73" s="1432"/>
      <c r="J73" s="1432"/>
      <c r="K73" s="1432"/>
      <c r="L73" s="1432"/>
      <c r="M73" s="1432"/>
      <c r="N73" s="1432"/>
      <c r="O73" s="1432"/>
      <c r="P73" s="1432"/>
      <c r="Q73" s="1432"/>
      <c r="R73" s="1432"/>
      <c r="S73" s="1432"/>
      <c r="T73" s="1432"/>
      <c r="U73" s="1432"/>
      <c r="V73" s="1432"/>
      <c r="W73" s="42"/>
      <c r="X73" s="42"/>
      <c r="Y73" s="42"/>
    </row>
    <row r="74" spans="1:25" ht="24" customHeight="1">
      <c r="A74" s="1432" t="s">
        <v>1258</v>
      </c>
      <c r="B74" s="1432"/>
      <c r="C74" s="1432"/>
      <c r="D74" s="1432"/>
      <c r="E74" s="1432"/>
      <c r="F74" s="1432"/>
      <c r="G74" s="1432"/>
      <c r="H74" s="1432"/>
      <c r="I74" s="1432"/>
      <c r="J74" s="1432"/>
      <c r="K74" s="1432"/>
      <c r="L74" s="1432"/>
      <c r="M74" s="1432"/>
      <c r="N74" s="1432"/>
      <c r="O74" s="1432"/>
      <c r="P74" s="1432"/>
      <c r="Q74" s="1432"/>
      <c r="R74" s="1432"/>
      <c r="S74" s="1432"/>
      <c r="T74" s="1432"/>
      <c r="U74" s="1432"/>
      <c r="V74" s="1432"/>
      <c r="W74" s="42"/>
      <c r="X74" s="42"/>
      <c r="Y74" s="42"/>
    </row>
    <row r="75" spans="1:25" ht="24.75" customHeight="1">
      <c r="A75" s="1432" t="s">
        <v>1259</v>
      </c>
      <c r="B75" s="1432"/>
      <c r="C75" s="1432"/>
      <c r="D75" s="1432"/>
      <c r="E75" s="1432"/>
      <c r="F75" s="1432"/>
      <c r="G75" s="1432"/>
      <c r="H75" s="1432"/>
      <c r="I75" s="1432"/>
      <c r="J75" s="1432"/>
      <c r="K75" s="1432"/>
      <c r="L75" s="1432"/>
      <c r="M75" s="1432"/>
      <c r="N75" s="1432"/>
      <c r="O75" s="1432"/>
      <c r="P75" s="1432"/>
      <c r="Q75" s="1432"/>
      <c r="R75" s="1432"/>
      <c r="S75" s="1432"/>
      <c r="T75" s="1432"/>
      <c r="U75" s="1432"/>
      <c r="V75" s="1432"/>
      <c r="W75" s="42"/>
      <c r="X75" s="42"/>
      <c r="Y75" s="42"/>
    </row>
    <row r="76" spans="1:25" ht="10.5">
      <c r="A76" s="45"/>
    </row>
    <row r="77" spans="1:25">
      <c r="A77" s="852" t="s">
        <v>1260</v>
      </c>
    </row>
    <row r="78" spans="1:25" ht="21.75" customHeight="1">
      <c r="A78" s="1432" t="s">
        <v>1261</v>
      </c>
      <c r="B78" s="1432"/>
      <c r="C78" s="1432"/>
      <c r="D78" s="1432"/>
      <c r="E78" s="1432"/>
      <c r="F78" s="1432"/>
      <c r="G78" s="1432"/>
      <c r="H78" s="1432"/>
      <c r="I78" s="1432"/>
      <c r="J78" s="1432"/>
      <c r="K78" s="1432"/>
      <c r="L78" s="1432"/>
      <c r="M78" s="1432"/>
      <c r="N78" s="1432"/>
      <c r="O78" s="1432"/>
      <c r="P78" s="1432"/>
      <c r="Q78" s="1432"/>
      <c r="R78" s="1432"/>
      <c r="S78" s="1432"/>
      <c r="T78" s="1432"/>
      <c r="U78" s="1432"/>
      <c r="V78" s="1432"/>
      <c r="W78" s="42"/>
      <c r="X78" s="42"/>
      <c r="Y78" s="42"/>
    </row>
    <row r="79" spans="1:25" ht="23.25" customHeight="1">
      <c r="A79" s="1432" t="s">
        <v>1262</v>
      </c>
      <c r="B79" s="1432"/>
      <c r="C79" s="1432"/>
      <c r="D79" s="1432"/>
      <c r="E79" s="1432"/>
      <c r="F79" s="1432"/>
      <c r="G79" s="1432"/>
      <c r="H79" s="1432"/>
      <c r="I79" s="1432"/>
      <c r="J79" s="1432"/>
      <c r="K79" s="1432"/>
      <c r="L79" s="1432"/>
      <c r="M79" s="1432"/>
      <c r="N79" s="1432"/>
      <c r="O79" s="1432"/>
      <c r="P79" s="1432"/>
      <c r="Q79" s="1432"/>
      <c r="R79" s="1432"/>
      <c r="S79" s="1432"/>
      <c r="T79" s="1432"/>
      <c r="U79" s="1432"/>
      <c r="V79" s="1432"/>
      <c r="W79" s="42"/>
      <c r="X79" s="42"/>
      <c r="Y79" s="42"/>
    </row>
    <row r="80" spans="1:25">
      <c r="A80" s="1432" t="s">
        <v>1263</v>
      </c>
      <c r="B80" s="1432"/>
      <c r="C80" s="1432"/>
      <c r="D80" s="1432"/>
      <c r="E80" s="1432"/>
      <c r="F80" s="1432"/>
      <c r="G80" s="1432"/>
      <c r="H80" s="1432"/>
      <c r="I80" s="1432"/>
      <c r="J80" s="1432"/>
      <c r="K80" s="1432"/>
      <c r="L80" s="1432"/>
      <c r="M80" s="1432"/>
      <c r="N80" s="1432"/>
      <c r="O80" s="1432"/>
      <c r="P80" s="1432"/>
      <c r="Q80" s="1432"/>
      <c r="R80" s="1432"/>
      <c r="S80" s="1432"/>
      <c r="T80" s="1432"/>
      <c r="U80" s="1432"/>
      <c r="V80" s="1432"/>
      <c r="W80" s="42"/>
      <c r="X80" s="42"/>
      <c r="Y80" s="42"/>
    </row>
    <row r="81" spans="1:25" ht="25.5" customHeight="1">
      <c r="A81" s="1432" t="s">
        <v>1264</v>
      </c>
      <c r="B81" s="1432"/>
      <c r="C81" s="1432"/>
      <c r="D81" s="1432"/>
      <c r="E81" s="1432"/>
      <c r="F81" s="1432"/>
      <c r="G81" s="1432"/>
      <c r="H81" s="1432"/>
      <c r="I81" s="1432"/>
      <c r="J81" s="1432"/>
      <c r="K81" s="1432"/>
      <c r="L81" s="1432"/>
      <c r="M81" s="1432"/>
      <c r="N81" s="1432"/>
      <c r="O81" s="1432"/>
      <c r="P81" s="1432"/>
      <c r="Q81" s="1432"/>
      <c r="R81" s="1432"/>
      <c r="S81" s="1432"/>
      <c r="T81" s="1432"/>
      <c r="U81" s="1432"/>
      <c r="V81" s="1432"/>
      <c r="W81" s="42"/>
      <c r="X81" s="42"/>
      <c r="Y81" s="42"/>
    </row>
    <row r="82" spans="1:25" ht="24.75" customHeight="1">
      <c r="A82" s="1432" t="s">
        <v>1265</v>
      </c>
      <c r="B82" s="1432"/>
      <c r="C82" s="1432"/>
      <c r="D82" s="1432"/>
      <c r="E82" s="1432"/>
      <c r="F82" s="1432"/>
      <c r="G82" s="1432"/>
      <c r="H82" s="1432"/>
      <c r="I82" s="1432"/>
      <c r="J82" s="1432"/>
      <c r="K82" s="1432"/>
      <c r="L82" s="1432"/>
      <c r="M82" s="1432"/>
      <c r="N82" s="1432"/>
      <c r="O82" s="1432"/>
      <c r="P82" s="1432"/>
      <c r="Q82" s="1432"/>
      <c r="R82" s="1432"/>
      <c r="S82" s="1432"/>
      <c r="T82" s="1432"/>
      <c r="U82" s="1432"/>
      <c r="V82" s="1432"/>
      <c r="W82" s="42"/>
      <c r="X82" s="42"/>
      <c r="Y82" s="42"/>
    </row>
    <row r="83" spans="1:25" ht="25.5" customHeight="1">
      <c r="A83" s="1432" t="s">
        <v>1266</v>
      </c>
      <c r="B83" s="1432"/>
      <c r="C83" s="1432"/>
      <c r="D83" s="1432"/>
      <c r="E83" s="1432"/>
      <c r="F83" s="1432"/>
      <c r="G83" s="1432"/>
      <c r="H83" s="1432"/>
      <c r="I83" s="1432"/>
      <c r="J83" s="1432"/>
      <c r="K83" s="1432"/>
      <c r="L83" s="1432"/>
      <c r="M83" s="1432"/>
      <c r="N83" s="1432"/>
      <c r="O83" s="1432"/>
      <c r="P83" s="1432"/>
      <c r="Q83" s="1432"/>
      <c r="R83" s="1432"/>
      <c r="S83" s="1432"/>
      <c r="T83" s="1432"/>
      <c r="U83" s="1432"/>
      <c r="V83" s="1432"/>
      <c r="W83" s="42"/>
      <c r="X83" s="42"/>
      <c r="Y83" s="42"/>
    </row>
    <row r="85" spans="1:25">
      <c r="A85" s="852" t="s">
        <v>1267</v>
      </c>
    </row>
    <row r="86" spans="1:25" ht="24.75" customHeight="1">
      <c r="A86" s="1432" t="s">
        <v>1268</v>
      </c>
      <c r="B86" s="1432"/>
      <c r="C86" s="1432"/>
      <c r="D86" s="1432"/>
      <c r="E86" s="1432"/>
      <c r="F86" s="1432"/>
      <c r="G86" s="1432"/>
      <c r="H86" s="1432"/>
      <c r="I86" s="1432"/>
      <c r="J86" s="1432"/>
      <c r="K86" s="1432"/>
      <c r="L86" s="1432"/>
      <c r="M86" s="1432"/>
      <c r="N86" s="1432"/>
      <c r="O86" s="1432"/>
      <c r="P86" s="1432"/>
      <c r="Q86" s="1432"/>
      <c r="R86" s="1432"/>
      <c r="S86" s="1432"/>
      <c r="T86" s="1432"/>
      <c r="U86" s="1432"/>
      <c r="V86" s="1432"/>
      <c r="W86" s="42"/>
      <c r="X86" s="42"/>
      <c r="Y86" s="42"/>
    </row>
    <row r="87" spans="1:25">
      <c r="A87" s="1432" t="s">
        <v>1269</v>
      </c>
      <c r="B87" s="1432"/>
      <c r="C87" s="1432"/>
      <c r="D87" s="1432"/>
      <c r="E87" s="1432"/>
      <c r="F87" s="1432"/>
      <c r="G87" s="1432"/>
      <c r="H87" s="1432"/>
      <c r="I87" s="1432"/>
      <c r="J87" s="1432"/>
      <c r="K87" s="1432"/>
      <c r="L87" s="1432"/>
      <c r="M87" s="1432"/>
      <c r="N87" s="1432"/>
      <c r="O87" s="1432"/>
      <c r="P87" s="1432"/>
      <c r="Q87" s="1432"/>
      <c r="R87" s="1432"/>
      <c r="S87" s="1432"/>
      <c r="T87" s="1432"/>
      <c r="U87" s="1432"/>
      <c r="V87" s="1432"/>
      <c r="W87" s="42"/>
      <c r="X87" s="42"/>
      <c r="Y87" s="42"/>
    </row>
    <row r="88" spans="1:25">
      <c r="A88" s="1432" t="s">
        <v>1270</v>
      </c>
      <c r="B88" s="1432"/>
      <c r="C88" s="1432"/>
      <c r="D88" s="1432"/>
      <c r="E88" s="1432"/>
      <c r="F88" s="1432"/>
      <c r="G88" s="1432"/>
      <c r="H88" s="1432"/>
      <c r="I88" s="1432"/>
      <c r="J88" s="1432"/>
      <c r="K88" s="1432"/>
      <c r="L88" s="1432"/>
      <c r="M88" s="1432"/>
      <c r="N88" s="1432"/>
      <c r="O88" s="1432"/>
      <c r="P88" s="1432"/>
      <c r="Q88" s="1432"/>
      <c r="R88" s="1432"/>
      <c r="S88" s="1432"/>
      <c r="T88" s="1432"/>
      <c r="U88" s="1432"/>
      <c r="V88" s="1432"/>
      <c r="W88" s="42"/>
      <c r="X88" s="42"/>
      <c r="Y88" s="42"/>
    </row>
    <row r="89" spans="1:25" ht="23.25" customHeight="1">
      <c r="A89" s="1432" t="s">
        <v>1271</v>
      </c>
      <c r="B89" s="1432"/>
      <c r="C89" s="1432"/>
      <c r="D89" s="1432"/>
      <c r="E89" s="1432"/>
      <c r="F89" s="1432"/>
      <c r="G89" s="1432"/>
      <c r="H89" s="1432"/>
      <c r="I89" s="1432"/>
      <c r="J89" s="1432"/>
      <c r="K89" s="1432"/>
      <c r="L89" s="1432"/>
      <c r="M89" s="1432"/>
      <c r="N89" s="1432"/>
      <c r="O89" s="1432"/>
      <c r="P89" s="1432"/>
      <c r="Q89" s="1432"/>
      <c r="R89" s="1432"/>
      <c r="S89" s="1432"/>
      <c r="T89" s="1432"/>
      <c r="U89" s="1432"/>
      <c r="V89" s="1432"/>
      <c r="W89" s="42"/>
      <c r="X89" s="42"/>
      <c r="Y89" s="42"/>
    </row>
    <row r="90" spans="1:25" ht="22.5" customHeight="1">
      <c r="A90" s="1432" t="s">
        <v>1272</v>
      </c>
      <c r="B90" s="1432"/>
      <c r="C90" s="1432"/>
      <c r="D90" s="1432"/>
      <c r="E90" s="1432"/>
      <c r="F90" s="1432"/>
      <c r="G90" s="1432"/>
      <c r="H90" s="1432"/>
      <c r="I90" s="1432"/>
      <c r="J90" s="1432"/>
      <c r="K90" s="1432"/>
      <c r="L90" s="1432"/>
      <c r="M90" s="1432"/>
      <c r="N90" s="1432"/>
      <c r="O90" s="1432"/>
      <c r="P90" s="1432"/>
      <c r="Q90" s="1432"/>
      <c r="R90" s="1432"/>
      <c r="S90" s="1432"/>
      <c r="T90" s="1432"/>
      <c r="U90" s="1432"/>
      <c r="V90" s="1432"/>
      <c r="W90" s="42"/>
      <c r="X90" s="42"/>
      <c r="Y90" s="42"/>
    </row>
    <row r="91" spans="1:25" ht="21.75" customHeight="1">
      <c r="A91" s="1432" t="s">
        <v>1273</v>
      </c>
      <c r="B91" s="1432"/>
      <c r="C91" s="1432"/>
      <c r="D91" s="1432"/>
      <c r="E91" s="1432"/>
      <c r="F91" s="1432"/>
      <c r="G91" s="1432"/>
      <c r="H91" s="1432"/>
      <c r="I91" s="1432"/>
      <c r="J91" s="1432"/>
      <c r="K91" s="1432"/>
      <c r="L91" s="1432"/>
      <c r="M91" s="1432"/>
      <c r="N91" s="1432"/>
      <c r="O91" s="1432"/>
      <c r="P91" s="1432"/>
      <c r="Q91" s="1432"/>
      <c r="R91" s="1432"/>
      <c r="S91" s="1432"/>
      <c r="T91" s="1432"/>
      <c r="U91" s="1432"/>
      <c r="V91" s="1432"/>
      <c r="W91" s="42"/>
      <c r="X91" s="42"/>
      <c r="Y91" s="42"/>
    </row>
    <row r="93" spans="1:25">
      <c r="A93" s="852" t="s">
        <v>1274</v>
      </c>
    </row>
    <row r="94" spans="1:25" ht="34.5" customHeight="1">
      <c r="A94" s="1432" t="s">
        <v>1275</v>
      </c>
      <c r="B94" s="1432"/>
      <c r="C94" s="1432"/>
      <c r="D94" s="1432"/>
      <c r="E94" s="1432"/>
      <c r="F94" s="1432"/>
      <c r="G94" s="1432"/>
      <c r="H94" s="1432"/>
      <c r="I94" s="1432"/>
      <c r="J94" s="1432"/>
      <c r="K94" s="1432"/>
      <c r="L94" s="1432"/>
      <c r="M94" s="1432"/>
      <c r="N94" s="1432"/>
      <c r="O94" s="1432"/>
      <c r="P94" s="1432"/>
      <c r="Q94" s="1432"/>
      <c r="R94" s="1432"/>
      <c r="S94" s="1432"/>
      <c r="T94" s="1432"/>
      <c r="U94" s="1432"/>
      <c r="V94" s="1432"/>
      <c r="W94" s="42"/>
      <c r="X94" s="42"/>
      <c r="Y94" s="42"/>
    </row>
    <row r="95" spans="1:25" ht="23.25" customHeight="1">
      <c r="A95" s="1432" t="s">
        <v>1276</v>
      </c>
      <c r="B95" s="1432"/>
      <c r="C95" s="1432"/>
      <c r="D95" s="1432"/>
      <c r="E95" s="1432"/>
      <c r="F95" s="1432"/>
      <c r="G95" s="1432"/>
      <c r="H95" s="1432"/>
      <c r="I95" s="1432"/>
      <c r="J95" s="1432"/>
      <c r="K95" s="1432"/>
      <c r="L95" s="1432"/>
      <c r="M95" s="1432"/>
      <c r="N95" s="1432"/>
      <c r="O95" s="1432"/>
      <c r="P95" s="1432"/>
      <c r="Q95" s="1432"/>
      <c r="R95" s="1432"/>
      <c r="S95" s="1432"/>
      <c r="T95" s="1432"/>
      <c r="U95" s="1432"/>
      <c r="V95" s="1432"/>
      <c r="W95" s="42"/>
      <c r="X95" s="42"/>
      <c r="Y95" s="42"/>
    </row>
    <row r="96" spans="1:25" ht="24.75" customHeight="1">
      <c r="A96" s="1432" t="s">
        <v>1277</v>
      </c>
      <c r="B96" s="1432"/>
      <c r="C96" s="1432"/>
      <c r="D96" s="1432"/>
      <c r="E96" s="1432"/>
      <c r="F96" s="1432"/>
      <c r="G96" s="1432"/>
      <c r="H96" s="1432"/>
      <c r="I96" s="1432"/>
      <c r="J96" s="1432"/>
      <c r="K96" s="1432"/>
      <c r="L96" s="1432"/>
      <c r="M96" s="1432"/>
      <c r="N96" s="1432"/>
      <c r="O96" s="1432"/>
      <c r="P96" s="1432"/>
      <c r="Q96" s="1432"/>
      <c r="R96" s="1432"/>
      <c r="S96" s="1432"/>
      <c r="T96" s="1432"/>
      <c r="U96" s="1432"/>
      <c r="V96" s="1432"/>
      <c r="W96" s="42"/>
      <c r="X96" s="42"/>
      <c r="Y96" s="42"/>
    </row>
    <row r="97" spans="1:25" ht="34.5" customHeight="1">
      <c r="A97" s="1432" t="s">
        <v>1278</v>
      </c>
      <c r="B97" s="1432"/>
      <c r="C97" s="1432"/>
      <c r="D97" s="1432"/>
      <c r="E97" s="1432"/>
      <c r="F97" s="1432"/>
      <c r="G97" s="1432"/>
      <c r="H97" s="1432"/>
      <c r="I97" s="1432"/>
      <c r="J97" s="1432"/>
      <c r="K97" s="1432"/>
      <c r="L97" s="1432"/>
      <c r="M97" s="1432"/>
      <c r="N97" s="1432"/>
      <c r="O97" s="1432"/>
      <c r="P97" s="1432"/>
      <c r="Q97" s="1432"/>
      <c r="R97" s="1432"/>
      <c r="S97" s="1432"/>
      <c r="T97" s="1432"/>
      <c r="U97" s="1432"/>
      <c r="V97" s="1432"/>
      <c r="W97" s="42"/>
      <c r="X97" s="42"/>
      <c r="Y97" s="42"/>
    </row>
    <row r="98" spans="1:25" ht="26.25" customHeight="1">
      <c r="A98" s="1432" t="s">
        <v>1279</v>
      </c>
      <c r="B98" s="1432"/>
      <c r="C98" s="1432"/>
      <c r="D98" s="1432"/>
      <c r="E98" s="1432"/>
      <c r="F98" s="1432"/>
      <c r="G98" s="1432"/>
      <c r="H98" s="1432"/>
      <c r="I98" s="1432"/>
      <c r="J98" s="1432"/>
      <c r="K98" s="1432"/>
      <c r="L98" s="1432"/>
      <c r="M98" s="1432"/>
      <c r="N98" s="1432"/>
      <c r="O98" s="1432"/>
      <c r="P98" s="1432"/>
      <c r="Q98" s="1432"/>
      <c r="R98" s="1432"/>
      <c r="S98" s="1432"/>
      <c r="T98" s="1432"/>
      <c r="U98" s="1432"/>
      <c r="V98" s="1432"/>
      <c r="W98" s="42"/>
      <c r="X98" s="42"/>
      <c r="Y98" s="42"/>
    </row>
    <row r="99" spans="1:25" ht="22.5" customHeight="1">
      <c r="A99" s="1432" t="s">
        <v>1280</v>
      </c>
      <c r="B99" s="1432"/>
      <c r="C99" s="1432"/>
      <c r="D99" s="1432"/>
      <c r="E99" s="1432"/>
      <c r="F99" s="1432"/>
      <c r="G99" s="1432"/>
      <c r="H99" s="1432"/>
      <c r="I99" s="1432"/>
      <c r="J99" s="1432"/>
      <c r="K99" s="1432"/>
      <c r="L99" s="1432"/>
      <c r="M99" s="1432"/>
      <c r="N99" s="1432"/>
      <c r="O99" s="1432"/>
      <c r="P99" s="1432"/>
      <c r="Q99" s="1432"/>
      <c r="R99" s="1432"/>
      <c r="S99" s="1432"/>
      <c r="T99" s="1432"/>
      <c r="U99" s="1432"/>
      <c r="V99" s="1432"/>
      <c r="W99" s="42"/>
      <c r="X99" s="42"/>
      <c r="Y99" s="42"/>
    </row>
    <row r="101" spans="1:25">
      <c r="A101" s="852" t="s">
        <v>1281</v>
      </c>
    </row>
    <row r="102" spans="1:25" ht="22.5" customHeight="1">
      <c r="A102" s="1432" t="s">
        <v>1282</v>
      </c>
      <c r="B102" s="1432"/>
      <c r="C102" s="1432"/>
      <c r="D102" s="1432"/>
      <c r="E102" s="1432"/>
      <c r="F102" s="1432"/>
      <c r="G102" s="1432"/>
      <c r="H102" s="1432"/>
      <c r="I102" s="1432"/>
      <c r="J102" s="1432"/>
      <c r="K102" s="1432"/>
      <c r="L102" s="1432"/>
      <c r="M102" s="1432"/>
      <c r="N102" s="1432"/>
      <c r="O102" s="1432"/>
      <c r="P102" s="1432"/>
      <c r="Q102" s="1432"/>
      <c r="R102" s="1432"/>
      <c r="S102" s="1432"/>
      <c r="T102" s="1432"/>
      <c r="U102" s="1432"/>
      <c r="V102" s="1432"/>
      <c r="W102" s="42"/>
      <c r="X102" s="42"/>
      <c r="Y102" s="42"/>
    </row>
    <row r="103" spans="1:25" ht="24.75" customHeight="1">
      <c r="A103" s="1432" t="s">
        <v>1283</v>
      </c>
      <c r="B103" s="1432"/>
      <c r="C103" s="1432"/>
      <c r="D103" s="1432"/>
      <c r="E103" s="1432"/>
      <c r="F103" s="1432"/>
      <c r="G103" s="1432"/>
      <c r="H103" s="1432"/>
      <c r="I103" s="1432"/>
      <c r="J103" s="1432"/>
      <c r="K103" s="1432"/>
      <c r="L103" s="1432"/>
      <c r="M103" s="1432"/>
      <c r="N103" s="1432"/>
      <c r="O103" s="1432"/>
      <c r="P103" s="1432"/>
      <c r="Q103" s="1432"/>
      <c r="R103" s="1432"/>
      <c r="S103" s="1432"/>
      <c r="T103" s="1432"/>
      <c r="U103" s="1432"/>
      <c r="V103" s="1432"/>
      <c r="W103" s="42"/>
      <c r="X103" s="42"/>
      <c r="Y103" s="42"/>
    </row>
    <row r="104" spans="1:25">
      <c r="A104" s="1432" t="s">
        <v>1284</v>
      </c>
      <c r="B104" s="1432"/>
      <c r="C104" s="1432"/>
      <c r="D104" s="1432"/>
      <c r="E104" s="1432"/>
      <c r="F104" s="1432"/>
      <c r="G104" s="1432"/>
      <c r="H104" s="1432"/>
      <c r="I104" s="1432"/>
      <c r="J104" s="1432"/>
      <c r="K104" s="1432"/>
      <c r="L104" s="1432"/>
      <c r="M104" s="1432"/>
      <c r="N104" s="1432"/>
      <c r="O104" s="1432"/>
      <c r="P104" s="1432"/>
      <c r="Q104" s="1432"/>
      <c r="R104" s="1432"/>
      <c r="S104" s="1432"/>
      <c r="T104" s="1432"/>
      <c r="U104" s="1432"/>
      <c r="V104" s="1432"/>
      <c r="W104" s="42"/>
      <c r="X104" s="42"/>
      <c r="Y104" s="42"/>
    </row>
    <row r="105" spans="1:25" ht="21" customHeight="1">
      <c r="A105" s="1432" t="s">
        <v>1285</v>
      </c>
      <c r="B105" s="1432"/>
      <c r="C105" s="1432"/>
      <c r="D105" s="1432"/>
      <c r="E105" s="1432"/>
      <c r="F105" s="1432"/>
      <c r="G105" s="1432"/>
      <c r="H105" s="1432"/>
      <c r="I105" s="1432"/>
      <c r="J105" s="1432"/>
      <c r="K105" s="1432"/>
      <c r="L105" s="1432"/>
      <c r="M105" s="1432"/>
      <c r="N105" s="1432"/>
      <c r="O105" s="1432"/>
      <c r="P105" s="1432"/>
      <c r="Q105" s="1432"/>
      <c r="R105" s="1432"/>
      <c r="S105" s="1432"/>
      <c r="T105" s="1432"/>
      <c r="U105" s="1432"/>
      <c r="V105" s="1432"/>
      <c r="W105" s="42"/>
      <c r="X105" s="42"/>
      <c r="Y105" s="42"/>
    </row>
    <row r="106" spans="1:25" ht="22.5" customHeight="1">
      <c r="A106" s="1432" t="s">
        <v>1286</v>
      </c>
      <c r="B106" s="1432"/>
      <c r="C106" s="1432"/>
      <c r="D106" s="1432"/>
      <c r="E106" s="1432"/>
      <c r="F106" s="1432"/>
      <c r="G106" s="1432"/>
      <c r="H106" s="1432"/>
      <c r="I106" s="1432"/>
      <c r="J106" s="1432"/>
      <c r="K106" s="1432"/>
      <c r="L106" s="1432"/>
      <c r="M106" s="1432"/>
      <c r="N106" s="1432"/>
      <c r="O106" s="1432"/>
      <c r="P106" s="1432"/>
      <c r="Q106" s="1432"/>
      <c r="R106" s="1432"/>
      <c r="S106" s="1432"/>
      <c r="T106" s="1432"/>
      <c r="U106" s="1432"/>
      <c r="V106" s="1432"/>
      <c r="W106" s="42"/>
      <c r="X106" s="42"/>
      <c r="Y106" s="42"/>
    </row>
    <row r="107" spans="1:25" ht="21.75" customHeight="1">
      <c r="A107" s="1432" t="s">
        <v>1287</v>
      </c>
      <c r="B107" s="1432"/>
      <c r="C107" s="1432"/>
      <c r="D107" s="1432"/>
      <c r="E107" s="1432"/>
      <c r="F107" s="1432"/>
      <c r="G107" s="1432"/>
      <c r="H107" s="1432"/>
      <c r="I107" s="1432"/>
      <c r="J107" s="1432"/>
      <c r="K107" s="1432"/>
      <c r="L107" s="1432"/>
      <c r="M107" s="1432"/>
      <c r="N107" s="1432"/>
      <c r="O107" s="1432"/>
      <c r="P107" s="1432"/>
      <c r="Q107" s="1432"/>
      <c r="R107" s="1432"/>
      <c r="S107" s="1432"/>
      <c r="T107" s="1432"/>
      <c r="U107" s="1432"/>
      <c r="V107" s="1432"/>
      <c r="W107" s="42"/>
      <c r="X107" s="42"/>
      <c r="Y107" s="42"/>
    </row>
    <row r="109" spans="1:25">
      <c r="A109" s="852" t="s">
        <v>1288</v>
      </c>
    </row>
    <row r="110" spans="1:25" ht="21" customHeight="1">
      <c r="A110" s="1432" t="s">
        <v>1289</v>
      </c>
      <c r="B110" s="1432"/>
      <c r="C110" s="1432"/>
      <c r="D110" s="1432"/>
      <c r="E110" s="1432"/>
      <c r="F110" s="1432"/>
      <c r="G110" s="1432"/>
      <c r="H110" s="1432"/>
      <c r="I110" s="1432"/>
      <c r="J110" s="1432"/>
      <c r="K110" s="1432"/>
      <c r="L110" s="1432"/>
      <c r="M110" s="1432"/>
      <c r="N110" s="1432"/>
      <c r="O110" s="1432"/>
      <c r="P110" s="1432"/>
      <c r="Q110" s="1432"/>
      <c r="R110" s="1432"/>
      <c r="S110" s="1432"/>
      <c r="T110" s="1432"/>
      <c r="U110" s="1432"/>
      <c r="V110" s="1432"/>
      <c r="W110" s="42"/>
      <c r="X110" s="42"/>
      <c r="Y110" s="42"/>
    </row>
    <row r="111" spans="1:25" ht="22.5" customHeight="1">
      <c r="A111" s="1432" t="s">
        <v>1290</v>
      </c>
      <c r="B111" s="1432"/>
      <c r="C111" s="1432"/>
      <c r="D111" s="1432"/>
      <c r="E111" s="1432"/>
      <c r="F111" s="1432"/>
      <c r="G111" s="1432"/>
      <c r="H111" s="1432"/>
      <c r="I111" s="1432"/>
      <c r="J111" s="1432"/>
      <c r="K111" s="1432"/>
      <c r="L111" s="1432"/>
      <c r="M111" s="1432"/>
      <c r="N111" s="1432"/>
      <c r="O111" s="1432"/>
      <c r="P111" s="1432"/>
      <c r="Q111" s="1432"/>
      <c r="R111" s="1432"/>
      <c r="S111" s="1432"/>
      <c r="T111" s="1432"/>
      <c r="U111" s="1432"/>
      <c r="V111" s="1432"/>
      <c r="W111" s="42"/>
      <c r="X111" s="42"/>
      <c r="Y111" s="42"/>
    </row>
    <row r="112" spans="1:25">
      <c r="A112" s="1432" t="s">
        <v>1291</v>
      </c>
      <c r="B112" s="1432"/>
      <c r="C112" s="1432"/>
      <c r="D112" s="1432"/>
      <c r="E112" s="1432"/>
      <c r="F112" s="1432"/>
      <c r="G112" s="1432"/>
      <c r="H112" s="1432"/>
      <c r="I112" s="1432"/>
      <c r="J112" s="1432"/>
      <c r="K112" s="1432"/>
      <c r="L112" s="1432"/>
      <c r="M112" s="1432"/>
      <c r="N112" s="1432"/>
      <c r="O112" s="1432"/>
      <c r="P112" s="1432"/>
      <c r="Q112" s="1432"/>
      <c r="R112" s="1432"/>
      <c r="S112" s="1432"/>
      <c r="T112" s="1432"/>
      <c r="U112" s="1432"/>
      <c r="V112" s="1432"/>
      <c r="W112" s="42"/>
      <c r="X112" s="42"/>
      <c r="Y112" s="42"/>
    </row>
    <row r="113" spans="1:25" ht="23.25" customHeight="1">
      <c r="A113" s="1432" t="s">
        <v>1292</v>
      </c>
      <c r="B113" s="1432"/>
      <c r="C113" s="1432"/>
      <c r="D113" s="1432"/>
      <c r="E113" s="1432"/>
      <c r="F113" s="1432"/>
      <c r="G113" s="1432"/>
      <c r="H113" s="1432"/>
      <c r="I113" s="1432"/>
      <c r="J113" s="1432"/>
      <c r="K113" s="1432"/>
      <c r="L113" s="1432"/>
      <c r="M113" s="1432"/>
      <c r="N113" s="1432"/>
      <c r="O113" s="1432"/>
      <c r="P113" s="1432"/>
      <c r="Q113" s="1432"/>
      <c r="R113" s="1432"/>
      <c r="S113" s="1432"/>
      <c r="T113" s="1432"/>
      <c r="U113" s="1432"/>
      <c r="V113" s="1432"/>
      <c r="W113" s="42"/>
      <c r="X113" s="42"/>
      <c r="Y113" s="42"/>
    </row>
    <row r="114" spans="1:25" ht="22.5" customHeight="1">
      <c r="A114" s="1432" t="s">
        <v>1293</v>
      </c>
      <c r="B114" s="1432"/>
      <c r="C114" s="1432"/>
      <c r="D114" s="1432"/>
      <c r="E114" s="1432"/>
      <c r="F114" s="1432"/>
      <c r="G114" s="1432"/>
      <c r="H114" s="1432"/>
      <c r="I114" s="1432"/>
      <c r="J114" s="1432"/>
      <c r="K114" s="1432"/>
      <c r="L114" s="1432"/>
      <c r="M114" s="1432"/>
      <c r="N114" s="1432"/>
      <c r="O114" s="1432"/>
      <c r="P114" s="1432"/>
      <c r="Q114" s="1432"/>
      <c r="R114" s="1432"/>
      <c r="S114" s="1432"/>
      <c r="T114" s="1432"/>
      <c r="U114" s="1432"/>
      <c r="V114" s="1432"/>
      <c r="W114" s="42"/>
      <c r="X114" s="42"/>
      <c r="Y114" s="42"/>
    </row>
    <row r="115" spans="1:25" ht="24.75" customHeight="1">
      <c r="A115" s="1432" t="s">
        <v>1294</v>
      </c>
      <c r="B115" s="1432"/>
      <c r="C115" s="1432"/>
      <c r="D115" s="1432"/>
      <c r="E115" s="1432"/>
      <c r="F115" s="1432"/>
      <c r="G115" s="1432"/>
      <c r="H115" s="1432"/>
      <c r="I115" s="1432"/>
      <c r="J115" s="1432"/>
      <c r="K115" s="1432"/>
      <c r="L115" s="1432"/>
      <c r="M115" s="1432"/>
      <c r="N115" s="1432"/>
      <c r="O115" s="1432"/>
      <c r="P115" s="1432"/>
      <c r="Q115" s="1432"/>
      <c r="R115" s="1432"/>
      <c r="S115" s="1432"/>
      <c r="T115" s="1432"/>
      <c r="U115" s="1432"/>
      <c r="V115" s="1432"/>
      <c r="W115" s="42"/>
      <c r="X115" s="42"/>
      <c r="Y115" s="42"/>
    </row>
    <row r="117" spans="1:25">
      <c r="A117" s="852" t="s">
        <v>1295</v>
      </c>
    </row>
    <row r="118" spans="1:25" ht="23.25" customHeight="1">
      <c r="A118" s="1432" t="s">
        <v>1296</v>
      </c>
      <c r="B118" s="1432"/>
      <c r="C118" s="1432"/>
      <c r="D118" s="1432"/>
      <c r="E118" s="1432"/>
      <c r="F118" s="1432"/>
      <c r="G118" s="1432"/>
      <c r="H118" s="1432"/>
      <c r="I118" s="1432"/>
      <c r="J118" s="1432"/>
      <c r="K118" s="1432"/>
      <c r="L118" s="1432"/>
      <c r="M118" s="1432"/>
      <c r="N118" s="1432"/>
      <c r="O118" s="1432"/>
      <c r="P118" s="1432"/>
      <c r="Q118" s="1432"/>
      <c r="R118" s="1432"/>
      <c r="S118" s="1432"/>
      <c r="T118" s="1432"/>
      <c r="U118" s="1432"/>
      <c r="V118" s="1432"/>
      <c r="W118" s="42"/>
      <c r="X118" s="42"/>
      <c r="Y118" s="42"/>
    </row>
    <row r="119" spans="1:25" ht="22.5" customHeight="1">
      <c r="A119" s="1432" t="s">
        <v>1297</v>
      </c>
      <c r="B119" s="1432"/>
      <c r="C119" s="1432"/>
      <c r="D119" s="1432"/>
      <c r="E119" s="1432"/>
      <c r="F119" s="1432"/>
      <c r="G119" s="1432"/>
      <c r="H119" s="1432"/>
      <c r="I119" s="1432"/>
      <c r="J119" s="1432"/>
      <c r="K119" s="1432"/>
      <c r="L119" s="1432"/>
      <c r="M119" s="1432"/>
      <c r="N119" s="1432"/>
      <c r="O119" s="1432"/>
      <c r="P119" s="1432"/>
      <c r="Q119" s="1432"/>
      <c r="R119" s="1432"/>
      <c r="S119" s="1432"/>
      <c r="T119" s="1432"/>
      <c r="U119" s="1432"/>
      <c r="V119" s="1432"/>
      <c r="W119" s="42"/>
      <c r="X119" s="42"/>
      <c r="Y119" s="42"/>
    </row>
    <row r="120" spans="1:25">
      <c r="A120" s="1432" t="s">
        <v>1298</v>
      </c>
      <c r="B120" s="1432"/>
      <c r="C120" s="1432"/>
      <c r="D120" s="1432"/>
      <c r="E120" s="1432"/>
      <c r="F120" s="1432"/>
      <c r="G120" s="1432"/>
      <c r="H120" s="1432"/>
      <c r="I120" s="1432"/>
      <c r="J120" s="1432"/>
      <c r="K120" s="1432"/>
      <c r="L120" s="1432"/>
      <c r="M120" s="1432"/>
      <c r="N120" s="1432"/>
      <c r="O120" s="1432"/>
      <c r="P120" s="1432"/>
      <c r="Q120" s="1432"/>
      <c r="R120" s="1432"/>
      <c r="S120" s="1432"/>
      <c r="T120" s="1432"/>
      <c r="U120" s="1432"/>
      <c r="V120" s="1432"/>
      <c r="W120" s="42"/>
      <c r="X120" s="42"/>
      <c r="Y120" s="42"/>
    </row>
    <row r="121" spans="1:25" ht="23.25" customHeight="1">
      <c r="A121" s="1432" t="s">
        <v>1299</v>
      </c>
      <c r="B121" s="1432"/>
      <c r="C121" s="1432"/>
      <c r="D121" s="1432"/>
      <c r="E121" s="1432"/>
      <c r="F121" s="1432"/>
      <c r="G121" s="1432"/>
      <c r="H121" s="1432"/>
      <c r="I121" s="1432"/>
      <c r="J121" s="1432"/>
      <c r="K121" s="1432"/>
      <c r="L121" s="1432"/>
      <c r="M121" s="1432"/>
      <c r="N121" s="1432"/>
      <c r="O121" s="1432"/>
      <c r="P121" s="1432"/>
      <c r="Q121" s="1432"/>
      <c r="R121" s="1432"/>
      <c r="S121" s="1432"/>
      <c r="T121" s="1432"/>
      <c r="U121" s="1432"/>
      <c r="V121" s="1432"/>
      <c r="W121" s="42"/>
      <c r="X121" s="42"/>
      <c r="Y121" s="42"/>
    </row>
    <row r="122" spans="1:25" ht="22.5" customHeight="1">
      <c r="A122" s="1432" t="s">
        <v>1300</v>
      </c>
      <c r="B122" s="1432"/>
      <c r="C122" s="1432"/>
      <c r="D122" s="1432"/>
      <c r="E122" s="1432"/>
      <c r="F122" s="1432"/>
      <c r="G122" s="1432"/>
      <c r="H122" s="1432"/>
      <c r="I122" s="1432"/>
      <c r="J122" s="1432"/>
      <c r="K122" s="1432"/>
      <c r="L122" s="1432"/>
      <c r="M122" s="1432"/>
      <c r="N122" s="1432"/>
      <c r="O122" s="1432"/>
      <c r="P122" s="1432"/>
      <c r="Q122" s="1432"/>
      <c r="R122" s="1432"/>
      <c r="S122" s="1432"/>
      <c r="T122" s="1432"/>
      <c r="U122" s="1432"/>
      <c r="V122" s="1432"/>
      <c r="W122" s="42"/>
      <c r="X122" s="42"/>
      <c r="Y122" s="42"/>
    </row>
    <row r="123" spans="1:25" ht="22.5" customHeight="1">
      <c r="A123" s="1432" t="s">
        <v>1301</v>
      </c>
      <c r="B123" s="1432"/>
      <c r="C123" s="1432"/>
      <c r="D123" s="1432"/>
      <c r="E123" s="1432"/>
      <c r="F123" s="1432"/>
      <c r="G123" s="1432"/>
      <c r="H123" s="1432"/>
      <c r="I123" s="1432"/>
      <c r="J123" s="1432"/>
      <c r="K123" s="1432"/>
      <c r="L123" s="1432"/>
      <c r="M123" s="1432"/>
      <c r="N123" s="1432"/>
      <c r="O123" s="1432"/>
      <c r="P123" s="1432"/>
      <c r="Q123" s="1432"/>
      <c r="R123" s="1432"/>
      <c r="S123" s="1432"/>
      <c r="T123" s="1432"/>
      <c r="U123" s="1432"/>
      <c r="V123" s="1432"/>
      <c r="W123" s="42"/>
      <c r="X123" s="42"/>
      <c r="Y123" s="42"/>
    </row>
    <row r="125" spans="1:25">
      <c r="A125" s="852" t="s">
        <v>1302</v>
      </c>
    </row>
    <row r="126" spans="1:25" ht="23.25" customHeight="1">
      <c r="A126" s="1432" t="s">
        <v>1303</v>
      </c>
      <c r="B126" s="1432"/>
      <c r="C126" s="1432"/>
      <c r="D126" s="1432"/>
      <c r="E126" s="1432"/>
      <c r="F126" s="1432"/>
      <c r="G126" s="1432"/>
      <c r="H126" s="1432"/>
      <c r="I126" s="1432"/>
      <c r="J126" s="1432"/>
      <c r="K126" s="1432"/>
      <c r="L126" s="1432"/>
      <c r="M126" s="1432"/>
      <c r="N126" s="1432"/>
      <c r="O126" s="1432"/>
      <c r="P126" s="1432"/>
      <c r="Q126" s="1432"/>
      <c r="R126" s="1432"/>
      <c r="S126" s="1432"/>
      <c r="T126" s="1432"/>
      <c r="U126" s="1432"/>
      <c r="V126" s="1432"/>
      <c r="W126" s="42"/>
      <c r="X126" s="42"/>
      <c r="Y126" s="42"/>
    </row>
    <row r="127" spans="1:25" ht="23.25" customHeight="1">
      <c r="A127" s="1432" t="s">
        <v>1304</v>
      </c>
      <c r="B127" s="1432"/>
      <c r="C127" s="1432"/>
      <c r="D127" s="1432"/>
      <c r="E127" s="1432"/>
      <c r="F127" s="1432"/>
      <c r="G127" s="1432"/>
      <c r="H127" s="1432"/>
      <c r="I127" s="1432"/>
      <c r="J127" s="1432"/>
      <c r="K127" s="1432"/>
      <c r="L127" s="1432"/>
      <c r="M127" s="1432"/>
      <c r="N127" s="1432"/>
      <c r="O127" s="1432"/>
      <c r="P127" s="1432"/>
      <c r="Q127" s="1432"/>
      <c r="R127" s="1432"/>
      <c r="S127" s="1432"/>
      <c r="T127" s="1432"/>
      <c r="U127" s="1432"/>
      <c r="V127" s="1432"/>
      <c r="W127" s="42"/>
      <c r="X127" s="42"/>
      <c r="Y127" s="42"/>
    </row>
    <row r="128" spans="1:25" ht="22.5" customHeight="1">
      <c r="A128" s="1432" t="s">
        <v>1305</v>
      </c>
      <c r="B128" s="1432"/>
      <c r="C128" s="1432"/>
      <c r="D128" s="1432"/>
      <c r="E128" s="1432"/>
      <c r="F128" s="1432"/>
      <c r="G128" s="1432"/>
      <c r="H128" s="1432"/>
      <c r="I128" s="1432"/>
      <c r="J128" s="1432"/>
      <c r="K128" s="1432"/>
      <c r="L128" s="1432"/>
      <c r="M128" s="1432"/>
      <c r="N128" s="1432"/>
      <c r="O128" s="1432"/>
      <c r="P128" s="1432"/>
      <c r="Q128" s="1432"/>
      <c r="R128" s="1432"/>
      <c r="S128" s="1432"/>
      <c r="T128" s="1432"/>
      <c r="U128" s="1432"/>
      <c r="V128" s="1432"/>
      <c r="W128" s="42"/>
      <c r="X128" s="42"/>
      <c r="Y128" s="42"/>
    </row>
    <row r="129" spans="1:25" ht="23.25" customHeight="1">
      <c r="A129" s="1432" t="s">
        <v>1306</v>
      </c>
      <c r="B129" s="1432"/>
      <c r="C129" s="1432"/>
      <c r="D129" s="1432"/>
      <c r="E129" s="1432"/>
      <c r="F129" s="1432"/>
      <c r="G129" s="1432"/>
      <c r="H129" s="1432"/>
      <c r="I129" s="1432"/>
      <c r="J129" s="1432"/>
      <c r="K129" s="1432"/>
      <c r="L129" s="1432"/>
      <c r="M129" s="1432"/>
      <c r="N129" s="1432"/>
      <c r="O129" s="1432"/>
      <c r="P129" s="1432"/>
      <c r="Q129" s="1432"/>
      <c r="R129" s="1432"/>
      <c r="S129" s="1432"/>
      <c r="T129" s="1432"/>
      <c r="U129" s="1432"/>
      <c r="V129" s="1432"/>
      <c r="W129" s="42"/>
      <c r="X129" s="42"/>
      <c r="Y129" s="42"/>
    </row>
    <row r="130" spans="1:25" ht="33" customHeight="1">
      <c r="A130" s="1432" t="s">
        <v>1307</v>
      </c>
      <c r="B130" s="1432"/>
      <c r="C130" s="1432"/>
      <c r="D130" s="1432"/>
      <c r="E130" s="1432"/>
      <c r="F130" s="1432"/>
      <c r="G130" s="1432"/>
      <c r="H130" s="1432"/>
      <c r="I130" s="1432"/>
      <c r="J130" s="1432"/>
      <c r="K130" s="1432"/>
      <c r="L130" s="1432"/>
      <c r="M130" s="1432"/>
      <c r="N130" s="1432"/>
      <c r="O130" s="1432"/>
      <c r="P130" s="1432"/>
      <c r="Q130" s="1432"/>
      <c r="R130" s="1432"/>
      <c r="S130" s="1432"/>
      <c r="T130" s="1432"/>
      <c r="U130" s="1432"/>
      <c r="V130" s="1432"/>
      <c r="W130" s="42"/>
      <c r="X130" s="42"/>
      <c r="Y130" s="42"/>
    </row>
    <row r="131" spans="1:25" ht="32.25" customHeight="1">
      <c r="A131" s="1432" t="s">
        <v>1308</v>
      </c>
      <c r="B131" s="1432"/>
      <c r="C131" s="1432"/>
      <c r="D131" s="1432"/>
      <c r="E131" s="1432"/>
      <c r="F131" s="1432"/>
      <c r="G131" s="1432"/>
      <c r="H131" s="1432"/>
      <c r="I131" s="1432"/>
      <c r="J131" s="1432"/>
      <c r="K131" s="1432"/>
      <c r="L131" s="1432"/>
      <c r="M131" s="1432"/>
      <c r="N131" s="1432"/>
      <c r="O131" s="1432"/>
      <c r="P131" s="1432"/>
      <c r="Q131" s="1432"/>
      <c r="R131" s="1432"/>
      <c r="S131" s="1432"/>
      <c r="T131" s="1432"/>
      <c r="U131" s="1432"/>
      <c r="V131" s="1432"/>
      <c r="W131" s="42"/>
      <c r="X131" s="42"/>
      <c r="Y131" s="42"/>
    </row>
    <row r="132" spans="1:25" ht="24.75" customHeight="1">
      <c r="A132" s="1432" t="s">
        <v>1309</v>
      </c>
      <c r="B132" s="1432"/>
      <c r="C132" s="1432"/>
      <c r="D132" s="1432"/>
      <c r="E132" s="1432"/>
      <c r="F132" s="1432"/>
      <c r="G132" s="1432"/>
      <c r="H132" s="1432"/>
      <c r="I132" s="1432"/>
      <c r="J132" s="1432"/>
      <c r="K132" s="1432"/>
      <c r="L132" s="1432"/>
      <c r="M132" s="1432"/>
      <c r="N132" s="1432"/>
      <c r="O132" s="1432"/>
      <c r="P132" s="1432"/>
      <c r="Q132" s="1432"/>
      <c r="R132" s="1432"/>
      <c r="S132" s="1432"/>
      <c r="T132" s="1432"/>
      <c r="U132" s="1432"/>
      <c r="V132" s="1432"/>
      <c r="W132" s="42"/>
      <c r="X132" s="42"/>
      <c r="Y132" s="42"/>
    </row>
    <row r="134" spans="1:25">
      <c r="A134" s="852" t="s">
        <v>1310</v>
      </c>
    </row>
    <row r="135" spans="1:25" ht="23.25" customHeight="1">
      <c r="A135" s="1432" t="s">
        <v>1311</v>
      </c>
      <c r="B135" s="1432"/>
      <c r="C135" s="1432"/>
      <c r="D135" s="1432"/>
      <c r="E135" s="1432"/>
      <c r="F135" s="1432"/>
      <c r="G135" s="1432"/>
      <c r="H135" s="1432"/>
      <c r="I135" s="1432"/>
      <c r="J135" s="1432"/>
      <c r="K135" s="1432"/>
      <c r="L135" s="1432"/>
      <c r="M135" s="1432"/>
      <c r="N135" s="1432"/>
      <c r="O135" s="1432"/>
      <c r="P135" s="1432"/>
      <c r="Q135" s="1432"/>
      <c r="R135" s="1432"/>
      <c r="S135" s="1432"/>
      <c r="T135" s="1432"/>
      <c r="U135" s="1432"/>
      <c r="V135" s="1432"/>
      <c r="W135" s="42"/>
      <c r="X135" s="42"/>
      <c r="Y135" s="42"/>
    </row>
    <row r="136" spans="1:25" ht="21.75" customHeight="1">
      <c r="A136" s="1432" t="s">
        <v>1312</v>
      </c>
      <c r="B136" s="1432"/>
      <c r="C136" s="1432"/>
      <c r="D136" s="1432"/>
      <c r="E136" s="1432"/>
      <c r="F136" s="1432"/>
      <c r="G136" s="1432"/>
      <c r="H136" s="1432"/>
      <c r="I136" s="1432"/>
      <c r="J136" s="1432"/>
      <c r="K136" s="1432"/>
      <c r="L136" s="1432"/>
      <c r="M136" s="1432"/>
      <c r="N136" s="1432"/>
      <c r="O136" s="1432"/>
      <c r="P136" s="1432"/>
      <c r="Q136" s="1432"/>
      <c r="R136" s="1432"/>
      <c r="S136" s="1432"/>
      <c r="T136" s="1432"/>
      <c r="U136" s="1432"/>
      <c r="V136" s="1432"/>
      <c r="W136" s="42"/>
      <c r="X136" s="42"/>
      <c r="Y136" s="42"/>
    </row>
    <row r="137" spans="1:25" ht="21" customHeight="1">
      <c r="A137" s="1432" t="s">
        <v>1313</v>
      </c>
      <c r="B137" s="1432"/>
      <c r="C137" s="1432"/>
      <c r="D137" s="1432"/>
      <c r="E137" s="1432"/>
      <c r="F137" s="1432"/>
      <c r="G137" s="1432"/>
      <c r="H137" s="1432"/>
      <c r="I137" s="1432"/>
      <c r="J137" s="1432"/>
      <c r="K137" s="1432"/>
      <c r="L137" s="1432"/>
      <c r="M137" s="1432"/>
      <c r="N137" s="1432"/>
      <c r="O137" s="1432"/>
      <c r="P137" s="1432"/>
      <c r="Q137" s="1432"/>
      <c r="R137" s="1432"/>
      <c r="S137" s="1432"/>
      <c r="T137" s="1432"/>
      <c r="U137" s="1432"/>
      <c r="V137" s="1432"/>
      <c r="W137" s="42"/>
      <c r="X137" s="42"/>
      <c r="Y137" s="42"/>
    </row>
    <row r="138" spans="1:25" ht="33" customHeight="1">
      <c r="A138" s="1432" t="s">
        <v>1314</v>
      </c>
      <c r="B138" s="1432"/>
      <c r="C138" s="1432"/>
      <c r="D138" s="1432"/>
      <c r="E138" s="1432"/>
      <c r="F138" s="1432"/>
      <c r="G138" s="1432"/>
      <c r="H138" s="1432"/>
      <c r="I138" s="1432"/>
      <c r="J138" s="1432"/>
      <c r="K138" s="1432"/>
      <c r="L138" s="1432"/>
      <c r="M138" s="1432"/>
      <c r="N138" s="1432"/>
      <c r="O138" s="1432"/>
      <c r="P138" s="1432"/>
      <c r="Q138" s="1432"/>
      <c r="R138" s="1432"/>
      <c r="S138" s="1432"/>
      <c r="T138" s="1432"/>
      <c r="U138" s="1432"/>
      <c r="V138" s="1432"/>
      <c r="W138" s="42"/>
      <c r="X138" s="42"/>
      <c r="Y138" s="42"/>
    </row>
    <row r="139" spans="1:25" ht="33" customHeight="1">
      <c r="A139" s="1432" t="s">
        <v>1315</v>
      </c>
      <c r="B139" s="1432"/>
      <c r="C139" s="1432"/>
      <c r="D139" s="1432"/>
      <c r="E139" s="1432"/>
      <c r="F139" s="1432"/>
      <c r="G139" s="1432"/>
      <c r="H139" s="1432"/>
      <c r="I139" s="1432"/>
      <c r="J139" s="1432"/>
      <c r="K139" s="1432"/>
      <c r="L139" s="1432"/>
      <c r="M139" s="1432"/>
      <c r="N139" s="1432"/>
      <c r="O139" s="1432"/>
      <c r="P139" s="1432"/>
      <c r="Q139" s="1432"/>
      <c r="R139" s="1432"/>
      <c r="S139" s="1432"/>
      <c r="T139" s="1432"/>
      <c r="U139" s="1432"/>
      <c r="V139" s="1432"/>
      <c r="W139" s="42"/>
      <c r="X139" s="42"/>
      <c r="Y139" s="42"/>
    </row>
    <row r="140" spans="1:25" ht="24" customHeight="1">
      <c r="A140" s="1432" t="s">
        <v>1316</v>
      </c>
      <c r="B140" s="1432"/>
      <c r="C140" s="1432"/>
      <c r="D140" s="1432"/>
      <c r="E140" s="1432"/>
      <c r="F140" s="1432"/>
      <c r="G140" s="1432"/>
      <c r="H140" s="1432"/>
      <c r="I140" s="1432"/>
      <c r="J140" s="1432"/>
      <c r="K140" s="1432"/>
      <c r="L140" s="1432"/>
      <c r="M140" s="1432"/>
      <c r="N140" s="1432"/>
      <c r="O140" s="1432"/>
      <c r="P140" s="1432"/>
      <c r="Q140" s="1432"/>
      <c r="R140" s="1432"/>
      <c r="S140" s="1432"/>
      <c r="T140" s="1432"/>
      <c r="U140" s="1432"/>
      <c r="V140" s="1432"/>
      <c r="W140" s="42"/>
      <c r="X140" s="42"/>
      <c r="Y140" s="42"/>
    </row>
    <row r="142" spans="1:25" ht="10.5">
      <c r="A142" s="1" t="s">
        <v>1317</v>
      </c>
    </row>
    <row r="144" spans="1:25" ht="10.5">
      <c r="A144" s="1"/>
      <c r="B144" s="1">
        <v>2018</v>
      </c>
      <c r="C144" s="1">
        <f>+B144+1</f>
        <v>2019</v>
      </c>
      <c r="D144" s="1">
        <f t="shared" ref="D144:K144" si="55">+C144+1</f>
        <v>2020</v>
      </c>
      <c r="E144" s="1050" t="s">
        <v>1318</v>
      </c>
      <c r="F144" s="1051">
        <v>2022</v>
      </c>
      <c r="G144" s="1036" t="s">
        <v>1319</v>
      </c>
      <c r="H144" s="1036">
        <v>2024</v>
      </c>
      <c r="I144" s="1">
        <f t="shared" si="55"/>
        <v>2025</v>
      </c>
      <c r="J144" s="1">
        <f t="shared" si="55"/>
        <v>2026</v>
      </c>
      <c r="K144" s="1">
        <f t="shared" si="55"/>
        <v>2027</v>
      </c>
      <c r="L144" s="1">
        <v>2028</v>
      </c>
      <c r="M144" s="1">
        <v>2029</v>
      </c>
      <c r="N144" s="1">
        <v>2030</v>
      </c>
      <c r="O144" s="1">
        <v>2031</v>
      </c>
      <c r="P144" s="1">
        <v>2032</v>
      </c>
      <c r="Q144" s="1">
        <v>2033</v>
      </c>
      <c r="R144" s="1">
        <v>2034</v>
      </c>
      <c r="S144" s="1" t="s">
        <v>1320</v>
      </c>
      <c r="T144" s="1"/>
    </row>
    <row r="145" spans="1:19" ht="10.5">
      <c r="A145" s="1038">
        <v>2018</v>
      </c>
      <c r="B145" s="1025">
        <v>4</v>
      </c>
      <c r="C145" s="1025">
        <v>4</v>
      </c>
      <c r="D145" s="1025">
        <v>4</v>
      </c>
      <c r="E145" s="1026"/>
      <c r="F145" s="1040"/>
      <c r="G145" s="1027"/>
      <c r="H145" s="1027"/>
      <c r="I145" s="1027"/>
      <c r="J145" s="1027"/>
      <c r="K145" s="1027"/>
      <c r="L145" s="1027"/>
      <c r="M145" s="1027"/>
      <c r="S145" s="1031">
        <v>12</v>
      </c>
    </row>
    <row r="146" spans="1:19" ht="10.5">
      <c r="A146" s="1038">
        <v>2019</v>
      </c>
      <c r="B146" s="1027"/>
      <c r="C146" s="1025">
        <v>4</v>
      </c>
      <c r="D146" s="1025">
        <v>4</v>
      </c>
      <c r="E146" s="1035">
        <f>+($S146-D146-C146)/2</f>
        <v>2</v>
      </c>
      <c r="F146" s="1041">
        <f>+E146</f>
        <v>2</v>
      </c>
      <c r="G146" s="1027"/>
      <c r="H146" s="1027"/>
      <c r="I146" s="1027"/>
      <c r="J146" s="1027"/>
      <c r="K146" s="1027"/>
      <c r="L146" s="1027"/>
      <c r="M146" s="1027"/>
      <c r="S146" s="1031">
        <v>12</v>
      </c>
    </row>
    <row r="147" spans="1:19" ht="10.5">
      <c r="A147" s="1038">
        <v>2020</v>
      </c>
      <c r="B147" s="1027"/>
      <c r="C147" s="1027"/>
      <c r="D147" s="1025">
        <v>4</v>
      </c>
      <c r="E147" s="1035">
        <f>+($S147-D147)/3</f>
        <v>2.6666666666666665</v>
      </c>
      <c r="F147" s="1041">
        <f>+E147</f>
        <v>2.6666666666666665</v>
      </c>
      <c r="G147" s="1046">
        <f>+(S147-F147-E147-D147)/3</f>
        <v>0.88888888888888928</v>
      </c>
      <c r="H147" s="1046">
        <f t="shared" ref="H147:I149" si="56">+G147</f>
        <v>0.88888888888888928</v>
      </c>
      <c r="I147" s="1046">
        <f t="shared" si="56"/>
        <v>0.88888888888888928</v>
      </c>
      <c r="J147" s="1027"/>
      <c r="K147" s="1027"/>
      <c r="L147" s="1027"/>
      <c r="M147" s="1027"/>
      <c r="N147" s="1027"/>
      <c r="O147" s="1027"/>
      <c r="P147" s="1027"/>
      <c r="Q147" s="1027"/>
      <c r="R147" s="1027"/>
      <c r="S147" s="1031">
        <v>12</v>
      </c>
    </row>
    <row r="148" spans="1:19" ht="10.5">
      <c r="A148" s="1039" t="s">
        <v>1318</v>
      </c>
      <c r="B148" s="1028"/>
      <c r="C148" s="1028"/>
      <c r="D148" s="1028"/>
      <c r="E148" s="1029">
        <v>3</v>
      </c>
      <c r="F148" s="1042">
        <v>3</v>
      </c>
      <c r="G148" s="1047">
        <f>+(S148-F148-E148)/4</f>
        <v>1.5</v>
      </c>
      <c r="H148" s="1047">
        <f t="shared" si="56"/>
        <v>1.5</v>
      </c>
      <c r="I148" s="1047">
        <f t="shared" si="56"/>
        <v>1.5</v>
      </c>
      <c r="J148" s="1047">
        <f>+I148</f>
        <v>1.5</v>
      </c>
      <c r="K148" s="1028"/>
      <c r="L148" s="1028"/>
      <c r="M148" s="1028"/>
      <c r="N148" s="1028"/>
      <c r="O148" s="1028"/>
      <c r="P148" s="1028"/>
      <c r="Q148" s="1028"/>
      <c r="R148" s="1028"/>
      <c r="S148" s="1032">
        <v>12</v>
      </c>
    </row>
    <row r="149" spans="1:19" ht="10.5">
      <c r="A149" s="1038">
        <v>2022</v>
      </c>
      <c r="B149" s="1027"/>
      <c r="C149" s="1027"/>
      <c r="D149" s="1027"/>
      <c r="E149" s="1026"/>
      <c r="F149" s="1043">
        <v>3</v>
      </c>
      <c r="G149" s="1046">
        <f>+(S149-F149)/5</f>
        <v>1.8</v>
      </c>
      <c r="H149" s="1046">
        <f t="shared" si="56"/>
        <v>1.8</v>
      </c>
      <c r="I149" s="1046">
        <f t="shared" si="56"/>
        <v>1.8</v>
      </c>
      <c r="J149" s="1046">
        <f>+I149</f>
        <v>1.8</v>
      </c>
      <c r="K149" s="1046">
        <f>+J149</f>
        <v>1.8</v>
      </c>
      <c r="L149" s="1027"/>
      <c r="M149" s="1027"/>
      <c r="N149" s="1027"/>
      <c r="O149" s="1027"/>
      <c r="P149" s="1027"/>
      <c r="Q149" s="1027"/>
      <c r="R149" s="1027"/>
      <c r="S149" s="1031">
        <v>12</v>
      </c>
    </row>
    <row r="150" spans="1:19" ht="10.5">
      <c r="A150" s="1039" t="s">
        <v>1319</v>
      </c>
      <c r="B150" s="1028"/>
      <c r="C150" s="1028"/>
      <c r="D150" s="1028"/>
      <c r="E150" s="1037"/>
      <c r="F150" s="1045"/>
      <c r="G150" s="1029">
        <v>2</v>
      </c>
      <c r="H150" s="1030">
        <v>2</v>
      </c>
      <c r="I150" s="1030">
        <v>2</v>
      </c>
      <c r="J150" s="1030">
        <v>2</v>
      </c>
      <c r="K150" s="1030">
        <v>2</v>
      </c>
      <c r="L150" s="1030">
        <v>2</v>
      </c>
      <c r="M150" s="1028"/>
      <c r="N150" s="1028"/>
      <c r="O150" s="1028"/>
      <c r="P150" s="1028"/>
      <c r="Q150" s="1028"/>
      <c r="R150" s="1028"/>
      <c r="S150" s="1032">
        <v>12</v>
      </c>
    </row>
    <row r="151" spans="1:19" ht="10.5">
      <c r="A151" s="1038">
        <v>2024</v>
      </c>
      <c r="B151" s="1027"/>
      <c r="C151" s="1027"/>
      <c r="D151" s="1027"/>
      <c r="E151" s="1026"/>
      <c r="F151" s="1040"/>
      <c r="G151" s="1027"/>
      <c r="H151" s="1025">
        <v>2</v>
      </c>
      <c r="I151" s="1025">
        <v>2</v>
      </c>
      <c r="J151" s="1025">
        <v>2</v>
      </c>
      <c r="K151" s="1025">
        <v>2</v>
      </c>
      <c r="L151" s="1025">
        <v>2</v>
      </c>
      <c r="M151" s="1025">
        <v>2</v>
      </c>
      <c r="N151" s="1027"/>
      <c r="O151" s="1027"/>
      <c r="P151" s="1027"/>
      <c r="Q151" s="1027"/>
      <c r="R151" s="1027"/>
      <c r="S151" s="1031">
        <v>12</v>
      </c>
    </row>
    <row r="152" spans="1:19" ht="10.5">
      <c r="A152" s="1038">
        <v>2025</v>
      </c>
      <c r="B152" s="1027"/>
      <c r="C152" s="1027"/>
      <c r="D152" s="1027"/>
      <c r="E152" s="1026"/>
      <c r="F152" s="1040"/>
      <c r="G152" s="1027"/>
      <c r="H152" s="1027"/>
      <c r="I152" s="1025">
        <v>2</v>
      </c>
      <c r="J152" s="1025">
        <v>2</v>
      </c>
      <c r="K152" s="1025">
        <v>2</v>
      </c>
      <c r="L152" s="1025">
        <v>2</v>
      </c>
      <c r="M152" s="1025">
        <v>2</v>
      </c>
      <c r="N152" s="1025">
        <v>2</v>
      </c>
      <c r="O152" s="1027"/>
      <c r="P152" s="1027"/>
      <c r="Q152" s="1027"/>
      <c r="R152" s="1027"/>
      <c r="S152" s="1031">
        <v>12</v>
      </c>
    </row>
    <row r="153" spans="1:19" ht="10.5">
      <c r="A153" s="1038">
        <v>2026</v>
      </c>
      <c r="B153" s="1027"/>
      <c r="C153" s="1027"/>
      <c r="D153" s="1027"/>
      <c r="E153" s="1026"/>
      <c r="F153" s="1040"/>
      <c r="G153" s="1027"/>
      <c r="H153" s="1027"/>
      <c r="I153" s="1027"/>
      <c r="J153" s="1025">
        <v>2</v>
      </c>
      <c r="K153" s="1025">
        <v>2</v>
      </c>
      <c r="L153" s="1025">
        <v>2</v>
      </c>
      <c r="M153" s="1025">
        <v>2</v>
      </c>
      <c r="N153" s="1025">
        <v>2</v>
      </c>
      <c r="O153" s="1025">
        <v>2</v>
      </c>
      <c r="S153" s="1031">
        <v>12</v>
      </c>
    </row>
    <row r="154" spans="1:19" ht="10.5">
      <c r="A154" s="1038">
        <v>2027</v>
      </c>
      <c r="B154" s="1027"/>
      <c r="C154" s="1027"/>
      <c r="D154" s="1027"/>
      <c r="E154" s="1026"/>
      <c r="F154" s="1040"/>
      <c r="G154" s="1027"/>
      <c r="H154" s="1027"/>
      <c r="I154" s="1027"/>
      <c r="J154" s="1027"/>
      <c r="K154" s="1025">
        <v>2</v>
      </c>
      <c r="L154" s="1025">
        <v>2</v>
      </c>
      <c r="M154" s="1025">
        <v>2</v>
      </c>
      <c r="N154" s="1025">
        <v>2</v>
      </c>
      <c r="O154" s="1025">
        <v>2</v>
      </c>
      <c r="P154" s="1025">
        <v>2</v>
      </c>
      <c r="S154" s="1031">
        <v>12</v>
      </c>
    </row>
    <row r="155" spans="1:19" ht="10.5">
      <c r="A155" s="1038">
        <v>2028</v>
      </c>
      <c r="B155" s="1027"/>
      <c r="C155" s="1027"/>
      <c r="D155" s="1027"/>
      <c r="E155" s="1026"/>
      <c r="F155" s="1040"/>
      <c r="G155" s="1027"/>
      <c r="H155" s="1027"/>
      <c r="I155" s="1027"/>
      <c r="J155" s="1027"/>
      <c r="K155" s="1027"/>
      <c r="L155" s="1025">
        <v>2</v>
      </c>
      <c r="M155" s="1025">
        <v>2</v>
      </c>
      <c r="N155" s="1025">
        <v>2</v>
      </c>
      <c r="O155" s="1025">
        <v>2</v>
      </c>
      <c r="P155" s="1025">
        <v>2</v>
      </c>
      <c r="Q155" s="1025">
        <v>2</v>
      </c>
      <c r="S155" s="1031">
        <v>12</v>
      </c>
    </row>
    <row r="156" spans="1:19" ht="10.5">
      <c r="A156" s="1038">
        <v>2029</v>
      </c>
      <c r="B156" s="1027"/>
      <c r="C156" s="1027"/>
      <c r="D156" s="1027"/>
      <c r="E156" s="1026"/>
      <c r="F156" s="1040"/>
      <c r="G156" s="1027"/>
      <c r="H156" s="1027"/>
      <c r="I156" s="1027"/>
      <c r="J156" s="1027"/>
      <c r="K156" s="1027"/>
      <c r="L156" s="1027"/>
      <c r="M156" s="1025">
        <v>2</v>
      </c>
      <c r="N156" s="1025">
        <v>2</v>
      </c>
      <c r="O156" s="1025">
        <v>2</v>
      </c>
      <c r="P156" s="1025">
        <v>2</v>
      </c>
      <c r="Q156" s="1025">
        <v>2</v>
      </c>
      <c r="R156" s="1025">
        <v>2</v>
      </c>
      <c r="S156" s="1031">
        <v>12</v>
      </c>
    </row>
    <row r="157" spans="1:19" s="1" customFormat="1" ht="10.5">
      <c r="A157" s="1038" t="s">
        <v>1321</v>
      </c>
      <c r="B157" s="1054" t="s">
        <v>1322</v>
      </c>
      <c r="C157" s="1054" t="s">
        <v>1322</v>
      </c>
      <c r="D157" s="1033">
        <f t="shared" ref="D157:L157" si="57">+SUM(D145:D156)</f>
        <v>12</v>
      </c>
      <c r="E157" s="1034">
        <f t="shared" si="57"/>
        <v>7.6666666666666661</v>
      </c>
      <c r="F157" s="1044">
        <f t="shared" si="57"/>
        <v>10.666666666666666</v>
      </c>
      <c r="G157" s="1033">
        <f t="shared" si="57"/>
        <v>6.1888888888888891</v>
      </c>
      <c r="H157" s="1033">
        <f t="shared" si="57"/>
        <v>8.18888888888889</v>
      </c>
      <c r="I157" s="1033">
        <f t="shared" si="57"/>
        <v>10.18888888888889</v>
      </c>
      <c r="J157" s="1033">
        <f t="shared" si="57"/>
        <v>11.3</v>
      </c>
      <c r="K157" s="1033">
        <f t="shared" si="57"/>
        <v>11.8</v>
      </c>
      <c r="L157" s="1033">
        <f t="shared" si="57"/>
        <v>12</v>
      </c>
      <c r="M157" s="1033">
        <f>+SUM(M145:M156)</f>
        <v>12</v>
      </c>
      <c r="N157" s="1054" t="s">
        <v>1322</v>
      </c>
      <c r="O157" s="1054" t="s">
        <v>1322</v>
      </c>
      <c r="P157" s="1054" t="s">
        <v>1322</v>
      </c>
      <c r="Q157" s="1054" t="s">
        <v>1322</v>
      </c>
      <c r="R157" s="1054" t="s">
        <v>1322</v>
      </c>
    </row>
    <row r="158" spans="1:19" s="3" customFormat="1">
      <c r="A158" s="3" t="s">
        <v>1323</v>
      </c>
      <c r="E158" s="1048" t="s">
        <v>1324</v>
      </c>
      <c r="F158" s="1049" t="s">
        <v>1325</v>
      </c>
      <c r="G158" s="932" t="s">
        <v>1324</v>
      </c>
      <c r="H158" s="932" t="s">
        <v>1325</v>
      </c>
      <c r="I158" s="932" t="s">
        <v>1325</v>
      </c>
      <c r="J158" s="932" t="s">
        <v>1325</v>
      </c>
      <c r="K158" s="932" t="s">
        <v>1325</v>
      </c>
      <c r="L158" s="932" t="s">
        <v>1325</v>
      </c>
      <c r="M158" s="932" t="s">
        <v>1322</v>
      </c>
    </row>
    <row r="160" spans="1:19">
      <c r="A160" s="1076" t="s">
        <v>1326</v>
      </c>
      <c r="B160" s="1076"/>
      <c r="C160" s="1076"/>
      <c r="D160" s="1076"/>
      <c r="E160" s="1076"/>
      <c r="F160" s="1076"/>
      <c r="G160" s="1076"/>
    </row>
    <row r="161" spans="1:7">
      <c r="A161" s="1077" t="s">
        <v>1327</v>
      </c>
      <c r="B161" s="1077"/>
      <c r="C161" s="1077"/>
      <c r="D161" s="1077"/>
      <c r="E161" s="1077"/>
      <c r="F161" s="1077"/>
      <c r="G161" s="1077"/>
    </row>
  </sheetData>
  <mergeCells count="57">
    <mergeCell ref="A73:V73"/>
    <mergeCell ref="A42:V42"/>
    <mergeCell ref="A41:V41"/>
    <mergeCell ref="A68:V68"/>
    <mergeCell ref="A71:V71"/>
    <mergeCell ref="A72:V72"/>
    <mergeCell ref="A89:V89"/>
    <mergeCell ref="A74:V74"/>
    <mergeCell ref="A75:V75"/>
    <mergeCell ref="A78:V78"/>
    <mergeCell ref="A79:V79"/>
    <mergeCell ref="A80:V80"/>
    <mergeCell ref="A81:V81"/>
    <mergeCell ref="A82:V82"/>
    <mergeCell ref="A83:V83"/>
    <mergeCell ref="A86:V86"/>
    <mergeCell ref="A87:V87"/>
    <mergeCell ref="A88:V88"/>
    <mergeCell ref="A90:V90"/>
    <mergeCell ref="A91:V91"/>
    <mergeCell ref="A94:V94"/>
    <mergeCell ref="A95:V95"/>
    <mergeCell ref="A96:V96"/>
    <mergeCell ref="A97:V97"/>
    <mergeCell ref="A98:V98"/>
    <mergeCell ref="A99:V99"/>
    <mergeCell ref="A102:V102"/>
    <mergeCell ref="A103:V103"/>
    <mergeCell ref="A119:V119"/>
    <mergeCell ref="A104:V104"/>
    <mergeCell ref="A105:V105"/>
    <mergeCell ref="A106:V106"/>
    <mergeCell ref="A107:V107"/>
    <mergeCell ref="A110:V110"/>
    <mergeCell ref="A111:V111"/>
    <mergeCell ref="A112:V112"/>
    <mergeCell ref="A113:V113"/>
    <mergeCell ref="A114:V114"/>
    <mergeCell ref="A115:V115"/>
    <mergeCell ref="A118:V118"/>
    <mergeCell ref="A135:V135"/>
    <mergeCell ref="A120:V120"/>
    <mergeCell ref="A121:V121"/>
    <mergeCell ref="A122:V122"/>
    <mergeCell ref="A123:V123"/>
    <mergeCell ref="A126:V126"/>
    <mergeCell ref="A127:V127"/>
    <mergeCell ref="A128:V128"/>
    <mergeCell ref="A129:V129"/>
    <mergeCell ref="A130:V130"/>
    <mergeCell ref="A131:V131"/>
    <mergeCell ref="A132:V132"/>
    <mergeCell ref="A136:V136"/>
    <mergeCell ref="A137:V137"/>
    <mergeCell ref="A138:V138"/>
    <mergeCell ref="A139:V139"/>
    <mergeCell ref="A140:V140"/>
  </mergeCells>
  <printOptions horizontalCentered="1"/>
  <pageMargins left="0.3" right="0.3" top="0.3" bottom="0.3" header="0.3" footer="0.3"/>
  <pageSetup scale="52" fitToHeight="0" orientation="portrait" r:id="rId1"/>
  <colBreaks count="1" manualBreakCount="1">
    <brk id="25" max="1048575" man="1"/>
  </col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T108"/>
  <sheetViews>
    <sheetView view="pageBreakPreview" zoomScale="75" zoomScaleNormal="85" zoomScaleSheetLayoutView="75" workbookViewId="0">
      <pane xSplit="3" ySplit="7" topLeftCell="D8" activePane="bottomRight" state="frozen"/>
      <selection pane="bottomRight" activeCell="L15" sqref="L15"/>
      <selection pane="bottomLeft" activeCell="L27" sqref="L27"/>
      <selection pane="topRight" activeCell="L27" sqref="L27"/>
    </sheetView>
  </sheetViews>
  <sheetFormatPr defaultRowHeight="9.9499999999999993"/>
  <cols>
    <col min="1" max="1" width="3.83203125" customWidth="1"/>
    <col min="2" max="2" width="30.83203125" customWidth="1"/>
    <col min="3" max="3" width="3.83203125" customWidth="1"/>
    <col min="4" max="18" width="10.33203125" customWidth="1"/>
    <col min="19" max="19" width="2.83203125" customWidth="1"/>
    <col min="20" max="20" width="50.83203125" customWidth="1"/>
  </cols>
  <sheetData>
    <row r="2" spans="2:20" s="1" customFormat="1" ht="10.5">
      <c r="B2" t="s">
        <v>60</v>
      </c>
      <c r="P2" s="53"/>
      <c r="Q2" s="53"/>
      <c r="R2" s="53">
        <f ca="1">+TODAY()</f>
        <v>45797</v>
      </c>
      <c r="S2" s="53"/>
      <c r="T2" s="53">
        <f ca="1">+TODAY()</f>
        <v>45797</v>
      </c>
    </row>
    <row r="3" spans="2:20" s="2" customFormat="1" ht="10.5">
      <c r="B3" s="2" t="s">
        <v>62</v>
      </c>
    </row>
    <row r="4" spans="2:20">
      <c r="B4" s="3" t="s">
        <v>63</v>
      </c>
    </row>
    <row r="5" spans="2:20" s="131" customFormat="1">
      <c r="B5" s="130"/>
      <c r="G5" s="132">
        <f ca="1">TODAY()</f>
        <v>45797</v>
      </c>
      <c r="H5" s="132">
        <v>44012</v>
      </c>
      <c r="I5" s="132">
        <v>44377</v>
      </c>
      <c r="J5" s="132">
        <v>44742</v>
      </c>
      <c r="K5" s="132">
        <v>45107</v>
      </c>
      <c r="L5" s="132">
        <v>45473</v>
      </c>
      <c r="M5" s="132">
        <v>45838</v>
      </c>
      <c r="N5" s="132">
        <v>46203</v>
      </c>
      <c r="O5" s="132">
        <v>46568</v>
      </c>
      <c r="P5" s="132">
        <v>46934</v>
      </c>
      <c r="Q5" s="132">
        <v>47299</v>
      </c>
      <c r="R5" s="132">
        <v>47664</v>
      </c>
    </row>
    <row r="6" spans="2:20" ht="12">
      <c r="D6" s="98" t="s">
        <v>203</v>
      </c>
      <c r="E6" s="98"/>
      <c r="F6" s="97"/>
      <c r="G6" s="97"/>
      <c r="H6" s="97"/>
      <c r="I6" s="97"/>
      <c r="J6" s="97"/>
      <c r="K6" s="97"/>
      <c r="L6" s="97"/>
      <c r="M6" s="97"/>
      <c r="N6" s="97"/>
      <c r="O6" s="97"/>
      <c r="P6" s="97"/>
      <c r="Q6" s="97"/>
      <c r="R6" s="97"/>
    </row>
    <row r="7" spans="2:20" ht="13.5">
      <c r="B7" s="7"/>
      <c r="D7" s="6" t="s">
        <v>255</v>
      </c>
      <c r="E7" s="6" t="s">
        <v>256</v>
      </c>
      <c r="F7" s="6" t="s">
        <v>257</v>
      </c>
      <c r="G7" s="6" t="s">
        <v>1328</v>
      </c>
      <c r="H7" s="6" t="s">
        <v>1329</v>
      </c>
      <c r="I7" s="6" t="s">
        <v>1330</v>
      </c>
      <c r="J7" s="6" t="s">
        <v>1331</v>
      </c>
      <c r="K7" s="6" t="s">
        <v>88</v>
      </c>
      <c r="L7" s="6" t="s">
        <v>191</v>
      </c>
      <c r="M7" s="6" t="s">
        <v>72</v>
      </c>
      <c r="N7" s="6" t="s">
        <v>73</v>
      </c>
      <c r="O7" s="6" t="s">
        <v>74</v>
      </c>
      <c r="P7" s="6" t="s">
        <v>75</v>
      </c>
      <c r="Q7" s="6" t="s">
        <v>76</v>
      </c>
      <c r="R7" s="6" t="s">
        <v>77</v>
      </c>
      <c r="S7" s="6"/>
      <c r="T7" s="6" t="s">
        <v>1332</v>
      </c>
    </row>
    <row r="8" spans="2:20">
      <c r="E8" s="54"/>
      <c r="F8" s="54">
        <f ca="1">+TODAY()</f>
        <v>45797</v>
      </c>
      <c r="G8" s="54">
        <v>43646</v>
      </c>
      <c r="H8" s="54">
        <v>44012</v>
      </c>
      <c r="I8" s="54">
        <v>44377</v>
      </c>
      <c r="J8" s="54">
        <v>44742</v>
      </c>
      <c r="K8" s="54">
        <v>45107</v>
      </c>
      <c r="L8" s="54">
        <v>45473</v>
      </c>
      <c r="M8" s="54">
        <v>45838</v>
      </c>
      <c r="N8" s="54">
        <v>46203</v>
      </c>
      <c r="O8" s="54">
        <v>46568</v>
      </c>
      <c r="P8" s="54">
        <v>46934</v>
      </c>
      <c r="Q8" s="54">
        <v>47299</v>
      </c>
      <c r="R8" s="54"/>
      <c r="S8" s="54"/>
    </row>
    <row r="9" spans="2:20">
      <c r="B9" t="s">
        <v>86</v>
      </c>
      <c r="D9" s="8">
        <f>+'Historical Financials'!BG12</f>
        <v>91154</v>
      </c>
      <c r="E9" s="8">
        <f>+'Historical Financials'!BH12</f>
        <v>96571</v>
      </c>
      <c r="F9" s="8">
        <f>+'Historical Financials'!BI12</f>
        <v>110360</v>
      </c>
      <c r="G9" s="8">
        <f>+F9*(1+G10)</f>
        <v>122499.6</v>
      </c>
      <c r="H9" s="8">
        <f t="shared" ref="H9:Q9" si="0">+G9*(1+H10)</f>
        <v>134749.56000000003</v>
      </c>
      <c r="I9" s="8">
        <f t="shared" si="0"/>
        <v>148224.51600000003</v>
      </c>
      <c r="J9" s="8">
        <f t="shared" si="0"/>
        <v>163046.96760000006</v>
      </c>
      <c r="K9" s="8">
        <f t="shared" si="0"/>
        <v>179351.66436000008</v>
      </c>
      <c r="L9" s="8">
        <f t="shared" si="0"/>
        <v>197286.83079600011</v>
      </c>
      <c r="M9" s="8">
        <f t="shared" si="0"/>
        <v>217015.51387560015</v>
      </c>
      <c r="N9" s="8">
        <f t="shared" si="0"/>
        <v>238717.06526316018</v>
      </c>
      <c r="O9" s="8">
        <f t="shared" si="0"/>
        <v>262588.77178947622</v>
      </c>
      <c r="P9" s="8">
        <f t="shared" si="0"/>
        <v>288847.64896842389</v>
      </c>
      <c r="Q9" s="8">
        <f t="shared" si="0"/>
        <v>317732.41386526631</v>
      </c>
      <c r="R9" s="8"/>
      <c r="S9" s="8"/>
    </row>
    <row r="10" spans="2:20">
      <c r="B10" s="13" t="s">
        <v>1333</v>
      </c>
      <c r="D10" s="33"/>
      <c r="E10" s="33">
        <f t="shared" ref="E10:F10" si="1">+E9/D9-1</f>
        <v>5.9426903920837271E-2</v>
      </c>
      <c r="F10" s="33">
        <f t="shared" si="1"/>
        <v>0.14278613662486661</v>
      </c>
      <c r="G10" s="55">
        <v>0.11</v>
      </c>
      <c r="H10" s="55">
        <v>0.1</v>
      </c>
      <c r="I10" s="33">
        <f>+H10</f>
        <v>0.1</v>
      </c>
      <c r="J10" s="33">
        <f t="shared" ref="J10:Q10" si="2">+I10</f>
        <v>0.1</v>
      </c>
      <c r="K10" s="33">
        <f t="shared" si="2"/>
        <v>0.1</v>
      </c>
      <c r="L10" s="33">
        <f t="shared" si="2"/>
        <v>0.1</v>
      </c>
      <c r="M10" s="33">
        <f t="shared" si="2"/>
        <v>0.1</v>
      </c>
      <c r="N10" s="33">
        <f t="shared" si="2"/>
        <v>0.1</v>
      </c>
      <c r="O10" s="33">
        <f t="shared" si="2"/>
        <v>0.1</v>
      </c>
      <c r="P10" s="33">
        <f t="shared" si="2"/>
        <v>0.1</v>
      </c>
      <c r="Q10" s="33">
        <f t="shared" si="2"/>
        <v>0.1</v>
      </c>
      <c r="R10" s="33"/>
      <c r="S10" s="33"/>
    </row>
    <row r="11" spans="2:20">
      <c r="B11" s="15" t="s">
        <v>1334</v>
      </c>
      <c r="D11" s="33"/>
      <c r="E11" s="21" t="e">
        <f>+'Historical Financials'!#REF!</f>
        <v>#REF!</v>
      </c>
      <c r="F11" s="21" t="e">
        <f>+'Historical Financials'!#REF!</f>
        <v>#REF!</v>
      </c>
      <c r="G11" s="57"/>
      <c r="H11" s="33"/>
      <c r="I11" s="33"/>
      <c r="J11" s="33"/>
      <c r="K11" s="33"/>
      <c r="L11" s="33"/>
      <c r="M11" s="33"/>
      <c r="N11" s="33"/>
      <c r="O11" s="33"/>
      <c r="P11" s="33"/>
      <c r="Q11" s="33"/>
      <c r="R11" s="33"/>
      <c r="S11" s="33"/>
    </row>
    <row r="12" spans="2:20">
      <c r="B12" s="18"/>
    </row>
    <row r="13" spans="2:20">
      <c r="B13" s="24" t="s">
        <v>126</v>
      </c>
    </row>
    <row r="14" spans="2:20">
      <c r="B14" s="17" t="s">
        <v>1335</v>
      </c>
      <c r="G14" s="8">
        <f>_xll.ciqfunctions.udf.CIQ("MSFT", "IQ_REVENUE_EST", "FY2019")</f>
        <v>124908.33136</v>
      </c>
      <c r="H14" s="8">
        <f>_xll.ciqfunctions.udf.CIQ("MSFT", "IQ_REVENUE_EST", "FY2020")</f>
        <v>141539.07156000001</v>
      </c>
    </row>
    <row r="15" spans="2:20">
      <c r="B15" s="19" t="s">
        <v>1333</v>
      </c>
      <c r="G15" s="33">
        <f>+G14/F9-1</f>
        <v>0.13182612685755712</v>
      </c>
      <c r="H15" s="33">
        <f>+H14/G9-1</f>
        <v>0.15542476514209036</v>
      </c>
    </row>
    <row r="16" spans="2:20">
      <c r="B16" s="18"/>
    </row>
    <row r="17" spans="2:20">
      <c r="B17" t="s">
        <v>121</v>
      </c>
      <c r="D17" s="8">
        <f>+'Historical Financials'!BG86</f>
        <v>33810</v>
      </c>
      <c r="E17" s="8">
        <f>+'Historical Financials'!BH86</f>
        <v>38109</v>
      </c>
      <c r="F17" s="8">
        <f>+'Historical Financials'!BI86</f>
        <v>45319</v>
      </c>
      <c r="G17" s="8">
        <f t="shared" ref="G17:Q17" si="3">+(G9-F9)*G20+F17</f>
        <v>51692.29</v>
      </c>
      <c r="H17" s="8">
        <f t="shared" si="3"/>
        <v>57817.270000000011</v>
      </c>
      <c r="I17" s="8">
        <f t="shared" si="3"/>
        <v>64554.748000000014</v>
      </c>
      <c r="J17" s="8">
        <f t="shared" si="3"/>
        <v>71965.973800000036</v>
      </c>
      <c r="K17" s="8">
        <f t="shared" si="3"/>
        <v>80118.322180000047</v>
      </c>
      <c r="L17" s="8">
        <f t="shared" si="3"/>
        <v>89085.905398000061</v>
      </c>
      <c r="M17" s="8">
        <f t="shared" si="3"/>
        <v>98950.246937800082</v>
      </c>
      <c r="N17" s="8">
        <f t="shared" si="3"/>
        <v>109801.0226315801</v>
      </c>
      <c r="O17" s="8">
        <f t="shared" si="3"/>
        <v>121736.87589473811</v>
      </c>
      <c r="P17" s="8">
        <f t="shared" si="3"/>
        <v>134866.31448421197</v>
      </c>
      <c r="Q17" s="8">
        <f t="shared" si="3"/>
        <v>149308.69693263317</v>
      </c>
      <c r="R17" s="8"/>
      <c r="S17" s="8"/>
      <c r="T17" s="56"/>
    </row>
    <row r="18" spans="2:20" s="3" customFormat="1">
      <c r="B18" s="13" t="s">
        <v>1333</v>
      </c>
      <c r="D18" s="33"/>
      <c r="E18" s="33">
        <f t="shared" ref="E18:Q18" si="4">+E17/D17-1</f>
        <v>0.12715173025732041</v>
      </c>
      <c r="F18" s="33">
        <f t="shared" si="4"/>
        <v>0.18919415361200764</v>
      </c>
      <c r="G18" s="33">
        <f t="shared" si="4"/>
        <v>0.14063174386019117</v>
      </c>
      <c r="H18" s="33">
        <f t="shared" si="4"/>
        <v>0.11848923698292357</v>
      </c>
      <c r="I18" s="33">
        <f t="shared" si="4"/>
        <v>0.1165305452851717</v>
      </c>
      <c r="J18" s="33">
        <f t="shared" si="4"/>
        <v>0.11480527814933184</v>
      </c>
      <c r="K18" s="33">
        <f t="shared" si="4"/>
        <v>0.11328059566950532</v>
      </c>
      <c r="L18" s="33">
        <f t="shared" si="4"/>
        <v>0.11192924382331348</v>
      </c>
      <c r="M18" s="33">
        <f t="shared" si="4"/>
        <v>0.11072841989684123</v>
      </c>
      <c r="N18" s="33">
        <f t="shared" si="4"/>
        <v>0.10965890464731021</v>
      </c>
      <c r="O18" s="33">
        <f t="shared" si="4"/>
        <v>0.10870439069777049</v>
      </c>
      <c r="P18" s="33">
        <f t="shared" si="4"/>
        <v>0.10785095718101423</v>
      </c>
      <c r="Q18" s="33">
        <f t="shared" si="4"/>
        <v>0.10708665468953615</v>
      </c>
      <c r="R18" s="33"/>
      <c r="S18" s="33"/>
    </row>
    <row r="19" spans="2:20">
      <c r="B19" s="13" t="s">
        <v>305</v>
      </c>
      <c r="D19" s="33">
        <f t="shared" ref="D19:Q19" si="5">+D17/D9</f>
        <v>0.37091076639533099</v>
      </c>
      <c r="E19" s="33">
        <f t="shared" si="5"/>
        <v>0.39462157376438062</v>
      </c>
      <c r="F19" s="33">
        <f t="shared" si="5"/>
        <v>0.41064697354113811</v>
      </c>
      <c r="G19" s="33">
        <f t="shared" si="5"/>
        <v>0.42197925544246673</v>
      </c>
      <c r="H19" s="33">
        <f t="shared" si="5"/>
        <v>0.4290720504022425</v>
      </c>
      <c r="I19" s="33">
        <f t="shared" si="5"/>
        <v>0.43552004582022047</v>
      </c>
      <c r="J19" s="33">
        <f t="shared" si="5"/>
        <v>0.44138185983656408</v>
      </c>
      <c r="K19" s="33">
        <f t="shared" si="5"/>
        <v>0.44671078166960376</v>
      </c>
      <c r="L19" s="33">
        <f t="shared" si="5"/>
        <v>0.45155525606327612</v>
      </c>
      <c r="M19" s="33">
        <f t="shared" si="5"/>
        <v>0.45595932369388742</v>
      </c>
      <c r="N19" s="33">
        <f t="shared" si="5"/>
        <v>0.45996302153989765</v>
      </c>
      <c r="O19" s="33">
        <f t="shared" si="5"/>
        <v>0.46360274685445241</v>
      </c>
      <c r="P19" s="33">
        <f t="shared" si="5"/>
        <v>0.46691158804950222</v>
      </c>
      <c r="Q19" s="33">
        <f t="shared" si="5"/>
        <v>0.46991962549954747</v>
      </c>
      <c r="R19" s="33"/>
      <c r="S19" s="33"/>
    </row>
    <row r="20" spans="2:20">
      <c r="B20" s="13" t="s">
        <v>1336</v>
      </c>
      <c r="D20" s="33"/>
      <c r="E20" s="33">
        <f>+(E17-D17)/(E9-D9)</f>
        <v>0.79361270075687651</v>
      </c>
      <c r="F20" s="33">
        <f>+(F17-E17)/(F9-E9)</f>
        <v>0.52288055696569724</v>
      </c>
      <c r="G20" s="55">
        <v>0.52500000000000002</v>
      </c>
      <c r="H20" s="55">
        <v>0.5</v>
      </c>
      <c r="I20" s="33">
        <f>+H20</f>
        <v>0.5</v>
      </c>
      <c r="J20" s="33">
        <f t="shared" ref="J20:Q20" si="6">+I20</f>
        <v>0.5</v>
      </c>
      <c r="K20" s="33">
        <f t="shared" si="6"/>
        <v>0.5</v>
      </c>
      <c r="L20" s="33">
        <f t="shared" si="6"/>
        <v>0.5</v>
      </c>
      <c r="M20" s="33">
        <f t="shared" si="6"/>
        <v>0.5</v>
      </c>
      <c r="N20" s="33">
        <f t="shared" si="6"/>
        <v>0.5</v>
      </c>
      <c r="O20" s="33">
        <f t="shared" si="6"/>
        <v>0.5</v>
      </c>
      <c r="P20" s="33">
        <f t="shared" si="6"/>
        <v>0.5</v>
      </c>
      <c r="Q20" s="33">
        <f t="shared" si="6"/>
        <v>0.5</v>
      </c>
      <c r="R20" s="33"/>
      <c r="S20" s="33"/>
    </row>
    <row r="21" spans="2:20">
      <c r="B21" s="13"/>
      <c r="D21" s="33"/>
      <c r="E21" s="33"/>
      <c r="F21" s="33"/>
      <c r="G21" s="57"/>
      <c r="H21" s="33"/>
      <c r="I21" s="33"/>
      <c r="J21" s="33"/>
      <c r="K21" s="33"/>
      <c r="L21" s="33"/>
      <c r="M21" s="33"/>
      <c r="N21" s="33"/>
      <c r="O21" s="33"/>
      <c r="P21" s="33"/>
      <c r="Q21" s="33"/>
      <c r="R21" s="33"/>
      <c r="S21" s="33"/>
    </row>
    <row r="22" spans="2:20">
      <c r="B22" s="24" t="s">
        <v>126</v>
      </c>
    </row>
    <row r="23" spans="2:20">
      <c r="B23" s="17" t="s">
        <v>1337</v>
      </c>
      <c r="G23" s="8">
        <f>_xll.ciqfunctions.udf.CIQ("MSFT", "IQ_EBITDA_EST", "FY2019")</f>
        <v>53488.584540000003</v>
      </c>
      <c r="H23" s="8">
        <f>_xll.ciqfunctions.udf.CIQ("MSFT", "IQ_EBITDA_EST", "FY2020")</f>
        <v>65053.824769999999</v>
      </c>
    </row>
    <row r="24" spans="2:20">
      <c r="B24" s="19" t="s">
        <v>1333</v>
      </c>
      <c r="G24" s="33">
        <f>+G23/F17-1</f>
        <v>0.18026842030936252</v>
      </c>
      <c r="H24" s="33">
        <f>+H23/G23-1</f>
        <v>0.21621884986227746</v>
      </c>
    </row>
    <row r="25" spans="2:20">
      <c r="B25" s="19" t="s">
        <v>305</v>
      </c>
      <c r="G25" s="33">
        <f>+G23/G9</f>
        <v>0.43664293222181949</v>
      </c>
      <c r="H25" s="33">
        <f>+H23/H9</f>
        <v>0.48277578620664874</v>
      </c>
    </row>
    <row r="26" spans="2:20">
      <c r="B26" s="19"/>
    </row>
    <row r="27" spans="2:20">
      <c r="B27" s="17" t="s">
        <v>276</v>
      </c>
      <c r="D27" s="8">
        <f>+'Historical Financials'!BG22+'Historical Financials'!BG18</f>
        <v>58374</v>
      </c>
      <c r="E27" s="8">
        <f>+'Historical Financials'!BH22+'Historical Financials'!BH18</f>
        <v>62310</v>
      </c>
      <c r="F27" s="8">
        <f>+'Historical Financials'!BI22+'Historical Financials'!BI18</f>
        <v>72007</v>
      </c>
      <c r="G27" s="8">
        <f>+G28*G9</f>
        <v>79012.242000000013</v>
      </c>
    </row>
    <row r="28" spans="2:20">
      <c r="B28" s="19" t="s">
        <v>305</v>
      </c>
      <c r="D28" s="33">
        <f>+D27/D9</f>
        <v>0.64038879259275516</v>
      </c>
      <c r="E28" s="33">
        <f t="shared" ref="E28:F28" si="7">+E27/E9</f>
        <v>0.64522475691460168</v>
      </c>
      <c r="F28" s="33">
        <f t="shared" si="7"/>
        <v>0.65247372236317502</v>
      </c>
      <c r="G28" s="55">
        <v>0.64500000000000002</v>
      </c>
    </row>
    <row r="29" spans="2:20">
      <c r="B29" s="19"/>
    </row>
    <row r="30" spans="2:20">
      <c r="B30" s="18" t="s">
        <v>1338</v>
      </c>
      <c r="D30" s="8">
        <f>+D27-D32</f>
        <v>31186</v>
      </c>
      <c r="E30" s="8">
        <f t="shared" ref="E30:F30" si="8">+E27-E32</f>
        <v>32979</v>
      </c>
      <c r="F30" s="8">
        <f t="shared" si="8"/>
        <v>36949</v>
      </c>
      <c r="G30" s="8">
        <f t="shared" ref="G30" si="9">+G27-G32</f>
        <v>39569.912000000011</v>
      </c>
      <c r="H30" s="8"/>
      <c r="I30" s="8"/>
      <c r="J30" s="8"/>
      <c r="K30" s="8"/>
      <c r="L30" s="8"/>
      <c r="M30" s="8"/>
      <c r="N30" s="8"/>
      <c r="O30" s="8"/>
      <c r="P30" s="8"/>
      <c r="Q30" s="8"/>
      <c r="R30" s="8"/>
    </row>
    <row r="31" spans="2:20">
      <c r="B31" s="20" t="s">
        <v>1333</v>
      </c>
      <c r="E31" s="33">
        <f t="shared" ref="E31" si="10">+E30/D30-1</f>
        <v>5.7493747194253819E-2</v>
      </c>
      <c r="F31" s="33">
        <f t="shared" ref="F31:G31" si="11">+F30/E30-1</f>
        <v>0.12037963552563746</v>
      </c>
      <c r="G31" s="33">
        <f t="shared" si="11"/>
        <v>7.0933232293161064E-2</v>
      </c>
      <c r="H31" s="33"/>
      <c r="I31" s="33"/>
      <c r="J31" s="33"/>
      <c r="K31" s="33"/>
      <c r="L31" s="33"/>
      <c r="M31" s="33"/>
      <c r="N31" s="33"/>
      <c r="O31" s="33"/>
      <c r="P31" s="33"/>
      <c r="Q31" s="33"/>
      <c r="R31" s="33"/>
      <c r="T31" s="27" t="s">
        <v>1339</v>
      </c>
    </row>
    <row r="32" spans="2:20">
      <c r="B32" s="17" t="s">
        <v>95</v>
      </c>
      <c r="D32" s="8">
        <f>+D17-D55</f>
        <v>27188</v>
      </c>
      <c r="E32" s="8">
        <f t="shared" ref="E32:Q32" si="12">+E17-E55</f>
        <v>29331</v>
      </c>
      <c r="F32" s="8">
        <f t="shared" si="12"/>
        <v>35058</v>
      </c>
      <c r="G32" s="8">
        <f t="shared" si="12"/>
        <v>39442.33</v>
      </c>
      <c r="H32" s="8">
        <f t="shared" si="12"/>
        <v>43729.203502000004</v>
      </c>
      <c r="I32" s="8">
        <f t="shared" si="12"/>
        <v>48413.098207600007</v>
      </c>
      <c r="J32" s="8">
        <f t="shared" si="12"/>
        <v>53533.514112820027</v>
      </c>
      <c r="K32" s="8">
        <f t="shared" si="12"/>
        <v>59134.177449880037</v>
      </c>
      <c r="L32" s="8">
        <f t="shared" si="12"/>
        <v>66397.919856460037</v>
      </c>
      <c r="M32" s="8">
        <f t="shared" si="12"/>
        <v>74427.493869857266</v>
      </c>
      <c r="N32" s="8">
        <f t="shared" si="12"/>
        <v>83303.42838736932</v>
      </c>
      <c r="O32" s="8">
        <f t="shared" si="12"/>
        <v>93114.699769685205</v>
      </c>
      <c r="P32" s="8">
        <f t="shared" si="12"/>
        <v>103959.6160445906</v>
      </c>
      <c r="Q32" s="8">
        <f t="shared" si="12"/>
        <v>115946.79347678021</v>
      </c>
      <c r="R32" s="8"/>
    </row>
    <row r="33" spans="2:20">
      <c r="B33" s="19" t="s">
        <v>1333</v>
      </c>
      <c r="E33" s="33">
        <f t="shared" ref="E33" si="13">+E32/D32-1</f>
        <v>7.882153891422683E-2</v>
      </c>
      <c r="F33" s="33">
        <f t="shared" ref="F33" si="14">+F32/E32-1</f>
        <v>0.19525416794517736</v>
      </c>
      <c r="G33" s="33">
        <f t="shared" ref="G33" si="15">+G32/F32-1</f>
        <v>0.12505933025272409</v>
      </c>
      <c r="H33" s="33">
        <f t="shared" ref="H33" si="16">+H32/G32-1</f>
        <v>0.10868712629299537</v>
      </c>
      <c r="I33" s="33">
        <f t="shared" ref="I33" si="17">+I32/H32-1</f>
        <v>0.10711136564346013</v>
      </c>
      <c r="J33" s="33">
        <f t="shared" ref="J33" si="18">+J32/I32-1</f>
        <v>0.10576509446396476</v>
      </c>
      <c r="K33" s="33">
        <f t="shared" ref="K33" si="19">+K32/J32-1</f>
        <v>0.10461975885343167</v>
      </c>
      <c r="L33" s="33">
        <f t="shared" ref="L33" si="20">+L32/K32-1</f>
        <v>0.12283492761417847</v>
      </c>
      <c r="M33" s="33">
        <f t="shared" ref="M33" si="21">+M32/L32-1</f>
        <v>0.12093110794367767</v>
      </c>
      <c r="N33" s="33">
        <f t="shared" ref="N33" si="22">+N32/M32-1</f>
        <v>0.11925612506894789</v>
      </c>
      <c r="O33" s="33">
        <f t="shared" ref="O33" si="23">+O32/N32-1</f>
        <v>0.11777752215301973</v>
      </c>
      <c r="P33" s="33">
        <f t="shared" ref="P33" si="24">+P32/O32-1</f>
        <v>0.11646835893505303</v>
      </c>
      <c r="Q33" s="33">
        <f t="shared" ref="Q33" si="25">+Q32/P32-1</f>
        <v>0.11530609565783734</v>
      </c>
      <c r="R33" s="33"/>
    </row>
    <row r="34" spans="2:20">
      <c r="B34" s="19" t="s">
        <v>305</v>
      </c>
      <c r="D34" s="33">
        <f>+D32/D9</f>
        <v>0.29826447550299495</v>
      </c>
      <c r="E34" s="33">
        <f t="shared" ref="E34:Q34" si="26">+E32/E9</f>
        <v>0.30372472067183731</v>
      </c>
      <c r="F34" s="33">
        <f t="shared" si="26"/>
        <v>0.31766944545125048</v>
      </c>
      <c r="G34" s="33">
        <f t="shared" si="26"/>
        <v>0.32197925544246675</v>
      </c>
      <c r="H34" s="33">
        <f t="shared" si="26"/>
        <v>0.32452205040224247</v>
      </c>
      <c r="I34" s="33">
        <f t="shared" si="26"/>
        <v>0.32662004582022042</v>
      </c>
      <c r="J34" s="33">
        <f t="shared" si="26"/>
        <v>0.3283318598365641</v>
      </c>
      <c r="K34" s="33">
        <f t="shared" si="26"/>
        <v>0.32971078166960371</v>
      </c>
      <c r="L34" s="33">
        <f t="shared" si="26"/>
        <v>0.33655525606327608</v>
      </c>
      <c r="M34" s="33">
        <f t="shared" si="26"/>
        <v>0.34295932369388737</v>
      </c>
      <c r="N34" s="33">
        <f t="shared" si="26"/>
        <v>0.34896302153989767</v>
      </c>
      <c r="O34" s="33">
        <f t="shared" si="26"/>
        <v>0.35460274685445237</v>
      </c>
      <c r="P34" s="33">
        <f t="shared" si="26"/>
        <v>0.35991158804950218</v>
      </c>
      <c r="Q34" s="33">
        <f t="shared" si="26"/>
        <v>0.36491962549954748</v>
      </c>
      <c r="R34" s="33"/>
      <c r="T34" s="27" t="s">
        <v>1340</v>
      </c>
    </row>
    <row r="35" spans="2:20">
      <c r="B35" s="19"/>
    </row>
    <row r="36" spans="2:20">
      <c r="B36" t="s">
        <v>131</v>
      </c>
      <c r="D36" s="11">
        <f>+-'Historical Financials'!BG111</f>
        <v>8900</v>
      </c>
      <c r="E36" s="11">
        <f>+-'Historical Financials'!BH111</f>
        <v>10200</v>
      </c>
      <c r="F36" s="11">
        <f>+-'Historical Financials'!BI111</f>
        <v>13600</v>
      </c>
      <c r="G36" s="11">
        <f>+G38*G9</f>
        <v>15312.45</v>
      </c>
      <c r="H36" s="11">
        <f t="shared" ref="H36:Q36" si="27">+H38*H9</f>
        <v>16574.195880000003</v>
      </c>
      <c r="I36" s="11">
        <f t="shared" si="27"/>
        <v>17935.166436000003</v>
      </c>
      <c r="J36" s="11">
        <f t="shared" si="27"/>
        <v>19402.589144400008</v>
      </c>
      <c r="K36" s="11">
        <f t="shared" si="27"/>
        <v>20984.14473012001</v>
      </c>
      <c r="L36" s="11">
        <f t="shared" si="27"/>
        <v>22687.985541540012</v>
      </c>
      <c r="M36" s="11">
        <f t="shared" si="27"/>
        <v>24522.753067942816</v>
      </c>
      <c r="N36" s="11">
        <f t="shared" si="27"/>
        <v>26497.594244210777</v>
      </c>
      <c r="O36" s="11">
        <f t="shared" si="27"/>
        <v>28622.176125052905</v>
      </c>
      <c r="P36" s="11">
        <f t="shared" si="27"/>
        <v>30906.698439621352</v>
      </c>
      <c r="Q36" s="11">
        <f t="shared" si="27"/>
        <v>33361.90345585296</v>
      </c>
      <c r="R36" s="11"/>
      <c r="S36" s="11"/>
    </row>
    <row r="37" spans="2:20">
      <c r="B37" s="13" t="s">
        <v>1333</v>
      </c>
      <c r="C37" s="3"/>
      <c r="D37" s="33"/>
      <c r="E37" s="33">
        <f t="shared" ref="E37" si="28">+E36/D36-1</f>
        <v>0.14606741573033699</v>
      </c>
      <c r="F37" s="33">
        <f t="shared" ref="F37" si="29">+F36/E36-1</f>
        <v>0.33333333333333326</v>
      </c>
      <c r="G37" s="33">
        <f t="shared" ref="G37" si="30">+G36/F36-1</f>
        <v>0.12591544117647069</v>
      </c>
      <c r="H37" s="33">
        <f t="shared" ref="H37" si="31">+H36/G36-1</f>
        <v>8.2400000000000251E-2</v>
      </c>
      <c r="I37" s="33">
        <f t="shared" ref="I37" si="32">+I36/H36-1</f>
        <v>8.2113821138211307E-2</v>
      </c>
      <c r="J37" s="33">
        <f t="shared" ref="J37" si="33">+J36/I36-1</f>
        <v>8.1818181818182012E-2</v>
      </c>
      <c r="K37" s="33">
        <f t="shared" ref="K37" si="34">+K36/J36-1</f>
        <v>8.1512605042016961E-2</v>
      </c>
      <c r="L37" s="33">
        <f t="shared" ref="L37" si="35">+L36/K36-1</f>
        <v>8.1196581196581352E-2</v>
      </c>
      <c r="M37" s="33">
        <f t="shared" ref="M37" si="36">+M36/L36-1</f>
        <v>8.0869565217391415E-2</v>
      </c>
      <c r="N37" s="33">
        <f t="shared" ref="N37" si="37">+N36/M36-1</f>
        <v>8.0530973451327315E-2</v>
      </c>
      <c r="O37" s="33">
        <f t="shared" ref="O37" si="38">+O36/N36-1</f>
        <v>8.0180180180180249E-2</v>
      </c>
      <c r="P37" s="33">
        <f t="shared" ref="P37" si="39">+P36/O36-1</f>
        <v>7.9816513761467922E-2</v>
      </c>
      <c r="Q37" s="33">
        <f t="shared" ref="Q37" si="40">+Q36/P36-1</f>
        <v>7.9439252336448885E-2</v>
      </c>
      <c r="R37" s="33"/>
      <c r="S37" s="11"/>
      <c r="T37" s="27" t="s">
        <v>1341</v>
      </c>
    </row>
    <row r="38" spans="2:20">
      <c r="B38" s="13" t="s">
        <v>172</v>
      </c>
      <c r="D38" s="33">
        <f>+D36/D9</f>
        <v>9.7636966013559465E-2</v>
      </c>
      <c r="E38" s="33">
        <f>+E36/E9</f>
        <v>0.10562177051081588</v>
      </c>
      <c r="F38" s="33">
        <f>+F36/F9</f>
        <v>0.12323305545487495</v>
      </c>
      <c r="G38" s="55">
        <v>0.125</v>
      </c>
      <c r="H38" s="55">
        <f>+G38-0.2%</f>
        <v>0.123</v>
      </c>
      <c r="I38" s="55">
        <f t="shared" ref="I38:Q38" si="41">+H38-0.2%</f>
        <v>0.121</v>
      </c>
      <c r="J38" s="55">
        <f t="shared" si="41"/>
        <v>0.11899999999999999</v>
      </c>
      <c r="K38" s="55">
        <f t="shared" si="41"/>
        <v>0.11699999999999999</v>
      </c>
      <c r="L38" s="55">
        <f t="shared" si="41"/>
        <v>0.11499999999999999</v>
      </c>
      <c r="M38" s="55">
        <f t="shared" si="41"/>
        <v>0.11299999999999999</v>
      </c>
      <c r="N38" s="55">
        <f t="shared" si="41"/>
        <v>0.11099999999999999</v>
      </c>
      <c r="O38" s="55">
        <f t="shared" si="41"/>
        <v>0.10899999999999999</v>
      </c>
      <c r="P38" s="55">
        <f t="shared" si="41"/>
        <v>0.10699999999999998</v>
      </c>
      <c r="Q38" s="55">
        <f t="shared" si="41"/>
        <v>0.10499999999999998</v>
      </c>
      <c r="R38" s="55"/>
      <c r="S38" s="57"/>
    </row>
    <row r="39" spans="2:20">
      <c r="B39" s="13"/>
    </row>
    <row r="40" spans="2:20">
      <c r="B40" s="24" t="s">
        <v>126</v>
      </c>
    </row>
    <row r="41" spans="2:20">
      <c r="B41" s="17" t="s">
        <v>1342</v>
      </c>
      <c r="G41" s="11">
        <f>-_xll.ciqfunctions.udf.CIQ("MSFT", "IQ_CAPEX_EST", "FY2019")</f>
        <v>14092.85039</v>
      </c>
      <c r="H41" s="11">
        <f>-_xll.ciqfunctions.udf.CIQ("MSFT", "IQ_CAPEX_EST", "FY2020")</f>
        <v>15636.53523</v>
      </c>
    </row>
    <row r="42" spans="2:20">
      <c r="B42" s="19" t="s">
        <v>172</v>
      </c>
      <c r="G42" s="33">
        <f>+G41/G9</f>
        <v>0.11504405230710957</v>
      </c>
      <c r="H42" s="33">
        <f>+H41/H9</f>
        <v>0.11604145668453386</v>
      </c>
    </row>
    <row r="43" spans="2:20">
      <c r="B43" s="19"/>
    </row>
    <row r="44" spans="2:20">
      <c r="B44" t="s">
        <v>307</v>
      </c>
      <c r="D44" s="8">
        <f t="shared" ref="D44:Q44" si="42">+D17-D36</f>
        <v>24910</v>
      </c>
      <c r="E44" s="8">
        <f t="shared" si="42"/>
        <v>27909</v>
      </c>
      <c r="F44" s="8">
        <f t="shared" si="42"/>
        <v>31719</v>
      </c>
      <c r="G44" s="8">
        <f t="shared" si="42"/>
        <v>36379.839999999997</v>
      </c>
      <c r="H44" s="8">
        <f t="shared" si="42"/>
        <v>41243.074120000005</v>
      </c>
      <c r="I44" s="8">
        <f t="shared" si="42"/>
        <v>46619.581564000007</v>
      </c>
      <c r="J44" s="8">
        <f t="shared" si="42"/>
        <v>52563.384655600028</v>
      </c>
      <c r="K44" s="8">
        <f t="shared" si="42"/>
        <v>59134.177449880037</v>
      </c>
      <c r="L44" s="8">
        <f t="shared" si="42"/>
        <v>66397.919856460052</v>
      </c>
      <c r="M44" s="8">
        <f t="shared" si="42"/>
        <v>74427.493869857266</v>
      </c>
      <c r="N44" s="8">
        <f t="shared" si="42"/>
        <v>83303.42838736932</v>
      </c>
      <c r="O44" s="8">
        <f t="shared" si="42"/>
        <v>93114.699769685205</v>
      </c>
      <c r="P44" s="8">
        <f t="shared" si="42"/>
        <v>103959.61604459061</v>
      </c>
      <c r="Q44" s="8">
        <f t="shared" si="42"/>
        <v>115946.79347678021</v>
      </c>
      <c r="R44" s="8"/>
      <c r="S44" s="8"/>
    </row>
    <row r="45" spans="2:20">
      <c r="B45" s="13" t="s">
        <v>1333</v>
      </c>
      <c r="D45" s="33"/>
      <c r="E45" s="33">
        <f t="shared" ref="E45:Q45" si="43">+E44/D44-1</f>
        <v>0.12039341629867528</v>
      </c>
      <c r="F45" s="33">
        <f t="shared" si="43"/>
        <v>0.13651510265505751</v>
      </c>
      <c r="G45" s="33">
        <f t="shared" si="43"/>
        <v>0.14694158075601371</v>
      </c>
      <c r="H45" s="33">
        <f t="shared" si="43"/>
        <v>0.13367937077238401</v>
      </c>
      <c r="I45" s="33">
        <f t="shared" si="43"/>
        <v>0.13036146210528887</v>
      </c>
      <c r="J45" s="33">
        <f t="shared" si="43"/>
        <v>0.1274958481435593</v>
      </c>
      <c r="K45" s="33">
        <f t="shared" si="43"/>
        <v>0.12500703364770804</v>
      </c>
      <c r="L45" s="33">
        <f t="shared" si="43"/>
        <v>0.12283492761417869</v>
      </c>
      <c r="M45" s="33">
        <f t="shared" si="43"/>
        <v>0.12093110794367745</v>
      </c>
      <c r="N45" s="33">
        <f t="shared" si="43"/>
        <v>0.11925612506894789</v>
      </c>
      <c r="O45" s="33">
        <f t="shared" si="43"/>
        <v>0.11777752215301973</v>
      </c>
      <c r="P45" s="33">
        <f t="shared" si="43"/>
        <v>0.11646835893505325</v>
      </c>
      <c r="Q45" s="33">
        <f t="shared" si="43"/>
        <v>0.11530609565783712</v>
      </c>
      <c r="R45" s="33"/>
      <c r="S45" s="33"/>
    </row>
    <row r="46" spans="2:20">
      <c r="B46" s="13" t="s">
        <v>305</v>
      </c>
      <c r="D46" s="33">
        <f t="shared" ref="D46:Q46" si="44">+D44/D9</f>
        <v>0.27327380038177151</v>
      </c>
      <c r="E46" s="33">
        <f t="shared" si="44"/>
        <v>0.28899980325356472</v>
      </c>
      <c r="F46" s="33">
        <f t="shared" si="44"/>
        <v>0.28741391808626315</v>
      </c>
      <c r="G46" s="33">
        <f t="shared" si="44"/>
        <v>0.29697925544246673</v>
      </c>
      <c r="H46" s="33">
        <f t="shared" si="44"/>
        <v>0.3060720504022425</v>
      </c>
      <c r="I46" s="33">
        <f t="shared" si="44"/>
        <v>0.31452004582022042</v>
      </c>
      <c r="J46" s="33">
        <f t="shared" si="44"/>
        <v>0.32238185983656409</v>
      </c>
      <c r="K46" s="33">
        <f t="shared" si="44"/>
        <v>0.32971078166960371</v>
      </c>
      <c r="L46" s="33">
        <f t="shared" si="44"/>
        <v>0.33655525606327613</v>
      </c>
      <c r="M46" s="33">
        <f t="shared" si="44"/>
        <v>0.34295932369388737</v>
      </c>
      <c r="N46" s="33">
        <f t="shared" si="44"/>
        <v>0.34896302153989767</v>
      </c>
      <c r="O46" s="33">
        <f t="shared" si="44"/>
        <v>0.35460274685445237</v>
      </c>
      <c r="P46" s="33">
        <f t="shared" si="44"/>
        <v>0.35991158804950224</v>
      </c>
      <c r="Q46" s="33">
        <f t="shared" si="44"/>
        <v>0.36491962549954748</v>
      </c>
      <c r="R46" s="33"/>
      <c r="S46" s="33"/>
    </row>
    <row r="47" spans="2:20">
      <c r="B47" s="13"/>
    </row>
    <row r="48" spans="2:20">
      <c r="B48" t="s">
        <v>1343</v>
      </c>
      <c r="D48" s="11">
        <f>+-'Historical Financials'!BG68</f>
        <v>439</v>
      </c>
      <c r="E48" s="11">
        <f>+-'Historical Financials'!BH68</f>
        <v>-876</v>
      </c>
      <c r="F48" s="11">
        <f>+-'Historical Financials'!BI68</f>
        <v>-1416</v>
      </c>
      <c r="G48" s="8">
        <f t="shared" ref="G48:Q48" si="45">+IF(G49*AVERAGE(F65:G65)&lt;0,0,G49*AVERAGE(F65:G65))</f>
        <v>0</v>
      </c>
      <c r="H48" s="8">
        <f t="shared" si="45"/>
        <v>0</v>
      </c>
      <c r="I48" s="8">
        <f t="shared" si="45"/>
        <v>0</v>
      </c>
      <c r="J48" s="8">
        <f t="shared" si="45"/>
        <v>0</v>
      </c>
      <c r="K48" s="8">
        <f t="shared" si="45"/>
        <v>0</v>
      </c>
      <c r="L48" s="8">
        <f t="shared" si="45"/>
        <v>0</v>
      </c>
      <c r="M48" s="8">
        <f t="shared" si="45"/>
        <v>0</v>
      </c>
      <c r="N48" s="8">
        <f t="shared" si="45"/>
        <v>0</v>
      </c>
      <c r="O48" s="8">
        <f t="shared" si="45"/>
        <v>0</v>
      </c>
      <c r="P48" s="8">
        <f t="shared" si="45"/>
        <v>0</v>
      </c>
      <c r="Q48" s="8">
        <f t="shared" si="45"/>
        <v>0</v>
      </c>
      <c r="R48" s="8"/>
      <c r="S48" s="8"/>
    </row>
    <row r="49" spans="2:20" s="3" customFormat="1">
      <c r="B49" s="13" t="s">
        <v>1344</v>
      </c>
      <c r="D49" s="14" t="str">
        <f>+IFERROR(D48/IF(OR(D65&lt;0,#REF!&lt;0),"n/a",AVERAGE(D65:D65)),"n/a ")</f>
        <v xml:space="preserve">n/a </v>
      </c>
      <c r="E49" s="14" t="str">
        <f>+IFERROR(E48/IF(OR(E65&lt;0,D65&lt;0),"n/a",AVERAGE(D65:E65)),"n/a ")</f>
        <v xml:space="preserve">n/a </v>
      </c>
      <c r="F49" s="14" t="str">
        <f>+IFERROR(F48/IF(OR(F65&lt;0,E65&lt;0),"n/a",AVERAGE(E65:F65)),"n/a ")</f>
        <v xml:space="preserve">n/a </v>
      </c>
      <c r="G49" s="57">
        <v>0.05</v>
      </c>
      <c r="H49" s="57">
        <v>5.5E-2</v>
      </c>
      <c r="I49" s="57">
        <v>0.06</v>
      </c>
      <c r="J49" s="57">
        <v>6.5000000000000002E-2</v>
      </c>
      <c r="K49" s="33">
        <f t="shared" ref="K49:Q49" si="46">+J49</f>
        <v>6.5000000000000002E-2</v>
      </c>
      <c r="L49" s="33">
        <f t="shared" si="46"/>
        <v>6.5000000000000002E-2</v>
      </c>
      <c r="M49" s="33">
        <f t="shared" si="46"/>
        <v>6.5000000000000002E-2</v>
      </c>
      <c r="N49" s="33">
        <f t="shared" si="46"/>
        <v>6.5000000000000002E-2</v>
      </c>
      <c r="O49" s="33">
        <f t="shared" si="46"/>
        <v>6.5000000000000002E-2</v>
      </c>
      <c r="P49" s="33">
        <f t="shared" si="46"/>
        <v>6.5000000000000002E-2</v>
      </c>
      <c r="Q49" s="33">
        <f t="shared" si="46"/>
        <v>6.5000000000000002E-2</v>
      </c>
      <c r="R49" s="33"/>
      <c r="S49" s="33"/>
    </row>
    <row r="51" spans="2:20">
      <c r="B51" t="s">
        <v>310</v>
      </c>
      <c r="D51" s="8">
        <f t="shared" ref="D51:Q51" si="47">MAX((D17-D55)*D52,0)</f>
        <v>5709.48</v>
      </c>
      <c r="E51" s="8">
        <f t="shared" si="47"/>
        <v>6159.51</v>
      </c>
      <c r="F51" s="8">
        <f t="shared" si="47"/>
        <v>7362.1799999999994</v>
      </c>
      <c r="G51" s="8">
        <f t="shared" si="47"/>
        <v>8282.8893000000007</v>
      </c>
      <c r="H51" s="8">
        <f t="shared" si="47"/>
        <v>9183.1327354200002</v>
      </c>
      <c r="I51" s="8">
        <f t="shared" si="47"/>
        <v>10166.750623596001</v>
      </c>
      <c r="J51" s="8">
        <f t="shared" si="47"/>
        <v>11242.037963692204</v>
      </c>
      <c r="K51" s="8">
        <f t="shared" si="47"/>
        <v>12418.177264474807</v>
      </c>
      <c r="L51" s="8">
        <f t="shared" si="47"/>
        <v>13943.563169856607</v>
      </c>
      <c r="M51" s="8">
        <f t="shared" si="47"/>
        <v>15629.773712670025</v>
      </c>
      <c r="N51" s="8">
        <f t="shared" si="47"/>
        <v>17493.719961347557</v>
      </c>
      <c r="O51" s="8">
        <f t="shared" si="47"/>
        <v>19554.086951633893</v>
      </c>
      <c r="P51" s="8">
        <f t="shared" si="47"/>
        <v>21831.519369364025</v>
      </c>
      <c r="Q51" s="8">
        <f t="shared" si="47"/>
        <v>24348.826630123844</v>
      </c>
      <c r="R51" s="8"/>
      <c r="S51" s="8"/>
    </row>
    <row r="52" spans="2:20" s="3" customFormat="1">
      <c r="B52" s="13" t="s">
        <v>1345</v>
      </c>
      <c r="D52" s="57">
        <v>0.21</v>
      </c>
      <c r="E52" s="33">
        <f t="shared" ref="E52:Q52" si="48">+D52</f>
        <v>0.21</v>
      </c>
      <c r="F52" s="33">
        <f t="shared" si="48"/>
        <v>0.21</v>
      </c>
      <c r="G52" s="33">
        <f t="shared" si="48"/>
        <v>0.21</v>
      </c>
      <c r="H52" s="33">
        <f t="shared" si="48"/>
        <v>0.21</v>
      </c>
      <c r="I52" s="33">
        <f t="shared" si="48"/>
        <v>0.21</v>
      </c>
      <c r="J52" s="33">
        <f t="shared" si="48"/>
        <v>0.21</v>
      </c>
      <c r="K52" s="33">
        <f t="shared" si="48"/>
        <v>0.21</v>
      </c>
      <c r="L52" s="33">
        <f t="shared" si="48"/>
        <v>0.21</v>
      </c>
      <c r="M52" s="33">
        <f t="shared" si="48"/>
        <v>0.21</v>
      </c>
      <c r="N52" s="33">
        <f t="shared" si="48"/>
        <v>0.21</v>
      </c>
      <c r="O52" s="33">
        <f t="shared" si="48"/>
        <v>0.21</v>
      </c>
      <c r="P52" s="33">
        <f t="shared" si="48"/>
        <v>0.21</v>
      </c>
      <c r="Q52" s="33">
        <f t="shared" si="48"/>
        <v>0.21</v>
      </c>
      <c r="R52" s="33"/>
      <c r="S52" s="33"/>
      <c r="T52" s="27" t="s">
        <v>1346</v>
      </c>
    </row>
    <row r="54" spans="2:20">
      <c r="B54" s="24" t="s">
        <v>126</v>
      </c>
      <c r="E54" s="8"/>
      <c r="F54" s="8"/>
      <c r="G54" s="8"/>
    </row>
    <row r="55" spans="2:20">
      <c r="B55" s="17" t="s">
        <v>187</v>
      </c>
      <c r="D55" s="11">
        <f>+'Historical Financials'!BG85</f>
        <v>6622</v>
      </c>
      <c r="E55" s="11">
        <f>+'Historical Financials'!BH85</f>
        <v>8778</v>
      </c>
      <c r="F55" s="11">
        <f>+'Historical Financials'!BI85</f>
        <v>10261</v>
      </c>
      <c r="G55" s="11">
        <f>+G57*G36</f>
        <v>12249.960000000001</v>
      </c>
      <c r="H55" s="11">
        <f t="shared" ref="H55:Q55" si="49">+H57*H36</f>
        <v>14088.066498000004</v>
      </c>
      <c r="I55" s="11">
        <f t="shared" si="49"/>
        <v>16141.649792400005</v>
      </c>
      <c r="J55" s="11">
        <f t="shared" si="49"/>
        <v>18432.459687180009</v>
      </c>
      <c r="K55" s="11">
        <f t="shared" si="49"/>
        <v>20984.144730120013</v>
      </c>
      <c r="L55" s="11">
        <f t="shared" si="49"/>
        <v>22687.985541540016</v>
      </c>
      <c r="M55" s="11">
        <f t="shared" si="49"/>
        <v>24522.75306794282</v>
      </c>
      <c r="N55" s="11">
        <f t="shared" si="49"/>
        <v>26497.594244210784</v>
      </c>
      <c r="O55" s="11">
        <f t="shared" si="49"/>
        <v>28622.176125052913</v>
      </c>
      <c r="P55" s="11">
        <f t="shared" si="49"/>
        <v>30906.698439621359</v>
      </c>
      <c r="Q55" s="11">
        <f t="shared" si="49"/>
        <v>33361.903455852967</v>
      </c>
      <c r="R55" s="11"/>
      <c r="S55" s="8"/>
    </row>
    <row r="56" spans="2:20" s="3" customFormat="1">
      <c r="B56" s="19" t="s">
        <v>172</v>
      </c>
      <c r="D56" s="33">
        <f t="shared" ref="D56:Q56" si="50">+D55/D9</f>
        <v>7.2646290892336041E-2</v>
      </c>
      <c r="E56" s="33">
        <f t="shared" si="50"/>
        <v>9.0896853092543306E-2</v>
      </c>
      <c r="F56" s="33">
        <f t="shared" si="50"/>
        <v>9.2977528089887643E-2</v>
      </c>
      <c r="G56" s="33">
        <f t="shared" si="50"/>
        <v>0.1</v>
      </c>
      <c r="H56" s="33">
        <f t="shared" si="50"/>
        <v>0.10455</v>
      </c>
      <c r="I56" s="33">
        <f t="shared" si="50"/>
        <v>0.10890000000000001</v>
      </c>
      <c r="J56" s="33">
        <f t="shared" si="50"/>
        <v>0.11305000000000001</v>
      </c>
      <c r="K56" s="33">
        <f t="shared" si="50"/>
        <v>0.11700000000000002</v>
      </c>
      <c r="L56" s="33">
        <f t="shared" si="50"/>
        <v>0.11500000000000002</v>
      </c>
      <c r="M56" s="33">
        <f t="shared" si="50"/>
        <v>0.11300000000000002</v>
      </c>
      <c r="N56" s="33">
        <f t="shared" si="50"/>
        <v>0.11100000000000002</v>
      </c>
      <c r="O56" s="33">
        <f t="shared" si="50"/>
        <v>0.10900000000000001</v>
      </c>
      <c r="P56" s="33">
        <f t="shared" si="50"/>
        <v>0.10700000000000001</v>
      </c>
      <c r="Q56" s="33">
        <f t="shared" si="50"/>
        <v>0.10500000000000001</v>
      </c>
      <c r="R56" s="33"/>
      <c r="S56" s="33"/>
    </row>
    <row r="57" spans="2:20">
      <c r="B57" s="19" t="s">
        <v>1347</v>
      </c>
      <c r="D57" s="33">
        <f>+D55/D36</f>
        <v>0.74404494382022468</v>
      </c>
      <c r="E57" s="33">
        <f>+E55/E36</f>
        <v>0.86058823529411765</v>
      </c>
      <c r="F57" s="33">
        <f>+F55/F36</f>
        <v>0.75448529411764709</v>
      </c>
      <c r="G57" s="57">
        <v>0.8</v>
      </c>
      <c r="H57" s="57">
        <f>+G57+5%</f>
        <v>0.85000000000000009</v>
      </c>
      <c r="I57" s="57">
        <f t="shared" ref="I57:K57" si="51">+H57+5%</f>
        <v>0.90000000000000013</v>
      </c>
      <c r="J57" s="57">
        <f t="shared" si="51"/>
        <v>0.95000000000000018</v>
      </c>
      <c r="K57" s="57">
        <f t="shared" si="51"/>
        <v>1.0000000000000002</v>
      </c>
      <c r="L57" s="33">
        <f t="shared" ref="L57:Q57" si="52">+K57</f>
        <v>1.0000000000000002</v>
      </c>
      <c r="M57" s="33">
        <f t="shared" si="52"/>
        <v>1.0000000000000002</v>
      </c>
      <c r="N57" s="33">
        <f t="shared" si="52"/>
        <v>1.0000000000000002</v>
      </c>
      <c r="O57" s="33">
        <f t="shared" si="52"/>
        <v>1.0000000000000002</v>
      </c>
      <c r="P57" s="33">
        <f t="shared" si="52"/>
        <v>1.0000000000000002</v>
      </c>
      <c r="Q57" s="33">
        <f t="shared" si="52"/>
        <v>1.0000000000000002</v>
      </c>
      <c r="R57" s="33"/>
      <c r="S57" s="33"/>
    </row>
    <row r="59" spans="2:20">
      <c r="B59" t="s">
        <v>141</v>
      </c>
      <c r="D59" s="8">
        <f t="shared" ref="D59:Q59" si="53">+D44-D48-D51</f>
        <v>18761.52</v>
      </c>
      <c r="E59" s="8">
        <f t="shared" si="53"/>
        <v>22625.489999999998</v>
      </c>
      <c r="F59" s="8">
        <f t="shared" si="53"/>
        <v>25772.82</v>
      </c>
      <c r="G59" s="8">
        <f t="shared" si="53"/>
        <v>28096.950699999994</v>
      </c>
      <c r="H59" s="8">
        <f t="shared" si="53"/>
        <v>32059.941384580005</v>
      </c>
      <c r="I59" s="8">
        <f t="shared" si="53"/>
        <v>36452.830940404005</v>
      </c>
      <c r="J59" s="8">
        <f t="shared" si="53"/>
        <v>41321.34669190782</v>
      </c>
      <c r="K59" s="8">
        <f t="shared" si="53"/>
        <v>46716.000185405232</v>
      </c>
      <c r="L59" s="8">
        <f t="shared" si="53"/>
        <v>52454.356686603445</v>
      </c>
      <c r="M59" s="8">
        <f t="shared" si="53"/>
        <v>58797.720157187243</v>
      </c>
      <c r="N59" s="8">
        <f t="shared" si="53"/>
        <v>65809.708426021767</v>
      </c>
      <c r="O59" s="8">
        <f t="shared" si="53"/>
        <v>73560.612818051304</v>
      </c>
      <c r="P59" s="8">
        <f t="shared" si="53"/>
        <v>82128.096675226581</v>
      </c>
      <c r="Q59" s="8">
        <f t="shared" si="53"/>
        <v>91597.96684665636</v>
      </c>
      <c r="R59" s="8"/>
      <c r="S59" s="8"/>
    </row>
    <row r="60" spans="2:20">
      <c r="B60" s="13" t="s">
        <v>1333</v>
      </c>
      <c r="D60" s="33"/>
      <c r="E60" s="33">
        <f t="shared" ref="E60:Q60" si="54">+E59/D59-1</f>
        <v>0.20595186317526504</v>
      </c>
      <c r="F60" s="33">
        <f t="shared" si="54"/>
        <v>0.13910549561578556</v>
      </c>
      <c r="G60" s="33">
        <f t="shared" si="54"/>
        <v>9.0177586309918567E-2</v>
      </c>
      <c r="H60" s="33">
        <f t="shared" si="54"/>
        <v>0.14104700281870852</v>
      </c>
      <c r="I60" s="33">
        <f t="shared" si="54"/>
        <v>0.13702113497739776</v>
      </c>
      <c r="J60" s="33">
        <f t="shared" si="54"/>
        <v>0.13355658877257715</v>
      </c>
      <c r="K60" s="33">
        <f t="shared" si="54"/>
        <v>0.13055367081135993</v>
      </c>
      <c r="L60" s="33">
        <f t="shared" si="54"/>
        <v>0.12283492761417869</v>
      </c>
      <c r="M60" s="33">
        <f t="shared" si="54"/>
        <v>0.12093110794367745</v>
      </c>
      <c r="N60" s="33">
        <f t="shared" si="54"/>
        <v>0.11925612506894789</v>
      </c>
      <c r="O60" s="33">
        <f t="shared" si="54"/>
        <v>0.11777752215301951</v>
      </c>
      <c r="P60" s="33">
        <f t="shared" si="54"/>
        <v>0.11646835893505325</v>
      </c>
      <c r="Q60" s="33">
        <f t="shared" si="54"/>
        <v>0.11530609565783712</v>
      </c>
      <c r="R60" s="33"/>
      <c r="S60" s="33"/>
    </row>
    <row r="62" spans="2:20" ht="11.45">
      <c r="B62" s="12" t="s">
        <v>198</v>
      </c>
      <c r="D62" s="10">
        <f t="shared" ref="D62:F62" si="55">+D63-D59</f>
        <v>5663.48</v>
      </c>
      <c r="E62" s="10">
        <f t="shared" si="55"/>
        <v>6681.510000000002</v>
      </c>
      <c r="F62" s="10">
        <f t="shared" si="55"/>
        <v>4511.18</v>
      </c>
      <c r="G62" s="58">
        <f>-17600*0.08</f>
        <v>-1408</v>
      </c>
      <c r="H62" s="58">
        <f t="shared" ref="H62:K62" si="56">-17600*0.08</f>
        <v>-1408</v>
      </c>
      <c r="I62" s="58">
        <f t="shared" si="56"/>
        <v>-1408</v>
      </c>
      <c r="J62" s="58">
        <f t="shared" si="56"/>
        <v>-1408</v>
      </c>
      <c r="K62" s="58">
        <f t="shared" si="56"/>
        <v>-1408</v>
      </c>
      <c r="L62" s="58">
        <f>-17600*0.15</f>
        <v>-2640</v>
      </c>
      <c r="M62" s="58">
        <f>-17600*0.2</f>
        <v>-3520</v>
      </c>
      <c r="N62" s="58">
        <f>-17600*0.25</f>
        <v>-4400</v>
      </c>
      <c r="O62" s="58">
        <v>0</v>
      </c>
      <c r="P62" s="58">
        <v>0</v>
      </c>
      <c r="Q62" s="58">
        <v>0</v>
      </c>
      <c r="R62" s="58"/>
      <c r="S62" s="58"/>
      <c r="T62" s="27" t="s">
        <v>1348</v>
      </c>
    </row>
    <row r="63" spans="2:20">
      <c r="B63" t="s">
        <v>145</v>
      </c>
      <c r="D63" s="11">
        <f>+'Historical Financials'!BG122</f>
        <v>24425</v>
      </c>
      <c r="E63" s="11">
        <f>+'Historical Financials'!BH122</f>
        <v>29307</v>
      </c>
      <c r="F63" s="11">
        <f>+'Historical Financials'!BI122</f>
        <v>30284</v>
      </c>
      <c r="G63" s="8">
        <f t="shared" ref="G63:Q63" si="57">+G59+G62</f>
        <v>26688.950699999994</v>
      </c>
      <c r="H63" s="8">
        <f t="shared" si="57"/>
        <v>30651.941384580005</v>
      </c>
      <c r="I63" s="8">
        <f t="shared" si="57"/>
        <v>35044.830940404005</v>
      </c>
      <c r="J63" s="8">
        <f t="shared" si="57"/>
        <v>39913.34669190782</v>
      </c>
      <c r="K63" s="8">
        <f t="shared" si="57"/>
        <v>45308.000185405232</v>
      </c>
      <c r="L63" s="8">
        <f t="shared" si="57"/>
        <v>49814.356686603445</v>
      </c>
      <c r="M63" s="8">
        <f t="shared" si="57"/>
        <v>55277.720157187243</v>
      </c>
      <c r="N63" s="8">
        <f t="shared" si="57"/>
        <v>61409.708426021767</v>
      </c>
      <c r="O63" s="8">
        <f t="shared" si="57"/>
        <v>73560.612818051304</v>
      </c>
      <c r="P63" s="8">
        <f t="shared" si="57"/>
        <v>82128.096675226581</v>
      </c>
      <c r="Q63" s="8">
        <f t="shared" si="57"/>
        <v>91597.96684665636</v>
      </c>
      <c r="R63" s="8"/>
      <c r="S63" s="8"/>
    </row>
    <row r="65" spans="2:19">
      <c r="B65" t="s">
        <v>146</v>
      </c>
      <c r="D65" s="11">
        <f>+'Historical Financials'!BG136</f>
        <v>-59779</v>
      </c>
      <c r="E65" s="11">
        <f>+'Historical Financials'!BH136</f>
        <v>-38877</v>
      </c>
      <c r="F65" s="11">
        <f>+'Historical Financials'!BI136</f>
        <v>-47659</v>
      </c>
      <c r="G65" s="11">
        <f t="shared" ref="G65:Q65" si="58">+G66*G17</f>
        <v>0</v>
      </c>
      <c r="H65" s="11">
        <f t="shared" si="58"/>
        <v>0</v>
      </c>
      <c r="I65" s="11">
        <f t="shared" si="58"/>
        <v>0</v>
      </c>
      <c r="J65" s="11">
        <f t="shared" si="58"/>
        <v>0</v>
      </c>
      <c r="K65" s="11">
        <f t="shared" si="58"/>
        <v>0</v>
      </c>
      <c r="L65" s="11">
        <f t="shared" si="58"/>
        <v>0</v>
      </c>
      <c r="M65" s="11">
        <f t="shared" si="58"/>
        <v>0</v>
      </c>
      <c r="N65" s="11">
        <f t="shared" si="58"/>
        <v>0</v>
      </c>
      <c r="O65" s="11">
        <f t="shared" si="58"/>
        <v>0</v>
      </c>
      <c r="P65" s="11">
        <f t="shared" si="58"/>
        <v>0</v>
      </c>
      <c r="Q65" s="11">
        <f t="shared" si="58"/>
        <v>0</v>
      </c>
      <c r="R65" s="11"/>
      <c r="S65" s="11"/>
    </row>
    <row r="66" spans="2:19" s="3" customFormat="1">
      <c r="B66" s="36" t="s">
        <v>1349</v>
      </c>
      <c r="D66" s="59">
        <f>+D65/D17</f>
        <v>-1.768086364980775</v>
      </c>
      <c r="E66" s="59">
        <f>+E65/E17</f>
        <v>-1.0201527198299614</v>
      </c>
      <c r="F66" s="59">
        <f>+F65/F17</f>
        <v>-1.0516339725060129</v>
      </c>
      <c r="G66" s="60">
        <v>0</v>
      </c>
      <c r="H66" s="59">
        <f t="shared" ref="H66:Q66" si="59">+G66</f>
        <v>0</v>
      </c>
      <c r="I66" s="59">
        <f t="shared" si="59"/>
        <v>0</v>
      </c>
      <c r="J66" s="59">
        <f t="shared" si="59"/>
        <v>0</v>
      </c>
      <c r="K66" s="59">
        <f t="shared" si="59"/>
        <v>0</v>
      </c>
      <c r="L66" s="59">
        <f t="shared" si="59"/>
        <v>0</v>
      </c>
      <c r="M66" s="59">
        <f t="shared" si="59"/>
        <v>0</v>
      </c>
      <c r="N66" s="59">
        <f t="shared" si="59"/>
        <v>0</v>
      </c>
      <c r="O66" s="59">
        <f t="shared" si="59"/>
        <v>0</v>
      </c>
      <c r="P66" s="59">
        <f t="shared" si="59"/>
        <v>0</v>
      </c>
      <c r="Q66" s="59">
        <f t="shared" si="59"/>
        <v>0</v>
      </c>
      <c r="R66" s="59"/>
      <c r="S66" s="59"/>
    </row>
    <row r="68" spans="2:19">
      <c r="F68" s="41" t="s">
        <v>1350</v>
      </c>
      <c r="G68" s="61">
        <v>-7500</v>
      </c>
    </row>
    <row r="70" spans="2:19">
      <c r="B70" t="s">
        <v>1351</v>
      </c>
      <c r="F70" s="61"/>
      <c r="G70" s="8">
        <f>+G63+G65-F65+G68</f>
        <v>66847.950699999987</v>
      </c>
      <c r="H70" s="8">
        <f t="shared" ref="H70:Q70" si="60">+H63+H65-G65</f>
        <v>30651.941384580005</v>
      </c>
      <c r="I70" s="8">
        <f t="shared" si="60"/>
        <v>35044.830940404005</v>
      </c>
      <c r="J70" s="8">
        <f t="shared" si="60"/>
        <v>39913.34669190782</v>
      </c>
      <c r="K70" s="8">
        <f t="shared" si="60"/>
        <v>45308.000185405232</v>
      </c>
      <c r="L70" s="8">
        <f t="shared" si="60"/>
        <v>49814.356686603445</v>
      </c>
      <c r="M70" s="8">
        <f t="shared" si="60"/>
        <v>55277.720157187243</v>
      </c>
      <c r="N70" s="8">
        <f t="shared" si="60"/>
        <v>61409.708426021767</v>
      </c>
      <c r="O70" s="8">
        <f t="shared" si="60"/>
        <v>73560.612818051304</v>
      </c>
      <c r="P70" s="8">
        <f t="shared" si="60"/>
        <v>82128.096675226581</v>
      </c>
      <c r="Q70" s="8">
        <f t="shared" si="60"/>
        <v>91597.96684665636</v>
      </c>
      <c r="R70" s="8"/>
      <c r="S70" s="8"/>
    </row>
    <row r="71" spans="2:19">
      <c r="B71" t="s">
        <v>1352</v>
      </c>
      <c r="F71" s="8"/>
      <c r="G71" s="8">
        <f>+G70</f>
        <v>66847.950699999987</v>
      </c>
      <c r="H71" s="8">
        <f t="shared" ref="H71:Q71" si="61">+G71+H70</f>
        <v>97499.892084579988</v>
      </c>
      <c r="I71" s="8">
        <f t="shared" si="61"/>
        <v>132544.72302498401</v>
      </c>
      <c r="J71" s="8">
        <f t="shared" si="61"/>
        <v>172458.06971689183</v>
      </c>
      <c r="K71" s="8">
        <f t="shared" si="61"/>
        <v>217766.06990229705</v>
      </c>
      <c r="L71" s="8">
        <f t="shared" si="61"/>
        <v>267580.4265889005</v>
      </c>
      <c r="M71" s="8">
        <f t="shared" si="61"/>
        <v>322858.14674608776</v>
      </c>
      <c r="N71" s="8">
        <f t="shared" si="61"/>
        <v>384267.85517210956</v>
      </c>
      <c r="O71" s="8">
        <f t="shared" si="61"/>
        <v>457828.46799016086</v>
      </c>
      <c r="P71" s="8">
        <f t="shared" si="61"/>
        <v>539956.56466538738</v>
      </c>
      <c r="Q71" s="8">
        <f t="shared" si="61"/>
        <v>631554.53151204379</v>
      </c>
      <c r="R71" s="8"/>
      <c r="S71" s="8"/>
    </row>
    <row r="72" spans="2:19">
      <c r="B72" s="13" t="s">
        <v>1353</v>
      </c>
      <c r="F72" s="33"/>
      <c r="G72" s="33">
        <f t="shared" ref="G72:Q72" si="62">+G71/$D$104</f>
        <v>8.1883877752258444E-2</v>
      </c>
      <c r="H72" s="33">
        <f t="shared" si="62"/>
        <v>0.11943027663093553</v>
      </c>
      <c r="I72" s="33">
        <f t="shared" si="62"/>
        <v>0.16235764572039077</v>
      </c>
      <c r="J72" s="33">
        <f t="shared" si="62"/>
        <v>0.21124859251801173</v>
      </c>
      <c r="K72" s="72">
        <f t="shared" si="62"/>
        <v>0.26674759749171284</v>
      </c>
      <c r="L72" s="33">
        <f t="shared" si="62"/>
        <v>0.32776656143181809</v>
      </c>
      <c r="M72" s="33">
        <f t="shared" si="62"/>
        <v>0.39547774827265381</v>
      </c>
      <c r="N72" s="33">
        <f t="shared" si="62"/>
        <v>0.47070017476295767</v>
      </c>
      <c r="O72" s="33">
        <f t="shared" si="62"/>
        <v>0.56080657539753287</v>
      </c>
      <c r="P72" s="33">
        <f t="shared" si="62"/>
        <v>0.66140752064356134</v>
      </c>
      <c r="Q72" s="33">
        <f t="shared" si="62"/>
        <v>0.77360836810539735</v>
      </c>
      <c r="R72" s="33"/>
      <c r="S72" s="33"/>
    </row>
    <row r="74" spans="2:19">
      <c r="B74" t="s">
        <v>1354</v>
      </c>
    </row>
    <row r="75" spans="2:19">
      <c r="B75" s="12" t="s">
        <v>1355</v>
      </c>
      <c r="E75" s="62">
        <f>+$D$106/E9</f>
        <v>7.9601122490188567</v>
      </c>
      <c r="F75" s="62">
        <f t="shared" ref="F75:Q75" si="63">+($D$106-F71+F65-$E65)/F9</f>
        <v>6.8859550561797755</v>
      </c>
      <c r="G75" s="62">
        <f t="shared" si="63"/>
        <v>6.0469181066713693</v>
      </c>
      <c r="H75" s="62">
        <f t="shared" si="63"/>
        <v>5.2697248726854458</v>
      </c>
      <c r="I75" s="62">
        <f t="shared" si="63"/>
        <v>4.5542282423443083</v>
      </c>
      <c r="J75" s="62">
        <f t="shared" si="63"/>
        <v>3.8954108722909355</v>
      </c>
      <c r="K75" s="62">
        <f t="shared" si="63"/>
        <v>3.2886615923105373</v>
      </c>
      <c r="L75" s="62">
        <f t="shared" si="63"/>
        <v>2.737195236155864</v>
      </c>
      <c r="M75" s="62">
        <f t="shared" si="63"/>
        <v>2.2336414784234129</v>
      </c>
      <c r="N75" s="62">
        <f t="shared" si="63"/>
        <v>1.7733342371699294</v>
      </c>
      <c r="O75" s="62">
        <f t="shared" si="63"/>
        <v>1.3319858637758275</v>
      </c>
      <c r="P75" s="62">
        <f t="shared" si="63"/>
        <v>0.92656608523710005</v>
      </c>
      <c r="Q75" s="62">
        <f t="shared" si="63"/>
        <v>0.5540463006163574</v>
      </c>
      <c r="R75" s="62"/>
      <c r="S75" s="62"/>
    </row>
    <row r="76" spans="2:19">
      <c r="B76" s="12" t="s">
        <v>1356</v>
      </c>
      <c r="E76" s="62">
        <f>+$D$106/E17</f>
        <v>20.171508042719566</v>
      </c>
      <c r="F76" s="62">
        <f t="shared" ref="F76:Q76" si="64">+($D$106-F71+F65-$E65)/F17</f>
        <v>16.768551821531808</v>
      </c>
      <c r="G76" s="62">
        <f t="shared" si="64"/>
        <v>14.329894251154284</v>
      </c>
      <c r="H76" s="62">
        <f t="shared" si="64"/>
        <v>12.281678258337342</v>
      </c>
      <c r="I76" s="62">
        <f t="shared" si="64"/>
        <v>10.456988802357587</v>
      </c>
      <c r="J76" s="62">
        <f t="shared" si="64"/>
        <v>8.8254892798116735</v>
      </c>
      <c r="K76" s="62">
        <f t="shared" si="64"/>
        <v>7.3619481043618444</v>
      </c>
      <c r="L76" s="62">
        <f t="shared" si="64"/>
        <v>6.0617060689739874</v>
      </c>
      <c r="M76" s="62">
        <f t="shared" si="64"/>
        <v>4.898773557974196</v>
      </c>
      <c r="N76" s="62">
        <f t="shared" si="64"/>
        <v>3.855384355101052</v>
      </c>
      <c r="O76" s="62">
        <f t="shared" si="64"/>
        <v>2.8731190071960535</v>
      </c>
      <c r="P76" s="62">
        <f t="shared" si="64"/>
        <v>1.9844572483364131</v>
      </c>
      <c r="Q76" s="62">
        <f t="shared" si="64"/>
        <v>1.1790235405201031</v>
      </c>
      <c r="R76" s="62"/>
      <c r="S76" s="62"/>
    </row>
    <row r="77" spans="2:19">
      <c r="B77" s="12" t="s">
        <v>1357</v>
      </c>
      <c r="E77" s="62">
        <f>$D$104/E59</f>
        <v>36.082091481775649</v>
      </c>
      <c r="F77" s="62">
        <f t="shared" ref="F77:Q77" si="65">($D$104-F$71)/F59</f>
        <v>31.675811960041624</v>
      </c>
      <c r="G77" s="62">
        <f t="shared" si="65"/>
        <v>26.676455295912245</v>
      </c>
      <c r="H77" s="62">
        <f t="shared" si="65"/>
        <v>22.422845359947544</v>
      </c>
      <c r="I77" s="62">
        <f t="shared" si="65"/>
        <v>18.759318805526963</v>
      </c>
      <c r="J77" s="62">
        <f t="shared" si="65"/>
        <v>15.583154515368442</v>
      </c>
      <c r="K77" s="62">
        <f t="shared" si="65"/>
        <v>12.813788160843384</v>
      </c>
      <c r="L77" s="62">
        <f t="shared" si="65"/>
        <v>10.462325878667359</v>
      </c>
      <c r="M77" s="62">
        <f t="shared" si="65"/>
        <v>8.3934692014344421</v>
      </c>
      <c r="N77" s="62">
        <f t="shared" si="65"/>
        <v>6.5660091065990995</v>
      </c>
      <c r="O77" s="62">
        <f t="shared" si="65"/>
        <v>4.8741645600028782</v>
      </c>
      <c r="P77" s="62">
        <f t="shared" si="65"/>
        <v>3.3656987867100114</v>
      </c>
      <c r="Q77" s="62">
        <f t="shared" si="65"/>
        <v>2.0177354896682709</v>
      </c>
      <c r="R77" s="62"/>
      <c r="S77" s="62"/>
    </row>
    <row r="78" spans="2:19">
      <c r="B78" s="12" t="s">
        <v>1358</v>
      </c>
      <c r="E78" s="62">
        <f>$D$104/(E59-E55+E36)</f>
        <v>33.948449505540914</v>
      </c>
      <c r="F78" s="62">
        <f t="shared" ref="F78:Q78" si="66">($D$104-F71)/(F59-F55+F36)</f>
        <v>28.042733157871957</v>
      </c>
      <c r="G78" s="62">
        <f t="shared" si="66"/>
        <v>24.05457326774162</v>
      </c>
      <c r="H78" s="62">
        <f t="shared" si="66"/>
        <v>20.809171403969405</v>
      </c>
      <c r="I78" s="62">
        <f t="shared" si="66"/>
        <v>17.879623027350679</v>
      </c>
      <c r="J78" s="62">
        <f t="shared" si="66"/>
        <v>15.225690586266937</v>
      </c>
      <c r="K78" s="62">
        <f t="shared" si="66"/>
        <v>12.813788160843385</v>
      </c>
      <c r="L78" s="62">
        <f t="shared" si="66"/>
        <v>10.462325878667361</v>
      </c>
      <c r="M78" s="62">
        <f t="shared" si="66"/>
        <v>8.3934692014344421</v>
      </c>
      <c r="N78" s="62">
        <f t="shared" si="66"/>
        <v>6.5660091065990995</v>
      </c>
      <c r="O78" s="62">
        <f t="shared" si="66"/>
        <v>4.8741645600028782</v>
      </c>
      <c r="P78" s="62">
        <f t="shared" si="66"/>
        <v>3.3656987867100114</v>
      </c>
      <c r="Q78" s="62">
        <f t="shared" si="66"/>
        <v>2.0177354896682713</v>
      </c>
      <c r="R78" s="62"/>
      <c r="S78" s="62"/>
    </row>
    <row r="79" spans="2:19">
      <c r="B79" s="12"/>
      <c r="E79" s="62"/>
      <c r="F79" s="62"/>
      <c r="G79" s="62"/>
      <c r="H79" s="62"/>
      <c r="I79" s="62"/>
      <c r="J79" s="62"/>
      <c r="K79" s="62"/>
      <c r="L79" s="62"/>
      <c r="M79" s="62"/>
      <c r="N79" s="62"/>
      <c r="O79" s="62"/>
      <c r="P79" s="62"/>
    </row>
    <row r="80" spans="2:19">
      <c r="B80" s="12" t="s">
        <v>1359</v>
      </c>
      <c r="E80" s="62"/>
      <c r="F80" s="62"/>
      <c r="G80" s="62">
        <f>+$D104/(G17-G55-G48-G51)</f>
        <v>26.199924698905139</v>
      </c>
      <c r="H80" s="62">
        <f>+$D104/(H17-H55-H48-H51)</f>
        <v>23.631486356757083</v>
      </c>
      <c r="I80" s="62"/>
      <c r="J80" s="62"/>
      <c r="K80" s="62"/>
      <c r="L80" s="62"/>
      <c r="M80" s="62"/>
      <c r="N80" s="62"/>
      <c r="O80" s="62"/>
      <c r="P80" s="62"/>
    </row>
    <row r="81" spans="2:19">
      <c r="B81" s="12" t="s">
        <v>1360</v>
      </c>
      <c r="F81" s="62"/>
      <c r="G81" s="62" t="str">
        <f>_xll.ciqfunctions.udf.CIQ("MSFT", "IQ_PE_EXCL_FWD", "FY2019")</f>
        <v>NA</v>
      </c>
      <c r="H81" s="62" t="str">
        <f>_xll.ciqfunctions.udf.CIQ("MSFT", "IQ_PE_EXCL_FWD", "FY2020")</f>
        <v>NA</v>
      </c>
      <c r="I81" s="62"/>
      <c r="J81" s="62"/>
      <c r="K81" s="62"/>
      <c r="L81" s="62"/>
      <c r="M81" s="62"/>
      <c r="N81" s="62"/>
      <c r="O81" s="62"/>
      <c r="P81" s="62"/>
    </row>
    <row r="83" spans="2:19" ht="10.5">
      <c r="B83" s="45" t="s">
        <v>1361</v>
      </c>
      <c r="C83" s="1"/>
    </row>
    <row r="85" spans="2:19" ht="11.45">
      <c r="B85" t="s">
        <v>1362</v>
      </c>
      <c r="J85" s="63"/>
      <c r="K85" s="64">
        <v>15</v>
      </c>
    </row>
    <row r="86" spans="2:19">
      <c r="B86" t="s">
        <v>1363</v>
      </c>
      <c r="J86" s="8"/>
      <c r="K86" s="8">
        <f>+K85*L59</f>
        <v>786815.35029905173</v>
      </c>
    </row>
    <row r="87" spans="2:19" ht="13.5">
      <c r="K87" s="6"/>
      <c r="L87" s="6" t="s">
        <v>526</v>
      </c>
    </row>
    <row r="88" spans="2:19">
      <c r="B88" t="s">
        <v>160</v>
      </c>
      <c r="E88" s="65"/>
      <c r="F88" s="8">
        <f>-D104</f>
        <v>-816375</v>
      </c>
      <c r="G88" s="8">
        <f t="shared" ref="G88:J88" si="67">+G70</f>
        <v>66847.950699999987</v>
      </c>
      <c r="H88" s="8">
        <f t="shared" si="67"/>
        <v>30651.941384580005</v>
      </c>
      <c r="I88" s="8">
        <f t="shared" si="67"/>
        <v>35044.830940404005</v>
      </c>
      <c r="J88" s="8">
        <f t="shared" si="67"/>
        <v>39913.34669190782</v>
      </c>
      <c r="K88" s="8">
        <f>+K70+K86</f>
        <v>832123.35048445698</v>
      </c>
      <c r="L88" s="8">
        <f>+SUM(G88:K88)</f>
        <v>1004581.4202013488</v>
      </c>
    </row>
    <row r="89" spans="2:19">
      <c r="J89" s="66"/>
      <c r="K89" s="66" t="s">
        <v>1364</v>
      </c>
      <c r="L89" s="62">
        <f>+L88/-F88</f>
        <v>1.2305391764830487</v>
      </c>
    </row>
    <row r="90" spans="2:19" ht="10.5">
      <c r="B90" s="67" t="s">
        <v>1365</v>
      </c>
      <c r="C90" s="68"/>
      <c r="D90" s="69" t="e">
        <f ca="1">+XIRR(F88:K88,F8:K8)</f>
        <v>#NUM!</v>
      </c>
    </row>
    <row r="92" spans="2:19" ht="10.5">
      <c r="B92" s="45" t="s">
        <v>1366</v>
      </c>
      <c r="C92" s="1"/>
    </row>
    <row r="94" spans="2:19" ht="11.45">
      <c r="B94" t="s">
        <v>1362</v>
      </c>
      <c r="O94" s="63"/>
      <c r="P94" s="64">
        <v>15</v>
      </c>
    </row>
    <row r="95" spans="2:19">
      <c r="B95" t="s">
        <v>1363</v>
      </c>
      <c r="O95" s="8"/>
      <c r="P95" s="8">
        <f>+P94*Q59</f>
        <v>1373969.5026998455</v>
      </c>
    </row>
    <row r="96" spans="2:19" ht="13.5">
      <c r="P96" s="6"/>
      <c r="Q96" s="6" t="s">
        <v>526</v>
      </c>
      <c r="R96" s="6"/>
      <c r="S96" s="6"/>
    </row>
    <row r="97" spans="2:19">
      <c r="B97" t="s">
        <v>160</v>
      </c>
      <c r="E97" s="65"/>
      <c r="F97" s="8">
        <f>-D104</f>
        <v>-816375</v>
      </c>
      <c r="G97" s="8">
        <f t="shared" ref="G97:O97" si="68">+G70</f>
        <v>66847.950699999987</v>
      </c>
      <c r="H97" s="8">
        <f t="shared" si="68"/>
        <v>30651.941384580005</v>
      </c>
      <c r="I97" s="8">
        <f t="shared" si="68"/>
        <v>35044.830940404005</v>
      </c>
      <c r="J97" s="8">
        <f t="shared" si="68"/>
        <v>39913.34669190782</v>
      </c>
      <c r="K97" s="8">
        <f t="shared" si="68"/>
        <v>45308.000185405232</v>
      </c>
      <c r="L97" s="8">
        <f t="shared" si="68"/>
        <v>49814.356686603445</v>
      </c>
      <c r="M97" s="8">
        <f t="shared" si="68"/>
        <v>55277.720157187243</v>
      </c>
      <c r="N97" s="8">
        <f t="shared" si="68"/>
        <v>61409.708426021767</v>
      </c>
      <c r="O97" s="8">
        <f t="shared" si="68"/>
        <v>73560.612818051304</v>
      </c>
      <c r="P97" s="8">
        <f>+P70+P95</f>
        <v>1456097.5993750719</v>
      </c>
      <c r="Q97" s="8">
        <f>+SUM(G97:P97)</f>
        <v>1913926.0673652329</v>
      </c>
      <c r="R97" s="8"/>
      <c r="S97" s="8"/>
    </row>
    <row r="98" spans="2:19">
      <c r="O98" s="66"/>
      <c r="P98" s="66" t="s">
        <v>1364</v>
      </c>
      <c r="Q98" s="62">
        <f>+Q97/-F97</f>
        <v>2.3444202325711014</v>
      </c>
      <c r="R98" s="62"/>
      <c r="S98" s="62"/>
    </row>
    <row r="99" spans="2:19" ht="10.5">
      <c r="B99" s="67" t="s">
        <v>1365</v>
      </c>
      <c r="C99" s="68"/>
      <c r="D99" s="69" t="e">
        <f ca="1">+XIRR(F97:P97,F8:P8)</f>
        <v>#NUM!</v>
      </c>
    </row>
    <row r="102" spans="2:19" ht="10.5">
      <c r="B102" s="46" t="s">
        <v>162</v>
      </c>
      <c r="C102" s="47"/>
      <c r="D102" s="47"/>
      <c r="E102" s="48"/>
    </row>
    <row r="103" spans="2:19" ht="13.5">
      <c r="D103" s="6" t="s">
        <v>163</v>
      </c>
      <c r="E103" s="6" t="s">
        <v>1367</v>
      </c>
      <c r="G103" s="9"/>
    </row>
    <row r="104" spans="2:19">
      <c r="B104" s="12" t="s">
        <v>165</v>
      </c>
      <c r="D104" s="65">
        <f>+E104*E108</f>
        <v>816375</v>
      </c>
      <c r="E104" s="70">
        <v>105</v>
      </c>
    </row>
    <row r="105" spans="2:19" ht="11.45">
      <c r="B105" s="12" t="s">
        <v>146</v>
      </c>
      <c r="D105" s="34">
        <f>+'Historical Financials'!O136</f>
        <v>-47659</v>
      </c>
      <c r="E105" s="71">
        <f>+D105/E108/1000</f>
        <v>-6.129774919614148E-3</v>
      </c>
    </row>
    <row r="106" spans="2:19">
      <c r="B106" t="s">
        <v>166</v>
      </c>
      <c r="D106" s="65">
        <f>SUM(D104:D105)</f>
        <v>768716</v>
      </c>
      <c r="E106" s="9">
        <f>+D106/E108/1000</f>
        <v>9.8870225080385857E-2</v>
      </c>
    </row>
    <row r="108" spans="2:19" s="3" customFormat="1">
      <c r="B108" s="13" t="s">
        <v>1368</v>
      </c>
      <c r="E108" s="40">
        <f>+'Historical Financials'!O72</f>
        <v>7775</v>
      </c>
    </row>
  </sheetData>
  <pageMargins left="0.5" right="0.5" top="0.5" bottom="0.5" header="0.3" footer="0.3"/>
  <pageSetup scale="63" fitToHeight="0"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C0ACA-EDC9-4879-8613-DC2163F12F8D}">
  <dimension ref="A1:EQ328"/>
  <sheetViews>
    <sheetView topLeftCell="H1" zoomScale="55" zoomScaleNormal="55" workbookViewId="0">
      <selection activeCell="H1" sqref="H1"/>
    </sheetView>
  </sheetViews>
  <sheetFormatPr defaultColWidth="13.1640625" defaultRowHeight="12.6" outlineLevelRow="4" outlineLevelCol="1"/>
  <cols>
    <col min="1" max="1" width="23.83203125" style="337" hidden="1" customWidth="1" outlineLevel="1"/>
    <col min="2" max="2" width="36.83203125" hidden="1" customWidth="1" outlineLevel="1"/>
    <col min="3" max="3" width="11.1640625" hidden="1" customWidth="1" outlineLevel="1"/>
    <col min="4" max="4" width="15.5" hidden="1" customWidth="1" outlineLevel="1"/>
    <col min="5" max="7" width="11.1640625" hidden="1" customWidth="1" outlineLevel="1"/>
    <col min="8" max="8" width="2.1640625" style="776" customWidth="1" collapsed="1"/>
    <col min="9" max="9" width="63.1640625" style="777" customWidth="1"/>
    <col min="10" max="45" width="13.1640625" style="482" hidden="1" customWidth="1" outlineLevel="1"/>
    <col min="46" max="47" width="11.5" style="482" hidden="1" customWidth="1" outlineLevel="1"/>
    <col min="48" max="48" width="12.1640625" style="482" hidden="1" customWidth="1" outlineLevel="1"/>
    <col min="49" max="49" width="12.83203125" style="482" hidden="1" customWidth="1" outlineLevel="1"/>
    <col min="50" max="50" width="11.5" style="482" hidden="1" customWidth="1" outlineLevel="1"/>
    <col min="51" max="51" width="12.1640625" style="482" hidden="1" customWidth="1" outlineLevel="1"/>
    <col min="52" max="52" width="12.83203125" style="482" hidden="1" customWidth="1" outlineLevel="1"/>
    <col min="53" max="73" width="11.5" style="482" hidden="1" customWidth="1" outlineLevel="1"/>
    <col min="74" max="74" width="11.5" style="482" customWidth="1" collapsed="1"/>
    <col min="75" max="80" width="11.5" style="482" customWidth="1"/>
    <col min="81" max="81" width="11.6640625" style="482" customWidth="1"/>
    <col min="82" max="93" width="11.5" style="482" customWidth="1"/>
    <col min="94" max="101" width="13.1640625" style="482"/>
    <col min="102" max="113" width="13.1640625" style="482" customWidth="1" outlineLevel="1"/>
    <col min="114" max="114" width="5.83203125" style="318" customWidth="1"/>
    <col min="115" max="124" width="11.5" style="482" hidden="1" customWidth="1" outlineLevel="1"/>
    <col min="125" max="125" width="12.83203125" style="482" hidden="1" customWidth="1" outlineLevel="1"/>
    <col min="126" max="126" width="13.1640625" style="482" hidden="1" customWidth="1" outlineLevel="1"/>
    <col min="127" max="127" width="12.1640625" style="482" hidden="1" customWidth="1" outlineLevel="1"/>
    <col min="128" max="129" width="11.5" style="482" hidden="1" customWidth="1" outlineLevel="1"/>
    <col min="130" max="130" width="11.5" style="482" customWidth="1" collapsed="1"/>
    <col min="131" max="131" width="12.1640625" style="482" customWidth="1"/>
    <col min="132" max="132" width="12.5" style="482" customWidth="1"/>
    <col min="133" max="139" width="11.5" style="482" customWidth="1"/>
    <col min="140" max="145" width="11.5" style="482" customWidth="1" outlineLevel="1"/>
    <col min="146" max="146" width="5.5" style="482" customWidth="1"/>
    <col min="147" max="147" width="26.5" style="482" customWidth="1"/>
    <col min="148" max="16384" width="13.1640625" style="482"/>
  </cols>
  <sheetData>
    <row r="1" spans="1:147" s="318" customFormat="1" ht="15" customHeight="1">
      <c r="A1" s="315"/>
      <c r="B1"/>
      <c r="C1"/>
      <c r="D1"/>
      <c r="E1"/>
      <c r="F1"/>
      <c r="G1"/>
      <c r="H1" s="316"/>
      <c r="I1" s="317">
        <v>95</v>
      </c>
      <c r="BW1" s="319"/>
      <c r="BY1" s="320"/>
      <c r="BZ1" s="320"/>
      <c r="CA1" s="320"/>
      <c r="CB1" s="320"/>
      <c r="CC1" s="320"/>
      <c r="CD1" s="320"/>
      <c r="CE1" s="320"/>
      <c r="CF1" s="320"/>
      <c r="CG1" s="320"/>
    </row>
    <row r="2" spans="1:147" s="326" customFormat="1" ht="15" hidden="1" customHeight="1" outlineLevel="1">
      <c r="A2" s="321"/>
      <c r="B2"/>
      <c r="C2"/>
      <c r="D2"/>
      <c r="E2"/>
      <c r="F2"/>
      <c r="G2"/>
      <c r="H2" s="322"/>
      <c r="I2" s="323"/>
      <c r="J2" s="324"/>
      <c r="K2" s="324"/>
      <c r="L2" s="324"/>
      <c r="M2" s="324"/>
      <c r="N2" s="324"/>
      <c r="O2" s="324"/>
      <c r="P2" s="324"/>
      <c r="Q2" s="324"/>
      <c r="R2" s="324"/>
      <c r="S2" s="324"/>
      <c r="T2" s="324"/>
      <c r="U2" s="324"/>
      <c r="V2" s="324"/>
      <c r="W2" s="324"/>
      <c r="X2" s="324"/>
      <c r="Y2" s="324"/>
      <c r="Z2" s="324"/>
      <c r="AA2" s="324"/>
      <c r="AB2" s="324"/>
      <c r="AC2" s="324"/>
      <c r="AD2" s="324"/>
      <c r="AE2" s="324"/>
      <c r="AF2" s="324"/>
      <c r="AG2" s="324"/>
      <c r="AH2" s="324"/>
      <c r="AI2" s="324"/>
      <c r="AJ2" s="324"/>
      <c r="AK2" s="324"/>
      <c r="AL2" s="324"/>
      <c r="AM2" s="324"/>
      <c r="AN2" s="324"/>
      <c r="AO2" s="324"/>
      <c r="AP2" s="324"/>
      <c r="AQ2" s="324"/>
      <c r="AR2" s="324"/>
      <c r="AS2" s="324"/>
      <c r="AT2" s="324"/>
      <c r="AU2" s="324"/>
      <c r="AV2" s="324"/>
      <c r="AW2" s="324"/>
      <c r="AX2" s="324"/>
      <c r="AY2" s="324"/>
      <c r="AZ2" s="324"/>
      <c r="BA2" s="324"/>
      <c r="BB2" s="324"/>
      <c r="BC2" s="324"/>
      <c r="BD2" s="324"/>
      <c r="BE2" s="324"/>
      <c r="BF2" s="324"/>
      <c r="BG2" s="324"/>
      <c r="BH2" s="324"/>
      <c r="BI2" s="324"/>
      <c r="BJ2" s="324"/>
      <c r="BK2" s="324"/>
      <c r="BL2" s="324"/>
      <c r="BM2" s="324"/>
      <c r="BN2" s="324"/>
      <c r="BO2" s="324"/>
      <c r="BP2" s="324"/>
      <c r="BQ2" s="324"/>
      <c r="BR2" s="324"/>
      <c r="BS2" s="324"/>
      <c r="BT2" s="324"/>
      <c r="BU2" s="324"/>
      <c r="BV2" s="324"/>
      <c r="BW2" s="319"/>
      <c r="BX2" s="324"/>
      <c r="BY2" s="324"/>
      <c r="BZ2" s="324"/>
      <c r="CA2" s="324"/>
      <c r="CB2" s="324"/>
      <c r="CC2" s="325"/>
      <c r="CD2" s="324"/>
      <c r="CE2" s="324"/>
      <c r="CF2" s="324"/>
      <c r="CG2" s="324"/>
      <c r="CH2" s="324"/>
      <c r="CI2" s="324"/>
      <c r="CJ2" s="324"/>
      <c r="CK2" s="324"/>
      <c r="CL2" s="324"/>
      <c r="CM2" s="324"/>
      <c r="CN2" s="324"/>
      <c r="CO2" s="324"/>
      <c r="CP2" s="324"/>
      <c r="CQ2" s="324"/>
      <c r="CR2" s="324"/>
      <c r="CS2" s="324"/>
      <c r="CT2" s="324"/>
      <c r="CU2" s="324"/>
      <c r="CV2" s="324"/>
      <c r="CW2" s="324"/>
      <c r="CX2" s="324"/>
      <c r="CY2" s="324"/>
      <c r="CZ2" s="324"/>
      <c r="DA2" s="324"/>
      <c r="DB2" s="324"/>
      <c r="DC2" s="324"/>
      <c r="DD2" s="324"/>
      <c r="DE2" s="324"/>
      <c r="DF2" s="324"/>
      <c r="DG2" s="324"/>
      <c r="DH2" s="324"/>
      <c r="DI2" s="324"/>
      <c r="DK2" s="324"/>
      <c r="DL2" s="324"/>
      <c r="DM2" s="324"/>
      <c r="DN2" s="324"/>
      <c r="DO2" s="324"/>
      <c r="DP2" s="324"/>
      <c r="DQ2" s="324"/>
      <c r="DR2" s="324"/>
      <c r="DS2" s="324"/>
      <c r="DT2" s="322"/>
      <c r="DU2" s="322"/>
      <c r="DV2" s="322"/>
      <c r="DW2" s="322"/>
      <c r="DX2" s="322"/>
      <c r="DY2" s="322"/>
      <c r="DZ2" s="322"/>
      <c r="EA2" s="322"/>
      <c r="EB2" s="327"/>
      <c r="EC2" s="324"/>
      <c r="ED2" s="324"/>
      <c r="EE2" s="324"/>
      <c r="EF2" s="324"/>
      <c r="EG2" s="324"/>
      <c r="EH2" s="324"/>
      <c r="EI2" s="324"/>
      <c r="EJ2" s="324"/>
      <c r="EK2" s="324"/>
      <c r="EL2" s="324"/>
      <c r="EM2" s="324"/>
      <c r="EN2" s="324"/>
      <c r="EO2" s="324"/>
    </row>
    <row r="3" spans="1:147" s="326" customFormat="1" ht="15" hidden="1" customHeight="1" outlineLevel="1">
      <c r="A3" s="321"/>
      <c r="B3"/>
      <c r="C3"/>
      <c r="D3"/>
      <c r="E3"/>
      <c r="F3"/>
      <c r="G3"/>
      <c r="H3" s="322"/>
      <c r="I3" s="323"/>
      <c r="J3" s="324"/>
      <c r="K3" s="324"/>
      <c r="L3" s="324"/>
      <c r="M3" s="324"/>
      <c r="N3" s="324"/>
      <c r="O3" s="324"/>
      <c r="P3" s="324"/>
      <c r="Q3" s="324"/>
      <c r="R3" s="324"/>
      <c r="S3" s="324"/>
      <c r="T3" s="324"/>
      <c r="U3" s="324"/>
      <c r="V3" s="324"/>
      <c r="W3" s="324"/>
      <c r="X3" s="324"/>
      <c r="Y3" s="324"/>
      <c r="Z3" s="324"/>
      <c r="AA3" s="324"/>
      <c r="AB3" s="324"/>
      <c r="AC3" s="324"/>
      <c r="AD3" s="324"/>
      <c r="AE3" s="324"/>
      <c r="AF3" s="324"/>
      <c r="AG3" s="324"/>
      <c r="AH3" s="324"/>
      <c r="AI3" s="324"/>
      <c r="AJ3" s="324"/>
      <c r="AK3" s="324"/>
      <c r="AL3" s="324"/>
      <c r="AM3" s="324"/>
      <c r="AN3" s="324"/>
      <c r="AO3" s="324"/>
      <c r="AP3" s="324"/>
      <c r="AQ3" s="324"/>
      <c r="AR3" s="324"/>
      <c r="AS3" s="324"/>
      <c r="AT3" s="324"/>
      <c r="AU3" s="324"/>
      <c r="AV3" s="324"/>
      <c r="AW3" s="324"/>
      <c r="AX3" s="324"/>
      <c r="AY3" s="324"/>
      <c r="AZ3" s="324"/>
      <c r="BA3" s="324"/>
      <c r="BB3" s="328"/>
      <c r="BC3" s="324"/>
      <c r="BD3" s="324"/>
      <c r="BE3" s="324"/>
      <c r="BF3" s="328"/>
      <c r="BG3" s="324"/>
      <c r="BH3" s="324"/>
      <c r="BI3" s="324"/>
      <c r="BJ3" s="328"/>
      <c r="BK3" s="324"/>
      <c r="BL3" s="324"/>
      <c r="BM3" s="324"/>
      <c r="BN3" s="328"/>
      <c r="BO3" s="324"/>
      <c r="BP3" s="324"/>
      <c r="BQ3" s="324"/>
      <c r="BR3" s="324"/>
      <c r="BS3" s="324"/>
      <c r="BT3" s="324"/>
      <c r="BU3" s="324"/>
      <c r="BV3" s="329"/>
      <c r="BW3" s="319"/>
      <c r="BX3" s="324"/>
      <c r="BY3" s="324"/>
      <c r="BZ3" s="324"/>
      <c r="CA3" s="324"/>
      <c r="CB3" s="324"/>
      <c r="CC3" s="324"/>
      <c r="CD3" s="324"/>
      <c r="CE3" s="324"/>
      <c r="CF3" s="324"/>
      <c r="CG3" s="324"/>
      <c r="CH3" s="324"/>
      <c r="CI3" s="324"/>
      <c r="CJ3" s="324"/>
      <c r="CK3" s="324"/>
      <c r="CL3" s="324"/>
      <c r="CM3" s="324"/>
      <c r="CN3" s="324"/>
      <c r="CO3" s="324"/>
      <c r="CP3" s="324"/>
      <c r="CQ3" s="324"/>
      <c r="CR3" s="324"/>
      <c r="CS3" s="324"/>
      <c r="CT3" s="324"/>
      <c r="CU3" s="324"/>
      <c r="CV3" s="324"/>
      <c r="CW3" s="324"/>
      <c r="CX3" s="324"/>
      <c r="CY3" s="324"/>
      <c r="CZ3" s="324"/>
      <c r="DA3" s="324"/>
      <c r="DB3" s="324"/>
      <c r="DC3" s="324"/>
      <c r="DD3" s="324"/>
      <c r="DE3" s="324"/>
      <c r="DF3" s="324"/>
      <c r="DG3" s="324"/>
      <c r="DH3" s="324"/>
      <c r="DI3" s="324"/>
      <c r="DK3" s="324"/>
      <c r="DL3" s="324"/>
      <c r="DM3" s="324"/>
      <c r="DN3" s="324"/>
      <c r="DO3" s="324"/>
      <c r="DP3" s="324"/>
      <c r="DQ3" s="324"/>
      <c r="DR3" s="324"/>
      <c r="DS3" s="324"/>
      <c r="DT3" s="322"/>
      <c r="DU3" s="322"/>
      <c r="DV3" s="330"/>
      <c r="DW3" s="322"/>
      <c r="DX3" s="322"/>
      <c r="DY3" s="322"/>
      <c r="DZ3" s="322"/>
      <c r="EA3" s="322"/>
      <c r="EB3" s="327"/>
      <c r="EC3" s="324"/>
      <c r="ED3" s="324"/>
      <c r="EE3" s="324"/>
      <c r="EF3" s="324"/>
      <c r="EG3" s="324"/>
      <c r="EH3" s="324"/>
      <c r="EI3" s="324"/>
      <c r="EJ3" s="324"/>
      <c r="EK3" s="324"/>
      <c r="EL3" s="324"/>
      <c r="EM3" s="324"/>
      <c r="EN3" s="324"/>
      <c r="EO3" s="324"/>
    </row>
    <row r="4" spans="1:147" s="326" customFormat="1" ht="15" hidden="1" customHeight="1" outlineLevel="1">
      <c r="A4" s="321"/>
      <c r="B4"/>
      <c r="C4"/>
      <c r="D4"/>
      <c r="E4"/>
      <c r="F4"/>
      <c r="G4"/>
      <c r="H4" s="322"/>
      <c r="I4" s="323"/>
      <c r="J4" s="324"/>
      <c r="K4" s="331"/>
      <c r="L4" s="324"/>
      <c r="M4" s="324"/>
      <c r="N4" s="324"/>
      <c r="O4" s="331"/>
      <c r="P4" s="324"/>
      <c r="Q4" s="324"/>
      <c r="R4" s="324"/>
      <c r="S4" s="331"/>
      <c r="T4" s="324"/>
      <c r="U4" s="324"/>
      <c r="V4" s="324"/>
      <c r="W4" s="331"/>
      <c r="X4" s="324"/>
      <c r="Y4" s="324"/>
      <c r="Z4" s="324"/>
      <c r="AA4" s="331"/>
      <c r="AB4" s="324"/>
      <c r="AC4" s="324"/>
      <c r="AD4" s="324"/>
      <c r="AE4" s="331"/>
      <c r="AF4" s="324"/>
      <c r="AG4" s="324"/>
      <c r="AH4" s="324"/>
      <c r="AI4" s="331"/>
      <c r="AJ4" s="324"/>
      <c r="AK4" s="324"/>
      <c r="AL4" s="324"/>
      <c r="AM4" s="331"/>
      <c r="AN4" s="324"/>
      <c r="AO4" s="324"/>
      <c r="AP4" s="324"/>
      <c r="AQ4" s="331"/>
      <c r="AR4" s="324"/>
      <c r="AS4" s="324"/>
      <c r="AT4" s="324"/>
      <c r="AU4" s="331"/>
      <c r="AV4" s="324"/>
      <c r="AW4" s="324"/>
      <c r="AX4" s="324"/>
      <c r="AY4" s="331"/>
      <c r="AZ4" s="324"/>
      <c r="BA4" s="324"/>
      <c r="BB4" s="324"/>
      <c r="BC4" s="324"/>
      <c r="BD4" s="324"/>
      <c r="BE4" s="324"/>
      <c r="BF4" s="324"/>
      <c r="BG4" s="324"/>
      <c r="BH4" s="324"/>
      <c r="BI4" s="324"/>
      <c r="BJ4" s="324"/>
      <c r="BK4" s="324"/>
      <c r="BL4" s="331"/>
      <c r="BM4" s="324"/>
      <c r="BN4" s="324"/>
      <c r="BO4" s="324"/>
      <c r="BP4" s="324"/>
      <c r="BQ4" s="324"/>
      <c r="BR4" s="324"/>
      <c r="BS4" s="324"/>
      <c r="BT4" s="324"/>
      <c r="BU4" s="324"/>
      <c r="BV4" s="329"/>
      <c r="BW4" s="319"/>
      <c r="BX4" s="324"/>
      <c r="BY4" s="324"/>
      <c r="BZ4" s="324"/>
      <c r="CA4" s="324"/>
      <c r="CB4" s="328"/>
      <c r="CC4" s="328"/>
      <c r="CD4" s="324"/>
      <c r="CE4" s="324"/>
      <c r="CF4" s="324"/>
      <c r="CG4" s="324"/>
      <c r="CH4" s="324"/>
      <c r="CI4" s="324"/>
      <c r="CJ4" s="324"/>
      <c r="CK4" s="324"/>
      <c r="CL4" s="324"/>
      <c r="CM4" s="324"/>
      <c r="CN4" s="324"/>
      <c r="CO4" s="324"/>
      <c r="CP4" s="324"/>
      <c r="CQ4" s="324"/>
      <c r="CR4" s="324"/>
      <c r="CS4" s="324"/>
      <c r="CT4" s="324"/>
      <c r="CU4" s="324"/>
      <c r="CV4" s="324"/>
      <c r="CW4" s="324"/>
      <c r="CX4" s="324"/>
      <c r="CY4" s="324"/>
      <c r="CZ4" s="324"/>
      <c r="DA4" s="324"/>
      <c r="DB4" s="324"/>
      <c r="DC4" s="324"/>
      <c r="DD4" s="324"/>
      <c r="DE4" s="324"/>
      <c r="DF4" s="324"/>
      <c r="DG4" s="324"/>
      <c r="DH4" s="324"/>
      <c r="DI4" s="324"/>
      <c r="DK4" s="324"/>
      <c r="DL4" s="324"/>
      <c r="DM4" s="324"/>
      <c r="DN4" s="324"/>
      <c r="DO4" s="324"/>
      <c r="DP4" s="324"/>
      <c r="DQ4" s="324"/>
      <c r="DR4" s="324"/>
      <c r="DS4" s="324"/>
      <c r="DT4" s="322"/>
      <c r="DU4" s="322"/>
      <c r="DV4" s="322"/>
      <c r="DW4" s="322"/>
      <c r="DX4" s="322"/>
      <c r="DY4" s="322"/>
      <c r="DZ4" s="322"/>
      <c r="EA4" s="322"/>
      <c r="EB4" s="327"/>
      <c r="EC4" s="324"/>
      <c r="ED4" s="324"/>
      <c r="EE4" s="324"/>
      <c r="EF4" s="324"/>
      <c r="EG4" s="324"/>
      <c r="EH4" s="324"/>
      <c r="EI4" s="324"/>
      <c r="EJ4" s="324"/>
      <c r="EK4" s="324"/>
      <c r="EL4" s="324"/>
      <c r="EM4" s="324"/>
      <c r="EN4" s="324"/>
      <c r="EO4" s="324"/>
    </row>
    <row r="5" spans="1:147" s="326" customFormat="1" ht="15" hidden="1" customHeight="1" outlineLevel="1">
      <c r="A5" s="321"/>
      <c r="B5"/>
      <c r="C5"/>
      <c r="D5"/>
      <c r="E5"/>
      <c r="F5"/>
      <c r="G5"/>
      <c r="H5" s="322"/>
      <c r="I5" s="323"/>
      <c r="J5" s="324"/>
      <c r="K5" s="324"/>
      <c r="L5" s="324"/>
      <c r="M5" s="324"/>
      <c r="N5" s="324"/>
      <c r="O5" s="324"/>
      <c r="P5" s="324"/>
      <c r="Q5" s="324"/>
      <c r="R5" s="324"/>
      <c r="S5" s="324"/>
      <c r="T5" s="324"/>
      <c r="U5" s="324"/>
      <c r="V5" s="324"/>
      <c r="W5" s="324"/>
      <c r="X5" s="324"/>
      <c r="Y5" s="324"/>
      <c r="Z5" s="324"/>
      <c r="AA5" s="324"/>
      <c r="AB5" s="324"/>
      <c r="AC5" s="324"/>
      <c r="AD5" s="324"/>
      <c r="AE5" s="324"/>
      <c r="AF5" s="324"/>
      <c r="AG5" s="324"/>
      <c r="AH5" s="324"/>
      <c r="AI5" s="324"/>
      <c r="AJ5" s="324"/>
      <c r="AK5" s="324"/>
      <c r="AL5" s="324"/>
      <c r="AM5" s="324"/>
      <c r="AN5" s="324"/>
      <c r="AO5" s="324"/>
      <c r="AP5" s="324"/>
      <c r="AQ5" s="324"/>
      <c r="AR5" s="324"/>
      <c r="AS5" s="324"/>
      <c r="AT5" s="324"/>
      <c r="AU5" s="324"/>
      <c r="AV5" s="324"/>
      <c r="AW5" s="324"/>
      <c r="AX5" s="324"/>
      <c r="AY5" s="324"/>
      <c r="AZ5" s="324"/>
      <c r="BA5" s="324"/>
      <c r="BB5" s="324"/>
      <c r="BC5" s="324"/>
      <c r="BD5" s="324"/>
      <c r="BE5" s="324"/>
      <c r="BF5" s="324"/>
      <c r="BG5" s="324"/>
      <c r="BH5" s="324"/>
      <c r="BI5" s="324"/>
      <c r="BJ5" s="324"/>
      <c r="BK5" s="324"/>
      <c r="BL5" s="324"/>
      <c r="BM5" s="324"/>
      <c r="BN5" s="324"/>
      <c r="BO5" s="324"/>
      <c r="BP5" s="324"/>
      <c r="BQ5" s="324"/>
      <c r="BR5" s="324"/>
      <c r="BS5" s="324"/>
      <c r="BT5" s="324"/>
      <c r="BU5" s="324"/>
      <c r="BV5" s="324"/>
      <c r="BW5" s="332"/>
      <c r="BX5" s="333"/>
      <c r="BY5" s="333"/>
      <c r="BZ5" s="324"/>
      <c r="CA5" s="324"/>
      <c r="CB5" s="324"/>
      <c r="CC5" s="324"/>
      <c r="CD5" s="324"/>
      <c r="CE5" s="324"/>
      <c r="CF5" s="324"/>
      <c r="CG5" s="324"/>
      <c r="CH5" s="324"/>
      <c r="CI5" s="324"/>
      <c r="CJ5" s="324"/>
      <c r="CK5" s="324"/>
      <c r="CL5" s="324"/>
      <c r="CM5" s="324"/>
      <c r="CN5" s="324"/>
      <c r="CO5" s="324"/>
      <c r="CP5" s="324"/>
      <c r="CQ5" s="324"/>
      <c r="CR5" s="324"/>
      <c r="CS5" s="324"/>
      <c r="CT5" s="324"/>
      <c r="CU5" s="324"/>
      <c r="CV5" s="324"/>
      <c r="CW5" s="324"/>
      <c r="CX5" s="324"/>
      <c r="CY5" s="324"/>
      <c r="CZ5" s="324"/>
      <c r="DA5" s="324"/>
      <c r="DB5" s="324"/>
      <c r="DC5" s="324"/>
      <c r="DD5" s="324"/>
      <c r="DE5" s="324"/>
      <c r="DF5" s="324"/>
      <c r="DG5" s="324"/>
      <c r="DH5" s="324"/>
      <c r="DI5" s="324"/>
      <c r="DK5" s="324"/>
      <c r="DL5" s="324"/>
      <c r="DM5" s="324"/>
      <c r="DN5" s="324"/>
      <c r="DO5" s="324"/>
      <c r="DP5" s="324"/>
      <c r="DQ5" s="324"/>
      <c r="DR5" s="324"/>
      <c r="DS5" s="324"/>
      <c r="DT5" s="322"/>
      <c r="DU5" s="322"/>
      <c r="DV5" s="322"/>
      <c r="DW5" s="322"/>
      <c r="DX5" s="322"/>
      <c r="DY5" s="322"/>
      <c r="DZ5" s="334"/>
      <c r="EA5" s="322"/>
      <c r="EB5" s="327"/>
      <c r="EC5" s="324"/>
      <c r="ED5" s="324"/>
      <c r="EE5" s="324"/>
      <c r="EF5" s="324"/>
      <c r="EG5" s="324"/>
      <c r="EH5" s="324"/>
      <c r="EI5" s="324"/>
      <c r="EJ5" s="324"/>
      <c r="EK5" s="324"/>
      <c r="EL5" s="324"/>
      <c r="EM5" s="324"/>
      <c r="EN5" s="324"/>
      <c r="EO5" s="324"/>
    </row>
    <row r="6" spans="1:147" s="326" customFormat="1" ht="15" customHeight="1" collapsed="1">
      <c r="A6" s="321"/>
      <c r="B6"/>
      <c r="C6"/>
      <c r="D6"/>
      <c r="E6"/>
      <c r="F6"/>
      <c r="G6"/>
      <c r="H6" s="322"/>
      <c r="I6" s="323"/>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34"/>
      <c r="BY6" s="334"/>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K6" s="322"/>
      <c r="DL6" s="322"/>
      <c r="DM6" s="322"/>
      <c r="DN6" s="322"/>
      <c r="DO6" s="322"/>
      <c r="DP6" s="322"/>
      <c r="DQ6" s="322"/>
      <c r="DR6" s="322"/>
      <c r="DS6" s="322"/>
      <c r="DT6" s="322"/>
      <c r="DU6" s="322"/>
      <c r="DV6" s="322"/>
      <c r="DW6" s="322"/>
      <c r="DX6" s="322"/>
      <c r="DY6" s="322"/>
      <c r="DZ6" s="322"/>
      <c r="EA6" s="322"/>
      <c r="EB6" s="322"/>
      <c r="EC6" s="322"/>
      <c r="ED6" s="322"/>
      <c r="EE6" s="335"/>
      <c r="EF6" s="335"/>
      <c r="EG6" s="322"/>
      <c r="EH6" s="336"/>
      <c r="EI6" s="336"/>
      <c r="EJ6" s="336"/>
      <c r="EK6" s="336"/>
      <c r="EL6" s="336"/>
      <c r="EM6" s="336"/>
      <c r="EN6" s="336"/>
      <c r="EO6" s="336"/>
    </row>
    <row r="7" spans="1:147" s="318" customFormat="1" ht="15" customHeight="1">
      <c r="A7" s="337"/>
      <c r="B7"/>
      <c r="C7"/>
      <c r="D7"/>
      <c r="E7"/>
      <c r="F7"/>
      <c r="G7"/>
      <c r="I7" s="338" t="s">
        <v>1369</v>
      </c>
      <c r="J7" s="339">
        <v>2000</v>
      </c>
      <c r="K7" s="339"/>
      <c r="L7" s="339"/>
      <c r="M7" s="340"/>
      <c r="N7" s="339">
        <v>2001</v>
      </c>
      <c r="O7" s="339"/>
      <c r="P7" s="339"/>
      <c r="Q7" s="340"/>
      <c r="R7" s="339">
        <v>2002</v>
      </c>
      <c r="S7" s="339"/>
      <c r="T7" s="339"/>
      <c r="U7" s="340"/>
      <c r="V7" s="339">
        <v>2003</v>
      </c>
      <c r="W7" s="339"/>
      <c r="X7" s="339"/>
      <c r="Y7" s="340"/>
      <c r="Z7" s="339">
        <v>2004</v>
      </c>
      <c r="AA7" s="339"/>
      <c r="AB7" s="339"/>
      <c r="AC7" s="340"/>
      <c r="AD7" s="339">
        <v>2005</v>
      </c>
      <c r="AE7" s="339"/>
      <c r="AF7" s="339"/>
      <c r="AG7" s="340"/>
      <c r="AH7" s="339">
        <v>2006</v>
      </c>
      <c r="AI7" s="339"/>
      <c r="AJ7" s="339"/>
      <c r="AK7" s="340"/>
      <c r="AL7" s="339">
        <v>2007</v>
      </c>
      <c r="AM7" s="339"/>
      <c r="AN7" s="339"/>
      <c r="AO7" s="340"/>
      <c r="AP7" s="339">
        <v>2008</v>
      </c>
      <c r="AQ7" s="339"/>
      <c r="AR7" s="339"/>
      <c r="AS7" s="340"/>
      <c r="AT7" s="339">
        <v>2009</v>
      </c>
      <c r="AU7" s="339"/>
      <c r="AV7" s="339"/>
      <c r="AW7" s="340"/>
      <c r="AX7" s="339">
        <v>2010</v>
      </c>
      <c r="AY7" s="339"/>
      <c r="AZ7" s="339"/>
      <c r="BA7" s="340"/>
      <c r="BB7" s="339">
        <v>2011</v>
      </c>
      <c r="BC7" s="339"/>
      <c r="BD7" s="339"/>
      <c r="BE7" s="340"/>
      <c r="BF7" s="339">
        <v>2012</v>
      </c>
      <c r="BG7" s="339"/>
      <c r="BH7" s="339"/>
      <c r="BI7" s="340"/>
      <c r="BJ7" s="339">
        <v>2013</v>
      </c>
      <c r="BK7" s="339"/>
      <c r="BL7" s="339"/>
      <c r="BM7" s="340"/>
      <c r="BN7" s="339">
        <v>2014</v>
      </c>
      <c r="BO7" s="339"/>
      <c r="BP7" s="339"/>
      <c r="BQ7" s="340"/>
      <c r="BR7" s="339">
        <v>2015</v>
      </c>
      <c r="BS7" s="339"/>
      <c r="BT7" s="339"/>
      <c r="BU7" s="340"/>
      <c r="BV7" s="339">
        <v>2016</v>
      </c>
      <c r="BW7" s="339"/>
      <c r="BX7" s="339"/>
      <c r="BY7" s="340"/>
      <c r="BZ7" s="339">
        <v>2017</v>
      </c>
      <c r="CA7" s="339"/>
      <c r="CB7" s="339"/>
      <c r="CC7" s="340"/>
      <c r="CD7" s="339">
        <v>2018</v>
      </c>
      <c r="CE7" s="339"/>
      <c r="CF7" s="339"/>
      <c r="CG7" s="340"/>
      <c r="CH7" s="339">
        <v>2019</v>
      </c>
      <c r="CI7" s="339"/>
      <c r="CJ7" s="339"/>
      <c r="CK7" s="340"/>
      <c r="CL7" s="339">
        <v>2020</v>
      </c>
      <c r="CM7" s="339"/>
      <c r="CN7" s="339"/>
      <c r="CO7" s="340"/>
      <c r="CP7" s="341">
        <v>2021</v>
      </c>
      <c r="CQ7" s="339"/>
      <c r="CR7" s="339"/>
      <c r="CS7" s="340"/>
      <c r="CT7" s="341">
        <v>2022</v>
      </c>
      <c r="CU7" s="339"/>
      <c r="CV7" s="339"/>
      <c r="CW7" s="340"/>
      <c r="CX7" s="341">
        <v>2023</v>
      </c>
      <c r="CY7" s="339"/>
      <c r="CZ7" s="339"/>
      <c r="DA7" s="340"/>
      <c r="DB7" s="341">
        <v>2024</v>
      </c>
      <c r="DC7" s="339"/>
      <c r="DD7" s="339"/>
      <c r="DE7" s="340"/>
      <c r="DF7" s="341">
        <v>2025</v>
      </c>
      <c r="DG7" s="339"/>
      <c r="DH7" s="339"/>
      <c r="DI7" s="340"/>
      <c r="DJ7" s="326"/>
      <c r="DK7" s="342"/>
      <c r="DL7" s="343"/>
      <c r="DM7" s="343"/>
      <c r="DN7" s="343"/>
      <c r="DO7" s="343"/>
      <c r="DP7" s="343"/>
      <c r="DQ7" s="343"/>
      <c r="DR7" s="343"/>
      <c r="DS7" s="343"/>
      <c r="DT7" s="344"/>
      <c r="DU7" s="344"/>
      <c r="DV7" s="344"/>
      <c r="DW7" s="344"/>
      <c r="DX7" s="344"/>
      <c r="DY7" s="344"/>
      <c r="DZ7" s="344"/>
      <c r="EA7" s="344"/>
      <c r="EB7" s="343"/>
      <c r="EC7" s="343"/>
      <c r="ED7" s="343"/>
      <c r="EE7" s="343"/>
      <c r="EF7" s="343"/>
      <c r="EG7" s="343"/>
      <c r="EH7" s="343"/>
      <c r="EI7" s="343"/>
      <c r="EJ7" s="343"/>
      <c r="EK7" s="343"/>
      <c r="EL7" s="343"/>
      <c r="EM7" s="343"/>
      <c r="EN7" s="343"/>
      <c r="EO7" s="343"/>
      <c r="EP7" s="345"/>
    </row>
    <row r="8" spans="1:147" s="318" customFormat="1" ht="15" customHeight="1" thickBot="1">
      <c r="A8" s="337"/>
      <c r="B8"/>
      <c r="C8"/>
      <c r="D8"/>
      <c r="E8"/>
      <c r="F8"/>
      <c r="G8"/>
      <c r="I8" s="346" t="s">
        <v>1370</v>
      </c>
      <c r="J8" s="347" t="s">
        <v>1371</v>
      </c>
      <c r="K8" s="347" t="s">
        <v>1372</v>
      </c>
      <c r="L8" s="347" t="s">
        <v>1373</v>
      </c>
      <c r="M8" s="348" t="s">
        <v>1374</v>
      </c>
      <c r="N8" s="347" t="s">
        <v>1375</v>
      </c>
      <c r="O8" s="347" t="s">
        <v>1376</v>
      </c>
      <c r="P8" s="347" t="s">
        <v>1377</v>
      </c>
      <c r="Q8" s="348" t="s">
        <v>1378</v>
      </c>
      <c r="R8" s="347" t="s">
        <v>1379</v>
      </c>
      <c r="S8" s="347" t="s">
        <v>1380</v>
      </c>
      <c r="T8" s="347" t="s">
        <v>1381</v>
      </c>
      <c r="U8" s="348" t="s">
        <v>1382</v>
      </c>
      <c r="V8" s="347" t="s">
        <v>1383</v>
      </c>
      <c r="W8" s="347" t="s">
        <v>1384</v>
      </c>
      <c r="X8" s="347" t="s">
        <v>1385</v>
      </c>
      <c r="Y8" s="348" t="s">
        <v>1386</v>
      </c>
      <c r="Z8" s="347" t="s">
        <v>1387</v>
      </c>
      <c r="AA8" s="347" t="s">
        <v>1388</v>
      </c>
      <c r="AB8" s="347" t="s">
        <v>1389</v>
      </c>
      <c r="AC8" s="348" t="s">
        <v>1390</v>
      </c>
      <c r="AD8" s="347" t="s">
        <v>1391</v>
      </c>
      <c r="AE8" s="347" t="s">
        <v>1392</v>
      </c>
      <c r="AF8" s="347" t="s">
        <v>1393</v>
      </c>
      <c r="AG8" s="348" t="s">
        <v>1394</v>
      </c>
      <c r="AH8" s="347" t="s">
        <v>1395</v>
      </c>
      <c r="AI8" s="347" t="s">
        <v>1396</v>
      </c>
      <c r="AJ8" s="347" t="s">
        <v>1397</v>
      </c>
      <c r="AK8" s="348" t="s">
        <v>1398</v>
      </c>
      <c r="AL8" s="347" t="s">
        <v>1399</v>
      </c>
      <c r="AM8" s="347" t="s">
        <v>1400</v>
      </c>
      <c r="AN8" s="347" t="s">
        <v>1401</v>
      </c>
      <c r="AO8" s="348" t="s">
        <v>1402</v>
      </c>
      <c r="AP8" s="347" t="s">
        <v>1403</v>
      </c>
      <c r="AQ8" s="347" t="s">
        <v>1404</v>
      </c>
      <c r="AR8" s="347" t="s">
        <v>1405</v>
      </c>
      <c r="AS8" s="348" t="s">
        <v>1406</v>
      </c>
      <c r="AT8" s="347" t="s">
        <v>1407</v>
      </c>
      <c r="AU8" s="347" t="s">
        <v>1408</v>
      </c>
      <c r="AV8" s="347" t="s">
        <v>1409</v>
      </c>
      <c r="AW8" s="348" t="s">
        <v>1410</v>
      </c>
      <c r="AX8" s="347" t="s">
        <v>1411</v>
      </c>
      <c r="AY8" s="347" t="s">
        <v>1412</v>
      </c>
      <c r="AZ8" s="347" t="s">
        <v>1413</v>
      </c>
      <c r="BA8" s="348" t="s">
        <v>1414</v>
      </c>
      <c r="BB8" s="347" t="s">
        <v>1415</v>
      </c>
      <c r="BC8" s="347" t="s">
        <v>1416</v>
      </c>
      <c r="BD8" s="347" t="s">
        <v>1417</v>
      </c>
      <c r="BE8" s="348" t="s">
        <v>1418</v>
      </c>
      <c r="BF8" s="347" t="s">
        <v>1419</v>
      </c>
      <c r="BG8" s="347" t="s">
        <v>1420</v>
      </c>
      <c r="BH8" s="347" t="s">
        <v>1421</v>
      </c>
      <c r="BI8" s="348" t="s">
        <v>1422</v>
      </c>
      <c r="BJ8" s="347" t="s">
        <v>1423</v>
      </c>
      <c r="BK8" s="347" t="s">
        <v>1424</v>
      </c>
      <c r="BL8" s="347" t="s">
        <v>1425</v>
      </c>
      <c r="BM8" s="348" t="s">
        <v>1426</v>
      </c>
      <c r="BN8" s="347" t="s">
        <v>1427</v>
      </c>
      <c r="BO8" s="347" t="s">
        <v>1428</v>
      </c>
      <c r="BP8" s="347" t="s">
        <v>1429</v>
      </c>
      <c r="BQ8" s="348" t="s">
        <v>1430</v>
      </c>
      <c r="BR8" s="347" t="s">
        <v>1431</v>
      </c>
      <c r="BS8" s="347" t="s">
        <v>1432</v>
      </c>
      <c r="BT8" s="347" t="s">
        <v>1433</v>
      </c>
      <c r="BU8" s="348" t="s">
        <v>1434</v>
      </c>
      <c r="BV8" s="347" t="s">
        <v>1435</v>
      </c>
      <c r="BW8" s="347" t="s">
        <v>1436</v>
      </c>
      <c r="BX8" s="347" t="s">
        <v>1437</v>
      </c>
      <c r="BY8" s="348" t="s">
        <v>1438</v>
      </c>
      <c r="BZ8" s="347" t="s">
        <v>1439</v>
      </c>
      <c r="CA8" s="347" t="s">
        <v>1440</v>
      </c>
      <c r="CB8" s="347" t="s">
        <v>1441</v>
      </c>
      <c r="CC8" s="348" t="s">
        <v>1442</v>
      </c>
      <c r="CD8" s="347" t="s">
        <v>1443</v>
      </c>
      <c r="CE8" s="347" t="s">
        <v>1444</v>
      </c>
      <c r="CF8" s="347" t="s">
        <v>1445</v>
      </c>
      <c r="CG8" s="348" t="s">
        <v>1446</v>
      </c>
      <c r="CH8" s="347" t="s">
        <v>1447</v>
      </c>
      <c r="CI8" s="347" t="s">
        <v>1448</v>
      </c>
      <c r="CJ8" s="347" t="s">
        <v>1449</v>
      </c>
      <c r="CK8" s="348" t="s">
        <v>1450</v>
      </c>
      <c r="CL8" s="347" t="s">
        <v>1451</v>
      </c>
      <c r="CM8" s="347" t="s">
        <v>1452</v>
      </c>
      <c r="CN8" s="347" t="s">
        <v>1453</v>
      </c>
      <c r="CO8" s="348" t="s">
        <v>1454</v>
      </c>
      <c r="CP8" s="347" t="s">
        <v>1455</v>
      </c>
      <c r="CQ8" s="347" t="s">
        <v>1456</v>
      </c>
      <c r="CR8" s="349" t="s">
        <v>1457</v>
      </c>
      <c r="CS8" s="348" t="s">
        <v>1458</v>
      </c>
      <c r="CT8" s="347" t="s">
        <v>1459</v>
      </c>
      <c r="CU8" s="347" t="s">
        <v>1460</v>
      </c>
      <c r="CV8" s="347" t="s">
        <v>1461</v>
      </c>
      <c r="CW8" s="348" t="s">
        <v>1462</v>
      </c>
      <c r="CX8" s="347" t="s">
        <v>1463</v>
      </c>
      <c r="CY8" s="347" t="s">
        <v>1234</v>
      </c>
      <c r="CZ8" s="347" t="s">
        <v>1235</v>
      </c>
      <c r="DA8" s="348" t="s">
        <v>1236</v>
      </c>
      <c r="DB8" s="347" t="s">
        <v>1464</v>
      </c>
      <c r="DC8" s="347" t="s">
        <v>1465</v>
      </c>
      <c r="DD8" s="347" t="s">
        <v>730</v>
      </c>
      <c r="DE8" s="348" t="s">
        <v>731</v>
      </c>
      <c r="DF8" s="347" t="s">
        <v>732</v>
      </c>
      <c r="DG8" s="347" t="s">
        <v>733</v>
      </c>
      <c r="DH8" s="347" t="s">
        <v>1466</v>
      </c>
      <c r="DI8" s="348" t="s">
        <v>1467</v>
      </c>
      <c r="DJ8" s="350"/>
      <c r="DK8" s="351">
        <v>2000</v>
      </c>
      <c r="DL8" s="352">
        <v>2001</v>
      </c>
      <c r="DM8" s="352">
        <v>2002</v>
      </c>
      <c r="DN8" s="352">
        <v>2003</v>
      </c>
      <c r="DO8" s="352">
        <v>2004</v>
      </c>
      <c r="DP8" s="352">
        <v>2005</v>
      </c>
      <c r="DQ8" s="352">
        <v>2006</v>
      </c>
      <c r="DR8" s="352">
        <v>2007</v>
      </c>
      <c r="DS8" s="352">
        <v>2008</v>
      </c>
      <c r="DT8" s="352">
        <v>2009</v>
      </c>
      <c r="DU8" s="352">
        <v>2010</v>
      </c>
      <c r="DV8" s="352">
        <v>2011</v>
      </c>
      <c r="DW8" s="352">
        <v>2012</v>
      </c>
      <c r="DX8" s="352">
        <v>2013</v>
      </c>
      <c r="DY8" s="352">
        <v>2014</v>
      </c>
      <c r="DZ8" s="352">
        <v>2015</v>
      </c>
      <c r="EA8" s="352">
        <v>2016</v>
      </c>
      <c r="EB8" s="352">
        <v>2017</v>
      </c>
      <c r="EC8" s="352">
        <v>2018</v>
      </c>
      <c r="ED8" s="352">
        <v>2019</v>
      </c>
      <c r="EE8" s="352">
        <v>2020</v>
      </c>
      <c r="EF8" s="353">
        <v>2021</v>
      </c>
      <c r="EG8" s="354">
        <v>2022</v>
      </c>
      <c r="EH8" s="353">
        <v>2023</v>
      </c>
      <c r="EI8" s="353">
        <v>2024</v>
      </c>
      <c r="EJ8" s="353">
        <v>2025</v>
      </c>
      <c r="EK8" s="353">
        <v>2026</v>
      </c>
      <c r="EL8" s="353">
        <v>2027</v>
      </c>
      <c r="EM8" s="353">
        <v>2028</v>
      </c>
      <c r="EN8" s="353">
        <v>2029</v>
      </c>
      <c r="EO8" s="353">
        <v>2030</v>
      </c>
      <c r="EP8" s="355"/>
      <c r="EQ8" s="356"/>
    </row>
    <row r="9" spans="1:147" s="318" customFormat="1" ht="12.95" outlineLevel="1">
      <c r="A9" s="337"/>
      <c r="B9"/>
      <c r="C9"/>
      <c r="D9"/>
      <c r="E9"/>
      <c r="F9"/>
      <c r="G9"/>
      <c r="H9" s="357" t="s">
        <v>1468</v>
      </c>
      <c r="I9" s="358" t="s">
        <v>1469</v>
      </c>
      <c r="J9" s="359"/>
      <c r="K9" s="359"/>
      <c r="L9" s="359"/>
      <c r="M9" s="360"/>
      <c r="N9" s="359"/>
      <c r="O9" s="359"/>
      <c r="P9" s="359"/>
      <c r="Q9" s="360"/>
      <c r="R9" s="359"/>
      <c r="S9" s="359"/>
      <c r="T9" s="359"/>
      <c r="U9" s="360"/>
      <c r="V9" s="359"/>
      <c r="W9" s="359"/>
      <c r="X9" s="359"/>
      <c r="Y9" s="360"/>
      <c r="Z9" s="359"/>
      <c r="AA9" s="359"/>
      <c r="AB9" s="359"/>
      <c r="AC9" s="360"/>
      <c r="AD9" s="359"/>
      <c r="AE9" s="359"/>
      <c r="AF9" s="359"/>
      <c r="AG9" s="360"/>
      <c r="AH9" s="359"/>
      <c r="AI9" s="359"/>
      <c r="AJ9" s="359"/>
      <c r="AK9" s="360"/>
      <c r="AL9" s="359"/>
      <c r="AM9" s="359"/>
      <c r="AN9" s="359"/>
      <c r="AO9" s="360"/>
      <c r="AP9" s="359"/>
      <c r="AQ9" s="359"/>
      <c r="AR9" s="359"/>
      <c r="AS9" s="360"/>
      <c r="AT9" s="359"/>
      <c r="AU9" s="359"/>
      <c r="AV9" s="359"/>
      <c r="AW9" s="360"/>
      <c r="AX9" s="359"/>
      <c r="AY9" s="359"/>
      <c r="AZ9" s="359"/>
      <c r="BA9" s="360"/>
      <c r="BB9" s="359"/>
      <c r="BC9" s="359"/>
      <c r="BD9" s="359"/>
      <c r="BE9" s="360"/>
      <c r="BF9" s="359"/>
      <c r="BG9" s="359"/>
      <c r="BH9" s="359"/>
      <c r="BI9" s="360"/>
      <c r="BJ9" s="359"/>
      <c r="BK9" s="359"/>
      <c r="BL9" s="359"/>
      <c r="BM9" s="360"/>
      <c r="BN9" s="359"/>
      <c r="BO9" s="359"/>
      <c r="BP9" s="359"/>
      <c r="BQ9" s="360"/>
      <c r="BR9" s="359"/>
      <c r="BS9" s="359"/>
      <c r="BT9" s="359"/>
      <c r="BU9" s="360"/>
      <c r="BV9" s="359"/>
      <c r="BW9" s="359"/>
      <c r="BX9" s="359"/>
      <c r="BY9" s="360"/>
      <c r="BZ9" s="361"/>
      <c r="CA9" s="359"/>
      <c r="CB9" s="359"/>
      <c r="CC9" s="360"/>
      <c r="CD9" s="359"/>
      <c r="CE9" s="359"/>
      <c r="CF9" s="359"/>
      <c r="CG9" s="360"/>
      <c r="CH9" s="359"/>
      <c r="CI9" s="359"/>
      <c r="CJ9" s="362"/>
      <c r="CK9" s="363"/>
      <c r="CL9" s="359"/>
      <c r="CM9" s="359"/>
      <c r="CN9" s="359"/>
      <c r="CO9" s="360"/>
      <c r="CP9" s="359"/>
      <c r="CQ9" s="359"/>
      <c r="CR9" s="359"/>
      <c r="CS9" s="360"/>
      <c r="CT9" s="359"/>
      <c r="CU9" s="359"/>
      <c r="CV9" s="359"/>
      <c r="CW9" s="360"/>
      <c r="CX9" s="359"/>
      <c r="CY9" s="359"/>
      <c r="CZ9" s="359"/>
      <c r="DA9" s="360"/>
      <c r="DB9" s="359"/>
      <c r="DC9" s="359"/>
      <c r="DD9" s="359"/>
      <c r="DE9" s="360"/>
      <c r="DF9" s="359"/>
      <c r="DG9" s="359"/>
      <c r="DH9" s="359"/>
      <c r="DI9" s="360"/>
      <c r="DJ9" s="364"/>
      <c r="DK9" s="365"/>
      <c r="DL9" s="366"/>
      <c r="DM9" s="366"/>
      <c r="DN9" s="366"/>
      <c r="DO9" s="366"/>
      <c r="DP9" s="366"/>
      <c r="DQ9" s="366"/>
      <c r="DR9" s="366"/>
      <c r="DS9" s="366"/>
      <c r="DT9" s="367"/>
      <c r="DU9" s="367"/>
      <c r="DV9" s="367"/>
      <c r="DW9" s="367"/>
      <c r="DX9" s="367"/>
      <c r="DY9" s="367"/>
      <c r="DZ9" s="367"/>
      <c r="EA9" s="367"/>
      <c r="EB9" s="366"/>
      <c r="EC9" s="366"/>
      <c r="ED9" s="366"/>
      <c r="EE9" s="366"/>
      <c r="EF9" s="366"/>
      <c r="EG9" s="366"/>
      <c r="EH9" s="366"/>
      <c r="EI9" s="366"/>
      <c r="EJ9" s="366"/>
      <c r="EK9" s="366"/>
      <c r="EL9" s="366"/>
      <c r="EM9" s="366"/>
      <c r="EN9" s="366"/>
      <c r="EO9" s="366"/>
      <c r="EP9" s="355"/>
      <c r="EQ9" s="353" t="s">
        <v>1470</v>
      </c>
    </row>
    <row r="10" spans="1:147" s="377" customFormat="1" ht="15" customHeight="1" outlineLevel="2">
      <c r="A10" s="368"/>
      <c r="B10"/>
      <c r="C10"/>
      <c r="D10"/>
      <c r="E10"/>
      <c r="F10"/>
      <c r="G10"/>
      <c r="H10" s="369"/>
      <c r="I10" s="370" t="s">
        <v>1471</v>
      </c>
      <c r="J10" s="369"/>
      <c r="K10" s="369"/>
      <c r="L10" s="369"/>
      <c r="M10" s="371"/>
      <c r="N10" s="369"/>
      <c r="O10" s="369"/>
      <c r="P10" s="369"/>
      <c r="Q10" s="371"/>
      <c r="R10" s="369"/>
      <c r="S10" s="369"/>
      <c r="T10" s="369"/>
      <c r="U10" s="371"/>
      <c r="V10" s="369"/>
      <c r="W10" s="369"/>
      <c r="X10" s="369"/>
      <c r="Y10" s="371"/>
      <c r="Z10" s="369"/>
      <c r="AA10" s="369"/>
      <c r="AB10" s="369"/>
      <c r="AC10" s="371"/>
      <c r="AD10" s="369"/>
      <c r="AE10" s="369"/>
      <c r="AF10" s="369"/>
      <c r="AG10" s="371"/>
      <c r="AH10" s="369"/>
      <c r="AI10" s="369"/>
      <c r="AJ10" s="369"/>
      <c r="AK10" s="371"/>
      <c r="AL10" s="369"/>
      <c r="AM10" s="369"/>
      <c r="AN10" s="369"/>
      <c r="AO10" s="371"/>
      <c r="AP10" s="369"/>
      <c r="AQ10" s="369"/>
      <c r="AR10" s="369"/>
      <c r="AS10" s="371"/>
      <c r="AT10" s="325">
        <v>690</v>
      </c>
      <c r="AU10" s="325">
        <v>747</v>
      </c>
      <c r="AV10" s="325">
        <v>411</v>
      </c>
      <c r="AW10" s="372">
        <v>1232</v>
      </c>
      <c r="AX10" s="325">
        <v>986</v>
      </c>
      <c r="AY10" s="325">
        <v>643</v>
      </c>
      <c r="AZ10" s="325">
        <v>397</v>
      </c>
      <c r="BA10" s="372">
        <v>1061</v>
      </c>
      <c r="BB10" s="325">
        <v>1061</v>
      </c>
      <c r="BC10" s="325">
        <v>768</v>
      </c>
      <c r="BD10" s="325">
        <v>369</v>
      </c>
      <c r="BE10" s="372">
        <v>1060</v>
      </c>
      <c r="BF10" s="325">
        <v>874</v>
      </c>
      <c r="BG10" s="325">
        <v>798</v>
      </c>
      <c r="BH10" s="325">
        <v>536</v>
      </c>
      <c r="BI10" s="372">
        <v>1413</v>
      </c>
      <c r="BJ10" s="325">
        <v>990</v>
      </c>
      <c r="BK10" s="325">
        <v>727</v>
      </c>
      <c r="BL10" s="325">
        <v>332</v>
      </c>
      <c r="BM10" s="372">
        <v>1152</v>
      </c>
      <c r="BN10" s="325">
        <v>769</v>
      </c>
      <c r="BO10" s="325">
        <v>587</v>
      </c>
      <c r="BP10" s="325">
        <v>337</v>
      </c>
      <c r="BQ10" s="372">
        <v>1094</v>
      </c>
      <c r="BR10" s="325">
        <v>784</v>
      </c>
      <c r="BS10" s="325">
        <v>528</v>
      </c>
      <c r="BT10" s="325">
        <v>425</v>
      </c>
      <c r="BU10" s="372">
        <v>711</v>
      </c>
      <c r="BV10" s="325">
        <v>645</v>
      </c>
      <c r="BW10" s="325">
        <v>501</v>
      </c>
      <c r="BX10" s="325">
        <v>355</v>
      </c>
      <c r="BY10" s="372">
        <v>696</v>
      </c>
      <c r="BZ10" s="373">
        <v>509</v>
      </c>
      <c r="CA10" s="325">
        <v>481</v>
      </c>
      <c r="CB10" s="325">
        <v>384</v>
      </c>
      <c r="CC10" s="372">
        <v>737</v>
      </c>
      <c r="CD10" s="373">
        <v>720</v>
      </c>
      <c r="CE10" s="325">
        <v>464</v>
      </c>
      <c r="CF10" s="325">
        <v>263</v>
      </c>
      <c r="CG10" s="372">
        <v>808</v>
      </c>
      <c r="CH10" s="373">
        <v>656</v>
      </c>
      <c r="CI10" s="325">
        <v>359</v>
      </c>
      <c r="CJ10" s="325">
        <v>260</v>
      </c>
      <c r="CK10" s="372">
        <v>699</v>
      </c>
      <c r="CL10" s="373">
        <v>543</v>
      </c>
      <c r="CM10" s="325">
        <v>533</v>
      </c>
      <c r="CN10" s="325">
        <v>408</v>
      </c>
      <c r="CO10" s="372">
        <v>866</v>
      </c>
      <c r="CP10" s="373">
        <v>675</v>
      </c>
      <c r="CQ10" s="325">
        <v>568</v>
      </c>
      <c r="CR10" s="325">
        <v>423</v>
      </c>
      <c r="CS10" s="372">
        <v>1006.7002939999999</v>
      </c>
      <c r="CT10" s="373">
        <v>318.61114699999996</v>
      </c>
      <c r="CU10" s="325">
        <v>163.34757349999995</v>
      </c>
      <c r="CV10" s="325">
        <v>142.78578675</v>
      </c>
      <c r="CW10" s="372">
        <v>1154.3956933750001</v>
      </c>
      <c r="CX10" s="369"/>
      <c r="CY10" s="369"/>
      <c r="CZ10" s="369"/>
      <c r="DA10" s="371"/>
      <c r="DB10" s="369"/>
      <c r="DC10" s="369"/>
      <c r="DD10" s="369"/>
      <c r="DE10" s="371"/>
      <c r="DF10" s="369"/>
      <c r="DG10" s="369"/>
      <c r="DH10" s="369"/>
      <c r="DI10" s="371"/>
      <c r="DJ10" s="374"/>
      <c r="DK10" s="375"/>
      <c r="DL10" s="369"/>
      <c r="DM10" s="369"/>
      <c r="DN10" s="369"/>
      <c r="DO10" s="369"/>
      <c r="DP10" s="369"/>
      <c r="DQ10" s="369"/>
      <c r="DR10" s="369"/>
      <c r="DS10" s="376">
        <v>1872</v>
      </c>
      <c r="DT10" s="376">
        <v>3080</v>
      </c>
      <c r="DU10" s="376">
        <v>3087</v>
      </c>
      <c r="DV10" s="376">
        <v>3258</v>
      </c>
      <c r="DW10" s="376">
        <v>3621</v>
      </c>
      <c r="DX10" s="376">
        <v>3201</v>
      </c>
      <c r="DY10" s="376">
        <v>2787</v>
      </c>
      <c r="DZ10" s="376">
        <v>2448</v>
      </c>
      <c r="EA10" s="376">
        <v>2197</v>
      </c>
      <c r="EB10" s="376">
        <v>2111</v>
      </c>
      <c r="EC10" s="376">
        <v>2255</v>
      </c>
      <c r="ED10" s="376">
        <v>1974</v>
      </c>
      <c r="EE10" s="376">
        <v>2350</v>
      </c>
      <c r="EF10" s="376">
        <v>2672.7002939999998</v>
      </c>
      <c r="EG10" s="376">
        <v>1779.140200625</v>
      </c>
      <c r="EH10" s="376">
        <v>3838.9041333333334</v>
      </c>
      <c r="EI10" s="376">
        <v>2739.6114386666673</v>
      </c>
      <c r="EJ10" s="376">
        <v>2572.3087678933334</v>
      </c>
      <c r="EK10" s="376">
        <v>3098.5172423802669</v>
      </c>
      <c r="EL10" s="376">
        <v>2763.7584339728542</v>
      </c>
      <c r="EM10" s="376">
        <v>2638.0543745818586</v>
      </c>
      <c r="EN10" s="376">
        <v>2652.4275659737978</v>
      </c>
      <c r="EO10" s="376">
        <v>3177.9009897690667</v>
      </c>
      <c r="EP10" s="375"/>
      <c r="EQ10" s="320">
        <v>3.909505285053827E-2</v>
      </c>
    </row>
    <row r="11" spans="1:147" s="377" customFormat="1" ht="15" customHeight="1" outlineLevel="2">
      <c r="A11" s="368"/>
      <c r="B11"/>
      <c r="C11"/>
      <c r="D11"/>
      <c r="E11"/>
      <c r="F11"/>
      <c r="G11"/>
      <c r="H11" s="369"/>
      <c r="I11" s="378" t="s">
        <v>1472</v>
      </c>
      <c r="J11" s="369"/>
      <c r="K11" s="369"/>
      <c r="L11" s="369"/>
      <c r="M11" s="371"/>
      <c r="N11" s="369"/>
      <c r="O11" s="369"/>
      <c r="P11" s="369"/>
      <c r="Q11" s="371"/>
      <c r="R11" s="369"/>
      <c r="S11" s="369"/>
      <c r="T11" s="369"/>
      <c r="U11" s="371"/>
      <c r="V11" s="369"/>
      <c r="W11" s="369"/>
      <c r="X11" s="369"/>
      <c r="Y11" s="371"/>
      <c r="Z11" s="369"/>
      <c r="AA11" s="369"/>
      <c r="AB11" s="369"/>
      <c r="AC11" s="371"/>
      <c r="AD11" s="369"/>
      <c r="AE11" s="369"/>
      <c r="AF11" s="369"/>
      <c r="AG11" s="371"/>
      <c r="AH11" s="369"/>
      <c r="AI11" s="369"/>
      <c r="AJ11" s="369"/>
      <c r="AK11" s="371"/>
      <c r="AL11" s="369"/>
      <c r="AM11" s="369"/>
      <c r="AN11" s="369"/>
      <c r="AO11" s="371"/>
      <c r="AP11" s="369"/>
      <c r="AQ11" s="369"/>
      <c r="AR11" s="369"/>
      <c r="AS11" s="371"/>
      <c r="AT11" s="325">
        <v>291</v>
      </c>
      <c r="AU11" s="325">
        <v>291</v>
      </c>
      <c r="AV11" s="325">
        <v>292</v>
      </c>
      <c r="AW11" s="372">
        <v>325</v>
      </c>
      <c r="AX11" s="325">
        <v>322</v>
      </c>
      <c r="AY11" s="325">
        <v>324</v>
      </c>
      <c r="AZ11" s="325">
        <v>348</v>
      </c>
      <c r="BA11" s="372">
        <v>366</v>
      </c>
      <c r="BB11" s="325">
        <v>388</v>
      </c>
      <c r="BC11" s="325">
        <v>378</v>
      </c>
      <c r="BD11" s="325">
        <v>385</v>
      </c>
      <c r="BE11" s="372">
        <v>347</v>
      </c>
      <c r="BF11" s="325">
        <v>298</v>
      </c>
      <c r="BG11" s="325">
        <v>277</v>
      </c>
      <c r="BH11" s="325">
        <v>305</v>
      </c>
      <c r="BI11" s="372">
        <v>355</v>
      </c>
      <c r="BJ11" s="325">
        <v>334</v>
      </c>
      <c r="BK11" s="325">
        <v>323</v>
      </c>
      <c r="BL11" s="325">
        <v>359</v>
      </c>
      <c r="BM11" s="372">
        <v>366</v>
      </c>
      <c r="BN11" s="325">
        <v>342</v>
      </c>
      <c r="BO11" s="325">
        <v>383</v>
      </c>
      <c r="BP11" s="325">
        <v>416</v>
      </c>
      <c r="BQ11" s="372">
        <v>481</v>
      </c>
      <c r="BR11" s="325">
        <v>494</v>
      </c>
      <c r="BS11" s="325">
        <v>516</v>
      </c>
      <c r="BT11" s="325">
        <v>565</v>
      </c>
      <c r="BU11" s="372">
        <v>642</v>
      </c>
      <c r="BV11" s="325">
        <v>810</v>
      </c>
      <c r="BW11" s="325">
        <v>1069</v>
      </c>
      <c r="BX11" s="325">
        <v>1213</v>
      </c>
      <c r="BY11" s="372">
        <v>1318</v>
      </c>
      <c r="BZ11" s="373">
        <v>1217</v>
      </c>
      <c r="CA11" s="325">
        <v>1150</v>
      </c>
      <c r="CB11" s="325">
        <v>1234</v>
      </c>
      <c r="CC11" s="372">
        <v>1306</v>
      </c>
      <c r="CD11" s="373">
        <v>1245</v>
      </c>
      <c r="CE11" s="325">
        <v>1177</v>
      </c>
      <c r="CF11" s="325">
        <v>1249</v>
      </c>
      <c r="CG11" s="372">
        <v>1573</v>
      </c>
      <c r="CH11" s="373">
        <v>1169</v>
      </c>
      <c r="CI11" s="325">
        <v>1037</v>
      </c>
      <c r="CJ11" s="325">
        <v>1022</v>
      </c>
      <c r="CK11" s="372">
        <v>1287</v>
      </c>
      <c r="CL11" s="373">
        <v>1245</v>
      </c>
      <c r="CM11" s="325">
        <v>1399</v>
      </c>
      <c r="CN11" s="325">
        <v>1546</v>
      </c>
      <c r="CO11" s="372">
        <v>1547</v>
      </c>
      <c r="CP11" s="373">
        <v>1600</v>
      </c>
      <c r="CQ11" s="325">
        <v>1728</v>
      </c>
      <c r="CR11" s="325">
        <v>1647</v>
      </c>
      <c r="CS11" s="372">
        <v>1810.2704308821208</v>
      </c>
      <c r="CT11" s="373">
        <v>1299.2147853158503</v>
      </c>
      <c r="CU11" s="325">
        <v>1423.600445928176</v>
      </c>
      <c r="CV11" s="325">
        <v>1970.9036079306268</v>
      </c>
      <c r="CW11" s="372">
        <v>2406.6445471350121</v>
      </c>
      <c r="CX11" s="369"/>
      <c r="CY11" s="369"/>
      <c r="CZ11" s="369"/>
      <c r="DA11" s="371"/>
      <c r="DB11" s="369"/>
      <c r="DC11" s="369"/>
      <c r="DD11" s="369"/>
      <c r="DE11" s="371"/>
      <c r="DF11" s="369"/>
      <c r="DG11" s="369"/>
      <c r="DH11" s="369"/>
      <c r="DI11" s="371"/>
      <c r="DJ11" s="374"/>
      <c r="DK11" s="375"/>
      <c r="DL11" s="369"/>
      <c r="DM11" s="369"/>
      <c r="DN11" s="369"/>
      <c r="DO11" s="369"/>
      <c r="DP11" s="369"/>
      <c r="DQ11" s="369"/>
      <c r="DR11" s="369"/>
      <c r="DS11" s="376">
        <v>1154</v>
      </c>
      <c r="DT11" s="376">
        <v>1199</v>
      </c>
      <c r="DU11" s="376">
        <v>1360</v>
      </c>
      <c r="DV11" s="376">
        <v>1498</v>
      </c>
      <c r="DW11" s="376">
        <v>1235</v>
      </c>
      <c r="DX11" s="376">
        <v>1382</v>
      </c>
      <c r="DY11" s="376">
        <v>1622</v>
      </c>
      <c r="DZ11" s="376">
        <v>2217</v>
      </c>
      <c r="EA11" s="376">
        <v>4410</v>
      </c>
      <c r="EB11" s="376">
        <v>4907</v>
      </c>
      <c r="EC11" s="376">
        <v>5244</v>
      </c>
      <c r="ED11" s="376">
        <v>4515</v>
      </c>
      <c r="EE11" s="376">
        <v>5737</v>
      </c>
      <c r="EF11" s="376">
        <v>6785.2704308821212</v>
      </c>
      <c r="EG11" s="376">
        <v>7100.3633863096657</v>
      </c>
      <c r="EH11" s="376">
        <v>6156.9274250695735</v>
      </c>
      <c r="EI11" s="376">
        <v>6349.4423935046607</v>
      </c>
      <c r="EJ11" s="376">
        <v>6110.9426537500894</v>
      </c>
      <c r="EK11" s="376">
        <v>6242.8431520793893</v>
      </c>
      <c r="EL11" s="376">
        <v>6032.7514485486399</v>
      </c>
      <c r="EM11" s="376">
        <v>6203.4860865568307</v>
      </c>
      <c r="EN11" s="376">
        <v>6029.2689285962551</v>
      </c>
      <c r="EO11" s="376">
        <v>6233.6205871999491</v>
      </c>
      <c r="EP11" s="375"/>
      <c r="EQ11" s="320">
        <v>2.5681882722863536E-2</v>
      </c>
    </row>
    <row r="12" spans="1:147" s="377" customFormat="1" ht="15" customHeight="1" outlineLevel="2">
      <c r="A12" s="368"/>
      <c r="B12"/>
      <c r="C12"/>
      <c r="D12"/>
      <c r="E12"/>
      <c r="F12"/>
      <c r="G12"/>
      <c r="H12" s="369"/>
      <c r="I12" s="379" t="s">
        <v>1473</v>
      </c>
      <c r="J12" s="369"/>
      <c r="K12" s="369"/>
      <c r="L12" s="369"/>
      <c r="M12" s="371"/>
      <c r="N12" s="369"/>
      <c r="O12" s="369"/>
      <c r="P12" s="369"/>
      <c r="Q12" s="371"/>
      <c r="R12" s="369"/>
      <c r="S12" s="369"/>
      <c r="T12" s="369"/>
      <c r="U12" s="371"/>
      <c r="V12" s="369"/>
      <c r="W12" s="369"/>
      <c r="X12" s="369"/>
      <c r="Y12" s="371"/>
      <c r="Z12" s="369"/>
      <c r="AA12" s="369"/>
      <c r="AB12" s="369"/>
      <c r="AC12" s="371"/>
      <c r="AD12" s="369"/>
      <c r="AE12" s="369"/>
      <c r="AF12" s="369"/>
      <c r="AG12" s="371"/>
      <c r="AH12" s="369"/>
      <c r="AI12" s="369"/>
      <c r="AJ12" s="369"/>
      <c r="AK12" s="371"/>
      <c r="AL12" s="369"/>
      <c r="AM12" s="369"/>
      <c r="AN12" s="369"/>
      <c r="AO12" s="371"/>
      <c r="AP12" s="369"/>
      <c r="AQ12" s="369"/>
      <c r="AR12" s="369"/>
      <c r="AS12" s="371"/>
      <c r="AT12" s="380">
        <v>981</v>
      </c>
      <c r="AU12" s="381">
        <v>1038</v>
      </c>
      <c r="AV12" s="381">
        <v>703</v>
      </c>
      <c r="AW12" s="382">
        <v>1557</v>
      </c>
      <c r="AX12" s="381">
        <v>1308</v>
      </c>
      <c r="AY12" s="381">
        <v>967</v>
      </c>
      <c r="AZ12" s="381">
        <v>745</v>
      </c>
      <c r="BA12" s="382">
        <v>1427</v>
      </c>
      <c r="BB12" s="380">
        <v>1449</v>
      </c>
      <c r="BC12" s="381">
        <v>1146</v>
      </c>
      <c r="BD12" s="381">
        <v>754</v>
      </c>
      <c r="BE12" s="382">
        <v>1407</v>
      </c>
      <c r="BF12" s="381">
        <v>1172</v>
      </c>
      <c r="BG12" s="381">
        <v>1075</v>
      </c>
      <c r="BH12" s="381">
        <v>841</v>
      </c>
      <c r="BI12" s="382">
        <v>1768</v>
      </c>
      <c r="BJ12" s="381">
        <v>1324</v>
      </c>
      <c r="BK12" s="381">
        <v>1050</v>
      </c>
      <c r="BL12" s="381">
        <v>691</v>
      </c>
      <c r="BM12" s="382">
        <v>1518</v>
      </c>
      <c r="BN12" s="381">
        <v>1111</v>
      </c>
      <c r="BO12" s="381">
        <v>970</v>
      </c>
      <c r="BP12" s="381">
        <v>753</v>
      </c>
      <c r="BQ12" s="382">
        <v>1575</v>
      </c>
      <c r="BR12" s="381">
        <v>1278</v>
      </c>
      <c r="BS12" s="381">
        <v>1044</v>
      </c>
      <c r="BT12" s="381">
        <v>990</v>
      </c>
      <c r="BU12" s="382">
        <v>1353</v>
      </c>
      <c r="BV12" s="381">
        <v>1455</v>
      </c>
      <c r="BW12" s="381">
        <v>1570</v>
      </c>
      <c r="BX12" s="381">
        <v>1568</v>
      </c>
      <c r="BY12" s="382">
        <v>2014</v>
      </c>
      <c r="BZ12" s="380">
        <v>1726</v>
      </c>
      <c r="CA12" s="381">
        <v>1631</v>
      </c>
      <c r="CB12" s="381">
        <v>1618</v>
      </c>
      <c r="CC12" s="382">
        <v>2043</v>
      </c>
      <c r="CD12" s="380">
        <v>1965</v>
      </c>
      <c r="CE12" s="381">
        <v>1641</v>
      </c>
      <c r="CF12" s="381">
        <v>1512</v>
      </c>
      <c r="CG12" s="382">
        <v>2381</v>
      </c>
      <c r="CH12" s="380">
        <v>1825</v>
      </c>
      <c r="CI12" s="381">
        <v>1396</v>
      </c>
      <c r="CJ12" s="381">
        <v>1282</v>
      </c>
      <c r="CK12" s="382">
        <v>1986</v>
      </c>
      <c r="CL12" s="380">
        <v>1788</v>
      </c>
      <c r="CM12" s="381">
        <v>1932</v>
      </c>
      <c r="CN12" s="381">
        <v>1954</v>
      </c>
      <c r="CO12" s="382">
        <v>2413</v>
      </c>
      <c r="CP12" s="380">
        <v>2275</v>
      </c>
      <c r="CQ12" s="381">
        <v>2296</v>
      </c>
      <c r="CR12" s="381">
        <v>2070</v>
      </c>
      <c r="CS12" s="382">
        <v>2816.9707248821205</v>
      </c>
      <c r="CT12" s="380">
        <v>1617.8259323158504</v>
      </c>
      <c r="CU12" s="381">
        <v>1586.9480194281759</v>
      </c>
      <c r="CV12" s="381">
        <v>2113.6893946806267</v>
      </c>
      <c r="CW12" s="382">
        <v>3561.0402405100122</v>
      </c>
      <c r="CX12" s="369"/>
      <c r="CY12" s="369"/>
      <c r="CZ12" s="369"/>
      <c r="DA12" s="371"/>
      <c r="DB12" s="369"/>
      <c r="DC12" s="369"/>
      <c r="DD12" s="369"/>
      <c r="DE12" s="371"/>
      <c r="DF12" s="369"/>
      <c r="DG12" s="369"/>
      <c r="DH12" s="369"/>
      <c r="DI12" s="371"/>
      <c r="DJ12" s="374"/>
      <c r="DK12" s="375"/>
      <c r="DL12" s="369"/>
      <c r="DM12" s="369"/>
      <c r="DN12" s="369"/>
      <c r="DO12" s="369"/>
      <c r="DP12" s="369"/>
      <c r="DQ12" s="369"/>
      <c r="DR12" s="369"/>
      <c r="DS12" s="383">
        <v>3026</v>
      </c>
      <c r="DT12" s="383">
        <v>4279</v>
      </c>
      <c r="DU12" s="383">
        <v>4447</v>
      </c>
      <c r="DV12" s="383">
        <v>4756</v>
      </c>
      <c r="DW12" s="383">
        <v>4856</v>
      </c>
      <c r="DX12" s="383">
        <v>4583</v>
      </c>
      <c r="DY12" s="383">
        <v>4409</v>
      </c>
      <c r="DZ12" s="381">
        <v>4665</v>
      </c>
      <c r="EA12" s="381">
        <v>6607</v>
      </c>
      <c r="EB12" s="381">
        <v>7018</v>
      </c>
      <c r="EC12" s="381">
        <v>7499</v>
      </c>
      <c r="ED12" s="381">
        <v>6489</v>
      </c>
      <c r="EE12" s="381">
        <v>8087</v>
      </c>
      <c r="EF12" s="381">
        <v>9457.9707248821214</v>
      </c>
      <c r="EG12" s="381">
        <v>8879.5035869346648</v>
      </c>
      <c r="EH12" s="381">
        <v>10354.055130025657</v>
      </c>
      <c r="EI12" s="381">
        <v>9750.5424748923979</v>
      </c>
      <c r="EJ12" s="381">
        <v>9353.275083748842</v>
      </c>
      <c r="EK12" s="381">
        <v>9969.6480875543457</v>
      </c>
      <c r="EL12" s="381">
        <v>9616.3899430978945</v>
      </c>
      <c r="EM12" s="381">
        <v>9681.0522572333175</v>
      </c>
      <c r="EN12" s="381">
        <v>9628.3912629519527</v>
      </c>
      <c r="EO12" s="381">
        <v>10364.850148417006</v>
      </c>
      <c r="EP12" s="375"/>
      <c r="EQ12" s="384">
        <v>4.7877062192594355E-2</v>
      </c>
    </row>
    <row r="13" spans="1:147" s="390" customFormat="1" ht="12.95" outlineLevel="2">
      <c r="A13" s="385"/>
      <c r="B13"/>
      <c r="C13"/>
      <c r="D13"/>
      <c r="E13"/>
      <c r="F13"/>
      <c r="G13"/>
      <c r="H13" s="386"/>
      <c r="I13" s="387" t="s">
        <v>1474</v>
      </c>
      <c r="J13" s="386"/>
      <c r="K13" s="386"/>
      <c r="L13" s="386"/>
      <c r="M13" s="388"/>
      <c r="N13" s="386"/>
      <c r="O13" s="386"/>
      <c r="P13" s="386"/>
      <c r="Q13" s="388"/>
      <c r="R13" s="386"/>
      <c r="S13" s="386"/>
      <c r="T13" s="386"/>
      <c r="U13" s="388"/>
      <c r="V13" s="386"/>
      <c r="W13" s="386"/>
      <c r="X13" s="386"/>
      <c r="Y13" s="388"/>
      <c r="Z13" s="386"/>
      <c r="AA13" s="386"/>
      <c r="AB13" s="386"/>
      <c r="AC13" s="388"/>
      <c r="AD13" s="386"/>
      <c r="AE13" s="386"/>
      <c r="AF13" s="386"/>
      <c r="AG13" s="388"/>
      <c r="AH13" s="386"/>
      <c r="AI13" s="386"/>
      <c r="AJ13" s="386"/>
      <c r="AK13" s="388"/>
      <c r="AL13" s="386"/>
      <c r="AM13" s="386"/>
      <c r="AN13" s="386"/>
      <c r="AO13" s="388"/>
      <c r="AP13" s="386"/>
      <c r="AQ13" s="386"/>
      <c r="AR13" s="386"/>
      <c r="AS13" s="388"/>
      <c r="AT13" s="325">
        <v>296</v>
      </c>
      <c r="AU13" s="325">
        <v>281</v>
      </c>
      <c r="AV13" s="325">
        <v>185</v>
      </c>
      <c r="AW13" s="372">
        <v>670</v>
      </c>
      <c r="AX13" s="325">
        <v>337</v>
      </c>
      <c r="AY13" s="325">
        <v>235</v>
      </c>
      <c r="AZ13" s="325">
        <v>194</v>
      </c>
      <c r="BA13" s="372">
        <v>585</v>
      </c>
      <c r="BB13" s="325">
        <v>299</v>
      </c>
      <c r="BC13" s="325">
        <v>213</v>
      </c>
      <c r="BD13" s="325">
        <v>138</v>
      </c>
      <c r="BE13" s="372">
        <v>483</v>
      </c>
      <c r="BF13" s="325">
        <v>257</v>
      </c>
      <c r="BG13" s="325">
        <v>229</v>
      </c>
      <c r="BH13" s="325">
        <v>146</v>
      </c>
      <c r="BI13" s="372">
        <v>483</v>
      </c>
      <c r="BJ13" s="325">
        <v>260</v>
      </c>
      <c r="BK13" s="325">
        <v>179</v>
      </c>
      <c r="BL13" s="325">
        <v>109</v>
      </c>
      <c r="BM13" s="372">
        <v>498</v>
      </c>
      <c r="BN13" s="325">
        <v>223</v>
      </c>
      <c r="BO13" s="325">
        <v>184</v>
      </c>
      <c r="BP13" s="325">
        <v>150</v>
      </c>
      <c r="BQ13" s="372">
        <v>425</v>
      </c>
      <c r="BR13" s="325">
        <v>202</v>
      </c>
      <c r="BS13" s="325">
        <v>147</v>
      </c>
      <c r="BT13" s="325">
        <v>179</v>
      </c>
      <c r="BU13" s="372">
        <v>343</v>
      </c>
      <c r="BV13" s="325">
        <v>169</v>
      </c>
      <c r="BW13" s="325">
        <v>149</v>
      </c>
      <c r="BX13" s="325">
        <v>111</v>
      </c>
      <c r="BY13" s="372">
        <v>313</v>
      </c>
      <c r="BZ13" s="373">
        <v>143</v>
      </c>
      <c r="CA13" s="325">
        <v>130</v>
      </c>
      <c r="CB13" s="325">
        <v>149</v>
      </c>
      <c r="CC13" s="372">
        <v>310</v>
      </c>
      <c r="CD13" s="373">
        <v>162</v>
      </c>
      <c r="CE13" s="325">
        <v>126</v>
      </c>
      <c r="CF13" s="325">
        <v>127</v>
      </c>
      <c r="CG13" s="372">
        <v>303</v>
      </c>
      <c r="CH13" s="373">
        <v>152</v>
      </c>
      <c r="CI13" s="325">
        <v>99</v>
      </c>
      <c r="CJ13" s="325">
        <v>137</v>
      </c>
      <c r="CK13" s="372">
        <v>268</v>
      </c>
      <c r="CL13" s="373">
        <v>119</v>
      </c>
      <c r="CM13" s="325">
        <v>137</v>
      </c>
      <c r="CN13" s="325">
        <v>101</v>
      </c>
      <c r="CO13" s="372">
        <v>349</v>
      </c>
      <c r="CP13" s="373">
        <v>140</v>
      </c>
      <c r="CQ13" s="325">
        <v>116</v>
      </c>
      <c r="CR13" s="325">
        <v>120</v>
      </c>
      <c r="CS13" s="372">
        <v>324.14409407999995</v>
      </c>
      <c r="CT13" s="373">
        <v>51.177783519999998</v>
      </c>
      <c r="CU13" s="325">
        <v>27.152349627499994</v>
      </c>
      <c r="CV13" s="325">
        <v>50.175025362500001</v>
      </c>
      <c r="CW13" s="372">
        <v>408.85607545475</v>
      </c>
      <c r="CX13" s="386"/>
      <c r="CY13" s="386"/>
      <c r="CZ13" s="386"/>
      <c r="DA13" s="388"/>
      <c r="DB13" s="386"/>
      <c r="DC13" s="386"/>
      <c r="DD13" s="386"/>
      <c r="DE13" s="388"/>
      <c r="DF13" s="386"/>
      <c r="DG13" s="386"/>
      <c r="DH13" s="386"/>
      <c r="DI13" s="388"/>
      <c r="DJ13" s="374"/>
      <c r="DK13" s="389"/>
      <c r="DL13" s="386"/>
      <c r="DM13" s="386"/>
      <c r="DN13" s="386"/>
      <c r="DO13" s="386"/>
      <c r="DP13" s="386"/>
      <c r="DQ13" s="386"/>
      <c r="DR13" s="386"/>
      <c r="DS13" s="376">
        <v>1160</v>
      </c>
      <c r="DT13" s="376">
        <v>1432</v>
      </c>
      <c r="DU13" s="376">
        <v>1351</v>
      </c>
      <c r="DV13" s="376">
        <v>1133</v>
      </c>
      <c r="DW13" s="376">
        <v>1115</v>
      </c>
      <c r="DX13" s="376">
        <v>1046</v>
      </c>
      <c r="DY13" s="376">
        <v>982</v>
      </c>
      <c r="DZ13" s="376">
        <v>871</v>
      </c>
      <c r="EA13" s="325">
        <v>742</v>
      </c>
      <c r="EB13" s="325">
        <v>732</v>
      </c>
      <c r="EC13" s="325">
        <v>718</v>
      </c>
      <c r="ED13" s="325">
        <v>656</v>
      </c>
      <c r="EE13" s="325">
        <v>706</v>
      </c>
      <c r="EF13" s="325">
        <v>700.14409407999995</v>
      </c>
      <c r="EG13" s="325">
        <v>537.36123396475</v>
      </c>
      <c r="EH13" s="325">
        <v>870.39765281111625</v>
      </c>
      <c r="EI13" s="325">
        <v>648.08759735041667</v>
      </c>
      <c r="EJ13" s="325">
        <v>599.28117694336083</v>
      </c>
      <c r="EK13" s="325">
        <v>702.06179534233274</v>
      </c>
      <c r="EL13" s="325">
        <v>639.82827732890144</v>
      </c>
      <c r="EM13" s="325">
        <v>599.65412862255039</v>
      </c>
      <c r="EN13" s="325">
        <v>603.16071711318102</v>
      </c>
      <c r="EO13" s="325">
        <v>706.10023024922066</v>
      </c>
      <c r="EP13" s="389"/>
      <c r="EQ13" s="320">
        <v>-2.1170043251674153E-2</v>
      </c>
    </row>
    <row r="14" spans="1:147" s="390" customFormat="1" ht="25.5" outlineLevel="2">
      <c r="A14" s="385"/>
      <c r="B14"/>
      <c r="C14"/>
      <c r="D14"/>
      <c r="E14"/>
      <c r="F14"/>
      <c r="G14"/>
      <c r="H14" s="386"/>
      <c r="I14" s="387" t="s">
        <v>1475</v>
      </c>
      <c r="J14" s="386"/>
      <c r="K14" s="386"/>
      <c r="L14" s="386"/>
      <c r="M14" s="388"/>
      <c r="N14" s="386"/>
      <c r="O14" s="386"/>
      <c r="P14" s="386"/>
      <c r="Q14" s="388"/>
      <c r="R14" s="386"/>
      <c r="S14" s="386"/>
      <c r="T14" s="386"/>
      <c r="U14" s="388"/>
      <c r="V14" s="386"/>
      <c r="W14" s="386"/>
      <c r="X14" s="386"/>
      <c r="Y14" s="388"/>
      <c r="Z14" s="386"/>
      <c r="AA14" s="386"/>
      <c r="AB14" s="386"/>
      <c r="AC14" s="388"/>
      <c r="AD14" s="386"/>
      <c r="AE14" s="386"/>
      <c r="AF14" s="386"/>
      <c r="AG14" s="388"/>
      <c r="AH14" s="386"/>
      <c r="AI14" s="386"/>
      <c r="AJ14" s="386"/>
      <c r="AK14" s="388"/>
      <c r="AL14" s="386"/>
      <c r="AM14" s="386"/>
      <c r="AN14" s="386"/>
      <c r="AO14" s="388"/>
      <c r="AP14" s="386"/>
      <c r="AQ14" s="386"/>
      <c r="AR14" s="386"/>
      <c r="AS14" s="388"/>
      <c r="AT14" s="325">
        <v>72</v>
      </c>
      <c r="AU14" s="325">
        <v>86</v>
      </c>
      <c r="AV14" s="325">
        <v>54</v>
      </c>
      <c r="AW14" s="372">
        <v>54</v>
      </c>
      <c r="AX14" s="325">
        <v>58</v>
      </c>
      <c r="AY14" s="325">
        <v>55</v>
      </c>
      <c r="AZ14" s="325">
        <v>64</v>
      </c>
      <c r="BA14" s="372">
        <v>76</v>
      </c>
      <c r="BB14" s="325">
        <v>66</v>
      </c>
      <c r="BC14" s="325">
        <v>62</v>
      </c>
      <c r="BD14" s="325">
        <v>63</v>
      </c>
      <c r="BE14" s="372">
        <v>65</v>
      </c>
      <c r="BF14" s="325">
        <v>69</v>
      </c>
      <c r="BG14" s="325">
        <v>71</v>
      </c>
      <c r="BH14" s="325">
        <v>62</v>
      </c>
      <c r="BI14" s="372">
        <v>60</v>
      </c>
      <c r="BJ14" s="325">
        <v>57</v>
      </c>
      <c r="BK14" s="325">
        <v>54</v>
      </c>
      <c r="BL14" s="325">
        <v>45</v>
      </c>
      <c r="BM14" s="372">
        <v>54</v>
      </c>
      <c r="BN14" s="325">
        <v>60</v>
      </c>
      <c r="BO14" s="325">
        <v>60</v>
      </c>
      <c r="BP14" s="325">
        <v>62</v>
      </c>
      <c r="BQ14" s="372">
        <v>68</v>
      </c>
      <c r="BR14" s="325">
        <v>59</v>
      </c>
      <c r="BS14" s="325">
        <v>61</v>
      </c>
      <c r="BT14" s="325">
        <v>71</v>
      </c>
      <c r="BU14" s="372">
        <v>82</v>
      </c>
      <c r="BV14" s="325">
        <v>142</v>
      </c>
      <c r="BW14" s="325">
        <v>241</v>
      </c>
      <c r="BX14" s="325">
        <v>237</v>
      </c>
      <c r="BY14" s="372">
        <v>230</v>
      </c>
      <c r="BZ14" s="373">
        <v>232</v>
      </c>
      <c r="CA14" s="325">
        <v>236</v>
      </c>
      <c r="CB14" s="325">
        <v>249</v>
      </c>
      <c r="CC14" s="372">
        <v>268</v>
      </c>
      <c r="CD14" s="373">
        <v>270</v>
      </c>
      <c r="CE14" s="325">
        <v>250</v>
      </c>
      <c r="CF14" s="325">
        <v>257</v>
      </c>
      <c r="CG14" s="372">
        <v>251</v>
      </c>
      <c r="CH14" s="373">
        <v>239</v>
      </c>
      <c r="CI14" s="325">
        <v>230</v>
      </c>
      <c r="CJ14" s="325">
        <v>246</v>
      </c>
      <c r="CK14" s="372">
        <v>251</v>
      </c>
      <c r="CL14" s="373">
        <v>258</v>
      </c>
      <c r="CM14" s="325">
        <v>271</v>
      </c>
      <c r="CN14" s="325">
        <v>290</v>
      </c>
      <c r="CO14" s="372">
        <v>313</v>
      </c>
      <c r="CP14" s="373">
        <v>296</v>
      </c>
      <c r="CQ14" s="325">
        <v>322</v>
      </c>
      <c r="CR14" s="325">
        <v>307</v>
      </c>
      <c r="CS14" s="372">
        <v>286.9261476452017</v>
      </c>
      <c r="CT14" s="373">
        <v>244.52729256113807</v>
      </c>
      <c r="CU14" s="325">
        <v>261.31670329534523</v>
      </c>
      <c r="CV14" s="325">
        <v>380.47884822645301</v>
      </c>
      <c r="CW14" s="372">
        <v>406.81236020324036</v>
      </c>
      <c r="CX14" s="386"/>
      <c r="CY14" s="386"/>
      <c r="CZ14" s="386"/>
      <c r="DA14" s="388"/>
      <c r="DB14" s="386"/>
      <c r="DC14" s="386"/>
      <c r="DD14" s="386"/>
      <c r="DE14" s="388"/>
      <c r="DF14" s="386"/>
      <c r="DG14" s="386"/>
      <c r="DH14" s="386"/>
      <c r="DI14" s="388"/>
      <c r="DJ14" s="374"/>
      <c r="DK14" s="389"/>
      <c r="DL14" s="386"/>
      <c r="DM14" s="386"/>
      <c r="DN14" s="386"/>
      <c r="DO14" s="386"/>
      <c r="DP14" s="386"/>
      <c r="DQ14" s="386"/>
      <c r="DR14" s="386"/>
      <c r="DS14" s="376">
        <v>193</v>
      </c>
      <c r="DT14" s="376">
        <v>212</v>
      </c>
      <c r="DU14" s="376">
        <v>253</v>
      </c>
      <c r="DV14" s="376">
        <v>256</v>
      </c>
      <c r="DW14" s="376">
        <v>262</v>
      </c>
      <c r="DX14" s="376">
        <v>210</v>
      </c>
      <c r="DY14" s="376">
        <v>250</v>
      </c>
      <c r="DZ14" s="376">
        <v>273</v>
      </c>
      <c r="EA14" s="376">
        <v>850</v>
      </c>
      <c r="EB14" s="376">
        <v>985</v>
      </c>
      <c r="EC14" s="376">
        <v>1028</v>
      </c>
      <c r="ED14" s="376">
        <v>966</v>
      </c>
      <c r="EE14" s="376">
        <v>1132</v>
      </c>
      <c r="EF14" s="376">
        <v>1211.9261476452016</v>
      </c>
      <c r="EG14" s="376">
        <v>1293.1352042861768</v>
      </c>
      <c r="EH14" s="376">
        <v>1313.7456598556655</v>
      </c>
      <c r="EI14" s="376">
        <v>1237.8579037457305</v>
      </c>
      <c r="EJ14" s="376">
        <v>1178.0546404998297</v>
      </c>
      <c r="EK14" s="376">
        <v>1172.6562484257843</v>
      </c>
      <c r="EL14" s="376">
        <v>1106.4846396594164</v>
      </c>
      <c r="EM14" s="376">
        <v>1070.5475436490301</v>
      </c>
      <c r="EN14" s="376">
        <v>1023.4096446718626</v>
      </c>
      <c r="EO14" s="376">
        <v>1021.0725098324348</v>
      </c>
      <c r="EP14" s="389"/>
      <c r="EQ14" s="320">
        <v>2.2600714377896791E-2</v>
      </c>
    </row>
    <row r="15" spans="1:147" s="390" customFormat="1" ht="25.5" outlineLevel="2">
      <c r="A15" s="385"/>
      <c r="B15"/>
      <c r="C15"/>
      <c r="D15"/>
      <c r="E15"/>
      <c r="F15"/>
      <c r="G15"/>
      <c r="H15" s="386"/>
      <c r="I15" s="387" t="s">
        <v>1476</v>
      </c>
      <c r="J15" s="386"/>
      <c r="K15" s="386"/>
      <c r="L15" s="386"/>
      <c r="M15" s="388"/>
      <c r="N15" s="386"/>
      <c r="O15" s="386"/>
      <c r="P15" s="386"/>
      <c r="Q15" s="388"/>
      <c r="R15" s="386"/>
      <c r="S15" s="386"/>
      <c r="T15" s="386"/>
      <c r="U15" s="388"/>
      <c r="V15" s="386"/>
      <c r="W15" s="386"/>
      <c r="X15" s="386"/>
      <c r="Y15" s="388"/>
      <c r="Z15" s="386"/>
      <c r="AA15" s="386"/>
      <c r="AB15" s="386"/>
      <c r="AC15" s="388"/>
      <c r="AD15" s="386"/>
      <c r="AE15" s="386"/>
      <c r="AF15" s="386"/>
      <c r="AG15" s="388"/>
      <c r="AH15" s="386"/>
      <c r="AI15" s="386"/>
      <c r="AJ15" s="386"/>
      <c r="AK15" s="388"/>
      <c r="AL15" s="386"/>
      <c r="AM15" s="386"/>
      <c r="AN15" s="386"/>
      <c r="AO15" s="388"/>
      <c r="AP15" s="386"/>
      <c r="AQ15" s="386"/>
      <c r="AR15" s="386"/>
      <c r="AS15" s="388"/>
      <c r="AT15" s="325">
        <v>64</v>
      </c>
      <c r="AU15" s="325">
        <v>54</v>
      </c>
      <c r="AV15" s="325">
        <v>45</v>
      </c>
      <c r="AW15" s="372">
        <v>136</v>
      </c>
      <c r="AX15" s="325">
        <v>99</v>
      </c>
      <c r="AY15" s="325">
        <v>51</v>
      </c>
      <c r="AZ15" s="325">
        <v>61</v>
      </c>
      <c r="BA15" s="372">
        <v>128</v>
      </c>
      <c r="BB15" s="325">
        <v>61</v>
      </c>
      <c r="BC15" s="325">
        <v>47</v>
      </c>
      <c r="BD15" s="325">
        <v>24</v>
      </c>
      <c r="BE15" s="372">
        <v>85</v>
      </c>
      <c r="BF15" s="325">
        <v>31</v>
      </c>
      <c r="BG15" s="325">
        <v>57</v>
      </c>
      <c r="BH15" s="325">
        <v>19</v>
      </c>
      <c r="BI15" s="372">
        <v>87</v>
      </c>
      <c r="BJ15" s="325">
        <v>61</v>
      </c>
      <c r="BK15" s="325">
        <v>38</v>
      </c>
      <c r="BL15" s="325">
        <v>17</v>
      </c>
      <c r="BM15" s="372">
        <v>97</v>
      </c>
      <c r="BN15" s="325">
        <v>54</v>
      </c>
      <c r="BO15" s="325">
        <v>49</v>
      </c>
      <c r="BP15" s="325">
        <v>33</v>
      </c>
      <c r="BQ15" s="372">
        <v>129</v>
      </c>
      <c r="BR15" s="325">
        <v>141</v>
      </c>
      <c r="BS15" s="325">
        <v>70</v>
      </c>
      <c r="BT15" s="325">
        <v>62</v>
      </c>
      <c r="BU15" s="372">
        <v>98</v>
      </c>
      <c r="BV15" s="325">
        <v>128</v>
      </c>
      <c r="BW15" s="325">
        <v>80</v>
      </c>
      <c r="BX15" s="325">
        <v>42</v>
      </c>
      <c r="BY15" s="372">
        <v>80</v>
      </c>
      <c r="BZ15" s="373">
        <v>88</v>
      </c>
      <c r="CA15" s="325">
        <v>75</v>
      </c>
      <c r="CB15" s="325">
        <v>37</v>
      </c>
      <c r="CC15" s="372">
        <v>101</v>
      </c>
      <c r="CD15" s="373">
        <v>146</v>
      </c>
      <c r="CE15" s="325">
        <v>49</v>
      </c>
      <c r="CF15" s="325">
        <v>20</v>
      </c>
      <c r="CG15" s="372">
        <v>157</v>
      </c>
      <c r="CH15" s="373">
        <v>111</v>
      </c>
      <c r="CI15" s="325">
        <v>51</v>
      </c>
      <c r="CJ15" s="325">
        <v>9</v>
      </c>
      <c r="CK15" s="372">
        <v>69</v>
      </c>
      <c r="CL15" s="373">
        <v>82</v>
      </c>
      <c r="CM15" s="325">
        <v>33</v>
      </c>
      <c r="CN15" s="325">
        <v>37</v>
      </c>
      <c r="CO15" s="372">
        <v>117</v>
      </c>
      <c r="CP15" s="373">
        <v>112</v>
      </c>
      <c r="CQ15" s="325">
        <v>88</v>
      </c>
      <c r="CR15" s="325">
        <v>72</v>
      </c>
      <c r="CS15" s="372">
        <v>78.178753969252654</v>
      </c>
      <c r="CT15" s="373">
        <v>36.70331231396321</v>
      </c>
      <c r="CU15" s="325">
        <v>11.485637351993178</v>
      </c>
      <c r="CV15" s="325">
        <v>41.191727067556542</v>
      </c>
      <c r="CW15" s="372">
        <v>144.23616711826983</v>
      </c>
      <c r="CX15" s="386"/>
      <c r="CY15" s="386"/>
      <c r="CZ15" s="386"/>
      <c r="DA15" s="388"/>
      <c r="DB15" s="386"/>
      <c r="DC15" s="386"/>
      <c r="DD15" s="386"/>
      <c r="DE15" s="388"/>
      <c r="DF15" s="386"/>
      <c r="DG15" s="386"/>
      <c r="DH15" s="386"/>
      <c r="DI15" s="388"/>
      <c r="DJ15" s="374"/>
      <c r="DK15" s="389"/>
      <c r="DL15" s="386"/>
      <c r="DM15" s="386"/>
      <c r="DN15" s="386"/>
      <c r="DO15" s="386"/>
      <c r="DP15" s="386"/>
      <c r="DQ15" s="386"/>
      <c r="DR15" s="386"/>
      <c r="DS15" s="376">
        <v>267</v>
      </c>
      <c r="DT15" s="376">
        <v>348</v>
      </c>
      <c r="DU15" s="376">
        <v>339</v>
      </c>
      <c r="DV15" s="376">
        <v>217</v>
      </c>
      <c r="DW15" s="376">
        <v>194</v>
      </c>
      <c r="DX15" s="376">
        <v>213</v>
      </c>
      <c r="DY15" s="376">
        <v>265</v>
      </c>
      <c r="DZ15" s="376">
        <v>371</v>
      </c>
      <c r="EA15" s="376">
        <v>330</v>
      </c>
      <c r="EB15" s="376">
        <v>301</v>
      </c>
      <c r="EC15" s="376">
        <v>372</v>
      </c>
      <c r="ED15" s="376">
        <v>240</v>
      </c>
      <c r="EE15" s="376">
        <v>269</v>
      </c>
      <c r="EF15" s="376">
        <v>350.17875396925263</v>
      </c>
      <c r="EG15" s="376">
        <v>233.61684385178276</v>
      </c>
      <c r="EH15" s="376">
        <v>216.63556648281792</v>
      </c>
      <c r="EI15" s="376">
        <v>263.42932171382796</v>
      </c>
      <c r="EJ15" s="376">
        <v>242.96463173057313</v>
      </c>
      <c r="EK15" s="376">
        <v>236.4307327838803</v>
      </c>
      <c r="EL15" s="376">
        <v>252.20310163079907</v>
      </c>
      <c r="EM15" s="376">
        <v>241.51165027320164</v>
      </c>
      <c r="EN15" s="376">
        <v>244.24234783972233</v>
      </c>
      <c r="EO15" s="376">
        <v>244.27062496017967</v>
      </c>
      <c r="EP15" s="389"/>
      <c r="EQ15" s="320">
        <v>-5.2179082728431858E-3</v>
      </c>
    </row>
    <row r="16" spans="1:147" s="390" customFormat="1" ht="25.5" outlineLevel="2">
      <c r="A16" s="385"/>
      <c r="B16"/>
      <c r="C16"/>
      <c r="D16"/>
      <c r="E16"/>
      <c r="F16"/>
      <c r="G16"/>
      <c r="H16" s="386"/>
      <c r="I16" s="387" t="s">
        <v>1477</v>
      </c>
      <c r="J16" s="386"/>
      <c r="K16" s="386"/>
      <c r="L16" s="386"/>
      <c r="M16" s="388"/>
      <c r="N16" s="386"/>
      <c r="O16" s="386"/>
      <c r="P16" s="386"/>
      <c r="Q16" s="388"/>
      <c r="R16" s="386"/>
      <c r="S16" s="386"/>
      <c r="T16" s="386"/>
      <c r="U16" s="388"/>
      <c r="V16" s="386"/>
      <c r="W16" s="386"/>
      <c r="X16" s="386"/>
      <c r="Y16" s="388"/>
      <c r="Z16" s="386"/>
      <c r="AA16" s="386"/>
      <c r="AB16" s="386"/>
      <c r="AC16" s="388"/>
      <c r="AD16" s="386"/>
      <c r="AE16" s="386"/>
      <c r="AF16" s="386"/>
      <c r="AG16" s="388"/>
      <c r="AH16" s="386"/>
      <c r="AI16" s="386"/>
      <c r="AJ16" s="386"/>
      <c r="AK16" s="388"/>
      <c r="AL16" s="386"/>
      <c r="AM16" s="386"/>
      <c r="AN16" s="386"/>
      <c r="AO16" s="388"/>
      <c r="AP16" s="386"/>
      <c r="AQ16" s="386"/>
      <c r="AR16" s="386"/>
      <c r="AS16" s="388"/>
      <c r="AT16" s="325">
        <v>52</v>
      </c>
      <c r="AU16" s="325">
        <v>51</v>
      </c>
      <c r="AV16" s="325">
        <v>55</v>
      </c>
      <c r="AW16" s="372">
        <v>152</v>
      </c>
      <c r="AX16" s="325">
        <v>43</v>
      </c>
      <c r="AY16" s="325">
        <v>29</v>
      </c>
      <c r="AZ16" s="325">
        <v>33</v>
      </c>
      <c r="BA16" s="372">
        <v>92</v>
      </c>
      <c r="BB16" s="325">
        <v>29</v>
      </c>
      <c r="BC16" s="325">
        <v>24</v>
      </c>
      <c r="BD16" s="325">
        <v>16</v>
      </c>
      <c r="BE16" s="372">
        <v>96</v>
      </c>
      <c r="BF16" s="325">
        <v>7</v>
      </c>
      <c r="BG16" s="325">
        <v>20</v>
      </c>
      <c r="BH16" s="325">
        <v>10</v>
      </c>
      <c r="BI16" s="372">
        <v>52</v>
      </c>
      <c r="BJ16" s="325">
        <v>38</v>
      </c>
      <c r="BK16" s="325">
        <v>14</v>
      </c>
      <c r="BL16" s="325">
        <v>4</v>
      </c>
      <c r="BM16" s="372">
        <v>6</v>
      </c>
      <c r="BN16" s="325">
        <v>5</v>
      </c>
      <c r="BO16" s="325">
        <v>7</v>
      </c>
      <c r="BP16" s="325">
        <v>8</v>
      </c>
      <c r="BQ16" s="372">
        <v>9</v>
      </c>
      <c r="BR16" s="325">
        <v>11</v>
      </c>
      <c r="BS16" s="325">
        <v>19</v>
      </c>
      <c r="BT16" s="325">
        <v>25</v>
      </c>
      <c r="BU16" s="372">
        <v>15</v>
      </c>
      <c r="BV16" s="325">
        <v>52</v>
      </c>
      <c r="BW16" s="325">
        <v>128</v>
      </c>
      <c r="BX16" s="325">
        <v>139</v>
      </c>
      <c r="BY16" s="372">
        <v>153</v>
      </c>
      <c r="BZ16" s="373">
        <v>122</v>
      </c>
      <c r="CA16" s="325">
        <v>120</v>
      </c>
      <c r="CB16" s="325">
        <v>117</v>
      </c>
      <c r="CC16" s="372">
        <v>124</v>
      </c>
      <c r="CD16" s="373">
        <v>84</v>
      </c>
      <c r="CE16" s="325">
        <v>85</v>
      </c>
      <c r="CF16" s="325">
        <v>109</v>
      </c>
      <c r="CG16" s="372">
        <v>121</v>
      </c>
      <c r="CH16" s="373">
        <v>61</v>
      </c>
      <c r="CI16" s="325">
        <v>53</v>
      </c>
      <c r="CJ16" s="325">
        <v>50</v>
      </c>
      <c r="CK16" s="372">
        <v>68</v>
      </c>
      <c r="CL16" s="373">
        <v>46</v>
      </c>
      <c r="CM16" s="325">
        <v>28</v>
      </c>
      <c r="CN16" s="325">
        <v>41</v>
      </c>
      <c r="CO16" s="372">
        <v>39</v>
      </c>
      <c r="CP16" s="373">
        <v>30</v>
      </c>
      <c r="CQ16" s="325">
        <v>29</v>
      </c>
      <c r="CR16" s="325">
        <v>28</v>
      </c>
      <c r="CS16" s="372">
        <v>25.760465518419984</v>
      </c>
      <c r="CT16" s="373">
        <v>16.168259323158505</v>
      </c>
      <c r="CU16" s="325">
        <v>20.617324252566288</v>
      </c>
      <c r="CV16" s="325">
        <v>24.507196978295269</v>
      </c>
      <c r="CW16" s="372">
        <v>26.700301803825091</v>
      </c>
      <c r="CX16" s="386"/>
      <c r="CY16" s="386"/>
      <c r="CZ16" s="386"/>
      <c r="DA16" s="388"/>
      <c r="DB16" s="386"/>
      <c r="DC16" s="386"/>
      <c r="DD16" s="386"/>
      <c r="DE16" s="388"/>
      <c r="DF16" s="386"/>
      <c r="DG16" s="386"/>
      <c r="DH16" s="386"/>
      <c r="DI16" s="388"/>
      <c r="DJ16" s="374"/>
      <c r="DK16" s="389"/>
      <c r="DL16" s="386"/>
      <c r="DM16" s="386"/>
      <c r="DN16" s="386"/>
      <c r="DO16" s="386"/>
      <c r="DP16" s="386"/>
      <c r="DQ16" s="386"/>
      <c r="DR16" s="386"/>
      <c r="DS16" s="376">
        <v>219</v>
      </c>
      <c r="DT16" s="376">
        <v>315</v>
      </c>
      <c r="DU16" s="376">
        <v>197</v>
      </c>
      <c r="DV16" s="376">
        <v>165</v>
      </c>
      <c r="DW16" s="376">
        <v>89</v>
      </c>
      <c r="DX16" s="376">
        <v>62</v>
      </c>
      <c r="DY16" s="376">
        <v>29</v>
      </c>
      <c r="DZ16" s="376">
        <v>70</v>
      </c>
      <c r="EA16" s="376">
        <v>472</v>
      </c>
      <c r="EB16" s="376">
        <v>483</v>
      </c>
      <c r="EC16" s="376">
        <v>399</v>
      </c>
      <c r="ED16" s="376">
        <v>232</v>
      </c>
      <c r="EE16" s="376">
        <v>154</v>
      </c>
      <c r="EF16" s="376">
        <v>112.76046551841998</v>
      </c>
      <c r="EG16" s="376">
        <v>87.993082357845154</v>
      </c>
      <c r="EH16" s="376">
        <v>105.18338634813547</v>
      </c>
      <c r="EI16" s="376">
        <v>96.652317904567155</v>
      </c>
      <c r="EJ16" s="376">
        <v>93.186132274479675</v>
      </c>
      <c r="EK16" s="376">
        <v>100.41985294232833</v>
      </c>
      <c r="EL16" s="376">
        <v>95.69101570749568</v>
      </c>
      <c r="EM16" s="376">
        <v>96.934912223981797</v>
      </c>
      <c r="EN16" s="376">
        <v>96.211579341245951</v>
      </c>
      <c r="EO16" s="376">
        <v>104.47482616671719</v>
      </c>
      <c r="EP16" s="389"/>
      <c r="EQ16" s="320">
        <v>-0.10993261322724002</v>
      </c>
    </row>
    <row r="17" spans="1:147" s="390" customFormat="1" ht="15" customHeight="1" outlineLevel="2">
      <c r="A17" s="385"/>
      <c r="B17"/>
      <c r="C17"/>
      <c r="D17"/>
      <c r="E17"/>
      <c r="F17"/>
      <c r="G17"/>
      <c r="H17" s="386"/>
      <c r="I17" s="379" t="s">
        <v>1478</v>
      </c>
      <c r="J17" s="386"/>
      <c r="K17" s="386"/>
      <c r="L17" s="386"/>
      <c r="M17" s="388"/>
      <c r="N17" s="386"/>
      <c r="O17" s="386"/>
      <c r="P17" s="386"/>
      <c r="Q17" s="388"/>
      <c r="R17" s="386"/>
      <c r="S17" s="386"/>
      <c r="T17" s="386"/>
      <c r="U17" s="388"/>
      <c r="V17" s="386"/>
      <c r="W17" s="386"/>
      <c r="X17" s="386"/>
      <c r="Y17" s="388"/>
      <c r="Z17" s="386"/>
      <c r="AA17" s="386"/>
      <c r="AB17" s="386"/>
      <c r="AC17" s="388"/>
      <c r="AD17" s="386"/>
      <c r="AE17" s="386"/>
      <c r="AF17" s="386"/>
      <c r="AG17" s="388"/>
      <c r="AH17" s="386"/>
      <c r="AI17" s="386"/>
      <c r="AJ17" s="386"/>
      <c r="AK17" s="388"/>
      <c r="AL17" s="386"/>
      <c r="AM17" s="386"/>
      <c r="AN17" s="386"/>
      <c r="AO17" s="388"/>
      <c r="AP17" s="386"/>
      <c r="AQ17" s="386"/>
      <c r="AR17" s="386"/>
      <c r="AS17" s="388"/>
      <c r="AT17" s="380">
        <v>497</v>
      </c>
      <c r="AU17" s="381">
        <v>566</v>
      </c>
      <c r="AV17" s="381">
        <v>364</v>
      </c>
      <c r="AW17" s="382">
        <v>545</v>
      </c>
      <c r="AX17" s="381">
        <v>771</v>
      </c>
      <c r="AY17" s="381">
        <v>597</v>
      </c>
      <c r="AZ17" s="381">
        <v>393</v>
      </c>
      <c r="BA17" s="382">
        <v>546</v>
      </c>
      <c r="BB17" s="381">
        <v>994</v>
      </c>
      <c r="BC17" s="381">
        <v>800</v>
      </c>
      <c r="BD17" s="381">
        <v>513</v>
      </c>
      <c r="BE17" s="382">
        <v>678</v>
      </c>
      <c r="BF17" s="381">
        <v>808</v>
      </c>
      <c r="BG17" s="381">
        <v>698</v>
      </c>
      <c r="BH17" s="381">
        <v>604</v>
      </c>
      <c r="BI17" s="382">
        <v>1086</v>
      </c>
      <c r="BJ17" s="381">
        <v>908</v>
      </c>
      <c r="BK17" s="381">
        <v>765</v>
      </c>
      <c r="BL17" s="381">
        <v>516</v>
      </c>
      <c r="BM17" s="382">
        <v>863</v>
      </c>
      <c r="BN17" s="381">
        <v>769</v>
      </c>
      <c r="BO17" s="381">
        <v>670</v>
      </c>
      <c r="BP17" s="381">
        <v>500</v>
      </c>
      <c r="BQ17" s="382">
        <v>944</v>
      </c>
      <c r="BR17" s="381">
        <v>865</v>
      </c>
      <c r="BS17" s="381">
        <v>747</v>
      </c>
      <c r="BT17" s="381">
        <v>653</v>
      </c>
      <c r="BU17" s="382">
        <v>815</v>
      </c>
      <c r="BV17" s="381">
        <v>964</v>
      </c>
      <c r="BW17" s="381">
        <v>972</v>
      </c>
      <c r="BX17" s="381">
        <v>1039</v>
      </c>
      <c r="BY17" s="382">
        <v>1238</v>
      </c>
      <c r="BZ17" s="380">
        <v>1141</v>
      </c>
      <c r="CA17" s="381">
        <v>1070</v>
      </c>
      <c r="CB17" s="381">
        <v>1066</v>
      </c>
      <c r="CC17" s="382">
        <v>1240</v>
      </c>
      <c r="CD17" s="380">
        <v>1303</v>
      </c>
      <c r="CE17" s="381">
        <v>1131</v>
      </c>
      <c r="CF17" s="381">
        <v>999</v>
      </c>
      <c r="CG17" s="382">
        <v>1549</v>
      </c>
      <c r="CH17" s="380">
        <v>1262</v>
      </c>
      <c r="CI17" s="381">
        <v>963</v>
      </c>
      <c r="CJ17" s="381">
        <v>840</v>
      </c>
      <c r="CK17" s="382">
        <v>1330</v>
      </c>
      <c r="CL17" s="380">
        <v>1283</v>
      </c>
      <c r="CM17" s="381">
        <v>1463</v>
      </c>
      <c r="CN17" s="381">
        <v>1485</v>
      </c>
      <c r="CO17" s="382">
        <v>1595</v>
      </c>
      <c r="CP17" s="380">
        <v>1697</v>
      </c>
      <c r="CQ17" s="381">
        <v>1741</v>
      </c>
      <c r="CR17" s="381">
        <v>1543</v>
      </c>
      <c r="CS17" s="382">
        <v>2101.9612636692464</v>
      </c>
      <c r="CT17" s="380">
        <v>1269.2492845975908</v>
      </c>
      <c r="CU17" s="381">
        <v>1266.3760049007712</v>
      </c>
      <c r="CV17" s="381">
        <v>1617.3365970458219</v>
      </c>
      <c r="CW17" s="382">
        <v>2574.4353359299266</v>
      </c>
      <c r="CX17" s="386"/>
      <c r="CY17" s="386"/>
      <c r="CZ17" s="386"/>
      <c r="DA17" s="388"/>
      <c r="DB17" s="386"/>
      <c r="DC17" s="386"/>
      <c r="DD17" s="386"/>
      <c r="DE17" s="388"/>
      <c r="DF17" s="386"/>
      <c r="DG17" s="386"/>
      <c r="DH17" s="386"/>
      <c r="DI17" s="388"/>
      <c r="DJ17" s="374"/>
      <c r="DK17" s="389"/>
      <c r="DL17" s="386"/>
      <c r="DM17" s="386"/>
      <c r="DN17" s="386"/>
      <c r="DO17" s="386"/>
      <c r="DP17" s="386"/>
      <c r="DQ17" s="386"/>
      <c r="DR17" s="386"/>
      <c r="DS17" s="381">
        <v>1187</v>
      </c>
      <c r="DT17" s="381">
        <v>1972</v>
      </c>
      <c r="DU17" s="381">
        <v>2307</v>
      </c>
      <c r="DV17" s="381">
        <v>2985</v>
      </c>
      <c r="DW17" s="381">
        <v>3196</v>
      </c>
      <c r="DX17" s="381">
        <v>3052</v>
      </c>
      <c r="DY17" s="381">
        <v>2883</v>
      </c>
      <c r="DZ17" s="381">
        <v>3080</v>
      </c>
      <c r="EA17" s="381">
        <v>4213</v>
      </c>
      <c r="EB17" s="381">
        <v>4517</v>
      </c>
      <c r="EC17" s="381">
        <v>4982</v>
      </c>
      <c r="ED17" s="381">
        <v>4395</v>
      </c>
      <c r="EE17" s="381">
        <v>5826</v>
      </c>
      <c r="EF17" s="381">
        <v>7082.9612636692473</v>
      </c>
      <c r="EG17" s="381">
        <v>6727.3972224741101</v>
      </c>
      <c r="EH17" s="381">
        <v>7848.0928645279218</v>
      </c>
      <c r="EI17" s="381">
        <v>7504.515334177855</v>
      </c>
      <c r="EJ17" s="381">
        <v>7239.7885023005983</v>
      </c>
      <c r="EK17" s="381">
        <v>7758.0794580600195</v>
      </c>
      <c r="EL17" s="381">
        <v>7522.1829087712822</v>
      </c>
      <c r="EM17" s="381">
        <v>7672.4040224645532</v>
      </c>
      <c r="EN17" s="381">
        <v>7661.3669739859415</v>
      </c>
      <c r="EO17" s="381">
        <v>8288.9319572084532</v>
      </c>
      <c r="EP17" s="389"/>
      <c r="EQ17" s="384">
        <v>6.5339530518477851E-2</v>
      </c>
    </row>
    <row r="18" spans="1:147" s="390" customFormat="1" ht="15" customHeight="1" outlineLevel="2">
      <c r="A18" s="385"/>
      <c r="B18"/>
      <c r="C18"/>
      <c r="D18"/>
      <c r="E18"/>
      <c r="F18"/>
      <c r="G18"/>
      <c r="H18" s="386"/>
      <c r="I18" s="378" t="s">
        <v>1479</v>
      </c>
      <c r="J18" s="386"/>
      <c r="K18" s="386"/>
      <c r="L18" s="386"/>
      <c r="M18" s="388"/>
      <c r="N18" s="386"/>
      <c r="O18" s="386"/>
      <c r="P18" s="386"/>
      <c r="Q18" s="388"/>
      <c r="R18" s="386"/>
      <c r="S18" s="386"/>
      <c r="T18" s="386"/>
      <c r="U18" s="388"/>
      <c r="V18" s="386"/>
      <c r="W18" s="386"/>
      <c r="X18" s="386"/>
      <c r="Y18" s="388"/>
      <c r="Z18" s="386"/>
      <c r="AA18" s="386"/>
      <c r="AB18" s="386"/>
      <c r="AC18" s="388"/>
      <c r="AD18" s="386"/>
      <c r="AE18" s="386"/>
      <c r="AF18" s="386"/>
      <c r="AG18" s="388"/>
      <c r="AH18" s="386"/>
      <c r="AI18" s="386"/>
      <c r="AJ18" s="386"/>
      <c r="AK18" s="388"/>
      <c r="AL18" s="386"/>
      <c r="AM18" s="386"/>
      <c r="AN18" s="386"/>
      <c r="AO18" s="388"/>
      <c r="AP18" s="386"/>
      <c r="AQ18" s="386"/>
      <c r="AR18" s="386"/>
      <c r="AS18" s="388"/>
      <c r="AT18" s="325">
        <v>117</v>
      </c>
      <c r="AU18" s="325">
        <v>123</v>
      </c>
      <c r="AV18" s="325">
        <v>122</v>
      </c>
      <c r="AW18" s="372">
        <v>265</v>
      </c>
      <c r="AX18" s="325">
        <v>134</v>
      </c>
      <c r="AY18" s="325">
        <v>97</v>
      </c>
      <c r="AZ18" s="325">
        <v>115</v>
      </c>
      <c r="BA18" s="372">
        <v>270</v>
      </c>
      <c r="BB18" s="325">
        <v>139</v>
      </c>
      <c r="BC18" s="325">
        <v>113</v>
      </c>
      <c r="BD18" s="325">
        <v>129</v>
      </c>
      <c r="BE18" s="372">
        <v>249</v>
      </c>
      <c r="BF18" s="325">
        <v>114</v>
      </c>
      <c r="BG18" s="325">
        <v>145</v>
      </c>
      <c r="BH18" s="325">
        <v>125</v>
      </c>
      <c r="BI18" s="372">
        <v>222</v>
      </c>
      <c r="BJ18" s="325">
        <v>125</v>
      </c>
      <c r="BK18" s="325">
        <v>123</v>
      </c>
      <c r="BL18" s="325">
        <v>140</v>
      </c>
      <c r="BM18" s="372">
        <v>197</v>
      </c>
      <c r="BN18" s="325">
        <v>143</v>
      </c>
      <c r="BO18" s="325">
        <v>112</v>
      </c>
      <c r="BP18" s="325">
        <v>131</v>
      </c>
      <c r="BQ18" s="372">
        <v>184</v>
      </c>
      <c r="BR18" s="325">
        <v>145</v>
      </c>
      <c r="BS18" s="325">
        <v>149</v>
      </c>
      <c r="BT18" s="325">
        <v>159</v>
      </c>
      <c r="BU18" s="372">
        <v>193</v>
      </c>
      <c r="BV18" s="325">
        <v>175</v>
      </c>
      <c r="BW18" s="325">
        <v>249</v>
      </c>
      <c r="BX18" s="325">
        <v>249</v>
      </c>
      <c r="BY18" s="372">
        <v>285</v>
      </c>
      <c r="BZ18" s="373">
        <v>225</v>
      </c>
      <c r="CA18" s="325">
        <v>252</v>
      </c>
      <c r="CB18" s="325">
        <v>273</v>
      </c>
      <c r="CC18" s="372">
        <v>318</v>
      </c>
      <c r="CD18" s="373">
        <v>259</v>
      </c>
      <c r="CE18" s="325">
        <v>255</v>
      </c>
      <c r="CF18" s="325">
        <v>263</v>
      </c>
      <c r="CG18" s="372">
        <v>325</v>
      </c>
      <c r="CH18" s="373">
        <v>249</v>
      </c>
      <c r="CI18" s="325">
        <v>244</v>
      </c>
      <c r="CJ18" s="325">
        <v>210</v>
      </c>
      <c r="CK18" s="372">
        <v>296</v>
      </c>
      <c r="CL18" s="373">
        <v>238</v>
      </c>
      <c r="CM18" s="325">
        <v>291</v>
      </c>
      <c r="CN18" s="325">
        <v>274</v>
      </c>
      <c r="CO18" s="372">
        <v>350</v>
      </c>
      <c r="CP18" s="373">
        <v>353</v>
      </c>
      <c r="CQ18" s="325">
        <v>335</v>
      </c>
      <c r="CR18" s="325">
        <v>329</v>
      </c>
      <c r="CS18" s="372">
        <v>335.5438003101325</v>
      </c>
      <c r="CT18" s="373">
        <v>343.32311644705652</v>
      </c>
      <c r="CU18" s="325">
        <v>340.85323011746829</v>
      </c>
      <c r="CV18" s="325">
        <v>389.07539160858937</v>
      </c>
      <c r="CW18" s="372">
        <v>451.58082195074189</v>
      </c>
      <c r="CX18" s="386"/>
      <c r="CY18" s="386"/>
      <c r="CZ18" s="386"/>
      <c r="DA18" s="388"/>
      <c r="DB18" s="386"/>
      <c r="DC18" s="386"/>
      <c r="DD18" s="386"/>
      <c r="DE18" s="388"/>
      <c r="DF18" s="386"/>
      <c r="DG18" s="386"/>
      <c r="DH18" s="386"/>
      <c r="DI18" s="388"/>
      <c r="DJ18" s="374"/>
      <c r="DK18" s="389"/>
      <c r="DL18" s="386"/>
      <c r="DM18" s="386"/>
      <c r="DN18" s="386"/>
      <c r="DO18" s="386"/>
      <c r="DP18" s="386"/>
      <c r="DQ18" s="386"/>
      <c r="DR18" s="386"/>
      <c r="DS18" s="376">
        <v>592</v>
      </c>
      <c r="DT18" s="376">
        <v>627</v>
      </c>
      <c r="DU18" s="376">
        <v>616</v>
      </c>
      <c r="DV18" s="376">
        <v>630</v>
      </c>
      <c r="DW18" s="376">
        <v>606</v>
      </c>
      <c r="DX18" s="376">
        <v>585</v>
      </c>
      <c r="DY18" s="376">
        <v>570</v>
      </c>
      <c r="DZ18" s="376">
        <v>646</v>
      </c>
      <c r="EA18" s="325">
        <v>958</v>
      </c>
      <c r="EB18" s="325">
        <v>1068</v>
      </c>
      <c r="EC18" s="325">
        <v>1102</v>
      </c>
      <c r="ED18" s="325">
        <v>999</v>
      </c>
      <c r="EE18" s="325">
        <v>1153</v>
      </c>
      <c r="EF18" s="325">
        <v>1352.5438003101326</v>
      </c>
      <c r="EG18" s="325">
        <v>1524.832560123856</v>
      </c>
      <c r="EH18" s="325">
        <v>1566.5987364525449</v>
      </c>
      <c r="EI18" s="325">
        <v>1590.8873202083801</v>
      </c>
      <c r="EJ18" s="325">
        <v>1617.5586573613482</v>
      </c>
      <c r="EK18" s="325">
        <v>1653.6401585013464</v>
      </c>
      <c r="EL18" s="325">
        <v>1681.9108795239827</v>
      </c>
      <c r="EM18" s="325">
        <v>1714.4397893827718</v>
      </c>
      <c r="EN18" s="325">
        <v>1746.5885974431492</v>
      </c>
      <c r="EO18" s="325">
        <v>1786.2463339671378</v>
      </c>
      <c r="EP18" s="389"/>
      <c r="EQ18" s="320">
        <v>8.3808438963138832E-2</v>
      </c>
    </row>
    <row r="19" spans="1:147" s="390" customFormat="1" ht="15" customHeight="1" outlineLevel="2">
      <c r="A19" s="385"/>
      <c r="B19"/>
      <c r="C19"/>
      <c r="D19"/>
      <c r="E19"/>
      <c r="F19"/>
      <c r="G19"/>
      <c r="H19" s="386"/>
      <c r="I19" s="378" t="s">
        <v>1480</v>
      </c>
      <c r="J19" s="386"/>
      <c r="K19" s="386"/>
      <c r="L19" s="386"/>
      <c r="M19" s="388"/>
      <c r="N19" s="386"/>
      <c r="O19" s="386"/>
      <c r="P19" s="386"/>
      <c r="Q19" s="388"/>
      <c r="R19" s="386"/>
      <c r="S19" s="386"/>
      <c r="T19" s="386"/>
      <c r="U19" s="388"/>
      <c r="V19" s="386"/>
      <c r="W19" s="386"/>
      <c r="X19" s="386"/>
      <c r="Y19" s="388"/>
      <c r="Z19" s="386"/>
      <c r="AA19" s="386"/>
      <c r="AB19" s="386"/>
      <c r="AC19" s="388"/>
      <c r="AD19" s="386"/>
      <c r="AE19" s="386"/>
      <c r="AF19" s="386"/>
      <c r="AG19" s="388"/>
      <c r="AH19" s="386"/>
      <c r="AI19" s="386"/>
      <c r="AJ19" s="386"/>
      <c r="AK19" s="388"/>
      <c r="AL19" s="386"/>
      <c r="AM19" s="386"/>
      <c r="AN19" s="386"/>
      <c r="AO19" s="388"/>
      <c r="AP19" s="386"/>
      <c r="AQ19" s="386"/>
      <c r="AR19" s="386"/>
      <c r="AS19" s="388"/>
      <c r="AT19" s="325">
        <v>83</v>
      </c>
      <c r="AU19" s="325">
        <v>118</v>
      </c>
      <c r="AV19" s="325">
        <v>128</v>
      </c>
      <c r="AW19" s="372">
        <v>215</v>
      </c>
      <c r="AX19" s="325">
        <v>56</v>
      </c>
      <c r="AY19" s="325">
        <v>125</v>
      </c>
      <c r="AZ19" s="325">
        <v>110</v>
      </c>
      <c r="BA19" s="372">
        <v>225</v>
      </c>
      <c r="BB19" s="325">
        <v>60</v>
      </c>
      <c r="BC19" s="325">
        <v>90</v>
      </c>
      <c r="BD19" s="325">
        <v>115</v>
      </c>
      <c r="BE19" s="372">
        <v>281</v>
      </c>
      <c r="BF19" s="325">
        <v>79</v>
      </c>
      <c r="BG19" s="325">
        <v>136</v>
      </c>
      <c r="BH19" s="325">
        <v>131</v>
      </c>
      <c r="BI19" s="372">
        <v>232</v>
      </c>
      <c r="BJ19" s="325">
        <v>107</v>
      </c>
      <c r="BK19" s="325">
        <v>116</v>
      </c>
      <c r="BL19" s="325">
        <v>144</v>
      </c>
      <c r="BM19" s="372">
        <v>239</v>
      </c>
      <c r="BN19" s="325">
        <v>104</v>
      </c>
      <c r="BO19" s="325">
        <v>141</v>
      </c>
      <c r="BP19" s="325">
        <v>221</v>
      </c>
      <c r="BQ19" s="372">
        <v>247</v>
      </c>
      <c r="BR19" s="325">
        <v>92</v>
      </c>
      <c r="BS19" s="325">
        <v>164</v>
      </c>
      <c r="BT19" s="325">
        <v>189</v>
      </c>
      <c r="BU19" s="372">
        <v>289</v>
      </c>
      <c r="BV19" s="325">
        <v>168</v>
      </c>
      <c r="BW19" s="325">
        <v>322</v>
      </c>
      <c r="BX19" s="325">
        <v>340</v>
      </c>
      <c r="BY19" s="372">
        <v>380</v>
      </c>
      <c r="BZ19" s="373">
        <v>246</v>
      </c>
      <c r="CA19" s="325">
        <v>308</v>
      </c>
      <c r="CB19" s="325">
        <v>345</v>
      </c>
      <c r="CC19" s="372">
        <v>479</v>
      </c>
      <c r="CD19" s="373">
        <v>251</v>
      </c>
      <c r="CE19" s="325">
        <v>226</v>
      </c>
      <c r="CF19" s="325">
        <v>263</v>
      </c>
      <c r="CG19" s="372">
        <v>321</v>
      </c>
      <c r="CH19" s="373">
        <v>207</v>
      </c>
      <c r="CI19" s="325">
        <v>191</v>
      </c>
      <c r="CJ19" s="325">
        <v>182</v>
      </c>
      <c r="CK19" s="372">
        <v>346</v>
      </c>
      <c r="CL19" s="373">
        <v>243</v>
      </c>
      <c r="CM19" s="325">
        <v>242</v>
      </c>
      <c r="CN19" s="325">
        <v>238</v>
      </c>
      <c r="CO19" s="372">
        <v>341</v>
      </c>
      <c r="CP19" s="373">
        <v>237</v>
      </c>
      <c r="CQ19" s="325">
        <v>245</v>
      </c>
      <c r="CR19" s="325">
        <v>244</v>
      </c>
      <c r="CS19" s="372">
        <v>317.84224292359977</v>
      </c>
      <c r="CT19" s="373">
        <v>230.91566138970515</v>
      </c>
      <c r="CU19" s="325">
        <v>263.4335383529114</v>
      </c>
      <c r="CV19" s="325">
        <v>289.00884790214735</v>
      </c>
      <c r="CW19" s="372">
        <v>400.4957189894447</v>
      </c>
      <c r="CX19" s="386"/>
      <c r="CY19" s="386"/>
      <c r="CZ19" s="386"/>
      <c r="DA19" s="388"/>
      <c r="DB19" s="386"/>
      <c r="DC19" s="386"/>
      <c r="DD19" s="386"/>
      <c r="DE19" s="388"/>
      <c r="DF19" s="386"/>
      <c r="DG19" s="386"/>
      <c r="DH19" s="386"/>
      <c r="DI19" s="388"/>
      <c r="DJ19" s="374"/>
      <c r="DK19" s="389"/>
      <c r="DL19" s="386"/>
      <c r="DM19" s="386"/>
      <c r="DN19" s="386"/>
      <c r="DO19" s="386"/>
      <c r="DP19" s="386"/>
      <c r="DQ19" s="386"/>
      <c r="DR19" s="386"/>
      <c r="DS19" s="376">
        <v>464</v>
      </c>
      <c r="DT19" s="376">
        <v>544</v>
      </c>
      <c r="DU19" s="376">
        <v>516</v>
      </c>
      <c r="DV19" s="376">
        <v>546</v>
      </c>
      <c r="DW19" s="376">
        <v>578</v>
      </c>
      <c r="DX19" s="376">
        <v>606</v>
      </c>
      <c r="DY19" s="376">
        <v>713</v>
      </c>
      <c r="DZ19" s="376">
        <v>734</v>
      </c>
      <c r="EA19" s="325">
        <v>1210</v>
      </c>
      <c r="EB19" s="325">
        <v>1378</v>
      </c>
      <c r="EC19" s="325">
        <v>1061</v>
      </c>
      <c r="ED19" s="325">
        <v>926</v>
      </c>
      <c r="EE19" s="325">
        <v>1064</v>
      </c>
      <c r="EF19" s="325">
        <v>1043.8422429235998</v>
      </c>
      <c r="EG19" s="325">
        <v>1183.8537666342086</v>
      </c>
      <c r="EH19" s="325">
        <v>1409.5153388846329</v>
      </c>
      <c r="EI19" s="325">
        <v>1269.4502741106082</v>
      </c>
      <c r="EJ19" s="325">
        <v>1293.6236161292641</v>
      </c>
      <c r="EK19" s="325">
        <v>1320.3772510696176</v>
      </c>
      <c r="EL19" s="325">
        <v>1345.6504681488204</v>
      </c>
      <c r="EM19" s="325">
        <v>1372.3014414370436</v>
      </c>
      <c r="EN19" s="325">
        <v>1399.2419712342212</v>
      </c>
      <c r="EO19" s="325">
        <v>1428.3431584236509</v>
      </c>
      <c r="EP19" s="389"/>
      <c r="EQ19" s="320">
        <v>4.5125673807696609E-2</v>
      </c>
    </row>
    <row r="20" spans="1:147" s="390" customFormat="1" ht="15" customHeight="1" outlineLevel="2">
      <c r="A20" s="385"/>
      <c r="B20"/>
      <c r="C20"/>
      <c r="D20"/>
      <c r="E20"/>
      <c r="F20"/>
      <c r="G20"/>
      <c r="H20" s="386"/>
      <c r="I20" s="378" t="s">
        <v>1481</v>
      </c>
      <c r="J20" s="386"/>
      <c r="K20" s="386"/>
      <c r="L20" s="386"/>
      <c r="M20" s="388"/>
      <c r="N20" s="386"/>
      <c r="O20" s="386"/>
      <c r="P20" s="386"/>
      <c r="Q20" s="388"/>
      <c r="R20" s="386"/>
      <c r="S20" s="386"/>
      <c r="T20" s="386"/>
      <c r="U20" s="388"/>
      <c r="V20" s="386"/>
      <c r="W20" s="386"/>
      <c r="X20" s="386"/>
      <c r="Y20" s="388"/>
      <c r="Z20" s="386"/>
      <c r="AA20" s="386"/>
      <c r="AB20" s="386"/>
      <c r="AC20" s="388"/>
      <c r="AD20" s="386"/>
      <c r="AE20" s="386"/>
      <c r="AF20" s="386"/>
      <c r="AG20" s="388"/>
      <c r="AH20" s="386"/>
      <c r="AI20" s="386"/>
      <c r="AJ20" s="386"/>
      <c r="AK20" s="388"/>
      <c r="AL20" s="386"/>
      <c r="AM20" s="386"/>
      <c r="AN20" s="386"/>
      <c r="AO20" s="388"/>
      <c r="AP20" s="386"/>
      <c r="AQ20" s="386"/>
      <c r="AR20" s="386"/>
      <c r="AS20" s="388"/>
      <c r="AT20" s="325">
        <v>118</v>
      </c>
      <c r="AU20" s="325">
        <v>107</v>
      </c>
      <c r="AV20" s="325">
        <v>105</v>
      </c>
      <c r="AW20" s="372">
        <v>497</v>
      </c>
      <c r="AX20" s="325">
        <v>70</v>
      </c>
      <c r="AY20" s="325">
        <v>75</v>
      </c>
      <c r="AZ20" s="325">
        <v>113</v>
      </c>
      <c r="BA20" s="372">
        <v>448</v>
      </c>
      <c r="BB20" s="325">
        <v>121</v>
      </c>
      <c r="BC20" s="325">
        <v>130</v>
      </c>
      <c r="BD20" s="325">
        <v>107</v>
      </c>
      <c r="BE20" s="372">
        <v>123</v>
      </c>
      <c r="BF20" s="325">
        <v>102</v>
      </c>
      <c r="BG20" s="325">
        <v>190</v>
      </c>
      <c r="BH20" s="325">
        <v>121</v>
      </c>
      <c r="BI20" s="372">
        <v>148</v>
      </c>
      <c r="BJ20" s="325">
        <v>89</v>
      </c>
      <c r="BK20" s="325">
        <v>96</v>
      </c>
      <c r="BL20" s="325">
        <v>162</v>
      </c>
      <c r="BM20" s="372">
        <v>143</v>
      </c>
      <c r="BN20" s="325">
        <v>95</v>
      </c>
      <c r="BO20" s="325">
        <v>107</v>
      </c>
      <c r="BP20" s="325">
        <v>140</v>
      </c>
      <c r="BQ20" s="372">
        <v>75</v>
      </c>
      <c r="BR20" s="325">
        <v>86</v>
      </c>
      <c r="BS20" s="325">
        <v>102</v>
      </c>
      <c r="BT20" s="325">
        <v>109</v>
      </c>
      <c r="BU20" s="372">
        <v>83</v>
      </c>
      <c r="BV20" s="325">
        <v>160</v>
      </c>
      <c r="BW20" s="325">
        <v>169</v>
      </c>
      <c r="BX20" s="325">
        <v>156</v>
      </c>
      <c r="BY20" s="372">
        <v>148</v>
      </c>
      <c r="BZ20" s="373">
        <v>177</v>
      </c>
      <c r="CA20" s="325">
        <v>171</v>
      </c>
      <c r="CB20" s="325">
        <v>191</v>
      </c>
      <c r="CC20" s="372">
        <v>222</v>
      </c>
      <c r="CD20" s="373">
        <v>198</v>
      </c>
      <c r="CE20" s="325">
        <v>216</v>
      </c>
      <c r="CF20" s="325">
        <v>208</v>
      </c>
      <c r="CG20" s="372">
        <v>209</v>
      </c>
      <c r="CH20" s="373">
        <v>179</v>
      </c>
      <c r="CI20" s="325">
        <v>192</v>
      </c>
      <c r="CJ20" s="325">
        <v>201</v>
      </c>
      <c r="CK20" s="372">
        <v>234</v>
      </c>
      <c r="CL20" s="373">
        <v>190</v>
      </c>
      <c r="CM20" s="325">
        <v>181</v>
      </c>
      <c r="CN20" s="325">
        <v>195</v>
      </c>
      <c r="CO20" s="372">
        <v>310</v>
      </c>
      <c r="CP20" s="373">
        <v>312</v>
      </c>
      <c r="CQ20" s="325">
        <v>202</v>
      </c>
      <c r="CR20" s="325">
        <v>146</v>
      </c>
      <c r="CS20" s="372">
        <v>203.89947091906805</v>
      </c>
      <c r="CT20" s="373">
        <v>293.86942849559216</v>
      </c>
      <c r="CU20" s="325">
        <v>194.08815482379757</v>
      </c>
      <c r="CV20" s="325">
        <v>165.84133653818958</v>
      </c>
      <c r="CW20" s="372">
        <v>251.66972108092409</v>
      </c>
      <c r="CX20" s="386"/>
      <c r="CY20" s="386"/>
      <c r="CZ20" s="386"/>
      <c r="DA20" s="388"/>
      <c r="DB20" s="386"/>
      <c r="DC20" s="386"/>
      <c r="DD20" s="386"/>
      <c r="DE20" s="388"/>
      <c r="DF20" s="386"/>
      <c r="DG20" s="386"/>
      <c r="DH20" s="386"/>
      <c r="DI20" s="388"/>
      <c r="DJ20" s="374"/>
      <c r="DK20" s="389"/>
      <c r="DL20" s="386"/>
      <c r="DM20" s="386"/>
      <c r="DN20" s="386"/>
      <c r="DO20" s="386"/>
      <c r="DP20" s="386"/>
      <c r="DQ20" s="386"/>
      <c r="DR20" s="386"/>
      <c r="DS20" s="376">
        <v>364</v>
      </c>
      <c r="DT20" s="376">
        <v>827</v>
      </c>
      <c r="DU20" s="376">
        <v>706</v>
      </c>
      <c r="DV20" s="376">
        <v>481</v>
      </c>
      <c r="DW20" s="376">
        <v>561</v>
      </c>
      <c r="DX20" s="376">
        <v>490</v>
      </c>
      <c r="DY20" s="376">
        <v>417</v>
      </c>
      <c r="DZ20" s="376">
        <v>380</v>
      </c>
      <c r="EA20" s="391">
        <v>633</v>
      </c>
      <c r="EB20" s="391">
        <v>761</v>
      </c>
      <c r="EC20" s="391">
        <v>831</v>
      </c>
      <c r="ED20" s="391">
        <v>806</v>
      </c>
      <c r="EE20" s="391">
        <v>876</v>
      </c>
      <c r="EF20" s="391">
        <v>863.89947091906811</v>
      </c>
      <c r="EG20" s="391">
        <v>905.46864093850343</v>
      </c>
      <c r="EH20" s="391">
        <v>905.54958789475108</v>
      </c>
      <c r="EI20" s="391">
        <v>935.10423616374283</v>
      </c>
      <c r="EJ20" s="391">
        <v>962.61185634758112</v>
      </c>
      <c r="EK20" s="391">
        <v>977.48264688994436</v>
      </c>
      <c r="EL20" s="391">
        <v>1005.8151003245798</v>
      </c>
      <c r="EM20" s="391">
        <v>1029.3943867390162</v>
      </c>
      <c r="EN20" s="391">
        <v>1055.2846306857789</v>
      </c>
      <c r="EO20" s="391">
        <v>1071.5979883299817</v>
      </c>
      <c r="EP20" s="389"/>
      <c r="EQ20" s="320">
        <v>1.6456926298613617E-2</v>
      </c>
    </row>
    <row r="21" spans="1:147" s="390" customFormat="1" ht="15" customHeight="1" outlineLevel="2">
      <c r="A21" s="385"/>
      <c r="B21"/>
      <c r="C21"/>
      <c r="D21"/>
      <c r="E21"/>
      <c r="F21"/>
      <c r="G21"/>
      <c r="H21" s="386"/>
      <c r="I21" s="379" t="s">
        <v>1482</v>
      </c>
      <c r="J21" s="392"/>
      <c r="K21" s="392"/>
      <c r="L21" s="392"/>
      <c r="M21" s="393"/>
      <c r="N21" s="392"/>
      <c r="O21" s="392"/>
      <c r="P21" s="392"/>
      <c r="Q21" s="393"/>
      <c r="R21" s="392"/>
      <c r="S21" s="392"/>
      <c r="T21" s="392"/>
      <c r="U21" s="393"/>
      <c r="V21" s="392"/>
      <c r="W21" s="392"/>
      <c r="X21" s="392"/>
      <c r="Y21" s="393"/>
      <c r="Z21" s="392"/>
      <c r="AA21" s="392"/>
      <c r="AB21" s="392"/>
      <c r="AC21" s="393"/>
      <c r="AD21" s="392"/>
      <c r="AE21" s="392"/>
      <c r="AF21" s="392"/>
      <c r="AG21" s="393"/>
      <c r="AH21" s="392"/>
      <c r="AI21" s="392"/>
      <c r="AJ21" s="392"/>
      <c r="AK21" s="393"/>
      <c r="AL21" s="392"/>
      <c r="AM21" s="392"/>
      <c r="AN21" s="392"/>
      <c r="AO21" s="393"/>
      <c r="AP21" s="392"/>
      <c r="AQ21" s="392"/>
      <c r="AR21" s="392"/>
      <c r="AS21" s="393"/>
      <c r="AT21" s="394">
        <v>179</v>
      </c>
      <c r="AU21" s="394">
        <v>218</v>
      </c>
      <c r="AV21" s="394">
        <v>9</v>
      </c>
      <c r="AW21" s="395">
        <v>-432</v>
      </c>
      <c r="AX21" s="394">
        <v>511</v>
      </c>
      <c r="AY21" s="394">
        <v>300</v>
      </c>
      <c r="AZ21" s="394">
        <v>55</v>
      </c>
      <c r="BA21" s="395">
        <v>-397</v>
      </c>
      <c r="BB21" s="394">
        <v>674</v>
      </c>
      <c r="BC21" s="394">
        <v>467</v>
      </c>
      <c r="BD21" s="394">
        <v>162</v>
      </c>
      <c r="BE21" s="395">
        <v>25</v>
      </c>
      <c r="BF21" s="394">
        <v>513</v>
      </c>
      <c r="BG21" s="394">
        <v>227</v>
      </c>
      <c r="BH21" s="394">
        <v>227</v>
      </c>
      <c r="BI21" s="395">
        <v>484</v>
      </c>
      <c r="BJ21" s="394">
        <v>587</v>
      </c>
      <c r="BK21" s="394">
        <v>430</v>
      </c>
      <c r="BL21" s="394">
        <v>70</v>
      </c>
      <c r="BM21" s="395">
        <v>284</v>
      </c>
      <c r="BN21" s="394">
        <v>427</v>
      </c>
      <c r="BO21" s="394">
        <v>310</v>
      </c>
      <c r="BP21" s="394">
        <v>8</v>
      </c>
      <c r="BQ21" s="395">
        <v>438</v>
      </c>
      <c r="BR21" s="394">
        <v>542</v>
      </c>
      <c r="BS21" s="394">
        <v>332</v>
      </c>
      <c r="BT21" s="394">
        <v>196</v>
      </c>
      <c r="BU21" s="395">
        <v>250</v>
      </c>
      <c r="BV21" s="394">
        <v>461</v>
      </c>
      <c r="BW21" s="394">
        <v>232</v>
      </c>
      <c r="BX21" s="394">
        <v>294</v>
      </c>
      <c r="BY21" s="395">
        <v>425</v>
      </c>
      <c r="BZ21" s="396">
        <v>493</v>
      </c>
      <c r="CA21" s="394">
        <v>339</v>
      </c>
      <c r="CB21" s="394">
        <v>257</v>
      </c>
      <c r="CC21" s="395">
        <v>221</v>
      </c>
      <c r="CD21" s="396">
        <v>595</v>
      </c>
      <c r="CE21" s="394">
        <v>434</v>
      </c>
      <c r="CF21" s="394">
        <v>265</v>
      </c>
      <c r="CG21" s="395">
        <v>694</v>
      </c>
      <c r="CH21" s="396">
        <v>570</v>
      </c>
      <c r="CI21" s="394">
        <v>336</v>
      </c>
      <c r="CJ21" s="394">
        <v>247</v>
      </c>
      <c r="CK21" s="395">
        <v>454</v>
      </c>
      <c r="CL21" s="396">
        <v>612</v>
      </c>
      <c r="CM21" s="394">
        <v>749</v>
      </c>
      <c r="CN21" s="394">
        <v>778</v>
      </c>
      <c r="CO21" s="395">
        <v>594</v>
      </c>
      <c r="CP21" s="396">
        <v>795</v>
      </c>
      <c r="CQ21" s="394">
        <v>959</v>
      </c>
      <c r="CR21" s="394">
        <v>824</v>
      </c>
      <c r="CS21" s="395">
        <v>1244.6757495164459</v>
      </c>
      <c r="CT21" s="396">
        <v>401.14107826523696</v>
      </c>
      <c r="CU21" s="394">
        <v>468.00108160659397</v>
      </c>
      <c r="CV21" s="394">
        <v>773.41102099689556</v>
      </c>
      <c r="CW21" s="395">
        <v>1470.6890739088162</v>
      </c>
      <c r="CX21" s="392"/>
      <c r="CY21" s="392"/>
      <c r="CZ21" s="392"/>
      <c r="DA21" s="393"/>
      <c r="DB21" s="392"/>
      <c r="DC21" s="392"/>
      <c r="DD21" s="392"/>
      <c r="DE21" s="393"/>
      <c r="DF21" s="392"/>
      <c r="DG21" s="392"/>
      <c r="DH21" s="392"/>
      <c r="DI21" s="393"/>
      <c r="DJ21" s="374"/>
      <c r="DK21" s="397"/>
      <c r="DL21" s="392"/>
      <c r="DM21" s="392"/>
      <c r="DN21" s="392"/>
      <c r="DO21" s="392"/>
      <c r="DP21" s="392"/>
      <c r="DQ21" s="392"/>
      <c r="DR21" s="392"/>
      <c r="DS21" s="398">
        <v>-233</v>
      </c>
      <c r="DT21" s="398">
        <v>-26</v>
      </c>
      <c r="DU21" s="398">
        <v>469</v>
      </c>
      <c r="DV21" s="398">
        <v>1328</v>
      </c>
      <c r="DW21" s="398">
        <v>1451</v>
      </c>
      <c r="DX21" s="398">
        <v>1371</v>
      </c>
      <c r="DY21" s="398">
        <v>1183</v>
      </c>
      <c r="DZ21" s="398">
        <v>1320</v>
      </c>
      <c r="EA21" s="394">
        <v>1412</v>
      </c>
      <c r="EB21" s="394">
        <v>1310</v>
      </c>
      <c r="EC21" s="394">
        <v>1988</v>
      </c>
      <c r="ED21" s="394">
        <v>1664</v>
      </c>
      <c r="EE21" s="394">
        <v>2733</v>
      </c>
      <c r="EF21" s="394">
        <v>3822.6757495164466</v>
      </c>
      <c r="EG21" s="394">
        <v>3113.2422547775432</v>
      </c>
      <c r="EH21" s="394">
        <v>3966.4292012959932</v>
      </c>
      <c r="EI21" s="394">
        <v>3709.0735036951246</v>
      </c>
      <c r="EJ21" s="394">
        <v>3365.9943724624045</v>
      </c>
      <c r="EK21" s="394">
        <v>3806.5794015991105</v>
      </c>
      <c r="EL21" s="394">
        <v>3488.8064607738993</v>
      </c>
      <c r="EM21" s="394">
        <v>3556.2684049057207</v>
      </c>
      <c r="EN21" s="394">
        <v>3460.2517746227913</v>
      </c>
      <c r="EO21" s="394">
        <v>4002.7444764876827</v>
      </c>
      <c r="EP21" s="389"/>
      <c r="EQ21" s="384">
        <v>7.9335476533730409E-2</v>
      </c>
    </row>
    <row r="22" spans="1:147" s="390" customFormat="1" ht="15" customHeight="1" outlineLevel="2">
      <c r="A22" s="385"/>
      <c r="B22"/>
      <c r="C22"/>
      <c r="D22"/>
      <c r="E22"/>
      <c r="F22"/>
      <c r="G22"/>
      <c r="H22" s="386"/>
      <c r="I22" s="378" t="s">
        <v>1483</v>
      </c>
      <c r="J22" s="399"/>
      <c r="K22" s="399"/>
      <c r="L22" s="399"/>
      <c r="M22" s="400"/>
      <c r="N22" s="399"/>
      <c r="O22" s="399"/>
      <c r="P22" s="399"/>
      <c r="Q22" s="400"/>
      <c r="R22" s="399"/>
      <c r="S22" s="399"/>
      <c r="T22" s="399"/>
      <c r="U22" s="400"/>
      <c r="V22" s="399"/>
      <c r="W22" s="399"/>
      <c r="X22" s="399"/>
      <c r="Y22" s="400"/>
      <c r="Z22" s="399"/>
      <c r="AA22" s="399"/>
      <c r="AB22" s="399"/>
      <c r="AC22" s="400"/>
      <c r="AD22" s="399"/>
      <c r="AE22" s="399"/>
      <c r="AF22" s="399"/>
      <c r="AG22" s="400"/>
      <c r="AH22" s="399"/>
      <c r="AI22" s="399"/>
      <c r="AJ22" s="399"/>
      <c r="AK22" s="400"/>
      <c r="AL22" s="399"/>
      <c r="AM22" s="399"/>
      <c r="AN22" s="399"/>
      <c r="AO22" s="400"/>
      <c r="AP22" s="399"/>
      <c r="AQ22" s="399"/>
      <c r="AR22" s="399"/>
      <c r="AS22" s="400"/>
      <c r="AT22" s="401">
        <v>-10</v>
      </c>
      <c r="AU22" s="401">
        <v>0</v>
      </c>
      <c r="AV22" s="401">
        <v>-11</v>
      </c>
      <c r="AW22" s="402">
        <v>3</v>
      </c>
      <c r="AX22" s="401">
        <v>0</v>
      </c>
      <c r="AY22" s="401">
        <v>-1</v>
      </c>
      <c r="AZ22" s="401">
        <v>-14</v>
      </c>
      <c r="BA22" s="402">
        <v>-8</v>
      </c>
      <c r="BB22" s="401">
        <v>-2</v>
      </c>
      <c r="BC22" s="401">
        <v>-2</v>
      </c>
      <c r="BD22" s="401">
        <v>-3</v>
      </c>
      <c r="BE22" s="402">
        <v>5</v>
      </c>
      <c r="BF22" s="401">
        <v>-1</v>
      </c>
      <c r="BG22" s="401">
        <v>-2</v>
      </c>
      <c r="BH22" s="401">
        <v>-1</v>
      </c>
      <c r="BI22" s="402">
        <v>-3</v>
      </c>
      <c r="BJ22" s="401">
        <v>-2</v>
      </c>
      <c r="BK22" s="401">
        <v>0</v>
      </c>
      <c r="BL22" s="401">
        <v>4</v>
      </c>
      <c r="BM22" s="402">
        <v>51</v>
      </c>
      <c r="BN22" s="401">
        <v>51</v>
      </c>
      <c r="BO22" s="401">
        <v>50</v>
      </c>
      <c r="BP22" s="401">
        <v>51</v>
      </c>
      <c r="BQ22" s="402">
        <v>50</v>
      </c>
      <c r="BR22" s="401">
        <v>50</v>
      </c>
      <c r="BS22" s="401">
        <v>50</v>
      </c>
      <c r="BT22" s="401">
        <v>51</v>
      </c>
      <c r="BU22" s="402">
        <v>49</v>
      </c>
      <c r="BV22" s="401">
        <v>52</v>
      </c>
      <c r="BW22" s="403">
        <v>65</v>
      </c>
      <c r="BX22" s="403">
        <v>63</v>
      </c>
      <c r="BY22" s="404">
        <v>125</v>
      </c>
      <c r="BZ22" s="405">
        <v>40</v>
      </c>
      <c r="CA22" s="406">
        <v>46</v>
      </c>
      <c r="CB22" s="406">
        <v>37</v>
      </c>
      <c r="CC22" s="404">
        <v>36</v>
      </c>
      <c r="CD22" s="405">
        <v>28</v>
      </c>
      <c r="CE22" s="406">
        <v>26</v>
      </c>
      <c r="CF22" s="406">
        <v>53</v>
      </c>
      <c r="CG22" s="404">
        <v>4</v>
      </c>
      <c r="CH22" s="405">
        <v>60</v>
      </c>
      <c r="CI22" s="406">
        <v>-34</v>
      </c>
      <c r="CJ22" s="406">
        <v>-2</v>
      </c>
      <c r="CK22" s="404">
        <v>7</v>
      </c>
      <c r="CL22" s="405">
        <v>8</v>
      </c>
      <c r="CM22" s="406">
        <v>22</v>
      </c>
      <c r="CN22" s="406">
        <v>56</v>
      </c>
      <c r="CO22" s="404">
        <v>31</v>
      </c>
      <c r="CP22" s="405">
        <v>30</v>
      </c>
      <c r="CQ22" s="406">
        <v>-43</v>
      </c>
      <c r="CR22" s="406">
        <v>65</v>
      </c>
      <c r="CS22" s="407">
        <v>28.856000000000002</v>
      </c>
      <c r="CT22" s="408">
        <v>19.8385</v>
      </c>
      <c r="CU22" s="391">
        <v>19.8385</v>
      </c>
      <c r="CV22" s="391">
        <v>19.8385</v>
      </c>
      <c r="CW22" s="407">
        <v>19.8385</v>
      </c>
      <c r="CX22" s="409"/>
      <c r="CY22" s="409"/>
      <c r="CZ22" s="409"/>
      <c r="DA22" s="410"/>
      <c r="DB22" s="409"/>
      <c r="DC22" s="409"/>
      <c r="DD22" s="409"/>
      <c r="DE22" s="410"/>
      <c r="DF22" s="409"/>
      <c r="DG22" s="409"/>
      <c r="DH22" s="409"/>
      <c r="DI22" s="410"/>
      <c r="DJ22" s="374"/>
      <c r="DK22" s="411"/>
      <c r="DL22" s="399"/>
      <c r="DM22" s="399"/>
      <c r="DN22" s="399"/>
      <c r="DO22" s="399"/>
      <c r="DP22" s="399"/>
      <c r="DQ22" s="399"/>
      <c r="DR22" s="399"/>
      <c r="DS22" s="401">
        <v>-46</v>
      </c>
      <c r="DT22" s="401">
        <v>-18</v>
      </c>
      <c r="DU22" s="401">
        <v>-23</v>
      </c>
      <c r="DV22" s="376">
        <v>-2</v>
      </c>
      <c r="DW22" s="376">
        <v>-7</v>
      </c>
      <c r="DX22" s="376">
        <v>53</v>
      </c>
      <c r="DY22" s="376">
        <v>202</v>
      </c>
      <c r="DZ22" s="376">
        <v>200</v>
      </c>
      <c r="EA22" s="325">
        <v>305</v>
      </c>
      <c r="EB22" s="412">
        <v>159</v>
      </c>
      <c r="EC22" s="412">
        <v>111</v>
      </c>
      <c r="ED22" s="412">
        <v>88</v>
      </c>
      <c r="EE22" s="412">
        <v>117</v>
      </c>
      <c r="EF22" s="412">
        <v>80.855999999999995</v>
      </c>
      <c r="EG22" s="412">
        <v>79.353999999999999</v>
      </c>
      <c r="EH22" s="412">
        <v>79.353999999999999</v>
      </c>
      <c r="EI22" s="412">
        <v>79.353999999999999</v>
      </c>
      <c r="EJ22" s="412">
        <v>79.353999999999999</v>
      </c>
      <c r="EK22" s="412">
        <v>39.677</v>
      </c>
      <c r="EL22" s="412">
        <v>0</v>
      </c>
      <c r="EM22" s="412">
        <v>0</v>
      </c>
      <c r="EN22" s="412">
        <v>0</v>
      </c>
      <c r="EO22" s="412">
        <v>0</v>
      </c>
      <c r="EP22" s="389"/>
      <c r="EQ22" s="320">
        <v>-9.2501866758593398E-2</v>
      </c>
    </row>
    <row r="23" spans="1:147" s="390" customFormat="1" ht="15" customHeight="1" outlineLevel="2">
      <c r="A23" s="385"/>
      <c r="B23"/>
      <c r="C23"/>
      <c r="D23"/>
      <c r="E23"/>
      <c r="F23"/>
      <c r="G23"/>
      <c r="I23" s="379" t="s">
        <v>1484</v>
      </c>
      <c r="J23" s="392"/>
      <c r="K23" s="392"/>
      <c r="L23" s="392"/>
      <c r="M23" s="393"/>
      <c r="N23" s="392"/>
      <c r="O23" s="392"/>
      <c r="P23" s="392"/>
      <c r="Q23" s="393"/>
      <c r="R23" s="392"/>
      <c r="S23" s="392"/>
      <c r="T23" s="392"/>
      <c r="U23" s="393"/>
      <c r="V23" s="392"/>
      <c r="W23" s="392"/>
      <c r="X23" s="392"/>
      <c r="Y23" s="393"/>
      <c r="Z23" s="392"/>
      <c r="AA23" s="392"/>
      <c r="AB23" s="392"/>
      <c r="AC23" s="393"/>
      <c r="AD23" s="392"/>
      <c r="AE23" s="392"/>
      <c r="AF23" s="392"/>
      <c r="AG23" s="393"/>
      <c r="AH23" s="392"/>
      <c r="AI23" s="392"/>
      <c r="AJ23" s="392"/>
      <c r="AK23" s="393"/>
      <c r="AL23" s="392"/>
      <c r="AM23" s="392"/>
      <c r="AN23" s="392"/>
      <c r="AO23" s="393"/>
      <c r="AP23" s="392"/>
      <c r="AQ23" s="392"/>
      <c r="AR23" s="392"/>
      <c r="AS23" s="393"/>
      <c r="AT23" s="394">
        <v>189</v>
      </c>
      <c r="AU23" s="394">
        <v>218</v>
      </c>
      <c r="AV23" s="394">
        <v>20</v>
      </c>
      <c r="AW23" s="395">
        <v>-435</v>
      </c>
      <c r="AX23" s="394">
        <v>511</v>
      </c>
      <c r="AY23" s="394">
        <v>301</v>
      </c>
      <c r="AZ23" s="394">
        <v>69</v>
      </c>
      <c r="BA23" s="395">
        <v>-389</v>
      </c>
      <c r="BB23" s="394">
        <v>676</v>
      </c>
      <c r="BC23" s="394">
        <v>469</v>
      </c>
      <c r="BD23" s="394">
        <v>165</v>
      </c>
      <c r="BE23" s="395">
        <v>20</v>
      </c>
      <c r="BF23" s="394">
        <v>514</v>
      </c>
      <c r="BG23" s="394">
        <v>229</v>
      </c>
      <c r="BH23" s="394">
        <v>228</v>
      </c>
      <c r="BI23" s="395">
        <v>487</v>
      </c>
      <c r="BJ23" s="394">
        <v>589</v>
      </c>
      <c r="BK23" s="394">
        <v>430</v>
      </c>
      <c r="BL23" s="394">
        <v>66</v>
      </c>
      <c r="BM23" s="395">
        <v>233</v>
      </c>
      <c r="BN23" s="394">
        <v>376</v>
      </c>
      <c r="BO23" s="394">
        <v>260</v>
      </c>
      <c r="BP23" s="394">
        <v>-43</v>
      </c>
      <c r="BQ23" s="395">
        <v>388</v>
      </c>
      <c r="BR23" s="394">
        <v>492</v>
      </c>
      <c r="BS23" s="394">
        <v>282</v>
      </c>
      <c r="BT23" s="394">
        <v>145</v>
      </c>
      <c r="BU23" s="395">
        <v>201</v>
      </c>
      <c r="BV23" s="394">
        <v>409</v>
      </c>
      <c r="BW23" s="394">
        <v>167</v>
      </c>
      <c r="BX23" s="394">
        <v>231</v>
      </c>
      <c r="BY23" s="395">
        <v>300</v>
      </c>
      <c r="BZ23" s="396">
        <v>453</v>
      </c>
      <c r="CA23" s="394">
        <v>293</v>
      </c>
      <c r="CB23" s="394">
        <v>220</v>
      </c>
      <c r="CC23" s="395">
        <v>185</v>
      </c>
      <c r="CD23" s="396">
        <v>567</v>
      </c>
      <c r="CE23" s="394">
        <v>408</v>
      </c>
      <c r="CF23" s="394">
        <v>212</v>
      </c>
      <c r="CG23" s="395">
        <v>690</v>
      </c>
      <c r="CH23" s="396">
        <v>510</v>
      </c>
      <c r="CI23" s="394">
        <v>370</v>
      </c>
      <c r="CJ23" s="394">
        <v>249</v>
      </c>
      <c r="CK23" s="395">
        <v>447</v>
      </c>
      <c r="CL23" s="396">
        <v>604</v>
      </c>
      <c r="CM23" s="394">
        <v>727</v>
      </c>
      <c r="CN23" s="394">
        <v>722</v>
      </c>
      <c r="CO23" s="395">
        <v>563</v>
      </c>
      <c r="CP23" s="396">
        <v>765</v>
      </c>
      <c r="CQ23" s="394">
        <v>1002</v>
      </c>
      <c r="CR23" s="394">
        <v>759</v>
      </c>
      <c r="CS23" s="395">
        <v>1215.8197495164459</v>
      </c>
      <c r="CT23" s="396">
        <v>381.30257826523695</v>
      </c>
      <c r="CU23" s="394">
        <v>448.16258160659396</v>
      </c>
      <c r="CV23" s="394">
        <v>753.57252099689561</v>
      </c>
      <c r="CW23" s="395">
        <v>1450.8505739088162</v>
      </c>
      <c r="CX23" s="392"/>
      <c r="CY23" s="392"/>
      <c r="CZ23" s="392"/>
      <c r="DA23" s="393"/>
      <c r="DB23" s="392"/>
      <c r="DC23" s="392"/>
      <c r="DD23" s="392"/>
      <c r="DE23" s="393"/>
      <c r="DF23" s="392"/>
      <c r="DG23" s="392"/>
      <c r="DH23" s="392"/>
      <c r="DI23" s="393"/>
      <c r="DJ23" s="374"/>
      <c r="DK23" s="397"/>
      <c r="DL23" s="392"/>
      <c r="DM23" s="392"/>
      <c r="DN23" s="392"/>
      <c r="DO23" s="392"/>
      <c r="DP23" s="392"/>
      <c r="DQ23" s="392"/>
      <c r="DR23" s="392"/>
      <c r="DS23" s="398">
        <v>-187</v>
      </c>
      <c r="DT23" s="398">
        <v>-8</v>
      </c>
      <c r="DU23" s="398">
        <v>492</v>
      </c>
      <c r="DV23" s="398">
        <v>1330</v>
      </c>
      <c r="DW23" s="398">
        <v>1458</v>
      </c>
      <c r="DX23" s="398">
        <v>1318</v>
      </c>
      <c r="DY23" s="398">
        <v>981</v>
      </c>
      <c r="DZ23" s="398">
        <v>1120</v>
      </c>
      <c r="EA23" s="394">
        <v>1107</v>
      </c>
      <c r="EB23" s="394">
        <v>1151</v>
      </c>
      <c r="EC23" s="394">
        <v>1877</v>
      </c>
      <c r="ED23" s="394">
        <v>1576</v>
      </c>
      <c r="EE23" s="394">
        <v>2616</v>
      </c>
      <c r="EF23" s="394">
        <v>3741.8197495164468</v>
      </c>
      <c r="EG23" s="394">
        <v>3033.8882547775434</v>
      </c>
      <c r="EH23" s="394">
        <v>3887.0752012959933</v>
      </c>
      <c r="EI23" s="394">
        <v>3629.7195036951248</v>
      </c>
      <c r="EJ23" s="394">
        <v>3286.6403724624047</v>
      </c>
      <c r="EK23" s="394">
        <v>3766.9024015991104</v>
      </c>
      <c r="EL23" s="394">
        <v>3488.8064607738993</v>
      </c>
      <c r="EM23" s="394">
        <v>3556.2684049057207</v>
      </c>
      <c r="EN23" s="394">
        <v>3460.2517746227913</v>
      </c>
      <c r="EO23" s="394">
        <v>4002.7444764876827</v>
      </c>
      <c r="EP23" s="389"/>
      <c r="EQ23" s="384">
        <v>8.5322562022741355E-2</v>
      </c>
    </row>
    <row r="24" spans="1:147" s="390" customFormat="1" ht="15" customHeight="1" outlineLevel="2">
      <c r="A24" s="385"/>
      <c r="B24"/>
      <c r="C24"/>
      <c r="D24"/>
      <c r="E24"/>
      <c r="F24"/>
      <c r="G24"/>
      <c r="I24" s="378" t="s">
        <v>1485</v>
      </c>
      <c r="J24" s="399"/>
      <c r="K24" s="399"/>
      <c r="L24" s="399"/>
      <c r="M24" s="400"/>
      <c r="N24" s="399"/>
      <c r="O24" s="399"/>
      <c r="P24" s="399"/>
      <c r="Q24" s="400"/>
      <c r="R24" s="399"/>
      <c r="S24" s="399"/>
      <c r="T24" s="399"/>
      <c r="U24" s="400"/>
      <c r="V24" s="399"/>
      <c r="W24" s="399"/>
      <c r="X24" s="399"/>
      <c r="Y24" s="400"/>
      <c r="Z24" s="399"/>
      <c r="AA24" s="399"/>
      <c r="AB24" s="399"/>
      <c r="AC24" s="400"/>
      <c r="AD24" s="399"/>
      <c r="AE24" s="399"/>
      <c r="AF24" s="399"/>
      <c r="AG24" s="400"/>
      <c r="AH24" s="399"/>
      <c r="AI24" s="399"/>
      <c r="AJ24" s="399"/>
      <c r="AK24" s="400"/>
      <c r="AL24" s="399"/>
      <c r="AM24" s="399"/>
      <c r="AN24" s="399"/>
      <c r="AO24" s="400"/>
      <c r="AP24" s="399"/>
      <c r="AQ24" s="399"/>
      <c r="AR24" s="399"/>
      <c r="AS24" s="400"/>
      <c r="AT24" s="401">
        <v>0</v>
      </c>
      <c r="AU24" s="401">
        <v>23</v>
      </c>
      <c r="AV24" s="401">
        <v>5</v>
      </c>
      <c r="AW24" s="402">
        <v>-149</v>
      </c>
      <c r="AX24" s="401">
        <v>130</v>
      </c>
      <c r="AY24" s="401">
        <v>82</v>
      </c>
      <c r="AZ24" s="401">
        <v>18</v>
      </c>
      <c r="BA24" s="402">
        <v>-156</v>
      </c>
      <c r="BB24" s="401">
        <v>173</v>
      </c>
      <c r="BC24" s="401">
        <v>134</v>
      </c>
      <c r="BD24" s="401">
        <v>17</v>
      </c>
      <c r="BE24" s="402">
        <v>-79</v>
      </c>
      <c r="BF24" s="401">
        <v>130</v>
      </c>
      <c r="BG24" s="401">
        <v>44</v>
      </c>
      <c r="BH24" s="401">
        <v>2</v>
      </c>
      <c r="BI24" s="402">
        <v>133</v>
      </c>
      <c r="BJ24" s="401">
        <v>133</v>
      </c>
      <c r="BK24" s="401">
        <v>106</v>
      </c>
      <c r="BL24" s="401">
        <v>10</v>
      </c>
      <c r="BM24" s="402">
        <v>59</v>
      </c>
      <c r="BN24" s="401">
        <v>83</v>
      </c>
      <c r="BO24" s="401">
        <v>56</v>
      </c>
      <c r="BP24" s="401">
        <v>-20</v>
      </c>
      <c r="BQ24" s="402">
        <v>27</v>
      </c>
      <c r="BR24" s="401">
        <v>98</v>
      </c>
      <c r="BS24" s="401">
        <v>70</v>
      </c>
      <c r="BT24" s="401">
        <v>18</v>
      </c>
      <c r="BU24" s="402">
        <v>42</v>
      </c>
      <c r="BV24" s="401">
        <v>46</v>
      </c>
      <c r="BW24" s="403">
        <v>16</v>
      </c>
      <c r="BX24" s="403">
        <v>32</v>
      </c>
      <c r="BY24" s="404">
        <v>46</v>
      </c>
      <c r="BZ24" s="405">
        <v>27</v>
      </c>
      <c r="CA24" s="406">
        <v>50</v>
      </c>
      <c r="CB24" s="406">
        <v>32</v>
      </c>
      <c r="CC24" s="404">
        <v>769</v>
      </c>
      <c r="CD24" s="405">
        <v>67</v>
      </c>
      <c r="CE24" s="406">
        <v>6</v>
      </c>
      <c r="CF24" s="406">
        <v>-48</v>
      </c>
      <c r="CG24" s="404">
        <v>40</v>
      </c>
      <c r="CH24" s="405">
        <v>120</v>
      </c>
      <c r="CI24" s="406">
        <v>42</v>
      </c>
      <c r="CJ24" s="406">
        <v>45</v>
      </c>
      <c r="CK24" s="404">
        <v>-78</v>
      </c>
      <c r="CL24" s="405">
        <v>99</v>
      </c>
      <c r="CM24" s="406">
        <v>147</v>
      </c>
      <c r="CN24" s="406">
        <v>118</v>
      </c>
      <c r="CO24" s="404">
        <v>55</v>
      </c>
      <c r="CP24" s="405">
        <v>146</v>
      </c>
      <c r="CQ24" s="406">
        <v>126</v>
      </c>
      <c r="CR24" s="406">
        <v>120</v>
      </c>
      <c r="CS24" s="413">
        <v>255.32214739845364</v>
      </c>
      <c r="CT24" s="408">
        <v>76.260515653047392</v>
      </c>
      <c r="CU24" s="391">
        <v>89.632516321318803</v>
      </c>
      <c r="CV24" s="391">
        <v>150.71450419937912</v>
      </c>
      <c r="CW24" s="413">
        <v>290.17011478176323</v>
      </c>
      <c r="CX24" s="409"/>
      <c r="CY24" s="409"/>
      <c r="CZ24" s="409"/>
      <c r="DA24" s="410"/>
      <c r="DB24" s="409"/>
      <c r="DC24" s="409"/>
      <c r="DD24" s="409"/>
      <c r="DE24" s="410"/>
      <c r="DF24" s="409"/>
      <c r="DG24" s="409"/>
      <c r="DH24" s="409"/>
      <c r="DI24" s="410"/>
      <c r="DJ24" s="374"/>
      <c r="DK24" s="411"/>
      <c r="DL24" s="399"/>
      <c r="DM24" s="399"/>
      <c r="DN24" s="399"/>
      <c r="DO24" s="399"/>
      <c r="DP24" s="399"/>
      <c r="DQ24" s="399"/>
      <c r="DR24" s="399"/>
      <c r="DS24" s="401">
        <v>-80</v>
      </c>
      <c r="DT24" s="401">
        <v>-121</v>
      </c>
      <c r="DU24" s="401">
        <v>74</v>
      </c>
      <c r="DV24" s="376">
        <v>245</v>
      </c>
      <c r="DW24" s="376">
        <v>309</v>
      </c>
      <c r="DX24" s="376">
        <v>308</v>
      </c>
      <c r="DY24" s="376">
        <v>146</v>
      </c>
      <c r="DZ24" s="376">
        <v>228</v>
      </c>
      <c r="EA24" s="325">
        <v>140</v>
      </c>
      <c r="EB24" s="412">
        <v>878</v>
      </c>
      <c r="EC24" s="412">
        <v>65</v>
      </c>
      <c r="ED24" s="412">
        <v>129</v>
      </c>
      <c r="EE24" s="412">
        <v>419</v>
      </c>
      <c r="EF24" s="412">
        <v>647.32214739845358</v>
      </c>
      <c r="EG24" s="412">
        <v>606.77765095550853</v>
      </c>
      <c r="EH24" s="412">
        <v>777.41504025919869</v>
      </c>
      <c r="EI24" s="412">
        <v>725.94390073902503</v>
      </c>
      <c r="EJ24" s="412">
        <v>657.32807449248094</v>
      </c>
      <c r="EK24" s="412">
        <v>0</v>
      </c>
      <c r="EL24" s="412">
        <v>1.706451240454827E-2</v>
      </c>
      <c r="EM24" s="412">
        <v>0</v>
      </c>
      <c r="EN24" s="412">
        <v>0</v>
      </c>
      <c r="EO24" s="412">
        <v>0</v>
      </c>
      <c r="EP24" s="389"/>
      <c r="EQ24" s="320">
        <v>0.14728749361355997</v>
      </c>
    </row>
    <row r="25" spans="1:147" s="390" customFormat="1" ht="15" customHeight="1" outlineLevel="2">
      <c r="A25" s="385"/>
      <c r="B25"/>
      <c r="C25"/>
      <c r="D25"/>
      <c r="E25"/>
      <c r="F25"/>
      <c r="G25"/>
      <c r="I25" s="379" t="s">
        <v>1486</v>
      </c>
      <c r="J25" s="392"/>
      <c r="K25" s="392"/>
      <c r="L25" s="392"/>
      <c r="M25" s="393"/>
      <c r="N25" s="392"/>
      <c r="O25" s="392"/>
      <c r="P25" s="392"/>
      <c r="Q25" s="393"/>
      <c r="R25" s="392"/>
      <c r="S25" s="392"/>
      <c r="T25" s="392"/>
      <c r="U25" s="393"/>
      <c r="V25" s="392"/>
      <c r="W25" s="392"/>
      <c r="X25" s="392"/>
      <c r="Y25" s="393"/>
      <c r="Z25" s="392"/>
      <c r="AA25" s="392"/>
      <c r="AB25" s="392"/>
      <c r="AC25" s="393"/>
      <c r="AD25" s="392"/>
      <c r="AE25" s="392"/>
      <c r="AF25" s="392"/>
      <c r="AG25" s="393"/>
      <c r="AH25" s="392"/>
      <c r="AI25" s="392"/>
      <c r="AJ25" s="392"/>
      <c r="AK25" s="393"/>
      <c r="AL25" s="392"/>
      <c r="AM25" s="392"/>
      <c r="AN25" s="392"/>
      <c r="AO25" s="393"/>
      <c r="AP25" s="392"/>
      <c r="AQ25" s="392"/>
      <c r="AR25" s="392"/>
      <c r="AS25" s="393"/>
      <c r="AT25" s="394">
        <v>189</v>
      </c>
      <c r="AU25" s="394">
        <v>195</v>
      </c>
      <c r="AV25" s="394">
        <v>15</v>
      </c>
      <c r="AW25" s="395">
        <v>-286</v>
      </c>
      <c r="AX25" s="394">
        <v>381</v>
      </c>
      <c r="AY25" s="394">
        <v>219</v>
      </c>
      <c r="AZ25" s="394">
        <v>51</v>
      </c>
      <c r="BA25" s="395">
        <v>-233</v>
      </c>
      <c r="BB25" s="394">
        <v>503</v>
      </c>
      <c r="BC25" s="394">
        <v>335</v>
      </c>
      <c r="BD25" s="394">
        <v>148</v>
      </c>
      <c r="BE25" s="395">
        <v>99</v>
      </c>
      <c r="BF25" s="394">
        <v>384</v>
      </c>
      <c r="BG25" s="394">
        <v>185</v>
      </c>
      <c r="BH25" s="394">
        <v>226</v>
      </c>
      <c r="BI25" s="395">
        <v>354</v>
      </c>
      <c r="BJ25" s="394">
        <v>456</v>
      </c>
      <c r="BK25" s="394">
        <v>324</v>
      </c>
      <c r="BL25" s="394">
        <v>56</v>
      </c>
      <c r="BM25" s="395">
        <v>174</v>
      </c>
      <c r="BN25" s="394">
        <v>293</v>
      </c>
      <c r="BO25" s="394">
        <v>204</v>
      </c>
      <c r="BP25" s="394">
        <v>-23</v>
      </c>
      <c r="BQ25" s="395">
        <v>361</v>
      </c>
      <c r="BR25" s="394">
        <v>394</v>
      </c>
      <c r="BS25" s="394">
        <v>212</v>
      </c>
      <c r="BT25" s="394">
        <v>127</v>
      </c>
      <c r="BU25" s="395">
        <v>159</v>
      </c>
      <c r="BV25" s="394">
        <v>363</v>
      </c>
      <c r="BW25" s="394">
        <v>151</v>
      </c>
      <c r="BX25" s="394">
        <v>199</v>
      </c>
      <c r="BY25" s="395">
        <v>254</v>
      </c>
      <c r="BZ25" s="396">
        <v>426</v>
      </c>
      <c r="CA25" s="394">
        <v>243</v>
      </c>
      <c r="CB25" s="394">
        <v>188</v>
      </c>
      <c r="CC25" s="395">
        <v>-584</v>
      </c>
      <c r="CD25" s="396">
        <v>500</v>
      </c>
      <c r="CE25" s="394">
        <v>402</v>
      </c>
      <c r="CF25" s="394">
        <v>260</v>
      </c>
      <c r="CG25" s="395">
        <v>650</v>
      </c>
      <c r="CH25" s="396">
        <v>390</v>
      </c>
      <c r="CI25" s="394">
        <v>328</v>
      </c>
      <c r="CJ25" s="394">
        <v>204</v>
      </c>
      <c r="CK25" s="395">
        <v>525</v>
      </c>
      <c r="CL25" s="396">
        <v>505</v>
      </c>
      <c r="CM25" s="394">
        <v>580</v>
      </c>
      <c r="CN25" s="394">
        <v>604</v>
      </c>
      <c r="CO25" s="395">
        <v>508</v>
      </c>
      <c r="CP25" s="396">
        <v>619</v>
      </c>
      <c r="CQ25" s="394">
        <v>876</v>
      </c>
      <c r="CR25" s="394">
        <v>639</v>
      </c>
      <c r="CS25" s="395">
        <v>960.4976021179923</v>
      </c>
      <c r="CT25" s="396">
        <v>305.04206261218957</v>
      </c>
      <c r="CU25" s="394">
        <v>358.53006528527516</v>
      </c>
      <c r="CV25" s="394">
        <v>602.85801679751648</v>
      </c>
      <c r="CW25" s="395">
        <v>1160.6804591270529</v>
      </c>
      <c r="CX25" s="392"/>
      <c r="CY25" s="392"/>
      <c r="CZ25" s="392"/>
      <c r="DA25" s="393"/>
      <c r="DB25" s="392"/>
      <c r="DC25" s="392"/>
      <c r="DD25" s="392"/>
      <c r="DE25" s="393"/>
      <c r="DF25" s="392"/>
      <c r="DG25" s="392"/>
      <c r="DH25" s="392"/>
      <c r="DI25" s="393"/>
      <c r="DJ25" s="374"/>
      <c r="DK25" s="397"/>
      <c r="DL25" s="392"/>
      <c r="DM25" s="392"/>
      <c r="DN25" s="392"/>
      <c r="DO25" s="392"/>
      <c r="DP25" s="392"/>
      <c r="DQ25" s="392"/>
      <c r="DR25" s="392"/>
      <c r="DS25" s="398">
        <v>-107</v>
      </c>
      <c r="DT25" s="398">
        <v>113</v>
      </c>
      <c r="DU25" s="398">
        <v>418</v>
      </c>
      <c r="DV25" s="398">
        <v>1085</v>
      </c>
      <c r="DW25" s="398">
        <v>1149</v>
      </c>
      <c r="DX25" s="398">
        <v>1010</v>
      </c>
      <c r="DY25" s="398">
        <v>835</v>
      </c>
      <c r="DZ25" s="398">
        <v>892</v>
      </c>
      <c r="EA25" s="394">
        <v>967</v>
      </c>
      <c r="EB25" s="394">
        <v>273</v>
      </c>
      <c r="EC25" s="394">
        <v>1812</v>
      </c>
      <c r="ED25" s="394">
        <v>1447</v>
      </c>
      <c r="EE25" s="394">
        <v>2197</v>
      </c>
      <c r="EF25" s="394">
        <v>3094.4976021179932</v>
      </c>
      <c r="EG25" s="394">
        <v>2427.110603822035</v>
      </c>
      <c r="EH25" s="394">
        <v>3109.6601610367948</v>
      </c>
      <c r="EI25" s="394">
        <v>2903.7756029560996</v>
      </c>
      <c r="EJ25" s="394">
        <v>2629.3122979699237</v>
      </c>
      <c r="EK25" s="394">
        <v>3766.9024015991104</v>
      </c>
      <c r="EL25" s="394">
        <v>3488.7893962614949</v>
      </c>
      <c r="EM25" s="394">
        <v>3556.2684049057207</v>
      </c>
      <c r="EN25" s="394">
        <v>3460.2517746227913</v>
      </c>
      <c r="EO25" s="394">
        <v>4002.7444764876827</v>
      </c>
      <c r="EP25" s="389"/>
      <c r="EQ25" s="384">
        <v>7.2218382817486937E-2</v>
      </c>
    </row>
    <row r="26" spans="1:147" s="390" customFormat="1" ht="15" customHeight="1" outlineLevel="2">
      <c r="A26" s="385"/>
      <c r="B26"/>
      <c r="C26"/>
      <c r="D26"/>
      <c r="E26"/>
      <c r="F26"/>
      <c r="G26"/>
      <c r="I26" s="379"/>
      <c r="J26" s="369"/>
      <c r="K26" s="369"/>
      <c r="L26" s="369"/>
      <c r="M26" s="371"/>
      <c r="N26" s="369"/>
      <c r="O26" s="369"/>
      <c r="P26" s="369"/>
      <c r="Q26" s="371"/>
      <c r="R26" s="369"/>
      <c r="S26" s="369"/>
      <c r="T26" s="369"/>
      <c r="U26" s="371"/>
      <c r="V26" s="369"/>
      <c r="W26" s="369"/>
      <c r="X26" s="369"/>
      <c r="Y26" s="371"/>
      <c r="Z26" s="369"/>
      <c r="AA26" s="369"/>
      <c r="AB26" s="369"/>
      <c r="AC26" s="371"/>
      <c r="AD26" s="369"/>
      <c r="AE26" s="369"/>
      <c r="AF26" s="369"/>
      <c r="AG26" s="371"/>
      <c r="AH26" s="369"/>
      <c r="AI26" s="369"/>
      <c r="AJ26" s="369"/>
      <c r="AK26" s="371"/>
      <c r="AL26" s="369"/>
      <c r="AM26" s="369"/>
      <c r="AN26" s="369"/>
      <c r="AO26" s="371"/>
      <c r="AP26" s="369"/>
      <c r="AQ26" s="369"/>
      <c r="AR26" s="369"/>
      <c r="AS26" s="371"/>
      <c r="AT26" s="369"/>
      <c r="AU26" s="369"/>
      <c r="AV26" s="369"/>
      <c r="AW26" s="371"/>
      <c r="AX26" s="369"/>
      <c r="AY26" s="369"/>
      <c r="AZ26" s="369"/>
      <c r="BA26" s="371"/>
      <c r="BB26" s="369"/>
      <c r="BC26" s="369"/>
      <c r="BD26" s="369"/>
      <c r="BE26" s="371"/>
      <c r="BF26" s="369"/>
      <c r="BG26" s="369"/>
      <c r="BH26" s="369"/>
      <c r="BI26" s="371"/>
      <c r="BJ26" s="369"/>
      <c r="BK26" s="369"/>
      <c r="BL26" s="369"/>
      <c r="BM26" s="371"/>
      <c r="BN26" s="369"/>
      <c r="BO26" s="369"/>
      <c r="BP26" s="369"/>
      <c r="BQ26" s="371"/>
      <c r="BR26" s="369"/>
      <c r="BS26" s="369"/>
      <c r="BT26" s="369"/>
      <c r="BU26" s="371"/>
      <c r="BV26" s="369"/>
      <c r="BW26" s="369"/>
      <c r="BX26" s="369"/>
      <c r="BY26" s="371"/>
      <c r="BZ26" s="375"/>
      <c r="CA26" s="369"/>
      <c r="CB26" s="369"/>
      <c r="CC26" s="371"/>
      <c r="CD26" s="375"/>
      <c r="CE26" s="369"/>
      <c r="CF26" s="369"/>
      <c r="CG26" s="371"/>
      <c r="CH26" s="375"/>
      <c r="CI26" s="369"/>
      <c r="CJ26" s="369"/>
      <c r="CK26" s="371"/>
      <c r="CL26" s="375"/>
      <c r="CM26" s="369"/>
      <c r="CN26" s="369"/>
      <c r="CO26" s="371"/>
      <c r="CP26" s="375"/>
      <c r="CQ26" s="369"/>
      <c r="CR26" s="369"/>
      <c r="CS26" s="371"/>
      <c r="CT26" s="375"/>
      <c r="CU26" s="369"/>
      <c r="CV26" s="369"/>
      <c r="CW26" s="371"/>
      <c r="CX26" s="369"/>
      <c r="CY26" s="369"/>
      <c r="CZ26" s="369"/>
      <c r="DA26" s="371"/>
      <c r="DB26" s="369"/>
      <c r="DC26" s="369"/>
      <c r="DD26" s="369"/>
      <c r="DE26" s="371"/>
      <c r="DF26" s="369"/>
      <c r="DG26" s="369"/>
      <c r="DH26" s="369"/>
      <c r="DI26" s="371"/>
      <c r="DJ26" s="374"/>
      <c r="DK26" s="375"/>
      <c r="DL26" s="369"/>
      <c r="DM26" s="369"/>
      <c r="DN26" s="369"/>
      <c r="DO26" s="369"/>
      <c r="DP26" s="369"/>
      <c r="DQ26" s="369"/>
      <c r="DR26" s="369"/>
      <c r="DS26" s="414"/>
      <c r="DT26" s="414"/>
      <c r="DU26" s="414"/>
      <c r="DV26" s="369"/>
      <c r="DW26" s="414"/>
      <c r="DX26" s="414"/>
      <c r="DY26" s="414"/>
      <c r="DZ26" s="414"/>
      <c r="EA26" s="369"/>
      <c r="EB26" s="369"/>
      <c r="EC26" s="369"/>
      <c r="ED26" s="369"/>
      <c r="EE26" s="369"/>
      <c r="EF26" s="369"/>
      <c r="EG26" s="369"/>
      <c r="EH26" s="369"/>
      <c r="EI26" s="369"/>
      <c r="EJ26" s="369"/>
      <c r="EK26" s="369"/>
      <c r="EL26" s="369"/>
      <c r="EM26" s="369"/>
      <c r="EN26" s="369"/>
      <c r="EO26" s="369"/>
      <c r="EP26" s="389"/>
      <c r="EQ26" s="386"/>
    </row>
    <row r="27" spans="1:147" s="416" customFormat="1" ht="15" customHeight="1" outlineLevel="2">
      <c r="A27" s="415"/>
      <c r="B27"/>
      <c r="C27"/>
      <c r="D27"/>
      <c r="E27"/>
      <c r="F27"/>
      <c r="G27"/>
      <c r="I27" s="417" t="s">
        <v>1487</v>
      </c>
      <c r="J27" s="418"/>
      <c r="K27" s="418"/>
      <c r="L27" s="418"/>
      <c r="M27" s="419"/>
      <c r="N27" s="418"/>
      <c r="O27" s="418"/>
      <c r="P27" s="418"/>
      <c r="Q27" s="419"/>
      <c r="R27" s="418"/>
      <c r="S27" s="418"/>
      <c r="T27" s="418"/>
      <c r="U27" s="419"/>
      <c r="V27" s="418"/>
      <c r="W27" s="418"/>
      <c r="X27" s="418"/>
      <c r="Y27" s="419"/>
      <c r="Z27" s="418"/>
      <c r="AA27" s="418"/>
      <c r="AB27" s="418"/>
      <c r="AC27" s="419"/>
      <c r="AD27" s="418"/>
      <c r="AE27" s="418"/>
      <c r="AF27" s="418"/>
      <c r="AG27" s="419"/>
      <c r="AH27" s="418"/>
      <c r="AI27" s="418"/>
      <c r="AJ27" s="418"/>
      <c r="AK27" s="419"/>
      <c r="AL27" s="418"/>
      <c r="AM27" s="418"/>
      <c r="AN27" s="418"/>
      <c r="AO27" s="419"/>
      <c r="AP27" s="418"/>
      <c r="AQ27" s="418"/>
      <c r="AR27" s="418"/>
      <c r="AS27" s="419"/>
      <c r="AT27" s="418" t="s">
        <v>271</v>
      </c>
      <c r="AU27" s="418" t="s">
        <v>271</v>
      </c>
      <c r="AV27" s="418" t="s">
        <v>271</v>
      </c>
      <c r="AW27" s="419" t="s">
        <v>271</v>
      </c>
      <c r="AX27" s="418" t="s">
        <v>271</v>
      </c>
      <c r="AY27" s="418" t="s">
        <v>271</v>
      </c>
      <c r="AZ27" s="418" t="s">
        <v>271</v>
      </c>
      <c r="BA27" s="419" t="s">
        <v>271</v>
      </c>
      <c r="BB27" s="418">
        <v>0.42881500426257457</v>
      </c>
      <c r="BC27" s="418">
        <v>0.29360210341805432</v>
      </c>
      <c r="BD27" s="418">
        <v>0.12982456140350876</v>
      </c>
      <c r="BE27" s="419">
        <v>8.6918349429323971E-2</v>
      </c>
      <c r="BF27" s="418">
        <v>0.34285714285714286</v>
      </c>
      <c r="BG27" s="418">
        <v>0.16681695220919748</v>
      </c>
      <c r="BH27" s="418">
        <v>0.20378719567177639</v>
      </c>
      <c r="BI27" s="419">
        <v>0.31863186318631864</v>
      </c>
      <c r="BJ27" s="418">
        <v>0.40970350404312667</v>
      </c>
      <c r="BK27" s="418">
        <v>0.28980322003577819</v>
      </c>
      <c r="BL27" s="418">
        <v>4.9910873440285206E-2</v>
      </c>
      <c r="BM27" s="419">
        <v>0.23355704697986576</v>
      </c>
      <c r="BN27" s="418">
        <v>0.4132581100141044</v>
      </c>
      <c r="BO27" s="418">
        <v>0.28491620111731841</v>
      </c>
      <c r="BP27" s="418">
        <v>-3.2033426183844013E-2</v>
      </c>
      <c r="BQ27" s="419">
        <v>0.50111049416990561</v>
      </c>
      <c r="BR27" s="418">
        <v>0.54495159059474407</v>
      </c>
      <c r="BS27" s="418">
        <v>0.29160935350756534</v>
      </c>
      <c r="BT27" s="418">
        <v>0.17397260273972603</v>
      </c>
      <c r="BU27" s="419">
        <v>0.21691678035470668</v>
      </c>
      <c r="BV27" s="418">
        <v>0.49387755102040815</v>
      </c>
      <c r="BW27" s="418">
        <v>0.20433017591339647</v>
      </c>
      <c r="BX27" s="418">
        <v>0.26819407008086255</v>
      </c>
      <c r="BY27" s="419">
        <v>0.34139784946236557</v>
      </c>
      <c r="BZ27" s="420">
        <v>0.56875834445927909</v>
      </c>
      <c r="CA27" s="418">
        <v>0.32228116710875332</v>
      </c>
      <c r="CB27" s="418">
        <v>0.24900662251655628</v>
      </c>
      <c r="CC27" s="419">
        <v>-0.7714663143989432</v>
      </c>
      <c r="CD27" s="420">
        <v>0.65876152832674573</v>
      </c>
      <c r="CE27" s="418">
        <v>0.52825229960578191</v>
      </c>
      <c r="CF27" s="418">
        <v>0.34076015727391873</v>
      </c>
      <c r="CG27" s="419">
        <v>0.85190039318479682</v>
      </c>
      <c r="CH27" s="420">
        <v>0.51047120418848169</v>
      </c>
      <c r="CI27" s="418">
        <v>0.42819843342036551</v>
      </c>
      <c r="CJ27" s="418">
        <v>0.26597131681877445</v>
      </c>
      <c r="CK27" s="419">
        <v>0.68359375</v>
      </c>
      <c r="CL27" s="420">
        <v>0.65669700910273077</v>
      </c>
      <c r="CM27" s="418">
        <v>0.75226977950713358</v>
      </c>
      <c r="CN27" s="418">
        <v>0.78238341968911918</v>
      </c>
      <c r="CO27" s="419">
        <v>0.65717981888745147</v>
      </c>
      <c r="CP27" s="420">
        <v>0.79870967741935484</v>
      </c>
      <c r="CQ27" s="418">
        <v>1.1274131274131274</v>
      </c>
      <c r="CR27" s="418">
        <v>0.82133676092544983</v>
      </c>
      <c r="CS27" s="419">
        <v>1.233833959690914</v>
      </c>
      <c r="CT27" s="420">
        <v>0.39120703126580653</v>
      </c>
      <c r="CU27" s="418">
        <v>0.4591978576260759</v>
      </c>
      <c r="CV27" s="418">
        <v>0.77162348642966183</v>
      </c>
      <c r="CW27" s="419">
        <v>1.4843588836441619</v>
      </c>
      <c r="CX27" s="418"/>
      <c r="CY27" s="418"/>
      <c r="CZ27" s="418"/>
      <c r="DA27" s="419"/>
      <c r="DB27" s="418"/>
      <c r="DC27" s="418"/>
      <c r="DD27" s="418"/>
      <c r="DE27" s="419"/>
      <c r="DF27" s="418"/>
      <c r="DG27" s="418"/>
      <c r="DH27" s="418"/>
      <c r="DI27" s="419"/>
      <c r="DJ27" s="374"/>
      <c r="DK27" s="420"/>
      <c r="DL27" s="418"/>
      <c r="DM27" s="418"/>
      <c r="DN27" s="418"/>
      <c r="DO27" s="418"/>
      <c r="DP27" s="418"/>
      <c r="DQ27" s="418"/>
      <c r="DR27" s="418"/>
      <c r="DS27" s="421">
        <v>-0.113107822410148</v>
      </c>
      <c r="DT27" s="421">
        <v>8.8074824629773965E-2</v>
      </c>
      <c r="DU27" s="421">
        <v>0.34206219312602293</v>
      </c>
      <c r="DV27" s="418">
        <v>0.94491617679076856</v>
      </c>
      <c r="DW27" s="421">
        <v>1.0330411328388402</v>
      </c>
      <c r="DX27" s="421">
        <v>0.98584675451439729</v>
      </c>
      <c r="DY27" s="421">
        <v>1.1664454843891876</v>
      </c>
      <c r="DZ27" s="421">
        <v>1.2248541023000343</v>
      </c>
      <c r="EA27" s="422">
        <v>1.3067567567567568</v>
      </c>
      <c r="EB27" s="418">
        <v>0.36147482818295379</v>
      </c>
      <c r="EC27" s="418">
        <v>2.3816539101552592</v>
      </c>
      <c r="ED27" s="418">
        <v>1.8915032679738562</v>
      </c>
      <c r="EE27" s="418">
        <v>2.8644067796610169</v>
      </c>
      <c r="EF27" s="418">
        <v>4.0034079155638125</v>
      </c>
      <c r="EG27" s="418">
        <v>3.1092251239760786</v>
      </c>
      <c r="EH27" s="418">
        <v>3.961157898833878</v>
      </c>
      <c r="EI27" s="418">
        <v>3.6731850345089856</v>
      </c>
      <c r="EJ27" s="418">
        <v>3.3028774227703259</v>
      </c>
      <c r="EK27" s="418">
        <v>4.6989971441225045</v>
      </c>
      <c r="EL27" s="418">
        <v>4.321814240652988</v>
      </c>
      <c r="EM27" s="418">
        <v>4.3747818667834864</v>
      </c>
      <c r="EN27" s="418">
        <v>4.2270764401985277</v>
      </c>
      <c r="EO27" s="418">
        <v>4.8558000779205317</v>
      </c>
      <c r="EP27" s="420"/>
      <c r="EQ27" s="320">
        <v>6.4147988169627634E-2</v>
      </c>
    </row>
    <row r="28" spans="1:147" s="416" customFormat="1" ht="15" customHeight="1" outlineLevel="2">
      <c r="A28" s="415"/>
      <c r="B28"/>
      <c r="C28"/>
      <c r="D28"/>
      <c r="E28"/>
      <c r="F28"/>
      <c r="G28"/>
      <c r="H28" s="418"/>
      <c r="I28" s="423" t="s">
        <v>1488</v>
      </c>
      <c r="J28" s="418"/>
      <c r="K28" s="418"/>
      <c r="L28" s="418"/>
      <c r="M28" s="419"/>
      <c r="N28" s="418"/>
      <c r="O28" s="418"/>
      <c r="P28" s="418"/>
      <c r="Q28" s="419"/>
      <c r="R28" s="418"/>
      <c r="S28" s="418"/>
      <c r="T28" s="418"/>
      <c r="U28" s="419"/>
      <c r="V28" s="418"/>
      <c r="W28" s="418"/>
      <c r="X28" s="418"/>
      <c r="Y28" s="419"/>
      <c r="Z28" s="418"/>
      <c r="AA28" s="418"/>
      <c r="AB28" s="418"/>
      <c r="AC28" s="419"/>
      <c r="AD28" s="418"/>
      <c r="AE28" s="418"/>
      <c r="AF28" s="418"/>
      <c r="AG28" s="419"/>
      <c r="AH28" s="418"/>
      <c r="AI28" s="418"/>
      <c r="AJ28" s="418"/>
      <c r="AK28" s="419"/>
      <c r="AL28" s="418"/>
      <c r="AM28" s="418"/>
      <c r="AN28" s="418"/>
      <c r="AO28" s="419"/>
      <c r="AP28" s="418"/>
      <c r="AQ28" s="418"/>
      <c r="AR28" s="418"/>
      <c r="AS28" s="419"/>
      <c r="AT28" s="418" t="s">
        <v>271</v>
      </c>
      <c r="AU28" s="418" t="s">
        <v>271</v>
      </c>
      <c r="AV28" s="418" t="s">
        <v>271</v>
      </c>
      <c r="AW28" s="419" t="s">
        <v>271</v>
      </c>
      <c r="AX28" s="418" t="s">
        <v>271</v>
      </c>
      <c r="AY28" s="418" t="s">
        <v>271</v>
      </c>
      <c r="AZ28" s="418" t="s">
        <v>271</v>
      </c>
      <c r="BA28" s="419" t="s">
        <v>271</v>
      </c>
      <c r="BB28" s="418">
        <v>0.42554991539763115</v>
      </c>
      <c r="BC28" s="418">
        <v>0.29130434782608694</v>
      </c>
      <c r="BD28" s="418">
        <v>0.1289198606271777</v>
      </c>
      <c r="BE28" s="419">
        <v>8.6312118570183088E-2</v>
      </c>
      <c r="BF28" s="418">
        <v>0.34072759538598046</v>
      </c>
      <c r="BG28" s="418">
        <v>0.16591928251121077</v>
      </c>
      <c r="BH28" s="418">
        <v>0.20287253141831238</v>
      </c>
      <c r="BI28" s="419">
        <v>0.31748878923766816</v>
      </c>
      <c r="BJ28" s="418">
        <v>0.40714285714285714</v>
      </c>
      <c r="BK28" s="418">
        <v>0.28748890860692106</v>
      </c>
      <c r="BL28" s="418">
        <v>4.9382716049382713E-2</v>
      </c>
      <c r="BM28" s="419">
        <v>0.22985468956406868</v>
      </c>
      <c r="BN28" s="418">
        <v>0.40694444444444444</v>
      </c>
      <c r="BO28" s="418">
        <v>0.2813793103448276</v>
      </c>
      <c r="BP28" s="418">
        <v>-3.2033426183844013E-2</v>
      </c>
      <c r="BQ28" s="419">
        <v>0.49492733753770224</v>
      </c>
      <c r="BR28" s="418">
        <v>0.53898768809849518</v>
      </c>
      <c r="BS28" s="418">
        <v>0.28843537414965986</v>
      </c>
      <c r="BT28" s="418">
        <v>0.17185385656292287</v>
      </c>
      <c r="BU28" s="419">
        <v>0.21370967741935484</v>
      </c>
      <c r="BV28" s="418">
        <v>0.48659517426273458</v>
      </c>
      <c r="BW28" s="418">
        <v>0.20133333333333334</v>
      </c>
      <c r="BX28" s="418">
        <v>0.26322751322751325</v>
      </c>
      <c r="BY28" s="419">
        <v>0.33553500660501984</v>
      </c>
      <c r="BZ28" s="420">
        <v>0.55978975032851508</v>
      </c>
      <c r="CA28" s="418">
        <v>0.31806282722513091</v>
      </c>
      <c r="CB28" s="418">
        <v>0.24543080939947781</v>
      </c>
      <c r="CC28" s="419">
        <v>-0.7714663143989432</v>
      </c>
      <c r="CD28" s="420">
        <v>0.64935064935064934</v>
      </c>
      <c r="CE28" s="418">
        <v>0.52207792207792203</v>
      </c>
      <c r="CF28" s="418">
        <v>0.33722438391699094</v>
      </c>
      <c r="CG28" s="419">
        <v>0.8430609597924773</v>
      </c>
      <c r="CH28" s="420">
        <v>0.50649350649350644</v>
      </c>
      <c r="CI28" s="418">
        <v>0.42597402597402595</v>
      </c>
      <c r="CJ28" s="418">
        <v>0.26459143968871596</v>
      </c>
      <c r="CK28" s="419">
        <v>0.67917205692108662</v>
      </c>
      <c r="CL28" s="420">
        <v>0.65245478036175708</v>
      </c>
      <c r="CM28" s="418">
        <v>0.74742268041237114</v>
      </c>
      <c r="CN28" s="418">
        <v>0.77535301668806167</v>
      </c>
      <c r="CO28" s="419">
        <v>0.6512820512820513</v>
      </c>
      <c r="CP28" s="420">
        <v>0.79054916985951473</v>
      </c>
      <c r="CQ28" s="418">
        <v>1.1187739463601531</v>
      </c>
      <c r="CR28" s="418">
        <v>0.81609195402298851</v>
      </c>
      <c r="CS28" s="419">
        <v>1.2243969602871878</v>
      </c>
      <c r="CT28" s="420">
        <v>0.38772630214878334</v>
      </c>
      <c r="CU28" s="418">
        <v>0.45511752216837686</v>
      </c>
      <c r="CV28" s="418">
        <v>0.76477144310329448</v>
      </c>
      <c r="CW28" s="419">
        <v>1.4711886749668119</v>
      </c>
      <c r="CX28" s="418"/>
      <c r="CY28" s="418"/>
      <c r="CZ28" s="418"/>
      <c r="DA28" s="419"/>
      <c r="DB28" s="418"/>
      <c r="DC28" s="418"/>
      <c r="DD28" s="418"/>
      <c r="DE28" s="419"/>
      <c r="DF28" s="418"/>
      <c r="DG28" s="418"/>
      <c r="DH28" s="418"/>
      <c r="DI28" s="419"/>
      <c r="DJ28" s="374"/>
      <c r="DK28" s="420"/>
      <c r="DL28" s="418"/>
      <c r="DM28" s="418"/>
      <c r="DN28" s="418"/>
      <c r="DO28" s="418"/>
      <c r="DP28" s="418"/>
      <c r="DQ28" s="418"/>
      <c r="DR28" s="418"/>
      <c r="DS28" s="421">
        <v>-0.113107822410148</v>
      </c>
      <c r="DT28" s="421">
        <v>8.6193745232646835E-2</v>
      </c>
      <c r="DU28" s="421">
        <v>0.33818770226537215</v>
      </c>
      <c r="DV28" s="418">
        <v>0.93797276853252642</v>
      </c>
      <c r="DW28" s="421">
        <v>1.027957951241333</v>
      </c>
      <c r="DX28" s="421">
        <v>0.97631706138231034</v>
      </c>
      <c r="DY28" s="421">
        <v>1.1547503803070114</v>
      </c>
      <c r="DZ28" s="421">
        <v>1.2099016615801967</v>
      </c>
      <c r="EA28" s="422">
        <v>1.2854769026254569</v>
      </c>
      <c r="EB28" s="418">
        <v>0.35826771653543305</v>
      </c>
      <c r="EC28" s="418">
        <v>2.3517196625567811</v>
      </c>
      <c r="ED28" s="418">
        <v>1.8767833981841764</v>
      </c>
      <c r="EE28" s="418">
        <v>2.8266323576712771</v>
      </c>
      <c r="EF28" s="418">
        <v>3.9502554044753362</v>
      </c>
      <c r="EG28" s="418">
        <v>3.0803374846482985</v>
      </c>
      <c r="EH28" s="418">
        <v>3.9245604009934336</v>
      </c>
      <c r="EI28" s="418">
        <v>3.639481886465858</v>
      </c>
      <c r="EJ28" s="418">
        <v>3.2727807595516385</v>
      </c>
      <c r="EK28" s="418">
        <v>4.6564736333651551</v>
      </c>
      <c r="EL28" s="418">
        <v>4.2829734664475705</v>
      </c>
      <c r="EM28" s="418">
        <v>4.3357359299823814</v>
      </c>
      <c r="EN28" s="418">
        <v>4.1896087414208241</v>
      </c>
      <c r="EO28" s="418">
        <v>4.8130560932310802</v>
      </c>
      <c r="EP28" s="420"/>
      <c r="EQ28" s="320">
        <v>6.5227964359150903E-2</v>
      </c>
    </row>
    <row r="29" spans="1:147" s="416" customFormat="1" ht="15" customHeight="1" outlineLevel="2">
      <c r="A29" s="415"/>
      <c r="B29"/>
      <c r="C29"/>
      <c r="D29"/>
      <c r="E29"/>
      <c r="F29"/>
      <c r="G29"/>
      <c r="H29" s="418"/>
      <c r="I29" s="424" t="s">
        <v>1489</v>
      </c>
      <c r="J29" s="425"/>
      <c r="K29" s="425"/>
      <c r="L29" s="425"/>
      <c r="M29" s="426"/>
      <c r="N29" s="425"/>
      <c r="O29" s="425"/>
      <c r="P29" s="425"/>
      <c r="Q29" s="426"/>
      <c r="R29" s="425"/>
      <c r="S29" s="425"/>
      <c r="T29" s="425"/>
      <c r="U29" s="426"/>
      <c r="V29" s="425"/>
      <c r="W29" s="425"/>
      <c r="X29" s="425"/>
      <c r="Y29" s="426"/>
      <c r="Z29" s="425"/>
      <c r="AA29" s="425"/>
      <c r="AB29" s="425"/>
      <c r="AC29" s="426"/>
      <c r="AD29" s="425"/>
      <c r="AE29" s="425"/>
      <c r="AF29" s="425"/>
      <c r="AG29" s="426"/>
      <c r="AH29" s="425"/>
      <c r="AI29" s="425"/>
      <c r="AJ29" s="425"/>
      <c r="AK29" s="426"/>
      <c r="AL29" s="425"/>
      <c r="AM29" s="425"/>
      <c r="AN29" s="425"/>
      <c r="AO29" s="426"/>
      <c r="AP29" s="425"/>
      <c r="AQ29" s="425"/>
      <c r="AR29" s="425"/>
      <c r="AS29" s="426"/>
      <c r="AT29" s="425">
        <v>0.08</v>
      </c>
      <c r="AU29" s="425">
        <v>0.08</v>
      </c>
      <c r="AV29" s="425">
        <v>0.04</v>
      </c>
      <c r="AW29" s="426">
        <v>0.83</v>
      </c>
      <c r="AX29" s="425">
        <v>0.09</v>
      </c>
      <c r="AY29" s="425">
        <v>0.06</v>
      </c>
      <c r="AZ29" s="425">
        <v>0.12</v>
      </c>
      <c r="BA29" s="426">
        <v>0.55000000000000004</v>
      </c>
      <c r="BB29" s="425">
        <v>0.13</v>
      </c>
      <c r="BC29" s="425">
        <v>0.1</v>
      </c>
      <c r="BD29" s="425">
        <v>0.08</v>
      </c>
      <c r="BE29" s="426">
        <v>0.63</v>
      </c>
      <c r="BF29" s="425">
        <v>0.06</v>
      </c>
      <c r="BG29" s="425">
        <v>0.2</v>
      </c>
      <c r="BH29" s="425">
        <v>0.15</v>
      </c>
      <c r="BI29" s="426">
        <v>0.8</v>
      </c>
      <c r="BJ29" s="425">
        <v>0.18</v>
      </c>
      <c r="BK29" s="425">
        <v>0.08</v>
      </c>
      <c r="BL29" s="425">
        <v>0.08</v>
      </c>
      <c r="BM29" s="426">
        <v>0.8</v>
      </c>
      <c r="BN29" s="425">
        <v>0.19</v>
      </c>
      <c r="BO29" s="425">
        <v>0.06</v>
      </c>
      <c r="BP29" s="425">
        <v>0.23</v>
      </c>
      <c r="BQ29" s="426">
        <v>0.94</v>
      </c>
      <c r="BR29" s="425">
        <v>0.16</v>
      </c>
      <c r="BS29" s="425">
        <v>0.13</v>
      </c>
      <c r="BT29" s="425">
        <v>0.21</v>
      </c>
      <c r="BU29" s="426">
        <v>0.83</v>
      </c>
      <c r="BV29" s="425">
        <v>0.23</v>
      </c>
      <c r="BW29" s="425">
        <v>0.54</v>
      </c>
      <c r="BX29" s="425">
        <v>0.52</v>
      </c>
      <c r="BY29" s="426">
        <v>0.92</v>
      </c>
      <c r="BZ29" s="427">
        <v>0.31</v>
      </c>
      <c r="CA29" s="425">
        <v>0.43</v>
      </c>
      <c r="CB29" s="425">
        <v>0.6</v>
      </c>
      <c r="CC29" s="426">
        <v>0.95</v>
      </c>
      <c r="CD29" s="427">
        <v>0.38</v>
      </c>
      <c r="CE29" s="425">
        <v>0.41</v>
      </c>
      <c r="CF29" s="425">
        <v>0.52</v>
      </c>
      <c r="CG29" s="426">
        <v>1.29</v>
      </c>
      <c r="CH29" s="427">
        <v>0.31</v>
      </c>
      <c r="CI29" s="425">
        <v>0.38</v>
      </c>
      <c r="CJ29" s="425">
        <v>0.32</v>
      </c>
      <c r="CK29" s="426">
        <v>1.24</v>
      </c>
      <c r="CL29" s="427">
        <v>0.57999999999999996</v>
      </c>
      <c r="CM29" s="425">
        <v>0.97</v>
      </c>
      <c r="CN29" s="425">
        <v>0.71</v>
      </c>
      <c r="CO29" s="426">
        <v>1.21</v>
      </c>
      <c r="CP29" s="427">
        <v>0.84</v>
      </c>
      <c r="CQ29" s="425">
        <v>0.91</v>
      </c>
      <c r="CR29" s="425">
        <v>0.72</v>
      </c>
      <c r="CS29" s="426">
        <v>1.32</v>
      </c>
      <c r="CT29" s="427">
        <v>0.55000000000000004</v>
      </c>
      <c r="CU29" s="425">
        <v>0.5</v>
      </c>
      <c r="CV29" s="425">
        <v>0.83</v>
      </c>
      <c r="CW29" s="426">
        <v>1.56</v>
      </c>
      <c r="CX29" s="425"/>
      <c r="CY29" s="425"/>
      <c r="CZ29" s="425"/>
      <c r="DA29" s="426"/>
      <c r="DB29" s="425"/>
      <c r="DC29" s="425"/>
      <c r="DD29" s="425"/>
      <c r="DE29" s="426"/>
      <c r="DF29" s="425"/>
      <c r="DG29" s="425"/>
      <c r="DH29" s="425"/>
      <c r="DI29" s="426"/>
      <c r="DJ29" s="428"/>
      <c r="DK29" s="427"/>
      <c r="DL29" s="425"/>
      <c r="DM29" s="425"/>
      <c r="DN29" s="425"/>
      <c r="DO29" s="425"/>
      <c r="DP29" s="425"/>
      <c r="DQ29" s="425"/>
      <c r="DR29" s="425"/>
      <c r="DS29" s="429">
        <v>0</v>
      </c>
      <c r="DT29" s="429">
        <v>0.69</v>
      </c>
      <c r="DU29" s="429">
        <v>0.8</v>
      </c>
      <c r="DV29" s="429">
        <v>0.94</v>
      </c>
      <c r="DW29" s="429">
        <v>1.21</v>
      </c>
      <c r="DX29" s="429">
        <v>0.97</v>
      </c>
      <c r="DY29" s="429">
        <v>1.46</v>
      </c>
      <c r="DZ29" s="429">
        <v>1.34</v>
      </c>
      <c r="EA29" s="425">
        <v>2.2200000000000002</v>
      </c>
      <c r="EB29" s="425">
        <v>2.29</v>
      </c>
      <c r="EC29" s="425">
        <v>2.6</v>
      </c>
      <c r="ED29" s="425">
        <v>2.2599999999999998</v>
      </c>
      <c r="EE29" s="425">
        <v>3.48</v>
      </c>
      <c r="EF29" s="425">
        <v>3.8</v>
      </c>
      <c r="EG29" s="425">
        <v>3.45</v>
      </c>
      <c r="EH29" s="425">
        <v>4.4000000000000004</v>
      </c>
      <c r="EI29" s="425">
        <v>3.98</v>
      </c>
      <c r="EJ29" s="425">
        <v>3.65</v>
      </c>
      <c r="EK29" s="425">
        <v>5.22</v>
      </c>
      <c r="EL29" s="425">
        <v>4.79</v>
      </c>
      <c r="EM29" s="425">
        <v>4.9000000000000004</v>
      </c>
      <c r="EN29" s="425">
        <v>4.76</v>
      </c>
      <c r="EO29" s="425">
        <v>5.45</v>
      </c>
      <c r="EP29" s="430"/>
      <c r="EQ29" s="384">
        <v>3.4131952289882195E-2</v>
      </c>
    </row>
    <row r="30" spans="1:147" s="416" customFormat="1" ht="15" customHeight="1" outlineLevel="2">
      <c r="A30" s="415"/>
      <c r="B30"/>
      <c r="C30"/>
      <c r="D30"/>
      <c r="E30"/>
      <c r="F30"/>
      <c r="G30"/>
      <c r="H30" s="418"/>
      <c r="I30" s="424" t="s">
        <v>1490</v>
      </c>
      <c r="J30" s="425"/>
      <c r="K30" s="425"/>
      <c r="L30" s="425"/>
      <c r="M30" s="426"/>
      <c r="N30" s="425"/>
      <c r="O30" s="425"/>
      <c r="P30" s="425"/>
      <c r="Q30" s="426"/>
      <c r="R30" s="425"/>
      <c r="S30" s="425"/>
      <c r="T30" s="425"/>
      <c r="U30" s="426"/>
      <c r="V30" s="425"/>
      <c r="W30" s="425"/>
      <c r="X30" s="425"/>
      <c r="Y30" s="426"/>
      <c r="Z30" s="425"/>
      <c r="AA30" s="425"/>
      <c r="AB30" s="425"/>
      <c r="AC30" s="426"/>
      <c r="AD30" s="425"/>
      <c r="AE30" s="425"/>
      <c r="AF30" s="425"/>
      <c r="AG30" s="426"/>
      <c r="AH30" s="425"/>
      <c r="AI30" s="425"/>
      <c r="AJ30" s="425"/>
      <c r="AK30" s="426"/>
      <c r="AL30" s="425"/>
      <c r="AM30" s="425"/>
      <c r="AN30" s="425"/>
      <c r="AO30" s="426"/>
      <c r="AP30" s="425"/>
      <c r="AQ30" s="425"/>
      <c r="AR30" s="425"/>
      <c r="AS30" s="426"/>
      <c r="AT30" s="425">
        <v>0.18</v>
      </c>
      <c r="AU30" s="425">
        <v>0.19</v>
      </c>
      <c r="AV30" s="425">
        <v>0.04</v>
      </c>
      <c r="AW30" s="426">
        <v>0.25</v>
      </c>
      <c r="AX30" s="425">
        <v>0.34</v>
      </c>
      <c r="AY30" s="425">
        <v>0.19</v>
      </c>
      <c r="AZ30" s="425">
        <v>0.05</v>
      </c>
      <c r="BA30" s="426">
        <v>0.02</v>
      </c>
      <c r="BB30" s="425">
        <v>0.45</v>
      </c>
      <c r="BC30" s="425">
        <v>0.31</v>
      </c>
      <c r="BD30" s="425">
        <v>0.15</v>
      </c>
      <c r="BE30" s="426">
        <v>0.15</v>
      </c>
      <c r="BF30" s="425">
        <v>0.36</v>
      </c>
      <c r="BG30" s="425">
        <v>0.19</v>
      </c>
      <c r="BH30" s="425">
        <v>0.23</v>
      </c>
      <c r="BI30" s="426">
        <v>0.36</v>
      </c>
      <c r="BJ30" s="425">
        <v>0.43</v>
      </c>
      <c r="BK30" s="425">
        <v>0.3</v>
      </c>
      <c r="BL30" s="425">
        <v>0.1</v>
      </c>
      <c r="BM30" s="426">
        <v>0.28000000000000003</v>
      </c>
      <c r="BN30" s="425">
        <v>0.42</v>
      </c>
      <c r="BO30" s="425">
        <v>0.3</v>
      </c>
      <c r="BP30" s="425">
        <v>0.05</v>
      </c>
      <c r="BQ30" s="426">
        <v>0.47</v>
      </c>
      <c r="BR30" s="425">
        <v>0.55000000000000004</v>
      </c>
      <c r="BS30" s="425">
        <v>0.31</v>
      </c>
      <c r="BT30" s="425">
        <v>0.2</v>
      </c>
      <c r="BU30" s="426">
        <v>0.25</v>
      </c>
      <c r="BV30" s="425">
        <v>0.59</v>
      </c>
      <c r="BW30" s="425">
        <v>0.45</v>
      </c>
      <c r="BX30" s="425">
        <v>0.49</v>
      </c>
      <c r="BY30" s="426">
        <v>0.66</v>
      </c>
      <c r="BZ30" s="427">
        <v>0.72</v>
      </c>
      <c r="CA30" s="425">
        <v>0.55000000000000004</v>
      </c>
      <c r="CB30" s="425">
        <v>0.47</v>
      </c>
      <c r="CC30" s="426">
        <v>0.5</v>
      </c>
      <c r="CD30" s="427">
        <v>0.79</v>
      </c>
      <c r="CE30" s="425">
        <v>0.61</v>
      </c>
      <c r="CF30" s="425">
        <v>0.42</v>
      </c>
      <c r="CG30" s="426">
        <v>0.9</v>
      </c>
      <c r="CH30" s="427">
        <v>0.78</v>
      </c>
      <c r="CI30" s="425">
        <v>0.53</v>
      </c>
      <c r="CJ30" s="425">
        <v>0.38</v>
      </c>
      <c r="CK30" s="426">
        <v>0.62</v>
      </c>
      <c r="CL30" s="427">
        <v>0.76</v>
      </c>
      <c r="CM30" s="425">
        <v>0.81</v>
      </c>
      <c r="CN30" s="425">
        <v>0.88</v>
      </c>
      <c r="CO30" s="426">
        <v>0.76</v>
      </c>
      <c r="CP30" s="427">
        <v>0.98</v>
      </c>
      <c r="CQ30" s="425">
        <v>1.2</v>
      </c>
      <c r="CR30" s="425">
        <v>0.89</v>
      </c>
      <c r="CS30" s="426">
        <v>1.33</v>
      </c>
      <c r="CT30" s="427">
        <v>0.55000000000000004</v>
      </c>
      <c r="CU30" s="425">
        <v>0.5</v>
      </c>
      <c r="CV30" s="425">
        <v>0.83</v>
      </c>
      <c r="CW30" s="426">
        <v>1.56</v>
      </c>
      <c r="CX30" s="425"/>
      <c r="CY30" s="425"/>
      <c r="CZ30" s="425"/>
      <c r="DA30" s="426"/>
      <c r="DB30" s="425"/>
      <c r="DC30" s="425"/>
      <c r="DD30" s="425"/>
      <c r="DE30" s="426"/>
      <c r="DF30" s="425"/>
      <c r="DG30" s="425"/>
      <c r="DH30" s="425"/>
      <c r="DI30" s="426"/>
      <c r="DJ30" s="374"/>
      <c r="DK30" s="427"/>
      <c r="DL30" s="425"/>
      <c r="DM30" s="425"/>
      <c r="DN30" s="425"/>
      <c r="DO30" s="425"/>
      <c r="DP30" s="425"/>
      <c r="DQ30" s="425"/>
      <c r="DR30" s="425"/>
      <c r="DS30" s="429">
        <v>-0.11</v>
      </c>
      <c r="DT30" s="429">
        <v>0.48</v>
      </c>
      <c r="DU30" s="429">
        <v>0.61</v>
      </c>
      <c r="DV30" s="429">
        <v>1.07</v>
      </c>
      <c r="DW30" s="429">
        <v>1.1299999999999999</v>
      </c>
      <c r="DX30" s="429">
        <v>1.1100000000000001</v>
      </c>
      <c r="DY30" s="429">
        <v>1.24</v>
      </c>
      <c r="DZ30" s="429">
        <v>1.3</v>
      </c>
      <c r="EA30" s="425">
        <v>2.19</v>
      </c>
      <c r="EB30" s="425">
        <v>2.23</v>
      </c>
      <c r="EC30" s="425">
        <v>2.73</v>
      </c>
      <c r="ED30" s="425">
        <v>2.3199999999999998</v>
      </c>
      <c r="EE30" s="425">
        <v>3.21</v>
      </c>
      <c r="EF30" s="425">
        <v>4.4000000000000004</v>
      </c>
      <c r="EG30" s="425">
        <v>3.45</v>
      </c>
      <c r="EH30" s="425">
        <v>4.3</v>
      </c>
      <c r="EI30" s="425">
        <v>4.03</v>
      </c>
      <c r="EJ30" s="425">
        <v>3.68</v>
      </c>
      <c r="EK30" s="425">
        <v>5.18</v>
      </c>
      <c r="EL30" s="425">
        <v>4.82</v>
      </c>
      <c r="EM30" s="425">
        <v>4.8899999999999997</v>
      </c>
      <c r="EN30" s="425">
        <v>4.76</v>
      </c>
      <c r="EO30" s="425">
        <v>5.4</v>
      </c>
      <c r="EP30" s="430"/>
      <c r="EQ30" s="384">
        <v>5.852227966037149E-2</v>
      </c>
    </row>
    <row r="31" spans="1:147" s="416" customFormat="1" ht="15" customHeight="1" outlineLevel="2">
      <c r="A31" s="415"/>
      <c r="B31"/>
      <c r="C31"/>
      <c r="D31"/>
      <c r="E31"/>
      <c r="F31"/>
      <c r="G31"/>
      <c r="H31" s="418"/>
      <c r="I31" s="424"/>
      <c r="J31" s="425"/>
      <c r="K31" s="425"/>
      <c r="L31" s="425"/>
      <c r="M31" s="426"/>
      <c r="N31" s="425"/>
      <c r="O31" s="425"/>
      <c r="P31" s="425"/>
      <c r="Q31" s="426"/>
      <c r="R31" s="425"/>
      <c r="S31" s="425"/>
      <c r="T31" s="425"/>
      <c r="U31" s="426"/>
      <c r="V31" s="425"/>
      <c r="W31" s="425"/>
      <c r="X31" s="425"/>
      <c r="Y31" s="426"/>
      <c r="Z31" s="425"/>
      <c r="AA31" s="425"/>
      <c r="AB31" s="425"/>
      <c r="AC31" s="426"/>
      <c r="AD31" s="425"/>
      <c r="AE31" s="425"/>
      <c r="AF31" s="425"/>
      <c r="AG31" s="426"/>
      <c r="AH31" s="425"/>
      <c r="AI31" s="425"/>
      <c r="AJ31" s="425"/>
      <c r="AK31" s="426"/>
      <c r="AL31" s="425"/>
      <c r="AM31" s="425"/>
      <c r="AN31" s="425"/>
      <c r="AO31" s="426"/>
      <c r="AP31" s="425"/>
      <c r="AQ31" s="425"/>
      <c r="AR31" s="425"/>
      <c r="AS31" s="426"/>
      <c r="AT31" s="425"/>
      <c r="AU31" s="425"/>
      <c r="AV31" s="425"/>
      <c r="AW31" s="426"/>
      <c r="AX31" s="425"/>
      <c r="AY31" s="425"/>
      <c r="AZ31" s="425"/>
      <c r="BA31" s="426"/>
      <c r="BB31" s="425"/>
      <c r="BC31" s="425"/>
      <c r="BD31" s="425"/>
      <c r="BE31" s="426"/>
      <c r="BF31" s="425"/>
      <c r="BG31" s="425"/>
      <c r="BH31" s="425"/>
      <c r="BI31" s="426"/>
      <c r="BJ31" s="425"/>
      <c r="BK31" s="425"/>
      <c r="BL31" s="425"/>
      <c r="BM31" s="426"/>
      <c r="BN31" s="425"/>
      <c r="BO31" s="425"/>
      <c r="BP31" s="425"/>
      <c r="BQ31" s="426"/>
      <c r="BR31" s="425"/>
      <c r="BS31" s="425"/>
      <c r="BT31" s="425"/>
      <c r="BU31" s="426"/>
      <c r="BV31" s="425"/>
      <c r="BW31" s="425"/>
      <c r="BX31" s="425"/>
      <c r="BY31" s="426"/>
      <c r="BZ31" s="427"/>
      <c r="CA31" s="425"/>
      <c r="CB31" s="425"/>
      <c r="CC31" s="426"/>
      <c r="CD31" s="427"/>
      <c r="CE31" s="425"/>
      <c r="CF31" s="425"/>
      <c r="CG31" s="426"/>
      <c r="CH31" s="427"/>
      <c r="CI31" s="425"/>
      <c r="CJ31" s="425"/>
      <c r="CK31" s="426"/>
      <c r="CL31" s="427"/>
      <c r="CM31" s="425"/>
      <c r="CN31" s="425"/>
      <c r="CO31" s="426"/>
      <c r="CP31" s="427"/>
      <c r="CQ31" s="425"/>
      <c r="CR31" s="425"/>
      <c r="CS31" s="426"/>
      <c r="CT31" s="427"/>
      <c r="CU31" s="425"/>
      <c r="CV31" s="425"/>
      <c r="CW31" s="426"/>
      <c r="CX31" s="425"/>
      <c r="CY31" s="425"/>
      <c r="CZ31" s="425"/>
      <c r="DA31" s="426"/>
      <c r="DB31" s="425"/>
      <c r="DC31" s="425"/>
      <c r="DD31" s="425"/>
      <c r="DE31" s="426"/>
      <c r="DF31" s="425"/>
      <c r="DG31" s="425"/>
      <c r="DH31" s="425"/>
      <c r="DI31" s="426"/>
      <c r="DJ31" s="374"/>
      <c r="DK31" s="427"/>
      <c r="DL31" s="425"/>
      <c r="DM31" s="425"/>
      <c r="DN31" s="425"/>
      <c r="DO31" s="425"/>
      <c r="DP31" s="425"/>
      <c r="DQ31" s="425"/>
      <c r="DR31" s="425"/>
      <c r="DS31" s="431"/>
      <c r="DT31" s="431"/>
      <c r="DU31" s="431"/>
      <c r="DV31" s="425"/>
      <c r="DW31" s="431"/>
      <c r="DX31" s="431"/>
      <c r="DY31" s="431"/>
      <c r="DZ31" s="431"/>
      <c r="EA31" s="384"/>
      <c r="EB31" s="384"/>
      <c r="EC31" s="384"/>
      <c r="ED31" s="384"/>
      <c r="EE31" s="384"/>
      <c r="EF31" s="425"/>
      <c r="EG31" s="425"/>
      <c r="EH31" s="425"/>
      <c r="EI31" s="425"/>
      <c r="EJ31" s="425"/>
      <c r="EK31" s="425"/>
      <c r="EL31" s="425"/>
      <c r="EM31" s="425"/>
      <c r="EN31" s="425"/>
      <c r="EO31" s="425"/>
      <c r="EP31" s="420"/>
      <c r="EQ31" s="418"/>
    </row>
    <row r="32" spans="1:147" s="416" customFormat="1" ht="15" customHeight="1" outlineLevel="2">
      <c r="A32" s="415"/>
      <c r="B32"/>
      <c r="C32"/>
      <c r="D32"/>
      <c r="E32"/>
      <c r="F32"/>
      <c r="G32"/>
      <c r="H32" s="418"/>
      <c r="I32" s="424"/>
      <c r="J32" s="425"/>
      <c r="K32" s="425"/>
      <c r="L32" s="425"/>
      <c r="M32" s="426"/>
      <c r="N32" s="425"/>
      <c r="O32" s="425"/>
      <c r="P32" s="425"/>
      <c r="Q32" s="426"/>
      <c r="R32" s="425"/>
      <c r="S32" s="425"/>
      <c r="T32" s="425"/>
      <c r="U32" s="426"/>
      <c r="V32" s="425"/>
      <c r="W32" s="425"/>
      <c r="X32" s="425"/>
      <c r="Y32" s="426"/>
      <c r="Z32" s="425"/>
      <c r="AA32" s="425"/>
      <c r="AB32" s="425"/>
      <c r="AC32" s="426"/>
      <c r="AD32" s="425"/>
      <c r="AE32" s="425"/>
      <c r="AF32" s="425"/>
      <c r="AG32" s="426"/>
      <c r="AH32" s="425"/>
      <c r="AI32" s="425"/>
      <c r="AJ32" s="425"/>
      <c r="AK32" s="426"/>
      <c r="AL32" s="425"/>
      <c r="AM32" s="425"/>
      <c r="AN32" s="425"/>
      <c r="AO32" s="426"/>
      <c r="AP32" s="425"/>
      <c r="AQ32" s="425"/>
      <c r="AR32" s="425"/>
      <c r="AS32" s="426"/>
      <c r="AT32" s="425"/>
      <c r="AU32" s="425"/>
      <c r="AV32" s="425"/>
      <c r="AW32" s="426"/>
      <c r="AX32" s="425"/>
      <c r="AY32" s="425"/>
      <c r="AZ32" s="425"/>
      <c r="BA32" s="426"/>
      <c r="BB32" s="425"/>
      <c r="BC32" s="425"/>
      <c r="BD32" s="425"/>
      <c r="BE32" s="426"/>
      <c r="BF32" s="425"/>
      <c r="BG32" s="425"/>
      <c r="BH32" s="425"/>
      <c r="BI32" s="426"/>
      <c r="BJ32" s="425"/>
      <c r="BK32" s="425"/>
      <c r="BL32" s="425"/>
      <c r="BM32" s="426"/>
      <c r="BN32" s="425"/>
      <c r="BO32" s="425"/>
      <c r="BP32" s="425"/>
      <c r="BQ32" s="426"/>
      <c r="BR32" s="425"/>
      <c r="BS32" s="425"/>
      <c r="BT32" s="425"/>
      <c r="BU32" s="426"/>
      <c r="BV32" s="425"/>
      <c r="BW32" s="425"/>
      <c r="BX32" s="425"/>
      <c r="BY32" s="426"/>
      <c r="BZ32" s="427"/>
      <c r="CA32" s="425"/>
      <c r="CB32" s="425"/>
      <c r="CC32" s="426"/>
      <c r="CD32" s="427"/>
      <c r="CE32" s="425"/>
      <c r="CF32" s="425"/>
      <c r="CG32" s="426"/>
      <c r="CH32" s="427"/>
      <c r="CI32" s="425"/>
      <c r="CJ32" s="425"/>
      <c r="CK32" s="426"/>
      <c r="CL32" s="427"/>
      <c r="CM32" s="425"/>
      <c r="CN32" s="425"/>
      <c r="CO32" s="426"/>
      <c r="CP32" s="427"/>
      <c r="CQ32" s="425"/>
      <c r="CR32" s="425"/>
      <c r="CS32" s="426"/>
      <c r="CT32" s="427"/>
      <c r="CU32" s="425"/>
      <c r="CV32" s="425"/>
      <c r="CW32" s="426"/>
      <c r="CX32" s="425"/>
      <c r="CY32" s="425"/>
      <c r="CZ32" s="425"/>
      <c r="DA32" s="426"/>
      <c r="DB32" s="425"/>
      <c r="DC32" s="425"/>
      <c r="DD32" s="425"/>
      <c r="DE32" s="426"/>
      <c r="DF32" s="425"/>
      <c r="DG32" s="425"/>
      <c r="DH32" s="425"/>
      <c r="DI32" s="426"/>
      <c r="DJ32" s="374"/>
      <c r="DK32" s="427"/>
      <c r="DL32" s="425"/>
      <c r="DM32" s="425"/>
      <c r="DN32" s="425"/>
      <c r="DO32" s="425"/>
      <c r="DP32" s="425"/>
      <c r="DQ32" s="425"/>
      <c r="DR32" s="425"/>
      <c r="DS32" s="431"/>
      <c r="DT32" s="431"/>
      <c r="DU32" s="431"/>
      <c r="DV32" s="425"/>
      <c r="DW32" s="431"/>
      <c r="DX32" s="431"/>
      <c r="DY32" s="431"/>
      <c r="DZ32" s="431"/>
      <c r="EA32" s="432"/>
      <c r="EB32" s="432"/>
      <c r="EC32" s="425"/>
      <c r="ED32" s="425"/>
      <c r="EE32" s="384"/>
      <c r="EF32" s="433"/>
      <c r="EG32" s="425"/>
      <c r="EH32" s="425"/>
      <c r="EI32" s="425"/>
      <c r="EJ32" s="425"/>
      <c r="EK32" s="425"/>
      <c r="EL32" s="425"/>
      <c r="EM32" s="425"/>
      <c r="EN32" s="425"/>
      <c r="EO32" s="425"/>
      <c r="EP32" s="420"/>
      <c r="EQ32" s="418"/>
    </row>
    <row r="33" spans="1:147" s="439" customFormat="1" ht="15" customHeight="1" outlineLevel="2">
      <c r="A33" s="434"/>
      <c r="B33"/>
      <c r="C33"/>
      <c r="D33"/>
      <c r="E33"/>
      <c r="F33"/>
      <c r="G33"/>
      <c r="H33" s="325"/>
      <c r="I33" s="435" t="s">
        <v>1491</v>
      </c>
      <c r="J33" s="401"/>
      <c r="K33" s="401"/>
      <c r="L33" s="401"/>
      <c r="M33" s="402"/>
      <c r="N33" s="401"/>
      <c r="O33" s="401"/>
      <c r="P33" s="401"/>
      <c r="Q33" s="402"/>
      <c r="R33" s="401"/>
      <c r="S33" s="401"/>
      <c r="T33" s="401"/>
      <c r="U33" s="402"/>
      <c r="V33" s="401"/>
      <c r="W33" s="401"/>
      <c r="X33" s="401"/>
      <c r="Y33" s="402"/>
      <c r="Z33" s="401"/>
      <c r="AA33" s="401"/>
      <c r="AB33" s="401"/>
      <c r="AC33" s="402"/>
      <c r="AD33" s="401"/>
      <c r="AE33" s="401"/>
      <c r="AF33" s="401"/>
      <c r="AG33" s="402"/>
      <c r="AH33" s="401"/>
      <c r="AI33" s="401"/>
      <c r="AJ33" s="401"/>
      <c r="AK33" s="402"/>
      <c r="AL33" s="401"/>
      <c r="AM33" s="401"/>
      <c r="AN33" s="401"/>
      <c r="AO33" s="402"/>
      <c r="AP33" s="401"/>
      <c r="AQ33" s="401"/>
      <c r="AR33" s="401"/>
      <c r="AS33" s="402"/>
      <c r="AT33" s="401">
        <v>1308</v>
      </c>
      <c r="AU33" s="401">
        <v>1289</v>
      </c>
      <c r="AV33" s="401">
        <v>127</v>
      </c>
      <c r="AW33" s="402">
        <v>1222</v>
      </c>
      <c r="AX33" s="401">
        <v>1248</v>
      </c>
      <c r="AY33" s="401">
        <v>1232</v>
      </c>
      <c r="AZ33" s="401">
        <v>1212</v>
      </c>
      <c r="BA33" s="402">
        <v>1198</v>
      </c>
      <c r="BB33" s="401">
        <v>1173</v>
      </c>
      <c r="BC33" s="401">
        <v>1141</v>
      </c>
      <c r="BD33" s="401">
        <v>1140</v>
      </c>
      <c r="BE33" s="402">
        <v>1139</v>
      </c>
      <c r="BF33" s="401">
        <v>1120</v>
      </c>
      <c r="BG33" s="401">
        <v>1109</v>
      </c>
      <c r="BH33" s="401">
        <v>1109</v>
      </c>
      <c r="BI33" s="402">
        <v>1111</v>
      </c>
      <c r="BJ33" s="401">
        <v>1113</v>
      </c>
      <c r="BK33" s="401">
        <v>1118</v>
      </c>
      <c r="BL33" s="401">
        <v>1122</v>
      </c>
      <c r="BM33" s="402">
        <v>745</v>
      </c>
      <c r="BN33" s="401">
        <v>709</v>
      </c>
      <c r="BO33" s="401">
        <v>716</v>
      </c>
      <c r="BP33" s="401">
        <v>718</v>
      </c>
      <c r="BQ33" s="402">
        <v>720.4</v>
      </c>
      <c r="BR33" s="401">
        <v>723</v>
      </c>
      <c r="BS33" s="401">
        <v>727</v>
      </c>
      <c r="BT33" s="401">
        <v>730</v>
      </c>
      <c r="BU33" s="402">
        <v>733</v>
      </c>
      <c r="BV33" s="401">
        <v>735</v>
      </c>
      <c r="BW33" s="403">
        <v>739</v>
      </c>
      <c r="BX33" s="403">
        <v>742</v>
      </c>
      <c r="BY33" s="436">
        <v>744</v>
      </c>
      <c r="BZ33" s="437">
        <v>749</v>
      </c>
      <c r="CA33" s="403">
        <v>754</v>
      </c>
      <c r="CB33" s="403">
        <v>755</v>
      </c>
      <c r="CC33" s="436">
        <v>757</v>
      </c>
      <c r="CD33" s="437">
        <v>759</v>
      </c>
      <c r="CE33" s="403">
        <v>761</v>
      </c>
      <c r="CF33" s="403">
        <v>763</v>
      </c>
      <c r="CG33" s="436">
        <v>763</v>
      </c>
      <c r="CH33" s="437">
        <v>764</v>
      </c>
      <c r="CI33" s="403">
        <v>766</v>
      </c>
      <c r="CJ33" s="403">
        <v>767</v>
      </c>
      <c r="CK33" s="436">
        <v>768</v>
      </c>
      <c r="CL33" s="437">
        <v>769</v>
      </c>
      <c r="CM33" s="403">
        <v>771</v>
      </c>
      <c r="CN33" s="403">
        <v>772</v>
      </c>
      <c r="CO33" s="436">
        <v>773</v>
      </c>
      <c r="CP33" s="437">
        <v>775</v>
      </c>
      <c r="CQ33" s="403">
        <v>777</v>
      </c>
      <c r="CR33" s="403">
        <v>778</v>
      </c>
      <c r="CS33" s="413">
        <v>778.46584994192017</v>
      </c>
      <c r="CT33" s="373">
        <v>779.74585892585355</v>
      </c>
      <c r="CU33" s="325">
        <v>780.7746907591752</v>
      </c>
      <c r="CV33" s="325">
        <v>781.28520891318237</v>
      </c>
      <c r="CW33" s="413">
        <v>781.9405885708278</v>
      </c>
      <c r="CX33" s="412"/>
      <c r="CY33" s="412"/>
      <c r="CZ33" s="412"/>
      <c r="DA33" s="413"/>
      <c r="DB33" s="412"/>
      <c r="DC33" s="412"/>
      <c r="DD33" s="412"/>
      <c r="DE33" s="413"/>
      <c r="DF33" s="412"/>
      <c r="DG33" s="412"/>
      <c r="DH33" s="412"/>
      <c r="DI33" s="413"/>
      <c r="DJ33" s="374"/>
      <c r="DK33" s="438"/>
      <c r="DL33" s="401"/>
      <c r="DM33" s="401"/>
      <c r="DN33" s="401"/>
      <c r="DO33" s="401"/>
      <c r="DP33" s="401"/>
      <c r="DQ33" s="401"/>
      <c r="DR33" s="401"/>
      <c r="DS33" s="401">
        <v>946</v>
      </c>
      <c r="DT33" s="401">
        <v>1283</v>
      </c>
      <c r="DU33" s="401">
        <v>1222</v>
      </c>
      <c r="DV33" s="376">
        <v>1148.25</v>
      </c>
      <c r="DW33" s="376">
        <v>1112.25</v>
      </c>
      <c r="DX33" s="376">
        <v>1024.5</v>
      </c>
      <c r="DY33" s="376">
        <v>715.85</v>
      </c>
      <c r="DZ33" s="376">
        <v>728.25</v>
      </c>
      <c r="EA33" s="325">
        <v>740</v>
      </c>
      <c r="EB33" s="412">
        <v>755.23931049999999</v>
      </c>
      <c r="EC33" s="412">
        <v>760.81583150000006</v>
      </c>
      <c r="ED33" s="412">
        <v>765</v>
      </c>
      <c r="EE33" s="412">
        <v>767</v>
      </c>
      <c r="EF33" s="412">
        <v>772.96584994192017</v>
      </c>
      <c r="EG33" s="412">
        <v>780.61591137480741</v>
      </c>
      <c r="EH33" s="412">
        <v>785.03817329580454</v>
      </c>
      <c r="EI33" s="412">
        <v>790.53344050887517</v>
      </c>
      <c r="EJ33" s="412">
        <v>796.06717459243714</v>
      </c>
      <c r="EK33" s="412">
        <v>801.63964481458424</v>
      </c>
      <c r="EL33" s="412">
        <v>807.25112232828621</v>
      </c>
      <c r="EM33" s="412">
        <v>812.90188018458412</v>
      </c>
      <c r="EN33" s="412">
        <v>818.59219334587624</v>
      </c>
      <c r="EO33" s="412">
        <v>824.32233869929723</v>
      </c>
      <c r="EP33" s="430"/>
      <c r="EQ33" s="320">
        <v>7.5839025563921858E-3</v>
      </c>
    </row>
    <row r="34" spans="1:147" s="439" customFormat="1" ht="15" customHeight="1" outlineLevel="2">
      <c r="A34" s="434"/>
      <c r="B34"/>
      <c r="C34"/>
      <c r="D34"/>
      <c r="E34"/>
      <c r="F34"/>
      <c r="G34"/>
      <c r="H34" s="325"/>
      <c r="I34" s="435" t="s">
        <v>1492</v>
      </c>
      <c r="J34" s="401"/>
      <c r="K34" s="401"/>
      <c r="L34" s="401"/>
      <c r="M34" s="402"/>
      <c r="N34" s="401"/>
      <c r="O34" s="401"/>
      <c r="P34" s="401"/>
      <c r="Q34" s="402"/>
      <c r="R34" s="401"/>
      <c r="S34" s="401"/>
      <c r="T34" s="401"/>
      <c r="U34" s="402"/>
      <c r="V34" s="401"/>
      <c r="W34" s="401"/>
      <c r="X34" s="401"/>
      <c r="Y34" s="402"/>
      <c r="Z34" s="401"/>
      <c r="AA34" s="401"/>
      <c r="AB34" s="401"/>
      <c r="AC34" s="402"/>
      <c r="AD34" s="401"/>
      <c r="AE34" s="401"/>
      <c r="AF34" s="401"/>
      <c r="AG34" s="402"/>
      <c r="AH34" s="401"/>
      <c r="AI34" s="401"/>
      <c r="AJ34" s="401"/>
      <c r="AK34" s="402"/>
      <c r="AL34" s="401"/>
      <c r="AM34" s="401"/>
      <c r="AN34" s="401"/>
      <c r="AO34" s="402"/>
      <c r="AP34" s="401"/>
      <c r="AQ34" s="401"/>
      <c r="AR34" s="401"/>
      <c r="AS34" s="402"/>
      <c r="AT34" s="401">
        <v>1359</v>
      </c>
      <c r="AU34" s="401">
        <v>1332</v>
      </c>
      <c r="AV34" s="401">
        <v>1297</v>
      </c>
      <c r="AW34" s="402">
        <v>1236</v>
      </c>
      <c r="AX34" s="401">
        <v>1264</v>
      </c>
      <c r="AY34" s="401">
        <v>1248</v>
      </c>
      <c r="AZ34" s="401">
        <v>1227</v>
      </c>
      <c r="BA34" s="402">
        <v>1198</v>
      </c>
      <c r="BB34" s="401">
        <v>1182</v>
      </c>
      <c r="BC34" s="401">
        <v>1150</v>
      </c>
      <c r="BD34" s="401">
        <v>1148</v>
      </c>
      <c r="BE34" s="402">
        <v>1147</v>
      </c>
      <c r="BF34" s="401">
        <v>1127</v>
      </c>
      <c r="BG34" s="401">
        <v>1115</v>
      </c>
      <c r="BH34" s="401">
        <v>1114</v>
      </c>
      <c r="BI34" s="402">
        <v>1115</v>
      </c>
      <c r="BJ34" s="401">
        <v>1120</v>
      </c>
      <c r="BK34" s="401">
        <v>1127</v>
      </c>
      <c r="BL34" s="401">
        <v>1134</v>
      </c>
      <c r="BM34" s="402">
        <v>757</v>
      </c>
      <c r="BN34" s="401">
        <v>720</v>
      </c>
      <c r="BO34" s="401">
        <v>725</v>
      </c>
      <c r="BP34" s="401">
        <v>718</v>
      </c>
      <c r="BQ34" s="402">
        <v>729.4</v>
      </c>
      <c r="BR34" s="401">
        <v>731</v>
      </c>
      <c r="BS34" s="401">
        <v>735</v>
      </c>
      <c r="BT34" s="401">
        <v>739</v>
      </c>
      <c r="BU34" s="402">
        <v>744</v>
      </c>
      <c r="BV34" s="401">
        <v>746</v>
      </c>
      <c r="BW34" s="403">
        <v>750</v>
      </c>
      <c r="BX34" s="403">
        <v>756</v>
      </c>
      <c r="BY34" s="436">
        <v>757</v>
      </c>
      <c r="BZ34" s="437">
        <v>761</v>
      </c>
      <c r="CA34" s="403">
        <v>764</v>
      </c>
      <c r="CB34" s="403">
        <v>766</v>
      </c>
      <c r="CC34" s="436">
        <v>757</v>
      </c>
      <c r="CD34" s="437">
        <v>770</v>
      </c>
      <c r="CE34" s="403">
        <v>770</v>
      </c>
      <c r="CF34" s="403">
        <v>771</v>
      </c>
      <c r="CG34" s="436">
        <v>771</v>
      </c>
      <c r="CH34" s="437">
        <v>770</v>
      </c>
      <c r="CI34" s="403">
        <v>770</v>
      </c>
      <c r="CJ34" s="403">
        <v>771</v>
      </c>
      <c r="CK34" s="436">
        <v>773</v>
      </c>
      <c r="CL34" s="437">
        <v>774</v>
      </c>
      <c r="CM34" s="403">
        <v>776</v>
      </c>
      <c r="CN34" s="403">
        <v>779</v>
      </c>
      <c r="CO34" s="436">
        <v>780</v>
      </c>
      <c r="CP34" s="437">
        <v>783</v>
      </c>
      <c r="CQ34" s="403">
        <v>783</v>
      </c>
      <c r="CR34" s="403">
        <v>783</v>
      </c>
      <c r="CS34" s="413">
        <v>784.46584994192017</v>
      </c>
      <c r="CT34" s="373">
        <v>786.74585892585355</v>
      </c>
      <c r="CU34" s="325">
        <v>787.7746907591752</v>
      </c>
      <c r="CV34" s="325">
        <v>788.28520891318237</v>
      </c>
      <c r="CW34" s="413">
        <v>788.9405885708278</v>
      </c>
      <c r="CX34" s="412"/>
      <c r="CY34" s="412"/>
      <c r="CZ34" s="412"/>
      <c r="DA34" s="413"/>
      <c r="DB34" s="412"/>
      <c r="DC34" s="412"/>
      <c r="DD34" s="412"/>
      <c r="DE34" s="413"/>
      <c r="DF34" s="412"/>
      <c r="DG34" s="412"/>
      <c r="DH34" s="412"/>
      <c r="DI34" s="413"/>
      <c r="DJ34" s="374"/>
      <c r="DK34" s="438"/>
      <c r="DL34" s="401"/>
      <c r="DM34" s="401"/>
      <c r="DN34" s="401"/>
      <c r="DO34" s="401"/>
      <c r="DP34" s="401"/>
      <c r="DQ34" s="401"/>
      <c r="DR34" s="401"/>
      <c r="DS34" s="401">
        <v>946</v>
      </c>
      <c r="DT34" s="401">
        <v>1311</v>
      </c>
      <c r="DU34" s="401">
        <v>1236</v>
      </c>
      <c r="DV34" s="376">
        <v>1156.75</v>
      </c>
      <c r="DW34" s="376">
        <v>1117.75</v>
      </c>
      <c r="DX34" s="376">
        <v>1034.5</v>
      </c>
      <c r="DY34" s="376">
        <v>723.1</v>
      </c>
      <c r="DZ34" s="376">
        <v>737.25</v>
      </c>
      <c r="EA34" s="325">
        <v>752.25</v>
      </c>
      <c r="EB34" s="412">
        <v>762</v>
      </c>
      <c r="EC34" s="412">
        <v>770.5</v>
      </c>
      <c r="ED34" s="412">
        <v>771</v>
      </c>
      <c r="EE34" s="412">
        <v>777.25</v>
      </c>
      <c r="EF34" s="412">
        <v>783.36646248548004</v>
      </c>
      <c r="EG34" s="412">
        <v>787.93658679225973</v>
      </c>
      <c r="EH34" s="412">
        <v>792.35884871325686</v>
      </c>
      <c r="EI34" s="412">
        <v>797.85411592632749</v>
      </c>
      <c r="EJ34" s="412">
        <v>803.38785000988946</v>
      </c>
      <c r="EK34" s="412">
        <v>808.96032023203657</v>
      </c>
      <c r="EL34" s="412">
        <v>814.57179774573854</v>
      </c>
      <c r="EM34" s="412">
        <v>820.22255560203644</v>
      </c>
      <c r="EN34" s="412">
        <v>825.91286876332856</v>
      </c>
      <c r="EO34" s="412">
        <v>831.64301411674955</v>
      </c>
      <c r="EP34" s="373"/>
      <c r="EQ34" s="320">
        <v>6.5623685184998948E-3</v>
      </c>
    </row>
    <row r="35" spans="1:147" s="439" customFormat="1" ht="15" customHeight="1" outlineLevel="2">
      <c r="A35" s="434"/>
      <c r="B35"/>
      <c r="C35"/>
      <c r="D35"/>
      <c r="E35"/>
      <c r="F35"/>
      <c r="G35"/>
      <c r="H35" s="325"/>
      <c r="I35" s="435" t="s">
        <v>1493</v>
      </c>
      <c r="J35" s="401"/>
      <c r="K35" s="401"/>
      <c r="L35" s="401"/>
      <c r="M35" s="402"/>
      <c r="N35" s="401"/>
      <c r="O35" s="401"/>
      <c r="P35" s="401"/>
      <c r="Q35" s="402"/>
      <c r="R35" s="401"/>
      <c r="S35" s="401"/>
      <c r="T35" s="401"/>
      <c r="U35" s="402"/>
      <c r="V35" s="401"/>
      <c r="W35" s="401"/>
      <c r="X35" s="401"/>
      <c r="Y35" s="402"/>
      <c r="Z35" s="401"/>
      <c r="AA35" s="401"/>
      <c r="AB35" s="401"/>
      <c r="AC35" s="402"/>
      <c r="AD35" s="401"/>
      <c r="AE35" s="401"/>
      <c r="AF35" s="401"/>
      <c r="AG35" s="402"/>
      <c r="AH35" s="401"/>
      <c r="AI35" s="401"/>
      <c r="AJ35" s="401"/>
      <c r="AK35" s="402"/>
      <c r="AL35" s="401"/>
      <c r="AM35" s="401"/>
      <c r="AN35" s="401"/>
      <c r="AO35" s="402"/>
      <c r="AP35" s="401"/>
      <c r="AQ35" s="401"/>
      <c r="AR35" s="401"/>
      <c r="AS35" s="402"/>
      <c r="AT35" s="325">
        <v>1359</v>
      </c>
      <c r="AU35" s="325">
        <v>1332</v>
      </c>
      <c r="AV35" s="325">
        <v>1297</v>
      </c>
      <c r="AW35" s="372">
        <v>1236</v>
      </c>
      <c r="AX35" s="325">
        <v>1264</v>
      </c>
      <c r="AY35" s="325">
        <v>1248</v>
      </c>
      <c r="AZ35" s="325">
        <v>1227</v>
      </c>
      <c r="BA35" s="372">
        <v>1198</v>
      </c>
      <c r="BB35" s="325">
        <v>1182</v>
      </c>
      <c r="BC35" s="325">
        <v>1150</v>
      </c>
      <c r="BD35" s="325">
        <v>1148</v>
      </c>
      <c r="BE35" s="372">
        <v>1147</v>
      </c>
      <c r="BF35" s="325">
        <v>1127</v>
      </c>
      <c r="BG35" s="325">
        <v>1115</v>
      </c>
      <c r="BH35" s="325">
        <v>1114</v>
      </c>
      <c r="BI35" s="372">
        <v>1115</v>
      </c>
      <c r="BJ35" s="325">
        <v>1120</v>
      </c>
      <c r="BK35" s="325">
        <v>1127</v>
      </c>
      <c r="BL35" s="325">
        <v>1134</v>
      </c>
      <c r="BM35" s="402">
        <v>780</v>
      </c>
      <c r="BN35" s="401">
        <v>737</v>
      </c>
      <c r="BO35" s="401">
        <v>741</v>
      </c>
      <c r="BP35" s="401">
        <v>742</v>
      </c>
      <c r="BQ35" s="402">
        <v>741</v>
      </c>
      <c r="BR35" s="401">
        <v>741</v>
      </c>
      <c r="BS35" s="401">
        <v>744</v>
      </c>
      <c r="BT35" s="401">
        <v>747</v>
      </c>
      <c r="BU35" s="402">
        <v>750</v>
      </c>
      <c r="BV35" s="401">
        <v>750</v>
      </c>
      <c r="BW35" s="401">
        <v>750</v>
      </c>
      <c r="BX35" s="401">
        <v>756</v>
      </c>
      <c r="BY35" s="402">
        <v>757</v>
      </c>
      <c r="BZ35" s="438">
        <v>761</v>
      </c>
      <c r="CA35" s="401">
        <v>764</v>
      </c>
      <c r="CB35" s="401">
        <v>766</v>
      </c>
      <c r="CC35" s="402">
        <v>757</v>
      </c>
      <c r="CD35" s="438">
        <v>770</v>
      </c>
      <c r="CE35" s="401">
        <v>770</v>
      </c>
      <c r="CF35" s="401">
        <v>771</v>
      </c>
      <c r="CG35" s="402">
        <v>771</v>
      </c>
      <c r="CH35" s="438">
        <v>770</v>
      </c>
      <c r="CI35" s="401">
        <v>770</v>
      </c>
      <c r="CJ35" s="401">
        <v>771</v>
      </c>
      <c r="CK35" s="402">
        <v>773</v>
      </c>
      <c r="CL35" s="438">
        <v>774</v>
      </c>
      <c r="CM35" s="401">
        <v>776</v>
      </c>
      <c r="CN35" s="401">
        <v>779</v>
      </c>
      <c r="CO35" s="402">
        <v>780</v>
      </c>
      <c r="CP35" s="438">
        <v>783</v>
      </c>
      <c r="CQ35" s="401">
        <v>783</v>
      </c>
      <c r="CR35" s="401">
        <v>783</v>
      </c>
      <c r="CS35" s="413">
        <v>784.46584994192017</v>
      </c>
      <c r="CT35" s="373">
        <v>786.74585892585355</v>
      </c>
      <c r="CU35" s="325">
        <v>787.7746907591752</v>
      </c>
      <c r="CV35" s="325">
        <v>788.28520891318237</v>
      </c>
      <c r="CW35" s="413">
        <v>788.9405885708278</v>
      </c>
      <c r="CX35" s="412"/>
      <c r="CY35" s="412"/>
      <c r="CZ35" s="412"/>
      <c r="DA35" s="413"/>
      <c r="DB35" s="412"/>
      <c r="DC35" s="412"/>
      <c r="DD35" s="412"/>
      <c r="DE35" s="413"/>
      <c r="DF35" s="412"/>
      <c r="DG35" s="412"/>
      <c r="DH35" s="412"/>
      <c r="DI35" s="413"/>
      <c r="DJ35" s="374"/>
      <c r="DK35" s="438"/>
      <c r="DL35" s="401"/>
      <c r="DM35" s="401"/>
      <c r="DN35" s="401"/>
      <c r="DO35" s="401"/>
      <c r="DP35" s="401"/>
      <c r="DQ35" s="401"/>
      <c r="DR35" s="401"/>
      <c r="DS35" s="376">
        <v>946</v>
      </c>
      <c r="DT35" s="376">
        <v>1311</v>
      </c>
      <c r="DU35" s="376">
        <v>1236</v>
      </c>
      <c r="DV35" s="376">
        <v>1156.75</v>
      </c>
      <c r="DW35" s="376">
        <v>1117.75</v>
      </c>
      <c r="DX35" s="376">
        <v>1040.25</v>
      </c>
      <c r="DY35" s="376">
        <v>740.25</v>
      </c>
      <c r="DZ35" s="376">
        <v>745.5</v>
      </c>
      <c r="EA35" s="325">
        <v>753.25</v>
      </c>
      <c r="EB35" s="412">
        <v>762</v>
      </c>
      <c r="EC35" s="412">
        <v>770.5</v>
      </c>
      <c r="ED35" s="412">
        <v>771</v>
      </c>
      <c r="EE35" s="412">
        <v>777.25</v>
      </c>
      <c r="EF35" s="412">
        <v>783.36646248548004</v>
      </c>
      <c r="EG35" s="412">
        <v>787.93658679225973</v>
      </c>
      <c r="EH35" s="412">
        <v>792.35884871325686</v>
      </c>
      <c r="EI35" s="412">
        <v>797.85411592632749</v>
      </c>
      <c r="EJ35" s="412">
        <v>803.38785000988946</v>
      </c>
      <c r="EK35" s="412">
        <v>808.96032023203657</v>
      </c>
      <c r="EL35" s="412">
        <v>814.57179774573854</v>
      </c>
      <c r="EM35" s="412">
        <v>820.22255560203644</v>
      </c>
      <c r="EN35" s="412">
        <v>825.91286876332856</v>
      </c>
      <c r="EO35" s="412">
        <v>831.64301411674955</v>
      </c>
      <c r="EP35" s="373"/>
      <c r="EQ35" s="320">
        <v>6.5623685184998948E-3</v>
      </c>
    </row>
    <row r="36" spans="1:147" s="390" customFormat="1" ht="15" customHeight="1" outlineLevel="2">
      <c r="A36" s="385"/>
      <c r="B36"/>
      <c r="C36"/>
      <c r="D36"/>
      <c r="E36"/>
      <c r="F36"/>
      <c r="G36"/>
      <c r="H36" s="386"/>
      <c r="I36" s="378"/>
      <c r="J36" s="386"/>
      <c r="K36" s="386"/>
      <c r="L36" s="386"/>
      <c r="M36" s="388"/>
      <c r="N36" s="386"/>
      <c r="O36" s="386"/>
      <c r="P36" s="386"/>
      <c r="Q36" s="388"/>
      <c r="R36" s="386"/>
      <c r="S36" s="386"/>
      <c r="T36" s="386"/>
      <c r="U36" s="388"/>
      <c r="V36" s="386"/>
      <c r="W36" s="386"/>
      <c r="X36" s="386"/>
      <c r="Y36" s="388"/>
      <c r="Z36" s="386"/>
      <c r="AA36" s="386"/>
      <c r="AB36" s="386"/>
      <c r="AC36" s="388"/>
      <c r="AD36" s="386"/>
      <c r="AE36" s="386"/>
      <c r="AF36" s="386"/>
      <c r="AG36" s="388"/>
      <c r="AH36" s="386"/>
      <c r="AI36" s="386"/>
      <c r="AJ36" s="386"/>
      <c r="AK36" s="388"/>
      <c r="AL36" s="386"/>
      <c r="AM36" s="386"/>
      <c r="AN36" s="386"/>
      <c r="AO36" s="388"/>
      <c r="AP36" s="386"/>
      <c r="AQ36" s="386"/>
      <c r="AR36" s="386"/>
      <c r="AS36" s="388"/>
      <c r="AT36" s="386"/>
      <c r="AU36" s="386"/>
      <c r="AV36" s="386"/>
      <c r="AW36" s="388"/>
      <c r="AX36" s="386"/>
      <c r="AY36" s="386"/>
      <c r="AZ36" s="386"/>
      <c r="BA36" s="388"/>
      <c r="BB36" s="386"/>
      <c r="BC36" s="386"/>
      <c r="BD36" s="386"/>
      <c r="BE36" s="388"/>
      <c r="BF36" s="386"/>
      <c r="BG36" s="386"/>
      <c r="BH36" s="386"/>
      <c r="BI36" s="388"/>
      <c r="BJ36" s="386"/>
      <c r="BK36" s="386"/>
      <c r="BL36" s="386"/>
      <c r="BM36" s="388"/>
      <c r="BN36" s="386"/>
      <c r="BO36" s="386"/>
      <c r="BP36" s="386"/>
      <c r="BQ36" s="388"/>
      <c r="BR36" s="386"/>
      <c r="BS36" s="386"/>
      <c r="BT36" s="386"/>
      <c r="BU36" s="388"/>
      <c r="BV36" s="386"/>
      <c r="BW36" s="386"/>
      <c r="BX36" s="386"/>
      <c r="BY36" s="388"/>
      <c r="BZ36" s="389"/>
      <c r="CA36" s="386"/>
      <c r="CB36" s="386"/>
      <c r="CC36" s="388"/>
      <c r="CD36" s="386"/>
      <c r="CE36" s="386"/>
      <c r="CF36" s="386"/>
      <c r="CG36" s="388"/>
      <c r="CH36" s="386"/>
      <c r="CI36" s="386"/>
      <c r="CJ36" s="386"/>
      <c r="CK36" s="388"/>
      <c r="CL36" s="386"/>
      <c r="CM36" s="386"/>
      <c r="CN36" s="386"/>
      <c r="CO36" s="388"/>
      <c r="CP36" s="389"/>
      <c r="CQ36" s="386"/>
      <c r="CR36" s="386"/>
      <c r="CS36" s="388"/>
      <c r="CT36" s="389"/>
      <c r="CU36" s="386"/>
      <c r="CV36" s="386"/>
      <c r="CW36" s="388"/>
      <c r="CX36" s="386"/>
      <c r="CY36" s="386"/>
      <c r="CZ36" s="386"/>
      <c r="DA36" s="388"/>
      <c r="DB36" s="386"/>
      <c r="DC36" s="386"/>
      <c r="DD36" s="386"/>
      <c r="DE36" s="388"/>
      <c r="DF36" s="386"/>
      <c r="DG36" s="386"/>
      <c r="DH36" s="386"/>
      <c r="DI36" s="388"/>
      <c r="DJ36" s="440"/>
      <c r="DK36" s="389"/>
      <c r="DL36" s="386"/>
      <c r="DM36" s="386"/>
      <c r="DN36" s="386"/>
      <c r="DO36" s="386"/>
      <c r="DP36" s="386"/>
      <c r="DQ36" s="386"/>
      <c r="DR36" s="386"/>
      <c r="DS36" s="399"/>
      <c r="DT36" s="399"/>
      <c r="DU36" s="399"/>
      <c r="DV36" s="386"/>
      <c r="DW36" s="399"/>
      <c r="DX36" s="399"/>
      <c r="DY36" s="399"/>
      <c r="DZ36" s="399"/>
      <c r="EA36" s="386"/>
      <c r="EB36" s="386"/>
      <c r="EC36" s="386"/>
      <c r="ED36" s="386"/>
      <c r="EE36" s="320"/>
      <c r="EF36" s="320"/>
      <c r="EG36" s="386"/>
      <c r="EH36" s="386"/>
      <c r="EI36" s="386"/>
      <c r="EJ36" s="386"/>
      <c r="EK36" s="386"/>
      <c r="EL36" s="386"/>
      <c r="EM36" s="386"/>
      <c r="EN36" s="386"/>
      <c r="EO36" s="386"/>
      <c r="EP36" s="389"/>
      <c r="EQ36" s="386"/>
    </row>
    <row r="37" spans="1:147" s="447" customFormat="1" ht="15" customHeight="1" outlineLevel="2">
      <c r="A37" s="441"/>
      <c r="B37"/>
      <c r="C37"/>
      <c r="D37"/>
      <c r="E37"/>
      <c r="F37"/>
      <c r="G37"/>
      <c r="H37" s="442"/>
      <c r="I37" s="443" t="s">
        <v>1494</v>
      </c>
      <c r="J37" s="442"/>
      <c r="K37" s="442"/>
      <c r="L37" s="442"/>
      <c r="M37" s="444"/>
      <c r="N37" s="442"/>
      <c r="O37" s="442"/>
      <c r="P37" s="442"/>
      <c r="Q37" s="444"/>
      <c r="R37" s="442"/>
      <c r="S37" s="442"/>
      <c r="T37" s="442"/>
      <c r="U37" s="444"/>
      <c r="V37" s="442"/>
      <c r="W37" s="442"/>
      <c r="X37" s="442"/>
      <c r="Y37" s="444"/>
      <c r="Z37" s="442"/>
      <c r="AA37" s="442"/>
      <c r="AB37" s="442"/>
      <c r="AC37" s="444"/>
      <c r="AD37" s="442"/>
      <c r="AE37" s="442"/>
      <c r="AF37" s="442"/>
      <c r="AG37" s="444"/>
      <c r="AH37" s="442"/>
      <c r="AI37" s="442"/>
      <c r="AJ37" s="442"/>
      <c r="AK37" s="444"/>
      <c r="AL37" s="442"/>
      <c r="AM37" s="442"/>
      <c r="AN37" s="442"/>
      <c r="AO37" s="444"/>
      <c r="AP37" s="442"/>
      <c r="AQ37" s="442"/>
      <c r="AR37" s="442"/>
      <c r="AS37" s="444"/>
      <c r="AT37" s="442"/>
      <c r="AU37" s="442"/>
      <c r="AV37" s="442"/>
      <c r="AW37" s="444"/>
      <c r="AX37" s="442"/>
      <c r="AY37" s="442"/>
      <c r="AZ37" s="442"/>
      <c r="BA37" s="444"/>
      <c r="BB37" s="442"/>
      <c r="BC37" s="442"/>
      <c r="BD37" s="442"/>
      <c r="BE37" s="444"/>
      <c r="BF37" s="442"/>
      <c r="BG37" s="442"/>
      <c r="BH37" s="442"/>
      <c r="BI37" s="444"/>
      <c r="BJ37" s="442"/>
      <c r="BK37" s="442"/>
      <c r="BL37" s="442"/>
      <c r="BM37" s="444"/>
      <c r="BN37" s="442"/>
      <c r="BO37" s="442"/>
      <c r="BP37" s="442"/>
      <c r="BQ37" s="444"/>
      <c r="BR37" s="442"/>
      <c r="BS37" s="442"/>
      <c r="BT37" s="442"/>
      <c r="BU37" s="444"/>
      <c r="BV37" s="442"/>
      <c r="BW37" s="442"/>
      <c r="BX37" s="442"/>
      <c r="BY37" s="444"/>
      <c r="BZ37" s="442"/>
      <c r="CA37" s="442"/>
      <c r="CB37" s="442"/>
      <c r="CC37" s="444"/>
      <c r="CD37" s="442"/>
      <c r="CE37" s="442"/>
      <c r="CF37" s="442"/>
      <c r="CG37" s="444"/>
      <c r="CH37" s="442"/>
      <c r="CI37" s="442"/>
      <c r="CJ37" s="442"/>
      <c r="CK37" s="444"/>
      <c r="CL37" s="442"/>
      <c r="CM37" s="442"/>
      <c r="CN37" s="442"/>
      <c r="CO37" s="444"/>
      <c r="CP37" s="445"/>
      <c r="CQ37" s="442"/>
      <c r="CR37" s="442"/>
      <c r="CS37" s="444"/>
      <c r="CT37" s="445"/>
      <c r="CU37" s="442"/>
      <c r="CV37" s="442"/>
      <c r="CW37" s="444"/>
      <c r="CX37" s="442"/>
      <c r="CY37" s="442"/>
      <c r="CZ37" s="442"/>
      <c r="DA37" s="444"/>
      <c r="DB37" s="442"/>
      <c r="DC37" s="442"/>
      <c r="DD37" s="442"/>
      <c r="DE37" s="444"/>
      <c r="DF37" s="442"/>
      <c r="DG37" s="442"/>
      <c r="DH37" s="442"/>
      <c r="DI37" s="444"/>
      <c r="DJ37" s="446"/>
      <c r="DK37" s="445"/>
      <c r="DL37" s="442"/>
      <c r="DM37" s="442"/>
      <c r="DN37" s="442"/>
      <c r="DO37" s="442"/>
      <c r="DP37" s="442"/>
      <c r="DQ37" s="442"/>
      <c r="DR37" s="442"/>
      <c r="DS37" s="442"/>
      <c r="DT37" s="442"/>
      <c r="DU37" s="442"/>
      <c r="DV37" s="442"/>
      <c r="DW37" s="442"/>
      <c r="DX37" s="442"/>
      <c r="DY37" s="442"/>
      <c r="DZ37" s="442"/>
      <c r="EA37" s="442"/>
      <c r="EB37" s="442"/>
      <c r="EC37" s="442"/>
      <c r="ED37" s="442"/>
      <c r="EE37" s="442"/>
      <c r="EF37" s="442"/>
      <c r="EG37" s="442"/>
      <c r="EH37" s="442"/>
      <c r="EI37" s="442"/>
      <c r="EJ37" s="442"/>
      <c r="EK37" s="442"/>
      <c r="EL37" s="442"/>
      <c r="EM37" s="442"/>
      <c r="EN37" s="442"/>
      <c r="EO37" s="442"/>
      <c r="EP37" s="445"/>
      <c r="EQ37" s="442"/>
    </row>
    <row r="38" spans="1:147" s="390" customFormat="1" ht="13.9" customHeight="1" outlineLevel="2">
      <c r="A38" s="385"/>
      <c r="B38"/>
      <c r="C38"/>
      <c r="D38"/>
      <c r="E38"/>
      <c r="F38"/>
      <c r="G38"/>
      <c r="H38" s="386"/>
      <c r="I38" s="379" t="s">
        <v>1495</v>
      </c>
      <c r="J38" s="386"/>
      <c r="K38" s="386"/>
      <c r="L38" s="386"/>
      <c r="M38" s="388"/>
      <c r="N38" s="386"/>
      <c r="O38" s="386"/>
      <c r="P38" s="386"/>
      <c r="Q38" s="388"/>
      <c r="R38" s="386"/>
      <c r="S38" s="386"/>
      <c r="T38" s="386"/>
      <c r="U38" s="388"/>
      <c r="V38" s="386"/>
      <c r="W38" s="386"/>
      <c r="X38" s="386"/>
      <c r="Y38" s="388"/>
      <c r="Z38" s="386"/>
      <c r="AA38" s="386"/>
      <c r="AB38" s="386"/>
      <c r="AC38" s="388"/>
      <c r="AD38" s="386"/>
      <c r="AE38" s="386"/>
      <c r="AF38" s="386"/>
      <c r="AG38" s="388"/>
      <c r="AH38" s="386"/>
      <c r="AI38" s="386"/>
      <c r="AJ38" s="386"/>
      <c r="AK38" s="388"/>
      <c r="AL38" s="386"/>
      <c r="AM38" s="386"/>
      <c r="AN38" s="386"/>
      <c r="AO38" s="388"/>
      <c r="AP38" s="386"/>
      <c r="AQ38" s="386"/>
      <c r="AR38" s="386"/>
      <c r="AS38" s="388"/>
      <c r="AT38" s="448">
        <v>724</v>
      </c>
      <c r="AU38" s="448">
        <v>801</v>
      </c>
      <c r="AV38" s="448">
        <v>755</v>
      </c>
      <c r="AW38" s="449">
        <v>2495</v>
      </c>
      <c r="AX38" s="448">
        <v>714</v>
      </c>
      <c r="AY38" s="448">
        <v>683</v>
      </c>
      <c r="AZ38" s="448">
        <v>857</v>
      </c>
      <c r="BA38" s="449">
        <v>2548</v>
      </c>
      <c r="BB38" s="448">
        <v>755</v>
      </c>
      <c r="BC38" s="448">
        <v>699</v>
      </c>
      <c r="BD38" s="448">
        <v>627</v>
      </c>
      <c r="BE38" s="449">
        <v>2408</v>
      </c>
      <c r="BF38" s="448">
        <v>587</v>
      </c>
      <c r="BG38" s="448">
        <v>1054</v>
      </c>
      <c r="BH38" s="448">
        <v>751</v>
      </c>
      <c r="BI38" s="449">
        <v>2595</v>
      </c>
      <c r="BJ38" s="448">
        <v>804</v>
      </c>
      <c r="BK38" s="448">
        <v>608</v>
      </c>
      <c r="BL38" s="448">
        <v>657</v>
      </c>
      <c r="BM38" s="449">
        <v>2272</v>
      </c>
      <c r="BN38" s="448">
        <v>772</v>
      </c>
      <c r="BO38" s="448">
        <v>658</v>
      </c>
      <c r="BP38" s="448">
        <v>1170</v>
      </c>
      <c r="BQ38" s="449">
        <v>2213</v>
      </c>
      <c r="BR38" s="448">
        <v>703</v>
      </c>
      <c r="BS38" s="448">
        <v>759</v>
      </c>
      <c r="BT38" s="448">
        <v>1040</v>
      </c>
      <c r="BU38" s="449">
        <v>2118</v>
      </c>
      <c r="BV38" s="448">
        <v>908</v>
      </c>
      <c r="BW38" s="448">
        <v>1609</v>
      </c>
      <c r="BX38" s="448">
        <v>1630</v>
      </c>
      <c r="BY38" s="449">
        <v>2452</v>
      </c>
      <c r="BZ38" s="448">
        <v>1196</v>
      </c>
      <c r="CA38" s="448">
        <v>1418</v>
      </c>
      <c r="CB38" s="448">
        <v>1902</v>
      </c>
      <c r="CC38" s="449">
        <v>2659</v>
      </c>
      <c r="CD38" s="448">
        <v>1384</v>
      </c>
      <c r="CE38" s="448">
        <v>1385</v>
      </c>
      <c r="CF38" s="448">
        <v>1658</v>
      </c>
      <c r="CG38" s="449">
        <v>2835</v>
      </c>
      <c r="CH38" s="448">
        <v>1258</v>
      </c>
      <c r="CI38" s="448">
        <v>1207</v>
      </c>
      <c r="CJ38" s="448">
        <v>1214</v>
      </c>
      <c r="CK38" s="449">
        <v>2708</v>
      </c>
      <c r="CL38" s="448">
        <v>1522</v>
      </c>
      <c r="CM38" s="448">
        <v>2078</v>
      </c>
      <c r="CN38" s="448">
        <v>1767</v>
      </c>
      <c r="CO38" s="449">
        <v>3051</v>
      </c>
      <c r="CP38" s="450">
        <v>2066</v>
      </c>
      <c r="CQ38" s="448">
        <v>1921</v>
      </c>
      <c r="CR38" s="448">
        <v>2060</v>
      </c>
      <c r="CS38" s="449">
        <v>2806.9707248821205</v>
      </c>
      <c r="CT38" s="450">
        <v>1616.8259323158504</v>
      </c>
      <c r="CU38" s="448">
        <v>1585.9480194281759</v>
      </c>
      <c r="CV38" s="448">
        <v>2112.6893946806267</v>
      </c>
      <c r="CW38" s="449">
        <v>3560.0402405100122</v>
      </c>
      <c r="CX38" s="386"/>
      <c r="CY38" s="386"/>
      <c r="CZ38" s="386"/>
      <c r="DA38" s="388"/>
      <c r="DB38" s="386"/>
      <c r="DC38" s="386"/>
      <c r="DD38" s="386"/>
      <c r="DE38" s="388"/>
      <c r="DF38" s="386"/>
      <c r="DG38" s="386"/>
      <c r="DH38" s="386"/>
      <c r="DI38" s="388"/>
      <c r="DJ38" s="440"/>
      <c r="DK38" s="389"/>
      <c r="DL38" s="386"/>
      <c r="DM38" s="386"/>
      <c r="DN38" s="386"/>
      <c r="DO38" s="386"/>
      <c r="DP38" s="386"/>
      <c r="DQ38" s="386"/>
      <c r="DR38" s="386"/>
      <c r="DS38" s="448">
        <v>3722</v>
      </c>
      <c r="DT38" s="448">
        <v>4775</v>
      </c>
      <c r="DU38" s="448">
        <v>4802</v>
      </c>
      <c r="DV38" s="448">
        <v>4489</v>
      </c>
      <c r="DW38" s="448">
        <v>4987</v>
      </c>
      <c r="DX38" s="448">
        <v>4341</v>
      </c>
      <c r="DY38" s="448">
        <v>4813</v>
      </c>
      <c r="DZ38" s="448">
        <v>4620</v>
      </c>
      <c r="EA38" s="448">
        <v>6599</v>
      </c>
      <c r="EB38" s="448">
        <v>7175</v>
      </c>
      <c r="EC38" s="448">
        <v>7262</v>
      </c>
      <c r="ED38" s="448">
        <v>6387</v>
      </c>
      <c r="EE38" s="448">
        <v>8418</v>
      </c>
      <c r="EF38" s="448">
        <v>8853.9707248821214</v>
      </c>
      <c r="EG38" s="448">
        <v>8875.5035869346648</v>
      </c>
      <c r="EH38" s="448">
        <v>10518.338634813546</v>
      </c>
      <c r="EI38" s="448">
        <v>9665.2317904567153</v>
      </c>
      <c r="EJ38" s="448">
        <v>9318.6132274479678</v>
      </c>
      <c r="EK38" s="448">
        <v>10041.985294232833</v>
      </c>
      <c r="EL38" s="448">
        <v>9569.1015707495681</v>
      </c>
      <c r="EM38" s="448">
        <v>9693.4912223981792</v>
      </c>
      <c r="EN38" s="448">
        <v>9621.1579341245942</v>
      </c>
      <c r="EO38" s="448">
        <v>10447.482616671719</v>
      </c>
      <c r="EP38" s="389"/>
      <c r="EQ38" s="320">
        <v>3.5144164221690755E-2</v>
      </c>
    </row>
    <row r="39" spans="1:147" s="390" customFormat="1" ht="15" customHeight="1" outlineLevel="2">
      <c r="A39" s="385"/>
      <c r="B39"/>
      <c r="C39"/>
      <c r="D39"/>
      <c r="E39"/>
      <c r="F39"/>
      <c r="G39"/>
      <c r="H39" s="386"/>
      <c r="I39" s="451" t="s">
        <v>1496</v>
      </c>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448"/>
      <c r="AU39" s="448"/>
      <c r="AV39" s="448"/>
      <c r="AW39" s="449"/>
      <c r="AX39" s="320">
        <v>-1.3812154696132617E-2</v>
      </c>
      <c r="AY39" s="320">
        <v>-0.14731585518102375</v>
      </c>
      <c r="AZ39" s="320">
        <v>0.13509933774834426</v>
      </c>
      <c r="BA39" s="452">
        <v>2.1242484969939968E-2</v>
      </c>
      <c r="BB39" s="320">
        <v>5.7422969187675088E-2</v>
      </c>
      <c r="BC39" s="320">
        <v>2.3426061493411421E-2</v>
      </c>
      <c r="BD39" s="320">
        <v>-0.26837806301050171</v>
      </c>
      <c r="BE39" s="452">
        <v>-5.4945054945054972E-2</v>
      </c>
      <c r="BF39" s="320">
        <v>-0.22251655629139078</v>
      </c>
      <c r="BG39" s="320">
        <v>0.50786838340486407</v>
      </c>
      <c r="BH39" s="320">
        <v>0.19776714513556626</v>
      </c>
      <c r="BI39" s="452">
        <v>7.7657807308970206E-2</v>
      </c>
      <c r="BJ39" s="320">
        <v>0.36967632027257236</v>
      </c>
      <c r="BK39" s="320">
        <v>-0.42314990512333961</v>
      </c>
      <c r="BL39" s="320">
        <v>-0.12516644474034622</v>
      </c>
      <c r="BM39" s="452">
        <v>-0.12447013487475911</v>
      </c>
      <c r="BN39" s="320">
        <v>-3.9800995024875663E-2</v>
      </c>
      <c r="BO39" s="320">
        <v>8.2236842105263053E-2</v>
      </c>
      <c r="BP39" s="320">
        <v>0.78082191780821919</v>
      </c>
      <c r="BQ39" s="452">
        <v>-2.5968309859154881E-2</v>
      </c>
      <c r="BR39" s="320">
        <v>-8.9378238341968896E-2</v>
      </c>
      <c r="BS39" s="320">
        <v>0.15349544072948329</v>
      </c>
      <c r="BT39" s="320">
        <v>-0.11111111111111116</v>
      </c>
      <c r="BU39" s="452">
        <v>-4.2928151830094907E-2</v>
      </c>
      <c r="BV39" s="320">
        <v>0.29160739687055481</v>
      </c>
      <c r="BW39" s="320">
        <v>1.1198945981554678</v>
      </c>
      <c r="BX39" s="320">
        <v>0.56730769230769229</v>
      </c>
      <c r="BY39" s="452">
        <v>0.15769593956562789</v>
      </c>
      <c r="BZ39" s="320">
        <v>0.31718061674008813</v>
      </c>
      <c r="CA39" s="320">
        <v>-0.11870727159726535</v>
      </c>
      <c r="CB39" s="320">
        <v>0.1668711656441717</v>
      </c>
      <c r="CC39" s="452">
        <v>8.4420880913540053E-2</v>
      </c>
      <c r="CD39" s="320">
        <v>0.15719063545150491</v>
      </c>
      <c r="CE39" s="320">
        <v>-2.3272214386459766E-2</v>
      </c>
      <c r="CF39" s="320">
        <v>-0.12828601472134593</v>
      </c>
      <c r="CG39" s="452">
        <v>6.6190297104174567E-2</v>
      </c>
      <c r="CH39" s="320">
        <v>-9.1040462427745661E-2</v>
      </c>
      <c r="CI39" s="320">
        <v>-0.12851985559566792</v>
      </c>
      <c r="CJ39" s="320">
        <v>-0.26779252110977081</v>
      </c>
      <c r="CK39" s="452">
        <v>-4.4797178130511428E-2</v>
      </c>
      <c r="CL39" s="320">
        <v>0.20985691573926868</v>
      </c>
      <c r="CM39" s="320">
        <v>0.72162386081193031</v>
      </c>
      <c r="CN39" s="320">
        <v>0.45551894563426698</v>
      </c>
      <c r="CO39" s="452">
        <v>0.12666174298375177</v>
      </c>
      <c r="CP39" s="453">
        <v>0.35742444152431019</v>
      </c>
      <c r="CQ39" s="320">
        <v>-7.5553416746871993E-2</v>
      </c>
      <c r="CR39" s="320">
        <v>0.16581777023203159</v>
      </c>
      <c r="CS39" s="452">
        <v>-7.9983374342143421E-2</v>
      </c>
      <c r="CT39" s="453">
        <v>-0.21741242385486426</v>
      </c>
      <c r="CU39" s="320">
        <v>-0.17441539852775845</v>
      </c>
      <c r="CV39" s="320">
        <v>2.55773760585567E-2</v>
      </c>
      <c r="CW39" s="452">
        <v>0.2682854897460738</v>
      </c>
      <c r="CX39" s="389"/>
      <c r="CY39" s="386"/>
      <c r="CZ39" s="386"/>
      <c r="DA39" s="388"/>
      <c r="DB39" s="389"/>
      <c r="DC39" s="386"/>
      <c r="DD39" s="386"/>
      <c r="DE39" s="388"/>
      <c r="DF39" s="389"/>
      <c r="DG39" s="386"/>
      <c r="DH39" s="386"/>
      <c r="DI39" s="388"/>
      <c r="DJ39" s="454"/>
      <c r="DK39" s="448"/>
      <c r="DL39" s="320" t="e">
        <v>#DIV/0!</v>
      </c>
      <c r="DM39" s="320" t="e">
        <v>#DIV/0!</v>
      </c>
      <c r="DN39" s="320" t="e">
        <v>#DIV/0!</v>
      </c>
      <c r="DO39" s="320" t="e">
        <v>#DIV/0!</v>
      </c>
      <c r="DP39" s="320" t="e">
        <v>#DIV/0!</v>
      </c>
      <c r="DQ39" s="320" t="e">
        <v>#DIV/0!</v>
      </c>
      <c r="DR39" s="320" t="e">
        <v>#DIV/0!</v>
      </c>
      <c r="DS39" s="320" t="e">
        <v>#DIV/0!</v>
      </c>
      <c r="DT39" s="320">
        <v>0.28291241268135403</v>
      </c>
      <c r="DU39" s="320">
        <v>5.6544502617801307E-3</v>
      </c>
      <c r="DV39" s="320">
        <v>-6.5181174510620554E-2</v>
      </c>
      <c r="DW39" s="320">
        <v>0.11093784807306739</v>
      </c>
      <c r="DX39" s="320">
        <v>-0.12953679566873877</v>
      </c>
      <c r="DY39" s="320">
        <v>0.1087307072103203</v>
      </c>
      <c r="DZ39" s="320">
        <v>-4.0099729898192438E-2</v>
      </c>
      <c r="EA39" s="320">
        <v>0.42835497835497827</v>
      </c>
      <c r="EB39" s="320">
        <v>8.7285952417032853E-2</v>
      </c>
      <c r="EC39" s="320">
        <v>1.2125435540069729E-2</v>
      </c>
      <c r="ED39" s="320">
        <v>-0.12049022307904156</v>
      </c>
      <c r="EE39" s="320">
        <v>0.31798966651009875</v>
      </c>
      <c r="EF39" s="320">
        <v>5.1790297562618326E-2</v>
      </c>
      <c r="EG39" s="320">
        <v>2.4320005929125976E-3</v>
      </c>
      <c r="EH39" s="320">
        <v>0.18509767156167278</v>
      </c>
      <c r="EI39" s="320">
        <v>-8.1106615215184474E-2</v>
      </c>
      <c r="EJ39" s="320">
        <v>-3.5862415979613926E-2</v>
      </c>
      <c r="EK39" s="320">
        <v>7.7626579098075688E-2</v>
      </c>
      <c r="EL39" s="320">
        <v>-4.7090660823297936E-2</v>
      </c>
      <c r="EM39" s="320">
        <v>1.299909408724842E-2</v>
      </c>
      <c r="EN39" s="320">
        <v>-7.4620471215209871E-3</v>
      </c>
      <c r="EO39" s="320">
        <v>8.5886198751222498E-2</v>
      </c>
      <c r="EP39" s="389"/>
      <c r="EQ39" s="320"/>
    </row>
    <row r="40" spans="1:147" s="390" customFormat="1" ht="15" customHeight="1" outlineLevel="2">
      <c r="A40" s="385"/>
      <c r="B40"/>
      <c r="C40"/>
      <c r="D40"/>
      <c r="E40"/>
      <c r="F40"/>
      <c r="G40"/>
      <c r="H40" s="386"/>
      <c r="I40" s="379"/>
      <c r="J40" s="386"/>
      <c r="K40" s="386"/>
      <c r="L40" s="386"/>
      <c r="M40" s="388"/>
      <c r="N40" s="386"/>
      <c r="O40" s="386"/>
      <c r="P40" s="386"/>
      <c r="Q40" s="388"/>
      <c r="R40" s="386"/>
      <c r="S40" s="386"/>
      <c r="T40" s="386"/>
      <c r="U40" s="388"/>
      <c r="V40" s="386"/>
      <c r="W40" s="386"/>
      <c r="X40" s="386"/>
      <c r="Y40" s="388"/>
      <c r="Z40" s="386"/>
      <c r="AA40" s="386"/>
      <c r="AB40" s="386"/>
      <c r="AC40" s="388"/>
      <c r="AD40" s="386"/>
      <c r="AE40" s="386"/>
      <c r="AF40" s="386"/>
      <c r="AG40" s="388"/>
      <c r="AH40" s="386"/>
      <c r="AI40" s="386"/>
      <c r="AJ40" s="386"/>
      <c r="AK40" s="388"/>
      <c r="AL40" s="386"/>
      <c r="AM40" s="386"/>
      <c r="AN40" s="386"/>
      <c r="AO40" s="388"/>
      <c r="AP40" s="386"/>
      <c r="AQ40" s="386"/>
      <c r="AR40" s="386"/>
      <c r="AS40" s="388"/>
      <c r="AT40" s="448"/>
      <c r="AU40" s="448"/>
      <c r="AV40" s="448"/>
      <c r="AW40" s="449"/>
      <c r="AX40" s="448"/>
      <c r="AY40" s="448"/>
      <c r="AZ40" s="448"/>
      <c r="BA40" s="449"/>
      <c r="BB40" s="448"/>
      <c r="BC40" s="448"/>
      <c r="BD40" s="448"/>
      <c r="BE40" s="449"/>
      <c r="BF40" s="448"/>
      <c r="BG40" s="448"/>
      <c r="BH40" s="448"/>
      <c r="BI40" s="449"/>
      <c r="BJ40" s="448"/>
      <c r="BK40" s="448"/>
      <c r="BL40" s="448"/>
      <c r="BM40" s="449"/>
      <c r="BN40" s="448"/>
      <c r="BO40" s="448"/>
      <c r="BP40" s="448"/>
      <c r="BQ40" s="449"/>
      <c r="BR40" s="448"/>
      <c r="BS40" s="448"/>
      <c r="BT40" s="448"/>
      <c r="BU40" s="449"/>
      <c r="BV40" s="448"/>
      <c r="BW40" s="448"/>
      <c r="BX40" s="448"/>
      <c r="BY40" s="449"/>
      <c r="BZ40" s="448"/>
      <c r="CA40" s="448"/>
      <c r="CB40" s="448"/>
      <c r="CC40" s="449"/>
      <c r="CD40" s="448"/>
      <c r="CE40" s="448"/>
      <c r="CF40" s="448"/>
      <c r="CG40" s="449"/>
      <c r="CH40" s="384"/>
      <c r="CI40" s="384"/>
      <c r="CJ40" s="384"/>
      <c r="CK40" s="455"/>
      <c r="CL40" s="448"/>
      <c r="CM40" s="384"/>
      <c r="CN40" s="384"/>
      <c r="CO40" s="455"/>
      <c r="CP40" s="450"/>
      <c r="CQ40" s="448"/>
      <c r="CR40" s="384"/>
      <c r="CS40" s="455"/>
      <c r="CT40" s="450"/>
      <c r="CU40" s="448"/>
      <c r="CV40" s="384"/>
      <c r="CW40" s="455"/>
      <c r="CX40" s="386"/>
      <c r="CY40" s="386"/>
      <c r="CZ40" s="386"/>
      <c r="DA40" s="388"/>
      <c r="DB40" s="386"/>
      <c r="DC40" s="386"/>
      <c r="DD40" s="386"/>
      <c r="DE40" s="388"/>
      <c r="DF40" s="386"/>
      <c r="DG40" s="386"/>
      <c r="DH40" s="386"/>
      <c r="DI40" s="388"/>
      <c r="DJ40" s="454"/>
      <c r="DK40" s="389"/>
      <c r="DL40" s="386"/>
      <c r="DM40" s="386"/>
      <c r="DN40" s="386"/>
      <c r="DO40" s="386"/>
      <c r="DP40" s="386"/>
      <c r="DQ40" s="386"/>
      <c r="DR40" s="386"/>
      <c r="DS40" s="448"/>
      <c r="DT40" s="448"/>
      <c r="DU40" s="448"/>
      <c r="DV40" s="448"/>
      <c r="DW40" s="448"/>
      <c r="DX40" s="448"/>
      <c r="DY40" s="448"/>
      <c r="DZ40" s="448"/>
      <c r="EA40" s="448"/>
      <c r="EB40" s="448"/>
      <c r="EC40" s="448"/>
      <c r="ED40" s="384"/>
      <c r="EE40" s="384"/>
      <c r="EF40" s="384"/>
      <c r="EG40" s="448"/>
      <c r="EH40" s="448"/>
      <c r="EI40" s="448"/>
      <c r="EJ40" s="448"/>
      <c r="EK40" s="448"/>
      <c r="EL40" s="448"/>
      <c r="EM40" s="448"/>
      <c r="EN40" s="448"/>
      <c r="EO40" s="448"/>
      <c r="EP40" s="389"/>
      <c r="EQ40" s="386"/>
    </row>
    <row r="41" spans="1:147" s="390" customFormat="1" ht="15" customHeight="1" outlineLevel="2">
      <c r="A41" s="385"/>
      <c r="B41"/>
      <c r="C41"/>
      <c r="D41"/>
      <c r="E41"/>
      <c r="F41"/>
      <c r="G41"/>
      <c r="H41" s="386"/>
      <c r="I41" s="379" t="s">
        <v>1497</v>
      </c>
      <c r="J41" s="386"/>
      <c r="K41" s="386"/>
      <c r="L41" s="386"/>
      <c r="M41" s="388"/>
      <c r="N41" s="386"/>
      <c r="O41" s="386"/>
      <c r="P41" s="386"/>
      <c r="Q41" s="388"/>
      <c r="R41" s="386"/>
      <c r="S41" s="386"/>
      <c r="T41" s="386"/>
      <c r="U41" s="388"/>
      <c r="V41" s="386"/>
      <c r="W41" s="386"/>
      <c r="X41" s="386"/>
      <c r="Y41" s="388"/>
      <c r="Z41" s="386"/>
      <c r="AA41" s="386"/>
      <c r="AB41" s="386"/>
      <c r="AC41" s="388"/>
      <c r="AD41" s="386"/>
      <c r="AE41" s="386"/>
      <c r="AF41" s="386"/>
      <c r="AG41" s="388"/>
      <c r="AH41" s="386"/>
      <c r="AI41" s="386"/>
      <c r="AJ41" s="386"/>
      <c r="AK41" s="388"/>
      <c r="AL41" s="386"/>
      <c r="AM41" s="386"/>
      <c r="AN41" s="386"/>
      <c r="AO41" s="388"/>
      <c r="AP41" s="386"/>
      <c r="AQ41" s="386"/>
      <c r="AR41" s="386"/>
      <c r="AS41" s="388"/>
      <c r="AT41" s="448">
        <v>378</v>
      </c>
      <c r="AU41" s="448">
        <v>449</v>
      </c>
      <c r="AV41" s="448">
        <v>396</v>
      </c>
      <c r="AW41" s="449">
        <v>1427</v>
      </c>
      <c r="AX41" s="448">
        <v>407</v>
      </c>
      <c r="AY41" s="448">
        <v>392</v>
      </c>
      <c r="AZ41" s="448">
        <v>519</v>
      </c>
      <c r="BA41" s="449">
        <v>1496</v>
      </c>
      <c r="BB41" s="448">
        <v>500</v>
      </c>
      <c r="BC41" s="448">
        <v>478</v>
      </c>
      <c r="BD41" s="448">
        <v>415</v>
      </c>
      <c r="BE41" s="449">
        <v>1489</v>
      </c>
      <c r="BF41" s="448">
        <v>367</v>
      </c>
      <c r="BG41" s="448">
        <v>743</v>
      </c>
      <c r="BH41" s="448">
        <v>498</v>
      </c>
      <c r="BI41" s="449">
        <v>1719</v>
      </c>
      <c r="BJ41" s="448">
        <v>547</v>
      </c>
      <c r="BK41" s="448">
        <v>433</v>
      </c>
      <c r="BL41" s="448">
        <v>488</v>
      </c>
      <c r="BM41" s="449">
        <v>1394</v>
      </c>
      <c r="BN41" s="448">
        <v>559</v>
      </c>
      <c r="BO41" s="448">
        <v>455</v>
      </c>
      <c r="BP41" s="448">
        <v>683</v>
      </c>
      <c r="BQ41" s="449">
        <v>1432</v>
      </c>
      <c r="BR41" s="448">
        <v>508</v>
      </c>
      <c r="BS41" s="448">
        <v>570</v>
      </c>
      <c r="BT41" s="448">
        <v>685</v>
      </c>
      <c r="BU41" s="449">
        <v>1381</v>
      </c>
      <c r="BV41" s="448">
        <v>651</v>
      </c>
      <c r="BW41" s="448">
        <v>1210</v>
      </c>
      <c r="BX41" s="448">
        <v>1205</v>
      </c>
      <c r="BY41" s="449">
        <v>1614</v>
      </c>
      <c r="BZ41" s="448">
        <v>860</v>
      </c>
      <c r="CA41" s="448">
        <v>1082</v>
      </c>
      <c r="CB41" s="448">
        <v>1309</v>
      </c>
      <c r="CC41" s="449">
        <v>1821</v>
      </c>
      <c r="CD41" s="448">
        <v>1007</v>
      </c>
      <c r="CE41" s="448">
        <v>1026</v>
      </c>
      <c r="CF41" s="448">
        <v>1173</v>
      </c>
      <c r="CG41" s="449">
        <v>2013</v>
      </c>
      <c r="CH41" s="448">
        <v>884</v>
      </c>
      <c r="CI41" s="448">
        <v>878</v>
      </c>
      <c r="CJ41" s="448">
        <v>836</v>
      </c>
      <c r="CK41" s="449">
        <v>1965</v>
      </c>
      <c r="CL41" s="448">
        <v>1148</v>
      </c>
      <c r="CM41" s="448">
        <v>1628</v>
      </c>
      <c r="CN41" s="448">
        <v>1349</v>
      </c>
      <c r="CO41" s="449">
        <v>2021</v>
      </c>
      <c r="CP41" s="450">
        <v>1574</v>
      </c>
      <c r="CQ41" s="448">
        <v>1471</v>
      </c>
      <c r="CR41" s="448">
        <v>1573</v>
      </c>
      <c r="CS41" s="449">
        <v>2101.9657495164456</v>
      </c>
      <c r="CT41" s="450">
        <v>1272.8160782652369</v>
      </c>
      <c r="CU41" s="448">
        <v>1269.8230816065941</v>
      </c>
      <c r="CV41" s="448">
        <v>1620.7210209968957</v>
      </c>
      <c r="CW41" s="449">
        <v>2582.5899739088163</v>
      </c>
      <c r="CX41" s="386"/>
      <c r="CY41" s="386"/>
      <c r="CZ41" s="386"/>
      <c r="DA41" s="388"/>
      <c r="DB41" s="386"/>
      <c r="DC41" s="386"/>
      <c r="DD41" s="386"/>
      <c r="DE41" s="388"/>
      <c r="DF41" s="386"/>
      <c r="DG41" s="386"/>
      <c r="DH41" s="386"/>
      <c r="DI41" s="388"/>
      <c r="DJ41" s="454"/>
      <c r="DK41" s="389"/>
      <c r="DL41" s="386"/>
      <c r="DM41" s="386"/>
      <c r="DN41" s="386"/>
      <c r="DO41" s="386"/>
      <c r="DP41" s="386"/>
      <c r="DQ41" s="386"/>
      <c r="DR41" s="386"/>
      <c r="DS41" s="448">
        <v>1883</v>
      </c>
      <c r="DT41" s="448">
        <v>2650</v>
      </c>
      <c r="DU41" s="448">
        <v>2814</v>
      </c>
      <c r="DV41" s="448">
        <v>2882</v>
      </c>
      <c r="DW41" s="448">
        <v>3327</v>
      </c>
      <c r="DX41" s="448">
        <v>2862</v>
      </c>
      <c r="DY41" s="448">
        <v>3129</v>
      </c>
      <c r="DZ41" s="448">
        <v>3144</v>
      </c>
      <c r="EA41" s="448">
        <v>4680</v>
      </c>
      <c r="EB41" s="448">
        <v>5072</v>
      </c>
      <c r="EC41" s="448">
        <v>5219</v>
      </c>
      <c r="ED41" s="448">
        <v>4563</v>
      </c>
      <c r="EE41" s="448">
        <v>6146</v>
      </c>
      <c r="EF41" s="448">
        <v>6719.9657495164465</v>
      </c>
      <c r="EG41" s="448">
        <v>6745.9501547775417</v>
      </c>
      <c r="EH41" s="448">
        <v>7975.5381072196442</v>
      </c>
      <c r="EI41" s="448">
        <v>7474.7116367022782</v>
      </c>
      <c r="EJ41" s="448">
        <v>7240.6446705639064</v>
      </c>
      <c r="EK41" s="448">
        <v>7827.2070695848015</v>
      </c>
      <c r="EL41" s="448">
        <v>7515.7902813230394</v>
      </c>
      <c r="EM41" s="448">
        <v>7703.4489236564459</v>
      </c>
      <c r="EN41" s="448">
        <v>7680.0057178810912</v>
      </c>
      <c r="EO41" s="448">
        <v>8365.4362701088812</v>
      </c>
      <c r="EP41" s="389"/>
      <c r="EQ41" s="320">
        <v>5.014790845976469E-2</v>
      </c>
    </row>
    <row r="42" spans="1:147" s="390" customFormat="1" ht="15" customHeight="1" outlineLevel="2">
      <c r="A42" s="385"/>
      <c r="B42"/>
      <c r="C42"/>
      <c r="D42"/>
      <c r="E42"/>
      <c r="F42"/>
      <c r="G42"/>
      <c r="H42" s="386"/>
      <c r="I42" s="451" t="s">
        <v>305</v>
      </c>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20">
        <v>0.52209944751381221</v>
      </c>
      <c r="AU42" s="320">
        <v>0.56054931335830216</v>
      </c>
      <c r="AV42" s="320">
        <v>0.52450331125827809</v>
      </c>
      <c r="AW42" s="452">
        <v>0.57194388777555105</v>
      </c>
      <c r="AX42" s="320">
        <v>0.57002801120448177</v>
      </c>
      <c r="AY42" s="320">
        <v>0.57393850658857981</v>
      </c>
      <c r="AZ42" s="320">
        <v>0.60560093348891486</v>
      </c>
      <c r="BA42" s="452">
        <v>0.58712715855572994</v>
      </c>
      <c r="BB42" s="320">
        <v>0.66225165562913912</v>
      </c>
      <c r="BC42" s="320">
        <v>0.68383404864091557</v>
      </c>
      <c r="BD42" s="320">
        <v>0.6618819776714514</v>
      </c>
      <c r="BE42" s="452">
        <v>0.61835548172757471</v>
      </c>
      <c r="BF42" s="320">
        <v>0.62521294718909715</v>
      </c>
      <c r="BG42" s="320">
        <v>0.70493358633776093</v>
      </c>
      <c r="BH42" s="320">
        <v>0.66311584553928093</v>
      </c>
      <c r="BI42" s="452">
        <v>0.66242774566473983</v>
      </c>
      <c r="BJ42" s="320">
        <v>0.68034825870646765</v>
      </c>
      <c r="BK42" s="320">
        <v>0.71217105263157898</v>
      </c>
      <c r="BL42" s="320">
        <v>0.74277016742770163</v>
      </c>
      <c r="BM42" s="452">
        <v>0.613556338028169</v>
      </c>
      <c r="BN42" s="320">
        <v>0.72409326424870468</v>
      </c>
      <c r="BO42" s="320">
        <v>0.69148936170212771</v>
      </c>
      <c r="BP42" s="320">
        <v>0.5837606837606838</v>
      </c>
      <c r="BQ42" s="452">
        <v>0.64708540442837781</v>
      </c>
      <c r="BR42" s="320">
        <v>0.72261735419630158</v>
      </c>
      <c r="BS42" s="320">
        <v>0.75098814229249011</v>
      </c>
      <c r="BT42" s="320">
        <v>0.65865384615384615</v>
      </c>
      <c r="BU42" s="452">
        <v>0.6520302171860245</v>
      </c>
      <c r="BV42" s="320">
        <v>0.71696035242290745</v>
      </c>
      <c r="BW42" s="320">
        <v>0.7520198881292729</v>
      </c>
      <c r="BX42" s="320">
        <v>0.73926380368098155</v>
      </c>
      <c r="BY42" s="452">
        <v>0.65823817292006526</v>
      </c>
      <c r="BZ42" s="320">
        <v>0.71906354515050164</v>
      </c>
      <c r="CA42" s="320">
        <v>0.76304654442877295</v>
      </c>
      <c r="CB42" s="320">
        <v>0.68822292323869616</v>
      </c>
      <c r="CC42" s="452">
        <v>0.68484392628807822</v>
      </c>
      <c r="CD42" s="320">
        <v>0.72760115606936415</v>
      </c>
      <c r="CE42" s="320">
        <v>0.74079422382671478</v>
      </c>
      <c r="CF42" s="320">
        <v>0.70747889022919175</v>
      </c>
      <c r="CG42" s="452">
        <v>0.71005291005291005</v>
      </c>
      <c r="CH42" s="320">
        <v>0.70270270270270274</v>
      </c>
      <c r="CI42" s="320">
        <v>0.72742336371168181</v>
      </c>
      <c r="CJ42" s="320">
        <v>0.6886326194398682</v>
      </c>
      <c r="CK42" s="452">
        <v>0.72562776957163955</v>
      </c>
      <c r="CL42" s="320">
        <v>0.75427069645203682</v>
      </c>
      <c r="CM42" s="320">
        <v>0.78344562078922042</v>
      </c>
      <c r="CN42" s="320">
        <v>0.76344086021505375</v>
      </c>
      <c r="CO42" s="452">
        <v>0.66240576860045886</v>
      </c>
      <c r="CP42" s="453">
        <v>0.76185866408518876</v>
      </c>
      <c r="CQ42" s="320">
        <v>0.76574700676730867</v>
      </c>
      <c r="CR42" s="320">
        <v>0.76359223300970869</v>
      </c>
      <c r="CS42" s="452">
        <v>0.7488377883259606</v>
      </c>
      <c r="CT42" s="453">
        <v>0.78723136042364616</v>
      </c>
      <c r="CU42" s="320">
        <v>0.80067131208022646</v>
      </c>
      <c r="CV42" s="320">
        <v>0.76713643996963343</v>
      </c>
      <c r="CW42" s="452">
        <v>0.72543842188110597</v>
      </c>
      <c r="CX42" s="389"/>
      <c r="CY42" s="386"/>
      <c r="CZ42" s="386"/>
      <c r="DA42" s="388"/>
      <c r="DB42" s="389"/>
      <c r="DC42" s="386"/>
      <c r="DD42" s="386"/>
      <c r="DE42" s="388"/>
      <c r="DF42" s="389"/>
      <c r="DG42" s="386"/>
      <c r="DH42" s="386"/>
      <c r="DI42" s="388"/>
      <c r="DJ42" s="454"/>
      <c r="DK42" s="448"/>
      <c r="DL42" s="456" t="e">
        <v>#DIV/0!</v>
      </c>
      <c r="DM42" s="456" t="e">
        <v>#DIV/0!</v>
      </c>
      <c r="DN42" s="456" t="e">
        <v>#DIV/0!</v>
      </c>
      <c r="DO42" s="456" t="e">
        <v>#DIV/0!</v>
      </c>
      <c r="DP42" s="456" t="e">
        <v>#DIV/0!</v>
      </c>
      <c r="DQ42" s="456" t="e">
        <v>#DIV/0!</v>
      </c>
      <c r="DR42" s="456" t="e">
        <v>#DIV/0!</v>
      </c>
      <c r="DS42" s="456">
        <v>0.50591080064481464</v>
      </c>
      <c r="DT42" s="456">
        <v>0.55497382198952883</v>
      </c>
      <c r="DU42" s="456">
        <v>0.5860058309037901</v>
      </c>
      <c r="DV42" s="456">
        <v>0.64201381153931836</v>
      </c>
      <c r="DW42" s="456">
        <v>0.66713454982955689</v>
      </c>
      <c r="DX42" s="456">
        <v>0.65929509329647551</v>
      </c>
      <c r="DY42" s="456">
        <v>0.65011427384167875</v>
      </c>
      <c r="DZ42" s="456">
        <v>0.68051948051948052</v>
      </c>
      <c r="EA42" s="456">
        <v>0.70919836338839215</v>
      </c>
      <c r="EB42" s="456">
        <v>0.70689895470383279</v>
      </c>
      <c r="EC42" s="456">
        <v>0.71867254199944919</v>
      </c>
      <c r="ED42" s="456">
        <v>0.71441991545326444</v>
      </c>
      <c r="EE42" s="456">
        <v>0.73010216203373723</v>
      </c>
      <c r="EF42" s="456">
        <v>0.7589776336882923</v>
      </c>
      <c r="EG42" s="456">
        <v>0.76006393200133815</v>
      </c>
      <c r="EH42" s="456">
        <v>0.75825074511503621</v>
      </c>
      <c r="EI42" s="456">
        <v>0.77336082556061203</v>
      </c>
      <c r="EJ42" s="456">
        <v>0.7770088202863269</v>
      </c>
      <c r="EK42" s="456">
        <v>0.77944817087911988</v>
      </c>
      <c r="EL42" s="456">
        <v>0.78542277200787525</v>
      </c>
      <c r="EM42" s="456">
        <v>0.79470324436427409</v>
      </c>
      <c r="EN42" s="456">
        <v>0.79824131050187108</v>
      </c>
      <c r="EO42" s="456">
        <v>0.80071310736230539</v>
      </c>
      <c r="EP42" s="389"/>
      <c r="EQ42" s="386"/>
    </row>
    <row r="43" spans="1:147" s="390" customFormat="1" ht="15" customHeight="1" outlineLevel="2">
      <c r="A43" s="385"/>
      <c r="B43"/>
      <c r="C43"/>
      <c r="D43"/>
      <c r="E43"/>
      <c r="F43"/>
      <c r="G43"/>
      <c r="H43" s="386"/>
      <c r="I43" s="451" t="s">
        <v>1498</v>
      </c>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448"/>
      <c r="AU43" s="448"/>
      <c r="AV43" s="448"/>
      <c r="AW43" s="449"/>
      <c r="AX43" s="457">
        <v>479.28563690669557</v>
      </c>
      <c r="AY43" s="457">
        <v>133.89193230277652</v>
      </c>
      <c r="AZ43" s="457">
        <v>810.97622230636773</v>
      </c>
      <c r="BA43" s="458">
        <v>151.83270780178893</v>
      </c>
      <c r="BB43" s="457">
        <v>922.23644424657357</v>
      </c>
      <c r="BC43" s="457">
        <v>1098.9554205233576</v>
      </c>
      <c r="BD43" s="457">
        <v>562.81044182536539</v>
      </c>
      <c r="BE43" s="458">
        <v>312.28323171844761</v>
      </c>
      <c r="BF43" s="457">
        <v>-370.38708440041978</v>
      </c>
      <c r="BG43" s="457">
        <v>210.9953769684536</v>
      </c>
      <c r="BH43" s="457">
        <v>12.338678678295301</v>
      </c>
      <c r="BI43" s="458">
        <v>440.72263937165121</v>
      </c>
      <c r="BJ43" s="457">
        <v>551.35311517370496</v>
      </c>
      <c r="BK43" s="457">
        <v>72.374662938180506</v>
      </c>
      <c r="BL43" s="457">
        <v>796.54321888420702</v>
      </c>
      <c r="BM43" s="458">
        <v>-488.71407636570831</v>
      </c>
      <c r="BN43" s="457">
        <v>437.45005542237038</v>
      </c>
      <c r="BO43" s="457">
        <v>-206.8169092945127</v>
      </c>
      <c r="BP43" s="457">
        <v>-1590.0948366701784</v>
      </c>
      <c r="BQ43" s="458">
        <v>335.29066400208808</v>
      </c>
      <c r="BR43" s="457">
        <v>-14.759100524031066</v>
      </c>
      <c r="BS43" s="457">
        <v>594.98780590362401</v>
      </c>
      <c r="BT43" s="457">
        <v>748.93162393162345</v>
      </c>
      <c r="BU43" s="458">
        <v>49.448127576466881</v>
      </c>
      <c r="BV43" s="457">
        <v>-56.570017733941214</v>
      </c>
      <c r="BW43" s="457">
        <v>10.317458367827825</v>
      </c>
      <c r="BX43" s="457">
        <v>806.09957527135396</v>
      </c>
      <c r="BY43" s="458">
        <v>62.079557340407597</v>
      </c>
      <c r="BZ43" s="457">
        <v>21.031927275941833</v>
      </c>
      <c r="CA43" s="457">
        <v>110.2665629950006</v>
      </c>
      <c r="CB43" s="457">
        <v>-510.40880442285385</v>
      </c>
      <c r="CC43" s="458">
        <v>266.05753368012961</v>
      </c>
      <c r="CD43" s="457">
        <v>85.376109188625151</v>
      </c>
      <c r="CE43" s="457">
        <v>-222.52320602058174</v>
      </c>
      <c r="CF43" s="457">
        <v>192.55966990495588</v>
      </c>
      <c r="CG43" s="458">
        <v>252.08983764831828</v>
      </c>
      <c r="CH43" s="457">
        <v>-248.98453366661411</v>
      </c>
      <c r="CI43" s="457">
        <v>-133.70860115032968</v>
      </c>
      <c r="CJ43" s="457">
        <v>-188.46270789323549</v>
      </c>
      <c r="CK43" s="458">
        <v>155.748595187295</v>
      </c>
      <c r="CL43" s="457">
        <v>515.67993749334073</v>
      </c>
      <c r="CM43" s="457">
        <v>560.22257077538609</v>
      </c>
      <c r="CN43" s="457">
        <v>748.0824077518555</v>
      </c>
      <c r="CO43" s="458">
        <v>-632.22000971180694</v>
      </c>
      <c r="CP43" s="459">
        <v>75.879676331519491</v>
      </c>
      <c r="CQ43" s="457">
        <v>-176.98614021911752</v>
      </c>
      <c r="CR43" s="457">
        <v>1.5137279465493592</v>
      </c>
      <c r="CS43" s="458">
        <v>864.32019725501743</v>
      </c>
      <c r="CT43" s="459">
        <v>253.72696338457402</v>
      </c>
      <c r="CU43" s="457">
        <v>349.24305312917789</v>
      </c>
      <c r="CV43" s="457">
        <v>35.442069599247446</v>
      </c>
      <c r="CW43" s="458">
        <v>-233.9936644485463</v>
      </c>
      <c r="CX43" s="389"/>
      <c r="CY43" s="386"/>
      <c r="CZ43" s="386"/>
      <c r="DA43" s="388"/>
      <c r="DB43" s="389"/>
      <c r="DC43" s="386"/>
      <c r="DD43" s="386"/>
      <c r="DE43" s="388"/>
      <c r="DF43" s="389"/>
      <c r="DG43" s="386"/>
      <c r="DH43" s="386"/>
      <c r="DI43" s="388"/>
      <c r="DJ43" s="454"/>
      <c r="DK43" s="448"/>
      <c r="DL43" s="448"/>
      <c r="DM43" s="457" t="e">
        <v>#DIV/0!</v>
      </c>
      <c r="DN43" s="457" t="e">
        <v>#DIV/0!</v>
      </c>
      <c r="DO43" s="457" t="e">
        <v>#DIV/0!</v>
      </c>
      <c r="DP43" s="457" t="e">
        <v>#DIV/0!</v>
      </c>
      <c r="DQ43" s="457" t="e">
        <v>#DIV/0!</v>
      </c>
      <c r="DR43" s="457" t="e">
        <v>#DIV/0!</v>
      </c>
      <c r="DS43" s="457" t="e">
        <v>#DIV/0!</v>
      </c>
      <c r="DT43" s="457">
        <v>490.63021344714184</v>
      </c>
      <c r="DU43" s="457">
        <v>310.3200891426128</v>
      </c>
      <c r="DV43" s="457">
        <v>560.07980635528259</v>
      </c>
      <c r="DW43" s="457">
        <v>251.20738290238532</v>
      </c>
      <c r="DX43" s="457">
        <v>-78.394565330813791</v>
      </c>
      <c r="DY43" s="457">
        <v>-91.808194547967631</v>
      </c>
      <c r="DZ43" s="457">
        <v>304.05206677801777</v>
      </c>
      <c r="EA43" s="457">
        <v>286.78882868911626</v>
      </c>
      <c r="EB43" s="457">
        <v>-22.994086845593564</v>
      </c>
      <c r="EC43" s="457">
        <v>117.73587295616394</v>
      </c>
      <c r="ED43" s="457">
        <v>-42.526265461847458</v>
      </c>
      <c r="EE43" s="457">
        <v>156.82246580472793</v>
      </c>
      <c r="EF43" s="457">
        <v>288.75471654555065</v>
      </c>
      <c r="EG43" s="457">
        <v>10.862983130458526</v>
      </c>
      <c r="EH43" s="457">
        <v>-18.131868863019427</v>
      </c>
      <c r="EI43" s="457">
        <v>151.10080445575824</v>
      </c>
      <c r="EJ43" s="457">
        <v>36.479947257148652</v>
      </c>
      <c r="EK43" s="457">
        <v>24.39350592792988</v>
      </c>
      <c r="EL43" s="457">
        <v>59.746011287553635</v>
      </c>
      <c r="EM43" s="457">
        <v>92.804723563988389</v>
      </c>
      <c r="EN43" s="457">
        <v>35.380661375969957</v>
      </c>
      <c r="EO43" s="457">
        <v>24.717968604343056</v>
      </c>
      <c r="EP43" s="389"/>
      <c r="EQ43" s="386"/>
    </row>
    <row r="44" spans="1:147" s="390" customFormat="1" ht="15" customHeight="1" outlineLevel="3">
      <c r="A44" s="385"/>
      <c r="B44"/>
      <c r="C44"/>
      <c r="D44"/>
      <c r="E44"/>
      <c r="F44"/>
      <c r="G44"/>
      <c r="H44" s="386"/>
      <c r="I44" s="379"/>
      <c r="J44" s="386"/>
      <c r="K44" s="386"/>
      <c r="L44" s="386"/>
      <c r="M44" s="388"/>
      <c r="N44" s="386"/>
      <c r="O44" s="386"/>
      <c r="P44" s="386"/>
      <c r="Q44" s="388"/>
      <c r="R44" s="386"/>
      <c r="S44" s="386"/>
      <c r="T44" s="386"/>
      <c r="U44" s="388"/>
      <c r="V44" s="386"/>
      <c r="W44" s="386"/>
      <c r="X44" s="386"/>
      <c r="Y44" s="388"/>
      <c r="Z44" s="386"/>
      <c r="AA44" s="386"/>
      <c r="AB44" s="386"/>
      <c r="AC44" s="388"/>
      <c r="AD44" s="386"/>
      <c r="AE44" s="386"/>
      <c r="AF44" s="386"/>
      <c r="AG44" s="388"/>
      <c r="AH44" s="386"/>
      <c r="AI44" s="386"/>
      <c r="AJ44" s="386"/>
      <c r="AK44" s="388"/>
      <c r="AL44" s="386"/>
      <c r="AM44" s="386"/>
      <c r="AN44" s="386"/>
      <c r="AO44" s="388"/>
      <c r="AP44" s="386"/>
      <c r="AQ44" s="386"/>
      <c r="AR44" s="386"/>
      <c r="AS44" s="388"/>
      <c r="AT44" s="448"/>
      <c r="AU44" s="448"/>
      <c r="AV44" s="448"/>
      <c r="AW44" s="449"/>
      <c r="AX44" s="448"/>
      <c r="AY44" s="448"/>
      <c r="AZ44" s="448"/>
      <c r="BA44" s="449"/>
      <c r="BB44" s="448"/>
      <c r="BC44" s="448"/>
      <c r="BD44" s="448"/>
      <c r="BE44" s="449"/>
      <c r="BF44" s="448"/>
      <c r="BG44" s="448"/>
      <c r="BH44" s="448"/>
      <c r="BI44" s="449"/>
      <c r="BJ44" s="448"/>
      <c r="BK44" s="448"/>
      <c r="BL44" s="448"/>
      <c r="BM44" s="449"/>
      <c r="BN44" s="448"/>
      <c r="BO44" s="448"/>
      <c r="BP44" s="448"/>
      <c r="BQ44" s="449"/>
      <c r="BR44" s="448"/>
      <c r="BS44" s="448"/>
      <c r="BT44" s="448"/>
      <c r="BU44" s="449"/>
      <c r="BV44" s="448"/>
      <c r="BW44" s="448"/>
      <c r="BX44" s="448"/>
      <c r="BY44" s="449"/>
      <c r="BZ44" s="448"/>
      <c r="CA44" s="448"/>
      <c r="CB44" s="448"/>
      <c r="CC44" s="449"/>
      <c r="CD44" s="448"/>
      <c r="CE44" s="448"/>
      <c r="CF44" s="448"/>
      <c r="CG44" s="449"/>
      <c r="CH44" s="448"/>
      <c r="CI44" s="384"/>
      <c r="CJ44" s="384"/>
      <c r="CK44" s="455"/>
      <c r="CL44" s="448"/>
      <c r="CM44" s="384"/>
      <c r="CN44" s="384"/>
      <c r="CO44" s="460"/>
      <c r="CP44" s="450"/>
      <c r="CQ44" s="448"/>
      <c r="CR44" s="448"/>
      <c r="CS44" s="449"/>
      <c r="CT44" s="450"/>
      <c r="CU44" s="448"/>
      <c r="CV44" s="448"/>
      <c r="CW44" s="449"/>
      <c r="CX44" s="386"/>
      <c r="CY44" s="386"/>
      <c r="CZ44" s="386"/>
      <c r="DA44" s="388"/>
      <c r="DB44" s="386"/>
      <c r="DC44" s="386"/>
      <c r="DD44" s="386"/>
      <c r="DE44" s="388"/>
      <c r="DF44" s="386"/>
      <c r="DG44" s="386"/>
      <c r="DH44" s="386"/>
      <c r="DI44" s="388"/>
      <c r="DJ44" s="454"/>
      <c r="DK44" s="389"/>
      <c r="DL44" s="386"/>
      <c r="DM44" s="386"/>
      <c r="DN44" s="386"/>
      <c r="DO44" s="386"/>
      <c r="DP44" s="386"/>
      <c r="DQ44" s="386"/>
      <c r="DR44" s="386"/>
      <c r="DS44" s="448"/>
      <c r="DT44" s="448"/>
      <c r="DU44" s="448"/>
      <c r="DV44" s="448"/>
      <c r="DW44" s="448"/>
      <c r="DX44" s="448"/>
      <c r="DY44" s="448"/>
      <c r="DZ44" s="448"/>
      <c r="EA44" s="448"/>
      <c r="EB44" s="448"/>
      <c r="EC44" s="448"/>
      <c r="ED44" s="448"/>
      <c r="EE44" s="448"/>
      <c r="EF44" s="448"/>
      <c r="EG44" s="448"/>
      <c r="EH44" s="448"/>
      <c r="EI44" s="448"/>
      <c r="EJ44" s="448"/>
      <c r="EK44" s="448"/>
      <c r="EL44" s="448"/>
      <c r="EM44" s="448"/>
      <c r="EN44" s="448"/>
      <c r="EO44" s="448"/>
      <c r="EP44" s="389"/>
      <c r="EQ44" s="386"/>
    </row>
    <row r="45" spans="1:147" s="377" customFormat="1" ht="15" customHeight="1" outlineLevel="3">
      <c r="A45" s="368"/>
      <c r="B45"/>
      <c r="C45"/>
      <c r="D45"/>
      <c r="E45"/>
      <c r="F45"/>
      <c r="G45"/>
      <c r="H45" s="369"/>
      <c r="I45" s="379" t="s">
        <v>1499</v>
      </c>
      <c r="J45" s="369"/>
      <c r="K45" s="369"/>
      <c r="L45" s="369"/>
      <c r="M45" s="371"/>
      <c r="N45" s="369"/>
      <c r="O45" s="369"/>
      <c r="P45" s="369"/>
      <c r="Q45" s="371"/>
      <c r="R45" s="369"/>
      <c r="S45" s="369"/>
      <c r="T45" s="369"/>
      <c r="U45" s="371"/>
      <c r="V45" s="369"/>
      <c r="W45" s="369"/>
      <c r="X45" s="369"/>
      <c r="Y45" s="371"/>
      <c r="Z45" s="369"/>
      <c r="AA45" s="369"/>
      <c r="AB45" s="369"/>
      <c r="AC45" s="371"/>
      <c r="AD45" s="369"/>
      <c r="AE45" s="369"/>
      <c r="AF45" s="369"/>
      <c r="AG45" s="371"/>
      <c r="AH45" s="369"/>
      <c r="AI45" s="369"/>
      <c r="AJ45" s="369"/>
      <c r="AK45" s="371"/>
      <c r="AL45" s="369"/>
      <c r="AM45" s="369"/>
      <c r="AN45" s="369"/>
      <c r="AO45" s="371"/>
      <c r="AP45" s="369"/>
      <c r="AQ45" s="369"/>
      <c r="AR45" s="369"/>
      <c r="AS45" s="371"/>
      <c r="AT45" s="448">
        <v>119</v>
      </c>
      <c r="AU45" s="448">
        <v>156</v>
      </c>
      <c r="AV45" s="448">
        <v>75</v>
      </c>
      <c r="AW45" s="449">
        <v>884</v>
      </c>
      <c r="AX45" s="448">
        <v>165</v>
      </c>
      <c r="AY45" s="448">
        <v>101</v>
      </c>
      <c r="AZ45" s="448">
        <v>204</v>
      </c>
      <c r="BA45" s="449">
        <v>901</v>
      </c>
      <c r="BB45" s="448">
        <v>218</v>
      </c>
      <c r="BC45" s="448">
        <v>165</v>
      </c>
      <c r="BD45" s="448">
        <v>85</v>
      </c>
      <c r="BE45" s="449">
        <v>890</v>
      </c>
      <c r="BF45" s="448">
        <v>90</v>
      </c>
      <c r="BG45" s="448">
        <v>300</v>
      </c>
      <c r="BH45" s="448">
        <v>154</v>
      </c>
      <c r="BI45" s="449">
        <v>1154</v>
      </c>
      <c r="BJ45" s="448">
        <v>246</v>
      </c>
      <c r="BK45" s="448">
        <v>118</v>
      </c>
      <c r="BL45" s="448">
        <v>104</v>
      </c>
      <c r="BM45" s="449">
        <v>850</v>
      </c>
      <c r="BN45" s="448">
        <v>240</v>
      </c>
      <c r="BO45" s="448">
        <v>113</v>
      </c>
      <c r="BP45" s="448">
        <v>260</v>
      </c>
      <c r="BQ45" s="449">
        <v>914</v>
      </c>
      <c r="BR45" s="448">
        <v>204</v>
      </c>
      <c r="BS45" s="448">
        <v>173</v>
      </c>
      <c r="BT45" s="448">
        <v>251</v>
      </c>
      <c r="BU45" s="449">
        <v>838</v>
      </c>
      <c r="BV45" s="448">
        <v>252</v>
      </c>
      <c r="BW45" s="448">
        <v>588</v>
      </c>
      <c r="BX45" s="448">
        <v>574</v>
      </c>
      <c r="BY45" s="449">
        <v>919</v>
      </c>
      <c r="BZ45" s="448">
        <v>351</v>
      </c>
      <c r="CA45" s="448">
        <v>470</v>
      </c>
      <c r="CB45" s="448">
        <v>625</v>
      </c>
      <c r="CC45" s="449">
        <v>932</v>
      </c>
      <c r="CD45" s="448">
        <v>395</v>
      </c>
      <c r="CE45" s="448">
        <v>385</v>
      </c>
      <c r="CF45" s="448">
        <v>492</v>
      </c>
      <c r="CG45" s="449">
        <v>1207</v>
      </c>
      <c r="CH45" s="448">
        <v>303</v>
      </c>
      <c r="CI45" s="448">
        <v>307</v>
      </c>
      <c r="CJ45" s="448">
        <v>299</v>
      </c>
      <c r="CK45" s="449">
        <v>1144</v>
      </c>
      <c r="CL45" s="448">
        <v>517</v>
      </c>
      <c r="CM45" s="448">
        <v>963</v>
      </c>
      <c r="CN45" s="448">
        <v>706</v>
      </c>
      <c r="CO45" s="449">
        <v>1154</v>
      </c>
      <c r="CP45" s="450">
        <v>819</v>
      </c>
      <c r="CQ45" s="448">
        <v>728</v>
      </c>
      <c r="CR45" s="448">
        <v>920</v>
      </c>
      <c r="CS45" s="449">
        <v>1323.6757495164459</v>
      </c>
      <c r="CT45" s="450">
        <v>560.99107826523687</v>
      </c>
      <c r="CU45" s="448">
        <v>514.4510816065939</v>
      </c>
      <c r="CV45" s="448">
        <v>841.91102099689556</v>
      </c>
      <c r="CW45" s="449">
        <v>1560.1890739088162</v>
      </c>
      <c r="CX45" s="369"/>
      <c r="CY45" s="369"/>
      <c r="CZ45" s="369"/>
      <c r="DA45" s="371"/>
      <c r="DB45" s="369"/>
      <c r="DC45" s="369"/>
      <c r="DD45" s="369"/>
      <c r="DE45" s="371"/>
      <c r="DF45" s="369"/>
      <c r="DG45" s="369"/>
      <c r="DH45" s="369"/>
      <c r="DI45" s="371"/>
      <c r="DJ45" s="374"/>
      <c r="DK45" s="375"/>
      <c r="DL45" s="369"/>
      <c r="DM45" s="369"/>
      <c r="DN45" s="369"/>
      <c r="DO45" s="369"/>
      <c r="DP45" s="369"/>
      <c r="DQ45" s="369"/>
      <c r="DR45" s="369"/>
      <c r="DS45" s="461">
        <v>767</v>
      </c>
      <c r="DT45" s="461">
        <v>1234</v>
      </c>
      <c r="DU45" s="461">
        <v>1371</v>
      </c>
      <c r="DV45" s="448">
        <v>1358</v>
      </c>
      <c r="DW45" s="461">
        <v>1698</v>
      </c>
      <c r="DX45" s="461">
        <v>1318</v>
      </c>
      <c r="DY45" s="461">
        <v>1527</v>
      </c>
      <c r="DZ45" s="461">
        <v>1466</v>
      </c>
      <c r="EA45" s="448">
        <v>2333</v>
      </c>
      <c r="EB45" s="448">
        <v>2378</v>
      </c>
      <c r="EC45" s="448">
        <v>2479</v>
      </c>
      <c r="ED45" s="448">
        <v>2053</v>
      </c>
      <c r="EE45" s="448">
        <v>3397</v>
      </c>
      <c r="EF45" s="448">
        <v>3847.6757495164456</v>
      </c>
      <c r="EG45" s="448">
        <v>3534.542254777542</v>
      </c>
      <c r="EH45" s="448">
        <v>4442.4395928196427</v>
      </c>
      <c r="EI45" s="448">
        <v>4044.2248084422781</v>
      </c>
      <c r="EJ45" s="448">
        <v>3748.2969716937055</v>
      </c>
      <c r="EK45" s="448">
        <v>4271.8287713517457</v>
      </c>
      <c r="EL45" s="448">
        <v>3896.1889352860198</v>
      </c>
      <c r="EM45" s="448">
        <v>4018.4089140409869</v>
      </c>
      <c r="EN45" s="448">
        <v>3928.2878050490494</v>
      </c>
      <c r="EO45" s="448">
        <v>4545.7771249656807</v>
      </c>
      <c r="EP45" s="375"/>
      <c r="EQ45" s="320">
        <v>4.4563714612880334E-2</v>
      </c>
    </row>
    <row r="46" spans="1:147" s="377" customFormat="1" ht="15" customHeight="1" outlineLevel="3">
      <c r="A46" s="368"/>
      <c r="B46"/>
      <c r="C46"/>
      <c r="D46"/>
      <c r="E46"/>
      <c r="F46"/>
      <c r="G46"/>
      <c r="H46" s="369"/>
      <c r="I46" s="451" t="s">
        <v>305</v>
      </c>
      <c r="J46" s="369"/>
      <c r="K46" s="369"/>
      <c r="L46" s="369"/>
      <c r="M46" s="371"/>
      <c r="N46" s="369"/>
      <c r="O46" s="369"/>
      <c r="P46" s="369"/>
      <c r="Q46" s="371"/>
      <c r="R46" s="369"/>
      <c r="S46" s="369"/>
      <c r="T46" s="369"/>
      <c r="U46" s="371"/>
      <c r="V46" s="369"/>
      <c r="W46" s="369"/>
      <c r="X46" s="369"/>
      <c r="Y46" s="371"/>
      <c r="Z46" s="369"/>
      <c r="AA46" s="369"/>
      <c r="AB46" s="369"/>
      <c r="AC46" s="371"/>
      <c r="AD46" s="369"/>
      <c r="AE46" s="369"/>
      <c r="AF46" s="369"/>
      <c r="AG46" s="371"/>
      <c r="AH46" s="369"/>
      <c r="AI46" s="369"/>
      <c r="AJ46" s="369"/>
      <c r="AK46" s="371"/>
      <c r="AL46" s="369"/>
      <c r="AM46" s="369"/>
      <c r="AN46" s="369"/>
      <c r="AO46" s="371"/>
      <c r="AP46" s="369"/>
      <c r="AQ46" s="369"/>
      <c r="AR46" s="369"/>
      <c r="AS46" s="371"/>
      <c r="AT46" s="456">
        <v>0.1643646408839779</v>
      </c>
      <c r="AU46" s="456">
        <v>0.19475655430711611</v>
      </c>
      <c r="AV46" s="456">
        <v>9.9337748344370855E-2</v>
      </c>
      <c r="AW46" s="462">
        <v>0.35430861723446894</v>
      </c>
      <c r="AX46" s="456">
        <v>0.23109243697478993</v>
      </c>
      <c r="AY46" s="456">
        <v>0.14787701317715959</v>
      </c>
      <c r="AZ46" s="456">
        <v>0.23803967327887982</v>
      </c>
      <c r="BA46" s="462">
        <v>0.35361067503924648</v>
      </c>
      <c r="BB46" s="456">
        <v>0.28874172185430463</v>
      </c>
      <c r="BC46" s="456">
        <v>0.23605150214592274</v>
      </c>
      <c r="BD46" s="456">
        <v>0.13556618819776714</v>
      </c>
      <c r="BE46" s="462">
        <v>0.36960132890365449</v>
      </c>
      <c r="BF46" s="456">
        <v>0.15332197614991483</v>
      </c>
      <c r="BG46" s="456">
        <v>0.28462998102466791</v>
      </c>
      <c r="BH46" s="456">
        <v>0.20505992010652463</v>
      </c>
      <c r="BI46" s="462">
        <v>0.44470134874759154</v>
      </c>
      <c r="BJ46" s="456">
        <v>0.30597014925373134</v>
      </c>
      <c r="BK46" s="456">
        <v>0.19407894736842105</v>
      </c>
      <c r="BL46" s="456">
        <v>0.15829528158295281</v>
      </c>
      <c r="BM46" s="462">
        <v>0.37411971830985913</v>
      </c>
      <c r="BN46" s="456">
        <v>0.31088082901554404</v>
      </c>
      <c r="BO46" s="456">
        <v>0.17173252279635259</v>
      </c>
      <c r="BP46" s="456">
        <v>0.22222222222222221</v>
      </c>
      <c r="BQ46" s="462">
        <v>0.41301400813375511</v>
      </c>
      <c r="BR46" s="456">
        <v>0.29018492176386912</v>
      </c>
      <c r="BS46" s="456">
        <v>0.22793148880105402</v>
      </c>
      <c r="BT46" s="456">
        <v>0.24134615384615385</v>
      </c>
      <c r="BU46" s="462">
        <v>0.39565627950897075</v>
      </c>
      <c r="BV46" s="456">
        <v>0.27753303964757708</v>
      </c>
      <c r="BW46" s="456">
        <v>0.36544437538844005</v>
      </c>
      <c r="BX46" s="456">
        <v>0.3521472392638037</v>
      </c>
      <c r="BY46" s="462">
        <v>0.37479608482871124</v>
      </c>
      <c r="BZ46" s="456">
        <v>0.29347826086956524</v>
      </c>
      <c r="CA46" s="456">
        <v>0.33145275035260929</v>
      </c>
      <c r="CB46" s="456">
        <v>0.32860147213459517</v>
      </c>
      <c r="CC46" s="462">
        <v>0.35050770966528771</v>
      </c>
      <c r="CD46" s="456">
        <v>0.28540462427745666</v>
      </c>
      <c r="CE46" s="456">
        <v>0.27797833935018051</v>
      </c>
      <c r="CF46" s="456">
        <v>0.29674306393244876</v>
      </c>
      <c r="CG46" s="462">
        <v>0.42574955908289241</v>
      </c>
      <c r="CH46" s="456">
        <v>0.24085850556438793</v>
      </c>
      <c r="CI46" s="456">
        <v>0.25434962717481358</v>
      </c>
      <c r="CJ46" s="456">
        <v>0.24629324546952225</v>
      </c>
      <c r="CK46" s="462">
        <v>0.42245199409158052</v>
      </c>
      <c r="CL46" s="456">
        <v>0.33968462549277267</v>
      </c>
      <c r="CM46" s="456">
        <v>0.46342637151106836</v>
      </c>
      <c r="CN46" s="456">
        <v>0.39954725523486134</v>
      </c>
      <c r="CO46" s="462">
        <v>0.3782366437233694</v>
      </c>
      <c r="CP46" s="463">
        <v>0.39641819941916745</v>
      </c>
      <c r="CQ46" s="456">
        <v>0.37896928682977615</v>
      </c>
      <c r="CR46" s="456">
        <v>0.44660194174757284</v>
      </c>
      <c r="CS46" s="462">
        <v>0.47156735116004245</v>
      </c>
      <c r="CT46" s="463">
        <v>0.34697060892739695</v>
      </c>
      <c r="CU46" s="456">
        <v>0.32438079640976042</v>
      </c>
      <c r="CV46" s="456">
        <v>0.39850203400304685</v>
      </c>
      <c r="CW46" s="462">
        <v>0.43825040406995602</v>
      </c>
      <c r="CX46" s="369"/>
      <c r="CY46" s="369"/>
      <c r="CZ46" s="369"/>
      <c r="DA46" s="371"/>
      <c r="DB46" s="369"/>
      <c r="DC46" s="369"/>
      <c r="DD46" s="369"/>
      <c r="DE46" s="371"/>
      <c r="DF46" s="369"/>
      <c r="DG46" s="369"/>
      <c r="DH46" s="369"/>
      <c r="DI46" s="371"/>
      <c r="DJ46" s="374"/>
      <c r="DK46" s="375"/>
      <c r="DL46" s="369"/>
      <c r="DM46" s="369"/>
      <c r="DN46" s="369"/>
      <c r="DO46" s="369"/>
      <c r="DP46" s="369"/>
      <c r="DQ46" s="369"/>
      <c r="DR46" s="369"/>
      <c r="DS46" s="456">
        <v>0.2060720042987641</v>
      </c>
      <c r="DT46" s="456">
        <v>0.25842931937172775</v>
      </c>
      <c r="DU46" s="456">
        <v>0.285506039150354</v>
      </c>
      <c r="DV46" s="456">
        <v>0.30251726442414789</v>
      </c>
      <c r="DW46" s="456">
        <v>0.34048526168036897</v>
      </c>
      <c r="DX46" s="456">
        <v>0.30361667818475008</v>
      </c>
      <c r="DY46" s="456">
        <v>0.31726573862455848</v>
      </c>
      <c r="DZ46" s="456">
        <v>0.31731601731601733</v>
      </c>
      <c r="EA46" s="456">
        <v>0.35353841491135019</v>
      </c>
      <c r="EB46" s="456">
        <v>0.33142857142857141</v>
      </c>
      <c r="EC46" s="456">
        <v>0.34136601487193613</v>
      </c>
      <c r="ED46" s="456">
        <v>0.32143416314388601</v>
      </c>
      <c r="EE46" s="456">
        <v>0.40354003326205751</v>
      </c>
      <c r="EF46" s="456">
        <v>0.43457064283072522</v>
      </c>
      <c r="EG46" s="456">
        <v>0.39823568546359722</v>
      </c>
      <c r="EH46" s="456">
        <v>0.42235183207698579</v>
      </c>
      <c r="EI46" s="456">
        <v>0.4184301935143942</v>
      </c>
      <c r="EJ46" s="456">
        <v>0.40223763774776056</v>
      </c>
      <c r="EK46" s="456">
        <v>0.42539683600264588</v>
      </c>
      <c r="EL46" s="456">
        <v>0.40716350500403592</v>
      </c>
      <c r="EM46" s="456">
        <v>0.41454712464750432</v>
      </c>
      <c r="EN46" s="456">
        <v>0.40829678007010856</v>
      </c>
      <c r="EO46" s="456">
        <v>0.43510741216373905</v>
      </c>
      <c r="EP46" s="375"/>
      <c r="EQ46" s="369"/>
    </row>
    <row r="47" spans="1:147" s="377" customFormat="1" ht="15" customHeight="1" outlineLevel="3">
      <c r="A47" s="368"/>
      <c r="B47"/>
      <c r="C47"/>
      <c r="D47"/>
      <c r="E47"/>
      <c r="F47"/>
      <c r="G47"/>
      <c r="H47" s="369"/>
      <c r="I47" s="451" t="s">
        <v>1500</v>
      </c>
      <c r="J47" s="369"/>
      <c r="K47" s="369"/>
      <c r="L47" s="369"/>
      <c r="M47" s="371"/>
      <c r="N47" s="369"/>
      <c r="O47" s="369"/>
      <c r="P47" s="369"/>
      <c r="Q47" s="371"/>
      <c r="R47" s="369"/>
      <c r="S47" s="369"/>
      <c r="T47" s="369"/>
      <c r="U47" s="371"/>
      <c r="V47" s="369"/>
      <c r="W47" s="369"/>
      <c r="X47" s="369"/>
      <c r="Y47" s="371"/>
      <c r="Z47" s="369"/>
      <c r="AA47" s="369"/>
      <c r="AB47" s="369"/>
      <c r="AC47" s="371"/>
      <c r="AD47" s="369"/>
      <c r="AE47" s="369"/>
      <c r="AF47" s="369"/>
      <c r="AG47" s="371"/>
      <c r="AH47" s="369"/>
      <c r="AI47" s="369"/>
      <c r="AJ47" s="369"/>
      <c r="AK47" s="371"/>
      <c r="AL47" s="369"/>
      <c r="AM47" s="369"/>
      <c r="AN47" s="369"/>
      <c r="AO47" s="371"/>
      <c r="AP47" s="369"/>
      <c r="AQ47" s="369"/>
      <c r="AR47" s="369"/>
      <c r="AS47" s="371"/>
      <c r="AT47" s="456"/>
      <c r="AU47" s="456"/>
      <c r="AV47" s="456"/>
      <c r="AW47" s="462"/>
      <c r="AX47" s="457">
        <v>667.27796090812035</v>
      </c>
      <c r="AY47" s="457">
        <v>-468.79541129956516</v>
      </c>
      <c r="AZ47" s="457">
        <v>1387.0192493450895</v>
      </c>
      <c r="BA47" s="458">
        <v>-6.9794219522245626</v>
      </c>
      <c r="BB47" s="457">
        <v>576.4928487951471</v>
      </c>
      <c r="BC47" s="457">
        <v>881.74488968763148</v>
      </c>
      <c r="BD47" s="457">
        <v>-1024.7348508111268</v>
      </c>
      <c r="BE47" s="458">
        <v>159.90653864408011</v>
      </c>
      <c r="BF47" s="457">
        <v>-1354.1974570438981</v>
      </c>
      <c r="BG47" s="457">
        <v>485.7847887874517</v>
      </c>
      <c r="BH47" s="457">
        <v>694.93731908757491</v>
      </c>
      <c r="BI47" s="458">
        <v>751.00019843937048</v>
      </c>
      <c r="BJ47" s="457">
        <v>1526.481731038165</v>
      </c>
      <c r="BK47" s="457">
        <v>-905.51033656246864</v>
      </c>
      <c r="BL47" s="457">
        <v>-467.64638523571824</v>
      </c>
      <c r="BM47" s="458">
        <v>-705.81630437732417</v>
      </c>
      <c r="BN47" s="457">
        <v>49.106797618126976</v>
      </c>
      <c r="BO47" s="457">
        <v>-223.46424572068452</v>
      </c>
      <c r="BP47" s="457">
        <v>639.26940639269401</v>
      </c>
      <c r="BQ47" s="458">
        <v>388.9428982389598</v>
      </c>
      <c r="BR47" s="457">
        <v>-206.95907251674916</v>
      </c>
      <c r="BS47" s="457">
        <v>561.98966004701424</v>
      </c>
      <c r="BT47" s="457">
        <v>191.23931623931639</v>
      </c>
      <c r="BU47" s="458">
        <v>-173.57728624784352</v>
      </c>
      <c r="BV47" s="457">
        <v>-126.51882116292035</v>
      </c>
      <c r="BW47" s="457">
        <v>1375.1288658738604</v>
      </c>
      <c r="BX47" s="457">
        <v>1108.0108541764985</v>
      </c>
      <c r="BY47" s="458">
        <v>-208.60194680259514</v>
      </c>
      <c r="BZ47" s="457">
        <v>159.4522122198816</v>
      </c>
      <c r="CA47" s="457">
        <v>-339.91625035830754</v>
      </c>
      <c r="CB47" s="457">
        <v>-235.45767129208528</v>
      </c>
      <c r="CC47" s="458">
        <v>-242.88375163423527</v>
      </c>
      <c r="CD47" s="457">
        <v>-80.736365921085792</v>
      </c>
      <c r="CE47" s="457">
        <v>-534.74411002428781</v>
      </c>
      <c r="CF47" s="457">
        <v>-318.58408202146416</v>
      </c>
      <c r="CG47" s="458">
        <v>752.41849417604703</v>
      </c>
      <c r="CH47" s="457">
        <v>-445.46118713068739</v>
      </c>
      <c r="CI47" s="457">
        <v>-236.2871217536694</v>
      </c>
      <c r="CJ47" s="457">
        <v>-504.4981846292651</v>
      </c>
      <c r="CK47" s="458">
        <v>-32.975649913118964</v>
      </c>
      <c r="CL47" s="457">
        <v>988.26119928384753</v>
      </c>
      <c r="CM47" s="457">
        <v>2090.767443362548</v>
      </c>
      <c r="CN47" s="457">
        <v>1532.5400976533908</v>
      </c>
      <c r="CO47" s="458">
        <v>-442.15350368211114</v>
      </c>
      <c r="CP47" s="459">
        <v>567.33573926394774</v>
      </c>
      <c r="CQ47" s="457">
        <v>-844.57084681292201</v>
      </c>
      <c r="CR47" s="457">
        <v>470.54686512711498</v>
      </c>
      <c r="CS47" s="458">
        <v>933.30707436673049</v>
      </c>
      <c r="CT47" s="459">
        <v>-494.47590491770501</v>
      </c>
      <c r="CU47" s="457">
        <v>-545.88490420015739</v>
      </c>
      <c r="CV47" s="457">
        <v>-480.99907744525996</v>
      </c>
      <c r="CW47" s="458">
        <v>-333.16947090086421</v>
      </c>
      <c r="CX47" s="369"/>
      <c r="CY47" s="369"/>
      <c r="CZ47" s="369"/>
      <c r="DA47" s="371"/>
      <c r="DB47" s="369"/>
      <c r="DC47" s="369"/>
      <c r="DD47" s="369"/>
      <c r="DE47" s="371"/>
      <c r="DF47" s="369"/>
      <c r="DG47" s="369"/>
      <c r="DH47" s="369"/>
      <c r="DI47" s="371"/>
      <c r="DJ47" s="374"/>
      <c r="DK47" s="375"/>
      <c r="DL47" s="369"/>
      <c r="DM47" s="369"/>
      <c r="DN47" s="369"/>
      <c r="DO47" s="369"/>
      <c r="DP47" s="369"/>
      <c r="DQ47" s="369"/>
      <c r="DR47" s="369"/>
      <c r="DS47" s="456"/>
      <c r="DT47" s="457">
        <v>523.5731507296365</v>
      </c>
      <c r="DU47" s="457">
        <v>270.76719778626244</v>
      </c>
      <c r="DV47" s="457">
        <v>170.11225273793895</v>
      </c>
      <c r="DW47" s="457">
        <v>379.67997256221076</v>
      </c>
      <c r="DX47" s="457">
        <v>-368.6858349561889</v>
      </c>
      <c r="DY47" s="457">
        <v>136.49060439808403</v>
      </c>
      <c r="DZ47" s="457">
        <v>0.50278691458849334</v>
      </c>
      <c r="EA47" s="457">
        <v>362.22397595332853</v>
      </c>
      <c r="EB47" s="457">
        <v>-221.0984348277878</v>
      </c>
      <c r="EC47" s="457">
        <v>99.374434433647238</v>
      </c>
      <c r="ED47" s="457">
        <v>-199.3185172805012</v>
      </c>
      <c r="EE47" s="457">
        <v>821.05870118171492</v>
      </c>
      <c r="EF47" s="457">
        <v>310.30609568667711</v>
      </c>
      <c r="EG47" s="457">
        <v>-363.34957367127998</v>
      </c>
      <c r="EH47" s="457">
        <v>241.16146613388568</v>
      </c>
      <c r="EI47" s="457">
        <v>-39.216385625915898</v>
      </c>
      <c r="EJ47" s="457">
        <v>-161.92555766633643</v>
      </c>
      <c r="EK47" s="457">
        <v>231.59198254885328</v>
      </c>
      <c r="EL47" s="457">
        <v>-182.33330998609964</v>
      </c>
      <c r="EM47" s="457">
        <v>73.83619643468397</v>
      </c>
      <c r="EN47" s="457">
        <v>-62.503445773957608</v>
      </c>
      <c r="EO47" s="457">
        <v>268.10632093630494</v>
      </c>
      <c r="EP47" s="375"/>
      <c r="EQ47" s="369"/>
    </row>
    <row r="48" spans="1:147" s="377" customFormat="1" ht="15" customHeight="1" outlineLevel="3">
      <c r="A48" s="368"/>
      <c r="B48"/>
      <c r="C48"/>
      <c r="D48"/>
      <c r="E48"/>
      <c r="F48"/>
      <c r="G48"/>
      <c r="H48" s="369"/>
      <c r="I48" s="451" t="s">
        <v>1336</v>
      </c>
      <c r="J48" s="369"/>
      <c r="K48" s="369"/>
      <c r="L48" s="369"/>
      <c r="M48" s="371"/>
      <c r="N48" s="369"/>
      <c r="O48" s="369"/>
      <c r="P48" s="369"/>
      <c r="Q48" s="371"/>
      <c r="R48" s="369"/>
      <c r="S48" s="369"/>
      <c r="T48" s="369"/>
      <c r="U48" s="371"/>
      <c r="V48" s="369"/>
      <c r="W48" s="369"/>
      <c r="X48" s="369"/>
      <c r="Y48" s="371"/>
      <c r="Z48" s="369"/>
      <c r="AA48" s="369"/>
      <c r="AB48" s="369"/>
      <c r="AC48" s="371"/>
      <c r="AD48" s="369"/>
      <c r="AE48" s="369"/>
      <c r="AF48" s="369"/>
      <c r="AG48" s="371"/>
      <c r="AH48" s="369"/>
      <c r="AI48" s="369"/>
      <c r="AJ48" s="369"/>
      <c r="AK48" s="371"/>
      <c r="AL48" s="369"/>
      <c r="AM48" s="369"/>
      <c r="AN48" s="369"/>
      <c r="AO48" s="371"/>
      <c r="AP48" s="369"/>
      <c r="AQ48" s="369"/>
      <c r="AR48" s="369"/>
      <c r="AS48" s="371"/>
      <c r="AT48" s="456">
        <v>0.1643646408839779</v>
      </c>
      <c r="AU48" s="456">
        <v>0.19475655430711611</v>
      </c>
      <c r="AV48" s="456">
        <v>9.9337748344370855E-2</v>
      </c>
      <c r="AW48" s="462">
        <v>0.35430861723446894</v>
      </c>
      <c r="AX48" s="456">
        <v>-4.5999999999999996</v>
      </c>
      <c r="AY48" s="456">
        <v>0.46610169491525422</v>
      </c>
      <c r="AZ48" s="456">
        <v>1.2647058823529411</v>
      </c>
      <c r="BA48" s="462">
        <v>0.32075471698113206</v>
      </c>
      <c r="BB48" s="456">
        <v>1.2926829268292683</v>
      </c>
      <c r="BC48" s="456">
        <v>4</v>
      </c>
      <c r="BD48" s="456">
        <v>0.5173913043478261</v>
      </c>
      <c r="BE48" s="462">
        <v>7.857142857142857E-2</v>
      </c>
      <c r="BF48" s="456">
        <v>0.76190476190476186</v>
      </c>
      <c r="BG48" s="456">
        <v>0.38028169014084506</v>
      </c>
      <c r="BH48" s="456">
        <v>0.55645161290322576</v>
      </c>
      <c r="BI48" s="462">
        <v>1.411764705882353</v>
      </c>
      <c r="BJ48" s="456">
        <v>0.71889400921658986</v>
      </c>
      <c r="BK48" s="456">
        <v>0.40807174887892378</v>
      </c>
      <c r="BL48" s="456">
        <v>0.53191489361702127</v>
      </c>
      <c r="BM48" s="462">
        <v>0.94117647058823528</v>
      </c>
      <c r="BN48" s="456">
        <v>0.1875</v>
      </c>
      <c r="BO48" s="456">
        <v>-0.1</v>
      </c>
      <c r="BP48" s="456">
        <v>0.30409356725146197</v>
      </c>
      <c r="BQ48" s="462">
        <v>-1.0847457627118644</v>
      </c>
      <c r="BR48" s="456">
        <v>0.52173913043478259</v>
      </c>
      <c r="BS48" s="456">
        <v>0.59405940594059403</v>
      </c>
      <c r="BT48" s="456">
        <v>6.9230769230769235E-2</v>
      </c>
      <c r="BU48" s="462">
        <v>0.8</v>
      </c>
      <c r="BV48" s="456">
        <v>0.23414634146341465</v>
      </c>
      <c r="BW48" s="456">
        <v>0.48823529411764705</v>
      </c>
      <c r="BX48" s="456">
        <v>0.5474576271186441</v>
      </c>
      <c r="BY48" s="462">
        <v>0.24251497005988024</v>
      </c>
      <c r="BZ48" s="456">
        <v>0.34375</v>
      </c>
      <c r="CA48" s="456">
        <v>0.61780104712041883</v>
      </c>
      <c r="CB48" s="456">
        <v>0.1875</v>
      </c>
      <c r="CC48" s="462">
        <v>6.280193236714976E-2</v>
      </c>
      <c r="CD48" s="456">
        <v>0.23404255319148937</v>
      </c>
      <c r="CE48" s="456">
        <v>2.5757575757575757</v>
      </c>
      <c r="CF48" s="456">
        <v>0.54508196721311475</v>
      </c>
      <c r="CG48" s="462">
        <v>1.5625</v>
      </c>
      <c r="CH48" s="456">
        <v>0.73015873015873012</v>
      </c>
      <c r="CI48" s="456">
        <v>0.43820224719101125</v>
      </c>
      <c r="CJ48" s="456">
        <v>0.43468468468468469</v>
      </c>
      <c r="CK48" s="462">
        <v>0.49606299212598426</v>
      </c>
      <c r="CL48" s="456">
        <v>0.81060606060606055</v>
      </c>
      <c r="CM48" s="456">
        <v>0.75315729047072333</v>
      </c>
      <c r="CN48" s="456">
        <v>0.73598553345388784</v>
      </c>
      <c r="CO48" s="462">
        <v>2.9154518950437316E-2</v>
      </c>
      <c r="CP48" s="463">
        <v>0.55514705882352944</v>
      </c>
      <c r="CQ48" s="456">
        <v>1.4968152866242037</v>
      </c>
      <c r="CR48" s="456">
        <v>0.7303754266211604</v>
      </c>
      <c r="CS48" s="462">
        <v>-0.6953089928840841</v>
      </c>
      <c r="CT48" s="463">
        <v>0.57440742976326487</v>
      </c>
      <c r="CU48" s="456">
        <v>0.6373605612745461</v>
      </c>
      <c r="CV48" s="456">
        <v>-1.482062556923184</v>
      </c>
      <c r="CW48" s="462">
        <v>0.31406572631634294</v>
      </c>
      <c r="CX48" s="369"/>
      <c r="CY48" s="369"/>
      <c r="CZ48" s="369"/>
      <c r="DA48" s="371"/>
      <c r="DB48" s="369"/>
      <c r="DC48" s="369"/>
      <c r="DD48" s="369"/>
      <c r="DE48" s="371"/>
      <c r="DF48" s="369"/>
      <c r="DG48" s="369"/>
      <c r="DH48" s="369"/>
      <c r="DI48" s="371"/>
      <c r="DJ48" s="374"/>
      <c r="DK48" s="375"/>
      <c r="DL48" s="369"/>
      <c r="DM48" s="369"/>
      <c r="DN48" s="369"/>
      <c r="DO48" s="369"/>
      <c r="DP48" s="369"/>
      <c r="DQ48" s="369"/>
      <c r="DR48" s="369"/>
      <c r="DS48" s="461"/>
      <c r="DT48" s="456">
        <v>0.44349477682811017</v>
      </c>
      <c r="DU48" s="456">
        <v>5.0740740740740744</v>
      </c>
      <c r="DV48" s="456">
        <v>4.1533546325878593E-2</v>
      </c>
      <c r="DW48" s="456">
        <v>0.68273092369477917</v>
      </c>
      <c r="DX48" s="456">
        <v>0.58823529411764708</v>
      </c>
      <c r="DY48" s="456">
        <v>0.44279661016949151</v>
      </c>
      <c r="DZ48" s="456">
        <v>0.31606217616580312</v>
      </c>
      <c r="EA48" s="456">
        <v>0.43810005053057099</v>
      </c>
      <c r="EB48" s="456">
        <v>7.8125E-2</v>
      </c>
      <c r="EC48" s="456">
        <v>1.1609195402298851</v>
      </c>
      <c r="ED48" s="456">
        <v>0.48685714285714288</v>
      </c>
      <c r="EE48" s="456">
        <v>0.66174298375184637</v>
      </c>
      <c r="EF48" s="456">
        <v>1.0337293854726144</v>
      </c>
      <c r="EG48" s="456">
        <v>-14.542121431643034</v>
      </c>
      <c r="EH48" s="456">
        <v>0.55264059481462657</v>
      </c>
      <c r="EI48" s="456">
        <v>0.46678184217075902</v>
      </c>
      <c r="EJ48" s="456">
        <v>0.85375645833805036</v>
      </c>
      <c r="EK48" s="456">
        <v>0.72373792643798862</v>
      </c>
      <c r="EL48" s="456">
        <v>0.79435983395402243</v>
      </c>
      <c r="EM48" s="456">
        <v>0.98255744859087524</v>
      </c>
      <c r="EN48" s="456">
        <v>1.2459147253346761</v>
      </c>
      <c r="EO48" s="456">
        <v>0.74727202630960499</v>
      </c>
      <c r="EP48" s="375"/>
      <c r="EQ48" s="369"/>
    </row>
    <row r="49" spans="1:147" s="377" customFormat="1" ht="15" customHeight="1" outlineLevel="4">
      <c r="A49" s="368"/>
      <c r="B49"/>
      <c r="C49"/>
      <c r="D49"/>
      <c r="E49"/>
      <c r="F49"/>
      <c r="G49"/>
      <c r="H49" s="369"/>
      <c r="I49" s="451" t="s">
        <v>1501</v>
      </c>
      <c r="J49" s="369"/>
      <c r="K49" s="369"/>
      <c r="L49" s="369"/>
      <c r="M49" s="371"/>
      <c r="N49" s="369"/>
      <c r="O49" s="369"/>
      <c r="P49" s="369"/>
      <c r="Q49" s="371"/>
      <c r="R49" s="369"/>
      <c r="S49" s="369"/>
      <c r="T49" s="369"/>
      <c r="U49" s="371"/>
      <c r="V49" s="369"/>
      <c r="W49" s="369"/>
      <c r="X49" s="369"/>
      <c r="Y49" s="371"/>
      <c r="Z49" s="369"/>
      <c r="AA49" s="369"/>
      <c r="AB49" s="369"/>
      <c r="AC49" s="371"/>
      <c r="AD49" s="369"/>
      <c r="AE49" s="369"/>
      <c r="AF49" s="369"/>
      <c r="AG49" s="371"/>
      <c r="AH49" s="369"/>
      <c r="AI49" s="369"/>
      <c r="AJ49" s="369"/>
      <c r="AK49" s="371"/>
      <c r="AL49" s="369"/>
      <c r="AM49" s="369"/>
      <c r="AN49" s="369"/>
      <c r="AO49" s="371"/>
      <c r="AP49" s="369"/>
      <c r="AQ49" s="369"/>
      <c r="AR49" s="369"/>
      <c r="AS49" s="371"/>
      <c r="AT49" s="456"/>
      <c r="AU49" s="456"/>
      <c r="AV49" s="456"/>
      <c r="AW49" s="462"/>
      <c r="AX49" s="456"/>
      <c r="AY49" s="456"/>
      <c r="AZ49" s="456"/>
      <c r="BA49" s="462"/>
      <c r="BB49" s="456"/>
      <c r="BC49" s="456"/>
      <c r="BD49" s="456"/>
      <c r="BE49" s="462"/>
      <c r="BF49" s="456"/>
      <c r="BG49" s="456"/>
      <c r="BH49" s="456"/>
      <c r="BI49" s="462"/>
      <c r="BJ49" s="456"/>
      <c r="BK49" s="456"/>
      <c r="BL49" s="456"/>
      <c r="BM49" s="462"/>
      <c r="BN49" s="456"/>
      <c r="BO49" s="456"/>
      <c r="BP49" s="456"/>
      <c r="BQ49" s="462"/>
      <c r="BR49" s="463">
        <v>0.56862745098039214</v>
      </c>
      <c r="BS49" s="456">
        <v>0.53757225433526012</v>
      </c>
      <c r="BT49" s="456">
        <v>0.62948207171314741</v>
      </c>
      <c r="BU49" s="462">
        <v>0.74224343675417659</v>
      </c>
      <c r="BV49" s="463">
        <v>0.68650793650793651</v>
      </c>
      <c r="BW49" s="456">
        <v>0.68707482993197277</v>
      </c>
      <c r="BX49" s="456">
        <v>0.68989547038327526</v>
      </c>
      <c r="BY49" s="462">
        <v>0.75734494015233955</v>
      </c>
      <c r="BZ49" s="463">
        <v>0.67236467236467234</v>
      </c>
      <c r="CA49" s="456">
        <v>0.70425531914893613</v>
      </c>
      <c r="CB49" s="456">
        <v>0.73280000000000001</v>
      </c>
      <c r="CC49" s="462">
        <v>0.77467811158798283</v>
      </c>
      <c r="CD49" s="456">
        <v>0.74936708860759493</v>
      </c>
      <c r="CE49" s="456">
        <v>0.81558441558441563</v>
      </c>
      <c r="CF49" s="456">
        <v>0.81097560975609762</v>
      </c>
      <c r="CG49" s="462">
        <v>0.82435791217895604</v>
      </c>
      <c r="CH49" s="456">
        <v>0.79867986798679869</v>
      </c>
      <c r="CI49" s="456">
        <v>0.9543973941368078</v>
      </c>
      <c r="CJ49" s="456">
        <v>0.82608695652173914</v>
      </c>
      <c r="CK49" s="462">
        <v>0.83741258741258739</v>
      </c>
      <c r="CL49" s="456">
        <v>0.87040618955512572</v>
      </c>
      <c r="CM49" s="456">
        <v>0.78504672897196259</v>
      </c>
      <c r="CN49" s="456">
        <v>0.78328611898016998</v>
      </c>
      <c r="CO49" s="462">
        <v>0.81715771230502598</v>
      </c>
      <c r="CP49" s="463">
        <v>0.8070818070818071</v>
      </c>
      <c r="CQ49" s="456">
        <v>0.97802197802197799</v>
      </c>
      <c r="CR49" s="456">
        <v>0.61630434782608701</v>
      </c>
      <c r="CS49" s="462">
        <v>0.78261296242043599</v>
      </c>
      <c r="CT49" s="463">
        <v>0.771721831924572</v>
      </c>
      <c r="CU49" s="456">
        <v>0.76916363757957606</v>
      </c>
      <c r="CV49" s="456">
        <v>0.7811573912155042</v>
      </c>
      <c r="CW49" s="462">
        <v>0.78983212979420769</v>
      </c>
      <c r="CX49" s="369"/>
      <c r="CY49" s="369"/>
      <c r="CZ49" s="369"/>
      <c r="DA49" s="371"/>
      <c r="DB49" s="369"/>
      <c r="DC49" s="369"/>
      <c r="DD49" s="369"/>
      <c r="DE49" s="371"/>
      <c r="DF49" s="369"/>
      <c r="DG49" s="369"/>
      <c r="DH49" s="369"/>
      <c r="DI49" s="371"/>
      <c r="DJ49" s="374"/>
      <c r="DK49" s="375"/>
      <c r="DL49" s="369"/>
      <c r="DM49" s="369"/>
      <c r="DN49" s="369"/>
      <c r="DO49" s="369"/>
      <c r="DP49" s="369"/>
      <c r="DQ49" s="369"/>
      <c r="DR49" s="369"/>
      <c r="DS49" s="461"/>
      <c r="DT49" s="456"/>
      <c r="DU49" s="456"/>
      <c r="DV49" s="456"/>
      <c r="DW49" s="456"/>
      <c r="DX49" s="456"/>
      <c r="DY49" s="456">
        <v>0.69220694171578256</v>
      </c>
      <c r="DZ49" s="456">
        <v>0.67462482946794</v>
      </c>
      <c r="EA49" s="456">
        <v>0.71538791255893697</v>
      </c>
      <c r="EB49" s="456">
        <v>0.73465096719932721</v>
      </c>
      <c r="EC49" s="456">
        <v>0.8083904800322711</v>
      </c>
      <c r="ED49" s="456">
        <v>0.84754018509498297</v>
      </c>
      <c r="EE49" s="456">
        <v>0.79540771268766564</v>
      </c>
      <c r="EF49" s="456">
        <v>0.7734346637673809</v>
      </c>
      <c r="EG49" s="456">
        <v>0.76914587741804707</v>
      </c>
      <c r="EH49" s="456">
        <v>0.78547900031786544</v>
      </c>
      <c r="EI49" s="456">
        <v>0.78443442428915855</v>
      </c>
      <c r="EJ49" s="456">
        <v>0.7831211774717719</v>
      </c>
      <c r="EK49" s="456">
        <v>0.98849224385828127</v>
      </c>
      <c r="EL49" s="456">
        <v>1.0015805746818547</v>
      </c>
      <c r="EM49" s="456">
        <v>0.99959423382500801</v>
      </c>
      <c r="EN49" s="456">
        <v>1.0002413685202038</v>
      </c>
      <c r="EO49" s="456">
        <v>0.99761719608715971</v>
      </c>
      <c r="EP49" s="375"/>
      <c r="EQ49" s="369"/>
    </row>
    <row r="50" spans="1:147" s="377" customFormat="1" ht="15" customHeight="1" outlineLevel="3">
      <c r="A50" s="368"/>
      <c r="B50"/>
      <c r="C50"/>
      <c r="D50"/>
      <c r="E50"/>
      <c r="F50"/>
      <c r="G50"/>
      <c r="H50" s="369"/>
      <c r="I50" s="379"/>
      <c r="J50" s="369"/>
      <c r="K50" s="369"/>
      <c r="L50" s="369"/>
      <c r="M50" s="371"/>
      <c r="N50" s="369"/>
      <c r="O50" s="369"/>
      <c r="P50" s="369"/>
      <c r="Q50" s="371"/>
      <c r="R50" s="369"/>
      <c r="S50" s="369"/>
      <c r="T50" s="369"/>
      <c r="U50" s="371"/>
      <c r="V50" s="369"/>
      <c r="W50" s="369"/>
      <c r="X50" s="369"/>
      <c r="Y50" s="371"/>
      <c r="Z50" s="369"/>
      <c r="AA50" s="369"/>
      <c r="AB50" s="369"/>
      <c r="AC50" s="371"/>
      <c r="AD50" s="369"/>
      <c r="AE50" s="369"/>
      <c r="AF50" s="369"/>
      <c r="AG50" s="371"/>
      <c r="AH50" s="369"/>
      <c r="AI50" s="369"/>
      <c r="AJ50" s="369"/>
      <c r="AK50" s="371"/>
      <c r="AL50" s="369"/>
      <c r="AM50" s="369"/>
      <c r="AN50" s="369"/>
      <c r="AO50" s="371"/>
      <c r="AP50" s="369"/>
      <c r="AQ50" s="369"/>
      <c r="AR50" s="369"/>
      <c r="AS50" s="371"/>
      <c r="AT50" s="448"/>
      <c r="AU50" s="448"/>
      <c r="AV50" s="448"/>
      <c r="AW50" s="449"/>
      <c r="AX50" s="448"/>
      <c r="AY50" s="448"/>
      <c r="AZ50" s="448"/>
      <c r="BA50" s="449"/>
      <c r="BB50" s="448"/>
      <c r="BC50" s="448"/>
      <c r="BD50" s="448"/>
      <c r="BE50" s="449"/>
      <c r="BF50" s="448"/>
      <c r="BG50" s="448"/>
      <c r="BH50" s="448"/>
      <c r="BI50" s="449"/>
      <c r="BJ50" s="448"/>
      <c r="BK50" s="448"/>
      <c r="BL50" s="448"/>
      <c r="BM50" s="449"/>
      <c r="BN50" s="448"/>
      <c r="BO50" s="448"/>
      <c r="BP50" s="448"/>
      <c r="BQ50" s="449"/>
      <c r="BR50" s="448"/>
      <c r="BS50" s="448"/>
      <c r="BT50" s="448"/>
      <c r="BU50" s="449"/>
      <c r="BV50" s="448"/>
      <c r="BW50" s="448"/>
      <c r="BX50" s="448"/>
      <c r="BY50" s="449"/>
      <c r="BZ50" s="448"/>
      <c r="CA50" s="448"/>
      <c r="CB50" s="448"/>
      <c r="CC50" s="449"/>
      <c r="CD50" s="448"/>
      <c r="CE50" s="448"/>
      <c r="CF50" s="448"/>
      <c r="CG50" s="449"/>
      <c r="CH50" s="448"/>
      <c r="CI50" s="448"/>
      <c r="CJ50" s="448"/>
      <c r="CK50" s="449"/>
      <c r="CL50" s="448"/>
      <c r="CM50" s="448"/>
      <c r="CN50" s="448"/>
      <c r="CO50" s="449"/>
      <c r="CP50" s="450"/>
      <c r="CQ50" s="448"/>
      <c r="CR50" s="448"/>
      <c r="CS50" s="449"/>
      <c r="CT50" s="450"/>
      <c r="CU50" s="448"/>
      <c r="CV50" s="448"/>
      <c r="CW50" s="449"/>
      <c r="CX50" s="369"/>
      <c r="CY50" s="369"/>
      <c r="CZ50" s="369"/>
      <c r="DA50" s="371"/>
      <c r="DB50" s="369"/>
      <c r="DC50" s="369"/>
      <c r="DD50" s="369"/>
      <c r="DE50" s="371"/>
      <c r="DF50" s="369"/>
      <c r="DG50" s="369"/>
      <c r="DH50" s="369"/>
      <c r="DI50" s="371"/>
      <c r="DJ50" s="374"/>
      <c r="DK50" s="375"/>
      <c r="DL50" s="369"/>
      <c r="DM50" s="369"/>
      <c r="DN50" s="369"/>
      <c r="DO50" s="369"/>
      <c r="DP50" s="369"/>
      <c r="DQ50" s="369"/>
      <c r="DR50" s="369"/>
      <c r="DS50" s="461"/>
      <c r="DT50" s="461"/>
      <c r="DU50" s="461"/>
      <c r="DV50" s="448"/>
      <c r="DW50" s="461"/>
      <c r="DX50" s="461"/>
      <c r="DY50" s="461"/>
      <c r="DZ50" s="461"/>
      <c r="EA50" s="448"/>
      <c r="EB50" s="448"/>
      <c r="EC50" s="448"/>
      <c r="ED50" s="448"/>
      <c r="EE50" s="448"/>
      <c r="EF50" s="448"/>
      <c r="EG50" s="384"/>
      <c r="EH50" s="448"/>
      <c r="EI50" s="384"/>
      <c r="EJ50" s="448"/>
      <c r="EK50" s="448"/>
      <c r="EL50" s="448"/>
      <c r="EM50" s="448"/>
      <c r="EN50" s="448"/>
      <c r="EO50" s="448"/>
      <c r="EP50" s="375"/>
      <c r="EQ50" s="369"/>
    </row>
    <row r="51" spans="1:147" s="377" customFormat="1" ht="15" customHeight="1" outlineLevel="3">
      <c r="A51" s="368"/>
      <c r="B51"/>
      <c r="C51"/>
      <c r="D51"/>
      <c r="E51"/>
      <c r="F51"/>
      <c r="G51"/>
      <c r="H51" s="369"/>
      <c r="I51" s="379" t="s">
        <v>1502</v>
      </c>
      <c r="J51" s="369"/>
      <c r="K51" s="369"/>
      <c r="L51" s="369"/>
      <c r="M51" s="371"/>
      <c r="N51" s="369"/>
      <c r="O51" s="369"/>
      <c r="P51" s="369"/>
      <c r="Q51" s="371"/>
      <c r="R51" s="369"/>
      <c r="S51" s="369"/>
      <c r="T51" s="369"/>
      <c r="U51" s="371"/>
      <c r="V51" s="369"/>
      <c r="W51" s="369"/>
      <c r="X51" s="369"/>
      <c r="Y51" s="371"/>
      <c r="Z51" s="369"/>
      <c r="AA51" s="369"/>
      <c r="AB51" s="369"/>
      <c r="AC51" s="371"/>
      <c r="AD51" s="369"/>
      <c r="AE51" s="369"/>
      <c r="AF51" s="369"/>
      <c r="AG51" s="371"/>
      <c r="AH51" s="369"/>
      <c r="AI51" s="369"/>
      <c r="AJ51" s="369"/>
      <c r="AK51" s="371"/>
      <c r="AL51" s="369"/>
      <c r="AM51" s="369"/>
      <c r="AN51" s="369"/>
      <c r="AO51" s="371"/>
      <c r="AP51" s="369"/>
      <c r="AQ51" s="369"/>
      <c r="AR51" s="369"/>
      <c r="AS51" s="371"/>
      <c r="AT51" s="448">
        <v>188</v>
      </c>
      <c r="AU51" s="448">
        <v>216</v>
      </c>
      <c r="AV51" s="448">
        <v>133</v>
      </c>
      <c r="AW51" s="449">
        <v>1044</v>
      </c>
      <c r="AX51" s="448">
        <v>198</v>
      </c>
      <c r="AY51" s="448">
        <v>149</v>
      </c>
      <c r="AZ51" s="448">
        <v>220</v>
      </c>
      <c r="BA51" s="449">
        <v>1002</v>
      </c>
      <c r="BB51" s="448">
        <v>244</v>
      </c>
      <c r="BC51" s="448">
        <v>191</v>
      </c>
      <c r="BD51" s="448">
        <v>110</v>
      </c>
      <c r="BE51" s="449">
        <v>961</v>
      </c>
      <c r="BF51" s="448">
        <v>113</v>
      </c>
      <c r="BG51" s="448">
        <v>322</v>
      </c>
      <c r="BH51" s="448">
        <v>178</v>
      </c>
      <c r="BI51" s="449">
        <v>1205</v>
      </c>
      <c r="BJ51" s="448">
        <v>270</v>
      </c>
      <c r="BK51" s="448">
        <v>141</v>
      </c>
      <c r="BL51" s="448">
        <v>125</v>
      </c>
      <c r="BM51" s="449">
        <v>890</v>
      </c>
      <c r="BN51" s="448">
        <v>259</v>
      </c>
      <c r="BO51" s="448">
        <v>132</v>
      </c>
      <c r="BP51" s="448">
        <v>283</v>
      </c>
      <c r="BQ51" s="449">
        <v>943</v>
      </c>
      <c r="BR51" s="448">
        <v>224</v>
      </c>
      <c r="BS51" s="448">
        <v>193</v>
      </c>
      <c r="BT51" s="448">
        <v>275</v>
      </c>
      <c r="BU51" s="449">
        <v>862</v>
      </c>
      <c r="BV51" s="448">
        <v>277</v>
      </c>
      <c r="BW51" s="448">
        <v>619</v>
      </c>
      <c r="BX51" s="448">
        <v>607</v>
      </c>
      <c r="BY51" s="449">
        <v>1015</v>
      </c>
      <c r="BZ51" s="448">
        <v>385</v>
      </c>
      <c r="CA51" s="448">
        <v>503</v>
      </c>
      <c r="CB51" s="448">
        <v>658</v>
      </c>
      <c r="CC51" s="449">
        <v>986</v>
      </c>
      <c r="CD51" s="448">
        <v>430</v>
      </c>
      <c r="CE51" s="448">
        <v>421</v>
      </c>
      <c r="CF51" s="448">
        <v>527</v>
      </c>
      <c r="CG51" s="449">
        <v>1239</v>
      </c>
      <c r="CH51" s="448">
        <v>336</v>
      </c>
      <c r="CI51" s="448">
        <v>340</v>
      </c>
      <c r="CJ51" s="448">
        <v>329</v>
      </c>
      <c r="CK51" s="449">
        <v>1198</v>
      </c>
      <c r="CL51" s="448">
        <v>569</v>
      </c>
      <c r="CM51" s="448">
        <v>992</v>
      </c>
      <c r="CN51" s="448">
        <v>736</v>
      </c>
      <c r="CO51" s="449">
        <v>1181</v>
      </c>
      <c r="CP51" s="450">
        <v>877</v>
      </c>
      <c r="CQ51" s="448">
        <v>767</v>
      </c>
      <c r="CR51" s="448">
        <v>764</v>
      </c>
      <c r="CS51" s="449">
        <v>1360.5545203356478</v>
      </c>
      <c r="CT51" s="450">
        <v>587.23098432628808</v>
      </c>
      <c r="CU51" s="448">
        <v>539.09313159771466</v>
      </c>
      <c r="CV51" s="448">
        <v>879.95743010114688</v>
      </c>
      <c r="CW51" s="449">
        <v>1624.2877982379964</v>
      </c>
      <c r="CX51" s="369"/>
      <c r="CY51" s="369"/>
      <c r="CZ51" s="369"/>
      <c r="DA51" s="371"/>
      <c r="DB51" s="369"/>
      <c r="DC51" s="369"/>
      <c r="DD51" s="369"/>
      <c r="DE51" s="371"/>
      <c r="DF51" s="369"/>
      <c r="DG51" s="369"/>
      <c r="DH51" s="369"/>
      <c r="DI51" s="371"/>
      <c r="DJ51" s="374"/>
      <c r="DK51" s="375"/>
      <c r="DL51" s="369"/>
      <c r="DM51" s="369"/>
      <c r="DN51" s="369"/>
      <c r="DO51" s="369"/>
      <c r="DP51" s="369"/>
      <c r="DQ51" s="369"/>
      <c r="DR51" s="369"/>
      <c r="DS51" s="461">
        <v>1152</v>
      </c>
      <c r="DT51" s="461">
        <v>1581</v>
      </c>
      <c r="DU51" s="461">
        <v>1569</v>
      </c>
      <c r="DV51" s="448">
        <v>1506</v>
      </c>
      <c r="DW51" s="448">
        <v>1818</v>
      </c>
      <c r="DX51" s="448">
        <v>1426</v>
      </c>
      <c r="DY51" s="448">
        <v>1617</v>
      </c>
      <c r="DZ51" s="448">
        <v>1554</v>
      </c>
      <c r="EA51" s="448">
        <v>2518</v>
      </c>
      <c r="EB51" s="448">
        <v>2532</v>
      </c>
      <c r="EC51" s="448">
        <v>2617</v>
      </c>
      <c r="ED51" s="448">
        <v>2203</v>
      </c>
      <c r="EE51" s="448">
        <v>3535</v>
      </c>
      <c r="EF51" s="448">
        <v>3825.5545203356478</v>
      </c>
      <c r="EG51" s="448">
        <v>3687.5693442631455</v>
      </c>
      <c r="EH51" s="448">
        <v>4620.8787257518798</v>
      </c>
      <c r="EI51" s="448">
        <v>4209.9840305154485</v>
      </c>
      <c r="EJ51" s="448">
        <v>3907.3026481174356</v>
      </c>
      <c r="EK51" s="448">
        <v>4441.3127888401696</v>
      </c>
      <c r="EL51" s="448">
        <v>4059.6675643186841</v>
      </c>
      <c r="EM51" s="448">
        <v>4182.9868024139532</v>
      </c>
      <c r="EN51" s="448">
        <v>4091.9704565192328</v>
      </c>
      <c r="EO51" s="448">
        <v>4721.9795774887698</v>
      </c>
      <c r="EP51" s="375"/>
      <c r="EQ51" s="320">
        <v>4.4654688077793159E-2</v>
      </c>
    </row>
    <row r="52" spans="1:147" s="377" customFormat="1" ht="15" customHeight="1" outlineLevel="3">
      <c r="A52" s="368"/>
      <c r="B52"/>
      <c r="C52"/>
      <c r="D52"/>
      <c r="E52"/>
      <c r="F52"/>
      <c r="G52"/>
      <c r="H52" s="369"/>
      <c r="I52" s="451" t="s">
        <v>305</v>
      </c>
      <c r="J52" s="369"/>
      <c r="K52" s="369"/>
      <c r="L52" s="369"/>
      <c r="M52" s="371"/>
      <c r="N52" s="369"/>
      <c r="O52" s="369"/>
      <c r="P52" s="369"/>
      <c r="Q52" s="371"/>
      <c r="R52" s="369"/>
      <c r="S52" s="369"/>
      <c r="T52" s="369"/>
      <c r="U52" s="371"/>
      <c r="V52" s="369"/>
      <c r="W52" s="369"/>
      <c r="X52" s="369"/>
      <c r="Y52" s="371"/>
      <c r="Z52" s="369"/>
      <c r="AA52" s="369"/>
      <c r="AB52" s="369"/>
      <c r="AC52" s="371"/>
      <c r="AD52" s="369"/>
      <c r="AE52" s="369"/>
      <c r="AF52" s="369"/>
      <c r="AG52" s="371"/>
      <c r="AH52" s="369"/>
      <c r="AI52" s="369"/>
      <c r="AJ52" s="369"/>
      <c r="AK52" s="371"/>
      <c r="AL52" s="369"/>
      <c r="AM52" s="369"/>
      <c r="AN52" s="369"/>
      <c r="AO52" s="371"/>
      <c r="AP52" s="369"/>
      <c r="AQ52" s="369"/>
      <c r="AR52" s="369"/>
      <c r="AS52" s="371"/>
      <c r="AT52" s="456">
        <v>0.25966850828729282</v>
      </c>
      <c r="AU52" s="456">
        <v>0.2696629213483146</v>
      </c>
      <c r="AV52" s="456">
        <v>0.176158940397351</v>
      </c>
      <c r="AW52" s="462">
        <v>0.418436873747495</v>
      </c>
      <c r="AX52" s="456">
        <v>0.27731092436974791</v>
      </c>
      <c r="AY52" s="456">
        <v>0.21815519765739386</v>
      </c>
      <c r="AZ52" s="456">
        <v>0.25670945157526254</v>
      </c>
      <c r="BA52" s="462">
        <v>0.39324960753532184</v>
      </c>
      <c r="BB52" s="456">
        <v>0.32317880794701986</v>
      </c>
      <c r="BC52" s="456">
        <v>0.27324749642346208</v>
      </c>
      <c r="BD52" s="456">
        <v>0.17543859649122806</v>
      </c>
      <c r="BE52" s="462">
        <v>0.39908637873754155</v>
      </c>
      <c r="BF52" s="456">
        <v>0.19250425894378195</v>
      </c>
      <c r="BG52" s="456">
        <v>0.30550284629981023</v>
      </c>
      <c r="BH52" s="456">
        <v>0.23701731025299599</v>
      </c>
      <c r="BI52" s="462">
        <v>0.46435452793834298</v>
      </c>
      <c r="BJ52" s="456">
        <v>0.33582089552238809</v>
      </c>
      <c r="BK52" s="456">
        <v>0.23190789473684212</v>
      </c>
      <c r="BL52" s="456">
        <v>0.19025875190258751</v>
      </c>
      <c r="BM52" s="462">
        <v>0.39172535211267606</v>
      </c>
      <c r="BN52" s="456">
        <v>0.33549222797927464</v>
      </c>
      <c r="BO52" s="456">
        <v>0.20060790273556231</v>
      </c>
      <c r="BP52" s="456">
        <v>0.24188034188034188</v>
      </c>
      <c r="BQ52" s="462">
        <v>0.42611839132399459</v>
      </c>
      <c r="BR52" s="456">
        <v>0.31863442389758179</v>
      </c>
      <c r="BS52" s="456">
        <v>0.25428194993412384</v>
      </c>
      <c r="BT52" s="456">
        <v>0.26442307692307693</v>
      </c>
      <c r="BU52" s="462">
        <v>0.40698772426817753</v>
      </c>
      <c r="BV52" s="456">
        <v>0.30506607929515417</v>
      </c>
      <c r="BW52" s="456">
        <v>0.38471100062150404</v>
      </c>
      <c r="BX52" s="456">
        <v>0.37239263803680983</v>
      </c>
      <c r="BY52" s="462">
        <v>0.41394779771615009</v>
      </c>
      <c r="BZ52" s="456">
        <v>0.32190635451505017</v>
      </c>
      <c r="CA52" s="456">
        <v>0.35472496473906912</v>
      </c>
      <c r="CB52" s="456">
        <v>0.3459516298633018</v>
      </c>
      <c r="CC52" s="462">
        <v>0.37081609627679579</v>
      </c>
      <c r="CD52" s="456">
        <v>0.31069364161849711</v>
      </c>
      <c r="CE52" s="456">
        <v>0.303971119133574</v>
      </c>
      <c r="CF52" s="456">
        <v>0.3178528347406514</v>
      </c>
      <c r="CG52" s="462">
        <v>0.43703703703703706</v>
      </c>
      <c r="CH52" s="456">
        <v>0.26709062003179651</v>
      </c>
      <c r="CI52" s="456">
        <v>0.28169014084507044</v>
      </c>
      <c r="CJ52" s="456">
        <v>0.27100494233937394</v>
      </c>
      <c r="CK52" s="462">
        <v>0.44239290989660268</v>
      </c>
      <c r="CL52" s="456">
        <v>0.37385019710906703</v>
      </c>
      <c r="CM52" s="456">
        <v>0.4773820981713186</v>
      </c>
      <c r="CN52" s="456">
        <v>0.41652518392756083</v>
      </c>
      <c r="CO52" s="462">
        <v>0.38708620124549326</v>
      </c>
      <c r="CP52" s="463">
        <v>0.4244917715392062</v>
      </c>
      <c r="CQ52" s="456">
        <v>0.39927121290994272</v>
      </c>
      <c r="CR52" s="456">
        <v>0.37087378640776697</v>
      </c>
      <c r="CS52" s="462">
        <v>0.48470563240120168</v>
      </c>
      <c r="CT52" s="463">
        <v>0.36319987983194424</v>
      </c>
      <c r="CU52" s="456">
        <v>0.33991853767823249</v>
      </c>
      <c r="CV52" s="456">
        <v>0.41651055394925635</v>
      </c>
      <c r="CW52" s="462">
        <v>0.45625546019257934</v>
      </c>
      <c r="CX52" s="369"/>
      <c r="CY52" s="369"/>
      <c r="CZ52" s="369"/>
      <c r="DA52" s="371"/>
      <c r="DB52" s="369"/>
      <c r="DC52" s="369"/>
      <c r="DD52" s="369"/>
      <c r="DE52" s="371"/>
      <c r="DF52" s="369"/>
      <c r="DG52" s="369"/>
      <c r="DH52" s="369"/>
      <c r="DI52" s="371"/>
      <c r="DJ52" s="374"/>
      <c r="DK52" s="375"/>
      <c r="DL52" s="369"/>
      <c r="DM52" s="369"/>
      <c r="DN52" s="369"/>
      <c r="DO52" s="369"/>
      <c r="DP52" s="369"/>
      <c r="DQ52" s="369"/>
      <c r="DR52" s="369"/>
      <c r="DS52" s="456">
        <v>0.30951101558301986</v>
      </c>
      <c r="DT52" s="456">
        <v>0.3310994764397906</v>
      </c>
      <c r="DU52" s="456">
        <v>0.32673885880882964</v>
      </c>
      <c r="DV52" s="456">
        <v>0.33548674537758966</v>
      </c>
      <c r="DW52" s="456">
        <v>0.36454782434329258</v>
      </c>
      <c r="DX52" s="456">
        <v>0.32849573830914536</v>
      </c>
      <c r="DY52" s="456">
        <v>0.33596509453563267</v>
      </c>
      <c r="DZ52" s="456">
        <v>0.33636363636363636</v>
      </c>
      <c r="EA52" s="456">
        <v>0.38157296560084863</v>
      </c>
      <c r="EB52" s="456">
        <v>0.35289198606271777</v>
      </c>
      <c r="EC52" s="456">
        <v>0.36036904434040207</v>
      </c>
      <c r="ED52" s="456">
        <v>0.34491936746516361</v>
      </c>
      <c r="EE52" s="456">
        <v>0.41993347588500829</v>
      </c>
      <c r="EF52" s="456">
        <v>0.43207218989156754</v>
      </c>
      <c r="EG52" s="456">
        <v>0.4154771960986523</v>
      </c>
      <c r="EH52" s="456">
        <v>0.43931640596336363</v>
      </c>
      <c r="EI52" s="456">
        <v>0.43558024492204261</v>
      </c>
      <c r="EJ52" s="456">
        <v>0.41930087157265833</v>
      </c>
      <c r="EK52" s="456">
        <v>0.44227437689944038</v>
      </c>
      <c r="EL52" s="456">
        <v>0.42424751522421994</v>
      </c>
      <c r="EM52" s="456">
        <v>0.43152530976131409</v>
      </c>
      <c r="EN52" s="456">
        <v>0.42530956092153072</v>
      </c>
      <c r="EO52" s="456">
        <v>0.45197295374807356</v>
      </c>
      <c r="EP52" s="375"/>
      <c r="EQ52" s="369"/>
    </row>
    <row r="53" spans="1:147" s="377" customFormat="1" ht="15" customHeight="1" outlineLevel="3">
      <c r="A53" s="368"/>
      <c r="B53"/>
      <c r="C53"/>
      <c r="D53"/>
      <c r="E53"/>
      <c r="F53"/>
      <c r="G53"/>
      <c r="H53" s="369"/>
      <c r="I53" s="451" t="s">
        <v>1500</v>
      </c>
      <c r="J53" s="369"/>
      <c r="K53" s="369"/>
      <c r="L53" s="369"/>
      <c r="M53" s="371"/>
      <c r="N53" s="369"/>
      <c r="O53" s="369"/>
      <c r="P53" s="369"/>
      <c r="Q53" s="371"/>
      <c r="R53" s="369"/>
      <c r="S53" s="369"/>
      <c r="T53" s="369"/>
      <c r="U53" s="371"/>
      <c r="V53" s="369"/>
      <c r="W53" s="369"/>
      <c r="X53" s="369"/>
      <c r="Y53" s="371"/>
      <c r="Z53" s="369"/>
      <c r="AA53" s="369"/>
      <c r="AB53" s="369"/>
      <c r="AC53" s="371"/>
      <c r="AD53" s="369"/>
      <c r="AE53" s="369"/>
      <c r="AF53" s="369"/>
      <c r="AG53" s="371"/>
      <c r="AH53" s="369"/>
      <c r="AI53" s="369"/>
      <c r="AJ53" s="369"/>
      <c r="AK53" s="371"/>
      <c r="AL53" s="369"/>
      <c r="AM53" s="369"/>
      <c r="AN53" s="369"/>
      <c r="AO53" s="371"/>
      <c r="AP53" s="369"/>
      <c r="AQ53" s="369"/>
      <c r="AR53" s="369"/>
      <c r="AS53" s="371"/>
      <c r="AT53" s="456"/>
      <c r="AU53" s="456"/>
      <c r="AV53" s="456"/>
      <c r="AW53" s="462"/>
      <c r="AX53" s="457">
        <v>176.42416082455094</v>
      </c>
      <c r="AY53" s="457">
        <v>-515.07723690920739</v>
      </c>
      <c r="AZ53" s="457">
        <v>805.5051117791154</v>
      </c>
      <c r="BA53" s="458">
        <v>-251.87266212173154</v>
      </c>
      <c r="BB53" s="457">
        <v>458.67883577271948</v>
      </c>
      <c r="BC53" s="457">
        <v>550.92298766068222</v>
      </c>
      <c r="BD53" s="457">
        <v>-812.70855084034474</v>
      </c>
      <c r="BE53" s="458">
        <v>58.36771202219704</v>
      </c>
      <c r="BF53" s="457">
        <v>-1306.7454900323792</v>
      </c>
      <c r="BG53" s="457">
        <v>322.55349876348151</v>
      </c>
      <c r="BH53" s="457">
        <v>615.78713761767938</v>
      </c>
      <c r="BI53" s="458">
        <v>652.68149200801429</v>
      </c>
      <c r="BJ53" s="457">
        <v>1433.1663657860613</v>
      </c>
      <c r="BK53" s="457">
        <v>-735.94951562968106</v>
      </c>
      <c r="BL53" s="457">
        <v>-467.58558350408487</v>
      </c>
      <c r="BM53" s="458">
        <v>-726.29175825666914</v>
      </c>
      <c r="BN53" s="457">
        <v>-3.2866754311344781</v>
      </c>
      <c r="BO53" s="457">
        <v>-312.9999200127981</v>
      </c>
      <c r="BP53" s="457">
        <v>516.21589977754377</v>
      </c>
      <c r="BQ53" s="458">
        <v>343.93039211318535</v>
      </c>
      <c r="BR53" s="457">
        <v>-168.57804081692851</v>
      </c>
      <c r="BS53" s="457">
        <v>536.74047198561527</v>
      </c>
      <c r="BT53" s="457">
        <v>225.42735042735046</v>
      </c>
      <c r="BU53" s="458">
        <v>-191.30667055817062</v>
      </c>
      <c r="BV53" s="457">
        <v>-135.68344602427618</v>
      </c>
      <c r="BW53" s="457">
        <v>1304.2905068738021</v>
      </c>
      <c r="BX53" s="457">
        <v>1079.695611137329</v>
      </c>
      <c r="BY53" s="458">
        <v>69.600734479725588</v>
      </c>
      <c r="BZ53" s="457">
        <v>168.40275219896006</v>
      </c>
      <c r="CA53" s="457">
        <v>-299.86035882434925</v>
      </c>
      <c r="CB53" s="457">
        <v>-264.41008173508027</v>
      </c>
      <c r="CC53" s="458">
        <v>-431.31701439354299</v>
      </c>
      <c r="CD53" s="457">
        <v>-112.12712896553067</v>
      </c>
      <c r="CE53" s="457">
        <v>-507.53845605495115</v>
      </c>
      <c r="CF53" s="457">
        <v>-280.98795122650398</v>
      </c>
      <c r="CG53" s="458">
        <v>662.20940760241263</v>
      </c>
      <c r="CH53" s="457">
        <v>-436.03021586700595</v>
      </c>
      <c r="CI53" s="457">
        <v>-222.80978288503562</v>
      </c>
      <c r="CJ53" s="457">
        <v>-468.4789240127746</v>
      </c>
      <c r="CK53" s="458">
        <v>53.558728595656248</v>
      </c>
      <c r="CL53" s="457">
        <v>1067.5957707727052</v>
      </c>
      <c r="CM53" s="457">
        <v>1956.9195732624817</v>
      </c>
      <c r="CN53" s="457">
        <v>1455.2024158818688</v>
      </c>
      <c r="CO53" s="458">
        <v>-553.06708651109432</v>
      </c>
      <c r="CP53" s="459">
        <v>506.41574430139167</v>
      </c>
      <c r="CQ53" s="457">
        <v>-781.10885261375881</v>
      </c>
      <c r="CR53" s="457">
        <v>-456.51397519793858</v>
      </c>
      <c r="CS53" s="458">
        <v>976.19431155708423</v>
      </c>
      <c r="CT53" s="459">
        <v>-612.91891707261959</v>
      </c>
      <c r="CU53" s="457">
        <v>-593.52675231710225</v>
      </c>
      <c r="CV53" s="457">
        <v>456.36767541489377</v>
      </c>
      <c r="CW53" s="458">
        <v>-284.50172208622337</v>
      </c>
      <c r="CX53" s="369"/>
      <c r="CY53" s="369"/>
      <c r="CZ53" s="369"/>
      <c r="DA53" s="371"/>
      <c r="DB53" s="369"/>
      <c r="DC53" s="369"/>
      <c r="DD53" s="369"/>
      <c r="DE53" s="371"/>
      <c r="DF53" s="369"/>
      <c r="DG53" s="369"/>
      <c r="DH53" s="369"/>
      <c r="DI53" s="371"/>
      <c r="DJ53" s="374"/>
      <c r="DK53" s="375"/>
      <c r="DL53" s="369"/>
      <c r="DM53" s="369"/>
      <c r="DN53" s="369"/>
      <c r="DO53" s="369"/>
      <c r="DP53" s="369"/>
      <c r="DQ53" s="369"/>
      <c r="DR53" s="369"/>
      <c r="DS53" s="456"/>
      <c r="DT53" s="457">
        <v>215.8846085677074</v>
      </c>
      <c r="DU53" s="457">
        <v>-43.606176309609609</v>
      </c>
      <c r="DV53" s="457">
        <v>87.478865687600219</v>
      </c>
      <c r="DW53" s="457">
        <v>290.61078965702927</v>
      </c>
      <c r="DX53" s="457">
        <v>-360.52086034147226</v>
      </c>
      <c r="DY53" s="457">
        <v>74.693562264873108</v>
      </c>
      <c r="DZ53" s="457">
        <v>3.9854182800369564</v>
      </c>
      <c r="EA53" s="457">
        <v>452.09329237212268</v>
      </c>
      <c r="EB53" s="457">
        <v>-286.80979538130867</v>
      </c>
      <c r="EC53" s="457">
        <v>74.770582776843014</v>
      </c>
      <c r="ED53" s="457">
        <v>-154.49676875238461</v>
      </c>
      <c r="EE53" s="457">
        <v>750.14108419844683</v>
      </c>
      <c r="EF53" s="457">
        <v>121.38714006559248</v>
      </c>
      <c r="EG53" s="457">
        <v>-165.94993792915236</v>
      </c>
      <c r="EH53" s="457">
        <v>238.3920986471133</v>
      </c>
      <c r="EI53" s="457">
        <v>-37.36161041321018</v>
      </c>
      <c r="EJ53" s="457">
        <v>-162.79373349384286</v>
      </c>
      <c r="EK53" s="457">
        <v>229.73505326782052</v>
      </c>
      <c r="EL53" s="457">
        <v>-180.26861675220439</v>
      </c>
      <c r="EM53" s="457">
        <v>72.777945370941509</v>
      </c>
      <c r="EN53" s="457">
        <v>-62.157488397833745</v>
      </c>
      <c r="EO53" s="457">
        <v>266.63392826542844</v>
      </c>
      <c r="EP53" s="375"/>
      <c r="EQ53" s="369"/>
    </row>
    <row r="54" spans="1:147" s="377" customFormat="1" ht="15" customHeight="1" outlineLevel="3">
      <c r="A54" s="368"/>
      <c r="B54"/>
      <c r="C54"/>
      <c r="D54"/>
      <c r="E54"/>
      <c r="F54"/>
      <c r="G54"/>
      <c r="H54" s="369"/>
      <c r="I54" s="451" t="s">
        <v>1336</v>
      </c>
      <c r="J54" s="369"/>
      <c r="K54" s="369"/>
      <c r="L54" s="369"/>
      <c r="M54" s="371"/>
      <c r="N54" s="369"/>
      <c r="O54" s="369"/>
      <c r="P54" s="369"/>
      <c r="Q54" s="371"/>
      <c r="R54" s="369"/>
      <c r="S54" s="369"/>
      <c r="T54" s="369"/>
      <c r="U54" s="371"/>
      <c r="V54" s="369"/>
      <c r="W54" s="369"/>
      <c r="X54" s="369"/>
      <c r="Y54" s="371"/>
      <c r="Z54" s="369"/>
      <c r="AA54" s="369"/>
      <c r="AB54" s="369"/>
      <c r="AC54" s="371"/>
      <c r="AD54" s="369"/>
      <c r="AE54" s="369"/>
      <c r="AF54" s="369"/>
      <c r="AG54" s="371"/>
      <c r="AH54" s="369"/>
      <c r="AI54" s="369"/>
      <c r="AJ54" s="369"/>
      <c r="AK54" s="371"/>
      <c r="AL54" s="369"/>
      <c r="AM54" s="369"/>
      <c r="AN54" s="369"/>
      <c r="AO54" s="371"/>
      <c r="AP54" s="369"/>
      <c r="AQ54" s="369"/>
      <c r="AR54" s="369"/>
      <c r="AS54" s="371"/>
      <c r="AT54" s="448"/>
      <c r="AU54" s="448"/>
      <c r="AV54" s="448"/>
      <c r="AW54" s="449"/>
      <c r="AX54" s="456">
        <v>-1</v>
      </c>
      <c r="AY54" s="456">
        <v>0.56779661016949157</v>
      </c>
      <c r="AZ54" s="456">
        <v>0.8529411764705882</v>
      </c>
      <c r="BA54" s="462">
        <v>-0.79245283018867929</v>
      </c>
      <c r="BB54" s="456">
        <v>1.1219512195121952</v>
      </c>
      <c r="BC54" s="456">
        <v>2.625</v>
      </c>
      <c r="BD54" s="456">
        <v>0.47826086956521741</v>
      </c>
      <c r="BE54" s="462">
        <v>0.29285714285714287</v>
      </c>
      <c r="BF54" s="456">
        <v>0.77976190476190477</v>
      </c>
      <c r="BG54" s="456">
        <v>0.36901408450704226</v>
      </c>
      <c r="BH54" s="456">
        <v>0.54838709677419351</v>
      </c>
      <c r="BI54" s="462">
        <v>1.304812834224599</v>
      </c>
      <c r="BJ54" s="456">
        <v>0.72350230414746541</v>
      </c>
      <c r="BK54" s="456">
        <v>0.40582959641255606</v>
      </c>
      <c r="BL54" s="456">
        <v>0.56382978723404253</v>
      </c>
      <c r="BM54" s="462">
        <v>0.97523219814241491</v>
      </c>
      <c r="BN54" s="456">
        <v>0.34375</v>
      </c>
      <c r="BO54" s="456">
        <v>-0.18</v>
      </c>
      <c r="BP54" s="456">
        <v>0.30799220272904482</v>
      </c>
      <c r="BQ54" s="462">
        <v>-0.89830508474576276</v>
      </c>
      <c r="BR54" s="456">
        <v>0.50724637681159424</v>
      </c>
      <c r="BS54" s="456">
        <v>0.60396039603960394</v>
      </c>
      <c r="BT54" s="456">
        <v>6.1538461538461542E-2</v>
      </c>
      <c r="BU54" s="462">
        <v>0.85263157894736841</v>
      </c>
      <c r="BV54" s="456">
        <v>0.25853658536585367</v>
      </c>
      <c r="BW54" s="456">
        <v>0.50117647058823533</v>
      </c>
      <c r="BX54" s="456">
        <v>0.56271186440677967</v>
      </c>
      <c r="BY54" s="462">
        <v>0.45808383233532934</v>
      </c>
      <c r="BZ54" s="456">
        <v>0.375</v>
      </c>
      <c r="CA54" s="456">
        <v>0.60732984293193715</v>
      </c>
      <c r="CB54" s="456">
        <v>0.1875</v>
      </c>
      <c r="CC54" s="462">
        <v>-0.14009661835748793</v>
      </c>
      <c r="CD54" s="456">
        <v>0.23936170212765959</v>
      </c>
      <c r="CE54" s="456">
        <v>2.4848484848484849</v>
      </c>
      <c r="CF54" s="456">
        <v>0.53688524590163933</v>
      </c>
      <c r="CG54" s="462">
        <v>1.4375</v>
      </c>
      <c r="CH54" s="456">
        <v>0.74603174603174605</v>
      </c>
      <c r="CI54" s="456">
        <v>0.4550561797752809</v>
      </c>
      <c r="CJ54" s="456">
        <v>0.44594594594594594</v>
      </c>
      <c r="CK54" s="462">
        <v>0.32283464566929132</v>
      </c>
      <c r="CL54" s="456">
        <v>0.88257575757575757</v>
      </c>
      <c r="CM54" s="456">
        <v>0.74856486796785304</v>
      </c>
      <c r="CN54" s="456">
        <v>0.73598553345388784</v>
      </c>
      <c r="CO54" s="462">
        <v>-4.9562682215743441E-2</v>
      </c>
      <c r="CP54" s="463">
        <v>0.56617647058823528</v>
      </c>
      <c r="CQ54" s="456">
        <v>1.4331210191082802</v>
      </c>
      <c r="CR54" s="456">
        <v>9.556313993174062E-2</v>
      </c>
      <c r="CS54" s="462">
        <v>-0.73579090151750504</v>
      </c>
      <c r="CT54" s="463">
        <v>0.64511519368805548</v>
      </c>
      <c r="CU54" s="456">
        <v>0.68021346423120055</v>
      </c>
      <c r="CV54" s="456">
        <v>2.2007736244459664</v>
      </c>
      <c r="CW54" s="462">
        <v>0.35021106608259667</v>
      </c>
      <c r="CX54" s="369"/>
      <c r="CY54" s="369"/>
      <c r="CZ54" s="369"/>
      <c r="DA54" s="371"/>
      <c r="DB54" s="369"/>
      <c r="DC54" s="369"/>
      <c r="DD54" s="369"/>
      <c r="DE54" s="371"/>
      <c r="DF54" s="369"/>
      <c r="DG54" s="369"/>
      <c r="DH54" s="369"/>
      <c r="DI54" s="371"/>
      <c r="DJ54" s="374"/>
      <c r="DK54" s="375"/>
      <c r="DL54" s="369"/>
      <c r="DM54" s="369"/>
      <c r="DN54" s="369"/>
      <c r="DO54" s="369"/>
      <c r="DP54" s="369"/>
      <c r="DQ54" s="369"/>
      <c r="DR54" s="369"/>
      <c r="DS54" s="456">
        <v>0.30951101558301986</v>
      </c>
      <c r="DT54" s="456">
        <v>0.40740740740740738</v>
      </c>
      <c r="DU54" s="456">
        <v>-0.44444444444444442</v>
      </c>
      <c r="DV54" s="456">
        <v>0.2012779552715655</v>
      </c>
      <c r="DW54" s="456">
        <v>0.62650602409638556</v>
      </c>
      <c r="DX54" s="456">
        <v>0.60681114551083593</v>
      </c>
      <c r="DY54" s="456">
        <v>0.40466101694915252</v>
      </c>
      <c r="DZ54" s="456">
        <v>0.32642487046632124</v>
      </c>
      <c r="EA54" s="456">
        <v>0.48711470439615967</v>
      </c>
      <c r="EB54" s="456">
        <v>2.4305555555555556E-2</v>
      </c>
      <c r="EC54" s="456">
        <v>0.97701149425287359</v>
      </c>
      <c r="ED54" s="456">
        <v>0.47314285714285714</v>
      </c>
      <c r="EE54" s="456">
        <v>0.65583456425406206</v>
      </c>
      <c r="EF54" s="456">
        <v>0.66645419922222637</v>
      </c>
      <c r="EG54" s="456">
        <v>-6.4081205617626766</v>
      </c>
      <c r="EH54" s="456">
        <v>0.56810900320988444</v>
      </c>
      <c r="EI54" s="456">
        <v>0.4816450576553637</v>
      </c>
      <c r="EJ54" s="456">
        <v>0.87324054364155379</v>
      </c>
      <c r="EK54" s="456">
        <v>0.73822333656899664</v>
      </c>
      <c r="EL54" s="456">
        <v>0.80705933735736213</v>
      </c>
      <c r="EM54" s="456">
        <v>0.99139467359900835</v>
      </c>
      <c r="EN54" s="456">
        <v>1.2582912800876811</v>
      </c>
      <c r="EO54" s="456">
        <v>0.76242321484038167</v>
      </c>
      <c r="EP54" s="375"/>
      <c r="EQ54" s="369"/>
    </row>
    <row r="55" spans="1:147" s="377" customFormat="1" ht="15" customHeight="1" outlineLevel="3">
      <c r="A55" s="368"/>
      <c r="B55"/>
      <c r="C55"/>
      <c r="D55"/>
      <c r="E55"/>
      <c r="F55"/>
      <c r="G55"/>
      <c r="H55" s="369"/>
      <c r="I55" s="379"/>
      <c r="J55" s="369"/>
      <c r="K55" s="369"/>
      <c r="L55" s="369"/>
      <c r="M55" s="371"/>
      <c r="N55" s="369"/>
      <c r="O55" s="369"/>
      <c r="P55" s="369"/>
      <c r="Q55" s="371"/>
      <c r="R55" s="369"/>
      <c r="S55" s="369"/>
      <c r="T55" s="369"/>
      <c r="U55" s="371"/>
      <c r="V55" s="369"/>
      <c r="W55" s="369"/>
      <c r="X55" s="369"/>
      <c r="Y55" s="371"/>
      <c r="Z55" s="369"/>
      <c r="AA55" s="369"/>
      <c r="AB55" s="369"/>
      <c r="AC55" s="371"/>
      <c r="AD55" s="369"/>
      <c r="AE55" s="369"/>
      <c r="AF55" s="369"/>
      <c r="AG55" s="371"/>
      <c r="AH55" s="369"/>
      <c r="AI55" s="369"/>
      <c r="AJ55" s="369"/>
      <c r="AK55" s="371"/>
      <c r="AL55" s="369"/>
      <c r="AM55" s="369"/>
      <c r="AN55" s="369"/>
      <c r="AO55" s="371"/>
      <c r="AP55" s="369"/>
      <c r="AQ55" s="369"/>
      <c r="AR55" s="369"/>
      <c r="AS55" s="371"/>
      <c r="AT55" s="448"/>
      <c r="AU55" s="448"/>
      <c r="AV55" s="448"/>
      <c r="AW55" s="449"/>
      <c r="AX55" s="448"/>
      <c r="AY55" s="448"/>
      <c r="AZ55" s="448"/>
      <c r="BA55" s="449"/>
      <c r="BB55" s="448"/>
      <c r="BC55" s="448"/>
      <c r="BD55" s="448"/>
      <c r="BE55" s="449"/>
      <c r="BF55" s="448"/>
      <c r="BG55" s="448"/>
      <c r="BH55" s="448"/>
      <c r="BI55" s="449"/>
      <c r="BJ55" s="448"/>
      <c r="BK55" s="448"/>
      <c r="BL55" s="448"/>
      <c r="BM55" s="449"/>
      <c r="BN55" s="448"/>
      <c r="BO55" s="448"/>
      <c r="BP55" s="448"/>
      <c r="BQ55" s="449"/>
      <c r="BR55" s="448"/>
      <c r="BS55" s="448"/>
      <c r="BT55" s="448"/>
      <c r="BU55" s="449"/>
      <c r="BV55" s="448"/>
      <c r="BW55" s="448"/>
      <c r="BX55" s="448"/>
      <c r="BY55" s="449"/>
      <c r="BZ55" s="448"/>
      <c r="CA55" s="448"/>
      <c r="CB55" s="448"/>
      <c r="CC55" s="449"/>
      <c r="CD55" s="448"/>
      <c r="CE55" s="448"/>
      <c r="CF55" s="448"/>
      <c r="CG55" s="449"/>
      <c r="CH55" s="448"/>
      <c r="CI55" s="448"/>
      <c r="CJ55" s="448"/>
      <c r="CK55" s="449"/>
      <c r="CL55" s="448"/>
      <c r="CM55" s="448"/>
      <c r="CN55" s="448"/>
      <c r="CO55" s="449"/>
      <c r="CP55" s="450"/>
      <c r="CQ55" s="448"/>
      <c r="CR55" s="448"/>
      <c r="CS55" s="449"/>
      <c r="CT55" s="450"/>
      <c r="CU55" s="448"/>
      <c r="CV55" s="448"/>
      <c r="CW55" s="449"/>
      <c r="CX55" s="369"/>
      <c r="CY55" s="369"/>
      <c r="CZ55" s="369"/>
      <c r="DA55" s="371"/>
      <c r="DB55" s="369"/>
      <c r="DC55" s="369"/>
      <c r="DD55" s="369"/>
      <c r="DE55" s="371"/>
      <c r="DF55" s="369"/>
      <c r="DG55" s="369"/>
      <c r="DH55" s="369"/>
      <c r="DI55" s="371"/>
      <c r="DJ55" s="374"/>
      <c r="DK55" s="375"/>
      <c r="DL55" s="369"/>
      <c r="DM55" s="369"/>
      <c r="DN55" s="369"/>
      <c r="DO55" s="369"/>
      <c r="DP55" s="369"/>
      <c r="DQ55" s="369"/>
      <c r="DR55" s="369"/>
      <c r="DS55" s="461"/>
      <c r="DT55" s="461"/>
      <c r="DU55" s="461"/>
      <c r="DV55" s="448"/>
      <c r="DW55" s="448"/>
      <c r="DX55" s="448"/>
      <c r="DY55" s="448"/>
      <c r="DZ55" s="448"/>
      <c r="EA55" s="448"/>
      <c r="EB55" s="448"/>
      <c r="EC55" s="448"/>
      <c r="ED55" s="448"/>
      <c r="EE55" s="448"/>
      <c r="EF55" s="448"/>
      <c r="EG55" s="448"/>
      <c r="EH55" s="448"/>
      <c r="EI55" s="448"/>
      <c r="EJ55" s="448"/>
      <c r="EK55" s="448"/>
      <c r="EL55" s="448"/>
      <c r="EM55" s="448"/>
      <c r="EN55" s="448"/>
      <c r="EO55" s="448"/>
      <c r="EP55" s="375"/>
      <c r="EQ55" s="369"/>
    </row>
    <row r="56" spans="1:147" s="377" customFormat="1" ht="15" customHeight="1" outlineLevel="3">
      <c r="A56" s="368"/>
      <c r="B56"/>
      <c r="C56"/>
      <c r="D56"/>
      <c r="E56"/>
      <c r="F56"/>
      <c r="G56"/>
      <c r="H56" s="369"/>
      <c r="I56" s="379" t="s">
        <v>1503</v>
      </c>
      <c r="J56" s="369"/>
      <c r="K56" s="369"/>
      <c r="L56" s="369"/>
      <c r="M56" s="371"/>
      <c r="N56" s="369"/>
      <c r="O56" s="369"/>
      <c r="P56" s="369"/>
      <c r="Q56" s="371"/>
      <c r="R56" s="369"/>
      <c r="S56" s="369"/>
      <c r="T56" s="369"/>
      <c r="U56" s="371"/>
      <c r="V56" s="369"/>
      <c r="W56" s="369"/>
      <c r="X56" s="369"/>
      <c r="Y56" s="371"/>
      <c r="Z56" s="369"/>
      <c r="AA56" s="369"/>
      <c r="AB56" s="369"/>
      <c r="AC56" s="371"/>
      <c r="AD56" s="369"/>
      <c r="AE56" s="369"/>
      <c r="AF56" s="369"/>
      <c r="AG56" s="371"/>
      <c r="AH56" s="369"/>
      <c r="AI56" s="369"/>
      <c r="AJ56" s="369"/>
      <c r="AK56" s="371"/>
      <c r="AL56" s="369"/>
      <c r="AM56" s="369"/>
      <c r="AN56" s="369"/>
      <c r="AO56" s="371"/>
      <c r="AP56" s="369"/>
      <c r="AQ56" s="369"/>
      <c r="AR56" s="369"/>
      <c r="AS56" s="371"/>
      <c r="AT56" s="448">
        <v>111</v>
      </c>
      <c r="AU56" s="448">
        <v>112</v>
      </c>
      <c r="AV56" s="448">
        <v>55</v>
      </c>
      <c r="AW56" s="449">
        <v>1030</v>
      </c>
      <c r="AX56" s="448">
        <v>116</v>
      </c>
      <c r="AY56" s="448">
        <v>72</v>
      </c>
      <c r="AZ56" s="448">
        <v>148</v>
      </c>
      <c r="BA56" s="449">
        <v>655</v>
      </c>
      <c r="BB56" s="448">
        <v>156</v>
      </c>
      <c r="BC56" s="448">
        <v>118</v>
      </c>
      <c r="BD56" s="448">
        <v>87</v>
      </c>
      <c r="BE56" s="449">
        <v>725</v>
      </c>
      <c r="BF56" s="448">
        <v>67</v>
      </c>
      <c r="BG56" s="448">
        <v>224</v>
      </c>
      <c r="BH56" s="448">
        <v>168</v>
      </c>
      <c r="BI56" s="449">
        <v>891</v>
      </c>
      <c r="BJ56" s="448">
        <v>199</v>
      </c>
      <c r="BK56" s="448">
        <v>90</v>
      </c>
      <c r="BL56" s="448">
        <v>90</v>
      </c>
      <c r="BM56" s="449">
        <v>621</v>
      </c>
      <c r="BN56" s="448">
        <v>141</v>
      </c>
      <c r="BO56" s="448">
        <v>45</v>
      </c>
      <c r="BP56" s="448">
        <v>173</v>
      </c>
      <c r="BQ56" s="449">
        <v>698</v>
      </c>
      <c r="BR56" s="448">
        <v>116</v>
      </c>
      <c r="BS56" s="448">
        <v>93</v>
      </c>
      <c r="BT56" s="448">
        <v>158</v>
      </c>
      <c r="BU56" s="449">
        <v>622</v>
      </c>
      <c r="BV56" s="448">
        <v>173</v>
      </c>
      <c r="BW56" s="448">
        <v>404</v>
      </c>
      <c r="BX56" s="448">
        <v>396</v>
      </c>
      <c r="BY56" s="449">
        <v>696</v>
      </c>
      <c r="BZ56" s="448">
        <v>236</v>
      </c>
      <c r="CA56" s="448">
        <v>331</v>
      </c>
      <c r="CB56" s="448">
        <v>458</v>
      </c>
      <c r="CC56" s="449">
        <v>722</v>
      </c>
      <c r="CD56" s="448">
        <v>296</v>
      </c>
      <c r="CE56" s="448">
        <v>314</v>
      </c>
      <c r="CF56" s="448">
        <v>399</v>
      </c>
      <c r="CG56" s="449">
        <v>995</v>
      </c>
      <c r="CH56" s="448">
        <v>242</v>
      </c>
      <c r="CI56" s="448">
        <v>293</v>
      </c>
      <c r="CJ56" s="448">
        <v>247</v>
      </c>
      <c r="CK56" s="449">
        <v>958</v>
      </c>
      <c r="CL56" s="448">
        <v>450</v>
      </c>
      <c r="CM56" s="448">
        <v>756</v>
      </c>
      <c r="CN56" s="448">
        <v>553</v>
      </c>
      <c r="CO56" s="449">
        <v>943</v>
      </c>
      <c r="CP56" s="450">
        <v>661</v>
      </c>
      <c r="CQ56" s="448">
        <v>712</v>
      </c>
      <c r="CR56" s="448">
        <v>567</v>
      </c>
      <c r="CS56" s="449">
        <v>1035.9257996131566</v>
      </c>
      <c r="CT56" s="450">
        <v>432.92906261218957</v>
      </c>
      <c r="CU56" s="448">
        <v>395.69706528527513</v>
      </c>
      <c r="CV56" s="448">
        <v>657.6650167975165</v>
      </c>
      <c r="CW56" s="449">
        <v>1232.2874591270529</v>
      </c>
      <c r="CX56" s="369"/>
      <c r="CY56" s="369"/>
      <c r="CZ56" s="369"/>
      <c r="DA56" s="371"/>
      <c r="DB56" s="369"/>
      <c r="DC56" s="369"/>
      <c r="DD56" s="369"/>
      <c r="DE56" s="371"/>
      <c r="DF56" s="369"/>
      <c r="DG56" s="369"/>
      <c r="DH56" s="369"/>
      <c r="DI56" s="371"/>
      <c r="DJ56" s="374"/>
      <c r="DK56" s="375"/>
      <c r="DL56" s="369"/>
      <c r="DM56" s="369"/>
      <c r="DN56" s="369"/>
      <c r="DO56" s="369"/>
      <c r="DP56" s="369"/>
      <c r="DQ56" s="369"/>
      <c r="DR56" s="369"/>
      <c r="DS56" s="461">
        <v>0</v>
      </c>
      <c r="DT56" s="461">
        <v>910</v>
      </c>
      <c r="DU56" s="461">
        <v>991</v>
      </c>
      <c r="DV56" s="448">
        <v>1086</v>
      </c>
      <c r="DW56" s="448">
        <v>1350</v>
      </c>
      <c r="DX56" s="448">
        <v>1000</v>
      </c>
      <c r="DY56" s="448">
        <v>1057</v>
      </c>
      <c r="DZ56" s="448">
        <v>989</v>
      </c>
      <c r="EA56" s="448">
        <v>1669</v>
      </c>
      <c r="EB56" s="448">
        <v>1747</v>
      </c>
      <c r="EC56" s="448">
        <v>2004</v>
      </c>
      <c r="ED56" s="448">
        <v>1740</v>
      </c>
      <c r="EE56" s="448">
        <v>2702</v>
      </c>
      <c r="EF56" s="448">
        <v>2975.9257996131573</v>
      </c>
      <c r="EG56" s="448">
        <v>2718.5786038220349</v>
      </c>
      <c r="EH56" s="448">
        <v>3489.4430103404784</v>
      </c>
      <c r="EI56" s="448">
        <v>3172.4291593063508</v>
      </c>
      <c r="EJ56" s="448">
        <v>2935.3707379866514</v>
      </c>
      <c r="EK56" s="448">
        <v>4222.6696075718519</v>
      </c>
      <c r="EL56" s="448">
        <v>3902.3471528728555</v>
      </c>
      <c r="EM56" s="448">
        <v>4016.778379626383</v>
      </c>
      <c r="EN56" s="448">
        <v>3929.2359700634893</v>
      </c>
      <c r="EO56" s="448">
        <v>4534.9454294454126</v>
      </c>
      <c r="EP56" s="375"/>
      <c r="EQ56" s="320">
        <v>4.0942276244360309E-2</v>
      </c>
    </row>
    <row r="57" spans="1:147" s="377" customFormat="1" ht="15" customHeight="1" outlineLevel="3">
      <c r="A57" s="368"/>
      <c r="B57"/>
      <c r="C57"/>
      <c r="D57"/>
      <c r="E57"/>
      <c r="F57"/>
      <c r="G57"/>
      <c r="H57" s="369"/>
      <c r="I57" s="464" t="s">
        <v>1504</v>
      </c>
      <c r="J57" s="465"/>
      <c r="K57" s="465"/>
      <c r="L57" s="465"/>
      <c r="M57" s="466"/>
      <c r="N57" s="465"/>
      <c r="O57" s="465"/>
      <c r="P57" s="465"/>
      <c r="Q57" s="466"/>
      <c r="R57" s="465"/>
      <c r="S57" s="465"/>
      <c r="T57" s="465"/>
      <c r="U57" s="466"/>
      <c r="V57" s="465"/>
      <c r="W57" s="465"/>
      <c r="X57" s="465"/>
      <c r="Y57" s="466"/>
      <c r="Z57" s="465"/>
      <c r="AA57" s="465"/>
      <c r="AB57" s="465"/>
      <c r="AC57" s="466"/>
      <c r="AD57" s="465"/>
      <c r="AE57" s="465"/>
      <c r="AF57" s="465"/>
      <c r="AG57" s="466"/>
      <c r="AH57" s="465"/>
      <c r="AI57" s="465"/>
      <c r="AJ57" s="465"/>
      <c r="AK57" s="466"/>
      <c r="AL57" s="465"/>
      <c r="AM57" s="465"/>
      <c r="AN57" s="465"/>
      <c r="AO57" s="466"/>
      <c r="AP57" s="465"/>
      <c r="AQ57" s="465"/>
      <c r="AR57" s="465"/>
      <c r="AS57" s="466"/>
      <c r="AT57" s="467">
        <v>245</v>
      </c>
      <c r="AU57" s="467">
        <v>257</v>
      </c>
      <c r="AV57" s="467">
        <v>50</v>
      </c>
      <c r="AW57" s="468">
        <v>306</v>
      </c>
      <c r="AX57" s="467">
        <v>424</v>
      </c>
      <c r="AY57" s="467">
        <v>237</v>
      </c>
      <c r="AZ57" s="467">
        <v>67</v>
      </c>
      <c r="BA57" s="468">
        <v>27</v>
      </c>
      <c r="BB57" s="467">
        <v>537</v>
      </c>
      <c r="BC57" s="467">
        <v>356</v>
      </c>
      <c r="BD57" s="467">
        <v>168</v>
      </c>
      <c r="BE57" s="468">
        <v>176</v>
      </c>
      <c r="BF57" s="467">
        <v>402</v>
      </c>
      <c r="BG57" s="467">
        <v>207</v>
      </c>
      <c r="BH57" s="467">
        <v>251</v>
      </c>
      <c r="BI57" s="468">
        <v>406</v>
      </c>
      <c r="BJ57" s="467">
        <v>476</v>
      </c>
      <c r="BK57" s="467">
        <v>341</v>
      </c>
      <c r="BL57" s="467">
        <v>113</v>
      </c>
      <c r="BM57" s="468">
        <v>220</v>
      </c>
      <c r="BN57" s="467">
        <v>312</v>
      </c>
      <c r="BO57" s="467">
        <v>219</v>
      </c>
      <c r="BP57" s="467">
        <v>40</v>
      </c>
      <c r="BQ57" s="468">
        <v>349</v>
      </c>
      <c r="BR57" s="467">
        <v>411</v>
      </c>
      <c r="BS57" s="467">
        <v>229</v>
      </c>
      <c r="BT57" s="467">
        <v>147</v>
      </c>
      <c r="BU57" s="468">
        <v>184</v>
      </c>
      <c r="BV57" s="467">
        <v>441</v>
      </c>
      <c r="BW57" s="467">
        <v>341</v>
      </c>
      <c r="BX57" s="467">
        <v>370</v>
      </c>
      <c r="BY57" s="468">
        <v>496</v>
      </c>
      <c r="BZ57" s="467">
        <v>546</v>
      </c>
      <c r="CA57" s="467">
        <v>417</v>
      </c>
      <c r="CB57" s="467">
        <v>358</v>
      </c>
      <c r="CC57" s="468">
        <v>375</v>
      </c>
      <c r="CD57" s="467">
        <v>605</v>
      </c>
      <c r="CE57" s="467">
        <v>473</v>
      </c>
      <c r="CF57" s="467">
        <v>325</v>
      </c>
      <c r="CG57" s="468">
        <v>697</v>
      </c>
      <c r="CH57" s="467">
        <v>603</v>
      </c>
      <c r="CI57" s="467">
        <v>408</v>
      </c>
      <c r="CJ57" s="467">
        <v>295</v>
      </c>
      <c r="CK57" s="468">
        <v>482</v>
      </c>
      <c r="CL57" s="467">
        <v>591</v>
      </c>
      <c r="CM57" s="467">
        <v>631</v>
      </c>
      <c r="CN57" s="467">
        <v>683</v>
      </c>
      <c r="CO57" s="468">
        <v>590</v>
      </c>
      <c r="CP57" s="469">
        <v>768</v>
      </c>
      <c r="CQ57" s="467">
        <v>941</v>
      </c>
      <c r="CR57" s="467">
        <v>700</v>
      </c>
      <c r="CS57" s="468">
        <v>1041.4557996131566</v>
      </c>
      <c r="CT57" s="469">
        <v>433.48206261218957</v>
      </c>
      <c r="CU57" s="467">
        <v>396.25006528527513</v>
      </c>
      <c r="CV57" s="467">
        <v>658.2180167975165</v>
      </c>
      <c r="CW57" s="468">
        <v>1232.840459127053</v>
      </c>
      <c r="CX57" s="465"/>
      <c r="CY57" s="465"/>
      <c r="CZ57" s="465"/>
      <c r="DA57" s="466"/>
      <c r="DB57" s="465"/>
      <c r="DC57" s="465"/>
      <c r="DD57" s="465"/>
      <c r="DE57" s="466"/>
      <c r="DF57" s="465"/>
      <c r="DG57" s="465"/>
      <c r="DH57" s="465"/>
      <c r="DI57" s="466"/>
      <c r="DJ57" s="470"/>
      <c r="DK57" s="471"/>
      <c r="DL57" s="465"/>
      <c r="DM57" s="465"/>
      <c r="DN57" s="465"/>
      <c r="DO57" s="465"/>
      <c r="DP57" s="465"/>
      <c r="DQ57" s="465"/>
      <c r="DR57" s="465"/>
      <c r="DS57" s="467">
        <v>-107</v>
      </c>
      <c r="DT57" s="467">
        <v>631</v>
      </c>
      <c r="DU57" s="467">
        <v>755</v>
      </c>
      <c r="DV57" s="467">
        <v>1237</v>
      </c>
      <c r="DW57" s="467">
        <v>1266</v>
      </c>
      <c r="DX57" s="467">
        <v>1150</v>
      </c>
      <c r="DY57" s="467">
        <v>920</v>
      </c>
      <c r="DZ57" s="467">
        <v>971</v>
      </c>
      <c r="EA57" s="467">
        <v>1648</v>
      </c>
      <c r="EB57" s="467">
        <v>1696</v>
      </c>
      <c r="EC57" s="467">
        <v>2100</v>
      </c>
      <c r="ED57" s="467">
        <v>1788</v>
      </c>
      <c r="EE57" s="467">
        <v>2495</v>
      </c>
      <c r="EF57" s="467">
        <v>3450.4557996131575</v>
      </c>
      <c r="EG57" s="467">
        <v>2720.7906038220349</v>
      </c>
      <c r="EH57" s="467">
        <v>3408.4313610367949</v>
      </c>
      <c r="EI57" s="467">
        <v>3214.4976509560997</v>
      </c>
      <c r="EJ57" s="467">
        <v>2952.4632278899235</v>
      </c>
      <c r="EK57" s="467">
        <v>4186.9986104951104</v>
      </c>
      <c r="EL57" s="467">
        <v>3925.6660432372341</v>
      </c>
      <c r="EM57" s="467">
        <v>4010.6444644476342</v>
      </c>
      <c r="EN57" s="467">
        <v>3932.8028765463814</v>
      </c>
      <c r="EO57" s="468">
        <v>4494.1976224882164</v>
      </c>
      <c r="EP57" s="375"/>
      <c r="EQ57" s="320">
        <v>6.5394966696822321E-2</v>
      </c>
    </row>
    <row r="58" spans="1:147" s="390" customFormat="1" ht="15" customHeight="1" outlineLevel="3">
      <c r="A58" s="385"/>
      <c r="B58"/>
      <c r="C58"/>
      <c r="D58"/>
      <c r="E58"/>
      <c r="F58"/>
      <c r="G58"/>
      <c r="H58" s="386"/>
      <c r="I58" s="378"/>
      <c r="J58" s="386"/>
      <c r="K58" s="386"/>
      <c r="L58" s="386"/>
      <c r="M58" s="388"/>
      <c r="N58" s="386"/>
      <c r="O58" s="386"/>
      <c r="P58" s="386"/>
      <c r="Q58" s="388"/>
      <c r="R58" s="386"/>
      <c r="S58" s="386"/>
      <c r="T58" s="386"/>
      <c r="U58" s="388"/>
      <c r="V58" s="386"/>
      <c r="W58" s="386"/>
      <c r="X58" s="386"/>
      <c r="Y58" s="388"/>
      <c r="Z58" s="386"/>
      <c r="AA58" s="386"/>
      <c r="AB58" s="386"/>
      <c r="AC58" s="388"/>
      <c r="AD58" s="386"/>
      <c r="AE58" s="386"/>
      <c r="AF58" s="386"/>
      <c r="AG58" s="388"/>
      <c r="AH58" s="386"/>
      <c r="AI58" s="386"/>
      <c r="AJ58" s="386"/>
      <c r="AK58" s="388"/>
      <c r="AL58" s="386"/>
      <c r="AM58" s="386"/>
      <c r="AN58" s="386"/>
      <c r="AO58" s="388"/>
      <c r="AP58" s="386"/>
      <c r="AQ58" s="386"/>
      <c r="AR58" s="386"/>
      <c r="AS58" s="388"/>
      <c r="AT58" s="386"/>
      <c r="AU58" s="386"/>
      <c r="AV58" s="386"/>
      <c r="AW58" s="388"/>
      <c r="AX58" s="472"/>
      <c r="AY58" s="386"/>
      <c r="AZ58" s="386"/>
      <c r="BA58" s="388"/>
      <c r="BB58" s="386"/>
      <c r="BC58" s="386"/>
      <c r="BD58" s="386"/>
      <c r="BE58" s="388"/>
      <c r="BF58" s="386"/>
      <c r="BG58" s="386"/>
      <c r="BH58" s="386"/>
      <c r="BI58" s="388"/>
      <c r="BJ58" s="386"/>
      <c r="BK58" s="386"/>
      <c r="BL58" s="386"/>
      <c r="BM58" s="388"/>
      <c r="BN58" s="386"/>
      <c r="BO58" s="386"/>
      <c r="BP58" s="386"/>
      <c r="BQ58" s="388"/>
      <c r="BR58" s="386"/>
      <c r="BS58" s="386"/>
      <c r="BT58" s="386"/>
      <c r="BU58" s="388"/>
      <c r="BV58" s="386"/>
      <c r="BW58" s="386"/>
      <c r="BX58" s="386"/>
      <c r="BY58" s="388"/>
      <c r="BZ58" s="386"/>
      <c r="CA58" s="386"/>
      <c r="CB58" s="386"/>
      <c r="CC58" s="388"/>
      <c r="CD58" s="386"/>
      <c r="CE58" s="386"/>
      <c r="CF58" s="386"/>
      <c r="CG58" s="388"/>
      <c r="CH58" s="386"/>
      <c r="CI58" s="386"/>
      <c r="CJ58" s="386"/>
      <c r="CK58" s="388"/>
      <c r="CL58" s="386"/>
      <c r="CM58" s="386"/>
      <c r="CN58" s="386"/>
      <c r="CO58" s="388"/>
      <c r="CP58" s="389"/>
      <c r="CQ58" s="386"/>
      <c r="CR58" s="386"/>
      <c r="CS58" s="388"/>
      <c r="CT58" s="389"/>
      <c r="CU58" s="386"/>
      <c r="CV58" s="386"/>
      <c r="CW58" s="388"/>
      <c r="CX58" s="386"/>
      <c r="CY58" s="386"/>
      <c r="CZ58" s="386"/>
      <c r="DA58" s="388"/>
      <c r="DB58" s="386"/>
      <c r="DC58" s="386"/>
      <c r="DD58" s="386"/>
      <c r="DE58" s="388"/>
      <c r="DF58" s="386"/>
      <c r="DG58" s="386"/>
      <c r="DH58" s="386"/>
      <c r="DI58" s="388"/>
      <c r="DJ58" s="454"/>
      <c r="DK58" s="389"/>
      <c r="DL58" s="386"/>
      <c r="DM58" s="386"/>
      <c r="DN58" s="386"/>
      <c r="DO58" s="386"/>
      <c r="DP58" s="386"/>
      <c r="DQ58" s="386"/>
      <c r="DR58" s="386"/>
      <c r="DS58" s="386"/>
      <c r="DT58" s="386"/>
      <c r="DU58" s="386"/>
      <c r="DV58" s="386"/>
      <c r="DW58" s="386"/>
      <c r="DX58" s="386"/>
      <c r="DY58" s="386"/>
      <c r="DZ58" s="386"/>
      <c r="EA58" s="386"/>
      <c r="EB58" s="386"/>
      <c r="EC58" s="386"/>
      <c r="ED58" s="386"/>
      <c r="EE58" s="386"/>
      <c r="EF58" s="386"/>
      <c r="EG58" s="386"/>
      <c r="EH58" s="386"/>
      <c r="EI58" s="386"/>
      <c r="EJ58" s="386"/>
      <c r="EK58" s="386"/>
      <c r="EL58" s="386"/>
      <c r="EM58" s="386"/>
      <c r="EN58" s="386"/>
      <c r="EO58" s="386"/>
      <c r="EP58" s="389"/>
      <c r="EQ58" s="386"/>
    </row>
    <row r="59" spans="1:147" ht="15" customHeight="1" outlineLevel="2">
      <c r="A59" s="473"/>
      <c r="H59" s="474" t="s">
        <v>1468</v>
      </c>
      <c r="I59" s="475" t="s">
        <v>1505</v>
      </c>
      <c r="J59" s="356"/>
      <c r="K59" s="476"/>
      <c r="L59" s="356"/>
      <c r="M59" s="477"/>
      <c r="N59" s="356"/>
      <c r="O59" s="476"/>
      <c r="P59" s="356"/>
      <c r="Q59" s="477"/>
      <c r="R59" s="356"/>
      <c r="S59" s="476"/>
      <c r="T59" s="356"/>
      <c r="U59" s="477"/>
      <c r="V59" s="356"/>
      <c r="W59" s="476"/>
      <c r="X59" s="356"/>
      <c r="Y59" s="477"/>
      <c r="Z59" s="356"/>
      <c r="AA59" s="476"/>
      <c r="AB59" s="356"/>
      <c r="AC59" s="477"/>
      <c r="AD59" s="356"/>
      <c r="AE59" s="476"/>
      <c r="AF59" s="356"/>
      <c r="AG59" s="477"/>
      <c r="AH59" s="356"/>
      <c r="AI59" s="476"/>
      <c r="AJ59" s="356"/>
      <c r="AK59" s="477"/>
      <c r="AL59" s="356"/>
      <c r="AM59" s="476"/>
      <c r="AN59" s="356"/>
      <c r="AO59" s="477"/>
      <c r="AP59" s="356"/>
      <c r="AQ59" s="476"/>
      <c r="AR59" s="356"/>
      <c r="AS59" s="478"/>
      <c r="AT59" s="479"/>
      <c r="AU59" s="479"/>
      <c r="AV59" s="479"/>
      <c r="AW59" s="478"/>
      <c r="AX59" s="479"/>
      <c r="AY59" s="479"/>
      <c r="AZ59" s="479"/>
      <c r="BA59" s="478"/>
      <c r="BB59" s="479"/>
      <c r="BC59" s="479"/>
      <c r="BD59" s="479"/>
      <c r="BE59" s="478"/>
      <c r="BF59" s="479"/>
      <c r="BG59" s="479"/>
      <c r="BH59" s="479"/>
      <c r="BI59" s="478"/>
      <c r="BJ59" s="479"/>
      <c r="BK59" s="479"/>
      <c r="BL59" s="479"/>
      <c r="BM59" s="478"/>
      <c r="BN59" s="325"/>
      <c r="BO59" s="325"/>
      <c r="BP59" s="356"/>
      <c r="BQ59" s="372"/>
      <c r="BR59" s="325"/>
      <c r="BS59" s="325"/>
      <c r="BT59" s="356"/>
      <c r="BU59" s="477"/>
      <c r="BV59" s="356"/>
      <c r="BW59" s="356"/>
      <c r="BX59" s="356"/>
      <c r="BY59" s="477"/>
      <c r="BZ59" s="356"/>
      <c r="CA59" s="356"/>
      <c r="CB59" s="356"/>
      <c r="CC59" s="477"/>
      <c r="CD59" s="356"/>
      <c r="CE59" s="356"/>
      <c r="CF59" s="356"/>
      <c r="CG59" s="477"/>
      <c r="CH59" s="356"/>
      <c r="CI59" s="356"/>
      <c r="CJ59" s="356"/>
      <c r="CK59" s="477"/>
      <c r="CL59" s="356"/>
      <c r="CM59" s="356"/>
      <c r="CN59" s="356"/>
      <c r="CO59" s="477"/>
      <c r="CP59" s="355"/>
      <c r="CQ59" s="356"/>
      <c r="CR59" s="356"/>
      <c r="CS59" s="477"/>
      <c r="CT59" s="355"/>
      <c r="CU59" s="356"/>
      <c r="CV59" s="356"/>
      <c r="CW59" s="477"/>
      <c r="CX59" s="356"/>
      <c r="CY59" s="356"/>
      <c r="CZ59" s="356"/>
      <c r="DA59" s="477"/>
      <c r="DB59" s="356"/>
      <c r="DC59" s="356"/>
      <c r="DD59" s="356"/>
      <c r="DE59" s="477"/>
      <c r="DF59" s="356"/>
      <c r="DG59" s="356"/>
      <c r="DH59" s="356"/>
      <c r="DI59" s="477"/>
      <c r="DJ59" s="480"/>
      <c r="DK59" s="355"/>
      <c r="DL59" s="356"/>
      <c r="DM59" s="356"/>
      <c r="DN59" s="356"/>
      <c r="DO59" s="356"/>
      <c r="DP59" s="356"/>
      <c r="DQ59" s="356"/>
      <c r="DR59" s="356"/>
      <c r="DS59" s="481"/>
      <c r="DT59" s="481"/>
      <c r="DU59" s="481"/>
      <c r="DV59" s="356"/>
      <c r="DW59" s="356"/>
      <c r="DX59" s="356"/>
      <c r="DY59" s="356"/>
      <c r="DZ59" s="356"/>
      <c r="EA59" s="356"/>
      <c r="EB59" s="356"/>
      <c r="EC59" s="356"/>
      <c r="ED59" s="356"/>
      <c r="EE59" s="356"/>
      <c r="EF59" s="356"/>
      <c r="EG59" s="356"/>
      <c r="EH59" s="356"/>
      <c r="EI59" s="356"/>
      <c r="EJ59" s="356"/>
      <c r="EK59" s="356"/>
      <c r="EL59" s="356"/>
      <c r="EM59" s="356"/>
      <c r="EN59" s="356"/>
      <c r="EO59" s="356"/>
      <c r="EP59" s="355"/>
      <c r="EQ59" s="356"/>
    </row>
    <row r="60" spans="1:147" s="390" customFormat="1" ht="15" customHeight="1" outlineLevel="2">
      <c r="A60" s="385"/>
      <c r="B60"/>
      <c r="C60"/>
      <c r="D60"/>
      <c r="E60"/>
      <c r="F60"/>
      <c r="G60"/>
      <c r="H60" s="386"/>
      <c r="I60" s="378" t="s">
        <v>295</v>
      </c>
      <c r="J60" s="386"/>
      <c r="K60" s="386"/>
      <c r="L60" s="386"/>
      <c r="M60" s="388"/>
      <c r="N60" s="386"/>
      <c r="O60" s="386"/>
      <c r="P60" s="386"/>
      <c r="Q60" s="388"/>
      <c r="R60" s="386"/>
      <c r="S60" s="386"/>
      <c r="T60" s="386"/>
      <c r="U60" s="388"/>
      <c r="V60" s="386"/>
      <c r="W60" s="386"/>
      <c r="X60" s="386"/>
      <c r="Y60" s="388"/>
      <c r="Z60" s="386"/>
      <c r="AA60" s="386"/>
      <c r="AB60" s="386"/>
      <c r="AC60" s="388"/>
      <c r="AD60" s="386"/>
      <c r="AE60" s="386"/>
      <c r="AF60" s="386"/>
      <c r="AG60" s="388"/>
      <c r="AH60" s="386"/>
      <c r="AI60" s="386"/>
      <c r="AJ60" s="386"/>
      <c r="AK60" s="388"/>
      <c r="AL60" s="386"/>
      <c r="AM60" s="386"/>
      <c r="AN60" s="386"/>
      <c r="AO60" s="388"/>
      <c r="AP60" s="386"/>
      <c r="AQ60" s="386"/>
      <c r="AR60" s="386"/>
      <c r="AS60" s="478"/>
      <c r="AT60" s="479">
        <v>189</v>
      </c>
      <c r="AU60" s="479">
        <v>195</v>
      </c>
      <c r="AV60" s="479">
        <v>15</v>
      </c>
      <c r="AW60" s="478">
        <v>-286</v>
      </c>
      <c r="AX60" s="479">
        <v>381</v>
      </c>
      <c r="AY60" s="479">
        <v>219</v>
      </c>
      <c r="AZ60" s="479">
        <v>51</v>
      </c>
      <c r="BA60" s="478">
        <v>-233</v>
      </c>
      <c r="BB60" s="483">
        <v>503</v>
      </c>
      <c r="BC60" s="483">
        <v>335</v>
      </c>
      <c r="BD60" s="483">
        <v>148</v>
      </c>
      <c r="BE60" s="484">
        <v>99</v>
      </c>
      <c r="BF60" s="483">
        <v>384</v>
      </c>
      <c r="BG60" s="483">
        <v>185</v>
      </c>
      <c r="BH60" s="483">
        <v>226</v>
      </c>
      <c r="BI60" s="484">
        <v>354</v>
      </c>
      <c r="BJ60" s="483">
        <v>456</v>
      </c>
      <c r="BK60" s="483">
        <v>324</v>
      </c>
      <c r="BL60" s="483">
        <v>56</v>
      </c>
      <c r="BM60" s="484">
        <v>174</v>
      </c>
      <c r="BN60" s="376">
        <v>293</v>
      </c>
      <c r="BO60" s="376">
        <v>204</v>
      </c>
      <c r="BP60" s="376">
        <v>-23</v>
      </c>
      <c r="BQ60" s="485">
        <v>361</v>
      </c>
      <c r="BR60" s="325">
        <v>394</v>
      </c>
      <c r="BS60" s="325">
        <v>212</v>
      </c>
      <c r="BT60" s="325">
        <v>127</v>
      </c>
      <c r="BU60" s="372">
        <v>159</v>
      </c>
      <c r="BV60" s="325">
        <v>363</v>
      </c>
      <c r="BW60" s="325">
        <v>151</v>
      </c>
      <c r="BX60" s="325">
        <v>199</v>
      </c>
      <c r="BY60" s="372">
        <v>254</v>
      </c>
      <c r="BZ60" s="373">
        <v>426</v>
      </c>
      <c r="CA60" s="325">
        <v>243</v>
      </c>
      <c r="CB60" s="325">
        <v>188</v>
      </c>
      <c r="CC60" s="372">
        <v>-584</v>
      </c>
      <c r="CD60" s="373">
        <v>500</v>
      </c>
      <c r="CE60" s="325">
        <v>402</v>
      </c>
      <c r="CF60" s="325">
        <v>260</v>
      </c>
      <c r="CG60" s="372">
        <v>650</v>
      </c>
      <c r="CH60" s="373">
        <v>390</v>
      </c>
      <c r="CI60" s="325">
        <v>328</v>
      </c>
      <c r="CJ60" s="325">
        <v>204</v>
      </c>
      <c r="CK60" s="372">
        <v>525</v>
      </c>
      <c r="CL60" s="373">
        <v>505</v>
      </c>
      <c r="CM60" s="325">
        <v>580</v>
      </c>
      <c r="CN60" s="325">
        <v>604</v>
      </c>
      <c r="CO60" s="372">
        <v>508</v>
      </c>
      <c r="CP60" s="373">
        <v>619</v>
      </c>
      <c r="CQ60" s="325">
        <v>876</v>
      </c>
      <c r="CR60" s="325">
        <v>639</v>
      </c>
      <c r="CS60" s="372">
        <v>960.4976021179923</v>
      </c>
      <c r="CT60" s="373">
        <v>305.04206261218957</v>
      </c>
      <c r="CU60" s="325">
        <v>358.53006528527516</v>
      </c>
      <c r="CV60" s="325">
        <v>602.85801679751648</v>
      </c>
      <c r="CW60" s="372">
        <v>1160.6804591270529</v>
      </c>
      <c r="CX60" s="325"/>
      <c r="CY60" s="325"/>
      <c r="CZ60" s="325"/>
      <c r="DA60" s="372"/>
      <c r="DB60" s="325"/>
      <c r="DC60" s="325"/>
      <c r="DD60" s="325"/>
      <c r="DE60" s="372"/>
      <c r="DF60" s="325"/>
      <c r="DG60" s="325"/>
      <c r="DH60" s="325"/>
      <c r="DI60" s="372"/>
      <c r="DJ60" s="486"/>
      <c r="DK60" s="373"/>
      <c r="DL60" s="325"/>
      <c r="DM60" s="325"/>
      <c r="DN60" s="325"/>
      <c r="DO60" s="325"/>
      <c r="DP60" s="325"/>
      <c r="DQ60" s="325"/>
      <c r="DR60" s="325"/>
      <c r="DS60" s="376">
        <v>-107</v>
      </c>
      <c r="DT60" s="376">
        <v>113</v>
      </c>
      <c r="DU60" s="376">
        <v>418</v>
      </c>
      <c r="DV60" s="325">
        <v>1085</v>
      </c>
      <c r="DW60" s="325">
        <v>1149</v>
      </c>
      <c r="DX60" s="376">
        <v>1010</v>
      </c>
      <c r="DY60" s="376">
        <v>835</v>
      </c>
      <c r="DZ60" s="376">
        <v>892</v>
      </c>
      <c r="EA60" s="376">
        <v>967</v>
      </c>
      <c r="EB60" s="325">
        <v>273</v>
      </c>
      <c r="EC60" s="325">
        <v>1812</v>
      </c>
      <c r="ED60" s="325">
        <v>1447</v>
      </c>
      <c r="EE60" s="325">
        <v>2197</v>
      </c>
      <c r="EF60" s="325">
        <v>3094.4976021179923</v>
      </c>
      <c r="EG60" s="325">
        <v>2427.1106038220341</v>
      </c>
      <c r="EH60" s="325">
        <v>3109.6601610367948</v>
      </c>
      <c r="EI60" s="325">
        <v>2903.7756029560996</v>
      </c>
      <c r="EJ60" s="325">
        <v>2629.3122979699237</v>
      </c>
      <c r="EK60" s="325">
        <v>3766.9024015991104</v>
      </c>
      <c r="EL60" s="325">
        <v>3488.7893962614949</v>
      </c>
      <c r="EM60" s="325">
        <v>3556.2684049057207</v>
      </c>
      <c r="EN60" s="325">
        <v>3460.2517746227913</v>
      </c>
      <c r="EO60" s="325">
        <v>4002.7444764876827</v>
      </c>
      <c r="EP60" s="389"/>
      <c r="EQ60" s="386"/>
    </row>
    <row r="61" spans="1:147" s="390" customFormat="1" ht="15" customHeight="1" outlineLevel="2">
      <c r="A61" s="385"/>
      <c r="B61"/>
      <c r="C61"/>
      <c r="D61"/>
      <c r="E61"/>
      <c r="F61"/>
      <c r="G61"/>
      <c r="H61" s="386"/>
      <c r="I61" s="378" t="s">
        <v>1506</v>
      </c>
      <c r="J61" s="386"/>
      <c r="K61" s="386"/>
      <c r="L61" s="386"/>
      <c r="M61" s="388"/>
      <c r="N61" s="386"/>
      <c r="O61" s="386"/>
      <c r="P61" s="386"/>
      <c r="Q61" s="388"/>
      <c r="R61" s="386"/>
      <c r="S61" s="386"/>
      <c r="T61" s="386"/>
      <c r="U61" s="388"/>
      <c r="V61" s="386"/>
      <c r="W61" s="386"/>
      <c r="X61" s="386"/>
      <c r="Y61" s="388"/>
      <c r="Z61" s="386"/>
      <c r="AA61" s="386"/>
      <c r="AB61" s="386"/>
      <c r="AC61" s="388"/>
      <c r="AD61" s="386"/>
      <c r="AE61" s="386"/>
      <c r="AF61" s="386"/>
      <c r="AG61" s="388"/>
      <c r="AH61" s="386"/>
      <c r="AI61" s="386"/>
      <c r="AJ61" s="386"/>
      <c r="AK61" s="388"/>
      <c r="AL61" s="386"/>
      <c r="AM61" s="386"/>
      <c r="AN61" s="386"/>
      <c r="AO61" s="388"/>
      <c r="AP61" s="386"/>
      <c r="AQ61" s="386"/>
      <c r="AR61" s="386"/>
      <c r="AS61" s="478"/>
      <c r="AT61" s="483">
        <v>-10</v>
      </c>
      <c r="AU61" s="483">
        <v>0</v>
      </c>
      <c r="AV61" s="483">
        <v>-11</v>
      </c>
      <c r="AW61" s="484">
        <v>3</v>
      </c>
      <c r="AX61" s="483">
        <v>0</v>
      </c>
      <c r="AY61" s="483">
        <v>-1</v>
      </c>
      <c r="AZ61" s="483">
        <v>-14</v>
      </c>
      <c r="BA61" s="484">
        <v>-8</v>
      </c>
      <c r="BB61" s="483">
        <v>-2</v>
      </c>
      <c r="BC61" s="483">
        <v>-2</v>
      </c>
      <c r="BD61" s="483">
        <v>-3</v>
      </c>
      <c r="BE61" s="484">
        <v>5</v>
      </c>
      <c r="BF61" s="483">
        <v>-1</v>
      </c>
      <c r="BG61" s="483">
        <v>-2</v>
      </c>
      <c r="BH61" s="483">
        <v>-1</v>
      </c>
      <c r="BI61" s="484">
        <v>-3</v>
      </c>
      <c r="BJ61" s="483">
        <v>-2</v>
      </c>
      <c r="BK61" s="483">
        <v>0</v>
      </c>
      <c r="BL61" s="483">
        <v>4</v>
      </c>
      <c r="BM61" s="484">
        <v>51</v>
      </c>
      <c r="BN61" s="376">
        <v>51</v>
      </c>
      <c r="BO61" s="376">
        <v>50</v>
      </c>
      <c r="BP61" s="376">
        <v>51</v>
      </c>
      <c r="BQ61" s="485">
        <v>50</v>
      </c>
      <c r="BR61" s="376">
        <v>50</v>
      </c>
      <c r="BS61" s="376">
        <v>50</v>
      </c>
      <c r="BT61" s="376">
        <v>51</v>
      </c>
      <c r="BU61" s="485">
        <v>49</v>
      </c>
      <c r="BV61" s="376">
        <v>52</v>
      </c>
      <c r="BW61" s="376">
        <v>65</v>
      </c>
      <c r="BX61" s="376">
        <v>63</v>
      </c>
      <c r="BY61" s="485">
        <v>125</v>
      </c>
      <c r="BZ61" s="487">
        <v>40</v>
      </c>
      <c r="CA61" s="376">
        <v>46</v>
      </c>
      <c r="CB61" s="376">
        <v>37</v>
      </c>
      <c r="CC61" s="485">
        <v>36</v>
      </c>
      <c r="CD61" s="487">
        <v>28</v>
      </c>
      <c r="CE61" s="376">
        <v>26</v>
      </c>
      <c r="CF61" s="376">
        <v>53</v>
      </c>
      <c r="CG61" s="485">
        <v>4</v>
      </c>
      <c r="CH61" s="487">
        <v>60</v>
      </c>
      <c r="CI61" s="376">
        <v>-34</v>
      </c>
      <c r="CJ61" s="376">
        <v>-2</v>
      </c>
      <c r="CK61" s="485">
        <v>7</v>
      </c>
      <c r="CL61" s="487">
        <v>8</v>
      </c>
      <c r="CM61" s="376">
        <v>22</v>
      </c>
      <c r="CN61" s="376">
        <v>56</v>
      </c>
      <c r="CO61" s="485">
        <v>31</v>
      </c>
      <c r="CP61" s="487">
        <v>30</v>
      </c>
      <c r="CQ61" s="376">
        <v>-43</v>
      </c>
      <c r="CR61" s="376">
        <v>65</v>
      </c>
      <c r="CS61" s="485">
        <v>28.856000000000002</v>
      </c>
      <c r="CT61" s="487">
        <v>19.8385</v>
      </c>
      <c r="CU61" s="376">
        <v>19.8385</v>
      </c>
      <c r="CV61" s="376">
        <v>19.8385</v>
      </c>
      <c r="CW61" s="485">
        <v>19.8385</v>
      </c>
      <c r="CX61" s="325"/>
      <c r="CY61" s="325"/>
      <c r="CZ61" s="325"/>
      <c r="DA61" s="372"/>
      <c r="DB61" s="325"/>
      <c r="DC61" s="325"/>
      <c r="DD61" s="325"/>
      <c r="DE61" s="372"/>
      <c r="DF61" s="325"/>
      <c r="DG61" s="325"/>
      <c r="DH61" s="325"/>
      <c r="DI61" s="372"/>
      <c r="DJ61" s="486"/>
      <c r="DK61" s="373"/>
      <c r="DL61" s="325"/>
      <c r="DM61" s="325"/>
      <c r="DN61" s="325"/>
      <c r="DO61" s="325"/>
      <c r="DP61" s="325"/>
      <c r="DQ61" s="325"/>
      <c r="DR61" s="325"/>
      <c r="DS61" s="376">
        <v>-46</v>
      </c>
      <c r="DT61" s="376">
        <v>-18</v>
      </c>
      <c r="DU61" s="376">
        <v>-23</v>
      </c>
      <c r="DV61" s="376">
        <v>-2</v>
      </c>
      <c r="DW61" s="325">
        <v>-7</v>
      </c>
      <c r="DX61" s="376">
        <v>53</v>
      </c>
      <c r="DY61" s="376">
        <v>202</v>
      </c>
      <c r="DZ61" s="376">
        <v>200</v>
      </c>
      <c r="EA61" s="376">
        <v>305</v>
      </c>
      <c r="EB61" s="325">
        <v>159</v>
      </c>
      <c r="EC61" s="325">
        <v>111</v>
      </c>
      <c r="ED61" s="325">
        <v>31</v>
      </c>
      <c r="EE61" s="325">
        <v>117</v>
      </c>
      <c r="EF61" s="325">
        <v>80.855999999999995</v>
      </c>
      <c r="EG61" s="325">
        <v>79.353999999999999</v>
      </c>
      <c r="EH61" s="325">
        <v>79.353999999999999</v>
      </c>
      <c r="EI61" s="325">
        <v>79.353999999999999</v>
      </c>
      <c r="EJ61" s="325">
        <v>79.353999999999999</v>
      </c>
      <c r="EK61" s="325">
        <v>39.677</v>
      </c>
      <c r="EL61" s="325">
        <v>0</v>
      </c>
      <c r="EM61" s="325">
        <v>0</v>
      </c>
      <c r="EN61" s="325">
        <v>0</v>
      </c>
      <c r="EO61" s="325">
        <v>0</v>
      </c>
      <c r="EP61" s="389"/>
      <c r="EQ61" s="386"/>
    </row>
    <row r="62" spans="1:147" s="390" customFormat="1" ht="15" customHeight="1" outlineLevel="2">
      <c r="A62" s="385"/>
      <c r="B62"/>
      <c r="C62"/>
      <c r="D62"/>
      <c r="E62"/>
      <c r="F62"/>
      <c r="G62"/>
      <c r="H62" s="386"/>
      <c r="I62" s="378" t="s">
        <v>1507</v>
      </c>
      <c r="J62" s="386"/>
      <c r="K62" s="386"/>
      <c r="L62" s="386"/>
      <c r="M62" s="388"/>
      <c r="N62" s="386"/>
      <c r="O62" s="386"/>
      <c r="P62" s="386"/>
      <c r="Q62" s="388"/>
      <c r="R62" s="386"/>
      <c r="S62" s="386"/>
      <c r="T62" s="386"/>
      <c r="U62" s="388"/>
      <c r="V62" s="386"/>
      <c r="W62" s="386"/>
      <c r="X62" s="386"/>
      <c r="Y62" s="388"/>
      <c r="Z62" s="386"/>
      <c r="AA62" s="386"/>
      <c r="AB62" s="386"/>
      <c r="AC62" s="388"/>
      <c r="AD62" s="386"/>
      <c r="AE62" s="386"/>
      <c r="AF62" s="386"/>
      <c r="AG62" s="388"/>
      <c r="AH62" s="386"/>
      <c r="AI62" s="386"/>
      <c r="AJ62" s="386"/>
      <c r="AK62" s="388"/>
      <c r="AL62" s="386"/>
      <c r="AM62" s="386"/>
      <c r="AN62" s="386"/>
      <c r="AO62" s="388"/>
      <c r="AP62" s="386"/>
      <c r="AQ62" s="386"/>
      <c r="AR62" s="386"/>
      <c r="AS62" s="478"/>
      <c r="AT62" s="483">
        <v>0</v>
      </c>
      <c r="AU62" s="483">
        <v>23</v>
      </c>
      <c r="AV62" s="483">
        <v>5</v>
      </c>
      <c r="AW62" s="484">
        <v>-149</v>
      </c>
      <c r="AX62" s="483">
        <v>130</v>
      </c>
      <c r="AY62" s="483">
        <v>82</v>
      </c>
      <c r="AZ62" s="483">
        <v>18</v>
      </c>
      <c r="BA62" s="484">
        <v>-156</v>
      </c>
      <c r="BB62" s="483">
        <v>173</v>
      </c>
      <c r="BC62" s="483">
        <v>134</v>
      </c>
      <c r="BD62" s="483">
        <v>17</v>
      </c>
      <c r="BE62" s="484">
        <v>-79</v>
      </c>
      <c r="BF62" s="483">
        <v>130</v>
      </c>
      <c r="BG62" s="483">
        <v>44</v>
      </c>
      <c r="BH62" s="483">
        <v>2</v>
      </c>
      <c r="BI62" s="484">
        <v>133</v>
      </c>
      <c r="BJ62" s="483">
        <v>133</v>
      </c>
      <c r="BK62" s="483">
        <v>106</v>
      </c>
      <c r="BL62" s="483">
        <v>10</v>
      </c>
      <c r="BM62" s="484">
        <v>59</v>
      </c>
      <c r="BN62" s="376">
        <v>83</v>
      </c>
      <c r="BO62" s="376">
        <v>56</v>
      </c>
      <c r="BP62" s="376">
        <v>-20</v>
      </c>
      <c r="BQ62" s="485">
        <v>27</v>
      </c>
      <c r="BR62" s="376">
        <v>98</v>
      </c>
      <c r="BS62" s="376">
        <v>70</v>
      </c>
      <c r="BT62" s="376">
        <v>18</v>
      </c>
      <c r="BU62" s="485">
        <v>42</v>
      </c>
      <c r="BV62" s="376">
        <v>46</v>
      </c>
      <c r="BW62" s="376">
        <v>16</v>
      </c>
      <c r="BX62" s="376">
        <v>32</v>
      </c>
      <c r="BY62" s="485">
        <v>46</v>
      </c>
      <c r="BZ62" s="487">
        <v>27</v>
      </c>
      <c r="CA62" s="376">
        <v>50</v>
      </c>
      <c r="CB62" s="376">
        <v>32</v>
      </c>
      <c r="CC62" s="485">
        <v>769</v>
      </c>
      <c r="CD62" s="487">
        <v>67</v>
      </c>
      <c r="CE62" s="376">
        <v>6</v>
      </c>
      <c r="CF62" s="376">
        <v>-48</v>
      </c>
      <c r="CG62" s="485">
        <v>40</v>
      </c>
      <c r="CH62" s="487">
        <v>120</v>
      </c>
      <c r="CI62" s="376">
        <v>42</v>
      </c>
      <c r="CJ62" s="376">
        <v>45</v>
      </c>
      <c r="CK62" s="485">
        <v>-78</v>
      </c>
      <c r="CL62" s="487">
        <v>99</v>
      </c>
      <c r="CM62" s="376">
        <v>147</v>
      </c>
      <c r="CN62" s="376">
        <v>118</v>
      </c>
      <c r="CO62" s="485">
        <v>55</v>
      </c>
      <c r="CP62" s="487">
        <v>146</v>
      </c>
      <c r="CQ62" s="376">
        <v>126</v>
      </c>
      <c r="CR62" s="376">
        <v>120</v>
      </c>
      <c r="CS62" s="485">
        <v>255.32214739845364</v>
      </c>
      <c r="CT62" s="487">
        <v>76.260515653047392</v>
      </c>
      <c r="CU62" s="376">
        <v>89.632516321318803</v>
      </c>
      <c r="CV62" s="376">
        <v>150.71450419937912</v>
      </c>
      <c r="CW62" s="485">
        <v>290.17011478176323</v>
      </c>
      <c r="CX62" s="325"/>
      <c r="CY62" s="325"/>
      <c r="CZ62" s="325"/>
      <c r="DA62" s="372"/>
      <c r="DB62" s="325"/>
      <c r="DC62" s="325"/>
      <c r="DD62" s="325"/>
      <c r="DE62" s="372"/>
      <c r="DF62" s="325"/>
      <c r="DG62" s="325"/>
      <c r="DH62" s="325"/>
      <c r="DI62" s="372"/>
      <c r="DJ62" s="486"/>
      <c r="DK62" s="373"/>
      <c r="DL62" s="325"/>
      <c r="DM62" s="325"/>
      <c r="DN62" s="325"/>
      <c r="DO62" s="325"/>
      <c r="DP62" s="325"/>
      <c r="DQ62" s="325"/>
      <c r="DR62" s="325"/>
      <c r="DS62" s="376">
        <v>-80</v>
      </c>
      <c r="DT62" s="376">
        <v>-121</v>
      </c>
      <c r="DU62" s="376">
        <v>74</v>
      </c>
      <c r="DV62" s="376">
        <v>245</v>
      </c>
      <c r="DW62" s="325">
        <v>309</v>
      </c>
      <c r="DX62" s="376">
        <v>308</v>
      </c>
      <c r="DY62" s="376">
        <v>146</v>
      </c>
      <c r="DZ62" s="376">
        <v>228</v>
      </c>
      <c r="EA62" s="376">
        <v>140</v>
      </c>
      <c r="EB62" s="325">
        <v>878</v>
      </c>
      <c r="EC62" s="325">
        <v>65</v>
      </c>
      <c r="ED62" s="325">
        <v>129</v>
      </c>
      <c r="EE62" s="325">
        <v>419</v>
      </c>
      <c r="EF62" s="325">
        <v>647.32214739845358</v>
      </c>
      <c r="EG62" s="325">
        <v>606.77765095550853</v>
      </c>
      <c r="EH62" s="325">
        <v>777.41504025919869</v>
      </c>
      <c r="EI62" s="325">
        <v>725.94390073902503</v>
      </c>
      <c r="EJ62" s="325">
        <v>657.32807449248094</v>
      </c>
      <c r="EK62" s="325">
        <v>0</v>
      </c>
      <c r="EL62" s="325">
        <v>1.706451240454827E-2</v>
      </c>
      <c r="EM62" s="325">
        <v>0</v>
      </c>
      <c r="EN62" s="325">
        <v>0</v>
      </c>
      <c r="EO62" s="325">
        <v>0</v>
      </c>
      <c r="EP62" s="389"/>
      <c r="EQ62" s="386"/>
    </row>
    <row r="63" spans="1:147" s="377" customFormat="1" ht="15" customHeight="1" outlineLevel="2">
      <c r="A63" s="368"/>
      <c r="B63"/>
      <c r="C63"/>
      <c r="D63"/>
      <c r="E63"/>
      <c r="F63"/>
      <c r="G63"/>
      <c r="H63" s="369"/>
      <c r="I63" s="379" t="s">
        <v>1482</v>
      </c>
      <c r="J63" s="369"/>
      <c r="K63" s="369"/>
      <c r="L63" s="369"/>
      <c r="M63" s="371"/>
      <c r="N63" s="369"/>
      <c r="O63" s="369"/>
      <c r="P63" s="369"/>
      <c r="Q63" s="371"/>
      <c r="R63" s="369"/>
      <c r="S63" s="369"/>
      <c r="T63" s="369"/>
      <c r="U63" s="371"/>
      <c r="V63" s="369"/>
      <c r="W63" s="369"/>
      <c r="X63" s="369"/>
      <c r="Y63" s="371"/>
      <c r="Z63" s="369"/>
      <c r="AA63" s="369"/>
      <c r="AB63" s="369"/>
      <c r="AC63" s="371"/>
      <c r="AD63" s="369"/>
      <c r="AE63" s="369"/>
      <c r="AF63" s="369"/>
      <c r="AG63" s="371"/>
      <c r="AH63" s="369"/>
      <c r="AI63" s="369"/>
      <c r="AJ63" s="369"/>
      <c r="AK63" s="371"/>
      <c r="AL63" s="369"/>
      <c r="AM63" s="369"/>
      <c r="AN63" s="369"/>
      <c r="AO63" s="371"/>
      <c r="AP63" s="369"/>
      <c r="AQ63" s="369"/>
      <c r="AR63" s="369"/>
      <c r="AS63" s="488"/>
      <c r="AT63" s="383">
        <v>179</v>
      </c>
      <c r="AU63" s="383">
        <v>218</v>
      </c>
      <c r="AV63" s="383">
        <v>9</v>
      </c>
      <c r="AW63" s="489">
        <v>-432</v>
      </c>
      <c r="AX63" s="383">
        <v>511</v>
      </c>
      <c r="AY63" s="383">
        <v>300</v>
      </c>
      <c r="AZ63" s="383">
        <v>55</v>
      </c>
      <c r="BA63" s="489">
        <v>-397</v>
      </c>
      <c r="BB63" s="383">
        <v>674</v>
      </c>
      <c r="BC63" s="383">
        <v>467</v>
      </c>
      <c r="BD63" s="383">
        <v>162</v>
      </c>
      <c r="BE63" s="489">
        <v>25</v>
      </c>
      <c r="BF63" s="383">
        <v>513</v>
      </c>
      <c r="BG63" s="383">
        <v>227</v>
      </c>
      <c r="BH63" s="383">
        <v>227</v>
      </c>
      <c r="BI63" s="489">
        <v>484</v>
      </c>
      <c r="BJ63" s="383">
        <v>587</v>
      </c>
      <c r="BK63" s="383">
        <v>430</v>
      </c>
      <c r="BL63" s="383">
        <v>70</v>
      </c>
      <c r="BM63" s="489">
        <v>284</v>
      </c>
      <c r="BN63" s="383">
        <v>427</v>
      </c>
      <c r="BO63" s="383">
        <v>310</v>
      </c>
      <c r="BP63" s="383">
        <v>8</v>
      </c>
      <c r="BQ63" s="489">
        <v>438</v>
      </c>
      <c r="BR63" s="383">
        <v>542</v>
      </c>
      <c r="BS63" s="383">
        <v>332</v>
      </c>
      <c r="BT63" s="383">
        <v>196</v>
      </c>
      <c r="BU63" s="489">
        <v>250</v>
      </c>
      <c r="BV63" s="383">
        <v>461</v>
      </c>
      <c r="BW63" s="383">
        <v>232</v>
      </c>
      <c r="BX63" s="383">
        <v>294</v>
      </c>
      <c r="BY63" s="489">
        <v>425</v>
      </c>
      <c r="BZ63" s="490">
        <v>493</v>
      </c>
      <c r="CA63" s="383">
        <v>339</v>
      </c>
      <c r="CB63" s="383">
        <v>257</v>
      </c>
      <c r="CC63" s="489">
        <v>221</v>
      </c>
      <c r="CD63" s="490">
        <v>595</v>
      </c>
      <c r="CE63" s="383">
        <v>434</v>
      </c>
      <c r="CF63" s="383">
        <v>265</v>
      </c>
      <c r="CG63" s="489">
        <v>694</v>
      </c>
      <c r="CH63" s="490">
        <v>570</v>
      </c>
      <c r="CI63" s="383">
        <v>336</v>
      </c>
      <c r="CJ63" s="383">
        <v>247</v>
      </c>
      <c r="CK63" s="489">
        <v>454</v>
      </c>
      <c r="CL63" s="490">
        <v>612</v>
      </c>
      <c r="CM63" s="383">
        <v>749</v>
      </c>
      <c r="CN63" s="383">
        <v>778</v>
      </c>
      <c r="CO63" s="489">
        <v>594</v>
      </c>
      <c r="CP63" s="490">
        <v>795</v>
      </c>
      <c r="CQ63" s="383">
        <v>959</v>
      </c>
      <c r="CR63" s="383">
        <v>824</v>
      </c>
      <c r="CS63" s="489">
        <v>1244.6757495164459</v>
      </c>
      <c r="CT63" s="490">
        <v>401.14107826523696</v>
      </c>
      <c r="CU63" s="383">
        <v>468.00108160659397</v>
      </c>
      <c r="CV63" s="383">
        <v>773.41102099689556</v>
      </c>
      <c r="CW63" s="489">
        <v>1470.6890739088162</v>
      </c>
      <c r="CX63" s="448"/>
      <c r="CY63" s="448"/>
      <c r="CZ63" s="448"/>
      <c r="DA63" s="449"/>
      <c r="DB63" s="448"/>
      <c r="DC63" s="448"/>
      <c r="DD63" s="448"/>
      <c r="DE63" s="449"/>
      <c r="DF63" s="448"/>
      <c r="DG63" s="448"/>
      <c r="DH63" s="448"/>
      <c r="DI63" s="449"/>
      <c r="DJ63" s="491"/>
      <c r="DK63" s="450"/>
      <c r="DL63" s="448"/>
      <c r="DM63" s="448"/>
      <c r="DN63" s="448"/>
      <c r="DO63" s="448"/>
      <c r="DP63" s="448"/>
      <c r="DQ63" s="448"/>
      <c r="DR63" s="448"/>
      <c r="DS63" s="383">
        <v>-233</v>
      </c>
      <c r="DT63" s="383">
        <v>-26</v>
      </c>
      <c r="DU63" s="383">
        <v>469</v>
      </c>
      <c r="DV63" s="383">
        <v>1328</v>
      </c>
      <c r="DW63" s="383">
        <v>1451</v>
      </c>
      <c r="DX63" s="383">
        <v>1371</v>
      </c>
      <c r="DY63" s="383">
        <v>1183</v>
      </c>
      <c r="DZ63" s="383">
        <v>1320</v>
      </c>
      <c r="EA63" s="383">
        <v>1412</v>
      </c>
      <c r="EB63" s="383">
        <v>1310</v>
      </c>
      <c r="EC63" s="383">
        <v>1988</v>
      </c>
      <c r="ED63" s="383">
        <v>1607</v>
      </c>
      <c r="EE63" s="383">
        <v>2733</v>
      </c>
      <c r="EF63" s="383">
        <v>3822.6757495164461</v>
      </c>
      <c r="EG63" s="383">
        <v>3113.2422547775423</v>
      </c>
      <c r="EH63" s="383">
        <v>3966.4292012959932</v>
      </c>
      <c r="EI63" s="383">
        <v>3709.0735036951246</v>
      </c>
      <c r="EJ63" s="383">
        <v>3365.9943724624045</v>
      </c>
      <c r="EK63" s="383">
        <v>3806.5794015991105</v>
      </c>
      <c r="EL63" s="383">
        <v>3488.8064607738993</v>
      </c>
      <c r="EM63" s="383">
        <v>3556.2684049057207</v>
      </c>
      <c r="EN63" s="383">
        <v>3460.2517746227913</v>
      </c>
      <c r="EO63" s="383">
        <v>4002.7444764876827</v>
      </c>
      <c r="EP63" s="375"/>
      <c r="EQ63" s="320">
        <v>0.14814480561806431</v>
      </c>
    </row>
    <row r="64" spans="1:147" s="390" customFormat="1" ht="15" customHeight="1" outlineLevel="2">
      <c r="A64" s="385"/>
      <c r="B64"/>
      <c r="C64"/>
      <c r="D64"/>
      <c r="E64"/>
      <c r="F64"/>
      <c r="G64"/>
      <c r="H64" s="386"/>
      <c r="I64" s="378" t="s">
        <v>1508</v>
      </c>
      <c r="J64" s="386"/>
      <c r="K64" s="386"/>
      <c r="L64" s="386"/>
      <c r="M64" s="388"/>
      <c r="N64" s="386"/>
      <c r="O64" s="386"/>
      <c r="P64" s="386"/>
      <c r="Q64" s="388"/>
      <c r="R64" s="386"/>
      <c r="S64" s="386"/>
      <c r="T64" s="386"/>
      <c r="U64" s="388"/>
      <c r="V64" s="386"/>
      <c r="W64" s="386"/>
      <c r="X64" s="386"/>
      <c r="Y64" s="388"/>
      <c r="Z64" s="386"/>
      <c r="AA64" s="386"/>
      <c r="AB64" s="386"/>
      <c r="AC64" s="388"/>
      <c r="AD64" s="386"/>
      <c r="AE64" s="386"/>
      <c r="AF64" s="386"/>
      <c r="AG64" s="388"/>
      <c r="AH64" s="386"/>
      <c r="AI64" s="386"/>
      <c r="AJ64" s="386"/>
      <c r="AK64" s="388"/>
      <c r="AL64" s="386"/>
      <c r="AM64" s="386"/>
      <c r="AN64" s="386"/>
      <c r="AO64" s="388"/>
      <c r="AP64" s="386"/>
      <c r="AQ64" s="386"/>
      <c r="AR64" s="386"/>
      <c r="AS64" s="478"/>
      <c r="AT64" s="492">
        <v>28</v>
      </c>
      <c r="AU64" s="492">
        <v>43</v>
      </c>
      <c r="AV64" s="492">
        <v>36</v>
      </c>
      <c r="AW64" s="493">
        <v>47</v>
      </c>
      <c r="AX64" s="492">
        <v>44</v>
      </c>
      <c r="AY64" s="492">
        <v>17</v>
      </c>
      <c r="AZ64" s="492">
        <v>34</v>
      </c>
      <c r="BA64" s="493">
        <v>37</v>
      </c>
      <c r="BB64" s="483">
        <v>23</v>
      </c>
      <c r="BC64" s="483">
        <v>20</v>
      </c>
      <c r="BD64" s="483">
        <v>18</v>
      </c>
      <c r="BE64" s="484">
        <v>43</v>
      </c>
      <c r="BF64" s="483">
        <v>21</v>
      </c>
      <c r="BG64" s="483">
        <v>31</v>
      </c>
      <c r="BH64" s="483">
        <v>34</v>
      </c>
      <c r="BI64" s="484">
        <v>40</v>
      </c>
      <c r="BJ64" s="483">
        <v>26</v>
      </c>
      <c r="BK64" s="483">
        <v>24</v>
      </c>
      <c r="BL64" s="483">
        <v>25</v>
      </c>
      <c r="BM64" s="484">
        <v>34</v>
      </c>
      <c r="BN64" s="376">
        <v>31</v>
      </c>
      <c r="BO64" s="401">
        <v>22</v>
      </c>
      <c r="BP64" s="401">
        <v>22</v>
      </c>
      <c r="BQ64" s="402">
        <v>29</v>
      </c>
      <c r="BR64" s="376">
        <v>23</v>
      </c>
      <c r="BS64" s="376">
        <v>21</v>
      </c>
      <c r="BT64" s="401">
        <v>28</v>
      </c>
      <c r="BU64" s="402">
        <v>22</v>
      </c>
      <c r="BV64" s="401">
        <v>44</v>
      </c>
      <c r="BW64" s="325">
        <v>41</v>
      </c>
      <c r="BX64" s="325">
        <v>32</v>
      </c>
      <c r="BY64" s="372">
        <v>40</v>
      </c>
      <c r="BZ64" s="373">
        <v>33</v>
      </c>
      <c r="CA64" s="325">
        <v>38</v>
      </c>
      <c r="CB64" s="325">
        <v>47</v>
      </c>
      <c r="CC64" s="372">
        <v>58</v>
      </c>
      <c r="CD64" s="373">
        <v>54</v>
      </c>
      <c r="CE64" s="325">
        <v>56</v>
      </c>
      <c r="CF64" s="325">
        <v>55</v>
      </c>
      <c r="CG64" s="372">
        <v>44</v>
      </c>
      <c r="CH64" s="373">
        <v>63</v>
      </c>
      <c r="CI64" s="325">
        <v>37</v>
      </c>
      <c r="CJ64" s="325">
        <v>27</v>
      </c>
      <c r="CK64" s="372">
        <v>39</v>
      </c>
      <c r="CL64" s="373">
        <v>43</v>
      </c>
      <c r="CM64" s="325">
        <v>42</v>
      </c>
      <c r="CN64" s="325">
        <v>53</v>
      </c>
      <c r="CO64" s="372">
        <v>80</v>
      </c>
      <c r="CP64" s="373">
        <v>151</v>
      </c>
      <c r="CQ64" s="325">
        <v>43</v>
      </c>
      <c r="CR64" s="325">
        <v>65</v>
      </c>
      <c r="CS64" s="372">
        <v>84</v>
      </c>
      <c r="CT64" s="373">
        <v>158.55000000000001</v>
      </c>
      <c r="CU64" s="325">
        <v>45.15</v>
      </c>
      <c r="CV64" s="325">
        <v>67.2</v>
      </c>
      <c r="CW64" s="372">
        <v>88.2</v>
      </c>
      <c r="CX64" s="325"/>
      <c r="CY64" s="325"/>
      <c r="CZ64" s="325"/>
      <c r="DA64" s="372"/>
      <c r="DB64" s="325"/>
      <c r="DC64" s="325"/>
      <c r="DD64" s="325"/>
      <c r="DE64" s="372"/>
      <c r="DF64" s="325"/>
      <c r="DG64" s="325"/>
      <c r="DH64" s="325"/>
      <c r="DI64" s="372"/>
      <c r="DJ64" s="486"/>
      <c r="DK64" s="373"/>
      <c r="DL64" s="325"/>
      <c r="DM64" s="325"/>
      <c r="DN64" s="325"/>
      <c r="DO64" s="325"/>
      <c r="DP64" s="325"/>
      <c r="DQ64" s="325"/>
      <c r="DR64" s="325"/>
      <c r="DS64" s="401">
        <v>90</v>
      </c>
      <c r="DT64" s="376">
        <v>154</v>
      </c>
      <c r="DU64" s="376">
        <v>132</v>
      </c>
      <c r="DV64" s="376">
        <v>104</v>
      </c>
      <c r="DW64" s="325">
        <v>126</v>
      </c>
      <c r="DX64" s="376">
        <v>109</v>
      </c>
      <c r="DY64" s="376">
        <v>104</v>
      </c>
      <c r="DZ64" s="376">
        <v>94</v>
      </c>
      <c r="EA64" s="376">
        <v>157</v>
      </c>
      <c r="EB64" s="325">
        <v>176</v>
      </c>
      <c r="EC64" s="325">
        <v>209</v>
      </c>
      <c r="ED64" s="325">
        <v>166</v>
      </c>
      <c r="EE64" s="325">
        <v>218</v>
      </c>
      <c r="EF64" s="325">
        <v>343</v>
      </c>
      <c r="EG64" s="325">
        <v>359.1</v>
      </c>
      <c r="EH64" s="325">
        <v>373.46400000000006</v>
      </c>
      <c r="EI64" s="325">
        <v>388.40256000000005</v>
      </c>
      <c r="EJ64" s="325">
        <v>403.93866240000006</v>
      </c>
      <c r="EK64" s="325">
        <v>420.09620889600006</v>
      </c>
      <c r="EL64" s="325">
        <v>436.90005725184011</v>
      </c>
      <c r="EM64" s="325">
        <v>454.37605954191372</v>
      </c>
      <c r="EN64" s="325">
        <v>472.55110192359029</v>
      </c>
      <c r="EO64" s="325">
        <v>491.45314600053393</v>
      </c>
      <c r="EP64" s="389"/>
      <c r="EQ64" s="386"/>
    </row>
    <row r="65" spans="1:147" s="390" customFormat="1" ht="15" customHeight="1" outlineLevel="2">
      <c r="A65" s="385"/>
      <c r="B65"/>
      <c r="C65"/>
      <c r="D65"/>
      <c r="E65"/>
      <c r="F65"/>
      <c r="G65"/>
      <c r="H65" s="386"/>
      <c r="I65" s="378" t="s">
        <v>1509</v>
      </c>
      <c r="J65" s="386"/>
      <c r="K65" s="386"/>
      <c r="L65" s="386"/>
      <c r="M65" s="388"/>
      <c r="N65" s="386"/>
      <c r="O65" s="386"/>
      <c r="P65" s="386"/>
      <c r="Q65" s="388"/>
      <c r="R65" s="386"/>
      <c r="S65" s="386"/>
      <c r="T65" s="386"/>
      <c r="U65" s="388"/>
      <c r="V65" s="386"/>
      <c r="W65" s="386"/>
      <c r="X65" s="386"/>
      <c r="Y65" s="388"/>
      <c r="Z65" s="386"/>
      <c r="AA65" s="386"/>
      <c r="AB65" s="386"/>
      <c r="AC65" s="388"/>
      <c r="AD65" s="386"/>
      <c r="AE65" s="386"/>
      <c r="AF65" s="386"/>
      <c r="AG65" s="388"/>
      <c r="AH65" s="386"/>
      <c r="AI65" s="386"/>
      <c r="AJ65" s="386"/>
      <c r="AK65" s="388"/>
      <c r="AL65" s="386"/>
      <c r="AM65" s="386"/>
      <c r="AN65" s="386"/>
      <c r="AO65" s="388"/>
      <c r="AP65" s="386"/>
      <c r="AQ65" s="386"/>
      <c r="AR65" s="386"/>
      <c r="AS65" s="478"/>
      <c r="AT65" s="492">
        <v>46</v>
      </c>
      <c r="AU65" s="492">
        <v>38</v>
      </c>
      <c r="AV65" s="492">
        <v>33</v>
      </c>
      <c r="AW65" s="478">
        <v>142</v>
      </c>
      <c r="AX65" s="492">
        <v>17</v>
      </c>
      <c r="AY65" s="492">
        <v>10</v>
      </c>
      <c r="AZ65" s="492">
        <v>18</v>
      </c>
      <c r="BA65" s="493">
        <v>77</v>
      </c>
      <c r="BB65" s="492">
        <v>8</v>
      </c>
      <c r="BC65" s="492">
        <v>7</v>
      </c>
      <c r="BD65" s="492">
        <v>7</v>
      </c>
      <c r="BE65" s="493">
        <v>50</v>
      </c>
      <c r="BF65" s="492">
        <v>3</v>
      </c>
      <c r="BG65" s="492">
        <v>2</v>
      </c>
      <c r="BH65" s="492">
        <v>3</v>
      </c>
      <c r="BI65" s="493">
        <v>23</v>
      </c>
      <c r="BJ65" s="479">
        <v>2</v>
      </c>
      <c r="BK65" s="479">
        <v>2</v>
      </c>
      <c r="BL65" s="479">
        <v>2</v>
      </c>
      <c r="BM65" s="478">
        <v>9</v>
      </c>
      <c r="BN65" s="325">
        <v>1</v>
      </c>
      <c r="BO65" s="325">
        <v>1</v>
      </c>
      <c r="BP65" s="401">
        <v>2</v>
      </c>
      <c r="BQ65" s="372">
        <v>8</v>
      </c>
      <c r="BR65" s="325">
        <v>1</v>
      </c>
      <c r="BS65" s="325">
        <v>1</v>
      </c>
      <c r="BT65" s="325">
        <v>1</v>
      </c>
      <c r="BU65" s="402">
        <v>7</v>
      </c>
      <c r="BV65" s="401">
        <v>82</v>
      </c>
      <c r="BW65" s="325">
        <v>203</v>
      </c>
      <c r="BX65" s="325">
        <v>211</v>
      </c>
      <c r="BY65" s="372">
        <v>212</v>
      </c>
      <c r="BZ65" s="373">
        <v>190</v>
      </c>
      <c r="CA65" s="325">
        <v>194</v>
      </c>
      <c r="CB65" s="325">
        <v>187</v>
      </c>
      <c r="CC65" s="372">
        <v>185</v>
      </c>
      <c r="CD65" s="373">
        <v>119</v>
      </c>
      <c r="CE65" s="325">
        <v>77</v>
      </c>
      <c r="CF65" s="325">
        <v>83</v>
      </c>
      <c r="CG65" s="372">
        <v>91</v>
      </c>
      <c r="CH65" s="373">
        <v>54</v>
      </c>
      <c r="CI65" s="325">
        <v>47</v>
      </c>
      <c r="CJ65" s="325">
        <v>50</v>
      </c>
      <c r="CK65" s="372">
        <v>56</v>
      </c>
      <c r="CL65" s="373">
        <v>33</v>
      </c>
      <c r="CM65" s="325">
        <v>14</v>
      </c>
      <c r="CN65" s="325">
        <v>16</v>
      </c>
      <c r="CO65" s="372">
        <v>18</v>
      </c>
      <c r="CP65" s="373">
        <v>5</v>
      </c>
      <c r="CQ65" s="325">
        <v>2</v>
      </c>
      <c r="CR65" s="325">
        <v>2</v>
      </c>
      <c r="CS65" s="372">
        <v>2</v>
      </c>
      <c r="CT65" s="373">
        <v>2</v>
      </c>
      <c r="CU65" s="325">
        <v>2</v>
      </c>
      <c r="CV65" s="325">
        <v>2</v>
      </c>
      <c r="CW65" s="372">
        <v>2</v>
      </c>
      <c r="CX65" s="325"/>
      <c r="CY65" s="325"/>
      <c r="CZ65" s="325"/>
      <c r="DA65" s="372"/>
      <c r="DB65" s="325"/>
      <c r="DC65" s="325"/>
      <c r="DD65" s="325"/>
      <c r="DE65" s="372"/>
      <c r="DF65" s="325"/>
      <c r="DG65" s="325"/>
      <c r="DH65" s="325"/>
      <c r="DI65" s="372"/>
      <c r="DJ65" s="486"/>
      <c r="DK65" s="373"/>
      <c r="DL65" s="325"/>
      <c r="DM65" s="325"/>
      <c r="DN65" s="325"/>
      <c r="DO65" s="325"/>
      <c r="DP65" s="325"/>
      <c r="DQ65" s="325"/>
      <c r="DR65" s="325"/>
      <c r="DS65" s="401">
        <v>292</v>
      </c>
      <c r="DT65" s="325">
        <v>259</v>
      </c>
      <c r="DU65" s="325">
        <v>122</v>
      </c>
      <c r="DV65" s="325">
        <v>72</v>
      </c>
      <c r="DW65" s="325">
        <v>31</v>
      </c>
      <c r="DX65" s="376">
        <v>15</v>
      </c>
      <c r="DY65" s="376">
        <v>12</v>
      </c>
      <c r="DZ65" s="376">
        <v>10</v>
      </c>
      <c r="EA65" s="376">
        <v>708</v>
      </c>
      <c r="EB65" s="325">
        <v>756</v>
      </c>
      <c r="EC65" s="325">
        <v>370</v>
      </c>
      <c r="ED65" s="325">
        <v>207</v>
      </c>
      <c r="EE65" s="325">
        <v>81</v>
      </c>
      <c r="EF65" s="325">
        <v>11</v>
      </c>
      <c r="EG65" s="325">
        <v>8</v>
      </c>
      <c r="EH65" s="325">
        <v>0</v>
      </c>
      <c r="EI65" s="325">
        <v>0</v>
      </c>
      <c r="EJ65" s="325">
        <v>0</v>
      </c>
      <c r="EK65" s="325">
        <v>0</v>
      </c>
      <c r="EL65" s="325">
        <v>0</v>
      </c>
      <c r="EM65" s="325">
        <v>0</v>
      </c>
      <c r="EN65" s="325">
        <v>0</v>
      </c>
      <c r="EO65" s="325">
        <v>0</v>
      </c>
      <c r="EP65" s="389"/>
      <c r="EQ65" s="386"/>
    </row>
    <row r="66" spans="1:147" s="390" customFormat="1" ht="15" customHeight="1" outlineLevel="2">
      <c r="A66" s="385"/>
      <c r="B66"/>
      <c r="C66"/>
      <c r="D66"/>
      <c r="E66"/>
      <c r="F66"/>
      <c r="G66"/>
      <c r="H66" s="386"/>
      <c r="I66" s="378" t="s">
        <v>1510</v>
      </c>
      <c r="J66" s="399"/>
      <c r="K66" s="399"/>
      <c r="L66" s="399"/>
      <c r="M66" s="400"/>
      <c r="N66" s="399"/>
      <c r="O66" s="399"/>
      <c r="P66" s="399"/>
      <c r="Q66" s="400"/>
      <c r="R66" s="399"/>
      <c r="S66" s="399"/>
      <c r="T66" s="399"/>
      <c r="U66" s="400"/>
      <c r="V66" s="399"/>
      <c r="W66" s="399"/>
      <c r="X66" s="399"/>
      <c r="Y66" s="400"/>
      <c r="Z66" s="399"/>
      <c r="AA66" s="399"/>
      <c r="AB66" s="399"/>
      <c r="AC66" s="400"/>
      <c r="AD66" s="399"/>
      <c r="AE66" s="399"/>
      <c r="AF66" s="399"/>
      <c r="AG66" s="400"/>
      <c r="AH66" s="399"/>
      <c r="AI66" s="399"/>
      <c r="AJ66" s="399"/>
      <c r="AK66" s="400"/>
      <c r="AL66" s="399"/>
      <c r="AM66" s="399"/>
      <c r="AN66" s="399"/>
      <c r="AO66" s="400"/>
      <c r="AP66" s="399"/>
      <c r="AQ66" s="399"/>
      <c r="AR66" s="399"/>
      <c r="AS66" s="493"/>
      <c r="AT66" s="492">
        <v>33</v>
      </c>
      <c r="AU66" s="492">
        <v>21</v>
      </c>
      <c r="AV66" s="492">
        <v>6</v>
      </c>
      <c r="AW66" s="493">
        <v>403</v>
      </c>
      <c r="AX66" s="492">
        <v>3</v>
      </c>
      <c r="AY66" s="492">
        <v>1</v>
      </c>
      <c r="AZ66" s="483">
        <v>0</v>
      </c>
      <c r="BA66" s="493">
        <v>325</v>
      </c>
      <c r="BB66" s="492">
        <v>19</v>
      </c>
      <c r="BC66" s="492">
        <v>3</v>
      </c>
      <c r="BD66" s="492">
        <v>3</v>
      </c>
      <c r="BE66" s="493">
        <v>14</v>
      </c>
      <c r="BF66" s="483">
        <v>0</v>
      </c>
      <c r="BG66" s="483">
        <v>0</v>
      </c>
      <c r="BH66" s="483">
        <v>0</v>
      </c>
      <c r="BI66" s="484">
        <v>0</v>
      </c>
      <c r="BJ66" s="483">
        <v>0</v>
      </c>
      <c r="BK66" s="483">
        <v>0</v>
      </c>
      <c r="BL66" s="483">
        <v>39</v>
      </c>
      <c r="BM66" s="484">
        <v>14</v>
      </c>
      <c r="BN66" s="376">
        <v>0</v>
      </c>
      <c r="BO66" s="376">
        <v>0</v>
      </c>
      <c r="BP66" s="376">
        <v>48</v>
      </c>
      <c r="BQ66" s="485">
        <v>-36</v>
      </c>
      <c r="BR66" s="376">
        <v>0</v>
      </c>
      <c r="BS66" s="376">
        <v>0</v>
      </c>
      <c r="BT66" s="376">
        <v>0</v>
      </c>
      <c r="BU66" s="402">
        <v>5</v>
      </c>
      <c r="BV66" s="401">
        <v>34</v>
      </c>
      <c r="BW66" s="403">
        <v>4</v>
      </c>
      <c r="BX66" s="403">
        <v>4</v>
      </c>
      <c r="BY66" s="494">
        <v>4</v>
      </c>
      <c r="BZ66" s="495">
        <v>31</v>
      </c>
      <c r="CA66" s="403">
        <v>4</v>
      </c>
      <c r="CB66" s="403">
        <v>2</v>
      </c>
      <c r="CC66" s="494">
        <v>8</v>
      </c>
      <c r="CD66" s="495">
        <v>0</v>
      </c>
      <c r="CE66" s="401">
        <v>0</v>
      </c>
      <c r="CF66" s="401">
        <v>0</v>
      </c>
      <c r="CG66" s="402">
        <v>10</v>
      </c>
      <c r="CH66" s="496">
        <v>0</v>
      </c>
      <c r="CI66" s="401">
        <v>22</v>
      </c>
      <c r="CJ66" s="401">
        <v>28</v>
      </c>
      <c r="CK66" s="402">
        <v>18</v>
      </c>
      <c r="CL66" s="438">
        <v>0</v>
      </c>
      <c r="CM66" s="401">
        <v>6</v>
      </c>
      <c r="CN66" s="401">
        <v>9</v>
      </c>
      <c r="CO66" s="402">
        <v>55</v>
      </c>
      <c r="CP66" s="438">
        <v>0</v>
      </c>
      <c r="CQ66" s="401">
        <v>0</v>
      </c>
      <c r="CR66" s="401">
        <v>3</v>
      </c>
      <c r="CS66" s="402">
        <v>0</v>
      </c>
      <c r="CT66" s="438">
        <v>0</v>
      </c>
      <c r="CU66" s="401">
        <v>0</v>
      </c>
      <c r="CV66" s="401">
        <v>0</v>
      </c>
      <c r="CW66" s="402">
        <v>0</v>
      </c>
      <c r="CX66" s="325"/>
      <c r="CY66" s="325"/>
      <c r="CZ66" s="325"/>
      <c r="DA66" s="372"/>
      <c r="DB66" s="325"/>
      <c r="DC66" s="325"/>
      <c r="DD66" s="325"/>
      <c r="DE66" s="372"/>
      <c r="DF66" s="325"/>
      <c r="DG66" s="325"/>
      <c r="DH66" s="325"/>
      <c r="DI66" s="372"/>
      <c r="DJ66" s="486"/>
      <c r="DK66" s="438"/>
      <c r="DL66" s="401"/>
      <c r="DM66" s="401"/>
      <c r="DN66" s="401"/>
      <c r="DO66" s="401"/>
      <c r="DP66" s="401"/>
      <c r="DQ66" s="401"/>
      <c r="DR66" s="401"/>
      <c r="DS66" s="401">
        <v>122</v>
      </c>
      <c r="DT66" s="376">
        <v>463</v>
      </c>
      <c r="DU66" s="376">
        <v>329</v>
      </c>
      <c r="DV66" s="325">
        <v>39</v>
      </c>
      <c r="DW66" s="325">
        <v>0</v>
      </c>
      <c r="DX66" s="376">
        <v>53</v>
      </c>
      <c r="DY66" s="376">
        <v>12</v>
      </c>
      <c r="DZ66" s="376">
        <v>5</v>
      </c>
      <c r="EA66" s="376">
        <v>46</v>
      </c>
      <c r="EB66" s="325">
        <v>45</v>
      </c>
      <c r="EC66" s="401">
        <v>10</v>
      </c>
      <c r="ED66" s="401">
        <v>68</v>
      </c>
      <c r="EE66" s="401">
        <v>70</v>
      </c>
      <c r="EF66" s="401">
        <v>3</v>
      </c>
      <c r="EG66" s="401">
        <v>0</v>
      </c>
      <c r="EH66" s="401">
        <v>0</v>
      </c>
      <c r="EI66" s="401">
        <v>0</v>
      </c>
      <c r="EJ66" s="401">
        <v>0</v>
      </c>
      <c r="EK66" s="401">
        <v>0</v>
      </c>
      <c r="EL66" s="401">
        <v>0</v>
      </c>
      <c r="EM66" s="401">
        <v>0</v>
      </c>
      <c r="EN66" s="401">
        <v>0</v>
      </c>
      <c r="EO66" s="401">
        <v>0</v>
      </c>
      <c r="EP66" s="389"/>
      <c r="EQ66" s="386"/>
    </row>
    <row r="67" spans="1:147" s="390" customFormat="1" ht="15" customHeight="1" outlineLevel="2">
      <c r="A67" s="385"/>
      <c r="B67"/>
      <c r="C67"/>
      <c r="D67"/>
      <c r="E67"/>
      <c r="F67"/>
      <c r="G67"/>
      <c r="H67" s="386"/>
      <c r="I67" s="379" t="s">
        <v>1511</v>
      </c>
      <c r="J67" s="386"/>
      <c r="K67" s="386"/>
      <c r="L67" s="386"/>
      <c r="M67" s="388"/>
      <c r="N67" s="386"/>
      <c r="O67" s="386"/>
      <c r="P67" s="386"/>
      <c r="Q67" s="388"/>
      <c r="R67" s="386"/>
      <c r="S67" s="386"/>
      <c r="T67" s="386"/>
      <c r="U67" s="388"/>
      <c r="V67" s="386"/>
      <c r="W67" s="386"/>
      <c r="X67" s="386"/>
      <c r="Y67" s="388"/>
      <c r="Z67" s="386"/>
      <c r="AA67" s="386"/>
      <c r="AB67" s="386"/>
      <c r="AC67" s="388"/>
      <c r="AD67" s="386"/>
      <c r="AE67" s="386"/>
      <c r="AF67" s="386"/>
      <c r="AG67" s="388"/>
      <c r="AH67" s="386"/>
      <c r="AI67" s="386"/>
      <c r="AJ67" s="386"/>
      <c r="AK67" s="388"/>
      <c r="AL67" s="386"/>
      <c r="AM67" s="386"/>
      <c r="AN67" s="386"/>
      <c r="AO67" s="388"/>
      <c r="AP67" s="386"/>
      <c r="AQ67" s="386"/>
      <c r="AR67" s="386"/>
      <c r="AS67" s="478"/>
      <c r="AT67" s="383">
        <v>286</v>
      </c>
      <c r="AU67" s="383">
        <v>320</v>
      </c>
      <c r="AV67" s="383">
        <v>84</v>
      </c>
      <c r="AW67" s="489">
        <v>160</v>
      </c>
      <c r="AX67" s="383">
        <v>575</v>
      </c>
      <c r="AY67" s="383">
        <v>328</v>
      </c>
      <c r="AZ67" s="383">
        <v>107</v>
      </c>
      <c r="BA67" s="489">
        <v>42</v>
      </c>
      <c r="BB67" s="383">
        <v>724</v>
      </c>
      <c r="BC67" s="383">
        <v>497</v>
      </c>
      <c r="BD67" s="383">
        <v>190</v>
      </c>
      <c r="BE67" s="489">
        <v>132</v>
      </c>
      <c r="BF67" s="383">
        <v>537</v>
      </c>
      <c r="BG67" s="383">
        <v>260</v>
      </c>
      <c r="BH67" s="383">
        <v>264</v>
      </c>
      <c r="BI67" s="489">
        <v>547</v>
      </c>
      <c r="BJ67" s="383">
        <v>615</v>
      </c>
      <c r="BK67" s="383">
        <v>456</v>
      </c>
      <c r="BL67" s="383">
        <v>136</v>
      </c>
      <c r="BM67" s="489">
        <v>341</v>
      </c>
      <c r="BN67" s="383">
        <v>459</v>
      </c>
      <c r="BO67" s="383">
        <v>333</v>
      </c>
      <c r="BP67" s="383">
        <v>80</v>
      </c>
      <c r="BQ67" s="489">
        <v>439</v>
      </c>
      <c r="BR67" s="383">
        <v>566</v>
      </c>
      <c r="BS67" s="383">
        <v>354</v>
      </c>
      <c r="BT67" s="383">
        <v>225</v>
      </c>
      <c r="BU67" s="489">
        <v>284</v>
      </c>
      <c r="BV67" s="383">
        <v>621</v>
      </c>
      <c r="BW67" s="383">
        <v>480</v>
      </c>
      <c r="BX67" s="383">
        <v>541</v>
      </c>
      <c r="BY67" s="489">
        <v>681</v>
      </c>
      <c r="BZ67" s="490">
        <v>747</v>
      </c>
      <c r="CA67" s="383">
        <v>575</v>
      </c>
      <c r="CB67" s="383">
        <v>493</v>
      </c>
      <c r="CC67" s="489">
        <v>472</v>
      </c>
      <c r="CD67" s="490">
        <v>768</v>
      </c>
      <c r="CE67" s="383">
        <v>567</v>
      </c>
      <c r="CF67" s="383">
        <v>403</v>
      </c>
      <c r="CG67" s="489">
        <v>839</v>
      </c>
      <c r="CH67" s="490">
        <v>744</v>
      </c>
      <c r="CI67" s="383">
        <v>442</v>
      </c>
      <c r="CJ67" s="383">
        <v>352</v>
      </c>
      <c r="CK67" s="489">
        <v>567</v>
      </c>
      <c r="CL67" s="490">
        <v>688</v>
      </c>
      <c r="CM67" s="383">
        <v>811</v>
      </c>
      <c r="CN67" s="383">
        <v>856</v>
      </c>
      <c r="CO67" s="489">
        <v>747</v>
      </c>
      <c r="CP67" s="490">
        <v>951</v>
      </c>
      <c r="CQ67" s="383">
        <v>1004</v>
      </c>
      <c r="CR67" s="383">
        <v>894</v>
      </c>
      <c r="CS67" s="489">
        <v>1330.6757495164459</v>
      </c>
      <c r="CT67" s="490">
        <v>561.69107826523691</v>
      </c>
      <c r="CU67" s="383">
        <v>515.15108160659395</v>
      </c>
      <c r="CV67" s="383">
        <v>842.6110209968956</v>
      </c>
      <c r="CW67" s="489">
        <v>1560.8890739088163</v>
      </c>
      <c r="CX67" s="325"/>
      <c r="CY67" s="325"/>
      <c r="CZ67" s="325"/>
      <c r="DA67" s="372"/>
      <c r="DB67" s="325"/>
      <c r="DC67" s="325"/>
      <c r="DD67" s="325"/>
      <c r="DE67" s="372"/>
      <c r="DF67" s="325"/>
      <c r="DG67" s="325"/>
      <c r="DH67" s="325"/>
      <c r="DI67" s="372"/>
      <c r="DJ67" s="486"/>
      <c r="DK67" s="373"/>
      <c r="DL67" s="325"/>
      <c r="DM67" s="325"/>
      <c r="DN67" s="325"/>
      <c r="DO67" s="325"/>
      <c r="DP67" s="325"/>
      <c r="DQ67" s="325"/>
      <c r="DR67" s="325"/>
      <c r="DS67" s="383">
        <v>271</v>
      </c>
      <c r="DT67" s="383">
        <v>850</v>
      </c>
      <c r="DU67" s="383">
        <v>1052</v>
      </c>
      <c r="DV67" s="383">
        <v>1543</v>
      </c>
      <c r="DW67" s="383">
        <v>1608</v>
      </c>
      <c r="DX67" s="383">
        <v>1548</v>
      </c>
      <c r="DY67" s="383">
        <v>1311</v>
      </c>
      <c r="DZ67" s="383">
        <v>1429</v>
      </c>
      <c r="EA67" s="383">
        <v>2323</v>
      </c>
      <c r="EB67" s="383">
        <v>2287</v>
      </c>
      <c r="EC67" s="383">
        <v>2577</v>
      </c>
      <c r="ED67" s="383">
        <v>2105</v>
      </c>
      <c r="EE67" s="383">
        <v>3159</v>
      </c>
      <c r="EF67" s="383">
        <v>4236.6757495164456</v>
      </c>
      <c r="EG67" s="383">
        <v>3537.3422547775422</v>
      </c>
      <c r="EH67" s="383">
        <v>4339.8932012959931</v>
      </c>
      <c r="EI67" s="383">
        <v>4097.476063695125</v>
      </c>
      <c r="EJ67" s="383">
        <v>3769.9330348624044</v>
      </c>
      <c r="EK67" s="383">
        <v>4226.675610495111</v>
      </c>
      <c r="EL67" s="383">
        <v>3925.7065180257396</v>
      </c>
      <c r="EM67" s="383">
        <v>4010.6444644476342</v>
      </c>
      <c r="EN67" s="383">
        <v>3932.8028765463814</v>
      </c>
      <c r="EO67" s="383">
        <v>4494.1976224882164</v>
      </c>
      <c r="EP67" s="389"/>
      <c r="EQ67" s="320">
        <v>0.1098720757698457</v>
      </c>
    </row>
    <row r="68" spans="1:147" s="390" customFormat="1" ht="15" customHeight="1" outlineLevel="2">
      <c r="A68" s="385"/>
      <c r="B68"/>
      <c r="C68"/>
      <c r="D68"/>
      <c r="E68"/>
      <c r="F68"/>
      <c r="G68"/>
      <c r="H68" s="386"/>
      <c r="I68" s="378" t="s">
        <v>1512</v>
      </c>
      <c r="J68" s="386"/>
      <c r="K68" s="386"/>
      <c r="L68" s="386"/>
      <c r="M68" s="388"/>
      <c r="N68" s="386"/>
      <c r="O68" s="386"/>
      <c r="P68" s="386"/>
      <c r="Q68" s="388"/>
      <c r="R68" s="386"/>
      <c r="S68" s="386"/>
      <c r="T68" s="386"/>
      <c r="U68" s="388"/>
      <c r="V68" s="386"/>
      <c r="W68" s="386"/>
      <c r="X68" s="386"/>
      <c r="Y68" s="388"/>
      <c r="Z68" s="386"/>
      <c r="AA68" s="386"/>
      <c r="AB68" s="386"/>
      <c r="AC68" s="388"/>
      <c r="AD68" s="386"/>
      <c r="AE68" s="386"/>
      <c r="AF68" s="386"/>
      <c r="AG68" s="388"/>
      <c r="AH68" s="386"/>
      <c r="AI68" s="386"/>
      <c r="AJ68" s="386"/>
      <c r="AK68" s="388"/>
      <c r="AL68" s="386"/>
      <c r="AM68" s="386"/>
      <c r="AN68" s="386"/>
      <c r="AO68" s="388"/>
      <c r="AP68" s="386"/>
      <c r="AQ68" s="386"/>
      <c r="AR68" s="386"/>
      <c r="AS68" s="478"/>
      <c r="AT68" s="492">
        <v>-167</v>
      </c>
      <c r="AU68" s="492">
        <v>-164</v>
      </c>
      <c r="AV68" s="492">
        <v>-9</v>
      </c>
      <c r="AW68" s="484">
        <v>724</v>
      </c>
      <c r="AX68" s="483">
        <v>-410</v>
      </c>
      <c r="AY68" s="483">
        <v>-227</v>
      </c>
      <c r="AZ68" s="483">
        <v>97</v>
      </c>
      <c r="BA68" s="484">
        <v>859</v>
      </c>
      <c r="BB68" s="483">
        <v>-506</v>
      </c>
      <c r="BC68" s="483">
        <v>-332</v>
      </c>
      <c r="BD68" s="483">
        <v>-105</v>
      </c>
      <c r="BE68" s="484">
        <v>758</v>
      </c>
      <c r="BF68" s="483">
        <v>-447</v>
      </c>
      <c r="BG68" s="483">
        <v>40</v>
      </c>
      <c r="BH68" s="483">
        <v>-110</v>
      </c>
      <c r="BI68" s="484">
        <v>607</v>
      </c>
      <c r="BJ68" s="483">
        <v>-369</v>
      </c>
      <c r="BK68" s="483">
        <v>-338</v>
      </c>
      <c r="BL68" s="483">
        <v>-32</v>
      </c>
      <c r="BM68" s="484">
        <v>509</v>
      </c>
      <c r="BN68" s="401">
        <v>-219</v>
      </c>
      <c r="BO68" s="401">
        <v>-220</v>
      </c>
      <c r="BP68" s="401">
        <v>180</v>
      </c>
      <c r="BQ68" s="402">
        <v>475</v>
      </c>
      <c r="BR68" s="401">
        <v>-362</v>
      </c>
      <c r="BS68" s="401">
        <v>-181</v>
      </c>
      <c r="BT68" s="401">
        <v>26</v>
      </c>
      <c r="BU68" s="402">
        <v>554</v>
      </c>
      <c r="BV68" s="376">
        <v>-369</v>
      </c>
      <c r="BW68" s="376">
        <v>108</v>
      </c>
      <c r="BX68" s="376">
        <v>33</v>
      </c>
      <c r="BY68" s="485">
        <v>238</v>
      </c>
      <c r="BZ68" s="487">
        <v>-396</v>
      </c>
      <c r="CA68" s="376">
        <v>-105</v>
      </c>
      <c r="CB68" s="376">
        <v>132</v>
      </c>
      <c r="CC68" s="485">
        <v>460</v>
      </c>
      <c r="CD68" s="487">
        <v>-373</v>
      </c>
      <c r="CE68" s="376">
        <v>-182</v>
      </c>
      <c r="CF68" s="376">
        <v>89</v>
      </c>
      <c r="CG68" s="485">
        <v>368</v>
      </c>
      <c r="CH68" s="487">
        <v>-441</v>
      </c>
      <c r="CI68" s="376">
        <v>-135</v>
      </c>
      <c r="CJ68" s="376">
        <v>-53</v>
      </c>
      <c r="CK68" s="485">
        <v>577</v>
      </c>
      <c r="CL68" s="487">
        <v>-171</v>
      </c>
      <c r="CM68" s="376">
        <v>152</v>
      </c>
      <c r="CN68" s="376">
        <v>-150</v>
      </c>
      <c r="CO68" s="485">
        <v>407</v>
      </c>
      <c r="CP68" s="487">
        <v>-132</v>
      </c>
      <c r="CQ68" s="376">
        <v>-276</v>
      </c>
      <c r="CR68" s="376">
        <v>26</v>
      </c>
      <c r="CS68" s="485">
        <v>-7</v>
      </c>
      <c r="CT68" s="487">
        <v>-0.70000000000000007</v>
      </c>
      <c r="CU68" s="376">
        <v>-0.70000000000000007</v>
      </c>
      <c r="CV68" s="376">
        <v>-0.70000000000000007</v>
      </c>
      <c r="CW68" s="485">
        <v>-0.70000000000000007</v>
      </c>
      <c r="CX68" s="325"/>
      <c r="CY68" s="325"/>
      <c r="CZ68" s="325"/>
      <c r="DA68" s="372"/>
      <c r="DB68" s="325"/>
      <c r="DC68" s="325"/>
      <c r="DD68" s="325"/>
      <c r="DE68" s="372"/>
      <c r="DF68" s="325"/>
      <c r="DG68" s="325"/>
      <c r="DH68" s="325"/>
      <c r="DI68" s="372"/>
      <c r="DJ68" s="486"/>
      <c r="DK68" s="373"/>
      <c r="DL68" s="325"/>
      <c r="DM68" s="325"/>
      <c r="DN68" s="325"/>
      <c r="DO68" s="325"/>
      <c r="DP68" s="325"/>
      <c r="DQ68" s="325"/>
      <c r="DR68" s="325"/>
      <c r="DS68" s="401">
        <v>496</v>
      </c>
      <c r="DT68" s="376">
        <v>384</v>
      </c>
      <c r="DU68" s="376">
        <v>319</v>
      </c>
      <c r="DV68" s="376">
        <v>-185</v>
      </c>
      <c r="DW68" s="376">
        <v>90</v>
      </c>
      <c r="DX68" s="376">
        <v>-230</v>
      </c>
      <c r="DY68" s="376">
        <v>216</v>
      </c>
      <c r="DZ68" s="376">
        <v>37</v>
      </c>
      <c r="EA68" s="376">
        <v>10</v>
      </c>
      <c r="EB68" s="325">
        <v>91</v>
      </c>
      <c r="EC68" s="376">
        <v>-98</v>
      </c>
      <c r="ED68" s="376">
        <v>-52</v>
      </c>
      <c r="EE68" s="376">
        <v>238</v>
      </c>
      <c r="EF68" s="376">
        <v>-389</v>
      </c>
      <c r="EG68" s="376">
        <v>-2.8000000000000003</v>
      </c>
      <c r="EH68" s="376">
        <v>102.54639152364996</v>
      </c>
      <c r="EI68" s="376">
        <v>-53.251255252846789</v>
      </c>
      <c r="EJ68" s="376">
        <v>-21.63606316869889</v>
      </c>
      <c r="EK68" s="376">
        <v>45.153160856634869</v>
      </c>
      <c r="EL68" s="376">
        <v>-29.517582739719693</v>
      </c>
      <c r="EM68" s="376">
        <v>7.7644495933527953</v>
      </c>
      <c r="EN68" s="376">
        <v>-4.5150714973320527</v>
      </c>
      <c r="EO68" s="376">
        <v>51.579502477463876</v>
      </c>
      <c r="EP68" s="389"/>
      <c r="EQ68" s="386"/>
    </row>
    <row r="69" spans="1:147" s="390" customFormat="1" ht="15" customHeight="1" outlineLevel="2">
      <c r="A69" s="385"/>
      <c r="B69"/>
      <c r="C69"/>
      <c r="D69"/>
      <c r="E69"/>
      <c r="F69"/>
      <c r="G69"/>
      <c r="H69" s="386"/>
      <c r="I69" s="379" t="s">
        <v>1513</v>
      </c>
      <c r="J69" s="386"/>
      <c r="K69" s="386"/>
      <c r="L69" s="386"/>
      <c r="M69" s="388"/>
      <c r="N69" s="386"/>
      <c r="O69" s="386"/>
      <c r="P69" s="386"/>
      <c r="Q69" s="388"/>
      <c r="R69" s="386"/>
      <c r="S69" s="386"/>
      <c r="T69" s="386"/>
      <c r="U69" s="388"/>
      <c r="V69" s="386"/>
      <c r="W69" s="386"/>
      <c r="X69" s="386"/>
      <c r="Y69" s="388"/>
      <c r="Z69" s="386"/>
      <c r="AA69" s="386"/>
      <c r="AB69" s="386"/>
      <c r="AC69" s="388"/>
      <c r="AD69" s="386"/>
      <c r="AE69" s="386"/>
      <c r="AF69" s="386"/>
      <c r="AG69" s="388"/>
      <c r="AH69" s="386"/>
      <c r="AI69" s="386"/>
      <c r="AJ69" s="386"/>
      <c r="AK69" s="388"/>
      <c r="AL69" s="386"/>
      <c r="AM69" s="386"/>
      <c r="AN69" s="386"/>
      <c r="AO69" s="388"/>
      <c r="AP69" s="386"/>
      <c r="AQ69" s="386"/>
      <c r="AR69" s="386"/>
      <c r="AS69" s="478"/>
      <c r="AT69" s="490">
        <v>119</v>
      </c>
      <c r="AU69" s="383">
        <v>156</v>
      </c>
      <c r="AV69" s="383">
        <v>75</v>
      </c>
      <c r="AW69" s="489">
        <v>884</v>
      </c>
      <c r="AX69" s="490">
        <v>165</v>
      </c>
      <c r="AY69" s="383">
        <v>101</v>
      </c>
      <c r="AZ69" s="383">
        <v>204</v>
      </c>
      <c r="BA69" s="489">
        <v>901</v>
      </c>
      <c r="BB69" s="490">
        <v>218</v>
      </c>
      <c r="BC69" s="383">
        <v>165</v>
      </c>
      <c r="BD69" s="383">
        <v>85</v>
      </c>
      <c r="BE69" s="489">
        <v>890</v>
      </c>
      <c r="BF69" s="490">
        <v>90</v>
      </c>
      <c r="BG69" s="383">
        <v>300</v>
      </c>
      <c r="BH69" s="383">
        <v>154</v>
      </c>
      <c r="BI69" s="489">
        <v>1154</v>
      </c>
      <c r="BJ69" s="490">
        <v>246</v>
      </c>
      <c r="BK69" s="383">
        <v>118</v>
      </c>
      <c r="BL69" s="383">
        <v>104</v>
      </c>
      <c r="BM69" s="489">
        <v>850</v>
      </c>
      <c r="BN69" s="490">
        <v>240</v>
      </c>
      <c r="BO69" s="383">
        <v>113</v>
      </c>
      <c r="BP69" s="383">
        <v>260</v>
      </c>
      <c r="BQ69" s="489">
        <v>914</v>
      </c>
      <c r="BR69" s="490">
        <v>204</v>
      </c>
      <c r="BS69" s="383">
        <v>173</v>
      </c>
      <c r="BT69" s="383">
        <v>251</v>
      </c>
      <c r="BU69" s="489">
        <v>838</v>
      </c>
      <c r="BV69" s="490">
        <v>252</v>
      </c>
      <c r="BW69" s="383">
        <v>588</v>
      </c>
      <c r="BX69" s="383">
        <v>574</v>
      </c>
      <c r="BY69" s="489">
        <v>919</v>
      </c>
      <c r="BZ69" s="490">
        <v>351</v>
      </c>
      <c r="CA69" s="383">
        <v>470</v>
      </c>
      <c r="CB69" s="383">
        <v>625</v>
      </c>
      <c r="CC69" s="489">
        <v>932</v>
      </c>
      <c r="CD69" s="490">
        <v>395</v>
      </c>
      <c r="CE69" s="383">
        <v>385</v>
      </c>
      <c r="CF69" s="383">
        <v>492</v>
      </c>
      <c r="CG69" s="489">
        <v>1207</v>
      </c>
      <c r="CH69" s="490">
        <v>303</v>
      </c>
      <c r="CI69" s="383">
        <v>307</v>
      </c>
      <c r="CJ69" s="383">
        <v>299</v>
      </c>
      <c r="CK69" s="489">
        <v>1144</v>
      </c>
      <c r="CL69" s="490">
        <v>517</v>
      </c>
      <c r="CM69" s="383">
        <v>963</v>
      </c>
      <c r="CN69" s="383">
        <v>706</v>
      </c>
      <c r="CO69" s="489">
        <v>1154</v>
      </c>
      <c r="CP69" s="490">
        <v>819</v>
      </c>
      <c r="CQ69" s="383">
        <v>728</v>
      </c>
      <c r="CR69" s="383">
        <v>920</v>
      </c>
      <c r="CS69" s="489">
        <v>1323.6757495164459</v>
      </c>
      <c r="CT69" s="490">
        <v>560.99107826523687</v>
      </c>
      <c r="CU69" s="383">
        <v>514.4510816065939</v>
      </c>
      <c r="CV69" s="383">
        <v>841.91102099689556</v>
      </c>
      <c r="CW69" s="489">
        <v>1560.1890739088162</v>
      </c>
      <c r="CX69" s="325"/>
      <c r="CY69" s="325"/>
      <c r="CZ69" s="325"/>
      <c r="DA69" s="372"/>
      <c r="DB69" s="325"/>
      <c r="DC69" s="325"/>
      <c r="DD69" s="325"/>
      <c r="DE69" s="372"/>
      <c r="DF69" s="325"/>
      <c r="DG69" s="325"/>
      <c r="DH69" s="325"/>
      <c r="DI69" s="372"/>
      <c r="DJ69" s="486"/>
      <c r="DK69" s="373"/>
      <c r="DL69" s="325"/>
      <c r="DM69" s="325"/>
      <c r="DN69" s="325"/>
      <c r="DO69" s="325"/>
      <c r="DP69" s="325"/>
      <c r="DQ69" s="325"/>
      <c r="DR69" s="325"/>
      <c r="DS69" s="383">
        <v>767</v>
      </c>
      <c r="DT69" s="383">
        <v>1234</v>
      </c>
      <c r="DU69" s="383">
        <v>1371</v>
      </c>
      <c r="DV69" s="383">
        <v>1358</v>
      </c>
      <c r="DW69" s="383">
        <v>1698</v>
      </c>
      <c r="DX69" s="383">
        <v>1318</v>
      </c>
      <c r="DY69" s="383">
        <v>1527</v>
      </c>
      <c r="DZ69" s="383">
        <v>1466</v>
      </c>
      <c r="EA69" s="383">
        <v>2333</v>
      </c>
      <c r="EB69" s="383">
        <v>2378</v>
      </c>
      <c r="EC69" s="383">
        <v>2479</v>
      </c>
      <c r="ED69" s="383">
        <v>2053</v>
      </c>
      <c r="EE69" s="383">
        <v>3397</v>
      </c>
      <c r="EF69" s="383">
        <v>3847.6757495164456</v>
      </c>
      <c r="EG69" s="383">
        <v>3534.542254777542</v>
      </c>
      <c r="EH69" s="383">
        <v>4442.4395928196427</v>
      </c>
      <c r="EI69" s="383">
        <v>4044.2248084422781</v>
      </c>
      <c r="EJ69" s="383">
        <v>3748.2969716937055</v>
      </c>
      <c r="EK69" s="383">
        <v>4271.8287713517457</v>
      </c>
      <c r="EL69" s="383">
        <v>3896.1889352860198</v>
      </c>
      <c r="EM69" s="383">
        <v>4018.4089140409869</v>
      </c>
      <c r="EN69" s="383">
        <v>3928.2878050490494</v>
      </c>
      <c r="EO69" s="383">
        <v>4545.7771249656807</v>
      </c>
      <c r="EP69" s="389"/>
      <c r="EQ69" s="320">
        <v>0.12374817869898869</v>
      </c>
    </row>
    <row r="70" spans="1:147" s="390" customFormat="1" ht="15" customHeight="1" outlineLevel="2">
      <c r="A70" s="385"/>
      <c r="B70"/>
      <c r="C70"/>
      <c r="D70"/>
      <c r="E70"/>
      <c r="F70"/>
      <c r="G70"/>
      <c r="H70" s="386"/>
      <c r="I70" s="378" t="s">
        <v>1514</v>
      </c>
      <c r="J70" s="386"/>
      <c r="K70" s="386"/>
      <c r="L70" s="386"/>
      <c r="M70" s="388"/>
      <c r="N70" s="386"/>
      <c r="O70" s="386"/>
      <c r="P70" s="386"/>
      <c r="Q70" s="388"/>
      <c r="R70" s="386"/>
      <c r="S70" s="386"/>
      <c r="T70" s="386"/>
      <c r="U70" s="388"/>
      <c r="V70" s="386"/>
      <c r="W70" s="386"/>
      <c r="X70" s="386"/>
      <c r="Y70" s="388"/>
      <c r="Z70" s="386"/>
      <c r="AA70" s="386"/>
      <c r="AB70" s="386"/>
      <c r="AC70" s="388"/>
      <c r="AD70" s="386"/>
      <c r="AE70" s="386"/>
      <c r="AF70" s="386"/>
      <c r="AG70" s="388"/>
      <c r="AH70" s="386"/>
      <c r="AI70" s="386"/>
      <c r="AJ70" s="386"/>
      <c r="AK70" s="388"/>
      <c r="AL70" s="386"/>
      <c r="AM70" s="386"/>
      <c r="AN70" s="386"/>
      <c r="AO70" s="388"/>
      <c r="AP70" s="386"/>
      <c r="AQ70" s="386"/>
      <c r="AR70" s="386"/>
      <c r="AS70" s="478"/>
      <c r="AT70" s="483">
        <v>69</v>
      </c>
      <c r="AU70" s="483">
        <v>60</v>
      </c>
      <c r="AV70" s="483">
        <v>58</v>
      </c>
      <c r="AW70" s="493">
        <v>160</v>
      </c>
      <c r="AX70" s="483">
        <v>33</v>
      </c>
      <c r="AY70" s="483">
        <v>48</v>
      </c>
      <c r="AZ70" s="483">
        <v>16</v>
      </c>
      <c r="BA70" s="493">
        <v>101</v>
      </c>
      <c r="BB70" s="483">
        <v>26</v>
      </c>
      <c r="BC70" s="483">
        <v>26</v>
      </c>
      <c r="BD70" s="483">
        <v>25</v>
      </c>
      <c r="BE70" s="484">
        <v>71</v>
      </c>
      <c r="BF70" s="483">
        <v>23</v>
      </c>
      <c r="BG70" s="483">
        <v>22</v>
      </c>
      <c r="BH70" s="483">
        <v>24</v>
      </c>
      <c r="BI70" s="484">
        <v>51</v>
      </c>
      <c r="BJ70" s="483">
        <v>24</v>
      </c>
      <c r="BK70" s="483">
        <v>23</v>
      </c>
      <c r="BL70" s="483">
        <v>21</v>
      </c>
      <c r="BM70" s="484">
        <v>40</v>
      </c>
      <c r="BN70" s="487">
        <v>19</v>
      </c>
      <c r="BO70" s="376">
        <v>19</v>
      </c>
      <c r="BP70" s="376">
        <v>23</v>
      </c>
      <c r="BQ70" s="485">
        <v>29</v>
      </c>
      <c r="BR70" s="487">
        <v>20</v>
      </c>
      <c r="BS70" s="376">
        <v>20</v>
      </c>
      <c r="BT70" s="376">
        <v>24</v>
      </c>
      <c r="BU70" s="485">
        <v>24</v>
      </c>
      <c r="BV70" s="487">
        <v>25</v>
      </c>
      <c r="BW70" s="376">
        <v>31</v>
      </c>
      <c r="BX70" s="376">
        <v>33</v>
      </c>
      <c r="BY70" s="485">
        <v>96</v>
      </c>
      <c r="BZ70" s="487">
        <v>34</v>
      </c>
      <c r="CA70" s="376">
        <v>33</v>
      </c>
      <c r="CB70" s="376">
        <v>33</v>
      </c>
      <c r="CC70" s="485">
        <v>54</v>
      </c>
      <c r="CD70" s="487">
        <v>35</v>
      </c>
      <c r="CE70" s="376">
        <v>36</v>
      </c>
      <c r="CF70" s="376">
        <v>35</v>
      </c>
      <c r="CG70" s="485">
        <v>32</v>
      </c>
      <c r="CH70" s="487">
        <v>33</v>
      </c>
      <c r="CI70" s="376">
        <v>33</v>
      </c>
      <c r="CJ70" s="376">
        <v>30</v>
      </c>
      <c r="CK70" s="485">
        <v>54</v>
      </c>
      <c r="CL70" s="487">
        <v>52</v>
      </c>
      <c r="CM70" s="376">
        <v>29</v>
      </c>
      <c r="CN70" s="376">
        <v>30</v>
      </c>
      <c r="CO70" s="485">
        <v>27</v>
      </c>
      <c r="CP70" s="487">
        <v>58</v>
      </c>
      <c r="CQ70" s="376">
        <v>39</v>
      </c>
      <c r="CR70" s="376">
        <v>-156</v>
      </c>
      <c r="CS70" s="485">
        <v>36.878770819201982</v>
      </c>
      <c r="CT70" s="487">
        <v>26.239906061051261</v>
      </c>
      <c r="CU70" s="376">
        <v>24.642049991120743</v>
      </c>
      <c r="CV70" s="376">
        <v>38.046409104251275</v>
      </c>
      <c r="CW70" s="485">
        <v>64.098724329180214</v>
      </c>
      <c r="CX70" s="325"/>
      <c r="CY70" s="325"/>
      <c r="CZ70" s="325"/>
      <c r="DA70" s="372"/>
      <c r="DB70" s="325"/>
      <c r="DC70" s="325"/>
      <c r="DD70" s="325"/>
      <c r="DE70" s="372"/>
      <c r="DF70" s="325"/>
      <c r="DG70" s="325"/>
      <c r="DH70" s="325"/>
      <c r="DI70" s="372"/>
      <c r="DJ70" s="486"/>
      <c r="DK70" s="373"/>
      <c r="DL70" s="325"/>
      <c r="DM70" s="325"/>
      <c r="DN70" s="325"/>
      <c r="DO70" s="325"/>
      <c r="DP70" s="325"/>
      <c r="DQ70" s="325"/>
      <c r="DR70" s="325"/>
      <c r="DS70" s="376">
        <v>385</v>
      </c>
      <c r="DT70" s="376">
        <v>347</v>
      </c>
      <c r="DU70" s="376">
        <v>198</v>
      </c>
      <c r="DV70" s="376">
        <v>148</v>
      </c>
      <c r="DW70" s="325">
        <v>120</v>
      </c>
      <c r="DX70" s="376">
        <v>108</v>
      </c>
      <c r="DY70" s="376">
        <v>90</v>
      </c>
      <c r="DZ70" s="376">
        <v>88</v>
      </c>
      <c r="EA70" s="376">
        <v>185</v>
      </c>
      <c r="EB70" s="325">
        <v>154</v>
      </c>
      <c r="EC70" s="376">
        <v>138</v>
      </c>
      <c r="ED70" s="376">
        <v>150</v>
      </c>
      <c r="EE70" s="376">
        <v>138</v>
      </c>
      <c r="EF70" s="376">
        <v>-22.121229180798018</v>
      </c>
      <c r="EG70" s="376">
        <v>153.02708948560348</v>
      </c>
      <c r="EH70" s="376">
        <v>178.43913293223679</v>
      </c>
      <c r="EI70" s="376">
        <v>165.75922207317078</v>
      </c>
      <c r="EJ70" s="376">
        <v>159.00567642373034</v>
      </c>
      <c r="EK70" s="376">
        <v>169.48401748842389</v>
      </c>
      <c r="EL70" s="376">
        <v>163.47862903266423</v>
      </c>
      <c r="EM70" s="376">
        <v>164.57788837296641</v>
      </c>
      <c r="EN70" s="376">
        <v>163.6826514701832</v>
      </c>
      <c r="EO70" s="376">
        <v>176.20245252308914</v>
      </c>
      <c r="EP70" s="389"/>
      <c r="EQ70" s="386"/>
    </row>
    <row r="71" spans="1:147" s="377" customFormat="1" ht="15" customHeight="1" outlineLevel="2">
      <c r="A71" s="368"/>
      <c r="B71"/>
      <c r="C71"/>
      <c r="D71"/>
      <c r="E71"/>
      <c r="F71"/>
      <c r="G71"/>
      <c r="H71" s="369"/>
      <c r="I71" s="379" t="s">
        <v>1515</v>
      </c>
      <c r="J71" s="369"/>
      <c r="K71" s="369"/>
      <c r="L71" s="369"/>
      <c r="M71" s="371"/>
      <c r="N71" s="369"/>
      <c r="O71" s="369"/>
      <c r="P71" s="369"/>
      <c r="Q71" s="371"/>
      <c r="R71" s="369"/>
      <c r="S71" s="369"/>
      <c r="T71" s="369"/>
      <c r="U71" s="371"/>
      <c r="V71" s="369"/>
      <c r="W71" s="369"/>
      <c r="X71" s="369"/>
      <c r="Y71" s="371"/>
      <c r="Z71" s="369"/>
      <c r="AA71" s="369"/>
      <c r="AB71" s="369"/>
      <c r="AC71" s="371"/>
      <c r="AD71" s="369"/>
      <c r="AE71" s="369"/>
      <c r="AF71" s="369"/>
      <c r="AG71" s="371"/>
      <c r="AH71" s="369"/>
      <c r="AI71" s="369"/>
      <c r="AJ71" s="369"/>
      <c r="AK71" s="371"/>
      <c r="AL71" s="369"/>
      <c r="AM71" s="369"/>
      <c r="AN71" s="369"/>
      <c r="AO71" s="371"/>
      <c r="AP71" s="369"/>
      <c r="AQ71" s="369"/>
      <c r="AR71" s="369"/>
      <c r="AS71" s="488"/>
      <c r="AT71" s="497">
        <v>188</v>
      </c>
      <c r="AU71" s="498">
        <v>216</v>
      </c>
      <c r="AV71" s="498">
        <v>133</v>
      </c>
      <c r="AW71" s="499">
        <v>1044</v>
      </c>
      <c r="AX71" s="498">
        <v>198</v>
      </c>
      <c r="AY71" s="498">
        <v>149</v>
      </c>
      <c r="AZ71" s="498">
        <v>220</v>
      </c>
      <c r="BA71" s="499">
        <v>1002</v>
      </c>
      <c r="BB71" s="498">
        <v>244</v>
      </c>
      <c r="BC71" s="498">
        <v>191</v>
      </c>
      <c r="BD71" s="498">
        <v>110</v>
      </c>
      <c r="BE71" s="500">
        <v>961</v>
      </c>
      <c r="BF71" s="498">
        <v>113</v>
      </c>
      <c r="BG71" s="498">
        <v>322</v>
      </c>
      <c r="BH71" s="498">
        <v>178</v>
      </c>
      <c r="BI71" s="500">
        <v>1205</v>
      </c>
      <c r="BJ71" s="498">
        <v>270</v>
      </c>
      <c r="BK71" s="498">
        <v>141</v>
      </c>
      <c r="BL71" s="498">
        <v>125</v>
      </c>
      <c r="BM71" s="500">
        <v>890</v>
      </c>
      <c r="BN71" s="380">
        <v>259</v>
      </c>
      <c r="BO71" s="381">
        <v>132</v>
      </c>
      <c r="BP71" s="381">
        <v>283</v>
      </c>
      <c r="BQ71" s="382">
        <v>943</v>
      </c>
      <c r="BR71" s="381">
        <v>224</v>
      </c>
      <c r="BS71" s="381">
        <v>193</v>
      </c>
      <c r="BT71" s="501">
        <v>275</v>
      </c>
      <c r="BU71" s="502">
        <v>862</v>
      </c>
      <c r="BV71" s="501">
        <v>277</v>
      </c>
      <c r="BW71" s="501">
        <v>619</v>
      </c>
      <c r="BX71" s="501">
        <v>607</v>
      </c>
      <c r="BY71" s="502">
        <v>1015</v>
      </c>
      <c r="BZ71" s="503">
        <v>385</v>
      </c>
      <c r="CA71" s="501">
        <v>503</v>
      </c>
      <c r="CB71" s="501">
        <v>658</v>
      </c>
      <c r="CC71" s="502">
        <v>986</v>
      </c>
      <c r="CD71" s="501">
        <v>430</v>
      </c>
      <c r="CE71" s="501">
        <v>421</v>
      </c>
      <c r="CF71" s="501">
        <v>527</v>
      </c>
      <c r="CG71" s="502">
        <v>1239</v>
      </c>
      <c r="CH71" s="501">
        <v>336</v>
      </c>
      <c r="CI71" s="501">
        <v>340</v>
      </c>
      <c r="CJ71" s="501">
        <v>329</v>
      </c>
      <c r="CK71" s="502">
        <v>1198</v>
      </c>
      <c r="CL71" s="503">
        <v>569</v>
      </c>
      <c r="CM71" s="501">
        <v>992</v>
      </c>
      <c r="CN71" s="501">
        <v>736</v>
      </c>
      <c r="CO71" s="502">
        <v>1181</v>
      </c>
      <c r="CP71" s="503">
        <v>877</v>
      </c>
      <c r="CQ71" s="501">
        <v>767</v>
      </c>
      <c r="CR71" s="501">
        <v>764</v>
      </c>
      <c r="CS71" s="382">
        <v>1360.5545203356478</v>
      </c>
      <c r="CT71" s="380">
        <v>587.23098432628808</v>
      </c>
      <c r="CU71" s="381">
        <v>539.09313159771466</v>
      </c>
      <c r="CV71" s="381">
        <v>879.95743010114688</v>
      </c>
      <c r="CW71" s="382">
        <v>1624.2877982379964</v>
      </c>
      <c r="CX71" s="448"/>
      <c r="CY71" s="448"/>
      <c r="CZ71" s="448"/>
      <c r="DA71" s="449"/>
      <c r="DB71" s="448"/>
      <c r="DC71" s="448"/>
      <c r="DD71" s="448"/>
      <c r="DE71" s="449"/>
      <c r="DF71" s="448"/>
      <c r="DG71" s="448"/>
      <c r="DH71" s="448"/>
      <c r="DI71" s="449"/>
      <c r="DJ71" s="491"/>
      <c r="DK71" s="450"/>
      <c r="DL71" s="448"/>
      <c r="DM71" s="448"/>
      <c r="DN71" s="448"/>
      <c r="DO71" s="448"/>
      <c r="DP71" s="448"/>
      <c r="DQ71" s="448"/>
      <c r="DR71" s="448"/>
      <c r="DS71" s="383">
        <v>1152</v>
      </c>
      <c r="DT71" s="383">
        <v>1581</v>
      </c>
      <c r="DU71" s="383">
        <v>1569</v>
      </c>
      <c r="DV71" s="381">
        <v>1506</v>
      </c>
      <c r="DW71" s="381">
        <v>1818</v>
      </c>
      <c r="DX71" s="381">
        <v>1426</v>
      </c>
      <c r="DY71" s="381">
        <v>1617</v>
      </c>
      <c r="DZ71" s="381">
        <v>1554</v>
      </c>
      <c r="EA71" s="381">
        <v>2518</v>
      </c>
      <c r="EB71" s="381">
        <v>2532</v>
      </c>
      <c r="EC71" s="381">
        <v>2617</v>
      </c>
      <c r="ED71" s="381">
        <v>2203</v>
      </c>
      <c r="EE71" s="381">
        <v>3535</v>
      </c>
      <c r="EF71" s="381">
        <v>3825.5545203356478</v>
      </c>
      <c r="EG71" s="381">
        <v>3687.5693442631455</v>
      </c>
      <c r="EH71" s="381">
        <v>4620.8787257518798</v>
      </c>
      <c r="EI71" s="381">
        <v>4209.9840305154485</v>
      </c>
      <c r="EJ71" s="381">
        <v>3907.3026481174356</v>
      </c>
      <c r="EK71" s="381">
        <v>4441.3127888401696</v>
      </c>
      <c r="EL71" s="381">
        <v>4059.6675643186841</v>
      </c>
      <c r="EM71" s="381">
        <v>4182.9868024139532</v>
      </c>
      <c r="EN71" s="381">
        <v>4091.9704565192328</v>
      </c>
      <c r="EO71" s="381">
        <v>4721.9795774887698</v>
      </c>
      <c r="EP71" s="375"/>
      <c r="EQ71" s="320">
        <v>0.12042855752695569</v>
      </c>
    </row>
    <row r="72" spans="1:147" s="377" customFormat="1" ht="15" customHeight="1" outlineLevel="2">
      <c r="A72" s="368"/>
      <c r="B72"/>
      <c r="C72"/>
      <c r="D72"/>
      <c r="E72"/>
      <c r="F72"/>
      <c r="G72"/>
      <c r="H72" s="369"/>
      <c r="I72" s="379"/>
      <c r="J72" s="369"/>
      <c r="K72" s="369"/>
      <c r="L72" s="369"/>
      <c r="M72" s="371"/>
      <c r="N72" s="369"/>
      <c r="O72" s="369"/>
      <c r="P72" s="369"/>
      <c r="Q72" s="371"/>
      <c r="R72" s="369"/>
      <c r="S72" s="369"/>
      <c r="T72" s="369"/>
      <c r="U72" s="371"/>
      <c r="V72" s="369"/>
      <c r="W72" s="369"/>
      <c r="X72" s="369"/>
      <c r="Y72" s="371"/>
      <c r="Z72" s="369"/>
      <c r="AA72" s="369"/>
      <c r="AB72" s="369"/>
      <c r="AC72" s="371"/>
      <c r="AD72" s="369"/>
      <c r="AE72" s="369"/>
      <c r="AF72" s="369"/>
      <c r="AG72" s="371"/>
      <c r="AH72" s="369"/>
      <c r="AI72" s="369"/>
      <c r="AJ72" s="369"/>
      <c r="AK72" s="371"/>
      <c r="AL72" s="369"/>
      <c r="AM72" s="369"/>
      <c r="AN72" s="369"/>
      <c r="AO72" s="371"/>
      <c r="AP72" s="369"/>
      <c r="AQ72" s="369"/>
      <c r="AR72" s="369"/>
      <c r="AS72" s="488"/>
      <c r="AT72" s="504"/>
      <c r="AU72" s="504"/>
      <c r="AV72" s="504"/>
      <c r="AW72" s="488"/>
      <c r="AX72" s="504"/>
      <c r="AY72" s="504"/>
      <c r="AZ72" s="504"/>
      <c r="BA72" s="488"/>
      <c r="BB72" s="504"/>
      <c r="BC72" s="504"/>
      <c r="BD72" s="504"/>
      <c r="BE72" s="505"/>
      <c r="BF72" s="504"/>
      <c r="BG72" s="504"/>
      <c r="BH72" s="504"/>
      <c r="BI72" s="505"/>
      <c r="BJ72" s="504"/>
      <c r="BK72" s="504"/>
      <c r="BL72" s="504"/>
      <c r="BM72" s="505"/>
      <c r="BN72" s="448"/>
      <c r="BO72" s="448"/>
      <c r="BP72" s="448"/>
      <c r="BQ72" s="449"/>
      <c r="BR72" s="448"/>
      <c r="BS72" s="448"/>
      <c r="BT72" s="448"/>
      <c r="BU72" s="449"/>
      <c r="BV72" s="448"/>
      <c r="BW72" s="448"/>
      <c r="BX72" s="448"/>
      <c r="BY72" s="449"/>
      <c r="BZ72" s="450"/>
      <c r="CA72" s="448"/>
      <c r="CB72" s="448"/>
      <c r="CC72" s="449"/>
      <c r="CD72" s="448"/>
      <c r="CE72" s="448"/>
      <c r="CF72" s="448"/>
      <c r="CG72" s="449"/>
      <c r="CH72" s="448"/>
      <c r="CI72" s="448"/>
      <c r="CJ72" s="448"/>
      <c r="CK72" s="449"/>
      <c r="CL72" s="450"/>
      <c r="CM72" s="448"/>
      <c r="CN72" s="448"/>
      <c r="CO72" s="449"/>
      <c r="CP72" s="450"/>
      <c r="CQ72" s="448"/>
      <c r="CR72" s="448"/>
      <c r="CS72" s="449"/>
      <c r="CT72" s="450"/>
      <c r="CU72" s="448"/>
      <c r="CV72" s="448"/>
      <c r="CW72" s="449"/>
      <c r="CX72" s="448"/>
      <c r="CY72" s="448"/>
      <c r="CZ72" s="448"/>
      <c r="DA72" s="449"/>
      <c r="DB72" s="448"/>
      <c r="DC72" s="448"/>
      <c r="DD72" s="448"/>
      <c r="DE72" s="449"/>
      <c r="DF72" s="448"/>
      <c r="DG72" s="448"/>
      <c r="DH72" s="448"/>
      <c r="DI72" s="449"/>
      <c r="DJ72" s="491"/>
      <c r="DK72" s="450"/>
      <c r="DL72" s="448"/>
      <c r="DM72" s="448"/>
      <c r="DN72" s="448"/>
      <c r="DO72" s="448"/>
      <c r="DP72" s="448"/>
      <c r="DQ72" s="448"/>
      <c r="DR72" s="448"/>
      <c r="DS72" s="461"/>
      <c r="DT72" s="461"/>
      <c r="DU72" s="461"/>
      <c r="DV72" s="448"/>
      <c r="DW72" s="448"/>
      <c r="DX72" s="448"/>
      <c r="DY72" s="448"/>
      <c r="DZ72" s="448"/>
      <c r="EA72" s="448"/>
      <c r="EB72" s="448"/>
      <c r="EC72" s="448"/>
      <c r="ED72" s="448"/>
      <c r="EE72" s="448"/>
      <c r="EF72" s="448"/>
      <c r="EG72" s="448"/>
      <c r="EH72" s="448"/>
      <c r="EI72" s="448"/>
      <c r="EJ72" s="448"/>
      <c r="EK72" s="448"/>
      <c r="EL72" s="448"/>
      <c r="EM72" s="448"/>
      <c r="EN72" s="448"/>
      <c r="EO72" s="448"/>
      <c r="EP72" s="375"/>
      <c r="EQ72" s="369"/>
    </row>
    <row r="73" spans="1:147" s="390" customFormat="1" ht="15" customHeight="1" outlineLevel="2">
      <c r="A73" s="385"/>
      <c r="B73"/>
      <c r="C73"/>
      <c r="D73"/>
      <c r="E73"/>
      <c r="F73"/>
      <c r="G73"/>
      <c r="H73" s="386"/>
      <c r="I73" s="378" t="s">
        <v>1516</v>
      </c>
      <c r="J73" s="386"/>
      <c r="K73" s="386"/>
      <c r="L73" s="386"/>
      <c r="M73" s="388"/>
      <c r="N73" s="386"/>
      <c r="O73" s="386"/>
      <c r="P73" s="386"/>
      <c r="Q73" s="388"/>
      <c r="R73" s="386"/>
      <c r="S73" s="386"/>
      <c r="T73" s="386"/>
      <c r="U73" s="388"/>
      <c r="V73" s="386"/>
      <c r="W73" s="386"/>
      <c r="X73" s="386"/>
      <c r="Y73" s="388"/>
      <c r="Z73" s="386"/>
      <c r="AA73" s="386"/>
      <c r="AB73" s="386"/>
      <c r="AC73" s="388"/>
      <c r="AD73" s="386"/>
      <c r="AE73" s="386"/>
      <c r="AF73" s="386"/>
      <c r="AG73" s="388"/>
      <c r="AH73" s="386"/>
      <c r="AI73" s="386"/>
      <c r="AJ73" s="386"/>
      <c r="AK73" s="388"/>
      <c r="AL73" s="386"/>
      <c r="AM73" s="386"/>
      <c r="AN73" s="386"/>
      <c r="AO73" s="388"/>
      <c r="AP73" s="386"/>
      <c r="AQ73" s="386"/>
      <c r="AR73" s="386"/>
      <c r="AS73" s="478"/>
      <c r="AT73" s="479">
        <v>189</v>
      </c>
      <c r="AU73" s="479">
        <v>195</v>
      </c>
      <c r="AV73" s="479">
        <v>15</v>
      </c>
      <c r="AW73" s="478">
        <v>-286</v>
      </c>
      <c r="AX73" s="479">
        <v>381</v>
      </c>
      <c r="AY73" s="479">
        <v>219</v>
      </c>
      <c r="AZ73" s="479">
        <v>51</v>
      </c>
      <c r="BA73" s="478">
        <v>-233</v>
      </c>
      <c r="BB73" s="479">
        <v>503</v>
      </c>
      <c r="BC73" s="479">
        <v>335</v>
      </c>
      <c r="BD73" s="479">
        <v>148</v>
      </c>
      <c r="BE73" s="484">
        <v>99</v>
      </c>
      <c r="BF73" s="479">
        <v>384</v>
      </c>
      <c r="BG73" s="479">
        <v>185</v>
      </c>
      <c r="BH73" s="479">
        <v>226</v>
      </c>
      <c r="BI73" s="484">
        <v>354</v>
      </c>
      <c r="BJ73" s="479">
        <v>456</v>
      </c>
      <c r="BK73" s="479">
        <v>324</v>
      </c>
      <c r="BL73" s="479">
        <v>56</v>
      </c>
      <c r="BM73" s="484">
        <v>174</v>
      </c>
      <c r="BN73" s="325">
        <v>293</v>
      </c>
      <c r="BO73" s="325">
        <v>204</v>
      </c>
      <c r="BP73" s="325">
        <v>-23</v>
      </c>
      <c r="BQ73" s="485">
        <v>361</v>
      </c>
      <c r="BR73" s="325">
        <v>394</v>
      </c>
      <c r="BS73" s="325">
        <v>212</v>
      </c>
      <c r="BT73" s="325">
        <v>127</v>
      </c>
      <c r="BU73" s="372">
        <v>159</v>
      </c>
      <c r="BV73" s="325">
        <v>363</v>
      </c>
      <c r="BW73" s="325">
        <v>151</v>
      </c>
      <c r="BX73" s="325">
        <v>199</v>
      </c>
      <c r="BY73" s="372">
        <v>254</v>
      </c>
      <c r="BZ73" s="373">
        <v>426</v>
      </c>
      <c r="CA73" s="325">
        <v>243</v>
      </c>
      <c r="CB73" s="325">
        <v>188</v>
      </c>
      <c r="CC73" s="372">
        <v>-584</v>
      </c>
      <c r="CD73" s="373">
        <v>500</v>
      </c>
      <c r="CE73" s="325">
        <v>402</v>
      </c>
      <c r="CF73" s="325">
        <v>260</v>
      </c>
      <c r="CG73" s="372">
        <v>650</v>
      </c>
      <c r="CH73" s="373">
        <v>390</v>
      </c>
      <c r="CI73" s="325">
        <v>328</v>
      </c>
      <c r="CJ73" s="325">
        <v>204</v>
      </c>
      <c r="CK73" s="372">
        <v>525</v>
      </c>
      <c r="CL73" s="373">
        <v>505</v>
      </c>
      <c r="CM73" s="325">
        <v>580</v>
      </c>
      <c r="CN73" s="325">
        <v>604</v>
      </c>
      <c r="CO73" s="372">
        <v>508</v>
      </c>
      <c r="CP73" s="373">
        <v>619</v>
      </c>
      <c r="CQ73" s="325">
        <v>876</v>
      </c>
      <c r="CR73" s="325">
        <v>639</v>
      </c>
      <c r="CS73" s="372">
        <v>960.4976021179923</v>
      </c>
      <c r="CT73" s="373">
        <v>305.04206261218957</v>
      </c>
      <c r="CU73" s="325">
        <v>358.53006528527516</v>
      </c>
      <c r="CV73" s="325">
        <v>602.85801679751648</v>
      </c>
      <c r="CW73" s="372">
        <v>1160.6804591270529</v>
      </c>
      <c r="CX73" s="325"/>
      <c r="CY73" s="325"/>
      <c r="CZ73" s="325"/>
      <c r="DA73" s="372"/>
      <c r="DB73" s="325"/>
      <c r="DC73" s="325"/>
      <c r="DD73" s="325"/>
      <c r="DE73" s="372"/>
      <c r="DF73" s="325"/>
      <c r="DG73" s="325"/>
      <c r="DH73" s="325"/>
      <c r="DI73" s="372"/>
      <c r="DJ73" s="486"/>
      <c r="DK73" s="373"/>
      <c r="DL73" s="325"/>
      <c r="DM73" s="325"/>
      <c r="DN73" s="325"/>
      <c r="DO73" s="325"/>
      <c r="DP73" s="325"/>
      <c r="DQ73" s="325"/>
      <c r="DR73" s="325"/>
      <c r="DS73" s="376">
        <v>-107</v>
      </c>
      <c r="DT73" s="376">
        <v>113</v>
      </c>
      <c r="DU73" s="376">
        <v>418</v>
      </c>
      <c r="DV73" s="325">
        <v>1085</v>
      </c>
      <c r="DW73" s="325">
        <v>1149</v>
      </c>
      <c r="DX73" s="325">
        <v>1010</v>
      </c>
      <c r="DY73" s="325">
        <v>835</v>
      </c>
      <c r="DZ73" s="325">
        <v>892</v>
      </c>
      <c r="EA73" s="325">
        <v>967</v>
      </c>
      <c r="EB73" s="325">
        <v>273</v>
      </c>
      <c r="EC73" s="325">
        <v>1812</v>
      </c>
      <c r="ED73" s="325">
        <v>1447</v>
      </c>
      <c r="EE73" s="325">
        <v>2197</v>
      </c>
      <c r="EF73" s="325">
        <v>3094.4976021179932</v>
      </c>
      <c r="EG73" s="325">
        <v>2427.110603822035</v>
      </c>
      <c r="EH73" s="325">
        <v>3109.6601610367948</v>
      </c>
      <c r="EI73" s="325">
        <v>2903.7756029560996</v>
      </c>
      <c r="EJ73" s="325">
        <v>2629.3122979699237</v>
      </c>
      <c r="EK73" s="325">
        <v>3766.9024015991104</v>
      </c>
      <c r="EL73" s="325">
        <v>3488.7893962614949</v>
      </c>
      <c r="EM73" s="325">
        <v>3556.2684049057207</v>
      </c>
      <c r="EN73" s="325">
        <v>3460.2517746227913</v>
      </c>
      <c r="EO73" s="325">
        <v>4002.7444764876827</v>
      </c>
      <c r="EP73" s="389"/>
      <c r="EQ73" s="386"/>
    </row>
    <row r="74" spans="1:147" s="390" customFormat="1" ht="15" customHeight="1" outlineLevel="2">
      <c r="A74" s="385"/>
      <c r="B74"/>
      <c r="C74"/>
      <c r="D74"/>
      <c r="E74"/>
      <c r="F74"/>
      <c r="G74"/>
      <c r="H74" s="386"/>
      <c r="I74" s="378" t="s">
        <v>1508</v>
      </c>
      <c r="J74" s="386"/>
      <c r="K74" s="386"/>
      <c r="L74" s="386"/>
      <c r="M74" s="388"/>
      <c r="N74" s="386"/>
      <c r="O74" s="386"/>
      <c r="P74" s="386"/>
      <c r="Q74" s="388"/>
      <c r="R74" s="386"/>
      <c r="S74" s="386"/>
      <c r="T74" s="386"/>
      <c r="U74" s="388"/>
      <c r="V74" s="386"/>
      <c r="W74" s="386"/>
      <c r="X74" s="386"/>
      <c r="Y74" s="388"/>
      <c r="Z74" s="386"/>
      <c r="AA74" s="386"/>
      <c r="AB74" s="386"/>
      <c r="AC74" s="388"/>
      <c r="AD74" s="386"/>
      <c r="AE74" s="386"/>
      <c r="AF74" s="386"/>
      <c r="AG74" s="388"/>
      <c r="AH74" s="386"/>
      <c r="AI74" s="386"/>
      <c r="AJ74" s="386"/>
      <c r="AK74" s="388"/>
      <c r="AL74" s="386"/>
      <c r="AM74" s="386"/>
      <c r="AN74" s="386"/>
      <c r="AO74" s="388"/>
      <c r="AP74" s="386"/>
      <c r="AQ74" s="386"/>
      <c r="AR74" s="386"/>
      <c r="AS74" s="478"/>
      <c r="AT74" s="492">
        <v>17</v>
      </c>
      <c r="AU74" s="492">
        <v>27</v>
      </c>
      <c r="AV74" s="492">
        <v>23</v>
      </c>
      <c r="AW74" s="493">
        <v>47</v>
      </c>
      <c r="AX74" s="492">
        <v>30</v>
      </c>
      <c r="AY74" s="492">
        <v>12</v>
      </c>
      <c r="AZ74" s="492">
        <v>21</v>
      </c>
      <c r="BA74" s="493">
        <v>24</v>
      </c>
      <c r="BB74" s="492">
        <v>15</v>
      </c>
      <c r="BC74" s="492">
        <v>15</v>
      </c>
      <c r="BD74" s="492">
        <v>13</v>
      </c>
      <c r="BE74" s="493">
        <v>33</v>
      </c>
      <c r="BF74" s="492">
        <v>16</v>
      </c>
      <c r="BG74" s="492">
        <v>21</v>
      </c>
      <c r="BH74" s="492">
        <v>23</v>
      </c>
      <c r="BI74" s="493">
        <v>38</v>
      </c>
      <c r="BJ74" s="492">
        <v>18</v>
      </c>
      <c r="BK74" s="492">
        <v>15</v>
      </c>
      <c r="BL74" s="492">
        <v>16</v>
      </c>
      <c r="BM74" s="493">
        <v>23</v>
      </c>
      <c r="BN74" s="401">
        <v>18</v>
      </c>
      <c r="BO74" s="401">
        <v>14</v>
      </c>
      <c r="BP74" s="401">
        <v>14</v>
      </c>
      <c r="BQ74" s="402">
        <v>19</v>
      </c>
      <c r="BR74" s="401">
        <v>16</v>
      </c>
      <c r="BS74" s="401">
        <v>16</v>
      </c>
      <c r="BT74" s="401">
        <v>19</v>
      </c>
      <c r="BU74" s="402">
        <v>15</v>
      </c>
      <c r="BV74" s="401">
        <v>44</v>
      </c>
      <c r="BW74" s="325">
        <v>41</v>
      </c>
      <c r="BX74" s="325">
        <v>32</v>
      </c>
      <c r="BY74" s="372">
        <v>40</v>
      </c>
      <c r="BZ74" s="373">
        <v>33</v>
      </c>
      <c r="CA74" s="325">
        <v>38</v>
      </c>
      <c r="CB74" s="325">
        <v>47</v>
      </c>
      <c r="CC74" s="372">
        <v>58</v>
      </c>
      <c r="CD74" s="373">
        <v>54</v>
      </c>
      <c r="CE74" s="325">
        <v>56</v>
      </c>
      <c r="CF74" s="325">
        <v>55</v>
      </c>
      <c r="CG74" s="372">
        <v>44</v>
      </c>
      <c r="CH74" s="373">
        <v>63</v>
      </c>
      <c r="CI74" s="325">
        <v>37</v>
      </c>
      <c r="CJ74" s="325">
        <v>27</v>
      </c>
      <c r="CK74" s="372">
        <v>39</v>
      </c>
      <c r="CL74" s="373">
        <v>43</v>
      </c>
      <c r="CM74" s="325">
        <v>42</v>
      </c>
      <c r="CN74" s="325">
        <v>53</v>
      </c>
      <c r="CO74" s="372">
        <v>80</v>
      </c>
      <c r="CP74" s="373">
        <v>151</v>
      </c>
      <c r="CQ74" s="325">
        <v>43</v>
      </c>
      <c r="CR74" s="325">
        <v>65</v>
      </c>
      <c r="CS74" s="372">
        <v>84</v>
      </c>
      <c r="CT74" s="373">
        <v>158.55000000000001</v>
      </c>
      <c r="CU74" s="325">
        <v>45.15</v>
      </c>
      <c r="CV74" s="325">
        <v>67.2</v>
      </c>
      <c r="CW74" s="372">
        <v>88.2</v>
      </c>
      <c r="CX74" s="325"/>
      <c r="CY74" s="325"/>
      <c r="CZ74" s="325"/>
      <c r="DA74" s="372"/>
      <c r="DB74" s="325"/>
      <c r="DC74" s="325"/>
      <c r="DD74" s="325"/>
      <c r="DE74" s="372"/>
      <c r="DF74" s="325"/>
      <c r="DG74" s="325"/>
      <c r="DH74" s="325"/>
      <c r="DI74" s="372"/>
      <c r="DJ74" s="486"/>
      <c r="DK74" s="373"/>
      <c r="DL74" s="325"/>
      <c r="DM74" s="325"/>
      <c r="DN74" s="325"/>
      <c r="DO74" s="325"/>
      <c r="DP74" s="325"/>
      <c r="DQ74" s="325"/>
      <c r="DR74" s="325"/>
      <c r="DS74" s="401"/>
      <c r="DT74" s="401">
        <v>96</v>
      </c>
      <c r="DU74" s="401">
        <v>87</v>
      </c>
      <c r="DV74" s="325">
        <v>76</v>
      </c>
      <c r="DW74" s="325">
        <v>98</v>
      </c>
      <c r="DX74" s="325">
        <v>72</v>
      </c>
      <c r="DY74" s="325">
        <v>65</v>
      </c>
      <c r="DZ74" s="325">
        <v>66</v>
      </c>
      <c r="EA74" s="325">
        <v>157</v>
      </c>
      <c r="EB74" s="325">
        <v>176</v>
      </c>
      <c r="EC74" s="325">
        <v>209</v>
      </c>
      <c r="ED74" s="325">
        <v>166</v>
      </c>
      <c r="EE74" s="325">
        <v>218</v>
      </c>
      <c r="EF74" s="325">
        <v>343</v>
      </c>
      <c r="EG74" s="325">
        <v>359.1</v>
      </c>
      <c r="EH74" s="325">
        <v>373.46400000000006</v>
      </c>
      <c r="EI74" s="325">
        <v>388.40256000000005</v>
      </c>
      <c r="EJ74" s="325">
        <v>403.93866240000006</v>
      </c>
      <c r="EK74" s="325">
        <v>420.09620889600006</v>
      </c>
      <c r="EL74" s="325">
        <v>436.90005725184011</v>
      </c>
      <c r="EM74" s="325">
        <v>454.37605954191372</v>
      </c>
      <c r="EN74" s="325">
        <v>472.55110192359029</v>
      </c>
      <c r="EO74" s="325">
        <v>491.45314600053393</v>
      </c>
      <c r="EP74" s="389"/>
      <c r="EQ74" s="386"/>
    </row>
    <row r="75" spans="1:147" s="390" customFormat="1" ht="15" customHeight="1" outlineLevel="2">
      <c r="A75" s="385"/>
      <c r="B75"/>
      <c r="C75"/>
      <c r="D75"/>
      <c r="E75"/>
      <c r="F75"/>
      <c r="G75"/>
      <c r="H75" s="386"/>
      <c r="I75" s="378" t="s">
        <v>1517</v>
      </c>
      <c r="J75" s="386"/>
      <c r="K75" s="386"/>
      <c r="L75" s="386"/>
      <c r="M75" s="388"/>
      <c r="N75" s="386"/>
      <c r="O75" s="386"/>
      <c r="P75" s="386"/>
      <c r="Q75" s="388"/>
      <c r="R75" s="386"/>
      <c r="S75" s="386"/>
      <c r="T75" s="386"/>
      <c r="U75" s="388"/>
      <c r="V75" s="386"/>
      <c r="W75" s="386"/>
      <c r="X75" s="386"/>
      <c r="Y75" s="388"/>
      <c r="Z75" s="386"/>
      <c r="AA75" s="386"/>
      <c r="AB75" s="386"/>
      <c r="AC75" s="388"/>
      <c r="AD75" s="386"/>
      <c r="AE75" s="386"/>
      <c r="AF75" s="386"/>
      <c r="AG75" s="388"/>
      <c r="AH75" s="386"/>
      <c r="AI75" s="386"/>
      <c r="AJ75" s="386"/>
      <c r="AK75" s="388"/>
      <c r="AL75" s="386"/>
      <c r="AM75" s="386"/>
      <c r="AN75" s="386"/>
      <c r="AO75" s="388"/>
      <c r="AP75" s="386"/>
      <c r="AQ75" s="386"/>
      <c r="AR75" s="386"/>
      <c r="AS75" s="478"/>
      <c r="AT75" s="492">
        <v>19</v>
      </c>
      <c r="AU75" s="492">
        <v>22</v>
      </c>
      <c r="AV75" s="492">
        <v>9</v>
      </c>
      <c r="AW75" s="493">
        <v>142</v>
      </c>
      <c r="AX75" s="492">
        <v>11</v>
      </c>
      <c r="AY75" s="492">
        <v>6</v>
      </c>
      <c r="AZ75" s="492">
        <v>-5</v>
      </c>
      <c r="BA75" s="493">
        <v>38</v>
      </c>
      <c r="BB75" s="492">
        <v>5</v>
      </c>
      <c r="BC75" s="492">
        <v>4</v>
      </c>
      <c r="BD75" s="492">
        <v>5</v>
      </c>
      <c r="BE75" s="493">
        <v>1</v>
      </c>
      <c r="BF75" s="492">
        <v>2</v>
      </c>
      <c r="BG75" s="492">
        <v>1</v>
      </c>
      <c r="BH75" s="492">
        <v>2</v>
      </c>
      <c r="BI75" s="493">
        <v>14</v>
      </c>
      <c r="BJ75" s="492">
        <v>2</v>
      </c>
      <c r="BK75" s="492">
        <v>2</v>
      </c>
      <c r="BL75" s="492">
        <v>2</v>
      </c>
      <c r="BM75" s="493">
        <v>9</v>
      </c>
      <c r="BN75" s="401">
        <v>1</v>
      </c>
      <c r="BO75" s="401">
        <v>1</v>
      </c>
      <c r="BP75" s="401">
        <v>1</v>
      </c>
      <c r="BQ75" s="402">
        <v>5</v>
      </c>
      <c r="BR75" s="401">
        <v>1</v>
      </c>
      <c r="BS75" s="401">
        <v>1</v>
      </c>
      <c r="BT75" s="401">
        <v>1</v>
      </c>
      <c r="BU75" s="402">
        <v>5</v>
      </c>
      <c r="BV75" s="401">
        <v>82</v>
      </c>
      <c r="BW75" s="325">
        <v>203</v>
      </c>
      <c r="BX75" s="325">
        <v>211</v>
      </c>
      <c r="BY75" s="372">
        <v>212</v>
      </c>
      <c r="BZ75" s="373">
        <v>190</v>
      </c>
      <c r="CA75" s="325">
        <v>194</v>
      </c>
      <c r="CB75" s="325">
        <v>187</v>
      </c>
      <c r="CC75" s="372">
        <v>185</v>
      </c>
      <c r="CD75" s="373">
        <v>119</v>
      </c>
      <c r="CE75" s="325">
        <v>77</v>
      </c>
      <c r="CF75" s="325">
        <v>83</v>
      </c>
      <c r="CG75" s="372">
        <v>91</v>
      </c>
      <c r="CH75" s="373">
        <v>54</v>
      </c>
      <c r="CI75" s="325">
        <v>47</v>
      </c>
      <c r="CJ75" s="325">
        <v>50</v>
      </c>
      <c r="CK75" s="372">
        <v>56</v>
      </c>
      <c r="CL75" s="373">
        <v>33</v>
      </c>
      <c r="CM75" s="325">
        <v>14</v>
      </c>
      <c r="CN75" s="325">
        <v>16</v>
      </c>
      <c r="CO75" s="372">
        <v>18</v>
      </c>
      <c r="CP75" s="373">
        <v>5</v>
      </c>
      <c r="CQ75" s="325">
        <v>2</v>
      </c>
      <c r="CR75" s="325">
        <v>2</v>
      </c>
      <c r="CS75" s="372">
        <v>2</v>
      </c>
      <c r="CT75" s="373">
        <v>2</v>
      </c>
      <c r="CU75" s="325">
        <v>2</v>
      </c>
      <c r="CV75" s="325">
        <v>2</v>
      </c>
      <c r="CW75" s="372">
        <v>2</v>
      </c>
      <c r="CX75" s="325"/>
      <c r="CY75" s="325"/>
      <c r="CZ75" s="325"/>
      <c r="DA75" s="372"/>
      <c r="DB75" s="325"/>
      <c r="DC75" s="325"/>
      <c r="DD75" s="325"/>
      <c r="DE75" s="372"/>
      <c r="DF75" s="325"/>
      <c r="DG75" s="325"/>
      <c r="DH75" s="325"/>
      <c r="DI75" s="372"/>
      <c r="DJ75" s="486"/>
      <c r="DK75" s="373"/>
      <c r="DL75" s="325"/>
      <c r="DM75" s="325"/>
      <c r="DN75" s="325"/>
      <c r="DO75" s="325"/>
      <c r="DP75" s="325"/>
      <c r="DQ75" s="325"/>
      <c r="DR75" s="325"/>
      <c r="DS75" s="401"/>
      <c r="DT75" s="401">
        <v>141</v>
      </c>
      <c r="DU75" s="401">
        <v>50</v>
      </c>
      <c r="DV75" s="325">
        <v>15</v>
      </c>
      <c r="DW75" s="325">
        <v>19</v>
      </c>
      <c r="DX75" s="325">
        <v>15</v>
      </c>
      <c r="DY75" s="325">
        <v>8</v>
      </c>
      <c r="DZ75" s="325">
        <v>8</v>
      </c>
      <c r="EA75" s="325">
        <v>708</v>
      </c>
      <c r="EB75" s="325">
        <v>756</v>
      </c>
      <c r="EC75" s="325">
        <v>370</v>
      </c>
      <c r="ED75" s="325">
        <v>207</v>
      </c>
      <c r="EE75" s="325">
        <v>81</v>
      </c>
      <c r="EF75" s="325">
        <v>11</v>
      </c>
      <c r="EG75" s="325">
        <v>8</v>
      </c>
      <c r="EH75" s="325">
        <v>0</v>
      </c>
      <c r="EI75" s="325">
        <v>0</v>
      </c>
      <c r="EJ75" s="325">
        <v>0</v>
      </c>
      <c r="EK75" s="325">
        <v>0</v>
      </c>
      <c r="EL75" s="325">
        <v>0</v>
      </c>
      <c r="EM75" s="325">
        <v>0</v>
      </c>
      <c r="EN75" s="325">
        <v>0</v>
      </c>
      <c r="EO75" s="325">
        <v>0</v>
      </c>
      <c r="EP75" s="389"/>
      <c r="EQ75" s="386"/>
    </row>
    <row r="76" spans="1:147" s="390" customFormat="1" ht="15" customHeight="1" outlineLevel="2">
      <c r="A76" s="385"/>
      <c r="B76"/>
      <c r="C76"/>
      <c r="D76"/>
      <c r="E76"/>
      <c r="F76"/>
      <c r="G76"/>
      <c r="H76" s="386"/>
      <c r="I76" s="378" t="s">
        <v>1510</v>
      </c>
      <c r="J76" s="386"/>
      <c r="K76" s="386"/>
      <c r="L76" s="386"/>
      <c r="M76" s="388"/>
      <c r="N76" s="386"/>
      <c r="O76" s="386"/>
      <c r="P76" s="386"/>
      <c r="Q76" s="388"/>
      <c r="R76" s="386"/>
      <c r="S76" s="386"/>
      <c r="T76" s="386"/>
      <c r="U76" s="388"/>
      <c r="V76" s="386"/>
      <c r="W76" s="386"/>
      <c r="X76" s="386"/>
      <c r="Y76" s="388"/>
      <c r="Z76" s="386"/>
      <c r="AA76" s="386"/>
      <c r="AB76" s="386"/>
      <c r="AC76" s="388"/>
      <c r="AD76" s="386"/>
      <c r="AE76" s="386"/>
      <c r="AF76" s="386"/>
      <c r="AG76" s="388"/>
      <c r="AH76" s="386"/>
      <c r="AI76" s="386"/>
      <c r="AJ76" s="386"/>
      <c r="AK76" s="388"/>
      <c r="AL76" s="386"/>
      <c r="AM76" s="386"/>
      <c r="AN76" s="386"/>
      <c r="AO76" s="388"/>
      <c r="AP76" s="386"/>
      <c r="AQ76" s="386"/>
      <c r="AR76" s="386"/>
      <c r="AS76" s="478"/>
      <c r="AT76" s="492">
        <v>0</v>
      </c>
      <c r="AU76" s="492">
        <v>0</v>
      </c>
      <c r="AV76" s="492">
        <v>0</v>
      </c>
      <c r="AW76" s="493">
        <v>0</v>
      </c>
      <c r="AX76" s="492">
        <v>0</v>
      </c>
      <c r="AY76" s="492">
        <v>0</v>
      </c>
      <c r="AZ76" s="492">
        <v>0</v>
      </c>
      <c r="BA76" s="493">
        <v>0</v>
      </c>
      <c r="BB76" s="492">
        <v>14</v>
      </c>
      <c r="BC76" s="492">
        <v>2</v>
      </c>
      <c r="BD76" s="492">
        <v>2</v>
      </c>
      <c r="BE76" s="493">
        <v>31</v>
      </c>
      <c r="BF76" s="492">
        <v>0</v>
      </c>
      <c r="BG76" s="492">
        <v>0</v>
      </c>
      <c r="BH76" s="492">
        <v>0</v>
      </c>
      <c r="BI76" s="493">
        <v>0</v>
      </c>
      <c r="BJ76" s="492">
        <v>0</v>
      </c>
      <c r="BK76" s="492">
        <v>0</v>
      </c>
      <c r="BL76" s="492">
        <v>39</v>
      </c>
      <c r="BM76" s="493">
        <v>14</v>
      </c>
      <c r="BN76" s="401">
        <v>0</v>
      </c>
      <c r="BO76" s="401">
        <v>0</v>
      </c>
      <c r="BP76" s="401">
        <v>48</v>
      </c>
      <c r="BQ76" s="402">
        <v>-36</v>
      </c>
      <c r="BR76" s="401">
        <v>0</v>
      </c>
      <c r="BS76" s="401">
        <v>0</v>
      </c>
      <c r="BT76" s="401">
        <v>0</v>
      </c>
      <c r="BU76" s="402">
        <v>5</v>
      </c>
      <c r="BV76" s="401">
        <v>0</v>
      </c>
      <c r="BW76" s="325">
        <v>0</v>
      </c>
      <c r="BX76" s="325">
        <v>0</v>
      </c>
      <c r="BY76" s="372">
        <v>0</v>
      </c>
      <c r="BZ76" s="373">
        <v>0</v>
      </c>
      <c r="CA76" s="325">
        <v>0</v>
      </c>
      <c r="CB76" s="325">
        <v>0</v>
      </c>
      <c r="CC76" s="372">
        <v>0</v>
      </c>
      <c r="CD76" s="373">
        <v>0</v>
      </c>
      <c r="CE76" s="325">
        <v>0</v>
      </c>
      <c r="CF76" s="325">
        <v>0</v>
      </c>
      <c r="CG76" s="372">
        <v>0</v>
      </c>
      <c r="CH76" s="373">
        <v>0</v>
      </c>
      <c r="CI76" s="325">
        <v>0</v>
      </c>
      <c r="CJ76" s="325">
        <v>0</v>
      </c>
      <c r="CK76" s="372">
        <v>0</v>
      </c>
      <c r="CL76" s="373">
        <v>0</v>
      </c>
      <c r="CM76" s="325">
        <v>0</v>
      </c>
      <c r="CN76" s="325">
        <v>0</v>
      </c>
      <c r="CO76" s="372">
        <v>0</v>
      </c>
      <c r="CP76" s="373">
        <v>0</v>
      </c>
      <c r="CQ76" s="325">
        <v>0</v>
      </c>
      <c r="CR76" s="325">
        <v>0</v>
      </c>
      <c r="CS76" s="372">
        <v>0</v>
      </c>
      <c r="CT76" s="373">
        <v>0</v>
      </c>
      <c r="CU76" s="325">
        <v>0</v>
      </c>
      <c r="CV76" s="325">
        <v>0</v>
      </c>
      <c r="CW76" s="372">
        <v>0</v>
      </c>
      <c r="CX76" s="325"/>
      <c r="CY76" s="325"/>
      <c r="CZ76" s="325"/>
      <c r="DA76" s="372"/>
      <c r="DB76" s="325"/>
      <c r="DC76" s="325"/>
      <c r="DD76" s="325"/>
      <c r="DE76" s="372"/>
      <c r="DF76" s="325"/>
      <c r="DG76" s="325"/>
      <c r="DH76" s="325"/>
      <c r="DI76" s="372"/>
      <c r="DJ76" s="486"/>
      <c r="DK76" s="373"/>
      <c r="DL76" s="325"/>
      <c r="DM76" s="325"/>
      <c r="DN76" s="325"/>
      <c r="DO76" s="325"/>
      <c r="DP76" s="325"/>
      <c r="DQ76" s="325"/>
      <c r="DR76" s="325"/>
      <c r="DS76" s="401"/>
      <c r="DT76" s="401">
        <v>0</v>
      </c>
      <c r="DU76" s="401">
        <v>0</v>
      </c>
      <c r="DV76" s="325">
        <v>49</v>
      </c>
      <c r="DW76" s="325">
        <v>0</v>
      </c>
      <c r="DX76" s="325">
        <v>53</v>
      </c>
      <c r="DY76" s="325">
        <v>12</v>
      </c>
      <c r="DZ76" s="325">
        <v>5</v>
      </c>
      <c r="EA76" s="325">
        <v>0</v>
      </c>
      <c r="EB76" s="325">
        <v>0</v>
      </c>
      <c r="EC76" s="325">
        <v>0</v>
      </c>
      <c r="ED76" s="325">
        <v>0</v>
      </c>
      <c r="EE76" s="325">
        <v>0</v>
      </c>
      <c r="EF76" s="325">
        <v>0</v>
      </c>
      <c r="EG76" s="325">
        <v>0</v>
      </c>
      <c r="EH76" s="325">
        <v>0</v>
      </c>
      <c r="EI76" s="325">
        <v>0</v>
      </c>
      <c r="EJ76" s="325">
        <v>0</v>
      </c>
      <c r="EK76" s="325">
        <v>0</v>
      </c>
      <c r="EL76" s="325">
        <v>0</v>
      </c>
      <c r="EM76" s="325">
        <v>0</v>
      </c>
      <c r="EN76" s="325">
        <v>0</v>
      </c>
      <c r="EO76" s="325">
        <v>0</v>
      </c>
      <c r="EP76" s="389"/>
      <c r="EQ76" s="386"/>
    </row>
    <row r="77" spans="1:147" s="390" customFormat="1" ht="15" customHeight="1" outlineLevel="2">
      <c r="A77" s="385"/>
      <c r="B77"/>
      <c r="C77"/>
      <c r="D77"/>
      <c r="E77"/>
      <c r="F77"/>
      <c r="G77"/>
      <c r="H77" s="386"/>
      <c r="I77" s="378" t="s">
        <v>1518</v>
      </c>
      <c r="J77" s="386"/>
      <c r="K77" s="386"/>
      <c r="L77" s="386"/>
      <c r="M77" s="388"/>
      <c r="N77" s="386"/>
      <c r="O77" s="386"/>
      <c r="P77" s="386"/>
      <c r="Q77" s="388"/>
      <c r="R77" s="386"/>
      <c r="S77" s="386"/>
      <c r="T77" s="386"/>
      <c r="U77" s="388"/>
      <c r="V77" s="386"/>
      <c r="W77" s="386"/>
      <c r="X77" s="386"/>
      <c r="Y77" s="388"/>
      <c r="Z77" s="386"/>
      <c r="AA77" s="386"/>
      <c r="AB77" s="386"/>
      <c r="AC77" s="388"/>
      <c r="AD77" s="386"/>
      <c r="AE77" s="386"/>
      <c r="AF77" s="386"/>
      <c r="AG77" s="388"/>
      <c r="AH77" s="386"/>
      <c r="AI77" s="386"/>
      <c r="AJ77" s="386"/>
      <c r="AK77" s="388"/>
      <c r="AL77" s="386"/>
      <c r="AM77" s="386"/>
      <c r="AN77" s="386"/>
      <c r="AO77" s="388"/>
      <c r="AP77" s="386"/>
      <c r="AQ77" s="386"/>
      <c r="AR77" s="386"/>
      <c r="AS77" s="478"/>
      <c r="AT77" s="492">
        <v>0</v>
      </c>
      <c r="AU77" s="492">
        <v>0</v>
      </c>
      <c r="AV77" s="492">
        <v>0</v>
      </c>
      <c r="AW77" s="493">
        <v>409</v>
      </c>
      <c r="AX77" s="492">
        <v>0</v>
      </c>
      <c r="AY77" s="492">
        <v>0</v>
      </c>
      <c r="AZ77" s="492">
        <v>0</v>
      </c>
      <c r="BA77" s="493">
        <v>198</v>
      </c>
      <c r="BB77" s="492">
        <v>0</v>
      </c>
      <c r="BC77" s="492">
        <v>0</v>
      </c>
      <c r="BD77" s="492">
        <v>0</v>
      </c>
      <c r="BE77" s="493">
        <v>12</v>
      </c>
      <c r="BF77" s="492">
        <v>0</v>
      </c>
      <c r="BG77" s="492">
        <v>0</v>
      </c>
      <c r="BH77" s="492">
        <v>0</v>
      </c>
      <c r="BI77" s="493">
        <v>0</v>
      </c>
      <c r="BJ77" s="492">
        <v>0</v>
      </c>
      <c r="BK77" s="492">
        <v>0</v>
      </c>
      <c r="BL77" s="492">
        <v>0</v>
      </c>
      <c r="BM77" s="493">
        <v>0</v>
      </c>
      <c r="BN77" s="401">
        <v>0</v>
      </c>
      <c r="BO77" s="401">
        <v>0</v>
      </c>
      <c r="BP77" s="401">
        <v>0</v>
      </c>
      <c r="BQ77" s="402">
        <v>0</v>
      </c>
      <c r="BR77" s="401">
        <v>0</v>
      </c>
      <c r="BS77" s="401">
        <v>0</v>
      </c>
      <c r="BT77" s="401">
        <v>0</v>
      </c>
      <c r="BU77" s="485">
        <v>0</v>
      </c>
      <c r="BV77" s="401">
        <v>0</v>
      </c>
      <c r="BW77" s="325">
        <v>0</v>
      </c>
      <c r="BX77" s="325">
        <v>0</v>
      </c>
      <c r="BY77" s="372">
        <v>0</v>
      </c>
      <c r="BZ77" s="373">
        <v>0</v>
      </c>
      <c r="CA77" s="325">
        <v>0</v>
      </c>
      <c r="CB77" s="325">
        <v>0</v>
      </c>
      <c r="CC77" s="372">
        <v>0</v>
      </c>
      <c r="CD77" s="373">
        <v>0</v>
      </c>
      <c r="CE77" s="325">
        <v>0</v>
      </c>
      <c r="CF77" s="325">
        <v>0</v>
      </c>
      <c r="CG77" s="372">
        <v>0</v>
      </c>
      <c r="CH77" s="373">
        <v>0</v>
      </c>
      <c r="CI77" s="325">
        <v>0</v>
      </c>
      <c r="CJ77" s="325">
        <v>0</v>
      </c>
      <c r="CK77" s="372">
        <v>0</v>
      </c>
      <c r="CL77" s="373">
        <v>0</v>
      </c>
      <c r="CM77" s="325">
        <v>0</v>
      </c>
      <c r="CN77" s="325">
        <v>0</v>
      </c>
      <c r="CO77" s="372">
        <v>0</v>
      </c>
      <c r="CP77" s="373">
        <v>0</v>
      </c>
      <c r="CQ77" s="325">
        <v>0</v>
      </c>
      <c r="CR77" s="325">
        <v>0</v>
      </c>
      <c r="CS77" s="372">
        <v>0</v>
      </c>
      <c r="CT77" s="373">
        <v>0</v>
      </c>
      <c r="CU77" s="325">
        <v>0</v>
      </c>
      <c r="CV77" s="325">
        <v>0</v>
      </c>
      <c r="CW77" s="372">
        <v>0</v>
      </c>
      <c r="CX77" s="325"/>
      <c r="CY77" s="325"/>
      <c r="CZ77" s="325"/>
      <c r="DA77" s="372"/>
      <c r="DB77" s="325"/>
      <c r="DC77" s="325"/>
      <c r="DD77" s="325"/>
      <c r="DE77" s="372"/>
      <c r="DF77" s="325"/>
      <c r="DG77" s="325"/>
      <c r="DH77" s="325"/>
      <c r="DI77" s="372"/>
      <c r="DJ77" s="486"/>
      <c r="DK77" s="373"/>
      <c r="DL77" s="325"/>
      <c r="DM77" s="325"/>
      <c r="DN77" s="325"/>
      <c r="DO77" s="325"/>
      <c r="DP77" s="325"/>
      <c r="DQ77" s="325"/>
      <c r="DR77" s="325"/>
      <c r="DS77" s="401"/>
      <c r="DT77" s="401">
        <v>249</v>
      </c>
      <c r="DU77" s="401">
        <v>198</v>
      </c>
      <c r="DV77" s="325">
        <v>12</v>
      </c>
      <c r="DW77" s="325">
        <v>0</v>
      </c>
      <c r="DX77" s="325">
        <v>0</v>
      </c>
      <c r="DY77" s="325">
        <v>0</v>
      </c>
      <c r="DZ77" s="325">
        <v>0</v>
      </c>
      <c r="EA77" s="325">
        <v>0</v>
      </c>
      <c r="EB77" s="325">
        <v>0</v>
      </c>
      <c r="EC77" s="325">
        <v>0</v>
      </c>
      <c r="ED77" s="325">
        <v>0</v>
      </c>
      <c r="EE77" s="325">
        <v>0</v>
      </c>
      <c r="EF77" s="325">
        <v>0</v>
      </c>
      <c r="EG77" s="325">
        <v>0</v>
      </c>
      <c r="EH77" s="325">
        <v>0</v>
      </c>
      <c r="EI77" s="325">
        <v>0</v>
      </c>
      <c r="EJ77" s="325">
        <v>0</v>
      </c>
      <c r="EK77" s="325">
        <v>0</v>
      </c>
      <c r="EL77" s="325">
        <v>0</v>
      </c>
      <c r="EM77" s="325">
        <v>0</v>
      </c>
      <c r="EN77" s="325">
        <v>0</v>
      </c>
      <c r="EO77" s="325">
        <v>0</v>
      </c>
      <c r="EP77" s="389"/>
      <c r="EQ77" s="386"/>
    </row>
    <row r="78" spans="1:147" s="390" customFormat="1" ht="15" customHeight="1" outlineLevel="2">
      <c r="A78" s="385"/>
      <c r="B78"/>
      <c r="C78"/>
      <c r="D78"/>
      <c r="E78"/>
      <c r="F78"/>
      <c r="G78"/>
      <c r="H78" s="386"/>
      <c r="I78" s="378" t="s">
        <v>1519</v>
      </c>
      <c r="J78" s="386"/>
      <c r="K78" s="386"/>
      <c r="L78" s="386"/>
      <c r="M78" s="388"/>
      <c r="N78" s="386"/>
      <c r="O78" s="386"/>
      <c r="P78" s="386"/>
      <c r="Q78" s="388"/>
      <c r="R78" s="386"/>
      <c r="S78" s="386"/>
      <c r="T78" s="386"/>
      <c r="U78" s="388"/>
      <c r="V78" s="386"/>
      <c r="W78" s="386"/>
      <c r="X78" s="386"/>
      <c r="Y78" s="388"/>
      <c r="Z78" s="386"/>
      <c r="AA78" s="386"/>
      <c r="AB78" s="386"/>
      <c r="AC78" s="388"/>
      <c r="AD78" s="386"/>
      <c r="AE78" s="386"/>
      <c r="AF78" s="386"/>
      <c r="AG78" s="388"/>
      <c r="AH78" s="386"/>
      <c r="AI78" s="386"/>
      <c r="AJ78" s="386"/>
      <c r="AK78" s="388"/>
      <c r="AL78" s="386"/>
      <c r="AM78" s="386"/>
      <c r="AN78" s="386"/>
      <c r="AO78" s="388"/>
      <c r="AP78" s="386"/>
      <c r="AQ78" s="386"/>
      <c r="AR78" s="386"/>
      <c r="AS78" s="478"/>
      <c r="AT78" s="492">
        <v>20</v>
      </c>
      <c r="AU78" s="492">
        <v>13</v>
      </c>
      <c r="AV78" s="492">
        <v>3</v>
      </c>
      <c r="AW78" s="493">
        <v>-6</v>
      </c>
      <c r="AX78" s="492">
        <v>2</v>
      </c>
      <c r="AY78" s="492">
        <v>0</v>
      </c>
      <c r="AZ78" s="492">
        <v>0</v>
      </c>
      <c r="BA78" s="493">
        <v>0</v>
      </c>
      <c r="BB78" s="492">
        <v>0</v>
      </c>
      <c r="BC78" s="492">
        <v>0</v>
      </c>
      <c r="BD78" s="492">
        <v>0</v>
      </c>
      <c r="BE78" s="493">
        <v>0</v>
      </c>
      <c r="BF78" s="492">
        <v>0</v>
      </c>
      <c r="BG78" s="492">
        <v>0</v>
      </c>
      <c r="BH78" s="492">
        <v>0</v>
      </c>
      <c r="BI78" s="493">
        <v>0</v>
      </c>
      <c r="BJ78" s="492">
        <v>0</v>
      </c>
      <c r="BK78" s="492">
        <v>0</v>
      </c>
      <c r="BL78" s="492">
        <v>0</v>
      </c>
      <c r="BM78" s="493">
        <v>0</v>
      </c>
      <c r="BN78" s="401">
        <v>0</v>
      </c>
      <c r="BO78" s="401">
        <v>0</v>
      </c>
      <c r="BP78" s="401">
        <v>0</v>
      </c>
      <c r="BQ78" s="402">
        <v>0</v>
      </c>
      <c r="BR78" s="401">
        <v>0</v>
      </c>
      <c r="BS78" s="401">
        <v>0</v>
      </c>
      <c r="BT78" s="401">
        <v>0</v>
      </c>
      <c r="BU78" s="485">
        <v>0</v>
      </c>
      <c r="BV78" s="401">
        <v>-48</v>
      </c>
      <c r="BW78" s="403">
        <v>-54</v>
      </c>
      <c r="BX78" s="403">
        <v>-72</v>
      </c>
      <c r="BY78" s="436">
        <v>-10</v>
      </c>
      <c r="BZ78" s="437">
        <v>-103</v>
      </c>
      <c r="CA78" s="403">
        <v>-58</v>
      </c>
      <c r="CB78" s="403">
        <v>-64</v>
      </c>
      <c r="CC78" s="436">
        <v>716</v>
      </c>
      <c r="CD78" s="437">
        <v>-68</v>
      </c>
      <c r="CE78" s="403">
        <v>-62</v>
      </c>
      <c r="CF78" s="403">
        <v>-73</v>
      </c>
      <c r="CG78" s="436">
        <v>-88</v>
      </c>
      <c r="CH78" s="437">
        <v>96</v>
      </c>
      <c r="CI78" s="403">
        <v>-4</v>
      </c>
      <c r="CJ78" s="403">
        <v>14</v>
      </c>
      <c r="CK78" s="436">
        <v>-138</v>
      </c>
      <c r="CL78" s="437">
        <v>10</v>
      </c>
      <c r="CM78" s="403">
        <v>-5</v>
      </c>
      <c r="CN78" s="403">
        <v>10</v>
      </c>
      <c r="CO78" s="436">
        <v>-16</v>
      </c>
      <c r="CP78" s="437">
        <v>-7</v>
      </c>
      <c r="CQ78" s="403">
        <v>20</v>
      </c>
      <c r="CR78" s="403">
        <v>-6</v>
      </c>
      <c r="CS78" s="372">
        <v>-5.041802504835573</v>
      </c>
      <c r="CT78" s="373">
        <v>-32.11</v>
      </c>
      <c r="CU78" s="325">
        <v>-9.4299999999999926</v>
      </c>
      <c r="CV78" s="325">
        <v>-13.840000000000032</v>
      </c>
      <c r="CW78" s="372">
        <v>-18.04000000000002</v>
      </c>
      <c r="CX78" s="325"/>
      <c r="CY78" s="325"/>
      <c r="CZ78" s="325"/>
      <c r="DA78" s="372"/>
      <c r="DB78" s="325"/>
      <c r="DC78" s="325"/>
      <c r="DD78" s="325"/>
      <c r="DE78" s="372"/>
      <c r="DF78" s="325"/>
      <c r="DG78" s="325"/>
      <c r="DH78" s="325"/>
      <c r="DI78" s="372"/>
      <c r="DJ78" s="486"/>
      <c r="DK78" s="373"/>
      <c r="DL78" s="325"/>
      <c r="DM78" s="325"/>
      <c r="DN78" s="325"/>
      <c r="DO78" s="325"/>
      <c r="DP78" s="325"/>
      <c r="DQ78" s="325"/>
      <c r="DR78" s="325"/>
      <c r="DS78" s="376"/>
      <c r="DT78" s="376">
        <v>32</v>
      </c>
      <c r="DU78" s="376">
        <v>2</v>
      </c>
      <c r="DV78" s="325">
        <v>0</v>
      </c>
      <c r="DW78" s="325">
        <v>0</v>
      </c>
      <c r="DX78" s="325">
        <v>0</v>
      </c>
      <c r="DY78" s="325">
        <v>0</v>
      </c>
      <c r="DZ78" s="325">
        <v>0</v>
      </c>
      <c r="EA78" s="325">
        <v>-184</v>
      </c>
      <c r="EB78" s="325">
        <v>491</v>
      </c>
      <c r="EC78" s="325">
        <v>-291</v>
      </c>
      <c r="ED78" s="325">
        <v>-32</v>
      </c>
      <c r="EE78" s="325">
        <v>-1</v>
      </c>
      <c r="EF78" s="325">
        <v>1.958197495164427</v>
      </c>
      <c r="EG78" s="325">
        <v>-73.420000000000044</v>
      </c>
      <c r="EH78" s="325">
        <v>-74.69279999999992</v>
      </c>
      <c r="EI78" s="325">
        <v>-77.680512000000022</v>
      </c>
      <c r="EJ78" s="506">
        <v>-80.787732480000045</v>
      </c>
      <c r="EK78" s="506">
        <v>0</v>
      </c>
      <c r="EL78" s="506">
        <v>-2.3410276101139552E-2</v>
      </c>
      <c r="EM78" s="506">
        <v>0</v>
      </c>
      <c r="EN78" s="506">
        <v>0</v>
      </c>
      <c r="EO78" s="506">
        <v>0</v>
      </c>
      <c r="EP78" s="389"/>
      <c r="EQ78" s="386"/>
    </row>
    <row r="79" spans="1:147" s="377" customFormat="1" ht="15" customHeight="1" outlineLevel="2">
      <c r="A79" s="368"/>
      <c r="B79"/>
      <c r="C79"/>
      <c r="D79"/>
      <c r="E79"/>
      <c r="F79"/>
      <c r="G79"/>
      <c r="H79" s="369"/>
      <c r="I79" s="379" t="s">
        <v>1520</v>
      </c>
      <c r="J79" s="369"/>
      <c r="K79" s="369"/>
      <c r="L79" s="369"/>
      <c r="M79" s="371"/>
      <c r="N79" s="369"/>
      <c r="O79" s="369"/>
      <c r="P79" s="369"/>
      <c r="Q79" s="371"/>
      <c r="R79" s="369"/>
      <c r="S79" s="369"/>
      <c r="T79" s="369"/>
      <c r="U79" s="371"/>
      <c r="V79" s="369"/>
      <c r="W79" s="369"/>
      <c r="X79" s="369"/>
      <c r="Y79" s="371"/>
      <c r="Z79" s="369"/>
      <c r="AA79" s="369"/>
      <c r="AB79" s="369"/>
      <c r="AC79" s="371"/>
      <c r="AD79" s="369"/>
      <c r="AE79" s="369"/>
      <c r="AF79" s="369"/>
      <c r="AG79" s="371"/>
      <c r="AH79" s="369"/>
      <c r="AI79" s="369"/>
      <c r="AJ79" s="369"/>
      <c r="AK79" s="371"/>
      <c r="AL79" s="369"/>
      <c r="AM79" s="369"/>
      <c r="AN79" s="369"/>
      <c r="AO79" s="371"/>
      <c r="AP79" s="369"/>
      <c r="AQ79" s="369"/>
      <c r="AR79" s="369"/>
      <c r="AS79" s="488"/>
      <c r="AT79" s="497">
        <v>245</v>
      </c>
      <c r="AU79" s="498">
        <v>257</v>
      </c>
      <c r="AV79" s="498">
        <v>50</v>
      </c>
      <c r="AW79" s="499">
        <v>306</v>
      </c>
      <c r="AX79" s="498">
        <v>424</v>
      </c>
      <c r="AY79" s="498">
        <v>237</v>
      </c>
      <c r="AZ79" s="498">
        <v>67</v>
      </c>
      <c r="BA79" s="499">
        <v>27</v>
      </c>
      <c r="BB79" s="498">
        <v>537</v>
      </c>
      <c r="BC79" s="498">
        <v>356</v>
      </c>
      <c r="BD79" s="498">
        <v>168</v>
      </c>
      <c r="BE79" s="500">
        <v>176</v>
      </c>
      <c r="BF79" s="498">
        <v>402</v>
      </c>
      <c r="BG79" s="498">
        <v>207</v>
      </c>
      <c r="BH79" s="498">
        <v>251</v>
      </c>
      <c r="BI79" s="500">
        <v>406</v>
      </c>
      <c r="BJ79" s="498">
        <v>476</v>
      </c>
      <c r="BK79" s="498">
        <v>341</v>
      </c>
      <c r="BL79" s="498">
        <v>113</v>
      </c>
      <c r="BM79" s="500">
        <v>220</v>
      </c>
      <c r="BN79" s="381">
        <v>312</v>
      </c>
      <c r="BO79" s="381">
        <v>219</v>
      </c>
      <c r="BP79" s="381">
        <v>40</v>
      </c>
      <c r="BQ79" s="489">
        <v>349</v>
      </c>
      <c r="BR79" s="381">
        <v>411</v>
      </c>
      <c r="BS79" s="381">
        <v>229</v>
      </c>
      <c r="BT79" s="381">
        <v>147</v>
      </c>
      <c r="BU79" s="382">
        <v>184</v>
      </c>
      <c r="BV79" s="381">
        <v>441</v>
      </c>
      <c r="BW79" s="381">
        <v>341</v>
      </c>
      <c r="BX79" s="381">
        <v>370</v>
      </c>
      <c r="BY79" s="382">
        <v>496</v>
      </c>
      <c r="BZ79" s="380">
        <v>546</v>
      </c>
      <c r="CA79" s="381">
        <v>417</v>
      </c>
      <c r="CB79" s="381">
        <v>358</v>
      </c>
      <c r="CC79" s="382">
        <v>375</v>
      </c>
      <c r="CD79" s="380">
        <v>605</v>
      </c>
      <c r="CE79" s="381">
        <v>473</v>
      </c>
      <c r="CF79" s="381">
        <v>325</v>
      </c>
      <c r="CG79" s="382">
        <v>697</v>
      </c>
      <c r="CH79" s="380">
        <v>603</v>
      </c>
      <c r="CI79" s="381">
        <v>408</v>
      </c>
      <c r="CJ79" s="381">
        <v>295</v>
      </c>
      <c r="CK79" s="382">
        <v>482</v>
      </c>
      <c r="CL79" s="380">
        <v>591</v>
      </c>
      <c r="CM79" s="381">
        <v>631</v>
      </c>
      <c r="CN79" s="381">
        <v>683</v>
      </c>
      <c r="CO79" s="382">
        <v>590</v>
      </c>
      <c r="CP79" s="380">
        <v>768</v>
      </c>
      <c r="CQ79" s="381">
        <v>941</v>
      </c>
      <c r="CR79" s="381">
        <v>700</v>
      </c>
      <c r="CS79" s="382">
        <v>1041.4557996131566</v>
      </c>
      <c r="CT79" s="380">
        <v>433.48206261218957</v>
      </c>
      <c r="CU79" s="381">
        <v>396.25006528527513</v>
      </c>
      <c r="CV79" s="381">
        <v>658.2180167975165</v>
      </c>
      <c r="CW79" s="382">
        <v>1232.840459127053</v>
      </c>
      <c r="CX79" s="448"/>
      <c r="CY79" s="448"/>
      <c r="CZ79" s="448"/>
      <c r="DA79" s="449"/>
      <c r="DB79" s="448"/>
      <c r="DC79" s="448"/>
      <c r="DD79" s="448"/>
      <c r="DE79" s="449"/>
      <c r="DF79" s="448"/>
      <c r="DG79" s="448"/>
      <c r="DH79" s="448"/>
      <c r="DI79" s="449"/>
      <c r="DJ79" s="491"/>
      <c r="DK79" s="450"/>
      <c r="DL79" s="448"/>
      <c r="DM79" s="448"/>
      <c r="DN79" s="448"/>
      <c r="DO79" s="448"/>
      <c r="DP79" s="448"/>
      <c r="DQ79" s="448"/>
      <c r="DR79" s="448"/>
      <c r="DS79" s="383">
        <v>-107</v>
      </c>
      <c r="DT79" s="383">
        <v>631</v>
      </c>
      <c r="DU79" s="383">
        <v>755</v>
      </c>
      <c r="DV79" s="381">
        <v>1237</v>
      </c>
      <c r="DW79" s="381">
        <v>1266</v>
      </c>
      <c r="DX79" s="381">
        <v>1150</v>
      </c>
      <c r="DY79" s="381">
        <v>920</v>
      </c>
      <c r="DZ79" s="381">
        <v>971</v>
      </c>
      <c r="EA79" s="381">
        <v>1648</v>
      </c>
      <c r="EB79" s="381">
        <v>1696</v>
      </c>
      <c r="EC79" s="381">
        <v>2100</v>
      </c>
      <c r="ED79" s="381">
        <v>1788</v>
      </c>
      <c r="EE79" s="381">
        <v>2495</v>
      </c>
      <c r="EF79" s="381">
        <v>3450.4557996131575</v>
      </c>
      <c r="EG79" s="381">
        <v>2720.7906038220349</v>
      </c>
      <c r="EH79" s="381">
        <v>3408.4313610367949</v>
      </c>
      <c r="EI79" s="381">
        <v>3214.4976509560997</v>
      </c>
      <c r="EJ79" s="381">
        <v>2952.4632278899235</v>
      </c>
      <c r="EK79" s="381">
        <v>4186.9986104951104</v>
      </c>
      <c r="EL79" s="381">
        <v>3925.6660432372341</v>
      </c>
      <c r="EM79" s="381">
        <v>4010.6444644476342</v>
      </c>
      <c r="EN79" s="381">
        <v>3932.8028765463814</v>
      </c>
      <c r="EO79" s="381">
        <v>4494.1976224882164</v>
      </c>
      <c r="EP79" s="375"/>
      <c r="EQ79" s="320">
        <v>0.10170939147788061</v>
      </c>
    </row>
    <row r="80" spans="1:147" s="390" customFormat="1" ht="15" customHeight="1" outlineLevel="2">
      <c r="A80" s="385"/>
      <c r="B80"/>
      <c r="C80"/>
      <c r="D80"/>
      <c r="E80"/>
      <c r="F80"/>
      <c r="G80"/>
      <c r="H80" s="386"/>
      <c r="I80" s="378" t="s">
        <v>1512</v>
      </c>
      <c r="J80" s="386"/>
      <c r="K80" s="386"/>
      <c r="L80" s="386"/>
      <c r="M80" s="388"/>
      <c r="N80" s="386"/>
      <c r="O80" s="386"/>
      <c r="P80" s="386"/>
      <c r="Q80" s="388"/>
      <c r="R80" s="386"/>
      <c r="S80" s="386"/>
      <c r="T80" s="386"/>
      <c r="U80" s="388"/>
      <c r="V80" s="386"/>
      <c r="W80" s="386"/>
      <c r="X80" s="386"/>
      <c r="Y80" s="388"/>
      <c r="Z80" s="386"/>
      <c r="AA80" s="386"/>
      <c r="AB80" s="386"/>
      <c r="AC80" s="388"/>
      <c r="AD80" s="386"/>
      <c r="AE80" s="386"/>
      <c r="AF80" s="386"/>
      <c r="AG80" s="388"/>
      <c r="AH80" s="386"/>
      <c r="AI80" s="386"/>
      <c r="AJ80" s="386"/>
      <c r="AK80" s="388"/>
      <c r="AL80" s="386"/>
      <c r="AM80" s="386"/>
      <c r="AN80" s="386"/>
      <c r="AO80" s="388"/>
      <c r="AP80" s="386"/>
      <c r="AQ80" s="386"/>
      <c r="AR80" s="386"/>
      <c r="AS80" s="478"/>
      <c r="AT80" s="492">
        <v>-134</v>
      </c>
      <c r="AU80" s="492">
        <v>-145</v>
      </c>
      <c r="AV80" s="492">
        <v>5</v>
      </c>
      <c r="AW80" s="493">
        <v>724</v>
      </c>
      <c r="AX80" s="492">
        <v>-308</v>
      </c>
      <c r="AY80" s="492">
        <v>-165</v>
      </c>
      <c r="AZ80" s="492">
        <v>81</v>
      </c>
      <c r="BA80" s="493">
        <v>628</v>
      </c>
      <c r="BB80" s="492">
        <v>-381</v>
      </c>
      <c r="BC80" s="492">
        <v>-238</v>
      </c>
      <c r="BD80" s="492">
        <v>-81</v>
      </c>
      <c r="BE80" s="493">
        <v>549</v>
      </c>
      <c r="BF80" s="492">
        <v>-335</v>
      </c>
      <c r="BG80" s="492">
        <v>17</v>
      </c>
      <c r="BH80" s="492">
        <v>-83</v>
      </c>
      <c r="BI80" s="493">
        <v>485</v>
      </c>
      <c r="BJ80" s="492">
        <v>-277</v>
      </c>
      <c r="BK80" s="492">
        <v>-251</v>
      </c>
      <c r="BL80" s="492">
        <v>-23</v>
      </c>
      <c r="BM80" s="493">
        <v>401</v>
      </c>
      <c r="BN80" s="401">
        <v>-171</v>
      </c>
      <c r="BO80" s="401">
        <v>-174</v>
      </c>
      <c r="BP80" s="401">
        <v>133</v>
      </c>
      <c r="BQ80" s="402">
        <v>349</v>
      </c>
      <c r="BR80" s="401">
        <v>-295</v>
      </c>
      <c r="BS80" s="401">
        <v>-136</v>
      </c>
      <c r="BT80" s="401">
        <v>11</v>
      </c>
      <c r="BU80" s="402">
        <v>438</v>
      </c>
      <c r="BV80" s="401">
        <v>-268</v>
      </c>
      <c r="BW80" s="403">
        <v>63</v>
      </c>
      <c r="BX80" s="403">
        <v>26</v>
      </c>
      <c r="BY80" s="436">
        <v>200</v>
      </c>
      <c r="BZ80" s="437">
        <v>-310</v>
      </c>
      <c r="CA80" s="403">
        <v>-86</v>
      </c>
      <c r="CB80" s="403">
        <v>100</v>
      </c>
      <c r="CC80" s="436">
        <v>347</v>
      </c>
      <c r="CD80" s="437">
        <v>-309</v>
      </c>
      <c r="CE80" s="403">
        <v>-159</v>
      </c>
      <c r="CF80" s="403">
        <v>74</v>
      </c>
      <c r="CG80" s="436">
        <v>298</v>
      </c>
      <c r="CH80" s="437">
        <v>-361</v>
      </c>
      <c r="CI80" s="403">
        <v>-115</v>
      </c>
      <c r="CJ80" s="403">
        <v>-48</v>
      </c>
      <c r="CK80" s="436">
        <v>476</v>
      </c>
      <c r="CL80" s="437">
        <v>-141</v>
      </c>
      <c r="CM80" s="403">
        <v>125</v>
      </c>
      <c r="CN80" s="403">
        <v>-130</v>
      </c>
      <c r="CO80" s="436">
        <v>353</v>
      </c>
      <c r="CP80" s="437">
        <v>-107</v>
      </c>
      <c r="CQ80" s="403">
        <v>-229</v>
      </c>
      <c r="CR80" s="403">
        <v>-133</v>
      </c>
      <c r="CS80" s="372">
        <v>-5.53</v>
      </c>
      <c r="CT80" s="373">
        <v>-0.55300000000000005</v>
      </c>
      <c r="CU80" s="325">
        <v>-0.55300000000000005</v>
      </c>
      <c r="CV80" s="325">
        <v>-0.55300000000000005</v>
      </c>
      <c r="CW80" s="372">
        <v>-0.55300000000000005</v>
      </c>
      <c r="CX80" s="325"/>
      <c r="CY80" s="325"/>
      <c r="CZ80" s="325"/>
      <c r="DA80" s="372"/>
      <c r="DB80" s="325"/>
      <c r="DC80" s="325"/>
      <c r="DD80" s="325"/>
      <c r="DE80" s="372"/>
      <c r="DF80" s="325"/>
      <c r="DG80" s="325"/>
      <c r="DH80" s="325"/>
      <c r="DI80" s="372"/>
      <c r="DJ80" s="486"/>
      <c r="DK80" s="373"/>
      <c r="DL80" s="325"/>
      <c r="DM80" s="325"/>
      <c r="DN80" s="325"/>
      <c r="DO80" s="325"/>
      <c r="DP80" s="325"/>
      <c r="DQ80" s="325"/>
      <c r="DR80" s="325"/>
      <c r="DS80" s="401"/>
      <c r="DT80" s="401">
        <v>279</v>
      </c>
      <c r="DU80" s="401">
        <v>236</v>
      </c>
      <c r="DV80" s="325">
        <v>-151</v>
      </c>
      <c r="DW80" s="325">
        <v>84</v>
      </c>
      <c r="DX80" s="325">
        <v>-150</v>
      </c>
      <c r="DY80" s="325">
        <v>137</v>
      </c>
      <c r="DZ80" s="325">
        <v>18</v>
      </c>
      <c r="EA80" s="325">
        <v>21</v>
      </c>
      <c r="EB80" s="325">
        <v>51</v>
      </c>
      <c r="EC80" s="325">
        <v>-96</v>
      </c>
      <c r="ED80" s="325">
        <v>-48</v>
      </c>
      <c r="EE80" s="325">
        <v>207</v>
      </c>
      <c r="EF80" s="325">
        <v>-474.53</v>
      </c>
      <c r="EG80" s="325">
        <v>-2.2120000000000002</v>
      </c>
      <c r="EH80" s="325">
        <v>81.01164930368347</v>
      </c>
      <c r="EI80" s="325">
        <v>-42.068491649748964</v>
      </c>
      <c r="EJ80" s="325">
        <v>-17.092489903272124</v>
      </c>
      <c r="EK80" s="325">
        <v>35.67099707674155</v>
      </c>
      <c r="EL80" s="325">
        <v>-23.318890364378557</v>
      </c>
      <c r="EM80" s="325">
        <v>6.1339151787487083</v>
      </c>
      <c r="EN80" s="325">
        <v>-3.5669064828923216</v>
      </c>
      <c r="EO80" s="325">
        <v>40.747806957196467</v>
      </c>
      <c r="EP80" s="389"/>
      <c r="EQ80" s="386"/>
    </row>
    <row r="81" spans="1:147" s="377" customFormat="1" ht="15" customHeight="1" outlineLevel="2">
      <c r="A81" s="368"/>
      <c r="B81"/>
      <c r="C81"/>
      <c r="D81"/>
      <c r="E81"/>
      <c r="F81"/>
      <c r="G81"/>
      <c r="H81" s="369"/>
      <c r="I81" s="379" t="s">
        <v>1521</v>
      </c>
      <c r="J81" s="369"/>
      <c r="K81" s="369"/>
      <c r="L81" s="369"/>
      <c r="M81" s="371"/>
      <c r="N81" s="369"/>
      <c r="O81" s="369"/>
      <c r="P81" s="369"/>
      <c r="Q81" s="371"/>
      <c r="R81" s="369"/>
      <c r="S81" s="369"/>
      <c r="T81" s="369"/>
      <c r="U81" s="371"/>
      <c r="V81" s="369"/>
      <c r="W81" s="369"/>
      <c r="X81" s="369"/>
      <c r="Y81" s="371"/>
      <c r="Z81" s="369"/>
      <c r="AA81" s="369"/>
      <c r="AB81" s="369"/>
      <c r="AC81" s="371"/>
      <c r="AD81" s="369"/>
      <c r="AE81" s="369"/>
      <c r="AF81" s="369"/>
      <c r="AG81" s="371"/>
      <c r="AH81" s="369"/>
      <c r="AI81" s="369"/>
      <c r="AJ81" s="369"/>
      <c r="AK81" s="371"/>
      <c r="AL81" s="369"/>
      <c r="AM81" s="369"/>
      <c r="AN81" s="369"/>
      <c r="AO81" s="371"/>
      <c r="AP81" s="369"/>
      <c r="AQ81" s="369"/>
      <c r="AR81" s="369"/>
      <c r="AS81" s="488"/>
      <c r="AT81" s="380">
        <v>111</v>
      </c>
      <c r="AU81" s="381">
        <v>112</v>
      </c>
      <c r="AV81" s="381">
        <v>55</v>
      </c>
      <c r="AW81" s="381">
        <v>1030</v>
      </c>
      <c r="AX81" s="380">
        <v>116</v>
      </c>
      <c r="AY81" s="381">
        <v>72</v>
      </c>
      <c r="AZ81" s="381">
        <v>148</v>
      </c>
      <c r="BA81" s="381">
        <v>655</v>
      </c>
      <c r="BB81" s="380">
        <v>156</v>
      </c>
      <c r="BC81" s="381">
        <v>118</v>
      </c>
      <c r="BD81" s="381">
        <v>87</v>
      </c>
      <c r="BE81" s="381">
        <v>725</v>
      </c>
      <c r="BF81" s="380">
        <v>67</v>
      </c>
      <c r="BG81" s="381">
        <v>224</v>
      </c>
      <c r="BH81" s="381">
        <v>168</v>
      </c>
      <c r="BI81" s="381">
        <v>891</v>
      </c>
      <c r="BJ81" s="380">
        <v>199</v>
      </c>
      <c r="BK81" s="381">
        <v>90</v>
      </c>
      <c r="BL81" s="381">
        <v>90</v>
      </c>
      <c r="BM81" s="381">
        <v>621</v>
      </c>
      <c r="BN81" s="380">
        <v>141</v>
      </c>
      <c r="BO81" s="381">
        <v>45</v>
      </c>
      <c r="BP81" s="381">
        <v>173</v>
      </c>
      <c r="BQ81" s="381">
        <v>698</v>
      </c>
      <c r="BR81" s="380">
        <v>116</v>
      </c>
      <c r="BS81" s="381">
        <v>93</v>
      </c>
      <c r="BT81" s="381">
        <v>158</v>
      </c>
      <c r="BU81" s="382">
        <v>622</v>
      </c>
      <c r="BV81" s="381">
        <v>173</v>
      </c>
      <c r="BW81" s="381">
        <v>404</v>
      </c>
      <c r="BX81" s="381">
        <v>396</v>
      </c>
      <c r="BY81" s="382">
        <v>696</v>
      </c>
      <c r="BZ81" s="380">
        <v>236</v>
      </c>
      <c r="CA81" s="381">
        <v>331</v>
      </c>
      <c r="CB81" s="381">
        <v>458</v>
      </c>
      <c r="CC81" s="382">
        <v>722</v>
      </c>
      <c r="CD81" s="380">
        <v>296</v>
      </c>
      <c r="CE81" s="381">
        <v>314</v>
      </c>
      <c r="CF81" s="381">
        <v>399</v>
      </c>
      <c r="CG81" s="382">
        <v>995</v>
      </c>
      <c r="CH81" s="380">
        <v>242</v>
      </c>
      <c r="CI81" s="381">
        <v>293</v>
      </c>
      <c r="CJ81" s="381">
        <v>247</v>
      </c>
      <c r="CK81" s="382">
        <v>958</v>
      </c>
      <c r="CL81" s="380">
        <v>450</v>
      </c>
      <c r="CM81" s="381">
        <v>756</v>
      </c>
      <c r="CN81" s="381">
        <v>553</v>
      </c>
      <c r="CO81" s="382">
        <v>943</v>
      </c>
      <c r="CP81" s="380">
        <v>661</v>
      </c>
      <c r="CQ81" s="381">
        <v>712</v>
      </c>
      <c r="CR81" s="381">
        <v>567</v>
      </c>
      <c r="CS81" s="382">
        <v>1035.9257996131566</v>
      </c>
      <c r="CT81" s="380">
        <v>432.92906261218957</v>
      </c>
      <c r="CU81" s="381">
        <v>395.69706528527513</v>
      </c>
      <c r="CV81" s="381">
        <v>657.6650167975165</v>
      </c>
      <c r="CW81" s="382">
        <v>1232.2874591270529</v>
      </c>
      <c r="CX81" s="448"/>
      <c r="CY81" s="448"/>
      <c r="CZ81" s="448"/>
      <c r="DA81" s="449"/>
      <c r="DB81" s="448"/>
      <c r="DC81" s="448"/>
      <c r="DD81" s="448"/>
      <c r="DE81" s="449"/>
      <c r="DF81" s="448"/>
      <c r="DG81" s="448"/>
      <c r="DH81" s="448"/>
      <c r="DI81" s="449"/>
      <c r="DJ81" s="491"/>
      <c r="DK81" s="450"/>
      <c r="DL81" s="448"/>
      <c r="DM81" s="448"/>
      <c r="DN81" s="448"/>
      <c r="DO81" s="448"/>
      <c r="DP81" s="448"/>
      <c r="DQ81" s="448"/>
      <c r="DR81" s="448"/>
      <c r="DS81" s="507"/>
      <c r="DT81" s="381">
        <v>910</v>
      </c>
      <c r="DU81" s="381">
        <v>991</v>
      </c>
      <c r="DV81" s="381">
        <v>1086</v>
      </c>
      <c r="DW81" s="381">
        <v>1350</v>
      </c>
      <c r="DX81" s="381">
        <v>1000</v>
      </c>
      <c r="DY81" s="381">
        <v>1057</v>
      </c>
      <c r="DZ81" s="381">
        <v>989</v>
      </c>
      <c r="EA81" s="381">
        <v>1669</v>
      </c>
      <c r="EB81" s="381">
        <v>1747</v>
      </c>
      <c r="EC81" s="381">
        <v>2004</v>
      </c>
      <c r="ED81" s="381">
        <v>1740</v>
      </c>
      <c r="EE81" s="381">
        <v>2702</v>
      </c>
      <c r="EF81" s="381">
        <v>2975.9257996131573</v>
      </c>
      <c r="EG81" s="381">
        <v>2718.5786038220349</v>
      </c>
      <c r="EH81" s="381">
        <v>3489.4430103404784</v>
      </c>
      <c r="EI81" s="381">
        <v>3172.4291593063508</v>
      </c>
      <c r="EJ81" s="381">
        <v>2935.3707379866514</v>
      </c>
      <c r="EK81" s="381">
        <v>4222.6696075718519</v>
      </c>
      <c r="EL81" s="381">
        <v>3902.3471528728555</v>
      </c>
      <c r="EM81" s="381">
        <v>4016.778379626383</v>
      </c>
      <c r="EN81" s="381">
        <v>3929.2359700634893</v>
      </c>
      <c r="EO81" s="381">
        <v>4534.9454294454126</v>
      </c>
      <c r="EP81" s="375"/>
      <c r="EQ81" s="320">
        <v>0.11730483602188424</v>
      </c>
    </row>
    <row r="82" spans="1:147" s="377" customFormat="1" ht="15" customHeight="1" outlineLevel="2">
      <c r="A82" s="368"/>
      <c r="B82"/>
      <c r="C82"/>
      <c r="D82"/>
      <c r="E82"/>
      <c r="F82"/>
      <c r="G82"/>
      <c r="H82" s="369"/>
      <c r="I82" s="379"/>
      <c r="J82" s="369"/>
      <c r="K82" s="369"/>
      <c r="L82" s="369"/>
      <c r="M82" s="371"/>
      <c r="N82" s="369"/>
      <c r="O82" s="369"/>
      <c r="P82" s="369"/>
      <c r="Q82" s="371"/>
      <c r="R82" s="369"/>
      <c r="S82" s="369"/>
      <c r="T82" s="369"/>
      <c r="U82" s="371"/>
      <c r="V82" s="369"/>
      <c r="W82" s="369"/>
      <c r="X82" s="369"/>
      <c r="Y82" s="371"/>
      <c r="Z82" s="369"/>
      <c r="AA82" s="369"/>
      <c r="AB82" s="369"/>
      <c r="AC82" s="371"/>
      <c r="AD82" s="369"/>
      <c r="AE82" s="369"/>
      <c r="AF82" s="369"/>
      <c r="AG82" s="371"/>
      <c r="AH82" s="369"/>
      <c r="AI82" s="369"/>
      <c r="AJ82" s="369"/>
      <c r="AK82" s="371"/>
      <c r="AL82" s="369"/>
      <c r="AM82" s="369"/>
      <c r="AN82" s="369"/>
      <c r="AO82" s="371"/>
      <c r="AP82" s="369"/>
      <c r="AQ82" s="369"/>
      <c r="AR82" s="369"/>
      <c r="AS82" s="488"/>
      <c r="AT82" s="448"/>
      <c r="AU82" s="448"/>
      <c r="AV82" s="448"/>
      <c r="AW82" s="448"/>
      <c r="AX82" s="448"/>
      <c r="AY82" s="448"/>
      <c r="AZ82" s="448"/>
      <c r="BA82" s="448"/>
      <c r="BB82" s="448"/>
      <c r="BC82" s="448"/>
      <c r="BD82" s="448"/>
      <c r="BE82" s="448"/>
      <c r="BF82" s="448"/>
      <c r="BG82" s="448"/>
      <c r="BH82" s="448"/>
      <c r="BI82" s="448"/>
      <c r="BJ82" s="448"/>
      <c r="BK82" s="448"/>
      <c r="BL82" s="448"/>
      <c r="BM82" s="448"/>
      <c r="BN82" s="448"/>
      <c r="BO82" s="448"/>
      <c r="BP82" s="448"/>
      <c r="BQ82" s="448"/>
      <c r="BR82" s="448"/>
      <c r="BS82" s="448"/>
      <c r="BT82" s="448"/>
      <c r="BU82" s="449"/>
      <c r="BV82" s="448"/>
      <c r="BW82" s="448"/>
      <c r="BX82" s="448"/>
      <c r="BY82" s="449"/>
      <c r="BZ82" s="450"/>
      <c r="CA82" s="448"/>
      <c r="CB82" s="448"/>
      <c r="CC82" s="449"/>
      <c r="CD82" s="450"/>
      <c r="CE82" s="448"/>
      <c r="CF82" s="448"/>
      <c r="CG82" s="449"/>
      <c r="CH82" s="450"/>
      <c r="CI82" s="448"/>
      <c r="CJ82" s="448"/>
      <c r="CK82" s="449"/>
      <c r="CL82" s="450"/>
      <c r="CM82" s="448"/>
      <c r="CN82" s="448"/>
      <c r="CO82" s="449"/>
      <c r="CP82" s="450"/>
      <c r="CQ82" s="448"/>
      <c r="CR82" s="448"/>
      <c r="CS82" s="449"/>
      <c r="CT82" s="450"/>
      <c r="CU82" s="448"/>
      <c r="CV82" s="448"/>
      <c r="CW82" s="449"/>
      <c r="CX82" s="448"/>
      <c r="CY82" s="448"/>
      <c r="CZ82" s="448"/>
      <c r="DA82" s="449"/>
      <c r="DB82" s="448"/>
      <c r="DC82" s="448"/>
      <c r="DD82" s="448"/>
      <c r="DE82" s="449"/>
      <c r="DF82" s="448"/>
      <c r="DG82" s="448"/>
      <c r="DH82" s="448"/>
      <c r="DI82" s="449"/>
      <c r="DJ82" s="491"/>
      <c r="DK82" s="450"/>
      <c r="DL82" s="448"/>
      <c r="DM82" s="448"/>
      <c r="DN82" s="448"/>
      <c r="DO82" s="448"/>
      <c r="DP82" s="448"/>
      <c r="DQ82" s="448"/>
      <c r="DR82" s="448"/>
      <c r="DS82" s="507"/>
      <c r="DT82" s="448"/>
      <c r="DU82" s="448"/>
      <c r="DV82" s="448"/>
      <c r="DW82" s="448"/>
      <c r="DX82" s="448"/>
      <c r="DY82" s="448"/>
      <c r="DZ82" s="448"/>
      <c r="EA82" s="448"/>
      <c r="EB82" s="448"/>
      <c r="EC82" s="448"/>
      <c r="ED82" s="448"/>
      <c r="EE82" s="448"/>
      <c r="EF82" s="448"/>
      <c r="EG82" s="448"/>
      <c r="EH82" s="448"/>
      <c r="EI82" s="448"/>
      <c r="EJ82" s="448"/>
      <c r="EK82" s="448"/>
      <c r="EL82" s="448"/>
      <c r="EM82" s="448"/>
      <c r="EN82" s="448"/>
      <c r="EO82" s="448"/>
      <c r="EP82" s="375"/>
      <c r="EQ82" s="320"/>
    </row>
    <row r="83" spans="1:147" s="377" customFormat="1" ht="15" customHeight="1" outlineLevel="2">
      <c r="A83" s="368"/>
      <c r="B83"/>
      <c r="C83"/>
      <c r="D83"/>
      <c r="E83"/>
      <c r="F83"/>
      <c r="G83"/>
      <c r="H83" s="369"/>
      <c r="I83" s="379" t="s">
        <v>1522</v>
      </c>
      <c r="J83" s="369"/>
      <c r="K83" s="369"/>
      <c r="L83" s="369"/>
      <c r="M83" s="371"/>
      <c r="N83" s="369"/>
      <c r="O83" s="369"/>
      <c r="P83" s="369"/>
      <c r="Q83" s="371"/>
      <c r="R83" s="369"/>
      <c r="S83" s="369"/>
      <c r="T83" s="369"/>
      <c r="U83" s="371"/>
      <c r="V83" s="369"/>
      <c r="W83" s="369"/>
      <c r="X83" s="369"/>
      <c r="Y83" s="371"/>
      <c r="Z83" s="369"/>
      <c r="AA83" s="369"/>
      <c r="AB83" s="369"/>
      <c r="AC83" s="371"/>
      <c r="AD83" s="369"/>
      <c r="AE83" s="369"/>
      <c r="AF83" s="369"/>
      <c r="AG83" s="371"/>
      <c r="AH83" s="369"/>
      <c r="AI83" s="369"/>
      <c r="AJ83" s="369"/>
      <c r="AK83" s="371"/>
      <c r="AL83" s="369"/>
      <c r="AM83" s="369"/>
      <c r="AN83" s="369"/>
      <c r="AO83" s="371"/>
      <c r="AP83" s="369"/>
      <c r="AQ83" s="369"/>
      <c r="AR83" s="369"/>
      <c r="AS83" s="488"/>
      <c r="AT83" s="448"/>
      <c r="AU83" s="448"/>
      <c r="AV83" s="448"/>
      <c r="AW83" s="448"/>
      <c r="AX83" s="448"/>
      <c r="AY83" s="448"/>
      <c r="AZ83" s="448"/>
      <c r="BA83" s="448"/>
      <c r="BB83" s="448"/>
      <c r="BC83" s="448"/>
      <c r="BD83" s="448"/>
      <c r="BE83" s="448"/>
      <c r="BF83" s="448"/>
      <c r="BG83" s="448"/>
      <c r="BH83" s="448"/>
      <c r="BI83" s="448"/>
      <c r="BJ83" s="448"/>
      <c r="BK83" s="448"/>
      <c r="BL83" s="448"/>
      <c r="BM83" s="448"/>
      <c r="BN83" s="448"/>
      <c r="BO83" s="448"/>
      <c r="BP83" s="448"/>
      <c r="BQ83" s="448"/>
      <c r="BR83" s="448"/>
      <c r="BS83" s="448"/>
      <c r="BT83" s="448"/>
      <c r="BU83" s="449"/>
      <c r="BV83" s="448">
        <f t="shared" ref="BV83:CV83" si="0">BV67+BV70-BV64</f>
        <v>602</v>
      </c>
      <c r="BW83" s="448">
        <f t="shared" si="0"/>
        <v>470</v>
      </c>
      <c r="BX83" s="448">
        <f t="shared" si="0"/>
        <v>542</v>
      </c>
      <c r="BY83" s="449">
        <f t="shared" si="0"/>
        <v>737</v>
      </c>
      <c r="BZ83" s="450">
        <f t="shared" si="0"/>
        <v>748</v>
      </c>
      <c r="CA83" s="448">
        <f t="shared" si="0"/>
        <v>570</v>
      </c>
      <c r="CB83" s="448">
        <f t="shared" si="0"/>
        <v>479</v>
      </c>
      <c r="CC83" s="449">
        <f t="shared" si="0"/>
        <v>468</v>
      </c>
      <c r="CD83" s="450">
        <f t="shared" si="0"/>
        <v>749</v>
      </c>
      <c r="CE83" s="448">
        <f t="shared" si="0"/>
        <v>547</v>
      </c>
      <c r="CF83" s="448">
        <f t="shared" si="0"/>
        <v>383</v>
      </c>
      <c r="CG83" s="449">
        <f t="shared" si="0"/>
        <v>827</v>
      </c>
      <c r="CH83" s="450">
        <f t="shared" si="0"/>
        <v>714</v>
      </c>
      <c r="CI83" s="448">
        <f t="shared" si="0"/>
        <v>438</v>
      </c>
      <c r="CJ83" s="448">
        <f t="shared" si="0"/>
        <v>355</v>
      </c>
      <c r="CK83" s="449">
        <f t="shared" si="0"/>
        <v>582</v>
      </c>
      <c r="CL83" s="450">
        <f t="shared" si="0"/>
        <v>697</v>
      </c>
      <c r="CM83" s="448">
        <f t="shared" si="0"/>
        <v>798</v>
      </c>
      <c r="CN83" s="448">
        <f t="shared" si="0"/>
        <v>833</v>
      </c>
      <c r="CO83" s="449">
        <f t="shared" si="0"/>
        <v>694</v>
      </c>
      <c r="CP83" s="450">
        <f t="shared" si="0"/>
        <v>858</v>
      </c>
      <c r="CQ83" s="448">
        <f t="shared" si="0"/>
        <v>1000</v>
      </c>
      <c r="CR83" s="781">
        <f>CR84+CR85</f>
        <v>856</v>
      </c>
      <c r="CS83" s="449">
        <f t="shared" si="0"/>
        <v>1283.5545203356478</v>
      </c>
      <c r="CT83" s="450">
        <f t="shared" si="0"/>
        <v>429.38098432628811</v>
      </c>
      <c r="CU83" s="448">
        <f t="shared" si="0"/>
        <v>494.64313159771473</v>
      </c>
      <c r="CV83" s="448">
        <f t="shared" si="0"/>
        <v>813.45743010114688</v>
      </c>
      <c r="CW83" s="449">
        <f>CW67+CW70-CW64</f>
        <v>1536.7877982379964</v>
      </c>
      <c r="CX83" s="448"/>
      <c r="CY83" s="448"/>
      <c r="CZ83" s="448"/>
      <c r="DA83" s="449"/>
      <c r="DB83" s="448"/>
      <c r="DC83" s="448"/>
      <c r="DD83" s="448"/>
      <c r="DE83" s="449"/>
      <c r="DF83" s="448"/>
      <c r="DG83" s="448"/>
      <c r="DH83" s="448"/>
      <c r="DI83" s="449"/>
      <c r="DJ83" s="491"/>
      <c r="DK83" s="450"/>
      <c r="DL83" s="448"/>
      <c r="DM83" s="448"/>
      <c r="DN83" s="448"/>
      <c r="DO83" s="448"/>
      <c r="DP83" s="448"/>
      <c r="DQ83" s="448"/>
      <c r="DR83" s="448"/>
      <c r="DS83" s="507"/>
      <c r="DT83" s="448"/>
      <c r="DU83" s="448"/>
      <c r="DV83" s="448"/>
      <c r="DW83" s="448"/>
      <c r="DX83" s="448"/>
      <c r="DY83" s="448"/>
      <c r="DZ83" s="448"/>
      <c r="EA83" s="448"/>
      <c r="EB83" s="448"/>
      <c r="EC83" s="448"/>
      <c r="ED83" s="448"/>
      <c r="EE83" s="448"/>
      <c r="EF83" s="448"/>
      <c r="EG83" s="448"/>
      <c r="EH83" s="448"/>
      <c r="EI83" s="448"/>
      <c r="EJ83" s="448"/>
      <c r="EK83" s="448"/>
      <c r="EL83" s="448"/>
      <c r="EM83" s="448"/>
      <c r="EN83" s="448"/>
      <c r="EO83" s="448"/>
      <c r="EP83" s="375"/>
      <c r="EQ83" s="320"/>
    </row>
    <row r="84" spans="1:147" s="377" customFormat="1" ht="15" customHeight="1" outlineLevel="2">
      <c r="A84" s="368"/>
      <c r="B84"/>
      <c r="C84"/>
      <c r="D84"/>
      <c r="E84"/>
      <c r="F84"/>
      <c r="G84"/>
      <c r="H84" s="369"/>
      <c r="I84" s="379" t="s">
        <v>1523</v>
      </c>
      <c r="J84" s="369"/>
      <c r="K84" s="369"/>
      <c r="L84" s="369"/>
      <c r="M84" s="371"/>
      <c r="N84" s="369"/>
      <c r="O84" s="369"/>
      <c r="P84" s="369"/>
      <c r="Q84" s="371"/>
      <c r="R84" s="369"/>
      <c r="S84" s="369"/>
      <c r="T84" s="369"/>
      <c r="U84" s="371"/>
      <c r="V84" s="369"/>
      <c r="W84" s="369"/>
      <c r="X84" s="369"/>
      <c r="Y84" s="371"/>
      <c r="Z84" s="369"/>
      <c r="AA84" s="369"/>
      <c r="AB84" s="369"/>
      <c r="AC84" s="371"/>
      <c r="AD84" s="369"/>
      <c r="AE84" s="369"/>
      <c r="AF84" s="369"/>
      <c r="AG84" s="371"/>
      <c r="AH84" s="369"/>
      <c r="AI84" s="369"/>
      <c r="AJ84" s="369"/>
      <c r="AK84" s="371"/>
      <c r="AL84" s="369"/>
      <c r="AM84" s="369"/>
      <c r="AN84" s="369"/>
      <c r="AO84" s="371"/>
      <c r="AP84" s="369"/>
      <c r="AQ84" s="369"/>
      <c r="AR84" s="369"/>
      <c r="AS84" s="488"/>
      <c r="AT84" s="448"/>
      <c r="AU84" s="448"/>
      <c r="AV84" s="448"/>
      <c r="AW84" s="448"/>
      <c r="AX84" s="448"/>
      <c r="AY84" s="448"/>
      <c r="AZ84" s="448"/>
      <c r="BA84" s="448"/>
      <c r="BB84" s="448"/>
      <c r="BC84" s="448"/>
      <c r="BD84" s="448"/>
      <c r="BE84" s="448"/>
      <c r="BF84" s="448"/>
      <c r="BG84" s="448"/>
      <c r="BH84" s="448"/>
      <c r="BI84" s="448"/>
      <c r="BJ84" s="448"/>
      <c r="BK84" s="448"/>
      <c r="BL84" s="448"/>
      <c r="BM84" s="448"/>
      <c r="BN84" s="448"/>
      <c r="BO84" s="448"/>
      <c r="BP84" s="448"/>
      <c r="BQ84" s="448"/>
      <c r="BR84" s="448"/>
      <c r="BS84" s="448"/>
      <c r="BT84" s="448"/>
      <c r="BU84" s="449"/>
      <c r="BV84" s="448">
        <f t="shared" ref="BV84:CJ84" si="1">BV67-BV64</f>
        <v>577</v>
      </c>
      <c r="BW84" s="448">
        <f t="shared" si="1"/>
        <v>439</v>
      </c>
      <c r="BX84" s="448">
        <f t="shared" si="1"/>
        <v>509</v>
      </c>
      <c r="BY84" s="449">
        <f t="shared" si="1"/>
        <v>641</v>
      </c>
      <c r="BZ84" s="450">
        <f t="shared" si="1"/>
        <v>714</v>
      </c>
      <c r="CA84" s="448">
        <f t="shared" si="1"/>
        <v>537</v>
      </c>
      <c r="CB84" s="448">
        <f t="shared" si="1"/>
        <v>446</v>
      </c>
      <c r="CC84" s="449">
        <f t="shared" si="1"/>
        <v>414</v>
      </c>
      <c r="CD84" s="450">
        <f t="shared" si="1"/>
        <v>714</v>
      </c>
      <c r="CE84" s="448">
        <f t="shared" si="1"/>
        <v>511</v>
      </c>
      <c r="CF84" s="448">
        <f t="shared" si="1"/>
        <v>348</v>
      </c>
      <c r="CG84" s="449">
        <f t="shared" si="1"/>
        <v>795</v>
      </c>
      <c r="CH84" s="450">
        <f t="shared" si="1"/>
        <v>681</v>
      </c>
      <c r="CI84" s="448">
        <f t="shared" si="1"/>
        <v>405</v>
      </c>
      <c r="CJ84" s="448">
        <f t="shared" si="1"/>
        <v>325</v>
      </c>
      <c r="CK84" s="449">
        <f>CK67-CK64</f>
        <v>528</v>
      </c>
      <c r="CL84" s="450">
        <f t="shared" ref="CL84:CW84" si="2">CL67-CL64</f>
        <v>645</v>
      </c>
      <c r="CM84" s="448">
        <f t="shared" si="2"/>
        <v>769</v>
      </c>
      <c r="CN84" s="448">
        <f t="shared" si="2"/>
        <v>803</v>
      </c>
      <c r="CO84" s="449">
        <f t="shared" si="2"/>
        <v>667</v>
      </c>
      <c r="CP84" s="450">
        <f t="shared" si="2"/>
        <v>800</v>
      </c>
      <c r="CQ84" s="448">
        <f t="shared" si="2"/>
        <v>961</v>
      </c>
      <c r="CR84" s="448">
        <f t="shared" si="2"/>
        <v>829</v>
      </c>
      <c r="CS84" s="449">
        <f t="shared" si="2"/>
        <v>1246.6757495164459</v>
      </c>
      <c r="CT84" s="450">
        <f t="shared" si="2"/>
        <v>403.1410782652369</v>
      </c>
      <c r="CU84" s="448">
        <f t="shared" si="2"/>
        <v>470.00108160659397</v>
      </c>
      <c r="CV84" s="448">
        <f t="shared" si="2"/>
        <v>775.41102099689556</v>
      </c>
      <c r="CW84" s="449">
        <f t="shared" si="2"/>
        <v>1472.6890739088162</v>
      </c>
      <c r="CX84" s="448"/>
      <c r="CY84" s="448"/>
      <c r="CZ84" s="448"/>
      <c r="DA84" s="449"/>
      <c r="DB84" s="448"/>
      <c r="DC84" s="448"/>
      <c r="DD84" s="448"/>
      <c r="DE84" s="449"/>
      <c r="DF84" s="448"/>
      <c r="DG84" s="448"/>
      <c r="DH84" s="448"/>
      <c r="DI84" s="449"/>
      <c r="DJ84" s="491"/>
      <c r="DK84" s="450"/>
      <c r="DL84" s="448"/>
      <c r="DM84" s="448"/>
      <c r="DN84" s="448"/>
      <c r="DO84" s="448"/>
      <c r="DP84" s="448"/>
      <c r="DQ84" s="448"/>
      <c r="DR84" s="448"/>
      <c r="DS84" s="507"/>
      <c r="DT84" s="448"/>
      <c r="DU84" s="448"/>
      <c r="DV84" s="448"/>
      <c r="DW84" s="448"/>
      <c r="DX84" s="448"/>
      <c r="DY84" s="448"/>
      <c r="DZ84" s="448"/>
      <c r="EA84" s="448"/>
      <c r="EB84" s="448"/>
      <c r="EC84" s="448"/>
      <c r="ED84" s="448"/>
      <c r="EE84" s="448"/>
      <c r="EF84" s="448"/>
      <c r="EG84" s="448"/>
      <c r="EH84" s="448"/>
      <c r="EI84" s="448"/>
      <c r="EJ84" s="448"/>
      <c r="EK84" s="448"/>
      <c r="EL84" s="448"/>
      <c r="EM84" s="448"/>
      <c r="EN84" s="448"/>
      <c r="EO84" s="448"/>
      <c r="EP84" s="375"/>
      <c r="EQ84" s="320"/>
    </row>
    <row r="85" spans="1:147" s="377" customFormat="1" ht="15" customHeight="1" outlineLevel="2">
      <c r="A85" s="368"/>
      <c r="B85"/>
      <c r="C85"/>
      <c r="D85"/>
      <c r="E85"/>
      <c r="F85"/>
      <c r="G85"/>
      <c r="H85" s="369"/>
      <c r="I85" s="379" t="s">
        <v>1524</v>
      </c>
      <c r="J85" s="369">
        <f t="shared" ref="J85:BT85" si="3">J153</f>
        <v>0</v>
      </c>
      <c r="K85" s="369">
        <f t="shared" si="3"/>
        <v>0</v>
      </c>
      <c r="L85" s="369">
        <f t="shared" si="3"/>
        <v>0</v>
      </c>
      <c r="M85" s="371">
        <f t="shared" si="3"/>
        <v>0</v>
      </c>
      <c r="N85" s="369">
        <f t="shared" si="3"/>
        <v>0</v>
      </c>
      <c r="O85" s="369">
        <f t="shared" si="3"/>
        <v>0</v>
      </c>
      <c r="P85" s="369">
        <f t="shared" si="3"/>
        <v>0</v>
      </c>
      <c r="Q85" s="371">
        <f t="shared" si="3"/>
        <v>0</v>
      </c>
      <c r="R85" s="369">
        <f t="shared" si="3"/>
        <v>0</v>
      </c>
      <c r="S85" s="369">
        <f t="shared" si="3"/>
        <v>0</v>
      </c>
      <c r="T85" s="369">
        <f t="shared" si="3"/>
        <v>0</v>
      </c>
      <c r="U85" s="371">
        <f t="shared" si="3"/>
        <v>0</v>
      </c>
      <c r="V85" s="369">
        <f t="shared" si="3"/>
        <v>0</v>
      </c>
      <c r="W85" s="369">
        <f t="shared" si="3"/>
        <v>0</v>
      </c>
      <c r="X85" s="369">
        <f t="shared" si="3"/>
        <v>0</v>
      </c>
      <c r="Y85" s="371">
        <f t="shared" si="3"/>
        <v>0</v>
      </c>
      <c r="Z85" s="369">
        <f t="shared" si="3"/>
        <v>0</v>
      </c>
      <c r="AA85" s="369">
        <f t="shared" si="3"/>
        <v>0</v>
      </c>
      <c r="AB85" s="369">
        <f t="shared" si="3"/>
        <v>0</v>
      </c>
      <c r="AC85" s="371">
        <f t="shared" si="3"/>
        <v>0</v>
      </c>
      <c r="AD85" s="369">
        <f t="shared" si="3"/>
        <v>0</v>
      </c>
      <c r="AE85" s="369">
        <f t="shared" si="3"/>
        <v>0</v>
      </c>
      <c r="AF85" s="369">
        <f t="shared" si="3"/>
        <v>0</v>
      </c>
      <c r="AG85" s="371">
        <f t="shared" si="3"/>
        <v>0</v>
      </c>
      <c r="AH85" s="369">
        <f t="shared" si="3"/>
        <v>0</v>
      </c>
      <c r="AI85" s="369">
        <f t="shared" si="3"/>
        <v>0</v>
      </c>
      <c r="AJ85" s="369">
        <f t="shared" si="3"/>
        <v>0</v>
      </c>
      <c r="AK85" s="371">
        <f t="shared" si="3"/>
        <v>0</v>
      </c>
      <c r="AL85" s="369">
        <f t="shared" si="3"/>
        <v>0</v>
      </c>
      <c r="AM85" s="369">
        <f t="shared" si="3"/>
        <v>0</v>
      </c>
      <c r="AN85" s="369">
        <f t="shared" si="3"/>
        <v>0</v>
      </c>
      <c r="AO85" s="371">
        <f t="shared" si="3"/>
        <v>0</v>
      </c>
      <c r="AP85" s="369">
        <f t="shared" si="3"/>
        <v>0</v>
      </c>
      <c r="AQ85" s="369">
        <f t="shared" si="3"/>
        <v>0</v>
      </c>
      <c r="AR85" s="369">
        <f t="shared" si="3"/>
        <v>0</v>
      </c>
      <c r="AS85" s="488">
        <f t="shared" si="3"/>
        <v>0</v>
      </c>
      <c r="AT85" s="448">
        <f t="shared" si="3"/>
        <v>0</v>
      </c>
      <c r="AU85" s="448">
        <f t="shared" si="3"/>
        <v>0</v>
      </c>
      <c r="AV85" s="448">
        <f t="shared" si="3"/>
        <v>0</v>
      </c>
      <c r="AW85" s="448">
        <f t="shared" si="3"/>
        <v>0</v>
      </c>
      <c r="AX85" s="448">
        <f t="shared" si="3"/>
        <v>0</v>
      </c>
      <c r="AY85" s="448">
        <f t="shared" si="3"/>
        <v>0</v>
      </c>
      <c r="AZ85" s="448">
        <f t="shared" si="3"/>
        <v>0</v>
      </c>
      <c r="BA85" s="448">
        <f t="shared" si="3"/>
        <v>0</v>
      </c>
      <c r="BB85" s="448">
        <f t="shared" si="3"/>
        <v>26</v>
      </c>
      <c r="BC85" s="448">
        <f t="shared" si="3"/>
        <v>26</v>
      </c>
      <c r="BD85" s="448">
        <f t="shared" si="3"/>
        <v>25</v>
      </c>
      <c r="BE85" s="448">
        <f t="shared" si="3"/>
        <v>71</v>
      </c>
      <c r="BF85" s="448">
        <f t="shared" si="3"/>
        <v>23</v>
      </c>
      <c r="BG85" s="448">
        <f t="shared" si="3"/>
        <v>22</v>
      </c>
      <c r="BH85" s="448">
        <f t="shared" si="3"/>
        <v>24</v>
      </c>
      <c r="BI85" s="448">
        <f t="shared" si="3"/>
        <v>51</v>
      </c>
      <c r="BJ85" s="448">
        <f t="shared" si="3"/>
        <v>24</v>
      </c>
      <c r="BK85" s="448">
        <f t="shared" si="3"/>
        <v>23</v>
      </c>
      <c r="BL85" s="448">
        <f t="shared" si="3"/>
        <v>21</v>
      </c>
      <c r="BM85" s="448">
        <f t="shared" si="3"/>
        <v>40</v>
      </c>
      <c r="BN85" s="448">
        <f t="shared" si="3"/>
        <v>19</v>
      </c>
      <c r="BO85" s="448">
        <f t="shared" si="3"/>
        <v>19</v>
      </c>
      <c r="BP85" s="448">
        <f t="shared" si="3"/>
        <v>23</v>
      </c>
      <c r="BQ85" s="448">
        <f t="shared" si="3"/>
        <v>29</v>
      </c>
      <c r="BR85" s="448">
        <f t="shared" si="3"/>
        <v>20</v>
      </c>
      <c r="BS85" s="448">
        <f t="shared" si="3"/>
        <v>20</v>
      </c>
      <c r="BT85" s="448">
        <f t="shared" si="3"/>
        <v>25</v>
      </c>
      <c r="BU85" s="449">
        <f t="shared" ref="BU85" si="4">BU153</f>
        <v>30</v>
      </c>
      <c r="BV85" s="448">
        <f t="shared" ref="BV85" si="5">BV83-BV84</f>
        <v>25</v>
      </c>
      <c r="BW85" s="448">
        <f t="shared" ref="BW85" si="6">BW83-BW84</f>
        <v>31</v>
      </c>
      <c r="BX85" s="448">
        <f t="shared" ref="BX85" si="7">BX83-BX84</f>
        <v>33</v>
      </c>
      <c r="BY85" s="449">
        <f t="shared" ref="BY85" si="8">BY83-BY84</f>
        <v>96</v>
      </c>
      <c r="BZ85" s="450">
        <f t="shared" ref="BZ85" si="9">BZ83-BZ84</f>
        <v>34</v>
      </c>
      <c r="CA85" s="448">
        <f t="shared" ref="CA85" si="10">CA83-CA84</f>
        <v>33</v>
      </c>
      <c r="CB85" s="448">
        <f t="shared" ref="CB85" si="11">CB83-CB84</f>
        <v>33</v>
      </c>
      <c r="CC85" s="449">
        <f t="shared" ref="CC85" si="12">CC83-CC84</f>
        <v>54</v>
      </c>
      <c r="CD85" s="450">
        <f t="shared" ref="CD85" si="13">CD83-CD84</f>
        <v>35</v>
      </c>
      <c r="CE85" s="448">
        <f t="shared" ref="CE85" si="14">CE83-CE84</f>
        <v>36</v>
      </c>
      <c r="CF85" s="448">
        <f t="shared" ref="CF85" si="15">CF83-CF84</f>
        <v>35</v>
      </c>
      <c r="CG85" s="449">
        <f t="shared" ref="CG85" si="16">CG83-CG84</f>
        <v>32</v>
      </c>
      <c r="CH85" s="450">
        <f t="shared" ref="CH85" si="17">CH83-CH84</f>
        <v>33</v>
      </c>
      <c r="CI85" s="448">
        <f t="shared" ref="CI85" si="18">CI83-CI84</f>
        <v>33</v>
      </c>
      <c r="CJ85" s="448">
        <f t="shared" ref="CJ85" si="19">CJ83-CJ84</f>
        <v>30</v>
      </c>
      <c r="CK85" s="449">
        <f t="shared" ref="CK85" si="20">CK83-CK84</f>
        <v>54</v>
      </c>
      <c r="CL85" s="450">
        <f t="shared" ref="CL85" si="21">CL83-CL84</f>
        <v>52</v>
      </c>
      <c r="CM85" s="448">
        <f t="shared" ref="CM85" si="22">CM83-CM84</f>
        <v>29</v>
      </c>
      <c r="CN85" s="448">
        <f t="shared" ref="CN85" si="23">CN83-CN84</f>
        <v>30</v>
      </c>
      <c r="CO85" s="449">
        <f t="shared" ref="CO85" si="24">CO83-CO84</f>
        <v>27</v>
      </c>
      <c r="CP85" s="450">
        <f t="shared" ref="CP85" si="25">CP83-CP84</f>
        <v>58</v>
      </c>
      <c r="CQ85" s="448">
        <f t="shared" ref="CQ85" si="26">CQ83-CQ84</f>
        <v>39</v>
      </c>
      <c r="CR85" s="781">
        <f>CR153</f>
        <v>27</v>
      </c>
      <c r="CS85" s="449">
        <f t="shared" ref="CS85:CV85" si="27">CS83-CS84</f>
        <v>36.878770819201918</v>
      </c>
      <c r="CT85" s="450">
        <f t="shared" si="27"/>
        <v>26.239906061051215</v>
      </c>
      <c r="CU85" s="448">
        <f t="shared" si="27"/>
        <v>24.642049991120757</v>
      </c>
      <c r="CV85" s="448">
        <f t="shared" si="27"/>
        <v>38.046409104251325</v>
      </c>
      <c r="CW85" s="449">
        <f>CW153</f>
        <v>66.098724329180214</v>
      </c>
      <c r="CX85" s="448"/>
      <c r="CY85" s="448"/>
      <c r="CZ85" s="448"/>
      <c r="DA85" s="449"/>
      <c r="DB85" s="448"/>
      <c r="DC85" s="448"/>
      <c r="DD85" s="448"/>
      <c r="DE85" s="449"/>
      <c r="DF85" s="448"/>
      <c r="DG85" s="448"/>
      <c r="DH85" s="448"/>
      <c r="DI85" s="449"/>
      <c r="DJ85" s="491"/>
      <c r="DK85" s="450"/>
      <c r="DL85" s="448"/>
      <c r="DM85" s="448"/>
      <c r="DN85" s="448"/>
      <c r="DO85" s="448"/>
      <c r="DP85" s="448"/>
      <c r="DQ85" s="448"/>
      <c r="DR85" s="448"/>
      <c r="DS85" s="507"/>
      <c r="DT85" s="448"/>
      <c r="DU85" s="448"/>
      <c r="DV85" s="448"/>
      <c r="DW85" s="448"/>
      <c r="DX85" s="448"/>
      <c r="DY85" s="448"/>
      <c r="DZ85" s="448"/>
      <c r="EA85" s="448"/>
      <c r="EB85" s="448"/>
      <c r="EC85" s="448"/>
      <c r="ED85" s="448"/>
      <c r="EE85" s="448"/>
      <c r="EF85" s="448"/>
      <c r="EG85" s="448"/>
      <c r="EH85" s="448"/>
      <c r="EI85" s="448"/>
      <c r="EJ85" s="448"/>
      <c r="EK85" s="448"/>
      <c r="EL85" s="448"/>
      <c r="EM85" s="448"/>
      <c r="EN85" s="448"/>
      <c r="EO85" s="448"/>
      <c r="EP85" s="375"/>
      <c r="EQ85" s="320"/>
    </row>
    <row r="86" spans="1:147" s="377" customFormat="1" ht="15" customHeight="1" outlineLevel="2">
      <c r="A86" s="368"/>
      <c r="B86"/>
      <c r="C86"/>
      <c r="D86"/>
      <c r="E86"/>
      <c r="F86"/>
      <c r="G86"/>
      <c r="H86" s="369"/>
      <c r="I86" s="379"/>
      <c r="J86" s="369"/>
      <c r="K86" s="369"/>
      <c r="L86" s="369"/>
      <c r="M86" s="371"/>
      <c r="N86" s="369"/>
      <c r="O86" s="369"/>
      <c r="P86" s="369"/>
      <c r="Q86" s="371"/>
      <c r="R86" s="369"/>
      <c r="S86" s="369"/>
      <c r="T86" s="369"/>
      <c r="U86" s="371"/>
      <c r="V86" s="369"/>
      <c r="W86" s="369"/>
      <c r="X86" s="369"/>
      <c r="Y86" s="371"/>
      <c r="Z86" s="369"/>
      <c r="AA86" s="369"/>
      <c r="AB86" s="369"/>
      <c r="AC86" s="371"/>
      <c r="AD86" s="369"/>
      <c r="AE86" s="369"/>
      <c r="AF86" s="369"/>
      <c r="AG86" s="371"/>
      <c r="AH86" s="369"/>
      <c r="AI86" s="369"/>
      <c r="AJ86" s="369"/>
      <c r="AK86" s="371"/>
      <c r="AL86" s="369"/>
      <c r="AM86" s="369"/>
      <c r="AN86" s="369"/>
      <c r="AO86" s="371"/>
      <c r="AP86" s="369"/>
      <c r="AQ86" s="369"/>
      <c r="AR86" s="369"/>
      <c r="AS86" s="488"/>
      <c r="AT86" s="448"/>
      <c r="AU86" s="448"/>
      <c r="AV86" s="448"/>
      <c r="AW86" s="448"/>
      <c r="AX86" s="448"/>
      <c r="AY86" s="448"/>
      <c r="AZ86" s="448"/>
      <c r="BA86" s="448"/>
      <c r="BB86" s="448"/>
      <c r="BC86" s="448"/>
      <c r="BD86" s="448"/>
      <c r="BE86" s="448"/>
      <c r="BF86" s="448"/>
      <c r="BG86" s="448"/>
      <c r="BH86" s="448"/>
      <c r="BI86" s="448"/>
      <c r="BJ86" s="448"/>
      <c r="BK86" s="448"/>
      <c r="BL86" s="448"/>
      <c r="BM86" s="448"/>
      <c r="BN86" s="448"/>
      <c r="BO86" s="448"/>
      <c r="BP86" s="448"/>
      <c r="BQ86" s="448"/>
      <c r="BR86" s="448"/>
      <c r="BS86" s="448"/>
      <c r="BT86" s="448"/>
      <c r="BU86" s="449"/>
      <c r="BV86" s="448"/>
      <c r="BW86" s="448"/>
      <c r="BX86" s="448"/>
      <c r="BY86" s="449"/>
      <c r="BZ86" s="450"/>
      <c r="CA86" s="448"/>
      <c r="CB86" s="448"/>
      <c r="CC86" s="449"/>
      <c r="CD86" s="450"/>
      <c r="CE86" s="448"/>
      <c r="CF86" s="448"/>
      <c r="CG86" s="449"/>
      <c r="CH86" s="450"/>
      <c r="CI86" s="448"/>
      <c r="CJ86" s="448"/>
      <c r="CK86" s="449"/>
      <c r="CL86" s="450"/>
      <c r="CM86" s="448"/>
      <c r="CN86" s="448"/>
      <c r="CO86" s="449"/>
      <c r="CP86" s="450"/>
      <c r="CQ86" s="448"/>
      <c r="CR86" s="448"/>
      <c r="CS86" s="449"/>
      <c r="CT86" s="450"/>
      <c r="CU86" s="448"/>
      <c r="CV86" s="448"/>
      <c r="CW86" s="449"/>
      <c r="CX86" s="448"/>
      <c r="CY86" s="448"/>
      <c r="CZ86" s="448"/>
      <c r="DA86" s="449"/>
      <c r="DB86" s="448"/>
      <c r="DC86" s="448"/>
      <c r="DD86" s="448"/>
      <c r="DE86" s="449"/>
      <c r="DF86" s="448"/>
      <c r="DG86" s="448"/>
      <c r="DH86" s="448"/>
      <c r="DI86" s="449"/>
      <c r="DJ86" s="491"/>
      <c r="DK86" s="450"/>
      <c r="DL86" s="448"/>
      <c r="DM86" s="448"/>
      <c r="DN86" s="448"/>
      <c r="DO86" s="448"/>
      <c r="DP86" s="448"/>
      <c r="DQ86" s="448"/>
      <c r="DR86" s="448"/>
      <c r="DS86" s="507"/>
      <c r="DT86" s="448"/>
      <c r="DU86" s="448"/>
      <c r="DV86" s="448"/>
      <c r="DW86" s="448"/>
      <c r="DX86" s="448"/>
      <c r="DY86" s="448"/>
      <c r="DZ86" s="448"/>
      <c r="EA86" s="448"/>
      <c r="EB86" s="448"/>
      <c r="EC86" s="448"/>
      <c r="ED86" s="448"/>
      <c r="EE86" s="448"/>
      <c r="EF86" s="448"/>
      <c r="EG86" s="448"/>
      <c r="EH86" s="448"/>
      <c r="EI86" s="448"/>
      <c r="EJ86" s="448"/>
      <c r="EK86" s="448"/>
      <c r="EL86" s="448"/>
      <c r="EM86" s="448"/>
      <c r="EN86" s="448"/>
      <c r="EO86" s="448"/>
      <c r="EP86" s="375"/>
      <c r="EQ86" s="320"/>
    </row>
    <row r="87" spans="1:147" s="377" customFormat="1" ht="15" customHeight="1" outlineLevel="2">
      <c r="A87" s="368"/>
      <c r="B87"/>
      <c r="C87"/>
      <c r="D87"/>
      <c r="E87"/>
      <c r="F87"/>
      <c r="G87"/>
      <c r="H87" s="369"/>
      <c r="I87" s="379"/>
      <c r="J87" s="369"/>
      <c r="K87" s="369"/>
      <c r="L87" s="369"/>
      <c r="M87" s="371"/>
      <c r="N87" s="369"/>
      <c r="O87" s="369"/>
      <c r="P87" s="369"/>
      <c r="Q87" s="371"/>
      <c r="R87" s="369"/>
      <c r="S87" s="369"/>
      <c r="T87" s="369"/>
      <c r="U87" s="371"/>
      <c r="V87" s="369"/>
      <c r="W87" s="369"/>
      <c r="X87" s="369"/>
      <c r="Y87" s="371"/>
      <c r="Z87" s="369"/>
      <c r="AA87" s="369"/>
      <c r="AB87" s="369"/>
      <c r="AC87" s="371"/>
      <c r="AD87" s="369"/>
      <c r="AE87" s="369"/>
      <c r="AF87" s="369"/>
      <c r="AG87" s="371"/>
      <c r="AH87" s="369"/>
      <c r="AI87" s="369"/>
      <c r="AJ87" s="369"/>
      <c r="AK87" s="371"/>
      <c r="AL87" s="369"/>
      <c r="AM87" s="369"/>
      <c r="AN87" s="369"/>
      <c r="AO87" s="371"/>
      <c r="AP87" s="369"/>
      <c r="AQ87" s="369"/>
      <c r="AR87" s="369"/>
      <c r="AS87" s="488"/>
      <c r="AT87" s="448"/>
      <c r="AU87" s="448"/>
      <c r="AV87" s="448"/>
      <c r="AW87" s="448"/>
      <c r="AX87" s="448"/>
      <c r="AY87" s="448"/>
      <c r="AZ87" s="448"/>
      <c r="BA87" s="448"/>
      <c r="BB87" s="448"/>
      <c r="BC87" s="448"/>
      <c r="BD87" s="448"/>
      <c r="BE87" s="448"/>
      <c r="BF87" s="448"/>
      <c r="BG87" s="448"/>
      <c r="BH87" s="448"/>
      <c r="BI87" s="448"/>
      <c r="BJ87" s="448"/>
      <c r="BK87" s="448"/>
      <c r="BL87" s="448"/>
      <c r="BM87" s="448"/>
      <c r="BN87" s="448"/>
      <c r="BO87" s="448"/>
      <c r="BP87" s="448"/>
      <c r="BQ87" s="448"/>
      <c r="BR87" s="448"/>
      <c r="BS87" s="448"/>
      <c r="BT87" s="448"/>
      <c r="BU87" s="449"/>
      <c r="BV87" s="448"/>
      <c r="BW87" s="448"/>
      <c r="BX87" s="448"/>
      <c r="BY87" s="449"/>
      <c r="BZ87" s="450"/>
      <c r="CA87" s="448"/>
      <c r="CB87" s="448"/>
      <c r="CC87" s="449"/>
      <c r="CD87" s="450"/>
      <c r="CE87" s="448"/>
      <c r="CF87" s="448"/>
      <c r="CG87" s="449"/>
      <c r="CH87" s="450"/>
      <c r="CI87" s="448"/>
      <c r="CJ87" s="448"/>
      <c r="CK87" s="449"/>
      <c r="CL87" s="450"/>
      <c r="CM87" s="448"/>
      <c r="CN87" s="448"/>
      <c r="CO87" s="449"/>
      <c r="CP87" s="450"/>
      <c r="CQ87" s="448"/>
      <c r="CR87" s="448"/>
      <c r="CS87" s="449"/>
      <c r="CT87" s="450"/>
      <c r="CU87" s="448"/>
      <c r="CV87" s="448"/>
      <c r="CW87" s="449"/>
      <c r="CX87" s="448"/>
      <c r="CY87" s="448"/>
      <c r="CZ87" s="448"/>
      <c r="DA87" s="449"/>
      <c r="DB87" s="448"/>
      <c r="DC87" s="448"/>
      <c r="DD87" s="448"/>
      <c r="DE87" s="449"/>
      <c r="DF87" s="448"/>
      <c r="DG87" s="448"/>
      <c r="DH87" s="448"/>
      <c r="DI87" s="449"/>
      <c r="DJ87" s="491"/>
      <c r="DK87" s="450"/>
      <c r="DL87" s="448"/>
      <c r="DM87" s="448"/>
      <c r="DN87" s="448"/>
      <c r="DO87" s="448"/>
      <c r="DP87" s="448"/>
      <c r="DQ87" s="448"/>
      <c r="DR87" s="448"/>
      <c r="DS87" s="507"/>
      <c r="DT87" s="448"/>
      <c r="DU87" s="448"/>
      <c r="DV87" s="448"/>
      <c r="DW87" s="448"/>
      <c r="DX87" s="448"/>
      <c r="DY87" s="448"/>
      <c r="DZ87" s="448"/>
      <c r="EA87" s="448"/>
      <c r="EB87" s="448"/>
      <c r="EC87" s="448"/>
      <c r="ED87" s="448"/>
      <c r="EE87" s="448"/>
      <c r="EF87" s="448"/>
      <c r="EG87" s="448"/>
      <c r="EH87" s="448"/>
      <c r="EI87" s="448"/>
      <c r="EJ87" s="448"/>
      <c r="EK87" s="448"/>
      <c r="EL87" s="448"/>
      <c r="EM87" s="448"/>
      <c r="EN87" s="448"/>
      <c r="EO87" s="448"/>
      <c r="EP87" s="375"/>
      <c r="EQ87" s="320"/>
    </row>
    <row r="88" spans="1:147" s="390" customFormat="1" ht="15" hidden="1" customHeight="1" outlineLevel="3">
      <c r="A88" s="385"/>
      <c r="B88"/>
      <c r="C88"/>
      <c r="D88"/>
      <c r="E88"/>
      <c r="F88"/>
      <c r="G88"/>
      <c r="H88" s="386"/>
      <c r="I88" s="378" t="s">
        <v>1525</v>
      </c>
      <c r="J88" s="386"/>
      <c r="K88" s="386"/>
      <c r="L88" s="386"/>
      <c r="M88" s="388"/>
      <c r="N88" s="386"/>
      <c r="O88" s="386"/>
      <c r="P88" s="386"/>
      <c r="Q88" s="388"/>
      <c r="R88" s="386"/>
      <c r="S88" s="386"/>
      <c r="T88" s="386"/>
      <c r="U88" s="388"/>
      <c r="V88" s="386"/>
      <c r="W88" s="386"/>
      <c r="X88" s="386"/>
      <c r="Y88" s="388"/>
      <c r="Z88" s="386"/>
      <c r="AA88" s="386"/>
      <c r="AB88" s="386"/>
      <c r="AC88" s="388"/>
      <c r="AD88" s="386"/>
      <c r="AE88" s="386"/>
      <c r="AF88" s="386"/>
      <c r="AG88" s="388"/>
      <c r="AH88" s="386"/>
      <c r="AI88" s="386"/>
      <c r="AJ88" s="386"/>
      <c r="AK88" s="388"/>
      <c r="AL88" s="386"/>
      <c r="AM88" s="386"/>
      <c r="AN88" s="386"/>
      <c r="AO88" s="388"/>
      <c r="AP88" s="386"/>
      <c r="AQ88" s="386"/>
      <c r="AR88" s="386"/>
      <c r="AS88" s="478"/>
      <c r="AT88" s="325"/>
      <c r="AU88" s="325"/>
      <c r="AV88" s="325"/>
      <c r="AW88" s="325"/>
      <c r="AX88" s="325"/>
      <c r="AY88" s="325"/>
      <c r="AZ88" s="325"/>
      <c r="BA88" s="325"/>
      <c r="BB88" s="325"/>
      <c r="BC88" s="325"/>
      <c r="BD88" s="325"/>
      <c r="BE88" s="325"/>
      <c r="BF88" s="325"/>
      <c r="BG88" s="325"/>
      <c r="BH88" s="325"/>
      <c r="BI88" s="325"/>
      <c r="BJ88" s="325"/>
      <c r="BK88" s="325"/>
      <c r="BL88" s="325"/>
      <c r="BM88" s="325"/>
      <c r="BN88" s="325"/>
      <c r="BO88" s="325"/>
      <c r="BP88" s="325"/>
      <c r="BQ88" s="325"/>
      <c r="BR88" s="325">
        <v>204</v>
      </c>
      <c r="BS88" s="325">
        <v>173</v>
      </c>
      <c r="BT88" s="325">
        <v>251</v>
      </c>
      <c r="BU88" s="372">
        <v>838</v>
      </c>
      <c r="BV88" s="325">
        <v>252</v>
      </c>
      <c r="BW88" s="325">
        <v>588</v>
      </c>
      <c r="BX88" s="325">
        <v>574</v>
      </c>
      <c r="BY88" s="372">
        <v>919</v>
      </c>
      <c r="BZ88" s="325">
        <v>351</v>
      </c>
      <c r="CA88" s="325">
        <v>470</v>
      </c>
      <c r="CB88" s="325">
        <v>625</v>
      </c>
      <c r="CC88" s="372">
        <v>932</v>
      </c>
      <c r="CD88" s="373">
        <v>395</v>
      </c>
      <c r="CE88" s="325">
        <v>385</v>
      </c>
      <c r="CF88" s="325">
        <v>492</v>
      </c>
      <c r="CG88" s="372">
        <v>1207</v>
      </c>
      <c r="CH88" s="373">
        <v>303</v>
      </c>
      <c r="CI88" s="325">
        <v>307</v>
      </c>
      <c r="CJ88" s="325">
        <v>299</v>
      </c>
      <c r="CK88" s="372">
        <v>1144</v>
      </c>
      <c r="CL88" s="325">
        <v>517</v>
      </c>
      <c r="CM88" s="325">
        <v>963</v>
      </c>
      <c r="CN88" s="325">
        <v>706</v>
      </c>
      <c r="CO88" s="372">
        <v>1154</v>
      </c>
      <c r="CP88" s="373">
        <v>819</v>
      </c>
      <c r="CQ88" s="325">
        <v>728</v>
      </c>
      <c r="CR88" s="325">
        <v>920</v>
      </c>
      <c r="CS88" s="372">
        <v>1323.6757495164459</v>
      </c>
      <c r="CT88" s="373">
        <v>560.99107826523687</v>
      </c>
      <c r="CU88" s="325">
        <v>514.4510816065939</v>
      </c>
      <c r="CV88" s="325">
        <v>841.91102099689556</v>
      </c>
      <c r="CW88" s="372">
        <v>1560.1890739088162</v>
      </c>
      <c r="CX88" s="325"/>
      <c r="CY88" s="325"/>
      <c r="CZ88" s="325"/>
      <c r="DA88" s="372"/>
      <c r="DB88" s="325"/>
      <c r="DC88" s="325"/>
      <c r="DD88" s="325"/>
      <c r="DE88" s="372"/>
      <c r="DF88" s="325"/>
      <c r="DG88" s="325"/>
      <c r="DH88" s="325"/>
      <c r="DI88" s="372"/>
      <c r="DJ88" s="486"/>
      <c r="DK88" s="373"/>
      <c r="DL88" s="325"/>
      <c r="DM88" s="325"/>
      <c r="DN88" s="325"/>
      <c r="DO88" s="325"/>
      <c r="DP88" s="325"/>
      <c r="DQ88" s="325"/>
      <c r="DR88" s="325"/>
      <c r="DS88" s="401"/>
      <c r="DT88" s="325"/>
      <c r="DU88" s="325"/>
      <c r="DV88" s="325"/>
      <c r="DW88" s="325"/>
      <c r="DX88" s="325"/>
      <c r="DY88" s="325">
        <v>1527</v>
      </c>
      <c r="DZ88" s="325">
        <v>1466</v>
      </c>
      <c r="EA88" s="325">
        <v>2333</v>
      </c>
      <c r="EB88" s="325">
        <v>2378</v>
      </c>
      <c r="EC88" s="325">
        <v>2479</v>
      </c>
      <c r="ED88" s="325">
        <v>2053</v>
      </c>
      <c r="EE88" s="325">
        <v>3397</v>
      </c>
      <c r="EF88" s="325">
        <v>3847.6757495164456</v>
      </c>
      <c r="EG88" s="325">
        <v>3534.542254777542</v>
      </c>
      <c r="EH88" s="325">
        <v>4442.4395928196427</v>
      </c>
      <c r="EI88" s="325">
        <v>4044.2248084422781</v>
      </c>
      <c r="EJ88" s="325">
        <v>3748.2969716937055</v>
      </c>
      <c r="EK88" s="325">
        <v>4271.8287713517457</v>
      </c>
      <c r="EL88" s="325">
        <v>3896.1889352860198</v>
      </c>
      <c r="EM88" s="325">
        <v>4018.4089140409869</v>
      </c>
      <c r="EN88" s="325">
        <v>3928.2878050490494</v>
      </c>
      <c r="EO88" s="325">
        <v>4545.7771249656807</v>
      </c>
      <c r="EP88" s="389"/>
      <c r="EQ88" s="320"/>
    </row>
    <row r="89" spans="1:147" s="390" customFormat="1" ht="15" hidden="1" customHeight="1" outlineLevel="3">
      <c r="A89" s="385"/>
      <c r="B89"/>
      <c r="C89"/>
      <c r="D89"/>
      <c r="E89"/>
      <c r="F89"/>
      <c r="G89"/>
      <c r="H89" s="386"/>
      <c r="I89" s="378" t="s">
        <v>1526</v>
      </c>
      <c r="J89" s="386"/>
      <c r="K89" s="386"/>
      <c r="L89" s="386"/>
      <c r="M89" s="388"/>
      <c r="N89" s="386"/>
      <c r="O89" s="386"/>
      <c r="P89" s="386"/>
      <c r="Q89" s="388"/>
      <c r="R89" s="386"/>
      <c r="S89" s="386"/>
      <c r="T89" s="386"/>
      <c r="U89" s="388"/>
      <c r="V89" s="386"/>
      <c r="W89" s="386"/>
      <c r="X89" s="386"/>
      <c r="Y89" s="388"/>
      <c r="Z89" s="386"/>
      <c r="AA89" s="386"/>
      <c r="AB89" s="386"/>
      <c r="AC89" s="388"/>
      <c r="AD89" s="386"/>
      <c r="AE89" s="386"/>
      <c r="AF89" s="386"/>
      <c r="AG89" s="388"/>
      <c r="AH89" s="386"/>
      <c r="AI89" s="386"/>
      <c r="AJ89" s="386"/>
      <c r="AK89" s="388"/>
      <c r="AL89" s="386"/>
      <c r="AM89" s="386"/>
      <c r="AN89" s="386"/>
      <c r="AO89" s="388"/>
      <c r="AP89" s="386"/>
      <c r="AQ89" s="386"/>
      <c r="AR89" s="386"/>
      <c r="AS89" s="478"/>
      <c r="AT89" s="325"/>
      <c r="AU89" s="325"/>
      <c r="AV89" s="325"/>
      <c r="AW89" s="325"/>
      <c r="AX89" s="325"/>
      <c r="AY89" s="325"/>
      <c r="AZ89" s="325"/>
      <c r="BA89" s="325"/>
      <c r="BB89" s="325"/>
      <c r="BC89" s="325"/>
      <c r="BD89" s="325"/>
      <c r="BE89" s="325"/>
      <c r="BF89" s="325"/>
      <c r="BG89" s="325"/>
      <c r="BH89" s="325"/>
      <c r="BI89" s="325"/>
      <c r="BJ89" s="325"/>
      <c r="BK89" s="325"/>
      <c r="BL89" s="325"/>
      <c r="BM89" s="325"/>
      <c r="BN89" s="325"/>
      <c r="BO89" s="325"/>
      <c r="BP89" s="325"/>
      <c r="BQ89" s="325"/>
      <c r="BR89" s="325">
        <v>50</v>
      </c>
      <c r="BS89" s="325">
        <v>50</v>
      </c>
      <c r="BT89" s="325">
        <v>51</v>
      </c>
      <c r="BU89" s="372">
        <v>49</v>
      </c>
      <c r="BV89" s="325">
        <v>52</v>
      </c>
      <c r="BW89" s="325">
        <v>65</v>
      </c>
      <c r="BX89" s="325">
        <v>63</v>
      </c>
      <c r="BY89" s="372">
        <v>125</v>
      </c>
      <c r="BZ89" s="325">
        <v>40</v>
      </c>
      <c r="CA89" s="325">
        <v>46</v>
      </c>
      <c r="CB89" s="325">
        <v>37</v>
      </c>
      <c r="CC89" s="372">
        <v>36</v>
      </c>
      <c r="CD89" s="373">
        <v>28</v>
      </c>
      <c r="CE89" s="325">
        <v>26</v>
      </c>
      <c r="CF89" s="325">
        <v>53</v>
      </c>
      <c r="CG89" s="372">
        <v>4</v>
      </c>
      <c r="CH89" s="373">
        <v>60</v>
      </c>
      <c r="CI89" s="325">
        <v>-34</v>
      </c>
      <c r="CJ89" s="325">
        <v>-2</v>
      </c>
      <c r="CK89" s="372">
        <v>7</v>
      </c>
      <c r="CL89" s="325">
        <v>8</v>
      </c>
      <c r="CM89" s="325">
        <v>22</v>
      </c>
      <c r="CN89" s="325">
        <v>56</v>
      </c>
      <c r="CO89" s="372">
        <v>31</v>
      </c>
      <c r="CP89" s="373">
        <v>30</v>
      </c>
      <c r="CQ89" s="325">
        <v>-43</v>
      </c>
      <c r="CR89" s="325">
        <v>65</v>
      </c>
      <c r="CS89" s="372">
        <v>28.856000000000002</v>
      </c>
      <c r="CT89" s="373">
        <v>19.8385</v>
      </c>
      <c r="CU89" s="325">
        <v>19.8385</v>
      </c>
      <c r="CV89" s="325">
        <v>19.8385</v>
      </c>
      <c r="CW89" s="372">
        <v>19.8385</v>
      </c>
      <c r="CX89" s="325"/>
      <c r="CY89" s="325"/>
      <c r="CZ89" s="325"/>
      <c r="DA89" s="372"/>
      <c r="DB89" s="325"/>
      <c r="DC89" s="325"/>
      <c r="DD89" s="325"/>
      <c r="DE89" s="372"/>
      <c r="DF89" s="325"/>
      <c r="DG89" s="325"/>
      <c r="DH89" s="325"/>
      <c r="DI89" s="372"/>
      <c r="DJ89" s="486"/>
      <c r="DK89" s="373"/>
      <c r="DL89" s="325"/>
      <c r="DM89" s="325"/>
      <c r="DN89" s="325"/>
      <c r="DO89" s="325"/>
      <c r="DP89" s="325"/>
      <c r="DQ89" s="325"/>
      <c r="DR89" s="325"/>
      <c r="DS89" s="401"/>
      <c r="DT89" s="325"/>
      <c r="DU89" s="325"/>
      <c r="DV89" s="325"/>
      <c r="DW89" s="325"/>
      <c r="DX89" s="325"/>
      <c r="DY89" s="325">
        <v>202</v>
      </c>
      <c r="DZ89" s="325">
        <v>200</v>
      </c>
      <c r="EA89" s="325">
        <v>305</v>
      </c>
      <c r="EB89" s="325">
        <v>159</v>
      </c>
      <c r="EC89" s="325">
        <v>111</v>
      </c>
      <c r="ED89" s="325">
        <v>88</v>
      </c>
      <c r="EE89" s="325">
        <v>117</v>
      </c>
      <c r="EF89" s="325">
        <v>80.855999999999995</v>
      </c>
      <c r="EG89" s="325">
        <v>79.353999999999999</v>
      </c>
      <c r="EH89" s="325">
        <v>79.353999999999999</v>
      </c>
      <c r="EI89" s="325">
        <v>79.353999999999999</v>
      </c>
      <c r="EJ89" s="325">
        <v>79.353999999999999</v>
      </c>
      <c r="EK89" s="325">
        <v>39.677</v>
      </c>
      <c r="EL89" s="325">
        <v>0</v>
      </c>
      <c r="EM89" s="325">
        <v>0</v>
      </c>
      <c r="EN89" s="325">
        <v>0</v>
      </c>
      <c r="EO89" s="325">
        <v>0</v>
      </c>
      <c r="EP89" s="389"/>
      <c r="EQ89" s="320"/>
    </row>
    <row r="90" spans="1:147" s="390" customFormat="1" ht="15" hidden="1" customHeight="1" outlineLevel="3">
      <c r="A90" s="385"/>
      <c r="B90"/>
      <c r="C90"/>
      <c r="D90"/>
      <c r="E90"/>
      <c r="F90"/>
      <c r="G90"/>
      <c r="H90" s="386"/>
      <c r="I90" s="378" t="s">
        <v>1527</v>
      </c>
      <c r="J90" s="386"/>
      <c r="K90" s="386"/>
      <c r="L90" s="386"/>
      <c r="M90" s="388"/>
      <c r="N90" s="386"/>
      <c r="O90" s="386"/>
      <c r="P90" s="386"/>
      <c r="Q90" s="388"/>
      <c r="R90" s="386"/>
      <c r="S90" s="386"/>
      <c r="T90" s="386"/>
      <c r="U90" s="388"/>
      <c r="V90" s="386"/>
      <c r="W90" s="386"/>
      <c r="X90" s="386"/>
      <c r="Y90" s="388"/>
      <c r="Z90" s="386"/>
      <c r="AA90" s="386"/>
      <c r="AB90" s="386"/>
      <c r="AC90" s="388"/>
      <c r="AD90" s="386"/>
      <c r="AE90" s="386"/>
      <c r="AF90" s="386"/>
      <c r="AG90" s="388"/>
      <c r="AH90" s="386"/>
      <c r="AI90" s="386"/>
      <c r="AJ90" s="386"/>
      <c r="AK90" s="388"/>
      <c r="AL90" s="386"/>
      <c r="AM90" s="386"/>
      <c r="AN90" s="386"/>
      <c r="AO90" s="388"/>
      <c r="AP90" s="386"/>
      <c r="AQ90" s="386"/>
      <c r="AR90" s="386"/>
      <c r="AS90" s="478"/>
      <c r="AT90" s="325"/>
      <c r="AU90" s="325"/>
      <c r="AV90" s="325"/>
      <c r="AW90" s="325"/>
      <c r="AX90" s="325"/>
      <c r="AY90" s="325"/>
      <c r="AZ90" s="325"/>
      <c r="BA90" s="325"/>
      <c r="BB90" s="325"/>
      <c r="BC90" s="325"/>
      <c r="BD90" s="325"/>
      <c r="BE90" s="325"/>
      <c r="BF90" s="325"/>
      <c r="BG90" s="325"/>
      <c r="BH90" s="325"/>
      <c r="BI90" s="325"/>
      <c r="BJ90" s="325"/>
      <c r="BK90" s="325"/>
      <c r="BL90" s="325"/>
      <c r="BM90" s="325"/>
      <c r="BN90" s="325"/>
      <c r="BO90" s="325"/>
      <c r="BP90" s="325"/>
      <c r="BQ90" s="325"/>
      <c r="BR90" s="508">
        <v>154</v>
      </c>
      <c r="BS90" s="508">
        <v>123</v>
      </c>
      <c r="BT90" s="508">
        <v>200</v>
      </c>
      <c r="BU90" s="509">
        <v>789</v>
      </c>
      <c r="BV90" s="508">
        <v>200</v>
      </c>
      <c r="BW90" s="508">
        <v>523</v>
      </c>
      <c r="BX90" s="508">
        <v>511</v>
      </c>
      <c r="BY90" s="509">
        <v>794</v>
      </c>
      <c r="BZ90" s="508">
        <v>311</v>
      </c>
      <c r="CA90" s="508">
        <v>424</v>
      </c>
      <c r="CB90" s="508">
        <v>588</v>
      </c>
      <c r="CC90" s="509">
        <v>896</v>
      </c>
      <c r="CD90" s="510">
        <v>367</v>
      </c>
      <c r="CE90" s="508">
        <v>359</v>
      </c>
      <c r="CF90" s="508">
        <v>439</v>
      </c>
      <c r="CG90" s="509">
        <v>1203</v>
      </c>
      <c r="CH90" s="510">
        <v>243</v>
      </c>
      <c r="CI90" s="508">
        <v>341</v>
      </c>
      <c r="CJ90" s="508">
        <v>301</v>
      </c>
      <c r="CK90" s="509">
        <v>1137</v>
      </c>
      <c r="CL90" s="508">
        <v>509</v>
      </c>
      <c r="CM90" s="508">
        <v>941</v>
      </c>
      <c r="CN90" s="508">
        <v>650</v>
      </c>
      <c r="CO90" s="509">
        <v>1123</v>
      </c>
      <c r="CP90" s="510">
        <v>789</v>
      </c>
      <c r="CQ90" s="508">
        <v>771</v>
      </c>
      <c r="CR90" s="508">
        <v>855</v>
      </c>
      <c r="CS90" s="509">
        <v>1294.8197495164459</v>
      </c>
      <c r="CT90" s="510">
        <v>541.15257826523691</v>
      </c>
      <c r="CU90" s="508">
        <v>494.61258160659389</v>
      </c>
      <c r="CV90" s="508">
        <v>822.07252099689561</v>
      </c>
      <c r="CW90" s="509">
        <v>1540.3505739088162</v>
      </c>
      <c r="CX90" s="325"/>
      <c r="CY90" s="325"/>
      <c r="CZ90" s="325"/>
      <c r="DA90" s="372"/>
      <c r="DB90" s="325"/>
      <c r="DC90" s="325"/>
      <c r="DD90" s="325"/>
      <c r="DE90" s="372"/>
      <c r="DF90" s="325"/>
      <c r="DG90" s="325"/>
      <c r="DH90" s="325"/>
      <c r="DI90" s="372"/>
      <c r="DJ90" s="486"/>
      <c r="DK90" s="373"/>
      <c r="DL90" s="325"/>
      <c r="DM90" s="325"/>
      <c r="DN90" s="325"/>
      <c r="DO90" s="325"/>
      <c r="DP90" s="325"/>
      <c r="DQ90" s="325"/>
      <c r="DR90" s="325"/>
      <c r="DS90" s="401"/>
      <c r="DT90" s="325"/>
      <c r="DU90" s="325"/>
      <c r="DV90" s="325"/>
      <c r="DW90" s="325"/>
      <c r="DX90" s="325"/>
      <c r="DY90" s="508">
        <v>1325</v>
      </c>
      <c r="DZ90" s="508">
        <v>1266</v>
      </c>
      <c r="EA90" s="508">
        <v>2028</v>
      </c>
      <c r="EB90" s="508">
        <v>2219</v>
      </c>
      <c r="EC90" s="508">
        <v>2368</v>
      </c>
      <c r="ED90" s="508">
        <v>1965</v>
      </c>
      <c r="EE90" s="508">
        <v>3280</v>
      </c>
      <c r="EF90" s="508">
        <v>3766.8197495164459</v>
      </c>
      <c r="EG90" s="508">
        <v>3455.1882547775422</v>
      </c>
      <c r="EH90" s="508">
        <v>4363.0855928196424</v>
      </c>
      <c r="EI90" s="508">
        <v>3964.8708084422783</v>
      </c>
      <c r="EJ90" s="508">
        <v>3668.9429716937057</v>
      </c>
      <c r="EK90" s="508">
        <v>4232.151771351746</v>
      </c>
      <c r="EL90" s="508">
        <v>3896.1889352860198</v>
      </c>
      <c r="EM90" s="508">
        <v>4018.4089140409869</v>
      </c>
      <c r="EN90" s="508">
        <v>3928.2878050490494</v>
      </c>
      <c r="EO90" s="508">
        <v>4545.7771249656807</v>
      </c>
      <c r="EP90" s="389"/>
      <c r="EQ90" s="320"/>
    </row>
    <row r="91" spans="1:147" s="390" customFormat="1" ht="15" hidden="1" customHeight="1" outlineLevel="3">
      <c r="A91" s="385"/>
      <c r="B91"/>
      <c r="C91"/>
      <c r="D91"/>
      <c r="E91"/>
      <c r="F91"/>
      <c r="G91"/>
      <c r="H91" s="386"/>
      <c r="I91" s="378" t="s">
        <v>1528</v>
      </c>
      <c r="J91" s="386"/>
      <c r="K91" s="386"/>
      <c r="L91" s="386"/>
      <c r="M91" s="388"/>
      <c r="N91" s="386"/>
      <c r="O91" s="386"/>
      <c r="P91" s="386"/>
      <c r="Q91" s="388"/>
      <c r="R91" s="386"/>
      <c r="S91" s="386"/>
      <c r="T91" s="386"/>
      <c r="U91" s="388"/>
      <c r="V91" s="386"/>
      <c r="W91" s="386"/>
      <c r="X91" s="386"/>
      <c r="Y91" s="388"/>
      <c r="Z91" s="386"/>
      <c r="AA91" s="386"/>
      <c r="AB91" s="386"/>
      <c r="AC91" s="388"/>
      <c r="AD91" s="386"/>
      <c r="AE91" s="386"/>
      <c r="AF91" s="386"/>
      <c r="AG91" s="388"/>
      <c r="AH91" s="386"/>
      <c r="AI91" s="386"/>
      <c r="AJ91" s="386"/>
      <c r="AK91" s="388"/>
      <c r="AL91" s="386"/>
      <c r="AM91" s="386"/>
      <c r="AN91" s="386"/>
      <c r="AO91" s="388"/>
      <c r="AP91" s="386"/>
      <c r="AQ91" s="386"/>
      <c r="AR91" s="386"/>
      <c r="AS91" s="478"/>
      <c r="AT91" s="325"/>
      <c r="AU91" s="325"/>
      <c r="AV91" s="325"/>
      <c r="AW91" s="325"/>
      <c r="AX91" s="325"/>
      <c r="AY91" s="325"/>
      <c r="AZ91" s="325"/>
      <c r="BA91" s="325"/>
      <c r="BB91" s="325"/>
      <c r="BC91" s="325"/>
      <c r="BD91" s="325"/>
      <c r="BE91" s="325"/>
      <c r="BF91" s="325"/>
      <c r="BG91" s="325"/>
      <c r="BH91" s="325"/>
      <c r="BI91" s="325"/>
      <c r="BJ91" s="325"/>
      <c r="BK91" s="325"/>
      <c r="BL91" s="325"/>
      <c r="BM91" s="325"/>
      <c r="BN91" s="325"/>
      <c r="BO91" s="325"/>
      <c r="BP91" s="325"/>
      <c r="BQ91" s="325"/>
      <c r="BR91" s="325">
        <v>38</v>
      </c>
      <c r="BS91" s="325">
        <v>30</v>
      </c>
      <c r="BT91" s="325">
        <v>42</v>
      </c>
      <c r="BU91" s="372">
        <v>167</v>
      </c>
      <c r="BV91" s="325">
        <v>27</v>
      </c>
      <c r="BW91" s="325">
        <v>119</v>
      </c>
      <c r="BX91" s="325">
        <v>115</v>
      </c>
      <c r="BY91" s="372">
        <v>98</v>
      </c>
      <c r="BZ91" s="325">
        <v>75</v>
      </c>
      <c r="CA91" s="325">
        <v>93</v>
      </c>
      <c r="CB91" s="325">
        <v>130</v>
      </c>
      <c r="CC91" s="372">
        <v>174</v>
      </c>
      <c r="CD91" s="373">
        <v>71</v>
      </c>
      <c r="CE91" s="325">
        <v>45</v>
      </c>
      <c r="CF91" s="325">
        <v>40</v>
      </c>
      <c r="CG91" s="372">
        <v>208</v>
      </c>
      <c r="CH91" s="373">
        <v>1</v>
      </c>
      <c r="CI91" s="325">
        <v>48</v>
      </c>
      <c r="CJ91" s="325">
        <v>54</v>
      </c>
      <c r="CK91" s="372">
        <v>179</v>
      </c>
      <c r="CL91" s="325">
        <v>59</v>
      </c>
      <c r="CM91" s="325">
        <v>185</v>
      </c>
      <c r="CN91" s="325">
        <v>97</v>
      </c>
      <c r="CO91" s="372">
        <v>180</v>
      </c>
      <c r="CP91" s="373">
        <v>128</v>
      </c>
      <c r="CQ91" s="325">
        <v>59</v>
      </c>
      <c r="CR91" s="325">
        <v>288</v>
      </c>
      <c r="CS91" s="372">
        <v>258.89394990328924</v>
      </c>
      <c r="CT91" s="373">
        <v>108.22351565304734</v>
      </c>
      <c r="CU91" s="325">
        <v>98.915516321318762</v>
      </c>
      <c r="CV91" s="325">
        <v>164.4075041993791</v>
      </c>
      <c r="CW91" s="372">
        <v>308.06311478176326</v>
      </c>
      <c r="CX91" s="325"/>
      <c r="CY91" s="325"/>
      <c r="CZ91" s="325"/>
      <c r="DA91" s="372"/>
      <c r="DB91" s="325"/>
      <c r="DC91" s="325"/>
      <c r="DD91" s="325"/>
      <c r="DE91" s="372"/>
      <c r="DF91" s="325"/>
      <c r="DG91" s="325"/>
      <c r="DH91" s="325"/>
      <c r="DI91" s="372"/>
      <c r="DJ91" s="486"/>
      <c r="DK91" s="373"/>
      <c r="DL91" s="325"/>
      <c r="DM91" s="325"/>
      <c r="DN91" s="325"/>
      <c r="DO91" s="325"/>
      <c r="DP91" s="325"/>
      <c r="DQ91" s="325"/>
      <c r="DR91" s="325"/>
      <c r="DS91" s="401"/>
      <c r="DT91" s="325"/>
      <c r="DU91" s="325"/>
      <c r="DV91" s="325"/>
      <c r="DW91" s="325"/>
      <c r="DX91" s="325"/>
      <c r="DY91" s="325">
        <v>268</v>
      </c>
      <c r="DZ91" s="325">
        <v>277</v>
      </c>
      <c r="EA91" s="325">
        <v>359</v>
      </c>
      <c r="EB91" s="325">
        <v>472</v>
      </c>
      <c r="EC91" s="325">
        <v>364</v>
      </c>
      <c r="ED91" s="325">
        <v>225</v>
      </c>
      <c r="EE91" s="325">
        <v>578</v>
      </c>
      <c r="EF91" s="325">
        <v>790.89394990328856</v>
      </c>
      <c r="EG91" s="325">
        <v>736.60965095550728</v>
      </c>
      <c r="EH91" s="325">
        <v>873.64258247916405</v>
      </c>
      <c r="EI91" s="325">
        <v>792.44164913592749</v>
      </c>
      <c r="EJ91" s="325">
        <v>733.57223370705424</v>
      </c>
      <c r="EK91" s="325">
        <v>9.4821637798941083</v>
      </c>
      <c r="EL91" s="325">
        <v>-6.1582175868356899</v>
      </c>
      <c r="EM91" s="325">
        <v>1.6305344146039715</v>
      </c>
      <c r="EN91" s="325">
        <v>-0.94816501443983725</v>
      </c>
      <c r="EO91" s="325">
        <v>10.831695520268113</v>
      </c>
      <c r="EP91" s="389"/>
      <c r="EQ91" s="320"/>
    </row>
    <row r="92" spans="1:147" s="390" customFormat="1" ht="15" hidden="1" customHeight="1" outlineLevel="3">
      <c r="A92" s="385"/>
      <c r="B92"/>
      <c r="C92"/>
      <c r="D92"/>
      <c r="E92"/>
      <c r="F92"/>
      <c r="G92"/>
      <c r="H92" s="386"/>
      <c r="I92" s="378" t="s">
        <v>1521</v>
      </c>
      <c r="J92" s="386"/>
      <c r="K92" s="386"/>
      <c r="L92" s="386"/>
      <c r="M92" s="388"/>
      <c r="N92" s="386"/>
      <c r="O92" s="386"/>
      <c r="P92" s="386"/>
      <c r="Q92" s="388"/>
      <c r="R92" s="386"/>
      <c r="S92" s="386"/>
      <c r="T92" s="386"/>
      <c r="U92" s="388"/>
      <c r="V92" s="386"/>
      <c r="W92" s="386"/>
      <c r="X92" s="386"/>
      <c r="Y92" s="388"/>
      <c r="Z92" s="386"/>
      <c r="AA92" s="386"/>
      <c r="AB92" s="386"/>
      <c r="AC92" s="388"/>
      <c r="AD92" s="386"/>
      <c r="AE92" s="386"/>
      <c r="AF92" s="386"/>
      <c r="AG92" s="388"/>
      <c r="AH92" s="386"/>
      <c r="AI92" s="386"/>
      <c r="AJ92" s="386"/>
      <c r="AK92" s="388"/>
      <c r="AL92" s="386"/>
      <c r="AM92" s="386"/>
      <c r="AN92" s="386"/>
      <c r="AO92" s="388"/>
      <c r="AP92" s="386"/>
      <c r="AQ92" s="386"/>
      <c r="AR92" s="386"/>
      <c r="AS92" s="478"/>
      <c r="AT92" s="325"/>
      <c r="AU92" s="325"/>
      <c r="AV92" s="325"/>
      <c r="AW92" s="325"/>
      <c r="AX92" s="325"/>
      <c r="AY92" s="325"/>
      <c r="AZ92" s="325"/>
      <c r="BA92" s="325"/>
      <c r="BB92" s="325"/>
      <c r="BC92" s="325"/>
      <c r="BD92" s="325"/>
      <c r="BE92" s="325"/>
      <c r="BF92" s="325"/>
      <c r="BG92" s="325"/>
      <c r="BH92" s="325"/>
      <c r="BI92" s="325"/>
      <c r="BJ92" s="325"/>
      <c r="BK92" s="325"/>
      <c r="BL92" s="325"/>
      <c r="BM92" s="325"/>
      <c r="BN92" s="325"/>
      <c r="BO92" s="325"/>
      <c r="BP92" s="325"/>
      <c r="BQ92" s="325"/>
      <c r="BR92" s="511">
        <v>116</v>
      </c>
      <c r="BS92" s="511">
        <v>93</v>
      </c>
      <c r="BT92" s="511">
        <v>158</v>
      </c>
      <c r="BU92" s="512">
        <v>622</v>
      </c>
      <c r="BV92" s="511">
        <v>173</v>
      </c>
      <c r="BW92" s="511">
        <v>404</v>
      </c>
      <c r="BX92" s="511">
        <v>396</v>
      </c>
      <c r="BY92" s="512">
        <v>696</v>
      </c>
      <c r="BZ92" s="511">
        <v>236</v>
      </c>
      <c r="CA92" s="511">
        <v>331</v>
      </c>
      <c r="CB92" s="511">
        <v>458</v>
      </c>
      <c r="CC92" s="512">
        <v>722</v>
      </c>
      <c r="CD92" s="513">
        <v>296</v>
      </c>
      <c r="CE92" s="511">
        <v>314</v>
      </c>
      <c r="CF92" s="511">
        <v>399</v>
      </c>
      <c r="CG92" s="512">
        <v>995</v>
      </c>
      <c r="CH92" s="513">
        <v>242</v>
      </c>
      <c r="CI92" s="511">
        <v>293</v>
      </c>
      <c r="CJ92" s="511">
        <v>247</v>
      </c>
      <c r="CK92" s="512">
        <v>958</v>
      </c>
      <c r="CL92" s="511">
        <v>450</v>
      </c>
      <c r="CM92" s="511">
        <v>756</v>
      </c>
      <c r="CN92" s="511">
        <v>553</v>
      </c>
      <c r="CO92" s="512">
        <v>943</v>
      </c>
      <c r="CP92" s="513">
        <v>661</v>
      </c>
      <c r="CQ92" s="511">
        <v>712</v>
      </c>
      <c r="CR92" s="511">
        <v>567</v>
      </c>
      <c r="CS92" s="512">
        <v>1035.9257996131566</v>
      </c>
      <c r="CT92" s="513">
        <v>432.92906261218957</v>
      </c>
      <c r="CU92" s="511">
        <v>395.69706528527513</v>
      </c>
      <c r="CV92" s="511">
        <v>657.6650167975165</v>
      </c>
      <c r="CW92" s="512">
        <v>1232.2874591270529</v>
      </c>
      <c r="CX92" s="325"/>
      <c r="CY92" s="325"/>
      <c r="CZ92" s="325"/>
      <c r="DA92" s="372"/>
      <c r="DB92" s="325"/>
      <c r="DC92" s="325"/>
      <c r="DD92" s="325"/>
      <c r="DE92" s="372"/>
      <c r="DF92" s="325"/>
      <c r="DG92" s="325"/>
      <c r="DH92" s="325"/>
      <c r="DI92" s="372"/>
      <c r="DJ92" s="486"/>
      <c r="DK92" s="373"/>
      <c r="DL92" s="325"/>
      <c r="DM92" s="325"/>
      <c r="DN92" s="325"/>
      <c r="DO92" s="325"/>
      <c r="DP92" s="325"/>
      <c r="DQ92" s="325"/>
      <c r="DR92" s="325"/>
      <c r="DS92" s="401"/>
      <c r="DT92" s="325"/>
      <c r="DU92" s="325"/>
      <c r="DV92" s="325"/>
      <c r="DW92" s="325"/>
      <c r="DX92" s="325"/>
      <c r="DY92" s="511">
        <v>1057</v>
      </c>
      <c r="DZ92" s="511">
        <v>989</v>
      </c>
      <c r="EA92" s="511">
        <v>1669</v>
      </c>
      <c r="EB92" s="511">
        <v>1747</v>
      </c>
      <c r="EC92" s="511">
        <v>2004</v>
      </c>
      <c r="ED92" s="511">
        <v>1740</v>
      </c>
      <c r="EE92" s="511">
        <v>2702</v>
      </c>
      <c r="EF92" s="511">
        <v>2975.9257996131573</v>
      </c>
      <c r="EG92" s="511">
        <v>2718.5786038220349</v>
      </c>
      <c r="EH92" s="511">
        <v>3489.4430103404784</v>
      </c>
      <c r="EI92" s="511">
        <v>3172.4291593063508</v>
      </c>
      <c r="EJ92" s="511">
        <v>2935.3707379866514</v>
      </c>
      <c r="EK92" s="511">
        <v>4222.6696075718519</v>
      </c>
      <c r="EL92" s="511">
        <v>3902.3471528728555</v>
      </c>
      <c r="EM92" s="511">
        <v>4016.778379626383</v>
      </c>
      <c r="EN92" s="511">
        <v>3929.2359700634893</v>
      </c>
      <c r="EO92" s="511">
        <v>4534.9454294454126</v>
      </c>
      <c r="EP92" s="389"/>
      <c r="EQ92" s="320"/>
    </row>
    <row r="93" spans="1:147" s="390" customFormat="1" ht="15" hidden="1" customHeight="1" outlineLevel="3">
      <c r="A93" s="385"/>
      <c r="B93"/>
      <c r="C93"/>
      <c r="D93"/>
      <c r="E93"/>
      <c r="F93"/>
      <c r="G93"/>
      <c r="H93" s="386"/>
      <c r="I93" s="378" t="s">
        <v>1529</v>
      </c>
      <c r="J93" s="386"/>
      <c r="K93" s="386"/>
      <c r="L93" s="386"/>
      <c r="M93" s="388"/>
      <c r="N93" s="386"/>
      <c r="O93" s="386"/>
      <c r="P93" s="386"/>
      <c r="Q93" s="388"/>
      <c r="R93" s="386"/>
      <c r="S93" s="386"/>
      <c r="T93" s="386"/>
      <c r="U93" s="388"/>
      <c r="V93" s="386"/>
      <c r="W93" s="386"/>
      <c r="X93" s="386"/>
      <c r="Y93" s="388"/>
      <c r="Z93" s="386"/>
      <c r="AA93" s="386"/>
      <c r="AB93" s="386"/>
      <c r="AC93" s="388"/>
      <c r="AD93" s="386"/>
      <c r="AE93" s="386"/>
      <c r="AF93" s="386"/>
      <c r="AG93" s="388"/>
      <c r="AH93" s="386"/>
      <c r="AI93" s="386"/>
      <c r="AJ93" s="386"/>
      <c r="AK93" s="388"/>
      <c r="AL93" s="386"/>
      <c r="AM93" s="386"/>
      <c r="AN93" s="386"/>
      <c r="AO93" s="388"/>
      <c r="AP93" s="386"/>
      <c r="AQ93" s="386"/>
      <c r="AR93" s="386"/>
      <c r="AS93" s="478"/>
      <c r="AT93" s="325"/>
      <c r="AU93" s="325"/>
      <c r="AV93" s="325"/>
      <c r="AW93" s="325"/>
      <c r="AX93" s="325"/>
      <c r="AY93" s="325"/>
      <c r="AZ93" s="325"/>
      <c r="BA93" s="325"/>
      <c r="BB93" s="325"/>
      <c r="BC93" s="325"/>
      <c r="BD93" s="325"/>
      <c r="BE93" s="325"/>
      <c r="BF93" s="325"/>
      <c r="BG93" s="325"/>
      <c r="BH93" s="325"/>
      <c r="BI93" s="325"/>
      <c r="BJ93" s="325"/>
      <c r="BK93" s="325"/>
      <c r="BL93" s="325"/>
      <c r="BM93" s="325"/>
      <c r="BN93" s="325"/>
      <c r="BO93" s="325"/>
      <c r="BP93" s="325"/>
      <c r="BQ93" s="325"/>
      <c r="BR93" s="514">
        <v>0.24675324675324675</v>
      </c>
      <c r="BS93" s="514">
        <v>0.24390243902439024</v>
      </c>
      <c r="BT93" s="514">
        <v>0.21</v>
      </c>
      <c r="BU93" s="515">
        <v>0.21166032953105196</v>
      </c>
      <c r="BV93" s="514">
        <v>0.13500000000000001</v>
      </c>
      <c r="BW93" s="514">
        <v>0.22753346080305928</v>
      </c>
      <c r="BX93" s="514">
        <v>0.22504892367906065</v>
      </c>
      <c r="BY93" s="515">
        <v>0.12342569269521411</v>
      </c>
      <c r="BZ93" s="514">
        <v>0.24115755627009647</v>
      </c>
      <c r="CA93" s="514">
        <v>0.21933962264150944</v>
      </c>
      <c r="CB93" s="514">
        <v>0.22108843537414966</v>
      </c>
      <c r="CC93" s="515">
        <v>0.19419642857142858</v>
      </c>
      <c r="CD93" s="516">
        <v>0.19346049046321526</v>
      </c>
      <c r="CE93" s="514">
        <v>0.12534818941504178</v>
      </c>
      <c r="CF93" s="514">
        <v>9.1116173120728935E-2</v>
      </c>
      <c r="CG93" s="515">
        <v>0.17290108063175394</v>
      </c>
      <c r="CH93" s="516">
        <v>4.11522633744856E-3</v>
      </c>
      <c r="CI93" s="514">
        <v>0.14076246334310852</v>
      </c>
      <c r="CJ93" s="514">
        <v>0.17940199335548174</v>
      </c>
      <c r="CK93" s="515">
        <v>0.15743183817062445</v>
      </c>
      <c r="CL93" s="514">
        <v>0.11591355599214145</v>
      </c>
      <c r="CM93" s="514">
        <v>0.19659936238044634</v>
      </c>
      <c r="CN93" s="514">
        <v>0.14923076923076922</v>
      </c>
      <c r="CO93" s="515">
        <v>0.16028495102404275</v>
      </c>
      <c r="CP93" s="516">
        <v>0.16223067173637515</v>
      </c>
      <c r="CQ93" s="514">
        <v>7.6523994811932561E-2</v>
      </c>
      <c r="CR93" s="514">
        <v>0.33684210526315789</v>
      </c>
      <c r="CS93" s="515">
        <v>0.19994593842113847</v>
      </c>
      <c r="CT93" s="516">
        <v>0.19998706464631014</v>
      </c>
      <c r="CU93" s="514">
        <v>0.19998584750922171</v>
      </c>
      <c r="CV93" s="514">
        <v>0.19999148493615682</v>
      </c>
      <c r="CW93" s="515">
        <v>0.19999545557997087</v>
      </c>
      <c r="CX93" s="325"/>
      <c r="CY93" s="325"/>
      <c r="CZ93" s="325"/>
      <c r="DA93" s="372"/>
      <c r="DB93" s="325"/>
      <c r="DC93" s="325"/>
      <c r="DD93" s="325"/>
      <c r="DE93" s="372"/>
      <c r="DF93" s="325"/>
      <c r="DG93" s="325"/>
      <c r="DH93" s="325"/>
      <c r="DI93" s="372"/>
      <c r="DJ93" s="486"/>
      <c r="DK93" s="373"/>
      <c r="DL93" s="325"/>
      <c r="DM93" s="325"/>
      <c r="DN93" s="325"/>
      <c r="DO93" s="325"/>
      <c r="DP93" s="325"/>
      <c r="DQ93" s="325"/>
      <c r="DR93" s="325"/>
      <c r="DS93" s="401"/>
      <c r="DT93" s="325"/>
      <c r="DU93" s="325"/>
      <c r="DV93" s="325"/>
      <c r="DW93" s="325"/>
      <c r="DX93" s="325"/>
      <c r="DY93" s="514">
        <v>0.20226415094339623</v>
      </c>
      <c r="DZ93" s="514">
        <v>0.21879936808846762</v>
      </c>
      <c r="EA93" s="514">
        <v>0.17702169625246547</v>
      </c>
      <c r="EB93" s="514">
        <v>0.21270842721946823</v>
      </c>
      <c r="EC93" s="514">
        <v>0.15371621621621623</v>
      </c>
      <c r="ED93" s="514">
        <v>0.11450381679389313</v>
      </c>
      <c r="EE93" s="514">
        <v>0.17621951219512194</v>
      </c>
      <c r="EF93" s="514">
        <v>0.20996331189057219</v>
      </c>
      <c r="EG93" s="514">
        <v>0.21318944052816391</v>
      </c>
      <c r="EH93" s="514">
        <v>0.20023503181256017</v>
      </c>
      <c r="EI93" s="514">
        <v>0.19986569233191803</v>
      </c>
      <c r="EJ93" s="514">
        <v>0.19994102916470599</v>
      </c>
      <c r="EK93" s="514">
        <v>2.2405065536828593E-3</v>
      </c>
      <c r="EL93" s="514">
        <v>-1.580574681854748E-3</v>
      </c>
      <c r="EM93" s="514">
        <v>4.0576617499195116E-4</v>
      </c>
      <c r="EN93" s="514">
        <v>-2.4136852020393101E-4</v>
      </c>
      <c r="EO93" s="514">
        <v>2.3828039128402909E-3</v>
      </c>
      <c r="EP93" s="389"/>
      <c r="EQ93" s="320"/>
    </row>
    <row r="94" spans="1:147" s="390" customFormat="1" ht="15" hidden="1" customHeight="1" outlineLevel="3">
      <c r="A94" s="385"/>
      <c r="B94"/>
      <c r="C94"/>
      <c r="D94"/>
      <c r="E94"/>
      <c r="F94"/>
      <c r="G94"/>
      <c r="H94" s="386"/>
      <c r="I94" s="517"/>
      <c r="J94" s="386"/>
      <c r="K94" s="386"/>
      <c r="L94" s="386"/>
      <c r="M94" s="388"/>
      <c r="N94" s="386"/>
      <c r="O94" s="386"/>
      <c r="P94" s="386"/>
      <c r="Q94" s="388"/>
      <c r="R94" s="386"/>
      <c r="S94" s="386"/>
      <c r="T94" s="386"/>
      <c r="U94" s="388"/>
      <c r="V94" s="386"/>
      <c r="W94" s="386"/>
      <c r="X94" s="386"/>
      <c r="Y94" s="388"/>
      <c r="Z94" s="386"/>
      <c r="AA94" s="386"/>
      <c r="AB94" s="386"/>
      <c r="AC94" s="388"/>
      <c r="AD94" s="386"/>
      <c r="AE94" s="386"/>
      <c r="AF94" s="386"/>
      <c r="AG94" s="388"/>
      <c r="AH94" s="386"/>
      <c r="AI94" s="386"/>
      <c r="AJ94" s="386"/>
      <c r="AK94" s="388"/>
      <c r="AL94" s="386"/>
      <c r="AM94" s="386"/>
      <c r="AN94" s="386"/>
      <c r="AO94" s="388"/>
      <c r="AP94" s="386"/>
      <c r="AQ94" s="386"/>
      <c r="AR94" s="386"/>
      <c r="AS94" s="478"/>
      <c r="AT94" s="479"/>
      <c r="AU94" s="479"/>
      <c r="AV94" s="479"/>
      <c r="AW94" s="478"/>
      <c r="AX94" s="479"/>
      <c r="AY94" s="479"/>
      <c r="AZ94" s="479"/>
      <c r="BA94" s="478"/>
      <c r="BB94" s="479"/>
      <c r="BC94" s="479"/>
      <c r="BD94" s="479"/>
      <c r="BE94" s="493"/>
      <c r="BF94" s="479"/>
      <c r="BG94" s="479"/>
      <c r="BH94" s="479"/>
      <c r="BI94" s="493"/>
      <c r="BJ94" s="479"/>
      <c r="BK94" s="479"/>
      <c r="BL94" s="479"/>
      <c r="BM94" s="493"/>
      <c r="BN94" s="386"/>
      <c r="BO94" s="386"/>
      <c r="BP94" s="325"/>
      <c r="BQ94" s="493"/>
      <c r="BR94" s="386"/>
      <c r="BS94" s="386"/>
      <c r="BT94" s="325"/>
      <c r="BU94" s="372"/>
      <c r="BV94" s="518"/>
      <c r="BW94" s="325"/>
      <c r="BX94" s="325"/>
      <c r="BY94" s="372"/>
      <c r="BZ94" s="373"/>
      <c r="CA94" s="325"/>
      <c r="CB94" s="325"/>
      <c r="CC94" s="372"/>
      <c r="CD94" s="373"/>
      <c r="CE94" s="325"/>
      <c r="CF94" s="325"/>
      <c r="CG94" s="372"/>
      <c r="CH94" s="373"/>
      <c r="CI94" s="325"/>
      <c r="CJ94" s="325"/>
      <c r="CK94" s="372"/>
      <c r="CL94" s="325"/>
      <c r="CM94" s="325"/>
      <c r="CN94" s="325"/>
      <c r="CO94" s="372"/>
      <c r="CP94" s="373"/>
      <c r="CQ94" s="325"/>
      <c r="CR94" s="325"/>
      <c r="CS94" s="372"/>
      <c r="CT94" s="373"/>
      <c r="CU94" s="325"/>
      <c r="CV94" s="325"/>
      <c r="CW94" s="372"/>
      <c r="CX94" s="325"/>
      <c r="CY94" s="325"/>
      <c r="CZ94" s="325"/>
      <c r="DA94" s="372"/>
      <c r="DB94" s="325"/>
      <c r="DC94" s="325"/>
      <c r="DD94" s="325"/>
      <c r="DE94" s="372"/>
      <c r="DF94" s="325"/>
      <c r="DG94" s="325"/>
      <c r="DH94" s="325"/>
      <c r="DI94" s="372"/>
      <c r="DJ94" s="519"/>
      <c r="DK94" s="389"/>
      <c r="DL94" s="386"/>
      <c r="DM94" s="386"/>
      <c r="DN94" s="386"/>
      <c r="DO94" s="386"/>
      <c r="DP94" s="386"/>
      <c r="DQ94" s="386"/>
      <c r="DR94" s="386"/>
      <c r="DS94" s="399"/>
      <c r="DT94" s="399"/>
      <c r="DU94" s="399"/>
      <c r="DV94" s="386"/>
      <c r="DW94" s="386"/>
      <c r="DX94" s="386"/>
      <c r="DY94" s="386"/>
      <c r="DZ94" s="386"/>
      <c r="EA94" s="386"/>
      <c r="EB94" s="386"/>
      <c r="EC94" s="386"/>
      <c r="ED94" s="386"/>
      <c r="EE94" s="386"/>
      <c r="EF94" s="386"/>
      <c r="EG94" s="386"/>
      <c r="EH94" s="386"/>
      <c r="EI94" s="386"/>
      <c r="EJ94" s="386"/>
      <c r="EK94" s="386"/>
      <c r="EL94" s="386"/>
      <c r="EM94" s="386"/>
      <c r="EN94" s="386"/>
      <c r="EO94" s="386"/>
      <c r="EP94" s="389"/>
      <c r="EQ94" s="386"/>
    </row>
    <row r="95" spans="1:147" s="390" customFormat="1" ht="15" customHeight="1" outlineLevel="2" collapsed="1">
      <c r="A95" s="385"/>
      <c r="B95"/>
      <c r="C95"/>
      <c r="D95"/>
      <c r="E95"/>
      <c r="F95"/>
      <c r="G95"/>
      <c r="H95" s="386"/>
      <c r="I95" s="520" t="s">
        <v>1530</v>
      </c>
      <c r="J95" s="386"/>
      <c r="K95" s="386"/>
      <c r="L95" s="386"/>
      <c r="M95" s="388"/>
      <c r="N95" s="386"/>
      <c r="O95" s="386"/>
      <c r="P95" s="386"/>
      <c r="Q95" s="388"/>
      <c r="R95" s="386"/>
      <c r="S95" s="386"/>
      <c r="T95" s="386"/>
      <c r="U95" s="388"/>
      <c r="V95" s="386"/>
      <c r="W95" s="386"/>
      <c r="X95" s="386"/>
      <c r="Y95" s="388"/>
      <c r="Z95" s="386"/>
      <c r="AA95" s="386"/>
      <c r="AB95" s="386"/>
      <c r="AC95" s="388"/>
      <c r="AD95" s="386"/>
      <c r="AE95" s="386"/>
      <c r="AF95" s="386"/>
      <c r="AG95" s="388"/>
      <c r="AH95" s="386"/>
      <c r="AI95" s="386"/>
      <c r="AJ95" s="386"/>
      <c r="AK95" s="388"/>
      <c r="AL95" s="386"/>
      <c r="AM95" s="386"/>
      <c r="AN95" s="386"/>
      <c r="AO95" s="388"/>
      <c r="AP95" s="386"/>
      <c r="AQ95" s="386"/>
      <c r="AR95" s="386"/>
      <c r="AS95" s="478"/>
      <c r="AT95" s="479"/>
      <c r="AU95" s="479"/>
      <c r="AV95" s="479"/>
      <c r="AW95" s="478"/>
      <c r="AX95" s="479"/>
      <c r="AY95" s="479"/>
      <c r="AZ95" s="479"/>
      <c r="BA95" s="478"/>
      <c r="BB95" s="479"/>
      <c r="BC95" s="479"/>
      <c r="BD95" s="479"/>
      <c r="BE95" s="493"/>
      <c r="BF95" s="479"/>
      <c r="BG95" s="479"/>
      <c r="BH95" s="479"/>
      <c r="BI95" s="493"/>
      <c r="BJ95" s="479"/>
      <c r="BK95" s="479"/>
      <c r="BL95" s="479"/>
      <c r="BM95" s="493"/>
      <c r="BN95" s="386"/>
      <c r="BO95" s="386"/>
      <c r="BP95" s="325"/>
      <c r="BQ95" s="493"/>
      <c r="BR95" s="386"/>
      <c r="BS95" s="386"/>
      <c r="BT95" s="325"/>
      <c r="BU95" s="372"/>
      <c r="BV95" s="325"/>
      <c r="BW95" s="325"/>
      <c r="BX95" s="325"/>
      <c r="BY95" s="372"/>
      <c r="BZ95" s="373"/>
      <c r="CA95" s="325"/>
      <c r="CB95" s="325"/>
      <c r="CC95" s="372"/>
      <c r="CD95" s="373"/>
      <c r="CE95" s="325"/>
      <c r="CF95" s="325"/>
      <c r="CG95" s="372"/>
      <c r="CH95" s="373"/>
      <c r="CI95" s="325"/>
      <c r="CJ95" s="325"/>
      <c r="CK95" s="372"/>
      <c r="CL95" s="325"/>
      <c r="CM95" s="325"/>
      <c r="CN95" s="325"/>
      <c r="CO95" s="372"/>
      <c r="CP95" s="373"/>
      <c r="CQ95" s="325"/>
      <c r="CR95" s="325"/>
      <c r="CS95" s="372"/>
      <c r="CT95" s="373"/>
      <c r="CU95" s="325"/>
      <c r="CV95" s="325"/>
      <c r="CW95" s="372"/>
      <c r="CX95" s="325"/>
      <c r="CY95" s="325"/>
      <c r="CZ95" s="325"/>
      <c r="DA95" s="372"/>
      <c r="DB95" s="325"/>
      <c r="DC95" s="325"/>
      <c r="DD95" s="325"/>
      <c r="DE95" s="372"/>
      <c r="DF95" s="325"/>
      <c r="DG95" s="325"/>
      <c r="DH95" s="325"/>
      <c r="DI95" s="372"/>
      <c r="DJ95" s="519"/>
      <c r="DK95" s="389"/>
      <c r="DL95" s="386"/>
      <c r="DM95" s="386"/>
      <c r="DN95" s="386"/>
      <c r="DO95" s="386"/>
      <c r="DP95" s="386"/>
      <c r="DQ95" s="386"/>
      <c r="DR95" s="386"/>
      <c r="DS95" s="401"/>
      <c r="DT95" s="401"/>
      <c r="DU95" s="401"/>
      <c r="DV95" s="325"/>
      <c r="DW95" s="325"/>
      <c r="DX95" s="325"/>
      <c r="DY95" s="325"/>
      <c r="DZ95" s="325"/>
      <c r="EA95" s="325"/>
      <c r="EB95" s="325"/>
      <c r="EC95" s="325"/>
      <c r="ED95" s="325"/>
      <c r="EE95" s="325"/>
      <c r="EF95" s="325"/>
      <c r="EG95" s="325"/>
      <c r="EH95" s="325"/>
      <c r="EI95" s="325"/>
      <c r="EJ95" s="325"/>
      <c r="EK95" s="325"/>
      <c r="EL95" s="325"/>
      <c r="EM95" s="325"/>
      <c r="EN95" s="325"/>
      <c r="EO95" s="325"/>
      <c r="EP95" s="389"/>
      <c r="EQ95" s="386"/>
    </row>
    <row r="96" spans="1:147" s="390" customFormat="1" ht="15" customHeight="1" outlineLevel="2">
      <c r="A96" s="385"/>
      <c r="B96"/>
      <c r="C96"/>
      <c r="D96"/>
      <c r="E96"/>
      <c r="F96"/>
      <c r="G96"/>
      <c r="H96" s="386"/>
      <c r="I96" s="378" t="s">
        <v>1531</v>
      </c>
      <c r="J96" s="386"/>
      <c r="K96" s="386"/>
      <c r="L96" s="386"/>
      <c r="M96" s="388"/>
      <c r="N96" s="386"/>
      <c r="O96" s="386"/>
      <c r="P96" s="386"/>
      <c r="Q96" s="388"/>
      <c r="R96" s="386"/>
      <c r="S96" s="386"/>
      <c r="T96" s="386"/>
      <c r="U96" s="388"/>
      <c r="V96" s="386"/>
      <c r="W96" s="386"/>
      <c r="X96" s="386"/>
      <c r="Y96" s="388"/>
      <c r="Z96" s="386"/>
      <c r="AA96" s="386"/>
      <c r="AB96" s="386"/>
      <c r="AC96" s="388"/>
      <c r="AD96" s="386"/>
      <c r="AE96" s="386"/>
      <c r="AF96" s="386"/>
      <c r="AG96" s="388"/>
      <c r="AH96" s="386"/>
      <c r="AI96" s="386"/>
      <c r="AJ96" s="386"/>
      <c r="AK96" s="388"/>
      <c r="AL96" s="386"/>
      <c r="AM96" s="386"/>
      <c r="AN96" s="386"/>
      <c r="AO96" s="388"/>
      <c r="AP96" s="386"/>
      <c r="AQ96" s="386"/>
      <c r="AR96" s="386"/>
      <c r="AS96" s="478"/>
      <c r="AT96" s="479"/>
      <c r="AU96" s="479"/>
      <c r="AV96" s="479"/>
      <c r="AW96" s="478"/>
      <c r="AX96" s="479"/>
      <c r="AY96" s="479"/>
      <c r="AZ96" s="479"/>
      <c r="BA96" s="478"/>
      <c r="BB96" s="479"/>
      <c r="BC96" s="479"/>
      <c r="BD96" s="479"/>
      <c r="BE96" s="484"/>
      <c r="BF96" s="479">
        <v>113</v>
      </c>
      <c r="BG96" s="479">
        <v>322</v>
      </c>
      <c r="BH96" s="479">
        <v>178</v>
      </c>
      <c r="BI96" s="484">
        <v>1205</v>
      </c>
      <c r="BJ96" s="479">
        <v>270</v>
      </c>
      <c r="BK96" s="479">
        <v>141</v>
      </c>
      <c r="BL96" s="479">
        <v>125</v>
      </c>
      <c r="BM96" s="484">
        <v>890</v>
      </c>
      <c r="BN96" s="325">
        <v>259</v>
      </c>
      <c r="BO96" s="325">
        <v>132</v>
      </c>
      <c r="BP96" s="325">
        <v>283</v>
      </c>
      <c r="BQ96" s="485">
        <v>943</v>
      </c>
      <c r="BR96" s="325">
        <v>224</v>
      </c>
      <c r="BS96" s="325">
        <v>193</v>
      </c>
      <c r="BT96" s="325">
        <v>275</v>
      </c>
      <c r="BU96" s="372">
        <v>862</v>
      </c>
      <c r="BV96" s="325">
        <v>277</v>
      </c>
      <c r="BW96" s="325">
        <v>619</v>
      </c>
      <c r="BX96" s="325">
        <v>607</v>
      </c>
      <c r="BY96" s="372">
        <v>1015</v>
      </c>
      <c r="BZ96" s="373">
        <v>385</v>
      </c>
      <c r="CA96" s="325">
        <v>503</v>
      </c>
      <c r="CB96" s="325">
        <v>658</v>
      </c>
      <c r="CC96" s="372">
        <v>986</v>
      </c>
      <c r="CD96" s="373">
        <v>430</v>
      </c>
      <c r="CE96" s="325">
        <v>421</v>
      </c>
      <c r="CF96" s="325">
        <v>527</v>
      </c>
      <c r="CG96" s="372">
        <v>1239</v>
      </c>
      <c r="CH96" s="373">
        <v>336</v>
      </c>
      <c r="CI96" s="325">
        <v>340</v>
      </c>
      <c r="CJ96" s="325">
        <v>329</v>
      </c>
      <c r="CK96" s="372">
        <v>1198</v>
      </c>
      <c r="CL96" s="325">
        <v>569</v>
      </c>
      <c r="CM96" s="325">
        <v>992</v>
      </c>
      <c r="CN96" s="325">
        <v>736</v>
      </c>
      <c r="CO96" s="372">
        <v>1181</v>
      </c>
      <c r="CP96" s="373">
        <v>877</v>
      </c>
      <c r="CQ96" s="325">
        <v>767</v>
      </c>
      <c r="CR96" s="325">
        <v>764</v>
      </c>
      <c r="CS96" s="372">
        <v>1360.5545203356478</v>
      </c>
      <c r="CT96" s="373">
        <v>587.23098432628808</v>
      </c>
      <c r="CU96" s="325">
        <v>539.09313159771466</v>
      </c>
      <c r="CV96" s="325">
        <v>879.95743010114688</v>
      </c>
      <c r="CW96" s="372">
        <v>1624.2877982379964</v>
      </c>
      <c r="CX96" s="325"/>
      <c r="CY96" s="325"/>
      <c r="CZ96" s="325"/>
      <c r="DA96" s="372"/>
      <c r="DB96" s="325"/>
      <c r="DC96" s="325"/>
      <c r="DD96" s="325"/>
      <c r="DE96" s="372"/>
      <c r="DF96" s="325"/>
      <c r="DG96" s="325"/>
      <c r="DH96" s="325"/>
      <c r="DI96" s="372"/>
      <c r="DJ96" s="519"/>
      <c r="DK96" s="389"/>
      <c r="DL96" s="386"/>
      <c r="DM96" s="386"/>
      <c r="DN96" s="386"/>
      <c r="DO96" s="386"/>
      <c r="DP96" s="386"/>
      <c r="DQ96" s="386"/>
      <c r="DR96" s="386"/>
      <c r="DS96" s="376">
        <v>1152</v>
      </c>
      <c r="DT96" s="376">
        <v>1581</v>
      </c>
      <c r="DU96" s="376">
        <v>1569</v>
      </c>
      <c r="DV96" s="325">
        <v>1506</v>
      </c>
      <c r="DW96" s="325">
        <v>1818</v>
      </c>
      <c r="DX96" s="325">
        <v>1426</v>
      </c>
      <c r="DY96" s="325">
        <v>1617</v>
      </c>
      <c r="DZ96" s="325">
        <v>1554</v>
      </c>
      <c r="EA96" s="325">
        <v>2518</v>
      </c>
      <c r="EB96" s="325">
        <v>2532</v>
      </c>
      <c r="EC96" s="325">
        <v>2617</v>
      </c>
      <c r="ED96" s="325">
        <v>2203</v>
      </c>
      <c r="EE96" s="325">
        <v>3535</v>
      </c>
      <c r="EF96" s="325">
        <v>3825.5545203356478</v>
      </c>
      <c r="EG96" s="325">
        <v>3687.5693442631455</v>
      </c>
      <c r="EH96" s="325">
        <v>4620.8787257518798</v>
      </c>
      <c r="EI96" s="325">
        <v>4209.9840305154485</v>
      </c>
      <c r="EJ96" s="325">
        <v>3907.3026481174356</v>
      </c>
      <c r="EK96" s="325">
        <v>4441.3127888401696</v>
      </c>
      <c r="EL96" s="325">
        <v>4059.6675643186841</v>
      </c>
      <c r="EM96" s="325">
        <v>4182.9868024139532</v>
      </c>
      <c r="EN96" s="325">
        <v>4091.9704565192328</v>
      </c>
      <c r="EO96" s="325">
        <v>4721.9795774887698</v>
      </c>
      <c r="EP96" s="389"/>
      <c r="EQ96" s="386"/>
    </row>
    <row r="97" spans="1:147" s="390" customFormat="1" ht="15" customHeight="1" outlineLevel="2">
      <c r="A97" s="385"/>
      <c r="B97"/>
      <c r="C97"/>
      <c r="D97"/>
      <c r="E97"/>
      <c r="F97"/>
      <c r="G97"/>
      <c r="H97" s="386"/>
      <c r="I97" s="378" t="s">
        <v>1532</v>
      </c>
      <c r="J97" s="386"/>
      <c r="K97" s="386"/>
      <c r="L97" s="386"/>
      <c r="M97" s="388"/>
      <c r="N97" s="386"/>
      <c r="O97" s="386"/>
      <c r="P97" s="386"/>
      <c r="Q97" s="388"/>
      <c r="R97" s="386"/>
      <c r="S97" s="386"/>
      <c r="T97" s="386"/>
      <c r="U97" s="388"/>
      <c r="V97" s="386"/>
      <c r="W97" s="386"/>
      <c r="X97" s="386"/>
      <c r="Y97" s="388"/>
      <c r="Z97" s="386"/>
      <c r="AA97" s="386"/>
      <c r="AB97" s="386"/>
      <c r="AC97" s="388"/>
      <c r="AD97" s="386"/>
      <c r="AE97" s="386"/>
      <c r="AF97" s="386"/>
      <c r="AG97" s="388"/>
      <c r="AH97" s="386"/>
      <c r="AI97" s="386"/>
      <c r="AJ97" s="386"/>
      <c r="AK97" s="388"/>
      <c r="AL97" s="386"/>
      <c r="AM97" s="386"/>
      <c r="AN97" s="386"/>
      <c r="AO97" s="388"/>
      <c r="AP97" s="386"/>
      <c r="AQ97" s="386"/>
      <c r="AR97" s="386"/>
      <c r="AS97" s="478"/>
      <c r="AT97" s="479"/>
      <c r="AU97" s="479"/>
      <c r="AV97" s="479"/>
      <c r="AW97" s="478"/>
      <c r="AX97" s="479"/>
      <c r="AY97" s="479"/>
      <c r="AZ97" s="479"/>
      <c r="BA97" s="478"/>
      <c r="BB97" s="479"/>
      <c r="BC97" s="479"/>
      <c r="BD97" s="479"/>
      <c r="BE97" s="484"/>
      <c r="BF97" s="479">
        <v>-179.89999999999998</v>
      </c>
      <c r="BG97" s="479">
        <v>-80.149999999999991</v>
      </c>
      <c r="BH97" s="479">
        <v>-79.8</v>
      </c>
      <c r="BI97" s="484">
        <v>-170.45</v>
      </c>
      <c r="BJ97" s="479">
        <v>-206.14999999999998</v>
      </c>
      <c r="BK97" s="479">
        <v>-150.5</v>
      </c>
      <c r="BL97" s="479">
        <v>-23.099999999999998</v>
      </c>
      <c r="BM97" s="484">
        <v>-81.55</v>
      </c>
      <c r="BN97" s="325">
        <v>-131.6</v>
      </c>
      <c r="BO97" s="325">
        <v>-91</v>
      </c>
      <c r="BP97" s="325">
        <v>15.049999999999999</v>
      </c>
      <c r="BQ97" s="485">
        <v>-135.79999999999998</v>
      </c>
      <c r="BR97" s="325">
        <v>-172.2</v>
      </c>
      <c r="BS97" s="325">
        <v>-98.699999999999989</v>
      </c>
      <c r="BT97" s="325">
        <v>-50.75</v>
      </c>
      <c r="BU97" s="372">
        <v>-70.349999999999994</v>
      </c>
      <c r="BV97" s="325">
        <v>-143.14999999999998</v>
      </c>
      <c r="BW97" s="325">
        <v>-58.449999999999996</v>
      </c>
      <c r="BX97" s="325">
        <v>-80.849999999999994</v>
      </c>
      <c r="BY97" s="372">
        <v>-105</v>
      </c>
      <c r="BZ97" s="373">
        <v>-158.54999999999998</v>
      </c>
      <c r="CA97" s="325">
        <v>-102.55</v>
      </c>
      <c r="CB97" s="325">
        <v>-77</v>
      </c>
      <c r="CC97" s="372">
        <v>-64.75</v>
      </c>
      <c r="CD97" s="325">
        <v>-119.07</v>
      </c>
      <c r="CE97" s="325">
        <v>-85.679999999999993</v>
      </c>
      <c r="CF97" s="325">
        <v>-44.519999999999996</v>
      </c>
      <c r="CG97" s="372">
        <v>-144.9</v>
      </c>
      <c r="CH97" s="325">
        <v>-107.1</v>
      </c>
      <c r="CI97" s="325">
        <v>-77.7</v>
      </c>
      <c r="CJ97" s="325">
        <v>-52.29</v>
      </c>
      <c r="CK97" s="372">
        <v>-93.86999999999999</v>
      </c>
      <c r="CL97" s="325">
        <v>-126.83999999999999</v>
      </c>
      <c r="CM97" s="325">
        <v>-152.66999999999999</v>
      </c>
      <c r="CN97" s="325">
        <v>-151.62</v>
      </c>
      <c r="CO97" s="372">
        <v>-118.22999999999999</v>
      </c>
      <c r="CP97" s="373">
        <v>-160.65</v>
      </c>
      <c r="CQ97" s="325">
        <v>-210.42</v>
      </c>
      <c r="CR97" s="325">
        <v>-159.38999999999999</v>
      </c>
      <c r="CS97" s="372">
        <v>-255.32214739845364</v>
      </c>
      <c r="CT97" s="373">
        <v>-80.073541435699752</v>
      </c>
      <c r="CU97" s="325">
        <v>-94.114142137384732</v>
      </c>
      <c r="CV97" s="325">
        <v>-158.25022940934807</v>
      </c>
      <c r="CW97" s="372">
        <v>-304.67862052085138</v>
      </c>
      <c r="CX97" s="325"/>
      <c r="CY97" s="325"/>
      <c r="CZ97" s="325"/>
      <c r="DA97" s="372"/>
      <c r="DB97" s="325"/>
      <c r="DC97" s="325"/>
      <c r="DD97" s="325"/>
      <c r="DE97" s="372"/>
      <c r="DF97" s="325"/>
      <c r="DG97" s="325"/>
      <c r="DH97" s="325"/>
      <c r="DI97" s="372"/>
      <c r="DJ97" s="519"/>
      <c r="DK97" s="389"/>
      <c r="DL97" s="386"/>
      <c r="DM97" s="386"/>
      <c r="DN97" s="386"/>
      <c r="DO97" s="386"/>
      <c r="DP97" s="386"/>
      <c r="DQ97" s="386"/>
      <c r="DR97" s="386"/>
      <c r="DS97" s="376">
        <v>0</v>
      </c>
      <c r="DT97" s="376">
        <v>0</v>
      </c>
      <c r="DU97" s="376">
        <v>0</v>
      </c>
      <c r="DV97" s="325">
        <v>0</v>
      </c>
      <c r="DW97" s="325">
        <v>-510.29999999999995</v>
      </c>
      <c r="DX97" s="325">
        <v>-461.3</v>
      </c>
      <c r="DY97" s="325">
        <v>-343.34999999999997</v>
      </c>
      <c r="DZ97" s="325">
        <v>-392</v>
      </c>
      <c r="EA97" s="325">
        <v>-387.44999999999993</v>
      </c>
      <c r="EB97" s="325">
        <v>-402.84999999999997</v>
      </c>
      <c r="EC97" s="325">
        <v>-394.16999999999996</v>
      </c>
      <c r="ED97" s="325">
        <v>-330.96</v>
      </c>
      <c r="EE97" s="325">
        <v>-549.36</v>
      </c>
      <c r="EF97" s="325">
        <v>-785.78214739845384</v>
      </c>
      <c r="EG97" s="325">
        <v>-637.11653350328413</v>
      </c>
      <c r="EH97" s="325">
        <v>-816.28579227215857</v>
      </c>
      <c r="EI97" s="325">
        <v>-762.24109577597619</v>
      </c>
      <c r="EJ97" s="325">
        <v>-690.19447821710492</v>
      </c>
      <c r="EK97" s="325">
        <v>-791.04950433581314</v>
      </c>
      <c r="EL97" s="325">
        <v>-732.64935676251878</v>
      </c>
      <c r="EM97" s="325">
        <v>-746.81636503020127</v>
      </c>
      <c r="EN97" s="325">
        <v>-726.65287267078611</v>
      </c>
      <c r="EO97" s="325">
        <v>-840.57634006241335</v>
      </c>
      <c r="EP97" s="389"/>
      <c r="EQ97" s="386"/>
    </row>
    <row r="98" spans="1:147" s="390" customFormat="1" ht="15" customHeight="1" outlineLevel="2">
      <c r="A98" s="385"/>
      <c r="B98"/>
      <c r="C98"/>
      <c r="D98"/>
      <c r="E98"/>
      <c r="F98"/>
      <c r="G98"/>
      <c r="H98" s="386"/>
      <c r="I98" s="378" t="s">
        <v>1533</v>
      </c>
      <c r="J98" s="386"/>
      <c r="K98" s="386"/>
      <c r="L98" s="386"/>
      <c r="M98" s="388"/>
      <c r="N98" s="386"/>
      <c r="O98" s="386"/>
      <c r="P98" s="386"/>
      <c r="Q98" s="388"/>
      <c r="R98" s="386"/>
      <c r="S98" s="386"/>
      <c r="T98" s="386"/>
      <c r="U98" s="388"/>
      <c r="V98" s="386"/>
      <c r="W98" s="386"/>
      <c r="X98" s="386"/>
      <c r="Y98" s="388"/>
      <c r="Z98" s="386"/>
      <c r="AA98" s="386"/>
      <c r="AB98" s="386"/>
      <c r="AC98" s="388"/>
      <c r="AD98" s="386"/>
      <c r="AE98" s="386"/>
      <c r="AF98" s="386"/>
      <c r="AG98" s="388"/>
      <c r="AH98" s="386"/>
      <c r="AI98" s="386"/>
      <c r="AJ98" s="386"/>
      <c r="AK98" s="388"/>
      <c r="AL98" s="386"/>
      <c r="AM98" s="386"/>
      <c r="AN98" s="386"/>
      <c r="AO98" s="388"/>
      <c r="AP98" s="386"/>
      <c r="AQ98" s="386"/>
      <c r="AR98" s="386"/>
      <c r="AS98" s="478"/>
      <c r="AT98" s="479"/>
      <c r="AU98" s="479"/>
      <c r="AV98" s="479"/>
      <c r="AW98" s="478"/>
      <c r="AX98" s="479"/>
      <c r="AY98" s="479"/>
      <c r="AZ98" s="479"/>
      <c r="BA98" s="478"/>
      <c r="BB98" s="479"/>
      <c r="BC98" s="479"/>
      <c r="BD98" s="479"/>
      <c r="BE98" s="484"/>
      <c r="BF98" s="479">
        <v>-368</v>
      </c>
      <c r="BG98" s="479">
        <v>-178</v>
      </c>
      <c r="BH98" s="479">
        <v>-171</v>
      </c>
      <c r="BI98" s="484">
        <v>473</v>
      </c>
      <c r="BJ98" s="479">
        <v>-401</v>
      </c>
      <c r="BK98" s="479">
        <v>-372</v>
      </c>
      <c r="BL98" s="479">
        <v>-153</v>
      </c>
      <c r="BM98" s="484">
        <v>600</v>
      </c>
      <c r="BN98" s="325">
        <v>-256</v>
      </c>
      <c r="BO98" s="325">
        <v>-165</v>
      </c>
      <c r="BP98" s="325">
        <v>-174</v>
      </c>
      <c r="BQ98" s="485">
        <v>638</v>
      </c>
      <c r="BR98" s="325">
        <v>-361</v>
      </c>
      <c r="BS98" s="325">
        <v>-222</v>
      </c>
      <c r="BT98" s="325">
        <v>-392</v>
      </c>
      <c r="BU98" s="372">
        <v>733</v>
      </c>
      <c r="BV98" s="325">
        <v>-242</v>
      </c>
      <c r="BW98" s="325">
        <v>22</v>
      </c>
      <c r="BX98" s="325">
        <v>9</v>
      </c>
      <c r="BY98" s="372">
        <v>-47</v>
      </c>
      <c r="BZ98" s="373">
        <v>-303</v>
      </c>
      <c r="CA98" s="325">
        <v>-319</v>
      </c>
      <c r="CB98" s="325">
        <v>-79</v>
      </c>
      <c r="CC98" s="372">
        <v>1362</v>
      </c>
      <c r="CD98" s="325">
        <v>-369</v>
      </c>
      <c r="CE98" s="325">
        <v>-682</v>
      </c>
      <c r="CF98" s="325">
        <v>-342</v>
      </c>
      <c r="CG98" s="372">
        <v>90</v>
      </c>
      <c r="CH98" s="325">
        <v>-367</v>
      </c>
      <c r="CI98" s="325">
        <v>-338</v>
      </c>
      <c r="CJ98" s="325">
        <v>-54</v>
      </c>
      <c r="CK98" s="372">
        <v>637</v>
      </c>
      <c r="CL98" s="325">
        <v>-566</v>
      </c>
      <c r="CM98" s="325">
        <v>63</v>
      </c>
      <c r="CN98" s="325">
        <v>-578</v>
      </c>
      <c r="CO98" s="372">
        <v>442</v>
      </c>
      <c r="CP98" s="373">
        <v>-73</v>
      </c>
      <c r="CQ98" s="325">
        <v>-550</v>
      </c>
      <c r="CR98" s="325">
        <v>-287</v>
      </c>
      <c r="CS98" s="372">
        <v>-103.26893899993593</v>
      </c>
      <c r="CT98" s="373">
        <v>571.47130758944695</v>
      </c>
      <c r="CU98" s="325">
        <v>-463.96123842891961</v>
      </c>
      <c r="CV98" s="325">
        <v>-334.54948030490652</v>
      </c>
      <c r="CW98" s="372">
        <v>-71.044635829012805</v>
      </c>
      <c r="CX98" s="325"/>
      <c r="CY98" s="325"/>
      <c r="CZ98" s="325"/>
      <c r="DA98" s="372"/>
      <c r="DB98" s="325"/>
      <c r="DC98" s="325"/>
      <c r="DD98" s="325"/>
      <c r="DE98" s="372"/>
      <c r="DF98" s="325"/>
      <c r="DG98" s="325"/>
      <c r="DH98" s="325"/>
      <c r="DI98" s="372"/>
      <c r="DJ98" s="519"/>
      <c r="DK98" s="389"/>
      <c r="DL98" s="386"/>
      <c r="DM98" s="386"/>
      <c r="DN98" s="386"/>
      <c r="DO98" s="386"/>
      <c r="DP98" s="386"/>
      <c r="DQ98" s="386"/>
      <c r="DR98" s="386"/>
      <c r="DS98" s="376">
        <v>251</v>
      </c>
      <c r="DT98" s="376">
        <v>210</v>
      </c>
      <c r="DU98" s="376">
        <v>283</v>
      </c>
      <c r="DV98" s="325">
        <v>-738</v>
      </c>
      <c r="DW98" s="325">
        <v>-244</v>
      </c>
      <c r="DX98" s="325">
        <v>-326</v>
      </c>
      <c r="DY98" s="325">
        <v>43</v>
      </c>
      <c r="DZ98" s="325">
        <v>-242</v>
      </c>
      <c r="EA98" s="325">
        <v>-258</v>
      </c>
      <c r="EB98" s="325">
        <v>661</v>
      </c>
      <c r="EC98" s="325">
        <v>-1303</v>
      </c>
      <c r="ED98" s="325">
        <v>-122</v>
      </c>
      <c r="EE98" s="325">
        <v>-639</v>
      </c>
      <c r="EF98" s="325">
        <v>-1013.2689389999359</v>
      </c>
      <c r="EG98" s="325">
        <v>-298.08404697339211</v>
      </c>
      <c r="EH98" s="325">
        <v>-1092.354814471217</v>
      </c>
      <c r="EI98" s="325">
        <v>-76.448818752395852</v>
      </c>
      <c r="EJ98" s="325">
        <v>112.8740772737961</v>
      </c>
      <c r="EK98" s="325">
        <v>-52.542201792851984</v>
      </c>
      <c r="EL98" s="325">
        <v>73.503941613249907</v>
      </c>
      <c r="EM98" s="325">
        <v>-20.15487719740263</v>
      </c>
      <c r="EN98" s="325">
        <v>51.728780564728105</v>
      </c>
      <c r="EO98" s="325">
        <v>-89.387629166363467</v>
      </c>
      <c r="EP98" s="389"/>
      <c r="EQ98" s="386"/>
    </row>
    <row r="99" spans="1:147" s="390" customFormat="1" ht="15" customHeight="1" outlineLevel="2">
      <c r="A99" s="385"/>
      <c r="B99"/>
      <c r="C99"/>
      <c r="D99"/>
      <c r="E99"/>
      <c r="F99"/>
      <c r="G99"/>
      <c r="H99" s="386"/>
      <c r="I99" s="378" t="s">
        <v>1534</v>
      </c>
      <c r="J99" s="386"/>
      <c r="K99" s="386"/>
      <c r="L99" s="386"/>
      <c r="M99" s="388"/>
      <c r="N99" s="386"/>
      <c r="O99" s="386"/>
      <c r="P99" s="386"/>
      <c r="Q99" s="388"/>
      <c r="R99" s="386"/>
      <c r="S99" s="386"/>
      <c r="T99" s="386"/>
      <c r="U99" s="388"/>
      <c r="V99" s="386"/>
      <c r="W99" s="386"/>
      <c r="X99" s="386"/>
      <c r="Y99" s="388"/>
      <c r="Z99" s="386"/>
      <c r="AA99" s="386"/>
      <c r="AB99" s="386"/>
      <c r="AC99" s="388"/>
      <c r="AD99" s="386"/>
      <c r="AE99" s="386"/>
      <c r="AF99" s="386"/>
      <c r="AG99" s="388"/>
      <c r="AH99" s="386"/>
      <c r="AI99" s="386"/>
      <c r="AJ99" s="386"/>
      <c r="AK99" s="388"/>
      <c r="AL99" s="386"/>
      <c r="AM99" s="386"/>
      <c r="AN99" s="386"/>
      <c r="AO99" s="388"/>
      <c r="AP99" s="386"/>
      <c r="AQ99" s="386"/>
      <c r="AR99" s="386"/>
      <c r="AS99" s="478"/>
      <c r="AT99" s="479"/>
      <c r="AU99" s="479"/>
      <c r="AV99" s="479"/>
      <c r="AW99" s="478"/>
      <c r="AX99" s="479"/>
      <c r="AY99" s="479"/>
      <c r="AZ99" s="479"/>
      <c r="BA99" s="478"/>
      <c r="BB99" s="479"/>
      <c r="BC99" s="479"/>
      <c r="BD99" s="479"/>
      <c r="BE99" s="484"/>
      <c r="BF99" s="479">
        <v>-9</v>
      </c>
      <c r="BG99" s="479">
        <v>-17</v>
      </c>
      <c r="BH99" s="479">
        <v>-20</v>
      </c>
      <c r="BI99" s="484">
        <v>-27</v>
      </c>
      <c r="BJ99" s="479">
        <v>-17</v>
      </c>
      <c r="BK99" s="479">
        <v>-19</v>
      </c>
      <c r="BL99" s="479">
        <v>-22</v>
      </c>
      <c r="BM99" s="484">
        <v>-16</v>
      </c>
      <c r="BN99" s="325">
        <v>-37</v>
      </c>
      <c r="BO99" s="325">
        <v>-25</v>
      </c>
      <c r="BP99" s="325">
        <v>-28</v>
      </c>
      <c r="BQ99" s="485">
        <v>-17</v>
      </c>
      <c r="BR99" s="325">
        <v>-21</v>
      </c>
      <c r="BS99" s="325">
        <v>-28</v>
      </c>
      <c r="BT99" s="325">
        <v>-46</v>
      </c>
      <c r="BU99" s="372">
        <v>-16</v>
      </c>
      <c r="BV99" s="325">
        <v>-27</v>
      </c>
      <c r="BW99" s="325">
        <v>-44</v>
      </c>
      <c r="BX99" s="325">
        <v>-28</v>
      </c>
      <c r="BY99" s="372">
        <v>-37</v>
      </c>
      <c r="BZ99" s="373">
        <v>-21</v>
      </c>
      <c r="CA99" s="325">
        <v>-31</v>
      </c>
      <c r="CB99" s="325">
        <v>-34</v>
      </c>
      <c r="CC99" s="372">
        <v>-69</v>
      </c>
      <c r="CD99" s="325">
        <v>-31</v>
      </c>
      <c r="CE99" s="325">
        <v>-30</v>
      </c>
      <c r="CF99" s="325">
        <v>-36</v>
      </c>
      <c r="CG99" s="372">
        <v>-34</v>
      </c>
      <c r="CH99" s="325">
        <v>-18</v>
      </c>
      <c r="CI99" s="325">
        <v>-27</v>
      </c>
      <c r="CJ99" s="325">
        <v>-34</v>
      </c>
      <c r="CK99" s="372">
        <v>-37</v>
      </c>
      <c r="CL99" s="325">
        <v>-19</v>
      </c>
      <c r="CM99" s="325">
        <v>-13</v>
      </c>
      <c r="CN99" s="325">
        <v>-24</v>
      </c>
      <c r="CO99" s="372">
        <v>-22</v>
      </c>
      <c r="CP99" s="373">
        <v>-22</v>
      </c>
      <c r="CQ99" s="325">
        <v>-14</v>
      </c>
      <c r="CR99" s="325">
        <v>-23</v>
      </c>
      <c r="CS99" s="372">
        <v>-52.481327704248969</v>
      </c>
      <c r="CT99" s="373">
        <v>-17.191662591723244</v>
      </c>
      <c r="CU99" s="325">
        <v>-10.67822166281899</v>
      </c>
      <c r="CV99" s="325">
        <v>-48.614856077654416</v>
      </c>
      <c r="CW99" s="372">
        <v>-81.90392553173028</v>
      </c>
      <c r="CX99" s="325"/>
      <c r="CY99" s="325"/>
      <c r="CZ99" s="325"/>
      <c r="DA99" s="372"/>
      <c r="DB99" s="325"/>
      <c r="DC99" s="325"/>
      <c r="DD99" s="325"/>
      <c r="DE99" s="372"/>
      <c r="DF99" s="325"/>
      <c r="DG99" s="325"/>
      <c r="DH99" s="325"/>
      <c r="DI99" s="372"/>
      <c r="DJ99" s="519"/>
      <c r="DK99" s="389"/>
      <c r="DL99" s="386"/>
      <c r="DM99" s="386"/>
      <c r="DN99" s="386"/>
      <c r="DO99" s="386"/>
      <c r="DP99" s="386"/>
      <c r="DQ99" s="386"/>
      <c r="DR99" s="386"/>
      <c r="DS99" s="376">
        <v>-46</v>
      </c>
      <c r="DT99" s="376">
        <v>-69</v>
      </c>
      <c r="DU99" s="376">
        <v>-97</v>
      </c>
      <c r="DV99" s="325">
        <v>-72</v>
      </c>
      <c r="DW99" s="325">
        <v>-73</v>
      </c>
      <c r="DX99" s="325">
        <v>-74</v>
      </c>
      <c r="DY99" s="325">
        <v>-107</v>
      </c>
      <c r="DZ99" s="325">
        <v>-111</v>
      </c>
      <c r="EA99" s="325">
        <v>-136</v>
      </c>
      <c r="EB99" s="325">
        <v>-155</v>
      </c>
      <c r="EC99" s="325">
        <v>-131</v>
      </c>
      <c r="ED99" s="325">
        <v>-116</v>
      </c>
      <c r="EE99" s="325">
        <v>-78</v>
      </c>
      <c r="EF99" s="325">
        <v>-111.48132770424897</v>
      </c>
      <c r="EG99" s="325">
        <v>-158.38866586392692</v>
      </c>
      <c r="EH99" s="325">
        <v>-179.47453844523935</v>
      </c>
      <c r="EI99" s="325">
        <v>-166.73427632066</v>
      </c>
      <c r="EJ99" s="325">
        <v>-159.94100393210522</v>
      </c>
      <c r="EK99" s="325">
        <v>-170.48098229717931</v>
      </c>
      <c r="EL99" s="325">
        <v>-164.440268026974</v>
      </c>
      <c r="EM99" s="325">
        <v>-165.54599359868973</v>
      </c>
      <c r="EN99" s="325">
        <v>-164.6454905964784</v>
      </c>
      <c r="EO99" s="325">
        <v>-177.23893753793081</v>
      </c>
      <c r="EP99" s="389"/>
      <c r="EQ99" s="386"/>
    </row>
    <row r="100" spans="1:147" s="390" customFormat="1" ht="15" customHeight="1" outlineLevel="2">
      <c r="A100" s="385"/>
      <c r="B100"/>
      <c r="C100"/>
      <c r="D100"/>
      <c r="E100"/>
      <c r="F100"/>
      <c r="G100"/>
      <c r="H100" s="386"/>
      <c r="I100" s="378" t="s">
        <v>1535</v>
      </c>
      <c r="J100" s="521"/>
      <c r="K100" s="521"/>
      <c r="L100" s="521"/>
      <c r="M100" s="522"/>
      <c r="N100" s="521"/>
      <c r="O100" s="521"/>
      <c r="P100" s="521"/>
      <c r="Q100" s="522"/>
      <c r="R100" s="521"/>
      <c r="S100" s="521"/>
      <c r="T100" s="521"/>
      <c r="U100" s="522"/>
      <c r="V100" s="521"/>
      <c r="W100" s="521"/>
      <c r="X100" s="521"/>
      <c r="Y100" s="522"/>
      <c r="Z100" s="521"/>
      <c r="AA100" s="521"/>
      <c r="AB100" s="521"/>
      <c r="AC100" s="522"/>
      <c r="AD100" s="521"/>
      <c r="AE100" s="521"/>
      <c r="AF100" s="521"/>
      <c r="AG100" s="522"/>
      <c r="AH100" s="521"/>
      <c r="AI100" s="521"/>
      <c r="AJ100" s="521"/>
      <c r="AK100" s="522"/>
      <c r="AL100" s="521"/>
      <c r="AM100" s="521"/>
      <c r="AN100" s="521"/>
      <c r="AO100" s="522"/>
      <c r="AP100" s="521"/>
      <c r="AQ100" s="521"/>
      <c r="AR100" s="521"/>
      <c r="AS100" s="523"/>
      <c r="AT100" s="524"/>
      <c r="AU100" s="524"/>
      <c r="AV100" s="524"/>
      <c r="AW100" s="523"/>
      <c r="AX100" s="524"/>
      <c r="AY100" s="524"/>
      <c r="AZ100" s="524"/>
      <c r="BA100" s="523"/>
      <c r="BB100" s="524"/>
      <c r="BC100" s="524"/>
      <c r="BD100" s="524"/>
      <c r="BE100" s="525"/>
      <c r="BF100" s="524">
        <v>-16</v>
      </c>
      <c r="BG100" s="524">
        <v>-21</v>
      </c>
      <c r="BH100" s="524">
        <v>-23</v>
      </c>
      <c r="BI100" s="525">
        <v>-38</v>
      </c>
      <c r="BJ100" s="524">
        <v>-18</v>
      </c>
      <c r="BK100" s="524">
        <v>-15</v>
      </c>
      <c r="BL100" s="524">
        <v>-16</v>
      </c>
      <c r="BM100" s="525">
        <v>-23</v>
      </c>
      <c r="BN100" s="506">
        <v>-18</v>
      </c>
      <c r="BO100" s="506">
        <v>-14</v>
      </c>
      <c r="BP100" s="506">
        <v>-14</v>
      </c>
      <c r="BQ100" s="526">
        <v>-19</v>
      </c>
      <c r="BR100" s="506">
        <v>-16</v>
      </c>
      <c r="BS100" s="506">
        <v>-16</v>
      </c>
      <c r="BT100" s="506">
        <v>-19</v>
      </c>
      <c r="BU100" s="527">
        <v>-15</v>
      </c>
      <c r="BV100" s="506">
        <v>-44</v>
      </c>
      <c r="BW100" s="506">
        <v>-41</v>
      </c>
      <c r="BX100" s="506">
        <v>-32</v>
      </c>
      <c r="BY100" s="527">
        <v>-40</v>
      </c>
      <c r="BZ100" s="528">
        <v>-33</v>
      </c>
      <c r="CA100" s="506">
        <v>-38</v>
      </c>
      <c r="CB100" s="506">
        <v>-47</v>
      </c>
      <c r="CC100" s="527">
        <v>-58</v>
      </c>
      <c r="CD100" s="506">
        <v>-54</v>
      </c>
      <c r="CE100" s="506">
        <v>-56</v>
      </c>
      <c r="CF100" s="506">
        <v>-55</v>
      </c>
      <c r="CG100" s="527">
        <v>-44</v>
      </c>
      <c r="CH100" s="506">
        <v>-63</v>
      </c>
      <c r="CI100" s="506">
        <v>-37</v>
      </c>
      <c r="CJ100" s="506">
        <v>-27</v>
      </c>
      <c r="CK100" s="527">
        <v>-39</v>
      </c>
      <c r="CL100" s="506">
        <v>-43</v>
      </c>
      <c r="CM100" s="506">
        <v>-42</v>
      </c>
      <c r="CN100" s="506">
        <v>-53</v>
      </c>
      <c r="CO100" s="527">
        <v>-80</v>
      </c>
      <c r="CP100" s="528">
        <v>-151</v>
      </c>
      <c r="CQ100" s="506">
        <v>-43</v>
      </c>
      <c r="CR100" s="506">
        <v>-65</v>
      </c>
      <c r="CS100" s="527">
        <v>-84</v>
      </c>
      <c r="CT100" s="528">
        <v>-158.55000000000001</v>
      </c>
      <c r="CU100" s="506">
        <v>-45.15</v>
      </c>
      <c r="CV100" s="506">
        <v>-67.2</v>
      </c>
      <c r="CW100" s="527">
        <v>-88.2</v>
      </c>
      <c r="CX100" s="506"/>
      <c r="CY100" s="506"/>
      <c r="CZ100" s="506"/>
      <c r="DA100" s="527"/>
      <c r="DB100" s="506"/>
      <c r="DC100" s="506"/>
      <c r="DD100" s="506"/>
      <c r="DE100" s="527"/>
      <c r="DF100" s="506"/>
      <c r="DG100" s="506"/>
      <c r="DH100" s="506"/>
      <c r="DI100" s="527"/>
      <c r="DJ100" s="486"/>
      <c r="DK100" s="529"/>
      <c r="DL100" s="521"/>
      <c r="DM100" s="521"/>
      <c r="DN100" s="521"/>
      <c r="DO100" s="521"/>
      <c r="DP100" s="521"/>
      <c r="DQ100" s="521"/>
      <c r="DR100" s="521"/>
      <c r="DS100" s="530">
        <v>0</v>
      </c>
      <c r="DT100" s="530">
        <v>-96</v>
      </c>
      <c r="DU100" s="530">
        <v>-87</v>
      </c>
      <c r="DV100" s="506">
        <v>-76</v>
      </c>
      <c r="DW100" s="506">
        <v>-98</v>
      </c>
      <c r="DX100" s="506">
        <v>-72</v>
      </c>
      <c r="DY100" s="506">
        <v>-65</v>
      </c>
      <c r="DZ100" s="506">
        <v>-66</v>
      </c>
      <c r="EA100" s="506">
        <v>-157</v>
      </c>
      <c r="EB100" s="506">
        <v>-176</v>
      </c>
      <c r="EC100" s="506">
        <v>-209</v>
      </c>
      <c r="ED100" s="506">
        <v>-166</v>
      </c>
      <c r="EE100" s="506">
        <v>-218</v>
      </c>
      <c r="EF100" s="506">
        <v>-343</v>
      </c>
      <c r="EG100" s="506">
        <v>-359.1</v>
      </c>
      <c r="EH100" s="506">
        <v>-373.46400000000006</v>
      </c>
      <c r="EI100" s="506">
        <v>-388.40256000000005</v>
      </c>
      <c r="EJ100" s="506">
        <v>-403.93866240000006</v>
      </c>
      <c r="EK100" s="506">
        <v>-420.09620889600006</v>
      </c>
      <c r="EL100" s="506">
        <v>-436.90005725184011</v>
      </c>
      <c r="EM100" s="506">
        <v>-454.37605954191372</v>
      </c>
      <c r="EN100" s="506">
        <v>-472.55110192359029</v>
      </c>
      <c r="EO100" s="506">
        <v>-491.45314600053393</v>
      </c>
      <c r="EP100" s="389"/>
      <c r="EQ100" s="386"/>
    </row>
    <row r="101" spans="1:147" s="377" customFormat="1" ht="15" customHeight="1" outlineLevel="2">
      <c r="A101" s="368"/>
      <c r="B101"/>
      <c r="C101"/>
      <c r="D101"/>
      <c r="E101"/>
      <c r="F101"/>
      <c r="G101"/>
      <c r="H101" s="369"/>
      <c r="I101" s="464" t="s">
        <v>1536</v>
      </c>
      <c r="J101" s="465"/>
      <c r="K101" s="465"/>
      <c r="L101" s="465"/>
      <c r="M101" s="466"/>
      <c r="N101" s="465"/>
      <c r="O101" s="465"/>
      <c r="P101" s="465"/>
      <c r="Q101" s="466"/>
      <c r="R101" s="465"/>
      <c r="S101" s="465"/>
      <c r="T101" s="465"/>
      <c r="U101" s="466"/>
      <c r="V101" s="465"/>
      <c r="W101" s="465"/>
      <c r="X101" s="465"/>
      <c r="Y101" s="466"/>
      <c r="Z101" s="465"/>
      <c r="AA101" s="465"/>
      <c r="AB101" s="465"/>
      <c r="AC101" s="466"/>
      <c r="AD101" s="465"/>
      <c r="AE101" s="465"/>
      <c r="AF101" s="465"/>
      <c r="AG101" s="466"/>
      <c r="AH101" s="465"/>
      <c r="AI101" s="465"/>
      <c r="AJ101" s="465"/>
      <c r="AK101" s="466"/>
      <c r="AL101" s="465"/>
      <c r="AM101" s="465"/>
      <c r="AN101" s="465"/>
      <c r="AO101" s="466"/>
      <c r="AP101" s="465"/>
      <c r="AQ101" s="465"/>
      <c r="AR101" s="465"/>
      <c r="AS101" s="466"/>
      <c r="AT101" s="465"/>
      <c r="AU101" s="465"/>
      <c r="AV101" s="465"/>
      <c r="AW101" s="466"/>
      <c r="AX101" s="465"/>
      <c r="AY101" s="465"/>
      <c r="AZ101" s="465"/>
      <c r="BA101" s="466"/>
      <c r="BB101" s="467"/>
      <c r="BC101" s="467"/>
      <c r="BD101" s="467"/>
      <c r="BE101" s="531"/>
      <c r="BF101" s="467">
        <v>-459.9</v>
      </c>
      <c r="BG101" s="465">
        <v>25.850000000000023</v>
      </c>
      <c r="BH101" s="467">
        <v>-115.8</v>
      </c>
      <c r="BI101" s="531">
        <v>1442.55</v>
      </c>
      <c r="BJ101" s="467">
        <v>-372.15</v>
      </c>
      <c r="BK101" s="467">
        <v>-415.5</v>
      </c>
      <c r="BL101" s="467">
        <v>-89.1</v>
      </c>
      <c r="BM101" s="531">
        <v>1369.45</v>
      </c>
      <c r="BN101" s="467">
        <v>-183.6</v>
      </c>
      <c r="BO101" s="467">
        <v>-163</v>
      </c>
      <c r="BP101" s="467">
        <v>82.050000000000011</v>
      </c>
      <c r="BQ101" s="532">
        <v>1409.2</v>
      </c>
      <c r="BR101" s="467">
        <v>-346.2</v>
      </c>
      <c r="BS101" s="467">
        <v>-171.7</v>
      </c>
      <c r="BT101" s="467">
        <v>-232.75</v>
      </c>
      <c r="BU101" s="468">
        <v>1493.65</v>
      </c>
      <c r="BV101" s="467">
        <v>-179.14999999999998</v>
      </c>
      <c r="BW101" s="467">
        <v>497.54999999999995</v>
      </c>
      <c r="BX101" s="467">
        <v>475.15</v>
      </c>
      <c r="BY101" s="468">
        <v>786</v>
      </c>
      <c r="BZ101" s="469">
        <v>-130.54999999999998</v>
      </c>
      <c r="CA101" s="467">
        <v>12.449999999999989</v>
      </c>
      <c r="CB101" s="467">
        <v>421</v>
      </c>
      <c r="CC101" s="468">
        <v>2156.25</v>
      </c>
      <c r="CD101" s="467">
        <v>-143.07</v>
      </c>
      <c r="CE101" s="467">
        <v>-432.68</v>
      </c>
      <c r="CF101" s="467">
        <v>49.480000000000018</v>
      </c>
      <c r="CG101" s="468">
        <v>1106.0999999999999</v>
      </c>
      <c r="CH101" s="467">
        <v>-219.1</v>
      </c>
      <c r="CI101" s="467">
        <v>-139.69999999999999</v>
      </c>
      <c r="CJ101" s="467">
        <v>161.70999999999998</v>
      </c>
      <c r="CK101" s="468">
        <v>1665.13</v>
      </c>
      <c r="CL101" s="467">
        <v>-185.83999999999997</v>
      </c>
      <c r="CM101" s="467">
        <v>847.33</v>
      </c>
      <c r="CN101" s="467">
        <v>-70.62</v>
      </c>
      <c r="CO101" s="468">
        <v>1402.77</v>
      </c>
      <c r="CP101" s="469">
        <v>470.35</v>
      </c>
      <c r="CQ101" s="467">
        <v>-50.419999999999959</v>
      </c>
      <c r="CR101" s="467">
        <v>229.61</v>
      </c>
      <c r="CS101" s="468">
        <v>865.48210623300929</v>
      </c>
      <c r="CT101" s="469">
        <v>902.88708788831195</v>
      </c>
      <c r="CU101" s="467">
        <v>-74.810470631408705</v>
      </c>
      <c r="CV101" s="467">
        <v>271.34286430923788</v>
      </c>
      <c r="CW101" s="468">
        <v>1078.4606163564019</v>
      </c>
      <c r="CX101" s="467"/>
      <c r="CY101" s="467"/>
      <c r="CZ101" s="467"/>
      <c r="DA101" s="468"/>
      <c r="DB101" s="467"/>
      <c r="DC101" s="467"/>
      <c r="DD101" s="467"/>
      <c r="DE101" s="468"/>
      <c r="DF101" s="467"/>
      <c r="DG101" s="467"/>
      <c r="DH101" s="467"/>
      <c r="DI101" s="468"/>
      <c r="DJ101" s="533"/>
      <c r="DK101" s="471"/>
      <c r="DL101" s="465"/>
      <c r="DM101" s="465"/>
      <c r="DN101" s="465"/>
      <c r="DO101" s="465"/>
      <c r="DP101" s="465"/>
      <c r="DQ101" s="465"/>
      <c r="DR101" s="465"/>
      <c r="DS101" s="534">
        <v>1357</v>
      </c>
      <c r="DT101" s="534">
        <v>1626</v>
      </c>
      <c r="DU101" s="534">
        <v>1668</v>
      </c>
      <c r="DV101" s="467">
        <v>620</v>
      </c>
      <c r="DW101" s="467">
        <v>892.7</v>
      </c>
      <c r="DX101" s="467">
        <v>492.70000000000005</v>
      </c>
      <c r="DY101" s="467">
        <v>1144.6500000000001</v>
      </c>
      <c r="DZ101" s="467">
        <v>743</v>
      </c>
      <c r="EA101" s="467">
        <v>1579.5500000000002</v>
      </c>
      <c r="EB101" s="467">
        <v>2459.15</v>
      </c>
      <c r="EC101" s="467">
        <v>579.82999999999993</v>
      </c>
      <c r="ED101" s="467">
        <v>1468.04</v>
      </c>
      <c r="EE101" s="467">
        <v>2050.64</v>
      </c>
      <c r="EF101" s="467">
        <v>1572.0221062330088</v>
      </c>
      <c r="EG101" s="467">
        <v>2234.8800979225421</v>
      </c>
      <c r="EH101" s="467">
        <v>2159.299580563265</v>
      </c>
      <c r="EI101" s="467">
        <v>2816.1572796664163</v>
      </c>
      <c r="EJ101" s="467">
        <v>2766.1025808420218</v>
      </c>
      <c r="EK101" s="467">
        <v>3007.1438915183248</v>
      </c>
      <c r="EL101" s="467">
        <v>2799.1818238906008</v>
      </c>
      <c r="EM101" s="467">
        <v>2796.0935070457463</v>
      </c>
      <c r="EN101" s="467">
        <v>2779.8497718931058</v>
      </c>
      <c r="EO101" s="467">
        <v>3123.3235247215289</v>
      </c>
      <c r="EP101" s="375"/>
      <c r="EQ101" s="369"/>
    </row>
    <row r="102" spans="1:147" s="390" customFormat="1" ht="15" customHeight="1" outlineLevel="2">
      <c r="A102" s="385"/>
      <c r="B102"/>
      <c r="C102"/>
      <c r="D102"/>
      <c r="E102"/>
      <c r="F102"/>
      <c r="G102"/>
      <c r="H102" s="409"/>
      <c r="I102" s="370"/>
      <c r="J102" s="386"/>
      <c r="K102" s="386"/>
      <c r="L102" s="386"/>
      <c r="M102" s="386"/>
      <c r="N102" s="386"/>
      <c r="O102" s="386"/>
      <c r="P102" s="386"/>
      <c r="Q102" s="386"/>
      <c r="R102" s="386"/>
      <c r="S102" s="386"/>
      <c r="T102" s="386"/>
      <c r="U102" s="386"/>
      <c r="V102" s="386"/>
      <c r="W102" s="386"/>
      <c r="X102" s="386"/>
      <c r="Y102" s="386"/>
      <c r="Z102" s="386"/>
      <c r="AA102" s="386"/>
      <c r="AB102" s="386"/>
      <c r="AC102" s="386"/>
      <c r="AD102" s="386"/>
      <c r="AE102" s="386"/>
      <c r="AF102" s="386"/>
      <c r="AG102" s="386"/>
      <c r="AH102" s="386"/>
      <c r="AI102" s="386"/>
      <c r="AJ102" s="386"/>
      <c r="AK102" s="386"/>
      <c r="AL102" s="386"/>
      <c r="AM102" s="386"/>
      <c r="AN102" s="386"/>
      <c r="AO102" s="386"/>
      <c r="AP102" s="386"/>
      <c r="AQ102" s="386"/>
      <c r="AR102" s="386"/>
      <c r="AS102" s="386"/>
      <c r="AT102" s="386"/>
      <c r="AU102" s="386"/>
      <c r="AV102" s="386"/>
      <c r="AW102" s="386"/>
      <c r="AX102" s="386"/>
      <c r="AY102" s="386"/>
      <c r="AZ102" s="386"/>
      <c r="BA102" s="386"/>
      <c r="BB102" s="386"/>
      <c r="BC102" s="386"/>
      <c r="BD102" s="386"/>
      <c r="BE102" s="386"/>
      <c r="BF102" s="386"/>
      <c r="BG102" s="386"/>
      <c r="BH102" s="386"/>
      <c r="BI102" s="386"/>
      <c r="BJ102" s="386"/>
      <c r="BK102" s="386"/>
      <c r="BL102" s="386"/>
      <c r="BM102" s="386"/>
      <c r="BN102" s="386"/>
      <c r="BO102" s="386"/>
      <c r="BP102" s="386"/>
      <c r="BQ102" s="386"/>
      <c r="BR102" s="386"/>
      <c r="BS102" s="386"/>
      <c r="BT102" s="386"/>
      <c r="BU102" s="386"/>
      <c r="BV102" s="386"/>
      <c r="BW102" s="386"/>
      <c r="BX102" s="386"/>
      <c r="BY102" s="386"/>
      <c r="BZ102" s="386"/>
      <c r="CA102" s="386"/>
      <c r="CB102" s="386"/>
      <c r="CC102" s="386"/>
      <c r="CD102" s="386"/>
      <c r="CE102" s="386"/>
      <c r="CF102" s="386"/>
      <c r="CG102" s="388"/>
      <c r="CH102" s="386"/>
      <c r="CI102" s="386"/>
      <c r="CJ102" s="386"/>
      <c r="CK102" s="388"/>
      <c r="CL102" s="386"/>
      <c r="CM102" s="386"/>
      <c r="CN102" s="386"/>
      <c r="CO102" s="388"/>
      <c r="CP102" s="389"/>
      <c r="CQ102" s="386"/>
      <c r="CR102" s="386"/>
      <c r="CS102" s="388"/>
      <c r="CT102" s="389"/>
      <c r="CU102" s="386"/>
      <c r="CV102" s="386"/>
      <c r="CW102" s="388"/>
      <c r="CX102" s="386"/>
      <c r="CY102" s="386"/>
      <c r="CZ102" s="386"/>
      <c r="DA102" s="386"/>
      <c r="DB102" s="386"/>
      <c r="DC102" s="386"/>
      <c r="DD102" s="386"/>
      <c r="DE102" s="386"/>
      <c r="DF102" s="386"/>
      <c r="DG102" s="386"/>
      <c r="DH102" s="386"/>
      <c r="DI102" s="386"/>
      <c r="DJ102" s="409"/>
      <c r="DK102" s="386"/>
      <c r="DL102" s="386"/>
      <c r="DM102" s="386"/>
      <c r="DN102" s="386"/>
      <c r="DO102" s="386"/>
      <c r="DP102" s="386"/>
      <c r="DQ102" s="386"/>
      <c r="DR102" s="386"/>
      <c r="DS102" s="386"/>
      <c r="DT102" s="386"/>
      <c r="DU102" s="386"/>
      <c r="DV102" s="386"/>
      <c r="DW102" s="386"/>
      <c r="DX102" s="386"/>
      <c r="DY102" s="386"/>
      <c r="DZ102" s="386"/>
      <c r="EA102" s="386"/>
      <c r="EB102" s="386"/>
      <c r="EC102" s="386"/>
      <c r="ED102" s="386"/>
      <c r="EE102" s="386"/>
      <c r="EF102" s="386"/>
      <c r="EG102" s="386"/>
      <c r="EH102" s="386"/>
      <c r="EI102" s="386"/>
      <c r="EJ102" s="386"/>
      <c r="EK102" s="386"/>
      <c r="EL102" s="386"/>
      <c r="EM102" s="386"/>
      <c r="EN102" s="386"/>
      <c r="EO102" s="386"/>
      <c r="EP102" s="389"/>
      <c r="EQ102" s="386"/>
    </row>
    <row r="103" spans="1:147" s="546" customFormat="1" ht="12.95" outlineLevel="1">
      <c r="A103" s="385"/>
      <c r="B103"/>
      <c r="C103"/>
      <c r="D103"/>
      <c r="E103"/>
      <c r="F103"/>
      <c r="G103"/>
      <c r="H103" s="535" t="s">
        <v>1468</v>
      </c>
      <c r="I103" s="536" t="s">
        <v>572</v>
      </c>
      <c r="J103" s="537"/>
      <c r="K103" s="537"/>
      <c r="L103" s="537"/>
      <c r="M103" s="538"/>
      <c r="N103" s="539"/>
      <c r="O103" s="537"/>
      <c r="P103" s="537"/>
      <c r="Q103" s="538"/>
      <c r="R103" s="539"/>
      <c r="S103" s="537"/>
      <c r="T103" s="537"/>
      <c r="U103" s="538"/>
      <c r="V103" s="539"/>
      <c r="W103" s="537"/>
      <c r="X103" s="537"/>
      <c r="Y103" s="538"/>
      <c r="Z103" s="539"/>
      <c r="AA103" s="537"/>
      <c r="AB103" s="537"/>
      <c r="AC103" s="538"/>
      <c r="AD103" s="539"/>
      <c r="AE103" s="537"/>
      <c r="AF103" s="537"/>
      <c r="AG103" s="538"/>
      <c r="AH103" s="539"/>
      <c r="AI103" s="537"/>
      <c r="AJ103" s="537"/>
      <c r="AK103" s="538"/>
      <c r="AL103" s="539"/>
      <c r="AM103" s="537"/>
      <c r="AN103" s="537"/>
      <c r="AO103" s="538"/>
      <c r="AP103" s="539"/>
      <c r="AQ103" s="537"/>
      <c r="AR103" s="537"/>
      <c r="AS103" s="538"/>
      <c r="AT103" s="539"/>
      <c r="AU103" s="537"/>
      <c r="AV103" s="537"/>
      <c r="AW103" s="538"/>
      <c r="AX103" s="539"/>
      <c r="AY103" s="537"/>
      <c r="AZ103" s="537"/>
      <c r="BA103" s="538"/>
      <c r="BB103" s="539"/>
      <c r="BC103" s="537"/>
      <c r="BD103" s="537"/>
      <c r="BE103" s="538"/>
      <c r="BF103" s="539"/>
      <c r="BG103" s="537"/>
      <c r="BH103" s="537"/>
      <c r="BI103" s="538"/>
      <c r="BJ103" s="539"/>
      <c r="BK103" s="537"/>
      <c r="BL103" s="537"/>
      <c r="BM103" s="538"/>
      <c r="BN103" s="539"/>
      <c r="BO103" s="537"/>
      <c r="BP103" s="537"/>
      <c r="BQ103" s="538"/>
      <c r="BR103" s="539"/>
      <c r="BS103" s="537"/>
      <c r="BT103" s="537"/>
      <c r="BU103" s="538"/>
      <c r="BV103" s="537"/>
      <c r="BW103" s="537"/>
      <c r="BX103" s="537"/>
      <c r="BY103" s="540"/>
      <c r="BZ103" s="537"/>
      <c r="CA103" s="537"/>
      <c r="CB103" s="537"/>
      <c r="CC103" s="540"/>
      <c r="CD103" s="541"/>
      <c r="CE103" s="541"/>
      <c r="CF103" s="541"/>
      <c r="CG103" s="540"/>
      <c r="CH103" s="541"/>
      <c r="CI103" s="541"/>
      <c r="CJ103" s="541"/>
      <c r="CK103" s="540"/>
      <c r="CL103" s="541"/>
      <c r="CM103" s="541"/>
      <c r="CN103" s="541"/>
      <c r="CO103" s="540"/>
      <c r="CP103" s="542"/>
      <c r="CQ103" s="541"/>
      <c r="CR103" s="541"/>
      <c r="CS103" s="540"/>
      <c r="CT103" s="542"/>
      <c r="CU103" s="541"/>
      <c r="CV103" s="541"/>
      <c r="CW103" s="540"/>
      <c r="CX103" s="537"/>
      <c r="CY103" s="537"/>
      <c r="CZ103" s="537"/>
      <c r="DA103" s="540"/>
      <c r="DB103" s="537"/>
      <c r="DC103" s="537"/>
      <c r="DD103" s="537"/>
      <c r="DE103" s="540"/>
      <c r="DF103" s="537"/>
      <c r="DG103" s="537"/>
      <c r="DH103" s="537"/>
      <c r="DI103" s="540"/>
      <c r="DJ103" s="543"/>
      <c r="DK103" s="542"/>
      <c r="DL103" s="541"/>
      <c r="DM103" s="541"/>
      <c r="DN103" s="541"/>
      <c r="DO103" s="541"/>
      <c r="DP103" s="541"/>
      <c r="DQ103" s="541"/>
      <c r="DR103" s="541"/>
      <c r="DS103" s="541"/>
      <c r="DT103" s="544"/>
      <c r="DU103" s="544"/>
      <c r="DV103" s="544"/>
      <c r="DW103" s="544"/>
      <c r="DX103" s="544"/>
      <c r="DY103" s="544"/>
      <c r="DZ103" s="544"/>
      <c r="EA103" s="544"/>
      <c r="EB103" s="541"/>
      <c r="EC103" s="541"/>
      <c r="ED103" s="541"/>
      <c r="EE103" s="541"/>
      <c r="EF103" s="541"/>
      <c r="EG103" s="541"/>
      <c r="EH103" s="541"/>
      <c r="EI103" s="541"/>
      <c r="EJ103" s="541"/>
      <c r="EK103" s="541"/>
      <c r="EL103" s="541"/>
      <c r="EM103" s="541"/>
      <c r="EN103" s="541"/>
      <c r="EO103" s="541"/>
      <c r="EP103" s="545"/>
    </row>
    <row r="104" spans="1:147" s="390" customFormat="1" ht="15" customHeight="1" outlineLevel="1">
      <c r="A104" s="385"/>
      <c r="B104"/>
      <c r="C104"/>
      <c r="D104"/>
      <c r="E104"/>
      <c r="F104"/>
      <c r="G104"/>
      <c r="H104" s="386"/>
      <c r="I104" s="547" t="s">
        <v>1537</v>
      </c>
      <c r="J104" s="548"/>
      <c r="K104" s="548"/>
      <c r="L104" s="548"/>
      <c r="M104" s="549"/>
      <c r="N104" s="548"/>
      <c r="O104" s="548"/>
      <c r="P104" s="548"/>
      <c r="Q104" s="549"/>
      <c r="R104" s="548"/>
      <c r="S104" s="548"/>
      <c r="T104" s="548"/>
      <c r="U104" s="549"/>
      <c r="V104" s="548"/>
      <c r="W104" s="548"/>
      <c r="X104" s="548"/>
      <c r="Y104" s="549"/>
      <c r="Z104" s="548"/>
      <c r="AA104" s="548"/>
      <c r="AB104" s="548"/>
      <c r="AC104" s="549"/>
      <c r="AD104" s="548"/>
      <c r="AE104" s="548"/>
      <c r="AF104" s="548"/>
      <c r="AG104" s="549"/>
      <c r="AH104" s="548"/>
      <c r="AI104" s="548"/>
      <c r="AJ104" s="548"/>
      <c r="AK104" s="549"/>
      <c r="AL104" s="548"/>
      <c r="AM104" s="548"/>
      <c r="AN104" s="548"/>
      <c r="AO104" s="549"/>
      <c r="AP104" s="548"/>
      <c r="AQ104" s="548"/>
      <c r="AR104" s="548"/>
      <c r="AS104" s="549"/>
      <c r="AT104" s="548"/>
      <c r="AU104" s="548"/>
      <c r="AV104" s="548"/>
      <c r="AW104" s="549"/>
      <c r="AX104" s="548"/>
      <c r="AY104" s="548"/>
      <c r="AZ104" s="548"/>
      <c r="BA104" s="549"/>
      <c r="BB104" s="548"/>
      <c r="BC104" s="548"/>
      <c r="BD104" s="548"/>
      <c r="BE104" s="549"/>
      <c r="BF104" s="548"/>
      <c r="BG104" s="548"/>
      <c r="BH104" s="548"/>
      <c r="BI104" s="549"/>
      <c r="BJ104" s="548"/>
      <c r="BK104" s="548"/>
      <c r="BL104" s="548"/>
      <c r="BM104" s="549"/>
      <c r="BN104" s="548"/>
      <c r="BO104" s="548"/>
      <c r="BP104" s="548"/>
      <c r="BQ104" s="549"/>
      <c r="BR104" s="548"/>
      <c r="BS104" s="548"/>
      <c r="BT104" s="548"/>
      <c r="BU104" s="549"/>
      <c r="BV104" s="548"/>
      <c r="BW104" s="548"/>
      <c r="BX104" s="548"/>
      <c r="BY104" s="549"/>
      <c r="BZ104" s="548"/>
      <c r="CA104" s="548"/>
      <c r="CB104" s="548"/>
      <c r="CC104" s="549"/>
      <c r="CD104" s="548"/>
      <c r="CE104" s="548"/>
      <c r="CF104" s="548"/>
      <c r="CG104" s="549"/>
      <c r="CH104" s="548"/>
      <c r="CI104" s="548"/>
      <c r="CJ104" s="548"/>
      <c r="CK104" s="549"/>
      <c r="CL104" s="548"/>
      <c r="CM104" s="548"/>
      <c r="CN104" s="548"/>
      <c r="CO104" s="549"/>
      <c r="CP104" s="550"/>
      <c r="CQ104" s="548"/>
      <c r="CR104" s="548"/>
      <c r="CS104" s="549"/>
      <c r="CT104" s="550"/>
      <c r="CU104" s="548"/>
      <c r="CV104" s="548"/>
      <c r="CW104" s="549"/>
      <c r="CX104" s="548"/>
      <c r="CY104" s="548"/>
      <c r="CZ104" s="548"/>
      <c r="DA104" s="549"/>
      <c r="DB104" s="548"/>
      <c r="DC104" s="548"/>
      <c r="DD104" s="548"/>
      <c r="DE104" s="549"/>
      <c r="DF104" s="548"/>
      <c r="DG104" s="548"/>
      <c r="DH104" s="548"/>
      <c r="DI104" s="549"/>
      <c r="DJ104" s="454"/>
      <c r="DK104" s="550"/>
      <c r="DL104" s="548"/>
      <c r="DM104" s="548"/>
      <c r="DN104" s="548"/>
      <c r="DO104" s="548"/>
      <c r="DP104" s="548"/>
      <c r="DQ104" s="548"/>
      <c r="DR104" s="548"/>
      <c r="DS104" s="548"/>
      <c r="DT104" s="548"/>
      <c r="DU104" s="548"/>
      <c r="DV104" s="548"/>
      <c r="DW104" s="548"/>
      <c r="DX104" s="548"/>
      <c r="DY104" s="548"/>
      <c r="DZ104" s="548"/>
      <c r="EA104" s="548"/>
      <c r="EB104" s="548"/>
      <c r="EC104" s="548"/>
      <c r="ED104" s="548"/>
      <c r="EE104" s="548"/>
      <c r="EF104" s="548"/>
      <c r="EG104" s="548"/>
      <c r="EH104" s="548"/>
      <c r="EI104" s="548"/>
      <c r="EJ104" s="548"/>
      <c r="EK104" s="548"/>
      <c r="EL104" s="548"/>
      <c r="EM104" s="548"/>
      <c r="EN104" s="548"/>
      <c r="EO104" s="548"/>
      <c r="EP104" s="389"/>
      <c r="EQ104" s="386"/>
    </row>
    <row r="105" spans="1:147" s="390" customFormat="1" ht="15" customHeight="1" outlineLevel="1">
      <c r="A105" s="385"/>
      <c r="B105"/>
      <c r="C105"/>
      <c r="D105"/>
      <c r="E105"/>
      <c r="F105"/>
      <c r="G105"/>
      <c r="H105" s="386"/>
      <c r="I105" s="370" t="s">
        <v>1538</v>
      </c>
      <c r="J105" s="399"/>
      <c r="K105" s="399"/>
      <c r="L105" s="399"/>
      <c r="M105" s="400"/>
      <c r="N105" s="399"/>
      <c r="O105" s="399"/>
      <c r="P105" s="399"/>
      <c r="Q105" s="400"/>
      <c r="R105" s="399"/>
      <c r="S105" s="399"/>
      <c r="T105" s="399"/>
      <c r="U105" s="400"/>
      <c r="V105" s="399"/>
      <c r="W105" s="399"/>
      <c r="X105" s="399"/>
      <c r="Y105" s="400"/>
      <c r="Z105" s="399"/>
      <c r="AA105" s="399"/>
      <c r="AB105" s="399"/>
      <c r="AC105" s="400"/>
      <c r="AD105" s="399"/>
      <c r="AE105" s="399"/>
      <c r="AF105" s="399"/>
      <c r="AG105" s="400"/>
      <c r="AH105" s="399"/>
      <c r="AI105" s="399"/>
      <c r="AJ105" s="399"/>
      <c r="AK105" s="400"/>
      <c r="AL105" s="399"/>
      <c r="AM105" s="399"/>
      <c r="AN105" s="399"/>
      <c r="AO105" s="400"/>
      <c r="AP105" s="399"/>
      <c r="AQ105" s="399"/>
      <c r="AR105" s="399"/>
      <c r="AS105" s="400"/>
      <c r="AT105" s="399"/>
      <c r="AU105" s="399"/>
      <c r="AV105" s="399"/>
      <c r="AW105" s="400"/>
      <c r="AX105" s="399"/>
      <c r="AY105" s="399"/>
      <c r="AZ105" s="399"/>
      <c r="BA105" s="400"/>
      <c r="BB105" s="401">
        <v>2658</v>
      </c>
      <c r="BC105" s="401">
        <v>2334</v>
      </c>
      <c r="BD105" s="401">
        <v>2469</v>
      </c>
      <c r="BE105" s="402">
        <v>3165</v>
      </c>
      <c r="BF105" s="401">
        <v>3049</v>
      </c>
      <c r="BG105" s="401">
        <v>2786</v>
      </c>
      <c r="BH105" s="401">
        <v>2909</v>
      </c>
      <c r="BI105" s="402">
        <v>3959</v>
      </c>
      <c r="BJ105" s="401">
        <v>4299</v>
      </c>
      <c r="BK105" s="401">
        <v>4341</v>
      </c>
      <c r="BL105" s="401">
        <v>4444</v>
      </c>
      <c r="BM105" s="402">
        <v>4410</v>
      </c>
      <c r="BN105" s="401">
        <v>4279</v>
      </c>
      <c r="BO105" s="401">
        <v>4199</v>
      </c>
      <c r="BP105" s="401">
        <v>3805</v>
      </c>
      <c r="BQ105" s="402">
        <v>4848</v>
      </c>
      <c r="BR105" s="401">
        <v>4465</v>
      </c>
      <c r="BS105" s="401">
        <v>4416</v>
      </c>
      <c r="BT105" s="401">
        <v>4365</v>
      </c>
      <c r="BU105" s="402">
        <v>1823</v>
      </c>
      <c r="BV105" s="401">
        <v>2872</v>
      </c>
      <c r="BW105" s="401">
        <v>2271</v>
      </c>
      <c r="BX105" s="401">
        <v>4029</v>
      </c>
      <c r="BY105" s="402">
        <v>3245</v>
      </c>
      <c r="BZ105" s="401">
        <v>3248</v>
      </c>
      <c r="CA105" s="401">
        <v>3278</v>
      </c>
      <c r="CB105" s="401">
        <v>3576</v>
      </c>
      <c r="CC105" s="402">
        <v>4713</v>
      </c>
      <c r="CD105" s="401">
        <v>5217</v>
      </c>
      <c r="CE105" s="401">
        <v>4857</v>
      </c>
      <c r="CF105" s="401">
        <v>3308</v>
      </c>
      <c r="CG105" s="402">
        <v>4225</v>
      </c>
      <c r="CH105" s="401">
        <v>4696</v>
      </c>
      <c r="CI105" s="401">
        <v>4592</v>
      </c>
      <c r="CJ105" s="401">
        <v>4939</v>
      </c>
      <c r="CK105" s="402">
        <v>5794</v>
      </c>
      <c r="CL105" s="438">
        <v>5906</v>
      </c>
      <c r="CM105" s="401">
        <v>6338</v>
      </c>
      <c r="CN105" s="401">
        <v>7415</v>
      </c>
      <c r="CO105" s="402">
        <v>8647</v>
      </c>
      <c r="CP105" s="438">
        <v>9281</v>
      </c>
      <c r="CQ105" s="401">
        <v>9209</v>
      </c>
      <c r="CR105" s="401">
        <v>9718</v>
      </c>
      <c r="CS105" s="413">
        <v>10645.626106233009</v>
      </c>
      <c r="CT105" s="373">
        <v>11691.737719903973</v>
      </c>
      <c r="CU105" s="325">
        <v>11647.42037508863</v>
      </c>
      <c r="CV105" s="325">
        <v>11974.360464607837</v>
      </c>
      <c r="CW105" s="413">
        <v>13136.391086703326</v>
      </c>
      <c r="CX105" s="409"/>
      <c r="CY105" s="409"/>
      <c r="CZ105" s="409"/>
      <c r="DA105" s="410"/>
      <c r="DB105" s="409"/>
      <c r="DC105" s="409"/>
      <c r="DD105" s="409"/>
      <c r="DE105" s="410"/>
      <c r="DF105" s="409"/>
      <c r="DG105" s="409"/>
      <c r="DH105" s="409"/>
      <c r="DI105" s="410"/>
      <c r="DJ105" s="454"/>
      <c r="DK105" s="411"/>
      <c r="DL105" s="399"/>
      <c r="DM105" s="399"/>
      <c r="DN105" s="399"/>
      <c r="DO105" s="399"/>
      <c r="DP105" s="399"/>
      <c r="DQ105" s="399"/>
      <c r="DR105" s="399"/>
      <c r="DS105" s="401">
        <v>2958</v>
      </c>
      <c r="DT105" s="401">
        <v>2768</v>
      </c>
      <c r="DU105" s="401">
        <v>2812</v>
      </c>
      <c r="DV105" s="325">
        <v>3165</v>
      </c>
      <c r="DW105" s="325">
        <v>3959</v>
      </c>
      <c r="DX105" s="325">
        <v>4410</v>
      </c>
      <c r="DY105" s="325">
        <v>4848</v>
      </c>
      <c r="DZ105" s="325">
        <v>1823</v>
      </c>
      <c r="EA105" s="325">
        <v>3245</v>
      </c>
      <c r="EB105" s="325">
        <v>4713</v>
      </c>
      <c r="EC105" s="412">
        <v>4225</v>
      </c>
      <c r="ED105" s="412">
        <v>5794</v>
      </c>
      <c r="EE105" s="412">
        <v>8647</v>
      </c>
      <c r="EF105" s="412">
        <v>10645.626106233009</v>
      </c>
      <c r="EG105" s="412">
        <v>13136.391086703326</v>
      </c>
      <c r="EH105" s="412">
        <v>15291.628303317821</v>
      </c>
      <c r="EI105" s="412">
        <v>18607.195678353637</v>
      </c>
      <c r="EJ105" s="412">
        <v>21824.886708258196</v>
      </c>
      <c r="EK105" s="412">
        <v>25834.160483794371</v>
      </c>
      <c r="EL105" s="412">
        <v>29917.298408382969</v>
      </c>
      <c r="EM105" s="412">
        <v>33881.566166603159</v>
      </c>
      <c r="EN105" s="412">
        <v>37883.991256915935</v>
      </c>
      <c r="EO105" s="412">
        <v>42140.845094897013</v>
      </c>
      <c r="EP105" s="389"/>
      <c r="EQ105" s="386"/>
    </row>
    <row r="106" spans="1:147" s="390" customFormat="1" ht="15" customHeight="1" outlineLevel="1">
      <c r="A106" s="385"/>
      <c r="B106"/>
      <c r="C106"/>
      <c r="D106"/>
      <c r="E106"/>
      <c r="F106"/>
      <c r="G106"/>
      <c r="H106" s="386"/>
      <c r="I106" s="370" t="s">
        <v>1539</v>
      </c>
      <c r="J106" s="399"/>
      <c r="K106" s="399"/>
      <c r="L106" s="399"/>
      <c r="M106" s="400"/>
      <c r="N106" s="399"/>
      <c r="O106" s="399"/>
      <c r="P106" s="399"/>
      <c r="Q106" s="400"/>
      <c r="R106" s="399"/>
      <c r="S106" s="399"/>
      <c r="T106" s="399"/>
      <c r="U106" s="400"/>
      <c r="V106" s="399"/>
      <c r="W106" s="399"/>
      <c r="X106" s="399"/>
      <c r="Y106" s="400"/>
      <c r="Z106" s="399"/>
      <c r="AA106" s="399"/>
      <c r="AB106" s="399"/>
      <c r="AC106" s="400"/>
      <c r="AD106" s="399"/>
      <c r="AE106" s="399"/>
      <c r="AF106" s="399"/>
      <c r="AG106" s="400"/>
      <c r="AH106" s="399"/>
      <c r="AI106" s="399"/>
      <c r="AJ106" s="399"/>
      <c r="AK106" s="400"/>
      <c r="AL106" s="399"/>
      <c r="AM106" s="399"/>
      <c r="AN106" s="399"/>
      <c r="AO106" s="400"/>
      <c r="AP106" s="399"/>
      <c r="AQ106" s="399"/>
      <c r="AR106" s="399"/>
      <c r="AS106" s="400"/>
      <c r="AT106" s="399"/>
      <c r="AU106" s="399"/>
      <c r="AV106" s="399"/>
      <c r="AW106" s="400"/>
      <c r="AX106" s="399"/>
      <c r="AY106" s="399"/>
      <c r="AZ106" s="399"/>
      <c r="BA106" s="400"/>
      <c r="BB106" s="401">
        <v>0</v>
      </c>
      <c r="BC106" s="401">
        <v>0</v>
      </c>
      <c r="BD106" s="401">
        <v>0</v>
      </c>
      <c r="BE106" s="402">
        <v>0</v>
      </c>
      <c r="BF106" s="401">
        <v>0</v>
      </c>
      <c r="BG106" s="401">
        <v>0</v>
      </c>
      <c r="BH106" s="401">
        <v>0</v>
      </c>
      <c r="BI106" s="402">
        <v>0</v>
      </c>
      <c r="BJ106" s="401">
        <v>0</v>
      </c>
      <c r="BK106" s="401">
        <v>0</v>
      </c>
      <c r="BL106" s="401">
        <v>2282</v>
      </c>
      <c r="BM106" s="402">
        <v>0</v>
      </c>
      <c r="BN106" s="401">
        <v>0</v>
      </c>
      <c r="BO106" s="401">
        <v>0</v>
      </c>
      <c r="BP106" s="401">
        <v>0</v>
      </c>
      <c r="BQ106" s="402">
        <v>0</v>
      </c>
      <c r="BR106" s="401">
        <v>0</v>
      </c>
      <c r="BS106" s="401">
        <v>0</v>
      </c>
      <c r="BT106" s="401">
        <v>0</v>
      </c>
      <c r="BU106" s="402">
        <v>3561</v>
      </c>
      <c r="BV106" s="401">
        <v>0</v>
      </c>
      <c r="BW106" s="401">
        <v>0</v>
      </c>
      <c r="BX106" s="401">
        <v>0</v>
      </c>
      <c r="BY106" s="402">
        <v>0</v>
      </c>
      <c r="BZ106" s="401">
        <v>0</v>
      </c>
      <c r="CA106" s="401">
        <v>0</v>
      </c>
      <c r="CB106" s="401">
        <v>0</v>
      </c>
      <c r="CC106" s="402">
        <v>0</v>
      </c>
      <c r="CD106" s="401">
        <v>0</v>
      </c>
      <c r="CE106" s="401">
        <v>0</v>
      </c>
      <c r="CF106" s="401">
        <v>0</v>
      </c>
      <c r="CG106" s="402">
        <v>0</v>
      </c>
      <c r="CH106" s="401">
        <v>0</v>
      </c>
      <c r="CI106" s="401">
        <v>0</v>
      </c>
      <c r="CJ106" s="401">
        <v>0</v>
      </c>
      <c r="CK106" s="402">
        <v>0</v>
      </c>
      <c r="CL106" s="438">
        <v>0</v>
      </c>
      <c r="CM106" s="401">
        <v>0</v>
      </c>
      <c r="CN106" s="401">
        <v>0</v>
      </c>
      <c r="CO106" s="402">
        <v>0</v>
      </c>
      <c r="CP106" s="438">
        <v>0</v>
      </c>
      <c r="CQ106" s="401">
        <v>0</v>
      </c>
      <c r="CR106" s="401">
        <v>0</v>
      </c>
      <c r="CS106" s="413">
        <v>0</v>
      </c>
      <c r="CT106" s="373">
        <v>0</v>
      </c>
      <c r="CU106" s="325">
        <v>0</v>
      </c>
      <c r="CV106" s="325">
        <v>0</v>
      </c>
      <c r="CW106" s="413">
        <v>0</v>
      </c>
      <c r="CX106" s="409"/>
      <c r="CY106" s="409"/>
      <c r="CZ106" s="409"/>
      <c r="DA106" s="410"/>
      <c r="DB106" s="409"/>
      <c r="DC106" s="409"/>
      <c r="DD106" s="409"/>
      <c r="DE106" s="410"/>
      <c r="DF106" s="409"/>
      <c r="DG106" s="409"/>
      <c r="DH106" s="409"/>
      <c r="DI106" s="410"/>
      <c r="DJ106" s="454"/>
      <c r="DK106" s="411"/>
      <c r="DL106" s="399"/>
      <c r="DM106" s="399"/>
      <c r="DN106" s="399"/>
      <c r="DO106" s="399"/>
      <c r="DP106" s="399"/>
      <c r="DQ106" s="399"/>
      <c r="DR106" s="399"/>
      <c r="DS106" s="401">
        <v>0</v>
      </c>
      <c r="DT106" s="401">
        <v>0</v>
      </c>
      <c r="DU106" s="401">
        <v>0</v>
      </c>
      <c r="DV106" s="325">
        <v>0</v>
      </c>
      <c r="DW106" s="325">
        <v>0</v>
      </c>
      <c r="DX106" s="325">
        <v>0</v>
      </c>
      <c r="DY106" s="325">
        <v>0</v>
      </c>
      <c r="DZ106" s="325">
        <v>3561</v>
      </c>
      <c r="EA106" s="325">
        <v>0</v>
      </c>
      <c r="EB106" s="325">
        <v>0</v>
      </c>
      <c r="EC106" s="412">
        <v>0</v>
      </c>
      <c r="ED106" s="412">
        <v>0</v>
      </c>
      <c r="EE106" s="412">
        <v>0</v>
      </c>
      <c r="EF106" s="412">
        <v>0</v>
      </c>
      <c r="EG106" s="412">
        <v>0</v>
      </c>
      <c r="EH106" s="412">
        <v>0</v>
      </c>
      <c r="EI106" s="412">
        <v>0</v>
      </c>
      <c r="EJ106" s="412">
        <v>0</v>
      </c>
      <c r="EK106" s="412">
        <v>0</v>
      </c>
      <c r="EL106" s="412">
        <v>0</v>
      </c>
      <c r="EM106" s="412">
        <v>0</v>
      </c>
      <c r="EN106" s="412">
        <v>0</v>
      </c>
      <c r="EO106" s="412">
        <v>0</v>
      </c>
      <c r="EP106" s="389"/>
      <c r="EQ106" s="386"/>
    </row>
    <row r="107" spans="1:147" s="390" customFormat="1" ht="15" customHeight="1" outlineLevel="1">
      <c r="A107" s="385"/>
      <c r="B107"/>
      <c r="C107"/>
      <c r="D107"/>
      <c r="E107"/>
      <c r="F107"/>
      <c r="G107"/>
      <c r="H107" s="386"/>
      <c r="I107" s="370" t="s">
        <v>1540</v>
      </c>
      <c r="J107" s="399"/>
      <c r="K107" s="399"/>
      <c r="L107" s="399"/>
      <c r="M107" s="400"/>
      <c r="N107" s="399"/>
      <c r="O107" s="399"/>
      <c r="P107" s="399"/>
      <c r="Q107" s="400"/>
      <c r="R107" s="399"/>
      <c r="S107" s="399"/>
      <c r="T107" s="399"/>
      <c r="U107" s="400"/>
      <c r="V107" s="399"/>
      <c r="W107" s="399"/>
      <c r="X107" s="399"/>
      <c r="Y107" s="400"/>
      <c r="Z107" s="399"/>
      <c r="AA107" s="399"/>
      <c r="AB107" s="399"/>
      <c r="AC107" s="400"/>
      <c r="AD107" s="399"/>
      <c r="AE107" s="399"/>
      <c r="AF107" s="399"/>
      <c r="AG107" s="400"/>
      <c r="AH107" s="399"/>
      <c r="AI107" s="399"/>
      <c r="AJ107" s="399"/>
      <c r="AK107" s="400"/>
      <c r="AL107" s="399"/>
      <c r="AM107" s="399"/>
      <c r="AN107" s="399"/>
      <c r="AO107" s="400"/>
      <c r="AP107" s="399"/>
      <c r="AQ107" s="399"/>
      <c r="AR107" s="399"/>
      <c r="AS107" s="400"/>
      <c r="AT107" s="399"/>
      <c r="AU107" s="399"/>
      <c r="AV107" s="399"/>
      <c r="AW107" s="400"/>
      <c r="AX107" s="399"/>
      <c r="AY107" s="399"/>
      <c r="AZ107" s="399"/>
      <c r="BA107" s="400"/>
      <c r="BB107" s="401">
        <v>701</v>
      </c>
      <c r="BC107" s="401">
        <v>610</v>
      </c>
      <c r="BD107" s="401">
        <v>432</v>
      </c>
      <c r="BE107" s="402">
        <v>360</v>
      </c>
      <c r="BF107" s="401">
        <v>427</v>
      </c>
      <c r="BG107" s="401">
        <v>406</v>
      </c>
      <c r="BH107" s="401">
        <v>455</v>
      </c>
      <c r="BI107" s="402">
        <v>416</v>
      </c>
      <c r="BJ107" s="401">
        <v>319</v>
      </c>
      <c r="BK107" s="401">
        <v>205</v>
      </c>
      <c r="BL107" s="401">
        <v>95</v>
      </c>
      <c r="BM107" s="402">
        <v>33</v>
      </c>
      <c r="BN107" s="401">
        <v>8</v>
      </c>
      <c r="BO107" s="401">
        <v>5</v>
      </c>
      <c r="BP107" s="401">
        <v>23</v>
      </c>
      <c r="BQ107" s="402">
        <v>10</v>
      </c>
      <c r="BR107" s="401">
        <v>5</v>
      </c>
      <c r="BS107" s="401">
        <v>105</v>
      </c>
      <c r="BT107" s="401">
        <v>154</v>
      </c>
      <c r="BU107" s="402">
        <v>8</v>
      </c>
      <c r="BV107" s="401">
        <v>0</v>
      </c>
      <c r="BW107" s="401">
        <v>0</v>
      </c>
      <c r="BX107" s="401">
        <v>0</v>
      </c>
      <c r="BY107" s="402">
        <v>0</v>
      </c>
      <c r="BZ107" s="401">
        <v>0</v>
      </c>
      <c r="CA107" s="401">
        <v>0</v>
      </c>
      <c r="CB107" s="401">
        <v>0</v>
      </c>
      <c r="CC107" s="402">
        <v>0</v>
      </c>
      <c r="CD107" s="401">
        <v>0</v>
      </c>
      <c r="CE107" s="401">
        <v>0</v>
      </c>
      <c r="CF107" s="401">
        <v>0</v>
      </c>
      <c r="CG107" s="402">
        <v>0</v>
      </c>
      <c r="CH107" s="401">
        <v>0</v>
      </c>
      <c r="CI107" s="401">
        <v>0</v>
      </c>
      <c r="CJ107" s="401">
        <v>0</v>
      </c>
      <c r="CK107" s="402">
        <v>0</v>
      </c>
      <c r="CL107" s="438">
        <v>0</v>
      </c>
      <c r="CM107" s="401">
        <v>0</v>
      </c>
      <c r="CN107" s="401">
        <v>0</v>
      </c>
      <c r="CO107" s="402">
        <v>0</v>
      </c>
      <c r="CP107" s="438">
        <v>0</v>
      </c>
      <c r="CQ107" s="401">
        <v>0</v>
      </c>
      <c r="CR107" s="401">
        <v>0</v>
      </c>
      <c r="CS107" s="413">
        <v>0</v>
      </c>
      <c r="CT107" s="373">
        <v>0</v>
      </c>
      <c r="CU107" s="325">
        <v>0</v>
      </c>
      <c r="CV107" s="325">
        <v>0</v>
      </c>
      <c r="CW107" s="413">
        <v>0</v>
      </c>
      <c r="CX107" s="409"/>
      <c r="CY107" s="409"/>
      <c r="CZ107" s="409"/>
      <c r="DA107" s="410"/>
      <c r="DB107" s="409"/>
      <c r="DC107" s="409"/>
      <c r="DD107" s="409"/>
      <c r="DE107" s="410"/>
      <c r="DF107" s="409"/>
      <c r="DG107" s="409"/>
      <c r="DH107" s="409"/>
      <c r="DI107" s="410"/>
      <c r="DJ107" s="454"/>
      <c r="DK107" s="411"/>
      <c r="DL107" s="399"/>
      <c r="DM107" s="399"/>
      <c r="DN107" s="399"/>
      <c r="DO107" s="399"/>
      <c r="DP107" s="399"/>
      <c r="DQ107" s="399"/>
      <c r="DR107" s="399"/>
      <c r="DS107" s="401">
        <v>44</v>
      </c>
      <c r="DT107" s="401">
        <v>477</v>
      </c>
      <c r="DU107" s="401">
        <v>696</v>
      </c>
      <c r="DV107" s="325">
        <v>360</v>
      </c>
      <c r="DW107" s="325">
        <v>416</v>
      </c>
      <c r="DX107" s="325">
        <v>33</v>
      </c>
      <c r="DY107" s="325">
        <v>10</v>
      </c>
      <c r="DZ107" s="325">
        <v>8</v>
      </c>
      <c r="EA107" s="325">
        <v>0</v>
      </c>
      <c r="EB107" s="325">
        <v>0</v>
      </c>
      <c r="EC107" s="412">
        <v>0</v>
      </c>
      <c r="ED107" s="412">
        <v>0</v>
      </c>
      <c r="EE107" s="412">
        <v>0</v>
      </c>
      <c r="EF107" s="412">
        <v>0</v>
      </c>
      <c r="EG107" s="412">
        <v>0</v>
      </c>
      <c r="EH107" s="412">
        <v>0</v>
      </c>
      <c r="EI107" s="412">
        <v>0</v>
      </c>
      <c r="EJ107" s="412">
        <v>0</v>
      </c>
      <c r="EK107" s="412">
        <v>0</v>
      </c>
      <c r="EL107" s="412">
        <v>0</v>
      </c>
      <c r="EM107" s="412">
        <v>0</v>
      </c>
      <c r="EN107" s="412">
        <v>0</v>
      </c>
      <c r="EO107" s="412">
        <v>0</v>
      </c>
      <c r="EP107" s="389"/>
      <c r="EQ107" s="386"/>
    </row>
    <row r="108" spans="1:147" s="390" customFormat="1" ht="15" customHeight="1" outlineLevel="1">
      <c r="A108" s="385"/>
      <c r="B108"/>
      <c r="C108"/>
      <c r="D108"/>
      <c r="E108"/>
      <c r="F108"/>
      <c r="G108"/>
      <c r="H108" s="386"/>
      <c r="I108" s="370" t="s">
        <v>1541</v>
      </c>
      <c r="J108" s="399"/>
      <c r="K108" s="399"/>
      <c r="L108" s="399"/>
      <c r="M108" s="400"/>
      <c r="N108" s="399"/>
      <c r="O108" s="399"/>
      <c r="P108" s="399"/>
      <c r="Q108" s="400"/>
      <c r="R108" s="399"/>
      <c r="S108" s="399"/>
      <c r="T108" s="399"/>
      <c r="U108" s="400"/>
      <c r="V108" s="399"/>
      <c r="W108" s="399"/>
      <c r="X108" s="399"/>
      <c r="Y108" s="400"/>
      <c r="Z108" s="399"/>
      <c r="AA108" s="399"/>
      <c r="AB108" s="399"/>
      <c r="AC108" s="400"/>
      <c r="AD108" s="399"/>
      <c r="AE108" s="399"/>
      <c r="AF108" s="399"/>
      <c r="AG108" s="400"/>
      <c r="AH108" s="399"/>
      <c r="AI108" s="399"/>
      <c r="AJ108" s="399"/>
      <c r="AK108" s="400"/>
      <c r="AL108" s="399"/>
      <c r="AM108" s="399"/>
      <c r="AN108" s="399"/>
      <c r="AO108" s="400"/>
      <c r="AP108" s="399"/>
      <c r="AQ108" s="399"/>
      <c r="AR108" s="399"/>
      <c r="AS108" s="400"/>
      <c r="AT108" s="399"/>
      <c r="AU108" s="399"/>
      <c r="AV108" s="399"/>
      <c r="AW108" s="400"/>
      <c r="AX108" s="399"/>
      <c r="AY108" s="399"/>
      <c r="AZ108" s="399"/>
      <c r="BA108" s="400"/>
      <c r="BB108" s="401">
        <v>95</v>
      </c>
      <c r="BC108" s="401">
        <v>140</v>
      </c>
      <c r="BD108" s="401">
        <v>139</v>
      </c>
      <c r="BE108" s="402">
        <v>649</v>
      </c>
      <c r="BF108" s="401">
        <v>103</v>
      </c>
      <c r="BG108" s="401">
        <v>227</v>
      </c>
      <c r="BH108" s="401">
        <v>200</v>
      </c>
      <c r="BI108" s="402">
        <v>707</v>
      </c>
      <c r="BJ108" s="401">
        <v>237</v>
      </c>
      <c r="BK108" s="401">
        <v>117</v>
      </c>
      <c r="BL108" s="401">
        <v>205</v>
      </c>
      <c r="BM108" s="402">
        <v>515</v>
      </c>
      <c r="BN108" s="401">
        <v>219</v>
      </c>
      <c r="BO108" s="401">
        <v>107</v>
      </c>
      <c r="BP108" s="401">
        <v>689</v>
      </c>
      <c r="BQ108" s="402">
        <v>659</v>
      </c>
      <c r="BR108" s="401">
        <v>208</v>
      </c>
      <c r="BS108" s="401">
        <v>201</v>
      </c>
      <c r="BT108" s="401">
        <v>503</v>
      </c>
      <c r="BU108" s="402">
        <v>679</v>
      </c>
      <c r="BV108" s="401">
        <v>383</v>
      </c>
      <c r="BW108" s="401">
        <v>462</v>
      </c>
      <c r="BX108" s="401">
        <v>446</v>
      </c>
      <c r="BY108" s="402">
        <v>732</v>
      </c>
      <c r="BZ108" s="401">
        <v>344</v>
      </c>
      <c r="CA108" s="401">
        <v>360</v>
      </c>
      <c r="CB108" s="401">
        <v>888</v>
      </c>
      <c r="CC108" s="402">
        <v>918</v>
      </c>
      <c r="CD108" s="401">
        <v>431</v>
      </c>
      <c r="CE108" s="401">
        <v>418</v>
      </c>
      <c r="CF108" s="401">
        <v>641</v>
      </c>
      <c r="CG108" s="402">
        <v>1035</v>
      </c>
      <c r="CH108" s="401">
        <v>594</v>
      </c>
      <c r="CI108" s="401">
        <v>455</v>
      </c>
      <c r="CJ108" s="401">
        <v>386</v>
      </c>
      <c r="CK108" s="402">
        <v>848</v>
      </c>
      <c r="CL108" s="438">
        <v>590</v>
      </c>
      <c r="CM108" s="401">
        <v>614</v>
      </c>
      <c r="CN108" s="401">
        <v>619</v>
      </c>
      <c r="CO108" s="402">
        <v>1052</v>
      </c>
      <c r="CP108" s="438">
        <v>773</v>
      </c>
      <c r="CQ108" s="401">
        <v>682</v>
      </c>
      <c r="CR108" s="401">
        <v>585</v>
      </c>
      <c r="CS108" s="413">
        <v>1233.6862064643981</v>
      </c>
      <c r="CT108" s="373">
        <v>551.57596394860923</v>
      </c>
      <c r="CU108" s="325">
        <v>521.73183432342023</v>
      </c>
      <c r="CV108" s="325">
        <v>692.75109672605697</v>
      </c>
      <c r="CW108" s="413">
        <v>1591.5382908247416</v>
      </c>
      <c r="CX108" s="409"/>
      <c r="CY108" s="409"/>
      <c r="CZ108" s="409"/>
      <c r="DA108" s="410"/>
      <c r="DB108" s="409"/>
      <c r="DC108" s="409"/>
      <c r="DD108" s="409"/>
      <c r="DE108" s="410"/>
      <c r="DF108" s="409"/>
      <c r="DG108" s="409"/>
      <c r="DH108" s="409"/>
      <c r="DI108" s="410"/>
      <c r="DJ108" s="454"/>
      <c r="DK108" s="411"/>
      <c r="DL108" s="399"/>
      <c r="DM108" s="399"/>
      <c r="DN108" s="399"/>
      <c r="DO108" s="399"/>
      <c r="DP108" s="399"/>
      <c r="DQ108" s="399"/>
      <c r="DR108" s="399"/>
      <c r="DS108" s="401">
        <v>1210</v>
      </c>
      <c r="DT108" s="401">
        <v>739</v>
      </c>
      <c r="DU108" s="401">
        <v>640</v>
      </c>
      <c r="DV108" s="325">
        <v>649</v>
      </c>
      <c r="DW108" s="325">
        <v>707</v>
      </c>
      <c r="DX108" s="325">
        <v>515</v>
      </c>
      <c r="DY108" s="325">
        <v>659</v>
      </c>
      <c r="DZ108" s="325">
        <v>679</v>
      </c>
      <c r="EA108" s="325">
        <v>732</v>
      </c>
      <c r="EB108" s="325">
        <v>918</v>
      </c>
      <c r="EC108" s="412">
        <v>1035</v>
      </c>
      <c r="ED108" s="412">
        <v>848</v>
      </c>
      <c r="EE108" s="412">
        <v>1052</v>
      </c>
      <c r="EF108" s="412">
        <v>1233.6862064643981</v>
      </c>
      <c r="EG108" s="412">
        <v>1591.5382908247416</v>
      </c>
      <c r="EH108" s="412">
        <v>1855.8329351871948</v>
      </c>
      <c r="EI108" s="412">
        <v>1747.6609534724521</v>
      </c>
      <c r="EJ108" s="412">
        <v>1676.4558170016094</v>
      </c>
      <c r="EK108" s="412">
        <v>1786.9328529510676</v>
      </c>
      <c r="EL108" s="412">
        <v>1723.6158152424057</v>
      </c>
      <c r="EM108" s="412">
        <v>1735.2057141497376</v>
      </c>
      <c r="EN108" s="412">
        <v>1725.7668994670096</v>
      </c>
      <c r="EO108" s="412">
        <v>1857.7678051888545</v>
      </c>
      <c r="EP108" s="389"/>
      <c r="EQ108" s="386"/>
    </row>
    <row r="109" spans="1:147" s="390" customFormat="1" ht="15" customHeight="1" outlineLevel="1">
      <c r="A109" s="385"/>
      <c r="B109"/>
      <c r="C109"/>
      <c r="D109"/>
      <c r="E109"/>
      <c r="F109"/>
      <c r="G109"/>
      <c r="H109" s="386"/>
      <c r="I109" s="370" t="s">
        <v>538</v>
      </c>
      <c r="J109" s="399"/>
      <c r="K109" s="399"/>
      <c r="L109" s="399"/>
      <c r="M109" s="400"/>
      <c r="N109" s="399"/>
      <c r="O109" s="399"/>
      <c r="P109" s="399"/>
      <c r="Q109" s="400"/>
      <c r="R109" s="399"/>
      <c r="S109" s="399"/>
      <c r="T109" s="399"/>
      <c r="U109" s="400"/>
      <c r="V109" s="399"/>
      <c r="W109" s="399"/>
      <c r="X109" s="399"/>
      <c r="Y109" s="400"/>
      <c r="Z109" s="399"/>
      <c r="AA109" s="399"/>
      <c r="AB109" s="399"/>
      <c r="AC109" s="400"/>
      <c r="AD109" s="399"/>
      <c r="AE109" s="399"/>
      <c r="AF109" s="399"/>
      <c r="AG109" s="400"/>
      <c r="AH109" s="399"/>
      <c r="AI109" s="399"/>
      <c r="AJ109" s="399"/>
      <c r="AK109" s="400"/>
      <c r="AL109" s="399"/>
      <c r="AM109" s="399"/>
      <c r="AN109" s="399"/>
      <c r="AO109" s="400"/>
      <c r="AP109" s="399"/>
      <c r="AQ109" s="399"/>
      <c r="AR109" s="399"/>
      <c r="AS109" s="400"/>
      <c r="AT109" s="399"/>
      <c r="AU109" s="399"/>
      <c r="AV109" s="399"/>
      <c r="AW109" s="400"/>
      <c r="AX109" s="399"/>
      <c r="AY109" s="399"/>
      <c r="AZ109" s="399"/>
      <c r="BA109" s="400"/>
      <c r="BB109" s="401">
        <v>103</v>
      </c>
      <c r="BC109" s="401">
        <v>93</v>
      </c>
      <c r="BD109" s="401">
        <v>207</v>
      </c>
      <c r="BE109" s="402">
        <v>144</v>
      </c>
      <c r="BF109" s="401">
        <v>146</v>
      </c>
      <c r="BG109" s="401">
        <v>128</v>
      </c>
      <c r="BH109" s="401">
        <v>291</v>
      </c>
      <c r="BI109" s="402">
        <v>209</v>
      </c>
      <c r="BJ109" s="401">
        <v>159</v>
      </c>
      <c r="BK109" s="401">
        <v>131</v>
      </c>
      <c r="BL109" s="401">
        <v>313</v>
      </c>
      <c r="BM109" s="402">
        <v>171</v>
      </c>
      <c r="BN109" s="401">
        <v>158</v>
      </c>
      <c r="BO109" s="401">
        <v>151</v>
      </c>
      <c r="BP109" s="401">
        <v>222</v>
      </c>
      <c r="BQ109" s="402">
        <v>123</v>
      </c>
      <c r="BR109" s="401">
        <v>102</v>
      </c>
      <c r="BS109" s="401">
        <v>117</v>
      </c>
      <c r="BT109" s="401">
        <v>238</v>
      </c>
      <c r="BU109" s="402">
        <v>128</v>
      </c>
      <c r="BV109" s="401">
        <v>103</v>
      </c>
      <c r="BW109" s="401">
        <v>94</v>
      </c>
      <c r="BX109" s="401">
        <v>131</v>
      </c>
      <c r="BY109" s="402">
        <v>49</v>
      </c>
      <c r="BZ109" s="401">
        <v>48</v>
      </c>
      <c r="CA109" s="401">
        <v>51</v>
      </c>
      <c r="CB109" s="401">
        <v>94</v>
      </c>
      <c r="CC109" s="402">
        <v>46</v>
      </c>
      <c r="CD109" s="401">
        <v>42</v>
      </c>
      <c r="CE109" s="401">
        <v>36</v>
      </c>
      <c r="CF109" s="401">
        <v>174</v>
      </c>
      <c r="CG109" s="402">
        <v>43</v>
      </c>
      <c r="CH109" s="401">
        <v>45</v>
      </c>
      <c r="CI109" s="401">
        <v>46</v>
      </c>
      <c r="CJ109" s="401">
        <v>102</v>
      </c>
      <c r="CK109" s="402">
        <v>32</v>
      </c>
      <c r="CL109" s="438">
        <v>0</v>
      </c>
      <c r="CM109" s="401">
        <v>0</v>
      </c>
      <c r="CN109" s="401">
        <v>0</v>
      </c>
      <c r="CO109" s="402">
        <v>0</v>
      </c>
      <c r="CP109" s="438">
        <v>0</v>
      </c>
      <c r="CQ109" s="401">
        <v>0</v>
      </c>
      <c r="CR109" s="401">
        <v>0</v>
      </c>
      <c r="CS109" s="413">
        <v>42.256036472175005</v>
      </c>
      <c r="CT109" s="373">
        <v>0.56085242213698627</v>
      </c>
      <c r="CU109" s="325">
        <v>0.29755999591780818</v>
      </c>
      <c r="CV109" s="325">
        <v>0.54986329164383563</v>
      </c>
      <c r="CW109" s="413">
        <v>4.4806145255315073</v>
      </c>
      <c r="CX109" s="409"/>
      <c r="CY109" s="409"/>
      <c r="CZ109" s="409"/>
      <c r="DA109" s="410"/>
      <c r="DB109" s="409"/>
      <c r="DC109" s="409"/>
      <c r="DD109" s="409"/>
      <c r="DE109" s="410"/>
      <c r="DF109" s="409"/>
      <c r="DG109" s="409"/>
      <c r="DH109" s="409"/>
      <c r="DI109" s="410"/>
      <c r="DJ109" s="551"/>
      <c r="DK109" s="411"/>
      <c r="DL109" s="399"/>
      <c r="DM109" s="399"/>
      <c r="DN109" s="399"/>
      <c r="DO109" s="399"/>
      <c r="DP109" s="399"/>
      <c r="DQ109" s="399"/>
      <c r="DR109" s="399"/>
      <c r="DS109" s="401">
        <v>262</v>
      </c>
      <c r="DT109" s="401">
        <v>241</v>
      </c>
      <c r="DU109" s="401">
        <v>112</v>
      </c>
      <c r="DV109" s="325">
        <v>144</v>
      </c>
      <c r="DW109" s="325">
        <v>209</v>
      </c>
      <c r="DX109" s="325">
        <v>171</v>
      </c>
      <c r="DY109" s="325">
        <v>123</v>
      </c>
      <c r="DZ109" s="325">
        <v>128</v>
      </c>
      <c r="EA109" s="325">
        <v>49</v>
      </c>
      <c r="EB109" s="325">
        <v>46</v>
      </c>
      <c r="EC109" s="412">
        <v>43</v>
      </c>
      <c r="ED109" s="412">
        <v>32</v>
      </c>
      <c r="EE109" s="412">
        <v>0</v>
      </c>
      <c r="EF109" s="412">
        <v>42.256036472175005</v>
      </c>
      <c r="EG109" s="412">
        <v>4.4806145255315073</v>
      </c>
      <c r="EH109" s="412">
        <v>7.2575320281288578</v>
      </c>
      <c r="EI109" s="412">
        <v>5.4038708395097563</v>
      </c>
      <c r="EJ109" s="412">
        <v>4.9969141362850555</v>
      </c>
      <c r="EK109" s="412">
        <v>5.8539174008185624</v>
      </c>
      <c r="EL109" s="412">
        <v>5.33500314507938</v>
      </c>
      <c r="EM109" s="412">
        <v>5.0000238744006404</v>
      </c>
      <c r="EN109" s="412">
        <v>5.0292624393232677</v>
      </c>
      <c r="EO109" s="412">
        <v>5.8875905967257358</v>
      </c>
      <c r="EP109" s="389"/>
      <c r="EQ109" s="386"/>
    </row>
    <row r="110" spans="1:147" s="390" customFormat="1" ht="15" customHeight="1" outlineLevel="1">
      <c r="A110" s="385"/>
      <c r="B110"/>
      <c r="C110"/>
      <c r="D110"/>
      <c r="E110"/>
      <c r="F110"/>
      <c r="G110"/>
      <c r="H110" s="386"/>
      <c r="I110" s="370" t="s">
        <v>1542</v>
      </c>
      <c r="J110" s="399"/>
      <c r="K110" s="399"/>
      <c r="L110" s="399"/>
      <c r="M110" s="400"/>
      <c r="N110" s="399"/>
      <c r="O110" s="399"/>
      <c r="P110" s="399"/>
      <c r="Q110" s="400"/>
      <c r="R110" s="399"/>
      <c r="S110" s="399"/>
      <c r="T110" s="399"/>
      <c r="U110" s="400"/>
      <c r="V110" s="399"/>
      <c r="W110" s="399"/>
      <c r="X110" s="399"/>
      <c r="Y110" s="400"/>
      <c r="Z110" s="399"/>
      <c r="AA110" s="399"/>
      <c r="AB110" s="399"/>
      <c r="AC110" s="400"/>
      <c r="AD110" s="399"/>
      <c r="AE110" s="399"/>
      <c r="AF110" s="399"/>
      <c r="AG110" s="400"/>
      <c r="AH110" s="399"/>
      <c r="AI110" s="399"/>
      <c r="AJ110" s="399"/>
      <c r="AK110" s="400"/>
      <c r="AL110" s="399"/>
      <c r="AM110" s="399"/>
      <c r="AN110" s="399"/>
      <c r="AO110" s="400"/>
      <c r="AP110" s="399"/>
      <c r="AQ110" s="399"/>
      <c r="AR110" s="399"/>
      <c r="AS110" s="400"/>
      <c r="AT110" s="399"/>
      <c r="AU110" s="399"/>
      <c r="AV110" s="399"/>
      <c r="AW110" s="400"/>
      <c r="AX110" s="399"/>
      <c r="AY110" s="399"/>
      <c r="AZ110" s="399"/>
      <c r="BA110" s="400"/>
      <c r="BB110" s="401">
        <v>129</v>
      </c>
      <c r="BC110" s="401">
        <v>126</v>
      </c>
      <c r="BD110" s="401">
        <v>150</v>
      </c>
      <c r="BE110" s="402">
        <v>137</v>
      </c>
      <c r="BF110" s="401">
        <v>148</v>
      </c>
      <c r="BG110" s="401">
        <v>141</v>
      </c>
      <c r="BH110" s="401">
        <v>164</v>
      </c>
      <c r="BI110" s="402">
        <v>164</v>
      </c>
      <c r="BJ110" s="401">
        <v>143</v>
      </c>
      <c r="BK110" s="401">
        <v>304</v>
      </c>
      <c r="BL110" s="401">
        <v>347</v>
      </c>
      <c r="BM110" s="402">
        <v>367</v>
      </c>
      <c r="BN110" s="401">
        <v>361</v>
      </c>
      <c r="BO110" s="401">
        <v>391</v>
      </c>
      <c r="BP110" s="401">
        <v>445</v>
      </c>
      <c r="BQ110" s="402">
        <v>452</v>
      </c>
      <c r="BR110" s="401">
        <v>358</v>
      </c>
      <c r="BS110" s="401">
        <v>338</v>
      </c>
      <c r="BT110" s="401">
        <v>342</v>
      </c>
      <c r="BU110" s="402">
        <v>336</v>
      </c>
      <c r="BV110" s="401">
        <v>296</v>
      </c>
      <c r="BW110" s="401">
        <v>287</v>
      </c>
      <c r="BX110" s="401">
        <v>414</v>
      </c>
      <c r="BY110" s="402">
        <v>412</v>
      </c>
      <c r="BZ110" s="401">
        <v>370</v>
      </c>
      <c r="CA110" s="401">
        <v>349</v>
      </c>
      <c r="CB110" s="401">
        <v>377</v>
      </c>
      <c r="CC110" s="402">
        <v>367</v>
      </c>
      <c r="CD110" s="401">
        <v>298</v>
      </c>
      <c r="CE110" s="401">
        <v>320</v>
      </c>
      <c r="CF110" s="401">
        <v>348</v>
      </c>
      <c r="CG110" s="402">
        <v>264</v>
      </c>
      <c r="CH110" s="401">
        <v>184</v>
      </c>
      <c r="CI110" s="401">
        <v>184</v>
      </c>
      <c r="CJ110" s="401">
        <v>240</v>
      </c>
      <c r="CK110" s="402">
        <v>322</v>
      </c>
      <c r="CL110" s="438">
        <v>293</v>
      </c>
      <c r="CM110" s="401">
        <v>331</v>
      </c>
      <c r="CN110" s="401">
        <v>398</v>
      </c>
      <c r="CO110" s="402">
        <v>352</v>
      </c>
      <c r="CP110" s="438">
        <v>283</v>
      </c>
      <c r="CQ110" s="401">
        <v>249</v>
      </c>
      <c r="CR110" s="401">
        <v>227</v>
      </c>
      <c r="CS110" s="413">
        <v>365.69093865800187</v>
      </c>
      <c r="CT110" s="373">
        <v>131.54942939711913</v>
      </c>
      <c r="CU110" s="325">
        <v>115.33029313503685</v>
      </c>
      <c r="CV110" s="325">
        <v>443.54080464346072</v>
      </c>
      <c r="CW110" s="413">
        <v>435.52195943254083</v>
      </c>
      <c r="CX110" s="409"/>
      <c r="CY110" s="409"/>
      <c r="CZ110" s="409"/>
      <c r="DA110" s="410"/>
      <c r="DB110" s="409"/>
      <c r="DC110" s="409"/>
      <c r="DD110" s="409"/>
      <c r="DE110" s="410"/>
      <c r="DF110" s="409"/>
      <c r="DG110" s="409"/>
      <c r="DH110" s="409"/>
      <c r="DI110" s="410"/>
      <c r="DJ110" s="454"/>
      <c r="DK110" s="411"/>
      <c r="DL110" s="399"/>
      <c r="DM110" s="399"/>
      <c r="DN110" s="399"/>
      <c r="DO110" s="399"/>
      <c r="DP110" s="399"/>
      <c r="DQ110" s="399"/>
      <c r="DR110" s="399"/>
      <c r="DS110" s="401">
        <v>235</v>
      </c>
      <c r="DT110" s="401">
        <v>224</v>
      </c>
      <c r="DU110" s="401">
        <v>147</v>
      </c>
      <c r="DV110" s="325">
        <v>137</v>
      </c>
      <c r="DW110" s="325">
        <v>164</v>
      </c>
      <c r="DX110" s="325">
        <v>367</v>
      </c>
      <c r="DY110" s="325">
        <v>452</v>
      </c>
      <c r="DZ110" s="325">
        <v>336</v>
      </c>
      <c r="EA110" s="325">
        <v>412</v>
      </c>
      <c r="EB110" s="325">
        <v>367</v>
      </c>
      <c r="EC110" s="412">
        <v>264</v>
      </c>
      <c r="ED110" s="412">
        <v>322</v>
      </c>
      <c r="EE110" s="412">
        <v>352</v>
      </c>
      <c r="EF110" s="412">
        <v>365.69093865800187</v>
      </c>
      <c r="EG110" s="412">
        <v>435.52195943254083</v>
      </c>
      <c r="EH110" s="412">
        <v>264.13705282124306</v>
      </c>
      <c r="EI110" s="412">
        <v>321.19123278729188</v>
      </c>
      <c r="EJ110" s="412">
        <v>296.23926858843964</v>
      </c>
      <c r="EK110" s="412">
        <v>288.27268748067797</v>
      </c>
      <c r="EL110" s="412">
        <v>307.50344949668852</v>
      </c>
      <c r="EM110" s="412">
        <v>294.46769319024912</v>
      </c>
      <c r="EN110" s="412">
        <v>297.79714836271791</v>
      </c>
      <c r="EO110" s="412">
        <v>297.83162578201308</v>
      </c>
      <c r="EP110" s="389"/>
      <c r="EQ110" s="386"/>
    </row>
    <row r="111" spans="1:147" s="390" customFormat="1" ht="15" customHeight="1" outlineLevel="1">
      <c r="A111" s="385"/>
      <c r="B111"/>
      <c r="C111"/>
      <c r="D111"/>
      <c r="E111"/>
      <c r="F111"/>
      <c r="G111"/>
      <c r="H111" s="386"/>
      <c r="I111" s="370" t="s">
        <v>1543</v>
      </c>
      <c r="J111" s="399"/>
      <c r="K111" s="399"/>
      <c r="L111" s="399"/>
      <c r="M111" s="400"/>
      <c r="N111" s="399"/>
      <c r="O111" s="399"/>
      <c r="P111" s="399"/>
      <c r="Q111" s="400"/>
      <c r="R111" s="399"/>
      <c r="S111" s="399"/>
      <c r="T111" s="399"/>
      <c r="U111" s="400"/>
      <c r="V111" s="399"/>
      <c r="W111" s="399"/>
      <c r="X111" s="399"/>
      <c r="Y111" s="400"/>
      <c r="Z111" s="399"/>
      <c r="AA111" s="399"/>
      <c r="AB111" s="399"/>
      <c r="AC111" s="400"/>
      <c r="AD111" s="399"/>
      <c r="AE111" s="399"/>
      <c r="AF111" s="399"/>
      <c r="AG111" s="400"/>
      <c r="AH111" s="399"/>
      <c r="AI111" s="399"/>
      <c r="AJ111" s="399"/>
      <c r="AK111" s="400"/>
      <c r="AL111" s="399"/>
      <c r="AM111" s="399"/>
      <c r="AN111" s="399"/>
      <c r="AO111" s="400"/>
      <c r="AP111" s="399"/>
      <c r="AQ111" s="399"/>
      <c r="AR111" s="399"/>
      <c r="AS111" s="400"/>
      <c r="AT111" s="399"/>
      <c r="AU111" s="399"/>
      <c r="AV111" s="399"/>
      <c r="AW111" s="400"/>
      <c r="AX111" s="399"/>
      <c r="AY111" s="399"/>
      <c r="AZ111" s="399"/>
      <c r="BA111" s="400"/>
      <c r="BB111" s="401">
        <v>32</v>
      </c>
      <c r="BC111" s="401">
        <v>43</v>
      </c>
      <c r="BD111" s="401">
        <v>42</v>
      </c>
      <c r="BE111" s="402">
        <v>22</v>
      </c>
      <c r="BF111" s="401">
        <v>22</v>
      </c>
      <c r="BG111" s="401">
        <v>8</v>
      </c>
      <c r="BH111" s="401">
        <v>13</v>
      </c>
      <c r="BI111" s="402">
        <v>11</v>
      </c>
      <c r="BJ111" s="401">
        <v>11</v>
      </c>
      <c r="BK111" s="401">
        <v>11</v>
      </c>
      <c r="BL111" s="401">
        <v>12</v>
      </c>
      <c r="BM111" s="402">
        <v>11</v>
      </c>
      <c r="BN111" s="401">
        <v>12</v>
      </c>
      <c r="BO111" s="401">
        <v>3</v>
      </c>
      <c r="BP111" s="401">
        <v>2</v>
      </c>
      <c r="BQ111" s="402">
        <v>5</v>
      </c>
      <c r="BR111" s="401">
        <v>5</v>
      </c>
      <c r="BS111" s="401">
        <v>26</v>
      </c>
      <c r="BT111" s="401">
        <v>27</v>
      </c>
      <c r="BU111" s="402">
        <v>30</v>
      </c>
      <c r="BV111" s="401">
        <v>0</v>
      </c>
      <c r="BW111" s="401">
        <v>0</v>
      </c>
      <c r="BX111" s="401">
        <v>0</v>
      </c>
      <c r="BY111" s="402">
        <v>0</v>
      </c>
      <c r="BZ111" s="401">
        <v>0</v>
      </c>
      <c r="CA111" s="401">
        <v>0</v>
      </c>
      <c r="CB111" s="401">
        <v>0</v>
      </c>
      <c r="CC111" s="402">
        <v>0</v>
      </c>
      <c r="CD111" s="401">
        <v>0</v>
      </c>
      <c r="CE111" s="401">
        <v>0</v>
      </c>
      <c r="CF111" s="401">
        <v>0</v>
      </c>
      <c r="CG111" s="402">
        <v>0</v>
      </c>
      <c r="CH111" s="401">
        <v>0</v>
      </c>
      <c r="CI111" s="401">
        <v>0</v>
      </c>
      <c r="CJ111" s="401">
        <v>0</v>
      </c>
      <c r="CK111" s="402">
        <v>0</v>
      </c>
      <c r="CL111" s="438">
        <v>0</v>
      </c>
      <c r="CM111" s="401">
        <v>0</v>
      </c>
      <c r="CN111" s="401">
        <v>0</v>
      </c>
      <c r="CO111" s="402">
        <v>0</v>
      </c>
      <c r="CP111" s="438">
        <v>0</v>
      </c>
      <c r="CQ111" s="401">
        <v>0</v>
      </c>
      <c r="CR111" s="401">
        <v>0</v>
      </c>
      <c r="CS111" s="413">
        <v>0</v>
      </c>
      <c r="CT111" s="373">
        <v>0</v>
      </c>
      <c r="CU111" s="325">
        <v>0</v>
      </c>
      <c r="CV111" s="325">
        <v>0</v>
      </c>
      <c r="CW111" s="413">
        <v>0</v>
      </c>
      <c r="CX111" s="409"/>
      <c r="CY111" s="409"/>
      <c r="CZ111" s="409"/>
      <c r="DA111" s="410"/>
      <c r="DB111" s="409"/>
      <c r="DC111" s="409"/>
      <c r="DD111" s="409"/>
      <c r="DE111" s="410"/>
      <c r="DF111" s="409"/>
      <c r="DG111" s="409"/>
      <c r="DH111" s="409"/>
      <c r="DI111" s="410"/>
      <c r="DJ111" s="454"/>
      <c r="DK111" s="411"/>
      <c r="DL111" s="399"/>
      <c r="DM111" s="399"/>
      <c r="DN111" s="399"/>
      <c r="DO111" s="399"/>
      <c r="DP111" s="399"/>
      <c r="DQ111" s="399"/>
      <c r="DR111" s="399"/>
      <c r="DS111" s="401">
        <v>35</v>
      </c>
      <c r="DT111" s="401">
        <v>55</v>
      </c>
      <c r="DU111" s="401">
        <v>45</v>
      </c>
      <c r="DV111" s="325">
        <v>22</v>
      </c>
      <c r="DW111" s="325">
        <v>11</v>
      </c>
      <c r="DX111" s="325">
        <v>11</v>
      </c>
      <c r="DY111" s="325">
        <v>5</v>
      </c>
      <c r="DZ111" s="325">
        <v>30</v>
      </c>
      <c r="EA111" s="325">
        <v>0</v>
      </c>
      <c r="EB111" s="325">
        <v>0</v>
      </c>
      <c r="EC111" s="412">
        <v>0</v>
      </c>
      <c r="ED111" s="412">
        <v>0</v>
      </c>
      <c r="EE111" s="412">
        <v>0</v>
      </c>
      <c r="EF111" s="412">
        <v>0</v>
      </c>
      <c r="EG111" s="412">
        <v>0</v>
      </c>
      <c r="EH111" s="412">
        <v>0</v>
      </c>
      <c r="EI111" s="412">
        <v>0</v>
      </c>
      <c r="EJ111" s="412">
        <v>0</v>
      </c>
      <c r="EK111" s="412">
        <v>0</v>
      </c>
      <c r="EL111" s="412">
        <v>0</v>
      </c>
      <c r="EM111" s="412">
        <v>0</v>
      </c>
      <c r="EN111" s="412">
        <v>0</v>
      </c>
      <c r="EO111" s="412">
        <v>0</v>
      </c>
      <c r="EP111" s="389"/>
      <c r="EQ111" s="386"/>
    </row>
    <row r="112" spans="1:147" s="390" customFormat="1" ht="15" customHeight="1" outlineLevel="1">
      <c r="A112" s="385"/>
      <c r="B112"/>
      <c r="C112"/>
      <c r="D112"/>
      <c r="E112"/>
      <c r="F112"/>
      <c r="G112"/>
      <c r="H112" s="386"/>
      <c r="I112" s="370" t="s">
        <v>1544</v>
      </c>
      <c r="J112" s="399"/>
      <c r="K112" s="399"/>
      <c r="L112" s="399"/>
      <c r="M112" s="400"/>
      <c r="N112" s="399"/>
      <c r="O112" s="399"/>
      <c r="P112" s="399"/>
      <c r="Q112" s="400"/>
      <c r="R112" s="399"/>
      <c r="S112" s="399"/>
      <c r="T112" s="399"/>
      <c r="U112" s="400"/>
      <c r="V112" s="399"/>
      <c r="W112" s="399"/>
      <c r="X112" s="399"/>
      <c r="Y112" s="400"/>
      <c r="Z112" s="399"/>
      <c r="AA112" s="399"/>
      <c r="AB112" s="399"/>
      <c r="AC112" s="400"/>
      <c r="AD112" s="399"/>
      <c r="AE112" s="399"/>
      <c r="AF112" s="399"/>
      <c r="AG112" s="400"/>
      <c r="AH112" s="399"/>
      <c r="AI112" s="399"/>
      <c r="AJ112" s="399"/>
      <c r="AK112" s="400"/>
      <c r="AL112" s="399"/>
      <c r="AM112" s="399"/>
      <c r="AN112" s="399"/>
      <c r="AO112" s="400"/>
      <c r="AP112" s="399"/>
      <c r="AQ112" s="399"/>
      <c r="AR112" s="399"/>
      <c r="AS112" s="400"/>
      <c r="AT112" s="399"/>
      <c r="AU112" s="399"/>
      <c r="AV112" s="399"/>
      <c r="AW112" s="400"/>
      <c r="AX112" s="399"/>
      <c r="AY112" s="399"/>
      <c r="AZ112" s="399"/>
      <c r="BA112" s="400"/>
      <c r="BB112" s="401">
        <v>464</v>
      </c>
      <c r="BC112" s="401">
        <v>511</v>
      </c>
      <c r="BD112" s="401">
        <v>507</v>
      </c>
      <c r="BE112" s="402">
        <v>507</v>
      </c>
      <c r="BF112" s="401">
        <v>445</v>
      </c>
      <c r="BG112" s="401">
        <v>484</v>
      </c>
      <c r="BH112" s="401">
        <v>497</v>
      </c>
      <c r="BI112" s="402">
        <v>487</v>
      </c>
      <c r="BJ112" s="401">
        <v>409</v>
      </c>
      <c r="BK112" s="401">
        <v>335</v>
      </c>
      <c r="BL112" s="401">
        <v>341</v>
      </c>
      <c r="BM112" s="402">
        <v>321</v>
      </c>
      <c r="BN112" s="401">
        <v>336</v>
      </c>
      <c r="BO112" s="401">
        <v>359</v>
      </c>
      <c r="BP112" s="401">
        <v>394</v>
      </c>
      <c r="BQ112" s="402">
        <v>368</v>
      </c>
      <c r="BR112" s="401">
        <v>365</v>
      </c>
      <c r="BS112" s="401">
        <v>346</v>
      </c>
      <c r="BT112" s="401">
        <v>373</v>
      </c>
      <c r="BU112" s="402">
        <v>0</v>
      </c>
      <c r="BV112" s="401">
        <v>0</v>
      </c>
      <c r="BW112" s="401">
        <v>0</v>
      </c>
      <c r="BX112" s="401">
        <v>0</v>
      </c>
      <c r="BY112" s="402">
        <v>0</v>
      </c>
      <c r="BZ112" s="401">
        <v>0</v>
      </c>
      <c r="CA112" s="401">
        <v>0</v>
      </c>
      <c r="CB112" s="401">
        <v>0</v>
      </c>
      <c r="CC112" s="402">
        <v>0</v>
      </c>
      <c r="CD112" s="401">
        <v>0</v>
      </c>
      <c r="CE112" s="401">
        <v>0</v>
      </c>
      <c r="CF112" s="401">
        <v>0</v>
      </c>
      <c r="CG112" s="402">
        <v>0</v>
      </c>
      <c r="CH112" s="401">
        <v>0</v>
      </c>
      <c r="CI112" s="401">
        <v>0</v>
      </c>
      <c r="CJ112" s="401">
        <v>0</v>
      </c>
      <c r="CK112" s="402">
        <v>0</v>
      </c>
      <c r="CL112" s="438">
        <v>0</v>
      </c>
      <c r="CM112" s="401">
        <v>0</v>
      </c>
      <c r="CN112" s="401">
        <v>0</v>
      </c>
      <c r="CO112" s="402">
        <v>0</v>
      </c>
      <c r="CP112" s="438">
        <v>0</v>
      </c>
      <c r="CQ112" s="401">
        <v>0</v>
      </c>
      <c r="CR112" s="401">
        <v>0</v>
      </c>
      <c r="CS112" s="413">
        <v>0</v>
      </c>
      <c r="CT112" s="373">
        <v>0</v>
      </c>
      <c r="CU112" s="325">
        <v>0</v>
      </c>
      <c r="CV112" s="325">
        <v>0</v>
      </c>
      <c r="CW112" s="413">
        <v>0</v>
      </c>
      <c r="CX112" s="409"/>
      <c r="CY112" s="409"/>
      <c r="CZ112" s="409"/>
      <c r="DA112" s="410"/>
      <c r="DB112" s="409"/>
      <c r="DC112" s="409"/>
      <c r="DD112" s="409"/>
      <c r="DE112" s="410"/>
      <c r="DF112" s="409"/>
      <c r="DG112" s="409"/>
      <c r="DH112" s="409"/>
      <c r="DI112" s="410"/>
      <c r="DJ112" s="454"/>
      <c r="DK112" s="411"/>
      <c r="DL112" s="399"/>
      <c r="DM112" s="399"/>
      <c r="DN112" s="399"/>
      <c r="DO112" s="399"/>
      <c r="DP112" s="399"/>
      <c r="DQ112" s="399"/>
      <c r="DR112" s="399"/>
      <c r="DS112" s="401">
        <v>587</v>
      </c>
      <c r="DT112" s="401">
        <v>498</v>
      </c>
      <c r="DU112" s="401">
        <v>640</v>
      </c>
      <c r="DV112" s="325">
        <v>507</v>
      </c>
      <c r="DW112" s="325">
        <v>487</v>
      </c>
      <c r="DX112" s="325">
        <v>321</v>
      </c>
      <c r="DY112" s="325">
        <v>368</v>
      </c>
      <c r="DZ112" s="325">
        <v>0</v>
      </c>
      <c r="EA112" s="325">
        <v>0</v>
      </c>
      <c r="EB112" s="325">
        <v>0</v>
      </c>
      <c r="EC112" s="412">
        <v>0</v>
      </c>
      <c r="ED112" s="412">
        <v>0</v>
      </c>
      <c r="EE112" s="412">
        <v>0</v>
      </c>
      <c r="EF112" s="412">
        <v>0</v>
      </c>
      <c r="EG112" s="412">
        <v>0</v>
      </c>
      <c r="EH112" s="412">
        <v>0</v>
      </c>
      <c r="EI112" s="412">
        <v>0</v>
      </c>
      <c r="EJ112" s="412">
        <v>0</v>
      </c>
      <c r="EK112" s="412">
        <v>0</v>
      </c>
      <c r="EL112" s="412">
        <v>0</v>
      </c>
      <c r="EM112" s="412">
        <v>0</v>
      </c>
      <c r="EN112" s="412">
        <v>0</v>
      </c>
      <c r="EO112" s="412">
        <v>0</v>
      </c>
      <c r="EP112" s="389"/>
      <c r="EQ112" s="386"/>
    </row>
    <row r="113" spans="1:147" s="390" customFormat="1" ht="15" customHeight="1" outlineLevel="1">
      <c r="A113" s="385"/>
      <c r="B113"/>
      <c r="C113"/>
      <c r="D113"/>
      <c r="E113"/>
      <c r="F113"/>
      <c r="G113"/>
      <c r="H113" s="386"/>
      <c r="I113" s="370" t="s">
        <v>1545</v>
      </c>
      <c r="J113" s="399"/>
      <c r="K113" s="399"/>
      <c r="L113" s="399"/>
      <c r="M113" s="400"/>
      <c r="N113" s="399"/>
      <c r="O113" s="399"/>
      <c r="P113" s="399"/>
      <c r="Q113" s="400"/>
      <c r="R113" s="399"/>
      <c r="S113" s="399"/>
      <c r="T113" s="399"/>
      <c r="U113" s="400"/>
      <c r="V113" s="399"/>
      <c r="W113" s="399"/>
      <c r="X113" s="399"/>
      <c r="Y113" s="400"/>
      <c r="Z113" s="399"/>
      <c r="AA113" s="399"/>
      <c r="AB113" s="399"/>
      <c r="AC113" s="400"/>
      <c r="AD113" s="399"/>
      <c r="AE113" s="399"/>
      <c r="AF113" s="399"/>
      <c r="AG113" s="400"/>
      <c r="AH113" s="399"/>
      <c r="AI113" s="399"/>
      <c r="AJ113" s="399"/>
      <c r="AK113" s="400"/>
      <c r="AL113" s="399"/>
      <c r="AM113" s="399"/>
      <c r="AN113" s="399"/>
      <c r="AO113" s="400"/>
      <c r="AP113" s="399"/>
      <c r="AQ113" s="399"/>
      <c r="AR113" s="399"/>
      <c r="AS113" s="400"/>
      <c r="AT113" s="399"/>
      <c r="AU113" s="399"/>
      <c r="AV113" s="399"/>
      <c r="AW113" s="400"/>
      <c r="AX113" s="399"/>
      <c r="AY113" s="399"/>
      <c r="AZ113" s="399"/>
      <c r="BA113" s="400"/>
      <c r="BB113" s="401">
        <v>167</v>
      </c>
      <c r="BC113" s="401">
        <v>97</v>
      </c>
      <c r="BD113" s="401">
        <v>136</v>
      </c>
      <c r="BE113" s="402">
        <v>396</v>
      </c>
      <c r="BF113" s="401">
        <v>226</v>
      </c>
      <c r="BG113" s="401">
        <v>152</v>
      </c>
      <c r="BH113" s="401">
        <v>173</v>
      </c>
      <c r="BI113" s="402">
        <v>321</v>
      </c>
      <c r="BJ113" s="401">
        <v>226</v>
      </c>
      <c r="BK113" s="401">
        <v>185</v>
      </c>
      <c r="BL113" s="401">
        <v>212</v>
      </c>
      <c r="BM113" s="402">
        <v>413</v>
      </c>
      <c r="BN113" s="401">
        <v>321</v>
      </c>
      <c r="BO113" s="401">
        <v>259</v>
      </c>
      <c r="BP113" s="401">
        <v>377</v>
      </c>
      <c r="BQ113" s="402">
        <v>444</v>
      </c>
      <c r="BR113" s="401">
        <v>355</v>
      </c>
      <c r="BS113" s="401">
        <v>502</v>
      </c>
      <c r="BT113" s="401">
        <v>307</v>
      </c>
      <c r="BU113" s="402">
        <v>383</v>
      </c>
      <c r="BV113" s="401">
        <v>354</v>
      </c>
      <c r="BW113" s="401">
        <v>306</v>
      </c>
      <c r="BX113" s="401">
        <v>314</v>
      </c>
      <c r="BY113" s="402">
        <v>392</v>
      </c>
      <c r="BZ113" s="401">
        <v>346</v>
      </c>
      <c r="CA113" s="401">
        <v>314</v>
      </c>
      <c r="CB113" s="401">
        <v>451</v>
      </c>
      <c r="CC113" s="402">
        <v>476</v>
      </c>
      <c r="CD113" s="401">
        <v>422</v>
      </c>
      <c r="CE113" s="401">
        <v>503</v>
      </c>
      <c r="CF113" s="401">
        <v>501</v>
      </c>
      <c r="CG113" s="402">
        <v>539</v>
      </c>
      <c r="CH113" s="401">
        <v>518</v>
      </c>
      <c r="CI113" s="401">
        <v>386</v>
      </c>
      <c r="CJ113" s="401">
        <v>345</v>
      </c>
      <c r="CK113" s="402">
        <v>296</v>
      </c>
      <c r="CL113" s="438">
        <v>330</v>
      </c>
      <c r="CM113" s="401">
        <v>436</v>
      </c>
      <c r="CN113" s="401">
        <v>570</v>
      </c>
      <c r="CO113" s="402">
        <v>514</v>
      </c>
      <c r="CP113" s="438">
        <v>585</v>
      </c>
      <c r="CQ113" s="401">
        <v>747</v>
      </c>
      <c r="CR113" s="401">
        <v>681</v>
      </c>
      <c r="CS113" s="413">
        <v>442.38638743304875</v>
      </c>
      <c r="CT113" s="373">
        <v>311.5346419463516</v>
      </c>
      <c r="CU113" s="325">
        <v>370.82671069304689</v>
      </c>
      <c r="CV113" s="325">
        <v>633.49239896909148</v>
      </c>
      <c r="CW113" s="413">
        <v>787.03564211560365</v>
      </c>
      <c r="CX113" s="409"/>
      <c r="CY113" s="409"/>
      <c r="CZ113" s="409"/>
      <c r="DA113" s="410"/>
      <c r="DB113" s="409"/>
      <c r="DC113" s="409"/>
      <c r="DD113" s="409"/>
      <c r="DE113" s="410"/>
      <c r="DF113" s="409"/>
      <c r="DG113" s="409"/>
      <c r="DH113" s="409"/>
      <c r="DI113" s="410"/>
      <c r="DJ113" s="454"/>
      <c r="DK113" s="411"/>
      <c r="DL113" s="399"/>
      <c r="DM113" s="399"/>
      <c r="DN113" s="399"/>
      <c r="DO113" s="399"/>
      <c r="DP113" s="399"/>
      <c r="DQ113" s="399"/>
      <c r="DR113" s="399"/>
      <c r="DS113" s="401">
        <v>215</v>
      </c>
      <c r="DT113" s="401">
        <v>327</v>
      </c>
      <c r="DU113" s="401">
        <v>293</v>
      </c>
      <c r="DV113" s="325">
        <v>396</v>
      </c>
      <c r="DW113" s="325">
        <v>321</v>
      </c>
      <c r="DX113" s="325">
        <v>413</v>
      </c>
      <c r="DY113" s="325">
        <v>444</v>
      </c>
      <c r="DZ113" s="325">
        <v>383</v>
      </c>
      <c r="EA113" s="325">
        <v>392</v>
      </c>
      <c r="EB113" s="325">
        <v>476</v>
      </c>
      <c r="EC113" s="412">
        <v>539</v>
      </c>
      <c r="ED113" s="412">
        <v>296</v>
      </c>
      <c r="EE113" s="412">
        <v>514</v>
      </c>
      <c r="EF113" s="412">
        <v>442.38638743304875</v>
      </c>
      <c r="EG113" s="412">
        <v>787.03564211560365</v>
      </c>
      <c r="EH113" s="412">
        <v>2369.438766280769</v>
      </c>
      <c r="EI113" s="412">
        <v>2231.3299516128836</v>
      </c>
      <c r="EJ113" s="412">
        <v>2140.4186376075045</v>
      </c>
      <c r="EK113" s="412">
        <v>2281.4704353201237</v>
      </c>
      <c r="EL113" s="412">
        <v>2200.6302686928234</v>
      </c>
      <c r="EM113" s="412">
        <v>2215.4276975171683</v>
      </c>
      <c r="EN113" s="412">
        <v>2203.3766701897866</v>
      </c>
      <c r="EO113" s="412">
        <v>2371.9091157948451</v>
      </c>
      <c r="EP113" s="389"/>
      <c r="EQ113" s="386"/>
    </row>
    <row r="114" spans="1:147" s="390" customFormat="1" ht="15" customHeight="1" outlineLevel="1">
      <c r="A114" s="385"/>
      <c r="B114"/>
      <c r="C114"/>
      <c r="D114"/>
      <c r="E114"/>
      <c r="F114"/>
      <c r="G114"/>
      <c r="H114" s="386"/>
      <c r="I114" s="517" t="s">
        <v>1546</v>
      </c>
      <c r="J114" s="552"/>
      <c r="K114" s="552"/>
      <c r="L114" s="552"/>
      <c r="M114" s="553"/>
      <c r="N114" s="552"/>
      <c r="O114" s="552"/>
      <c r="P114" s="552"/>
      <c r="Q114" s="553"/>
      <c r="R114" s="552"/>
      <c r="S114" s="552"/>
      <c r="T114" s="552"/>
      <c r="U114" s="553"/>
      <c r="V114" s="552"/>
      <c r="W114" s="552"/>
      <c r="X114" s="552"/>
      <c r="Y114" s="553"/>
      <c r="Z114" s="552"/>
      <c r="AA114" s="552"/>
      <c r="AB114" s="552"/>
      <c r="AC114" s="553"/>
      <c r="AD114" s="552"/>
      <c r="AE114" s="552"/>
      <c r="AF114" s="552"/>
      <c r="AG114" s="553"/>
      <c r="AH114" s="552"/>
      <c r="AI114" s="552"/>
      <c r="AJ114" s="552"/>
      <c r="AK114" s="553"/>
      <c r="AL114" s="552"/>
      <c r="AM114" s="552"/>
      <c r="AN114" s="552"/>
      <c r="AO114" s="553"/>
      <c r="AP114" s="552"/>
      <c r="AQ114" s="552"/>
      <c r="AR114" s="552"/>
      <c r="AS114" s="553"/>
      <c r="AT114" s="552"/>
      <c r="AU114" s="552"/>
      <c r="AV114" s="552"/>
      <c r="AW114" s="553"/>
      <c r="AX114" s="552">
        <v>0</v>
      </c>
      <c r="AY114" s="552">
        <v>0</v>
      </c>
      <c r="AZ114" s="552">
        <v>0</v>
      </c>
      <c r="BA114" s="553">
        <v>0</v>
      </c>
      <c r="BB114" s="554">
        <v>4349</v>
      </c>
      <c r="BC114" s="554">
        <v>3954</v>
      </c>
      <c r="BD114" s="554">
        <v>4082</v>
      </c>
      <c r="BE114" s="555">
        <v>5380</v>
      </c>
      <c r="BF114" s="554">
        <v>4566</v>
      </c>
      <c r="BG114" s="554">
        <v>4332</v>
      </c>
      <c r="BH114" s="554">
        <v>4702</v>
      </c>
      <c r="BI114" s="555">
        <v>6274</v>
      </c>
      <c r="BJ114" s="554">
        <v>5803</v>
      </c>
      <c r="BK114" s="554">
        <v>5629</v>
      </c>
      <c r="BL114" s="554">
        <v>8251</v>
      </c>
      <c r="BM114" s="555">
        <v>6241</v>
      </c>
      <c r="BN114" s="554">
        <v>5694</v>
      </c>
      <c r="BO114" s="554">
        <v>5474</v>
      </c>
      <c r="BP114" s="398">
        <v>5957</v>
      </c>
      <c r="BQ114" s="556">
        <v>6909</v>
      </c>
      <c r="BR114" s="398">
        <v>5863</v>
      </c>
      <c r="BS114" s="554">
        <v>6051</v>
      </c>
      <c r="BT114" s="554">
        <v>6309</v>
      </c>
      <c r="BU114" s="555">
        <v>6948</v>
      </c>
      <c r="BV114" s="554">
        <v>4008</v>
      </c>
      <c r="BW114" s="554">
        <v>3420</v>
      </c>
      <c r="BX114" s="554">
        <v>5334</v>
      </c>
      <c r="BY114" s="555">
        <v>4830</v>
      </c>
      <c r="BZ114" s="554">
        <v>4356</v>
      </c>
      <c r="CA114" s="554">
        <v>4352</v>
      </c>
      <c r="CB114" s="554">
        <v>5386</v>
      </c>
      <c r="CC114" s="555">
        <v>6520</v>
      </c>
      <c r="CD114" s="554">
        <v>6410</v>
      </c>
      <c r="CE114" s="554">
        <v>6134</v>
      </c>
      <c r="CF114" s="554">
        <v>4972</v>
      </c>
      <c r="CG114" s="555">
        <v>6106</v>
      </c>
      <c r="CH114" s="554">
        <v>6037</v>
      </c>
      <c r="CI114" s="554">
        <v>5663</v>
      </c>
      <c r="CJ114" s="554">
        <v>6012</v>
      </c>
      <c r="CK114" s="555">
        <v>7292</v>
      </c>
      <c r="CL114" s="557">
        <v>7119</v>
      </c>
      <c r="CM114" s="554">
        <v>7719</v>
      </c>
      <c r="CN114" s="554">
        <v>9002</v>
      </c>
      <c r="CO114" s="555">
        <v>10565</v>
      </c>
      <c r="CP114" s="557">
        <v>10922</v>
      </c>
      <c r="CQ114" s="554">
        <v>10887</v>
      </c>
      <c r="CR114" s="554">
        <v>11211</v>
      </c>
      <c r="CS114" s="555">
        <v>12729.645675260632</v>
      </c>
      <c r="CT114" s="557">
        <v>12686.958607618189</v>
      </c>
      <c r="CU114" s="554">
        <v>12655.606773236052</v>
      </c>
      <c r="CV114" s="554">
        <v>13744.694628238089</v>
      </c>
      <c r="CW114" s="555">
        <v>15954.967593601743</v>
      </c>
      <c r="CX114" s="552"/>
      <c r="CY114" s="552"/>
      <c r="CZ114" s="552"/>
      <c r="DA114" s="553"/>
      <c r="DB114" s="552"/>
      <c r="DC114" s="552"/>
      <c r="DD114" s="552"/>
      <c r="DE114" s="553"/>
      <c r="DF114" s="552"/>
      <c r="DG114" s="552"/>
      <c r="DH114" s="552"/>
      <c r="DI114" s="553"/>
      <c r="DJ114" s="454"/>
      <c r="DK114" s="558"/>
      <c r="DL114" s="552"/>
      <c r="DM114" s="552"/>
      <c r="DN114" s="552"/>
      <c r="DO114" s="552"/>
      <c r="DP114" s="552"/>
      <c r="DQ114" s="552"/>
      <c r="DR114" s="552"/>
      <c r="DS114" s="554">
        <v>5546</v>
      </c>
      <c r="DT114" s="398">
        <v>5329</v>
      </c>
      <c r="DU114" s="398">
        <v>5385</v>
      </c>
      <c r="DV114" s="394">
        <v>5380</v>
      </c>
      <c r="DW114" s="394">
        <v>6274</v>
      </c>
      <c r="DX114" s="394">
        <v>6241</v>
      </c>
      <c r="DY114" s="394">
        <v>6909</v>
      </c>
      <c r="DZ114" s="394">
        <v>6948</v>
      </c>
      <c r="EA114" s="394">
        <v>4830</v>
      </c>
      <c r="EB114" s="394">
        <v>6520</v>
      </c>
      <c r="EC114" s="554">
        <v>6106</v>
      </c>
      <c r="ED114" s="554">
        <v>7292</v>
      </c>
      <c r="EE114" s="554">
        <v>10565</v>
      </c>
      <c r="EF114" s="554">
        <v>12729.645675260632</v>
      </c>
      <c r="EG114" s="554">
        <v>15954.967593601743</v>
      </c>
      <c r="EH114" s="554">
        <v>19788.294589635156</v>
      </c>
      <c r="EI114" s="554">
        <v>22912.781687065773</v>
      </c>
      <c r="EJ114" s="554">
        <v>25942.997345592037</v>
      </c>
      <c r="EK114" s="554">
        <v>30196.690376947059</v>
      </c>
      <c r="EL114" s="554">
        <v>34154.382944959965</v>
      </c>
      <c r="EM114" s="554">
        <v>38131.667295334715</v>
      </c>
      <c r="EN114" s="554">
        <v>42115.961237374773</v>
      </c>
      <c r="EO114" s="554">
        <v>46674.241232259454</v>
      </c>
      <c r="EP114" s="389"/>
      <c r="EQ114" s="386"/>
    </row>
    <row r="115" spans="1:147" s="390" customFormat="1" ht="15" customHeight="1" outlineLevel="1">
      <c r="A115" s="385"/>
      <c r="B115"/>
      <c r="C115"/>
      <c r="D115"/>
      <c r="E115"/>
      <c r="F115"/>
      <c r="G115"/>
      <c r="H115" s="386"/>
      <c r="I115" s="370" t="s">
        <v>1547</v>
      </c>
      <c r="J115" s="559"/>
      <c r="K115" s="559"/>
      <c r="L115" s="559"/>
      <c r="M115" s="560"/>
      <c r="N115" s="559"/>
      <c r="O115" s="559"/>
      <c r="P115" s="559"/>
      <c r="Q115" s="560"/>
      <c r="R115" s="559"/>
      <c r="S115" s="559"/>
      <c r="T115" s="559"/>
      <c r="U115" s="560"/>
      <c r="V115" s="559"/>
      <c r="W115" s="559"/>
      <c r="X115" s="559"/>
      <c r="Y115" s="560"/>
      <c r="Z115" s="559"/>
      <c r="AA115" s="559"/>
      <c r="AB115" s="559"/>
      <c r="AC115" s="560"/>
      <c r="AD115" s="559"/>
      <c r="AE115" s="559"/>
      <c r="AF115" s="559"/>
      <c r="AG115" s="560"/>
      <c r="AH115" s="559"/>
      <c r="AI115" s="559"/>
      <c r="AJ115" s="559"/>
      <c r="AK115" s="560"/>
      <c r="AL115" s="559"/>
      <c r="AM115" s="559"/>
      <c r="AN115" s="559"/>
      <c r="AO115" s="560"/>
      <c r="AP115" s="559"/>
      <c r="AQ115" s="559"/>
      <c r="AR115" s="559"/>
      <c r="AS115" s="560"/>
      <c r="AT115" s="559"/>
      <c r="AU115" s="559"/>
      <c r="AV115" s="559"/>
      <c r="AW115" s="560"/>
      <c r="AX115" s="559"/>
      <c r="AY115" s="559"/>
      <c r="AZ115" s="559"/>
      <c r="BA115" s="560"/>
      <c r="BB115" s="401">
        <v>25</v>
      </c>
      <c r="BC115" s="401">
        <v>25</v>
      </c>
      <c r="BD115" s="401">
        <v>25</v>
      </c>
      <c r="BE115" s="402">
        <v>16</v>
      </c>
      <c r="BF115" s="401">
        <v>17</v>
      </c>
      <c r="BG115" s="401">
        <v>17</v>
      </c>
      <c r="BH115" s="401">
        <v>19</v>
      </c>
      <c r="BI115" s="402">
        <v>8</v>
      </c>
      <c r="BJ115" s="401">
        <v>9</v>
      </c>
      <c r="BK115" s="401">
        <v>9</v>
      </c>
      <c r="BL115" s="401">
        <v>9</v>
      </c>
      <c r="BM115" s="402">
        <v>9</v>
      </c>
      <c r="BN115" s="401">
        <v>9</v>
      </c>
      <c r="BO115" s="401">
        <v>9</v>
      </c>
      <c r="BP115" s="401">
        <v>9</v>
      </c>
      <c r="BQ115" s="402">
        <v>9</v>
      </c>
      <c r="BR115" s="401">
        <v>9</v>
      </c>
      <c r="BS115" s="401">
        <v>9</v>
      </c>
      <c r="BT115" s="401">
        <v>9</v>
      </c>
      <c r="BU115" s="402">
        <v>9</v>
      </c>
      <c r="BV115" s="401">
        <v>0</v>
      </c>
      <c r="BW115" s="401">
        <v>0</v>
      </c>
      <c r="BX115" s="401">
        <v>0</v>
      </c>
      <c r="BY115" s="402">
        <v>0</v>
      </c>
      <c r="BZ115" s="401">
        <v>0</v>
      </c>
      <c r="CA115" s="401">
        <v>0</v>
      </c>
      <c r="CB115" s="401">
        <v>0</v>
      </c>
      <c r="CC115" s="402">
        <v>0</v>
      </c>
      <c r="CD115" s="401">
        <v>0</v>
      </c>
      <c r="CE115" s="401">
        <v>0</v>
      </c>
      <c r="CF115" s="401">
        <v>0</v>
      </c>
      <c r="CG115" s="402">
        <v>0</v>
      </c>
      <c r="CH115" s="401">
        <v>0</v>
      </c>
      <c r="CI115" s="401">
        <v>0</v>
      </c>
      <c r="CJ115" s="401">
        <v>0</v>
      </c>
      <c r="CK115" s="402">
        <v>0</v>
      </c>
      <c r="CL115" s="438">
        <v>0</v>
      </c>
      <c r="CM115" s="401">
        <v>0</v>
      </c>
      <c r="CN115" s="401">
        <v>0</v>
      </c>
      <c r="CO115" s="402">
        <v>0</v>
      </c>
      <c r="CP115" s="438">
        <v>0</v>
      </c>
      <c r="CQ115" s="401">
        <v>0</v>
      </c>
      <c r="CR115" s="401">
        <v>0</v>
      </c>
      <c r="CS115" s="413">
        <v>0</v>
      </c>
      <c r="CT115" s="373">
        <v>0</v>
      </c>
      <c r="CU115" s="325">
        <v>0</v>
      </c>
      <c r="CV115" s="325">
        <v>0</v>
      </c>
      <c r="CW115" s="413">
        <v>0</v>
      </c>
      <c r="CX115" s="559"/>
      <c r="CY115" s="559"/>
      <c r="CZ115" s="559"/>
      <c r="DA115" s="560"/>
      <c r="DB115" s="559"/>
      <c r="DC115" s="559"/>
      <c r="DD115" s="559"/>
      <c r="DE115" s="560"/>
      <c r="DF115" s="559"/>
      <c r="DG115" s="559"/>
      <c r="DH115" s="559"/>
      <c r="DI115" s="560"/>
      <c r="DJ115" s="454"/>
      <c r="DK115" s="561"/>
      <c r="DL115" s="559"/>
      <c r="DM115" s="559"/>
      <c r="DN115" s="559"/>
      <c r="DO115" s="559"/>
      <c r="DP115" s="559"/>
      <c r="DQ115" s="559"/>
      <c r="DR115" s="559"/>
      <c r="DS115" s="562">
        <v>78</v>
      </c>
      <c r="DT115" s="401">
        <v>23</v>
      </c>
      <c r="DU115" s="401">
        <v>23</v>
      </c>
      <c r="DV115" s="325">
        <v>16</v>
      </c>
      <c r="DW115" s="325">
        <v>8</v>
      </c>
      <c r="DX115" s="325">
        <v>9</v>
      </c>
      <c r="DY115" s="325">
        <v>9</v>
      </c>
      <c r="DZ115" s="325">
        <v>9</v>
      </c>
      <c r="EA115" s="325">
        <v>0</v>
      </c>
      <c r="EB115" s="325">
        <v>0</v>
      </c>
      <c r="EC115" s="412">
        <v>0</v>
      </c>
      <c r="ED115" s="412">
        <v>0</v>
      </c>
      <c r="EE115" s="412">
        <v>0</v>
      </c>
      <c r="EF115" s="412">
        <v>0</v>
      </c>
      <c r="EG115" s="412">
        <v>0</v>
      </c>
      <c r="EH115" s="412">
        <v>0</v>
      </c>
      <c r="EI115" s="412">
        <v>0</v>
      </c>
      <c r="EJ115" s="412">
        <v>0</v>
      </c>
      <c r="EK115" s="412">
        <v>0</v>
      </c>
      <c r="EL115" s="412">
        <v>0</v>
      </c>
      <c r="EM115" s="412">
        <v>0</v>
      </c>
      <c r="EN115" s="412">
        <v>0</v>
      </c>
      <c r="EO115" s="412">
        <v>0</v>
      </c>
      <c r="EP115" s="389"/>
      <c r="EQ115" s="386"/>
    </row>
    <row r="116" spans="1:147" s="390" customFormat="1" ht="15" customHeight="1" outlineLevel="1">
      <c r="A116" s="385"/>
      <c r="B116"/>
      <c r="C116"/>
      <c r="D116"/>
      <c r="E116"/>
      <c r="F116"/>
      <c r="G116"/>
      <c r="H116" s="386"/>
      <c r="I116" s="370" t="s">
        <v>1548</v>
      </c>
      <c r="J116" s="559"/>
      <c r="K116" s="559"/>
      <c r="L116" s="559"/>
      <c r="M116" s="560"/>
      <c r="N116" s="559"/>
      <c r="O116" s="559"/>
      <c r="P116" s="559"/>
      <c r="Q116" s="560"/>
      <c r="R116" s="559"/>
      <c r="S116" s="559"/>
      <c r="T116" s="559"/>
      <c r="U116" s="560"/>
      <c r="V116" s="559"/>
      <c r="W116" s="559"/>
      <c r="X116" s="559"/>
      <c r="Y116" s="560"/>
      <c r="Z116" s="559"/>
      <c r="AA116" s="559"/>
      <c r="AB116" s="559"/>
      <c r="AC116" s="560"/>
      <c r="AD116" s="559"/>
      <c r="AE116" s="559"/>
      <c r="AF116" s="559"/>
      <c r="AG116" s="560"/>
      <c r="AH116" s="559"/>
      <c r="AI116" s="559"/>
      <c r="AJ116" s="559"/>
      <c r="AK116" s="560"/>
      <c r="AL116" s="559"/>
      <c r="AM116" s="559"/>
      <c r="AN116" s="559"/>
      <c r="AO116" s="560"/>
      <c r="AP116" s="559"/>
      <c r="AQ116" s="559"/>
      <c r="AR116" s="559"/>
      <c r="AS116" s="560"/>
      <c r="AT116" s="559"/>
      <c r="AU116" s="559"/>
      <c r="AV116" s="559"/>
      <c r="AW116" s="560"/>
      <c r="AX116" s="559"/>
      <c r="AY116" s="559"/>
      <c r="AZ116" s="559"/>
      <c r="BA116" s="560"/>
      <c r="BB116" s="401">
        <v>65</v>
      </c>
      <c r="BC116" s="401">
        <v>90</v>
      </c>
      <c r="BD116" s="401">
        <v>114</v>
      </c>
      <c r="BE116" s="402">
        <v>62</v>
      </c>
      <c r="BF116" s="401">
        <v>91</v>
      </c>
      <c r="BG116" s="401">
        <v>123</v>
      </c>
      <c r="BH116" s="401">
        <v>156</v>
      </c>
      <c r="BI116" s="402">
        <v>129</v>
      </c>
      <c r="BJ116" s="401">
        <v>160</v>
      </c>
      <c r="BK116" s="401">
        <v>35</v>
      </c>
      <c r="BL116" s="401">
        <v>54</v>
      </c>
      <c r="BM116" s="402">
        <v>21</v>
      </c>
      <c r="BN116" s="401">
        <v>44</v>
      </c>
      <c r="BO116" s="401">
        <v>68</v>
      </c>
      <c r="BP116" s="401">
        <v>78</v>
      </c>
      <c r="BQ116" s="402">
        <v>20</v>
      </c>
      <c r="BR116" s="401">
        <v>46</v>
      </c>
      <c r="BS116" s="401">
        <v>80</v>
      </c>
      <c r="BT116" s="401">
        <v>73</v>
      </c>
      <c r="BU116" s="402">
        <v>80</v>
      </c>
      <c r="BV116" s="401">
        <v>114</v>
      </c>
      <c r="BW116" s="401">
        <v>150</v>
      </c>
      <c r="BX116" s="401">
        <v>64</v>
      </c>
      <c r="BY116" s="402">
        <v>54</v>
      </c>
      <c r="BZ116" s="401">
        <v>74</v>
      </c>
      <c r="CA116" s="401">
        <v>104</v>
      </c>
      <c r="CB116" s="401">
        <v>114</v>
      </c>
      <c r="CC116" s="402">
        <v>86</v>
      </c>
      <c r="CD116" s="401">
        <v>92</v>
      </c>
      <c r="CE116" s="401">
        <v>131</v>
      </c>
      <c r="CF116" s="401">
        <v>174</v>
      </c>
      <c r="CG116" s="402">
        <v>65</v>
      </c>
      <c r="CH116" s="401">
        <v>80</v>
      </c>
      <c r="CI116" s="401">
        <v>90</v>
      </c>
      <c r="CJ116" s="401">
        <v>109</v>
      </c>
      <c r="CK116" s="402">
        <v>54</v>
      </c>
      <c r="CL116" s="438">
        <v>90</v>
      </c>
      <c r="CM116" s="401">
        <v>134</v>
      </c>
      <c r="CN116" s="401">
        <v>145</v>
      </c>
      <c r="CO116" s="402">
        <v>160</v>
      </c>
      <c r="CP116" s="438">
        <v>207</v>
      </c>
      <c r="CQ116" s="401">
        <v>267</v>
      </c>
      <c r="CR116" s="401">
        <v>349</v>
      </c>
      <c r="CS116" s="413">
        <v>349</v>
      </c>
      <c r="CT116" s="373">
        <v>349</v>
      </c>
      <c r="CU116" s="325">
        <v>349</v>
      </c>
      <c r="CV116" s="325">
        <v>349</v>
      </c>
      <c r="CW116" s="413">
        <v>349</v>
      </c>
      <c r="CX116" s="559"/>
      <c r="CY116" s="559"/>
      <c r="CZ116" s="559"/>
      <c r="DA116" s="560"/>
      <c r="DB116" s="559"/>
      <c r="DC116" s="559"/>
      <c r="DD116" s="559"/>
      <c r="DE116" s="560"/>
      <c r="DF116" s="559"/>
      <c r="DG116" s="559"/>
      <c r="DH116" s="559"/>
      <c r="DI116" s="560"/>
      <c r="DJ116" s="454"/>
      <c r="DK116" s="561"/>
      <c r="DL116" s="559"/>
      <c r="DM116" s="559"/>
      <c r="DN116" s="559"/>
      <c r="DO116" s="559"/>
      <c r="DP116" s="559"/>
      <c r="DQ116" s="559"/>
      <c r="DR116" s="559"/>
      <c r="DS116" s="562">
        <v>1</v>
      </c>
      <c r="DT116" s="401">
        <v>10</v>
      </c>
      <c r="DU116" s="401">
        <v>55</v>
      </c>
      <c r="DV116" s="325">
        <v>62</v>
      </c>
      <c r="DW116" s="325">
        <v>129</v>
      </c>
      <c r="DX116" s="325">
        <v>21</v>
      </c>
      <c r="DY116" s="325">
        <v>20</v>
      </c>
      <c r="DZ116" s="325">
        <v>80</v>
      </c>
      <c r="EA116" s="325">
        <v>54</v>
      </c>
      <c r="EB116" s="325">
        <v>86</v>
      </c>
      <c r="EC116" s="412">
        <v>65</v>
      </c>
      <c r="ED116" s="412">
        <v>54</v>
      </c>
      <c r="EE116" s="412">
        <v>160</v>
      </c>
      <c r="EF116" s="412">
        <v>349</v>
      </c>
      <c r="EG116" s="412">
        <v>349</v>
      </c>
      <c r="EH116" s="412">
        <v>349</v>
      </c>
      <c r="EI116" s="412">
        <v>349</v>
      </c>
      <c r="EJ116" s="412">
        <v>349</v>
      </c>
      <c r="EK116" s="412">
        <v>349</v>
      </c>
      <c r="EL116" s="412">
        <v>349</v>
      </c>
      <c r="EM116" s="412">
        <v>349</v>
      </c>
      <c r="EN116" s="412">
        <v>349</v>
      </c>
      <c r="EO116" s="412">
        <v>349</v>
      </c>
      <c r="EP116" s="389"/>
      <c r="EQ116" s="386"/>
    </row>
    <row r="117" spans="1:147" s="390" customFormat="1" ht="15" customHeight="1" outlineLevel="1">
      <c r="A117" s="385"/>
      <c r="B117"/>
      <c r="C117"/>
      <c r="D117"/>
      <c r="E117"/>
      <c r="F117"/>
      <c r="G117"/>
      <c r="H117" s="386"/>
      <c r="I117" s="370" t="s">
        <v>1543</v>
      </c>
      <c r="J117" s="559"/>
      <c r="K117" s="559"/>
      <c r="L117" s="559"/>
      <c r="M117" s="560"/>
      <c r="N117" s="559"/>
      <c r="O117" s="559"/>
      <c r="P117" s="559"/>
      <c r="Q117" s="560"/>
      <c r="R117" s="559"/>
      <c r="S117" s="559"/>
      <c r="T117" s="559"/>
      <c r="U117" s="560"/>
      <c r="V117" s="559"/>
      <c r="W117" s="559"/>
      <c r="X117" s="559"/>
      <c r="Y117" s="560"/>
      <c r="Z117" s="559"/>
      <c r="AA117" s="559"/>
      <c r="AB117" s="559"/>
      <c r="AC117" s="560"/>
      <c r="AD117" s="559"/>
      <c r="AE117" s="559"/>
      <c r="AF117" s="559"/>
      <c r="AG117" s="560"/>
      <c r="AH117" s="559"/>
      <c r="AI117" s="559"/>
      <c r="AJ117" s="559"/>
      <c r="AK117" s="560"/>
      <c r="AL117" s="559"/>
      <c r="AM117" s="559"/>
      <c r="AN117" s="559"/>
      <c r="AO117" s="560"/>
      <c r="AP117" s="559"/>
      <c r="AQ117" s="559"/>
      <c r="AR117" s="559"/>
      <c r="AS117" s="560"/>
      <c r="AT117" s="559"/>
      <c r="AU117" s="559"/>
      <c r="AV117" s="559"/>
      <c r="AW117" s="560"/>
      <c r="AX117" s="559"/>
      <c r="AY117" s="559"/>
      <c r="AZ117" s="559"/>
      <c r="BA117" s="560"/>
      <c r="BB117" s="401">
        <v>29</v>
      </c>
      <c r="BC117" s="401">
        <v>16</v>
      </c>
      <c r="BD117" s="401">
        <v>13</v>
      </c>
      <c r="BE117" s="402">
        <v>12</v>
      </c>
      <c r="BF117" s="401">
        <v>12</v>
      </c>
      <c r="BG117" s="401">
        <v>12</v>
      </c>
      <c r="BH117" s="401">
        <v>4</v>
      </c>
      <c r="BI117" s="402">
        <v>30</v>
      </c>
      <c r="BJ117" s="401">
        <v>10</v>
      </c>
      <c r="BK117" s="401">
        <v>0</v>
      </c>
      <c r="BL117" s="401">
        <v>0</v>
      </c>
      <c r="BM117" s="402">
        <v>0</v>
      </c>
      <c r="BN117" s="562">
        <v>0</v>
      </c>
      <c r="BO117" s="401">
        <v>0</v>
      </c>
      <c r="BP117" s="401">
        <v>0</v>
      </c>
      <c r="BQ117" s="402">
        <v>18</v>
      </c>
      <c r="BR117" s="401">
        <v>18</v>
      </c>
      <c r="BS117" s="401">
        <v>0</v>
      </c>
      <c r="BT117" s="401">
        <v>0</v>
      </c>
      <c r="BU117" s="402">
        <v>0</v>
      </c>
      <c r="BV117" s="401">
        <v>0</v>
      </c>
      <c r="BW117" s="401">
        <v>0</v>
      </c>
      <c r="BX117" s="401">
        <v>0</v>
      </c>
      <c r="BY117" s="402">
        <v>0</v>
      </c>
      <c r="BZ117" s="401">
        <v>0</v>
      </c>
      <c r="CA117" s="401">
        <v>0</v>
      </c>
      <c r="CB117" s="401">
        <v>0</v>
      </c>
      <c r="CC117" s="402">
        <v>0</v>
      </c>
      <c r="CD117" s="401">
        <v>0</v>
      </c>
      <c r="CE117" s="401">
        <v>0</v>
      </c>
      <c r="CF117" s="401">
        <v>0</v>
      </c>
      <c r="CG117" s="402">
        <v>0</v>
      </c>
      <c r="CH117" s="401">
        <v>0</v>
      </c>
      <c r="CI117" s="401">
        <v>0</v>
      </c>
      <c r="CJ117" s="401">
        <v>0</v>
      </c>
      <c r="CK117" s="402">
        <v>0</v>
      </c>
      <c r="CL117" s="438">
        <v>0</v>
      </c>
      <c r="CM117" s="401">
        <v>0</v>
      </c>
      <c r="CN117" s="401">
        <v>0</v>
      </c>
      <c r="CO117" s="402">
        <v>0</v>
      </c>
      <c r="CP117" s="438">
        <v>0</v>
      </c>
      <c r="CQ117" s="401">
        <v>0</v>
      </c>
      <c r="CR117" s="401">
        <v>0</v>
      </c>
      <c r="CS117" s="413">
        <v>0</v>
      </c>
      <c r="CT117" s="373">
        <v>0</v>
      </c>
      <c r="CU117" s="325">
        <v>0</v>
      </c>
      <c r="CV117" s="325">
        <v>0</v>
      </c>
      <c r="CW117" s="413">
        <v>0</v>
      </c>
      <c r="CX117" s="559"/>
      <c r="CY117" s="559"/>
      <c r="CZ117" s="559"/>
      <c r="DA117" s="560"/>
      <c r="DB117" s="559"/>
      <c r="DC117" s="559"/>
      <c r="DD117" s="559"/>
      <c r="DE117" s="560"/>
      <c r="DF117" s="559"/>
      <c r="DG117" s="559"/>
      <c r="DH117" s="559"/>
      <c r="DI117" s="560"/>
      <c r="DJ117" s="454"/>
      <c r="DK117" s="561"/>
      <c r="DL117" s="559"/>
      <c r="DM117" s="559"/>
      <c r="DN117" s="559"/>
      <c r="DO117" s="559"/>
      <c r="DP117" s="559"/>
      <c r="DQ117" s="559"/>
      <c r="DR117" s="559"/>
      <c r="DS117" s="562">
        <v>5</v>
      </c>
      <c r="DT117" s="401">
        <v>28</v>
      </c>
      <c r="DU117" s="401">
        <v>28</v>
      </c>
      <c r="DV117" s="325">
        <v>12</v>
      </c>
      <c r="DW117" s="325">
        <v>30</v>
      </c>
      <c r="DX117" s="325">
        <v>0</v>
      </c>
      <c r="DY117" s="325">
        <v>18</v>
      </c>
      <c r="DZ117" s="325">
        <v>0</v>
      </c>
      <c r="EA117" s="325">
        <v>0</v>
      </c>
      <c r="EB117" s="325">
        <v>0</v>
      </c>
      <c r="EC117" s="562">
        <v>0</v>
      </c>
      <c r="ED117" s="562">
        <v>0</v>
      </c>
      <c r="EE117" s="562">
        <v>0</v>
      </c>
      <c r="EF117" s="562">
        <v>0</v>
      </c>
      <c r="EG117" s="562">
        <v>0</v>
      </c>
      <c r="EH117" s="562">
        <v>0</v>
      </c>
      <c r="EI117" s="562">
        <v>0</v>
      </c>
      <c r="EJ117" s="562">
        <v>0</v>
      </c>
      <c r="EK117" s="562">
        <v>0</v>
      </c>
      <c r="EL117" s="562">
        <v>0</v>
      </c>
      <c r="EM117" s="562">
        <v>0</v>
      </c>
      <c r="EN117" s="562">
        <v>0</v>
      </c>
      <c r="EO117" s="562">
        <v>0</v>
      </c>
      <c r="EP117" s="389"/>
      <c r="EQ117" s="386"/>
    </row>
    <row r="118" spans="1:147" s="390" customFormat="1" ht="15" customHeight="1" outlineLevel="1">
      <c r="A118" s="385"/>
      <c r="B118"/>
      <c r="C118"/>
      <c r="D118"/>
      <c r="E118"/>
      <c r="F118"/>
      <c r="G118"/>
      <c r="H118" s="386"/>
      <c r="I118" s="370" t="s">
        <v>1549</v>
      </c>
      <c r="J118" s="399"/>
      <c r="K118" s="399"/>
      <c r="L118" s="399"/>
      <c r="M118" s="400"/>
      <c r="N118" s="399"/>
      <c r="O118" s="399"/>
      <c r="P118" s="399"/>
      <c r="Q118" s="400"/>
      <c r="R118" s="399"/>
      <c r="S118" s="399"/>
      <c r="T118" s="399"/>
      <c r="U118" s="400"/>
      <c r="V118" s="399"/>
      <c r="W118" s="399"/>
      <c r="X118" s="399"/>
      <c r="Y118" s="400"/>
      <c r="Z118" s="399"/>
      <c r="AA118" s="399"/>
      <c r="AB118" s="399"/>
      <c r="AC118" s="400"/>
      <c r="AD118" s="399"/>
      <c r="AE118" s="399"/>
      <c r="AF118" s="399"/>
      <c r="AG118" s="400"/>
      <c r="AH118" s="399"/>
      <c r="AI118" s="399"/>
      <c r="AJ118" s="399"/>
      <c r="AK118" s="400"/>
      <c r="AL118" s="399"/>
      <c r="AM118" s="399"/>
      <c r="AN118" s="399"/>
      <c r="AO118" s="400"/>
      <c r="AP118" s="399"/>
      <c r="AQ118" s="399"/>
      <c r="AR118" s="399"/>
      <c r="AS118" s="400"/>
      <c r="AT118" s="399"/>
      <c r="AU118" s="399"/>
      <c r="AV118" s="399"/>
      <c r="AW118" s="400"/>
      <c r="AX118" s="399"/>
      <c r="AY118" s="399"/>
      <c r="AZ118" s="399"/>
      <c r="BA118" s="400"/>
      <c r="BB118" s="401">
        <v>165</v>
      </c>
      <c r="BC118" s="401">
        <v>163</v>
      </c>
      <c r="BD118" s="401">
        <v>167</v>
      </c>
      <c r="BE118" s="402">
        <v>163</v>
      </c>
      <c r="BF118" s="401">
        <v>154</v>
      </c>
      <c r="BG118" s="401">
        <v>149</v>
      </c>
      <c r="BH118" s="401">
        <v>148</v>
      </c>
      <c r="BI118" s="402">
        <v>141</v>
      </c>
      <c r="BJ118" s="401">
        <v>133</v>
      </c>
      <c r="BK118" s="401">
        <v>132</v>
      </c>
      <c r="BL118" s="401">
        <v>139</v>
      </c>
      <c r="BM118" s="402">
        <v>138</v>
      </c>
      <c r="BN118" s="401">
        <v>152</v>
      </c>
      <c r="BO118" s="401">
        <v>162</v>
      </c>
      <c r="BP118" s="401">
        <v>162</v>
      </c>
      <c r="BQ118" s="402">
        <v>157</v>
      </c>
      <c r="BR118" s="401">
        <v>158</v>
      </c>
      <c r="BS118" s="401">
        <v>179</v>
      </c>
      <c r="BT118" s="401">
        <v>200</v>
      </c>
      <c r="BU118" s="402">
        <v>189</v>
      </c>
      <c r="BV118" s="401">
        <v>246</v>
      </c>
      <c r="BW118" s="401">
        <v>260</v>
      </c>
      <c r="BX118" s="401">
        <v>258</v>
      </c>
      <c r="BY118" s="402">
        <v>258</v>
      </c>
      <c r="BZ118" s="401">
        <v>245</v>
      </c>
      <c r="CA118" s="401">
        <v>246</v>
      </c>
      <c r="CB118" s="401">
        <v>254</v>
      </c>
      <c r="CC118" s="402">
        <v>294</v>
      </c>
      <c r="CD118" s="401">
        <v>286</v>
      </c>
      <c r="CE118" s="401">
        <v>281</v>
      </c>
      <c r="CF118" s="401">
        <v>281</v>
      </c>
      <c r="CG118" s="402">
        <v>282</v>
      </c>
      <c r="CH118" s="401">
        <v>264</v>
      </c>
      <c r="CI118" s="401">
        <v>259</v>
      </c>
      <c r="CJ118" s="401">
        <v>249</v>
      </c>
      <c r="CK118" s="402">
        <v>253</v>
      </c>
      <c r="CL118" s="438">
        <v>236</v>
      </c>
      <c r="CM118" s="401">
        <v>222</v>
      </c>
      <c r="CN118" s="401">
        <v>211</v>
      </c>
      <c r="CO118" s="402">
        <v>209</v>
      </c>
      <c r="CP118" s="438">
        <v>192</v>
      </c>
      <c r="CQ118" s="401">
        <v>174</v>
      </c>
      <c r="CR118" s="401">
        <v>171</v>
      </c>
      <c r="CS118" s="413">
        <v>186.60255688504699</v>
      </c>
      <c r="CT118" s="373">
        <v>177.55431341571898</v>
      </c>
      <c r="CU118" s="325">
        <v>163.59048508741722</v>
      </c>
      <c r="CV118" s="325">
        <v>174.15893206082038</v>
      </c>
      <c r="CW118" s="413">
        <v>191.96413326337043</v>
      </c>
      <c r="CX118" s="409"/>
      <c r="CY118" s="409"/>
      <c r="CZ118" s="409"/>
      <c r="DA118" s="410"/>
      <c r="DB118" s="409"/>
      <c r="DC118" s="409"/>
      <c r="DD118" s="409"/>
      <c r="DE118" s="410"/>
      <c r="DF118" s="409"/>
      <c r="DG118" s="409"/>
      <c r="DH118" s="409"/>
      <c r="DI118" s="410"/>
      <c r="DJ118" s="454"/>
      <c r="DK118" s="411"/>
      <c r="DL118" s="399"/>
      <c r="DM118" s="399"/>
      <c r="DN118" s="399"/>
      <c r="DO118" s="399"/>
      <c r="DP118" s="399"/>
      <c r="DQ118" s="399"/>
      <c r="DR118" s="399"/>
      <c r="DS118" s="401">
        <v>149</v>
      </c>
      <c r="DT118" s="401">
        <v>138</v>
      </c>
      <c r="DU118" s="401">
        <v>169</v>
      </c>
      <c r="DV118" s="325">
        <v>163</v>
      </c>
      <c r="DW118" s="325">
        <v>141</v>
      </c>
      <c r="DX118" s="325">
        <v>138</v>
      </c>
      <c r="DY118" s="325">
        <v>157</v>
      </c>
      <c r="DZ118" s="325">
        <v>189</v>
      </c>
      <c r="EA118" s="325">
        <v>258</v>
      </c>
      <c r="EB118" s="325">
        <v>294</v>
      </c>
      <c r="EC118" s="412">
        <v>282</v>
      </c>
      <c r="ED118" s="412">
        <v>253</v>
      </c>
      <c r="EE118" s="412">
        <v>209</v>
      </c>
      <c r="EF118" s="412">
        <v>186.60255688504699</v>
      </c>
      <c r="EG118" s="412">
        <v>191.96413326337043</v>
      </c>
      <c r="EH118" s="412">
        <v>192.99953877637299</v>
      </c>
      <c r="EI118" s="412">
        <v>193.97459302386224</v>
      </c>
      <c r="EJ118" s="412">
        <v>194.90992053223709</v>
      </c>
      <c r="EK118" s="412">
        <v>195.90688534099252</v>
      </c>
      <c r="EL118" s="412">
        <v>196.86852433530225</v>
      </c>
      <c r="EM118" s="412">
        <v>197.83662956102557</v>
      </c>
      <c r="EN118" s="412">
        <v>198.79946868732077</v>
      </c>
      <c r="EO118" s="412">
        <v>199.83595370216247</v>
      </c>
      <c r="EP118" s="389"/>
      <c r="EQ118" s="386"/>
    </row>
    <row r="119" spans="1:147" s="390" customFormat="1" ht="15" customHeight="1" outlineLevel="1">
      <c r="A119" s="385"/>
      <c r="B119"/>
      <c r="C119"/>
      <c r="D119"/>
      <c r="E119"/>
      <c r="F119"/>
      <c r="G119"/>
      <c r="H119" s="386"/>
      <c r="I119" s="370" t="s">
        <v>1550</v>
      </c>
      <c r="J119" s="399"/>
      <c r="K119" s="399"/>
      <c r="L119" s="399"/>
      <c r="M119" s="400"/>
      <c r="N119" s="399"/>
      <c r="O119" s="399"/>
      <c r="P119" s="399"/>
      <c r="Q119" s="400"/>
      <c r="R119" s="399"/>
      <c r="S119" s="399"/>
      <c r="T119" s="399"/>
      <c r="U119" s="400"/>
      <c r="V119" s="399"/>
      <c r="W119" s="399"/>
      <c r="X119" s="399"/>
      <c r="Y119" s="400"/>
      <c r="Z119" s="399"/>
      <c r="AA119" s="399"/>
      <c r="AB119" s="399"/>
      <c r="AC119" s="400"/>
      <c r="AD119" s="399"/>
      <c r="AE119" s="399"/>
      <c r="AF119" s="399"/>
      <c r="AG119" s="400"/>
      <c r="AH119" s="399"/>
      <c r="AI119" s="399"/>
      <c r="AJ119" s="399"/>
      <c r="AK119" s="400"/>
      <c r="AL119" s="399"/>
      <c r="AM119" s="399"/>
      <c r="AN119" s="399"/>
      <c r="AO119" s="400"/>
      <c r="AP119" s="399"/>
      <c r="AQ119" s="399"/>
      <c r="AR119" s="399"/>
      <c r="AS119" s="400"/>
      <c r="AT119" s="399"/>
      <c r="AU119" s="399"/>
      <c r="AV119" s="399"/>
      <c r="AW119" s="400"/>
      <c r="AX119" s="399"/>
      <c r="AY119" s="399"/>
      <c r="AZ119" s="399"/>
      <c r="BA119" s="400"/>
      <c r="BB119" s="401">
        <v>25</v>
      </c>
      <c r="BC119" s="401">
        <v>17</v>
      </c>
      <c r="BD119" s="401">
        <v>15</v>
      </c>
      <c r="BE119" s="402">
        <v>12</v>
      </c>
      <c r="BF119" s="401">
        <v>15</v>
      </c>
      <c r="BG119" s="401">
        <v>12</v>
      </c>
      <c r="BH119" s="401">
        <v>12</v>
      </c>
      <c r="BI119" s="402">
        <v>11</v>
      </c>
      <c r="BJ119" s="401">
        <v>10</v>
      </c>
      <c r="BK119" s="401">
        <v>10</v>
      </c>
      <c r="BL119" s="401">
        <v>18</v>
      </c>
      <c r="BM119" s="402">
        <v>35</v>
      </c>
      <c r="BN119" s="401">
        <v>66</v>
      </c>
      <c r="BO119" s="401">
        <v>86</v>
      </c>
      <c r="BP119" s="401">
        <v>90</v>
      </c>
      <c r="BQ119" s="402">
        <v>85</v>
      </c>
      <c r="BR119" s="401">
        <v>138</v>
      </c>
      <c r="BS119" s="401">
        <v>153</v>
      </c>
      <c r="BT119" s="401">
        <v>171</v>
      </c>
      <c r="BU119" s="402">
        <v>441</v>
      </c>
      <c r="BV119" s="401">
        <v>678</v>
      </c>
      <c r="BW119" s="401">
        <v>725</v>
      </c>
      <c r="BX119" s="401">
        <v>867</v>
      </c>
      <c r="BY119" s="402">
        <v>684</v>
      </c>
      <c r="BZ119" s="401">
        <v>810</v>
      </c>
      <c r="CA119" s="401">
        <v>864</v>
      </c>
      <c r="CB119" s="401">
        <v>908</v>
      </c>
      <c r="CC119" s="402">
        <v>948</v>
      </c>
      <c r="CD119" s="401">
        <v>400</v>
      </c>
      <c r="CE119" s="401">
        <v>739</v>
      </c>
      <c r="CF119" s="401">
        <v>697</v>
      </c>
      <c r="CG119" s="402">
        <v>885</v>
      </c>
      <c r="CH119" s="401">
        <v>1124</v>
      </c>
      <c r="CI119" s="401">
        <v>1087</v>
      </c>
      <c r="CJ119" s="401">
        <v>1088</v>
      </c>
      <c r="CK119" s="402">
        <v>1951</v>
      </c>
      <c r="CL119" s="438">
        <v>1898</v>
      </c>
      <c r="CM119" s="401">
        <v>1898</v>
      </c>
      <c r="CN119" s="401">
        <v>1986</v>
      </c>
      <c r="CO119" s="402">
        <v>1959</v>
      </c>
      <c r="CP119" s="438">
        <v>1893</v>
      </c>
      <c r="CQ119" s="401">
        <v>2030</v>
      </c>
      <c r="CR119" s="401">
        <v>2032</v>
      </c>
      <c r="CS119" s="413">
        <v>2032</v>
      </c>
      <c r="CT119" s="373">
        <v>2032</v>
      </c>
      <c r="CU119" s="325">
        <v>2032</v>
      </c>
      <c r="CV119" s="325">
        <v>2032</v>
      </c>
      <c r="CW119" s="413">
        <v>2032</v>
      </c>
      <c r="CX119" s="409"/>
      <c r="CY119" s="409"/>
      <c r="CZ119" s="409"/>
      <c r="DA119" s="410"/>
      <c r="DB119" s="409"/>
      <c r="DC119" s="409"/>
      <c r="DD119" s="409"/>
      <c r="DE119" s="410"/>
      <c r="DF119" s="409"/>
      <c r="DG119" s="409"/>
      <c r="DH119" s="409"/>
      <c r="DI119" s="410"/>
      <c r="DJ119" s="454"/>
      <c r="DK119" s="411"/>
      <c r="DL119" s="399"/>
      <c r="DM119" s="399"/>
      <c r="DN119" s="399"/>
      <c r="DO119" s="399"/>
      <c r="DP119" s="399"/>
      <c r="DQ119" s="399"/>
      <c r="DR119" s="399"/>
      <c r="DS119" s="401">
        <v>115</v>
      </c>
      <c r="DT119" s="401">
        <v>9</v>
      </c>
      <c r="DU119" s="401">
        <v>21</v>
      </c>
      <c r="DV119" s="325">
        <v>12</v>
      </c>
      <c r="DW119" s="325">
        <v>11</v>
      </c>
      <c r="DX119" s="325">
        <v>35</v>
      </c>
      <c r="DY119" s="325">
        <v>85</v>
      </c>
      <c r="DZ119" s="325">
        <v>441</v>
      </c>
      <c r="EA119" s="325">
        <v>684</v>
      </c>
      <c r="EB119" s="325">
        <v>948</v>
      </c>
      <c r="EC119" s="412">
        <v>885</v>
      </c>
      <c r="ED119" s="412">
        <v>1951</v>
      </c>
      <c r="EE119" s="412">
        <v>1959</v>
      </c>
      <c r="EF119" s="412">
        <v>2032</v>
      </c>
      <c r="EG119" s="412">
        <v>2032</v>
      </c>
      <c r="EH119" s="412">
        <v>2369.438766280769</v>
      </c>
      <c r="EI119" s="412">
        <v>2231.3299516128836</v>
      </c>
      <c r="EJ119" s="412">
        <v>2140.4186376075045</v>
      </c>
      <c r="EK119" s="412">
        <v>2281.4704353201237</v>
      </c>
      <c r="EL119" s="412">
        <v>2200.6302686928234</v>
      </c>
      <c r="EM119" s="412">
        <v>2215.4276975171683</v>
      </c>
      <c r="EN119" s="412">
        <v>2203.3766701897866</v>
      </c>
      <c r="EO119" s="412">
        <v>2371.9091157948451</v>
      </c>
      <c r="EP119" s="389"/>
      <c r="EQ119" s="386"/>
    </row>
    <row r="120" spans="1:147" s="390" customFormat="1" ht="15" customHeight="1" outlineLevel="1">
      <c r="A120" s="385"/>
      <c r="B120"/>
      <c r="C120"/>
      <c r="D120"/>
      <c r="E120"/>
      <c r="F120"/>
      <c r="G120"/>
      <c r="H120" s="386"/>
      <c r="I120" s="370" t="s">
        <v>1551</v>
      </c>
      <c r="J120" s="399"/>
      <c r="K120" s="399"/>
      <c r="L120" s="399"/>
      <c r="M120" s="400"/>
      <c r="N120" s="399"/>
      <c r="O120" s="399"/>
      <c r="P120" s="399"/>
      <c r="Q120" s="400"/>
      <c r="R120" s="399"/>
      <c r="S120" s="399"/>
      <c r="T120" s="399"/>
      <c r="U120" s="400"/>
      <c r="V120" s="399"/>
      <c r="W120" s="399"/>
      <c r="X120" s="399"/>
      <c r="Y120" s="400"/>
      <c r="Z120" s="399"/>
      <c r="AA120" s="399"/>
      <c r="AB120" s="399"/>
      <c r="AC120" s="400"/>
      <c r="AD120" s="399"/>
      <c r="AE120" s="399"/>
      <c r="AF120" s="399"/>
      <c r="AG120" s="400"/>
      <c r="AH120" s="399"/>
      <c r="AI120" s="399"/>
      <c r="AJ120" s="399"/>
      <c r="AK120" s="400"/>
      <c r="AL120" s="399"/>
      <c r="AM120" s="399"/>
      <c r="AN120" s="399"/>
      <c r="AO120" s="400"/>
      <c r="AP120" s="399"/>
      <c r="AQ120" s="399"/>
      <c r="AR120" s="399"/>
      <c r="AS120" s="400"/>
      <c r="AT120" s="399"/>
      <c r="AU120" s="399"/>
      <c r="AV120" s="399"/>
      <c r="AW120" s="400"/>
      <c r="AX120" s="399"/>
      <c r="AY120" s="399"/>
      <c r="AZ120" s="399"/>
      <c r="BA120" s="400"/>
      <c r="BB120" s="401">
        <v>152</v>
      </c>
      <c r="BC120" s="401">
        <v>144</v>
      </c>
      <c r="BD120" s="401">
        <v>138</v>
      </c>
      <c r="BE120" s="402">
        <v>88</v>
      </c>
      <c r="BF120" s="401">
        <v>85</v>
      </c>
      <c r="BG120" s="401">
        <v>83</v>
      </c>
      <c r="BH120" s="401">
        <v>80</v>
      </c>
      <c r="BI120" s="402">
        <v>68</v>
      </c>
      <c r="BJ120" s="401">
        <v>64</v>
      </c>
      <c r="BK120" s="401">
        <v>61</v>
      </c>
      <c r="BL120" s="401">
        <v>58</v>
      </c>
      <c r="BM120" s="402">
        <v>43</v>
      </c>
      <c r="BN120" s="401">
        <v>41</v>
      </c>
      <c r="BO120" s="401">
        <v>39</v>
      </c>
      <c r="BP120" s="401">
        <v>38</v>
      </c>
      <c r="BQ120" s="402">
        <v>29</v>
      </c>
      <c r="BR120" s="401">
        <v>28</v>
      </c>
      <c r="BS120" s="401">
        <v>26</v>
      </c>
      <c r="BT120" s="401">
        <v>24</v>
      </c>
      <c r="BU120" s="402">
        <v>49</v>
      </c>
      <c r="BV120" s="401">
        <v>2484</v>
      </c>
      <c r="BW120" s="401">
        <v>2281</v>
      </c>
      <c r="BX120" s="401">
        <v>2070</v>
      </c>
      <c r="BY120" s="402">
        <v>1858</v>
      </c>
      <c r="BZ120" s="401">
        <v>1673</v>
      </c>
      <c r="CA120" s="401">
        <v>1479</v>
      </c>
      <c r="CB120" s="401">
        <v>1292</v>
      </c>
      <c r="CC120" s="402">
        <v>1106</v>
      </c>
      <c r="CD120" s="401">
        <v>1445</v>
      </c>
      <c r="CE120" s="401">
        <v>910</v>
      </c>
      <c r="CF120" s="401">
        <v>826</v>
      </c>
      <c r="CG120" s="402">
        <v>735</v>
      </c>
      <c r="CH120" s="401">
        <v>680</v>
      </c>
      <c r="CI120" s="401">
        <v>633</v>
      </c>
      <c r="CJ120" s="401">
        <v>583</v>
      </c>
      <c r="CK120" s="402">
        <v>531</v>
      </c>
      <c r="CL120" s="438">
        <v>498</v>
      </c>
      <c r="CM120" s="401">
        <v>484</v>
      </c>
      <c r="CN120" s="401">
        <v>469</v>
      </c>
      <c r="CO120" s="402">
        <v>451</v>
      </c>
      <c r="CP120" s="438">
        <v>446</v>
      </c>
      <c r="CQ120" s="401">
        <v>449</v>
      </c>
      <c r="CR120" s="401">
        <v>449</v>
      </c>
      <c r="CS120" s="413">
        <v>447</v>
      </c>
      <c r="CT120" s="373">
        <v>445</v>
      </c>
      <c r="CU120" s="325">
        <v>443</v>
      </c>
      <c r="CV120" s="325">
        <v>441</v>
      </c>
      <c r="CW120" s="413">
        <v>439</v>
      </c>
      <c r="CX120" s="409"/>
      <c r="CY120" s="409"/>
      <c r="CZ120" s="409"/>
      <c r="DA120" s="410"/>
      <c r="DB120" s="409"/>
      <c r="DC120" s="409"/>
      <c r="DD120" s="409"/>
      <c r="DE120" s="410"/>
      <c r="DF120" s="409"/>
      <c r="DG120" s="409"/>
      <c r="DH120" s="409"/>
      <c r="DI120" s="410"/>
      <c r="DJ120" s="454"/>
      <c r="DK120" s="411"/>
      <c r="DL120" s="399"/>
      <c r="DM120" s="399"/>
      <c r="DN120" s="399"/>
      <c r="DO120" s="399"/>
      <c r="DP120" s="399"/>
      <c r="DQ120" s="399"/>
      <c r="DR120" s="399"/>
      <c r="DS120" s="401">
        <v>1283</v>
      </c>
      <c r="DT120" s="401">
        <v>618</v>
      </c>
      <c r="DU120" s="401">
        <v>160</v>
      </c>
      <c r="DV120" s="325">
        <v>88</v>
      </c>
      <c r="DW120" s="325">
        <v>68</v>
      </c>
      <c r="DX120" s="325">
        <v>43</v>
      </c>
      <c r="DY120" s="325">
        <v>29</v>
      </c>
      <c r="DZ120" s="325">
        <v>49</v>
      </c>
      <c r="EA120" s="325">
        <v>1858</v>
      </c>
      <c r="EB120" s="325">
        <v>1106</v>
      </c>
      <c r="EC120" s="412">
        <v>735</v>
      </c>
      <c r="ED120" s="412">
        <v>531</v>
      </c>
      <c r="EE120" s="412">
        <v>451</v>
      </c>
      <c r="EF120" s="412">
        <v>447</v>
      </c>
      <c r="EG120" s="412">
        <v>439</v>
      </c>
      <c r="EH120" s="412">
        <v>439</v>
      </c>
      <c r="EI120" s="412">
        <v>439</v>
      </c>
      <c r="EJ120" s="412">
        <v>439</v>
      </c>
      <c r="EK120" s="412">
        <v>439</v>
      </c>
      <c r="EL120" s="412">
        <v>439</v>
      </c>
      <c r="EM120" s="412">
        <v>439</v>
      </c>
      <c r="EN120" s="412">
        <v>439</v>
      </c>
      <c r="EO120" s="412">
        <v>439</v>
      </c>
      <c r="EP120" s="389"/>
      <c r="EQ120" s="386"/>
    </row>
    <row r="121" spans="1:147" s="390" customFormat="1" ht="15" customHeight="1" outlineLevel="1">
      <c r="A121" s="385"/>
      <c r="B121"/>
      <c r="C121"/>
      <c r="D121"/>
      <c r="E121"/>
      <c r="F121"/>
      <c r="G121"/>
      <c r="H121" s="386"/>
      <c r="I121" s="370" t="s">
        <v>1552</v>
      </c>
      <c r="J121" s="399"/>
      <c r="K121" s="399"/>
      <c r="L121" s="399"/>
      <c r="M121" s="400"/>
      <c r="N121" s="399"/>
      <c r="O121" s="399"/>
      <c r="P121" s="399"/>
      <c r="Q121" s="400"/>
      <c r="R121" s="399"/>
      <c r="S121" s="399"/>
      <c r="T121" s="399"/>
      <c r="U121" s="400"/>
      <c r="V121" s="399"/>
      <c r="W121" s="399"/>
      <c r="X121" s="399"/>
      <c r="Y121" s="400"/>
      <c r="Z121" s="399"/>
      <c r="AA121" s="399"/>
      <c r="AB121" s="399"/>
      <c r="AC121" s="400"/>
      <c r="AD121" s="399"/>
      <c r="AE121" s="399"/>
      <c r="AF121" s="399"/>
      <c r="AG121" s="400"/>
      <c r="AH121" s="399"/>
      <c r="AI121" s="399"/>
      <c r="AJ121" s="399"/>
      <c r="AK121" s="400"/>
      <c r="AL121" s="399"/>
      <c r="AM121" s="399"/>
      <c r="AN121" s="399"/>
      <c r="AO121" s="400"/>
      <c r="AP121" s="399"/>
      <c r="AQ121" s="399"/>
      <c r="AR121" s="399"/>
      <c r="AS121" s="400"/>
      <c r="AT121" s="399"/>
      <c r="AU121" s="399"/>
      <c r="AV121" s="399"/>
      <c r="AW121" s="400"/>
      <c r="AX121" s="399"/>
      <c r="AY121" s="399"/>
      <c r="AZ121" s="399"/>
      <c r="BA121" s="400"/>
      <c r="BB121" s="401">
        <v>433</v>
      </c>
      <c r="BC121" s="401">
        <v>433</v>
      </c>
      <c r="BD121" s="401">
        <v>433</v>
      </c>
      <c r="BE121" s="402">
        <v>433</v>
      </c>
      <c r="BF121" s="401">
        <v>433</v>
      </c>
      <c r="BG121" s="401">
        <v>433</v>
      </c>
      <c r="BH121" s="401">
        <v>433</v>
      </c>
      <c r="BI121" s="402">
        <v>433</v>
      </c>
      <c r="BJ121" s="401">
        <v>433</v>
      </c>
      <c r="BK121" s="401">
        <v>433</v>
      </c>
      <c r="BL121" s="401">
        <v>433</v>
      </c>
      <c r="BM121" s="402">
        <v>433</v>
      </c>
      <c r="BN121" s="401">
        <v>433</v>
      </c>
      <c r="BO121" s="401">
        <v>433</v>
      </c>
      <c r="BP121" s="401">
        <v>433</v>
      </c>
      <c r="BQ121" s="402">
        <v>433</v>
      </c>
      <c r="BR121" s="401">
        <v>433</v>
      </c>
      <c r="BS121" s="401">
        <v>433</v>
      </c>
      <c r="BT121" s="401">
        <v>433</v>
      </c>
      <c r="BU121" s="402">
        <v>433</v>
      </c>
      <c r="BV121" s="401">
        <v>0</v>
      </c>
      <c r="BW121" s="401">
        <v>0</v>
      </c>
      <c r="BX121" s="401">
        <v>0</v>
      </c>
      <c r="BY121" s="402">
        <v>0</v>
      </c>
      <c r="BZ121" s="401">
        <v>0</v>
      </c>
      <c r="CA121" s="401">
        <v>0</v>
      </c>
      <c r="CB121" s="401">
        <v>0</v>
      </c>
      <c r="CC121" s="402">
        <v>0</v>
      </c>
      <c r="CD121" s="401">
        <v>0</v>
      </c>
      <c r="CE121" s="401">
        <v>0</v>
      </c>
      <c r="CF121" s="401">
        <v>0</v>
      </c>
      <c r="CG121" s="402">
        <v>0</v>
      </c>
      <c r="CH121" s="401">
        <v>0</v>
      </c>
      <c r="CI121" s="401">
        <v>0</v>
      </c>
      <c r="CJ121" s="401">
        <v>0</v>
      </c>
      <c r="CK121" s="402">
        <v>0</v>
      </c>
      <c r="CL121" s="438">
        <v>0</v>
      </c>
      <c r="CM121" s="401">
        <v>0</v>
      </c>
      <c r="CN121" s="401">
        <v>0</v>
      </c>
      <c r="CO121" s="402">
        <v>0</v>
      </c>
      <c r="CP121" s="438">
        <v>0</v>
      </c>
      <c r="CQ121" s="401">
        <v>0</v>
      </c>
      <c r="CR121" s="401">
        <v>0</v>
      </c>
      <c r="CS121" s="413">
        <v>0</v>
      </c>
      <c r="CT121" s="373">
        <v>0</v>
      </c>
      <c r="CU121" s="325">
        <v>0</v>
      </c>
      <c r="CV121" s="325">
        <v>0</v>
      </c>
      <c r="CW121" s="413">
        <v>0</v>
      </c>
      <c r="CX121" s="409"/>
      <c r="CY121" s="409"/>
      <c r="CZ121" s="409"/>
      <c r="DA121" s="410"/>
      <c r="DB121" s="409"/>
      <c r="DC121" s="409"/>
      <c r="DD121" s="409"/>
      <c r="DE121" s="410"/>
      <c r="DF121" s="409"/>
      <c r="DG121" s="409"/>
      <c r="DH121" s="409"/>
      <c r="DI121" s="410"/>
      <c r="DJ121" s="454"/>
      <c r="DK121" s="411"/>
      <c r="DL121" s="399"/>
      <c r="DM121" s="399"/>
      <c r="DN121" s="399"/>
      <c r="DO121" s="399"/>
      <c r="DP121" s="399"/>
      <c r="DQ121" s="399"/>
      <c r="DR121" s="399"/>
      <c r="DS121" s="401">
        <v>433</v>
      </c>
      <c r="DT121" s="401">
        <v>433</v>
      </c>
      <c r="DU121" s="401">
        <v>433</v>
      </c>
      <c r="DV121" s="325">
        <v>433</v>
      </c>
      <c r="DW121" s="325">
        <v>433</v>
      </c>
      <c r="DX121" s="325">
        <v>433</v>
      </c>
      <c r="DY121" s="325">
        <v>433</v>
      </c>
      <c r="DZ121" s="325">
        <v>433</v>
      </c>
      <c r="EA121" s="325">
        <v>0</v>
      </c>
      <c r="EB121" s="325">
        <v>0</v>
      </c>
      <c r="EC121" s="412">
        <v>0</v>
      </c>
      <c r="ED121" s="412">
        <v>0</v>
      </c>
      <c r="EE121" s="412">
        <v>0</v>
      </c>
      <c r="EF121" s="412">
        <v>0</v>
      </c>
      <c r="EG121" s="412">
        <v>0</v>
      </c>
      <c r="EH121" s="412">
        <v>0</v>
      </c>
      <c r="EI121" s="412">
        <v>0</v>
      </c>
      <c r="EJ121" s="412">
        <v>0</v>
      </c>
      <c r="EK121" s="412">
        <v>0</v>
      </c>
      <c r="EL121" s="412">
        <v>0</v>
      </c>
      <c r="EM121" s="412">
        <v>0</v>
      </c>
      <c r="EN121" s="412">
        <v>0</v>
      </c>
      <c r="EO121" s="412">
        <v>0</v>
      </c>
      <c r="EP121" s="389"/>
      <c r="EQ121" s="386"/>
    </row>
    <row r="122" spans="1:147" s="390" customFormat="1" ht="15" customHeight="1" outlineLevel="1">
      <c r="A122" s="385"/>
      <c r="B122"/>
      <c r="C122"/>
      <c r="D122"/>
      <c r="E122"/>
      <c r="F122"/>
      <c r="G122"/>
      <c r="H122" s="386"/>
      <c r="I122" s="370" t="s">
        <v>179</v>
      </c>
      <c r="J122" s="399"/>
      <c r="K122" s="399"/>
      <c r="L122" s="399"/>
      <c r="M122" s="400"/>
      <c r="N122" s="399"/>
      <c r="O122" s="399"/>
      <c r="P122" s="399"/>
      <c r="Q122" s="400"/>
      <c r="R122" s="399"/>
      <c r="S122" s="399"/>
      <c r="T122" s="399"/>
      <c r="U122" s="400"/>
      <c r="V122" s="399"/>
      <c r="W122" s="399"/>
      <c r="X122" s="399"/>
      <c r="Y122" s="400"/>
      <c r="Z122" s="399"/>
      <c r="AA122" s="399"/>
      <c r="AB122" s="399"/>
      <c r="AC122" s="400"/>
      <c r="AD122" s="399"/>
      <c r="AE122" s="399"/>
      <c r="AF122" s="399"/>
      <c r="AG122" s="400"/>
      <c r="AH122" s="399"/>
      <c r="AI122" s="399"/>
      <c r="AJ122" s="399"/>
      <c r="AK122" s="400"/>
      <c r="AL122" s="399"/>
      <c r="AM122" s="399"/>
      <c r="AN122" s="399"/>
      <c r="AO122" s="400"/>
      <c r="AP122" s="399"/>
      <c r="AQ122" s="399"/>
      <c r="AR122" s="399"/>
      <c r="AS122" s="400"/>
      <c r="AT122" s="399"/>
      <c r="AU122" s="399"/>
      <c r="AV122" s="399"/>
      <c r="AW122" s="400"/>
      <c r="AX122" s="399"/>
      <c r="AY122" s="399"/>
      <c r="AZ122" s="399"/>
      <c r="BA122" s="400"/>
      <c r="BB122" s="401">
        <v>7134</v>
      </c>
      <c r="BC122" s="401">
        <v>7130</v>
      </c>
      <c r="BD122" s="401">
        <v>7126</v>
      </c>
      <c r="BE122" s="402">
        <v>7111</v>
      </c>
      <c r="BF122" s="401">
        <v>7109</v>
      </c>
      <c r="BG122" s="401">
        <v>7108</v>
      </c>
      <c r="BH122" s="401">
        <v>7107</v>
      </c>
      <c r="BI122" s="402">
        <v>7106</v>
      </c>
      <c r="BJ122" s="401">
        <v>7103</v>
      </c>
      <c r="BK122" s="401">
        <v>7102</v>
      </c>
      <c r="BL122" s="401">
        <v>7098</v>
      </c>
      <c r="BM122" s="402">
        <v>7092</v>
      </c>
      <c r="BN122" s="401">
        <v>7089</v>
      </c>
      <c r="BO122" s="401">
        <v>7089</v>
      </c>
      <c r="BP122" s="401">
        <v>7088</v>
      </c>
      <c r="BQ122" s="402">
        <v>7086</v>
      </c>
      <c r="BR122" s="401">
        <v>7084</v>
      </c>
      <c r="BS122" s="401">
        <v>7084</v>
      </c>
      <c r="BT122" s="401">
        <v>7083</v>
      </c>
      <c r="BU122" s="402">
        <v>7095</v>
      </c>
      <c r="BV122" s="401">
        <v>9772</v>
      </c>
      <c r="BW122" s="401">
        <v>9771</v>
      </c>
      <c r="BX122" s="401">
        <v>9787</v>
      </c>
      <c r="BY122" s="402">
        <v>9768</v>
      </c>
      <c r="BZ122" s="401">
        <v>9763</v>
      </c>
      <c r="CA122" s="401">
        <v>9763</v>
      </c>
      <c r="CB122" s="401">
        <v>9764</v>
      </c>
      <c r="CC122" s="402">
        <v>9763</v>
      </c>
      <c r="CD122" s="401">
        <v>9764</v>
      </c>
      <c r="CE122" s="401">
        <v>9763</v>
      </c>
      <c r="CF122" s="401">
        <v>9763</v>
      </c>
      <c r="CG122" s="402">
        <v>9762</v>
      </c>
      <c r="CH122" s="401">
        <v>9763</v>
      </c>
      <c r="CI122" s="401">
        <v>9763</v>
      </c>
      <c r="CJ122" s="401">
        <v>9764</v>
      </c>
      <c r="CK122" s="402">
        <v>9764</v>
      </c>
      <c r="CL122" s="438">
        <v>9763</v>
      </c>
      <c r="CM122" s="401">
        <v>9763</v>
      </c>
      <c r="CN122" s="401">
        <v>9764</v>
      </c>
      <c r="CO122" s="402">
        <v>9765</v>
      </c>
      <c r="CP122" s="438">
        <v>9765</v>
      </c>
      <c r="CQ122" s="401">
        <v>9765</v>
      </c>
      <c r="CR122" s="401">
        <v>9765</v>
      </c>
      <c r="CS122" s="413">
        <v>9765</v>
      </c>
      <c r="CT122" s="373">
        <v>9765</v>
      </c>
      <c r="CU122" s="325">
        <v>9765</v>
      </c>
      <c r="CV122" s="325">
        <v>9765</v>
      </c>
      <c r="CW122" s="413">
        <v>9765</v>
      </c>
      <c r="CX122" s="409"/>
      <c r="CY122" s="409"/>
      <c r="CZ122" s="409"/>
      <c r="DA122" s="410"/>
      <c r="DB122" s="409"/>
      <c r="DC122" s="409"/>
      <c r="DD122" s="409"/>
      <c r="DE122" s="410"/>
      <c r="DF122" s="409"/>
      <c r="DG122" s="409"/>
      <c r="DH122" s="409"/>
      <c r="DI122" s="410"/>
      <c r="DJ122" s="454"/>
      <c r="DK122" s="411"/>
      <c r="DL122" s="399"/>
      <c r="DM122" s="399"/>
      <c r="DN122" s="399"/>
      <c r="DO122" s="399"/>
      <c r="DP122" s="399"/>
      <c r="DQ122" s="399"/>
      <c r="DR122" s="399"/>
      <c r="DS122" s="401">
        <v>7227</v>
      </c>
      <c r="DT122" s="401">
        <v>7154</v>
      </c>
      <c r="DU122" s="401">
        <v>7132</v>
      </c>
      <c r="DV122" s="325">
        <v>7111</v>
      </c>
      <c r="DW122" s="325">
        <v>7106</v>
      </c>
      <c r="DX122" s="325">
        <v>7092</v>
      </c>
      <c r="DY122" s="325">
        <v>7086</v>
      </c>
      <c r="DZ122" s="325">
        <v>7095</v>
      </c>
      <c r="EA122" s="325">
        <v>9768</v>
      </c>
      <c r="EB122" s="325">
        <v>9763</v>
      </c>
      <c r="EC122" s="412">
        <v>9762</v>
      </c>
      <c r="ED122" s="412">
        <v>9764</v>
      </c>
      <c r="EE122" s="412">
        <v>9765</v>
      </c>
      <c r="EF122" s="412">
        <v>9765</v>
      </c>
      <c r="EG122" s="412">
        <v>9765</v>
      </c>
      <c r="EH122" s="412">
        <v>9765</v>
      </c>
      <c r="EI122" s="412">
        <v>9765</v>
      </c>
      <c r="EJ122" s="412">
        <v>9765</v>
      </c>
      <c r="EK122" s="412">
        <v>9765</v>
      </c>
      <c r="EL122" s="412">
        <v>9765</v>
      </c>
      <c r="EM122" s="412">
        <v>9765</v>
      </c>
      <c r="EN122" s="412">
        <v>9765</v>
      </c>
      <c r="EO122" s="412">
        <v>9765</v>
      </c>
      <c r="EP122" s="389"/>
      <c r="EQ122" s="386"/>
    </row>
    <row r="123" spans="1:147" s="390" customFormat="1" ht="15" customHeight="1" outlineLevel="1">
      <c r="A123" s="385"/>
      <c r="B123"/>
      <c r="C123"/>
      <c r="D123"/>
      <c r="E123"/>
      <c r="F123"/>
      <c r="G123"/>
      <c r="H123" s="386"/>
      <c r="I123" s="517" t="s">
        <v>967</v>
      </c>
      <c r="J123" s="552"/>
      <c r="K123" s="552"/>
      <c r="L123" s="552"/>
      <c r="M123" s="553"/>
      <c r="N123" s="552"/>
      <c r="O123" s="552"/>
      <c r="P123" s="552"/>
      <c r="Q123" s="553"/>
      <c r="R123" s="552"/>
      <c r="S123" s="552"/>
      <c r="T123" s="552"/>
      <c r="U123" s="553"/>
      <c r="V123" s="552"/>
      <c r="W123" s="552"/>
      <c r="X123" s="552"/>
      <c r="Y123" s="553"/>
      <c r="Z123" s="552"/>
      <c r="AA123" s="552"/>
      <c r="AB123" s="552"/>
      <c r="AC123" s="553"/>
      <c r="AD123" s="552"/>
      <c r="AE123" s="552"/>
      <c r="AF123" s="552"/>
      <c r="AG123" s="553"/>
      <c r="AH123" s="552"/>
      <c r="AI123" s="552"/>
      <c r="AJ123" s="552"/>
      <c r="AK123" s="553"/>
      <c r="AL123" s="552"/>
      <c r="AM123" s="552"/>
      <c r="AN123" s="552"/>
      <c r="AO123" s="553"/>
      <c r="AP123" s="552"/>
      <c r="AQ123" s="552"/>
      <c r="AR123" s="552"/>
      <c r="AS123" s="553"/>
      <c r="AT123" s="552"/>
      <c r="AU123" s="552"/>
      <c r="AV123" s="552"/>
      <c r="AW123" s="553"/>
      <c r="AX123" s="552">
        <v>0</v>
      </c>
      <c r="AY123" s="552">
        <v>0</v>
      </c>
      <c r="AZ123" s="552">
        <v>0</v>
      </c>
      <c r="BA123" s="553">
        <v>0</v>
      </c>
      <c r="BB123" s="554">
        <v>12377</v>
      </c>
      <c r="BC123" s="554">
        <v>11972</v>
      </c>
      <c r="BD123" s="554">
        <v>12113</v>
      </c>
      <c r="BE123" s="555">
        <v>13277</v>
      </c>
      <c r="BF123" s="554">
        <v>12482</v>
      </c>
      <c r="BG123" s="554">
        <v>12269</v>
      </c>
      <c r="BH123" s="554">
        <v>12661</v>
      </c>
      <c r="BI123" s="555">
        <v>14200</v>
      </c>
      <c r="BJ123" s="554">
        <v>13725</v>
      </c>
      <c r="BK123" s="554">
        <v>13411</v>
      </c>
      <c r="BL123" s="554">
        <v>16060</v>
      </c>
      <c r="BM123" s="555">
        <v>14012</v>
      </c>
      <c r="BN123" s="554">
        <v>13528</v>
      </c>
      <c r="BO123" s="554">
        <v>13360</v>
      </c>
      <c r="BP123" s="554">
        <v>13855</v>
      </c>
      <c r="BQ123" s="555">
        <v>14746</v>
      </c>
      <c r="BR123" s="554">
        <v>13777</v>
      </c>
      <c r="BS123" s="554">
        <v>14015</v>
      </c>
      <c r="BT123" s="554">
        <v>14302</v>
      </c>
      <c r="BU123" s="555">
        <v>15244</v>
      </c>
      <c r="BV123" s="554">
        <v>17302</v>
      </c>
      <c r="BW123" s="554">
        <v>16607</v>
      </c>
      <c r="BX123" s="554">
        <v>18380</v>
      </c>
      <c r="BY123" s="555">
        <v>17452</v>
      </c>
      <c r="BZ123" s="554">
        <v>16921</v>
      </c>
      <c r="CA123" s="554">
        <v>16808</v>
      </c>
      <c r="CB123" s="554">
        <v>17718</v>
      </c>
      <c r="CC123" s="555">
        <v>18717</v>
      </c>
      <c r="CD123" s="554">
        <v>18397</v>
      </c>
      <c r="CE123" s="554">
        <v>17958</v>
      </c>
      <c r="CF123" s="554">
        <v>16713</v>
      </c>
      <c r="CG123" s="555">
        <v>17835</v>
      </c>
      <c r="CH123" s="554">
        <v>17948</v>
      </c>
      <c r="CI123" s="554">
        <v>17495</v>
      </c>
      <c r="CJ123" s="554">
        <v>17805</v>
      </c>
      <c r="CK123" s="555">
        <v>19845</v>
      </c>
      <c r="CL123" s="557">
        <v>19604</v>
      </c>
      <c r="CM123" s="554">
        <v>20220</v>
      </c>
      <c r="CN123" s="554">
        <v>21577</v>
      </c>
      <c r="CO123" s="555">
        <v>23109</v>
      </c>
      <c r="CP123" s="557">
        <v>23425</v>
      </c>
      <c r="CQ123" s="554">
        <v>23572</v>
      </c>
      <c r="CR123" s="554">
        <v>23977</v>
      </c>
      <c r="CS123" s="555">
        <v>25509.248232145677</v>
      </c>
      <c r="CT123" s="557">
        <v>25455.512921033907</v>
      </c>
      <c r="CU123" s="554">
        <v>25408.197258323467</v>
      </c>
      <c r="CV123" s="554">
        <v>26505.853560298907</v>
      </c>
      <c r="CW123" s="555">
        <v>28731.931726865114</v>
      </c>
      <c r="CX123" s="552"/>
      <c r="CY123" s="552"/>
      <c r="CZ123" s="552"/>
      <c r="DA123" s="553"/>
      <c r="DB123" s="552"/>
      <c r="DC123" s="552"/>
      <c r="DD123" s="552"/>
      <c r="DE123" s="553"/>
      <c r="DF123" s="552"/>
      <c r="DG123" s="552"/>
      <c r="DH123" s="552"/>
      <c r="DI123" s="553"/>
      <c r="DJ123" s="454"/>
      <c r="DK123" s="558"/>
      <c r="DL123" s="552"/>
      <c r="DM123" s="552"/>
      <c r="DN123" s="552"/>
      <c r="DO123" s="552"/>
      <c r="DP123" s="552"/>
      <c r="DQ123" s="552"/>
      <c r="DR123" s="552"/>
      <c r="DS123" s="554">
        <v>14837</v>
      </c>
      <c r="DT123" s="398">
        <v>13742</v>
      </c>
      <c r="DU123" s="398">
        <v>13406</v>
      </c>
      <c r="DV123" s="394">
        <v>13277</v>
      </c>
      <c r="DW123" s="394">
        <v>14200</v>
      </c>
      <c r="DX123" s="394">
        <v>14012</v>
      </c>
      <c r="DY123" s="394">
        <v>14746</v>
      </c>
      <c r="DZ123" s="394">
        <v>15244</v>
      </c>
      <c r="EA123" s="394">
        <v>17452</v>
      </c>
      <c r="EB123" s="394">
        <v>18717</v>
      </c>
      <c r="EC123" s="554">
        <v>17835</v>
      </c>
      <c r="ED123" s="554">
        <v>19845</v>
      </c>
      <c r="EE123" s="554">
        <v>23109</v>
      </c>
      <c r="EF123" s="554">
        <v>25509.248232145677</v>
      </c>
      <c r="EG123" s="554">
        <v>28731.931726865114</v>
      </c>
      <c r="EH123" s="554">
        <v>32903.732894692293</v>
      </c>
      <c r="EI123" s="554">
        <v>35891.086231702517</v>
      </c>
      <c r="EJ123" s="554">
        <v>38831.325903731777</v>
      </c>
      <c r="EK123" s="554">
        <v>43227.067697608174</v>
      </c>
      <c r="EL123" s="554">
        <v>47104.881737988093</v>
      </c>
      <c r="EM123" s="554">
        <v>51097.931622412907</v>
      </c>
      <c r="EN123" s="554">
        <v>55071.137376251878</v>
      </c>
      <c r="EO123" s="554">
        <v>59798.986301756457</v>
      </c>
      <c r="EP123" s="389"/>
      <c r="EQ123" s="386"/>
    </row>
    <row r="124" spans="1:147" s="390" customFormat="1" ht="15" customHeight="1" outlineLevel="1">
      <c r="A124" s="385"/>
      <c r="B124"/>
      <c r="C124"/>
      <c r="D124"/>
      <c r="E124"/>
      <c r="F124"/>
      <c r="G124"/>
      <c r="H124" s="386"/>
      <c r="I124" s="370"/>
      <c r="J124" s="386"/>
      <c r="K124" s="386"/>
      <c r="L124" s="386"/>
      <c r="M124" s="388"/>
      <c r="N124" s="386"/>
      <c r="O124" s="386"/>
      <c r="P124" s="386"/>
      <c r="Q124" s="388"/>
      <c r="R124" s="386"/>
      <c r="S124" s="386"/>
      <c r="T124" s="386"/>
      <c r="U124" s="388"/>
      <c r="V124" s="386"/>
      <c r="W124" s="386"/>
      <c r="X124" s="386"/>
      <c r="Y124" s="388"/>
      <c r="Z124" s="386"/>
      <c r="AA124" s="386"/>
      <c r="AB124" s="386"/>
      <c r="AC124" s="388"/>
      <c r="AD124" s="386"/>
      <c r="AE124" s="386"/>
      <c r="AF124" s="386"/>
      <c r="AG124" s="388"/>
      <c r="AH124" s="386"/>
      <c r="AI124" s="386"/>
      <c r="AJ124" s="386"/>
      <c r="AK124" s="388"/>
      <c r="AL124" s="386"/>
      <c r="AM124" s="386"/>
      <c r="AN124" s="386"/>
      <c r="AO124" s="388"/>
      <c r="AP124" s="386"/>
      <c r="AQ124" s="386"/>
      <c r="AR124" s="386"/>
      <c r="AS124" s="388"/>
      <c r="AT124" s="386"/>
      <c r="AU124" s="386"/>
      <c r="AV124" s="386"/>
      <c r="AW124" s="388"/>
      <c r="AX124" s="386"/>
      <c r="AY124" s="386"/>
      <c r="AZ124" s="386"/>
      <c r="BA124" s="388"/>
      <c r="BB124" s="325"/>
      <c r="BC124" s="386"/>
      <c r="BD124" s="386"/>
      <c r="BE124" s="372"/>
      <c r="BF124" s="325"/>
      <c r="BG124" s="386"/>
      <c r="BH124" s="386"/>
      <c r="BI124" s="372"/>
      <c r="BJ124" s="325"/>
      <c r="BK124" s="386"/>
      <c r="BL124" s="386"/>
      <c r="BM124" s="372"/>
      <c r="BN124" s="325"/>
      <c r="BO124" s="386"/>
      <c r="BP124" s="386"/>
      <c r="BQ124" s="372"/>
      <c r="BR124" s="325"/>
      <c r="BS124" s="386"/>
      <c r="BT124" s="386"/>
      <c r="BU124" s="372"/>
      <c r="BV124" s="325"/>
      <c r="BW124" s="325"/>
      <c r="BX124" s="325"/>
      <c r="BY124" s="372"/>
      <c r="BZ124" s="325"/>
      <c r="CA124" s="325"/>
      <c r="CB124" s="325"/>
      <c r="CC124" s="372"/>
      <c r="CD124" s="325"/>
      <c r="CE124" s="325"/>
      <c r="CF124" s="325"/>
      <c r="CG124" s="372"/>
      <c r="CH124" s="325"/>
      <c r="CI124" s="325"/>
      <c r="CJ124" s="325"/>
      <c r="CK124" s="372"/>
      <c r="CL124" s="373"/>
      <c r="CM124" s="325"/>
      <c r="CN124" s="325"/>
      <c r="CO124" s="372"/>
      <c r="CP124" s="373"/>
      <c r="CQ124" s="325"/>
      <c r="CR124" s="325"/>
      <c r="CS124" s="372"/>
      <c r="CT124" s="373"/>
      <c r="CU124" s="325"/>
      <c r="CV124" s="325"/>
      <c r="CW124" s="372"/>
      <c r="CX124" s="386"/>
      <c r="CY124" s="386"/>
      <c r="CZ124" s="386"/>
      <c r="DA124" s="388"/>
      <c r="DB124" s="386"/>
      <c r="DC124" s="386"/>
      <c r="DD124" s="386"/>
      <c r="DE124" s="388"/>
      <c r="DF124" s="386"/>
      <c r="DG124" s="386"/>
      <c r="DH124" s="386"/>
      <c r="DI124" s="388"/>
      <c r="DJ124" s="454"/>
      <c r="DK124" s="389"/>
      <c r="DL124" s="386"/>
      <c r="DM124" s="386"/>
      <c r="DN124" s="386"/>
      <c r="DO124" s="386"/>
      <c r="DP124" s="386"/>
      <c r="DQ124" s="386"/>
      <c r="DR124" s="386"/>
      <c r="DS124" s="325"/>
      <c r="DT124" s="401"/>
      <c r="DU124" s="401"/>
      <c r="DV124" s="325"/>
      <c r="DW124" s="325"/>
      <c r="DX124" s="325"/>
      <c r="DY124" s="325"/>
      <c r="DZ124" s="325"/>
      <c r="EA124" s="325"/>
      <c r="EB124" s="325"/>
      <c r="EC124" s="325"/>
      <c r="ED124" s="325"/>
      <c r="EE124" s="325"/>
      <c r="EF124" s="325"/>
      <c r="EG124" s="325"/>
      <c r="EH124" s="325"/>
      <c r="EI124" s="325"/>
      <c r="EJ124" s="325"/>
      <c r="EK124" s="325"/>
      <c r="EL124" s="325"/>
      <c r="EM124" s="325"/>
      <c r="EN124" s="325"/>
      <c r="EO124" s="325"/>
      <c r="EP124" s="389"/>
      <c r="EQ124" s="386"/>
    </row>
    <row r="125" spans="1:147" s="390" customFormat="1" ht="15" customHeight="1" outlineLevel="1">
      <c r="A125" s="385"/>
      <c r="B125"/>
      <c r="C125"/>
      <c r="D125"/>
      <c r="E125"/>
      <c r="F125"/>
      <c r="G125"/>
      <c r="H125" s="386"/>
      <c r="I125" s="547" t="s">
        <v>1553</v>
      </c>
      <c r="J125" s="548"/>
      <c r="K125" s="548"/>
      <c r="L125" s="548"/>
      <c r="M125" s="549"/>
      <c r="N125" s="548"/>
      <c r="O125" s="548"/>
      <c r="P125" s="548"/>
      <c r="Q125" s="549"/>
      <c r="R125" s="548"/>
      <c r="S125" s="548"/>
      <c r="T125" s="548"/>
      <c r="U125" s="549"/>
      <c r="V125" s="548"/>
      <c r="W125" s="548"/>
      <c r="X125" s="548"/>
      <c r="Y125" s="549"/>
      <c r="Z125" s="548"/>
      <c r="AA125" s="548"/>
      <c r="AB125" s="548"/>
      <c r="AC125" s="549"/>
      <c r="AD125" s="548"/>
      <c r="AE125" s="548"/>
      <c r="AF125" s="548"/>
      <c r="AG125" s="549"/>
      <c r="AH125" s="548"/>
      <c r="AI125" s="548"/>
      <c r="AJ125" s="548"/>
      <c r="AK125" s="549"/>
      <c r="AL125" s="548"/>
      <c r="AM125" s="548"/>
      <c r="AN125" s="548"/>
      <c r="AO125" s="549"/>
      <c r="AP125" s="548"/>
      <c r="AQ125" s="548"/>
      <c r="AR125" s="548"/>
      <c r="AS125" s="549"/>
      <c r="AT125" s="548"/>
      <c r="AU125" s="548"/>
      <c r="AV125" s="548"/>
      <c r="AW125" s="549"/>
      <c r="AX125" s="548"/>
      <c r="AY125" s="548"/>
      <c r="AZ125" s="548"/>
      <c r="BA125" s="549"/>
      <c r="BB125" s="563"/>
      <c r="BC125" s="563"/>
      <c r="BD125" s="563"/>
      <c r="BE125" s="564"/>
      <c r="BF125" s="563"/>
      <c r="BG125" s="563"/>
      <c r="BH125" s="563"/>
      <c r="BI125" s="564"/>
      <c r="BJ125" s="563"/>
      <c r="BK125" s="563"/>
      <c r="BL125" s="563"/>
      <c r="BM125" s="564"/>
      <c r="BN125" s="563"/>
      <c r="BO125" s="563"/>
      <c r="BP125" s="563"/>
      <c r="BQ125" s="564"/>
      <c r="BR125" s="563"/>
      <c r="BS125" s="563"/>
      <c r="BT125" s="563"/>
      <c r="BU125" s="564"/>
      <c r="BV125" s="563"/>
      <c r="BW125" s="563"/>
      <c r="BX125" s="563"/>
      <c r="BY125" s="564"/>
      <c r="BZ125" s="563"/>
      <c r="CA125" s="563"/>
      <c r="CB125" s="563"/>
      <c r="CC125" s="564"/>
      <c r="CD125" s="565"/>
      <c r="CE125" s="563"/>
      <c r="CF125" s="563"/>
      <c r="CG125" s="564"/>
      <c r="CH125" s="565"/>
      <c r="CI125" s="563"/>
      <c r="CJ125" s="563"/>
      <c r="CK125" s="564"/>
      <c r="CL125" s="566"/>
      <c r="CM125" s="563"/>
      <c r="CN125" s="563"/>
      <c r="CO125" s="564"/>
      <c r="CP125" s="566"/>
      <c r="CQ125" s="563"/>
      <c r="CR125" s="563"/>
      <c r="CS125" s="564"/>
      <c r="CT125" s="566"/>
      <c r="CU125" s="563"/>
      <c r="CV125" s="563"/>
      <c r="CW125" s="564"/>
      <c r="CX125" s="548"/>
      <c r="CY125" s="548"/>
      <c r="CZ125" s="548"/>
      <c r="DA125" s="549"/>
      <c r="DB125" s="548"/>
      <c r="DC125" s="548"/>
      <c r="DD125" s="548"/>
      <c r="DE125" s="549"/>
      <c r="DF125" s="548"/>
      <c r="DG125" s="548"/>
      <c r="DH125" s="548"/>
      <c r="DI125" s="549"/>
      <c r="DJ125" s="454"/>
      <c r="DK125" s="550"/>
      <c r="DL125" s="548"/>
      <c r="DM125" s="548"/>
      <c r="DN125" s="548"/>
      <c r="DO125" s="548"/>
      <c r="DP125" s="548"/>
      <c r="DQ125" s="548"/>
      <c r="DR125" s="548"/>
      <c r="DS125" s="563"/>
      <c r="DT125" s="565"/>
      <c r="DU125" s="565"/>
      <c r="DV125" s="563"/>
      <c r="DW125" s="563"/>
      <c r="DX125" s="563"/>
      <c r="DY125" s="563"/>
      <c r="DZ125" s="563"/>
      <c r="EA125" s="563"/>
      <c r="EB125" s="563"/>
      <c r="EC125" s="563"/>
      <c r="ED125" s="563"/>
      <c r="EE125" s="563"/>
      <c r="EF125" s="563"/>
      <c r="EG125" s="563"/>
      <c r="EH125" s="563"/>
      <c r="EI125" s="563"/>
      <c r="EJ125" s="563"/>
      <c r="EK125" s="563"/>
      <c r="EL125" s="563"/>
      <c r="EM125" s="563"/>
      <c r="EN125" s="563"/>
      <c r="EO125" s="563"/>
      <c r="EP125" s="389"/>
      <c r="EQ125" s="386"/>
    </row>
    <row r="126" spans="1:147" s="390" customFormat="1" ht="15" customHeight="1" outlineLevel="1">
      <c r="A126" s="385"/>
      <c r="B126"/>
      <c r="C126"/>
      <c r="D126"/>
      <c r="E126"/>
      <c r="F126"/>
      <c r="G126"/>
      <c r="H126" s="386"/>
      <c r="I126" s="370" t="s">
        <v>1554</v>
      </c>
      <c r="J126" s="399"/>
      <c r="K126" s="399"/>
      <c r="L126" s="399"/>
      <c r="M126" s="400"/>
      <c r="N126" s="399"/>
      <c r="O126" s="399"/>
      <c r="P126" s="399"/>
      <c r="Q126" s="400"/>
      <c r="R126" s="399"/>
      <c r="S126" s="399"/>
      <c r="T126" s="399"/>
      <c r="U126" s="400"/>
      <c r="V126" s="399"/>
      <c r="W126" s="399"/>
      <c r="X126" s="399"/>
      <c r="Y126" s="400"/>
      <c r="Z126" s="399"/>
      <c r="AA126" s="399"/>
      <c r="AB126" s="399"/>
      <c r="AC126" s="400"/>
      <c r="AD126" s="399"/>
      <c r="AE126" s="399"/>
      <c r="AF126" s="399"/>
      <c r="AG126" s="400"/>
      <c r="AH126" s="399"/>
      <c r="AI126" s="399"/>
      <c r="AJ126" s="399"/>
      <c r="AK126" s="400"/>
      <c r="AL126" s="399"/>
      <c r="AM126" s="399"/>
      <c r="AN126" s="399"/>
      <c r="AO126" s="400"/>
      <c r="AP126" s="399"/>
      <c r="AQ126" s="399"/>
      <c r="AR126" s="399"/>
      <c r="AS126" s="400"/>
      <c r="AT126" s="399"/>
      <c r="AU126" s="399"/>
      <c r="AV126" s="399"/>
      <c r="AW126" s="400"/>
      <c r="AX126" s="399"/>
      <c r="AY126" s="399"/>
      <c r="AZ126" s="399"/>
      <c r="BA126" s="400"/>
      <c r="BB126" s="401">
        <v>172</v>
      </c>
      <c r="BC126" s="401">
        <v>156</v>
      </c>
      <c r="BD126" s="401">
        <v>250</v>
      </c>
      <c r="BE126" s="402">
        <v>390</v>
      </c>
      <c r="BF126" s="401">
        <v>181</v>
      </c>
      <c r="BG126" s="401">
        <v>163</v>
      </c>
      <c r="BH126" s="401">
        <v>253</v>
      </c>
      <c r="BI126" s="402">
        <v>343</v>
      </c>
      <c r="BJ126" s="401">
        <v>186</v>
      </c>
      <c r="BK126" s="401">
        <v>139</v>
      </c>
      <c r="BL126" s="401">
        <v>286</v>
      </c>
      <c r="BM126" s="402">
        <v>355</v>
      </c>
      <c r="BN126" s="401">
        <v>166</v>
      </c>
      <c r="BO126" s="401">
        <v>167</v>
      </c>
      <c r="BP126" s="401">
        <v>266</v>
      </c>
      <c r="BQ126" s="402">
        <v>325</v>
      </c>
      <c r="BR126" s="401">
        <v>123</v>
      </c>
      <c r="BS126" s="401">
        <v>198</v>
      </c>
      <c r="BT126" s="401">
        <v>309</v>
      </c>
      <c r="BU126" s="402">
        <v>284</v>
      </c>
      <c r="BV126" s="401">
        <v>150</v>
      </c>
      <c r="BW126" s="401">
        <v>176</v>
      </c>
      <c r="BX126" s="401">
        <v>211</v>
      </c>
      <c r="BY126" s="402">
        <v>222</v>
      </c>
      <c r="BZ126" s="401">
        <v>150</v>
      </c>
      <c r="CA126" s="401">
        <v>163</v>
      </c>
      <c r="CB126" s="401">
        <v>313</v>
      </c>
      <c r="CC126" s="402">
        <v>323</v>
      </c>
      <c r="CD126" s="401">
        <v>172</v>
      </c>
      <c r="CE126" s="401">
        <v>167</v>
      </c>
      <c r="CF126" s="401">
        <v>312</v>
      </c>
      <c r="CG126" s="402">
        <v>253</v>
      </c>
      <c r="CH126" s="401">
        <v>166</v>
      </c>
      <c r="CI126" s="401">
        <v>180</v>
      </c>
      <c r="CJ126" s="401">
        <v>274</v>
      </c>
      <c r="CK126" s="402">
        <v>292</v>
      </c>
      <c r="CL126" s="438">
        <v>158</v>
      </c>
      <c r="CM126" s="401">
        <v>177</v>
      </c>
      <c r="CN126" s="401">
        <v>224</v>
      </c>
      <c r="CO126" s="402">
        <v>295</v>
      </c>
      <c r="CP126" s="438">
        <v>225</v>
      </c>
      <c r="CQ126" s="401">
        <v>217</v>
      </c>
      <c r="CR126" s="401">
        <v>248</v>
      </c>
      <c r="CS126" s="413">
        <v>346.06739531117228</v>
      </c>
      <c r="CT126" s="373">
        <v>66.82862957723863</v>
      </c>
      <c r="CU126" s="325">
        <v>34.484922957562183</v>
      </c>
      <c r="CV126" s="325">
        <v>110.17953758700938</v>
      </c>
      <c r="CW126" s="413">
        <v>336.63344790925578</v>
      </c>
      <c r="CX126" s="409"/>
      <c r="CY126" s="409"/>
      <c r="CZ126" s="409"/>
      <c r="DA126" s="410"/>
      <c r="DB126" s="409"/>
      <c r="DC126" s="409"/>
      <c r="DD126" s="409"/>
      <c r="DE126" s="410"/>
      <c r="DF126" s="409"/>
      <c r="DG126" s="409"/>
      <c r="DH126" s="409"/>
      <c r="DI126" s="410"/>
      <c r="DJ126" s="454"/>
      <c r="DK126" s="411"/>
      <c r="DL126" s="399"/>
      <c r="DM126" s="399"/>
      <c r="DN126" s="399"/>
      <c r="DO126" s="399"/>
      <c r="DP126" s="399"/>
      <c r="DQ126" s="399"/>
      <c r="DR126" s="399"/>
      <c r="DS126" s="401">
        <v>555</v>
      </c>
      <c r="DT126" s="401">
        <v>302</v>
      </c>
      <c r="DU126" s="401">
        <v>363</v>
      </c>
      <c r="DV126" s="325">
        <v>390</v>
      </c>
      <c r="DW126" s="325">
        <v>343</v>
      </c>
      <c r="DX126" s="325">
        <v>355</v>
      </c>
      <c r="DY126" s="325">
        <v>325</v>
      </c>
      <c r="DZ126" s="325">
        <v>284</v>
      </c>
      <c r="EA126" s="325">
        <v>222</v>
      </c>
      <c r="EB126" s="325">
        <v>323</v>
      </c>
      <c r="EC126" s="412">
        <v>253</v>
      </c>
      <c r="ED126" s="412">
        <v>292</v>
      </c>
      <c r="EE126" s="412">
        <v>295</v>
      </c>
      <c r="EF126" s="412">
        <v>346.06739531117228</v>
      </c>
      <c r="EG126" s="412">
        <v>336.63344790925578</v>
      </c>
      <c r="EH126" s="412">
        <v>540.49698125000702</v>
      </c>
      <c r="EI126" s="412">
        <v>398.89637020921896</v>
      </c>
      <c r="EJ126" s="412">
        <v>365.57240239599855</v>
      </c>
      <c r="EK126" s="412">
        <v>424.42353242804541</v>
      </c>
      <c r="EL126" s="412">
        <v>383.29505333113229</v>
      </c>
      <c r="EM126" s="412">
        <v>355.94258155230858</v>
      </c>
      <c r="EN126" s="412">
        <v>354.71903143881326</v>
      </c>
      <c r="EO126" s="412">
        <v>411.38875322886145</v>
      </c>
      <c r="EP126" s="389"/>
      <c r="EQ126" s="386"/>
    </row>
    <row r="127" spans="1:147" s="390" customFormat="1" ht="15" customHeight="1" outlineLevel="1">
      <c r="A127" s="385"/>
      <c r="B127"/>
      <c r="C127"/>
      <c r="D127"/>
      <c r="E127"/>
      <c r="F127"/>
      <c r="G127"/>
      <c r="H127" s="386"/>
      <c r="I127" s="370" t="s">
        <v>1555</v>
      </c>
      <c r="J127" s="399"/>
      <c r="K127" s="399"/>
      <c r="L127" s="399"/>
      <c r="M127" s="400"/>
      <c r="N127" s="399"/>
      <c r="O127" s="399"/>
      <c r="P127" s="399"/>
      <c r="Q127" s="400"/>
      <c r="R127" s="399"/>
      <c r="S127" s="399"/>
      <c r="T127" s="399"/>
      <c r="U127" s="400"/>
      <c r="V127" s="399"/>
      <c r="W127" s="399"/>
      <c r="X127" s="399"/>
      <c r="Y127" s="400"/>
      <c r="Z127" s="399"/>
      <c r="AA127" s="399"/>
      <c r="AB127" s="399"/>
      <c r="AC127" s="400"/>
      <c r="AD127" s="399"/>
      <c r="AE127" s="399"/>
      <c r="AF127" s="399"/>
      <c r="AG127" s="400"/>
      <c r="AH127" s="399"/>
      <c r="AI127" s="399"/>
      <c r="AJ127" s="399"/>
      <c r="AK127" s="400"/>
      <c r="AL127" s="399"/>
      <c r="AM127" s="399"/>
      <c r="AN127" s="399"/>
      <c r="AO127" s="400"/>
      <c r="AP127" s="399"/>
      <c r="AQ127" s="399"/>
      <c r="AR127" s="399"/>
      <c r="AS127" s="400"/>
      <c r="AT127" s="399"/>
      <c r="AU127" s="399"/>
      <c r="AV127" s="399"/>
      <c r="AW127" s="400"/>
      <c r="AX127" s="399"/>
      <c r="AY127" s="399"/>
      <c r="AZ127" s="399"/>
      <c r="BA127" s="400"/>
      <c r="BB127" s="401">
        <v>1043</v>
      </c>
      <c r="BC127" s="401">
        <v>601</v>
      </c>
      <c r="BD127" s="401">
        <v>487</v>
      </c>
      <c r="BE127" s="402">
        <v>1472</v>
      </c>
      <c r="BF127" s="401">
        <v>917</v>
      </c>
      <c r="BG127" s="401">
        <v>905</v>
      </c>
      <c r="BH127" s="401">
        <v>847</v>
      </c>
      <c r="BI127" s="402">
        <v>1657</v>
      </c>
      <c r="BJ127" s="401">
        <v>1125</v>
      </c>
      <c r="BK127" s="401">
        <v>665</v>
      </c>
      <c r="BL127" s="401">
        <v>641</v>
      </c>
      <c r="BM127" s="402">
        <v>1389</v>
      </c>
      <c r="BN127" s="401">
        <v>1092</v>
      </c>
      <c r="BO127" s="401">
        <v>769</v>
      </c>
      <c r="BP127" s="401">
        <v>1305</v>
      </c>
      <c r="BQ127" s="402">
        <v>1797</v>
      </c>
      <c r="BR127" s="401">
        <v>1161</v>
      </c>
      <c r="BS127" s="401">
        <v>837</v>
      </c>
      <c r="BT127" s="401">
        <v>907</v>
      </c>
      <c r="BU127" s="402">
        <v>1702</v>
      </c>
      <c r="BV127" s="401">
        <v>1207</v>
      </c>
      <c r="BW127" s="401">
        <v>1238</v>
      </c>
      <c r="BX127" s="401">
        <v>1320</v>
      </c>
      <c r="BY127" s="402">
        <v>1628</v>
      </c>
      <c r="BZ127" s="401">
        <v>1153</v>
      </c>
      <c r="CA127" s="401">
        <v>940</v>
      </c>
      <c r="CB127" s="401">
        <v>1373</v>
      </c>
      <c r="CC127" s="402">
        <v>1929</v>
      </c>
      <c r="CD127" s="401">
        <v>1204</v>
      </c>
      <c r="CE127" s="401">
        <v>832</v>
      </c>
      <c r="CF127" s="401">
        <v>1017</v>
      </c>
      <c r="CG127" s="402">
        <v>1493</v>
      </c>
      <c r="CH127" s="401">
        <v>931</v>
      </c>
      <c r="CI127" s="401">
        <v>728</v>
      </c>
      <c r="CJ127" s="401">
        <v>695</v>
      </c>
      <c r="CK127" s="402">
        <v>1375</v>
      </c>
      <c r="CL127" s="438">
        <v>1064</v>
      </c>
      <c r="CM127" s="401">
        <v>1222</v>
      </c>
      <c r="CN127" s="401">
        <v>1108</v>
      </c>
      <c r="CO127" s="402">
        <v>1689</v>
      </c>
      <c r="CP127" s="438">
        <v>1459</v>
      </c>
      <c r="CQ127" s="401">
        <v>1058</v>
      </c>
      <c r="CR127" s="401">
        <v>844</v>
      </c>
      <c r="CS127" s="413">
        <v>834</v>
      </c>
      <c r="CT127" s="373">
        <v>833</v>
      </c>
      <c r="CU127" s="325">
        <v>832</v>
      </c>
      <c r="CV127" s="325">
        <v>831</v>
      </c>
      <c r="CW127" s="413">
        <v>830</v>
      </c>
      <c r="CX127" s="409"/>
      <c r="CY127" s="409"/>
      <c r="CZ127" s="409"/>
      <c r="DA127" s="410"/>
      <c r="DB127" s="409"/>
      <c r="DC127" s="409"/>
      <c r="DD127" s="409"/>
      <c r="DE127" s="410"/>
      <c r="DF127" s="409"/>
      <c r="DG127" s="409"/>
      <c r="DH127" s="409"/>
      <c r="DI127" s="410"/>
      <c r="DJ127" s="454"/>
      <c r="DK127" s="411"/>
      <c r="DL127" s="399"/>
      <c r="DM127" s="399"/>
      <c r="DN127" s="399"/>
      <c r="DO127" s="399"/>
      <c r="DP127" s="399"/>
      <c r="DQ127" s="399"/>
      <c r="DR127" s="399"/>
      <c r="DS127" s="401">
        <v>923</v>
      </c>
      <c r="DT127" s="401">
        <v>1426</v>
      </c>
      <c r="DU127" s="401">
        <v>1726</v>
      </c>
      <c r="DV127" s="325">
        <v>1472</v>
      </c>
      <c r="DW127" s="325">
        <v>1657</v>
      </c>
      <c r="DX127" s="325">
        <v>1389</v>
      </c>
      <c r="DY127" s="325">
        <v>1797</v>
      </c>
      <c r="DZ127" s="325">
        <v>1702</v>
      </c>
      <c r="EA127" s="325">
        <v>1628</v>
      </c>
      <c r="EB127" s="325">
        <v>1929</v>
      </c>
      <c r="EC127" s="412">
        <v>1493</v>
      </c>
      <c r="ED127" s="412">
        <v>1375</v>
      </c>
      <c r="EE127" s="412">
        <v>1689</v>
      </c>
      <c r="EF127" s="412">
        <v>834</v>
      </c>
      <c r="EG127" s="412">
        <v>830</v>
      </c>
      <c r="EH127" s="412">
        <v>994.28350478788821</v>
      </c>
      <c r="EI127" s="412">
        <v>908.97282035220508</v>
      </c>
      <c r="EJ127" s="412">
        <v>874.3109640513303</v>
      </c>
      <c r="EK127" s="412">
        <v>946.6481707298168</v>
      </c>
      <c r="EL127" s="412">
        <v>899.35979838149035</v>
      </c>
      <c r="EM127" s="412">
        <v>911.79876354635144</v>
      </c>
      <c r="EN127" s="412">
        <v>904.56543471899295</v>
      </c>
      <c r="EO127" s="412">
        <v>987.19790297370548</v>
      </c>
      <c r="EP127" s="389"/>
      <c r="EQ127" s="386"/>
    </row>
    <row r="128" spans="1:147" s="390" customFormat="1" ht="15" customHeight="1" outlineLevel="1">
      <c r="A128" s="385"/>
      <c r="B128"/>
      <c r="C128"/>
      <c r="D128"/>
      <c r="E128"/>
      <c r="F128"/>
      <c r="G128"/>
      <c r="H128" s="386"/>
      <c r="I128" s="370" t="s">
        <v>1556</v>
      </c>
      <c r="J128" s="399"/>
      <c r="K128" s="399"/>
      <c r="L128" s="399"/>
      <c r="M128" s="400"/>
      <c r="N128" s="399"/>
      <c r="O128" s="399"/>
      <c r="P128" s="399"/>
      <c r="Q128" s="400"/>
      <c r="R128" s="399"/>
      <c r="S128" s="399"/>
      <c r="T128" s="399"/>
      <c r="U128" s="400"/>
      <c r="V128" s="399"/>
      <c r="W128" s="399"/>
      <c r="X128" s="399"/>
      <c r="Y128" s="400"/>
      <c r="Z128" s="399"/>
      <c r="AA128" s="399"/>
      <c r="AB128" s="399"/>
      <c r="AC128" s="400"/>
      <c r="AD128" s="399"/>
      <c r="AE128" s="399"/>
      <c r="AF128" s="399"/>
      <c r="AG128" s="400"/>
      <c r="AH128" s="399"/>
      <c r="AI128" s="399"/>
      <c r="AJ128" s="399"/>
      <c r="AK128" s="400"/>
      <c r="AL128" s="399"/>
      <c r="AM128" s="399"/>
      <c r="AN128" s="399"/>
      <c r="AO128" s="400"/>
      <c r="AP128" s="399"/>
      <c r="AQ128" s="399"/>
      <c r="AR128" s="399"/>
      <c r="AS128" s="400"/>
      <c r="AT128" s="399"/>
      <c r="AU128" s="399"/>
      <c r="AV128" s="399"/>
      <c r="AW128" s="400"/>
      <c r="AX128" s="399"/>
      <c r="AY128" s="399"/>
      <c r="AZ128" s="399"/>
      <c r="BA128" s="400"/>
      <c r="BB128" s="401">
        <v>676</v>
      </c>
      <c r="BC128" s="401">
        <v>489</v>
      </c>
      <c r="BD128" s="401">
        <v>542</v>
      </c>
      <c r="BE128" s="402">
        <v>694</v>
      </c>
      <c r="BF128" s="401">
        <v>676</v>
      </c>
      <c r="BG128" s="401">
        <v>416</v>
      </c>
      <c r="BH128" s="401">
        <v>455</v>
      </c>
      <c r="BI128" s="402">
        <v>652</v>
      </c>
      <c r="BJ128" s="401">
        <v>588</v>
      </c>
      <c r="BK128" s="401">
        <v>389</v>
      </c>
      <c r="BL128" s="401">
        <v>506</v>
      </c>
      <c r="BM128" s="402">
        <v>636</v>
      </c>
      <c r="BN128" s="401">
        <v>635</v>
      </c>
      <c r="BO128" s="401">
        <v>507</v>
      </c>
      <c r="BP128" s="401">
        <v>541</v>
      </c>
      <c r="BQ128" s="402">
        <v>592</v>
      </c>
      <c r="BR128" s="401">
        <v>615</v>
      </c>
      <c r="BS128" s="401">
        <v>510</v>
      </c>
      <c r="BT128" s="401">
        <v>394</v>
      </c>
      <c r="BU128" s="402">
        <v>625</v>
      </c>
      <c r="BV128" s="401">
        <v>901</v>
      </c>
      <c r="BW128" s="401">
        <v>721</v>
      </c>
      <c r="BX128" s="401">
        <v>689</v>
      </c>
      <c r="BY128" s="402">
        <v>806</v>
      </c>
      <c r="BZ128" s="401">
        <v>936</v>
      </c>
      <c r="CA128" s="401">
        <v>662</v>
      </c>
      <c r="CB128" s="401">
        <v>703</v>
      </c>
      <c r="CC128" s="402">
        <v>1411</v>
      </c>
      <c r="CD128" s="401">
        <v>1551</v>
      </c>
      <c r="CE128" s="401">
        <v>1061</v>
      </c>
      <c r="CF128" s="401">
        <v>1053</v>
      </c>
      <c r="CG128" s="402">
        <v>896</v>
      </c>
      <c r="CH128" s="401">
        <v>1198</v>
      </c>
      <c r="CI128" s="401">
        <v>731</v>
      </c>
      <c r="CJ128" s="401">
        <v>782</v>
      </c>
      <c r="CK128" s="402">
        <v>1248</v>
      </c>
      <c r="CL128" s="438">
        <v>1338</v>
      </c>
      <c r="CM128" s="401">
        <v>1158</v>
      </c>
      <c r="CN128" s="401">
        <v>855</v>
      </c>
      <c r="CO128" s="402">
        <v>1116</v>
      </c>
      <c r="CP128" s="438">
        <v>1497</v>
      </c>
      <c r="CQ128" s="401">
        <v>978</v>
      </c>
      <c r="CR128" s="401">
        <v>924</v>
      </c>
      <c r="CS128" s="413">
        <v>1323.6832347165155</v>
      </c>
      <c r="CT128" s="373">
        <v>1086.5946267264892</v>
      </c>
      <c r="CU128" s="325">
        <v>668.94260535045089</v>
      </c>
      <c r="CV128" s="325">
        <v>1021.8462758989283</v>
      </c>
      <c r="CW128" s="413">
        <v>1773.5900730158337</v>
      </c>
      <c r="CX128" s="409"/>
      <c r="CY128" s="409"/>
      <c r="CZ128" s="409"/>
      <c r="DA128" s="410"/>
      <c r="DB128" s="409"/>
      <c r="DC128" s="409"/>
      <c r="DD128" s="409"/>
      <c r="DE128" s="410"/>
      <c r="DF128" s="409"/>
      <c r="DG128" s="409"/>
      <c r="DH128" s="409"/>
      <c r="DI128" s="410"/>
      <c r="DJ128" s="454"/>
      <c r="DK128" s="411"/>
      <c r="DL128" s="399"/>
      <c r="DM128" s="399"/>
      <c r="DN128" s="399"/>
      <c r="DO128" s="399"/>
      <c r="DP128" s="399"/>
      <c r="DQ128" s="399"/>
      <c r="DR128" s="399"/>
      <c r="DS128" s="401">
        <v>842</v>
      </c>
      <c r="DT128" s="401">
        <v>779</v>
      </c>
      <c r="DU128" s="401">
        <v>818</v>
      </c>
      <c r="DV128" s="325">
        <v>694</v>
      </c>
      <c r="DW128" s="325">
        <v>652</v>
      </c>
      <c r="DX128" s="325">
        <v>636</v>
      </c>
      <c r="DY128" s="325">
        <v>592</v>
      </c>
      <c r="DZ128" s="325">
        <v>625</v>
      </c>
      <c r="EA128" s="325">
        <v>806</v>
      </c>
      <c r="EB128" s="325">
        <v>1411</v>
      </c>
      <c r="EC128" s="412">
        <v>896</v>
      </c>
      <c r="ED128" s="412">
        <v>1248</v>
      </c>
      <c r="EE128" s="412">
        <v>1116</v>
      </c>
      <c r="EF128" s="412">
        <v>1323.6832347165155</v>
      </c>
      <c r="EG128" s="412">
        <v>1773.5900730158337</v>
      </c>
      <c r="EH128" s="412">
        <v>1991.1779998348954</v>
      </c>
      <c r="EI128" s="412">
        <v>1950.5601989537724</v>
      </c>
      <c r="EJ128" s="412">
        <v>1943.9447289633649</v>
      </c>
      <c r="EK128" s="412">
        <v>2004.6334462788288</v>
      </c>
      <c r="EL128" s="412">
        <v>2041.1088827616275</v>
      </c>
      <c r="EM128" s="412">
        <v>2048.8841043327461</v>
      </c>
      <c r="EN128" s="412">
        <v>2090.9386155656098</v>
      </c>
      <c r="EO128" s="412">
        <v>2163.6749532580866</v>
      </c>
      <c r="EP128" s="389"/>
      <c r="EQ128" s="386"/>
    </row>
    <row r="129" spans="1:147" s="390" customFormat="1" ht="15" customHeight="1" outlineLevel="1">
      <c r="A129" s="385"/>
      <c r="B129"/>
      <c r="C129"/>
      <c r="D129"/>
      <c r="E129"/>
      <c r="F129"/>
      <c r="G129"/>
      <c r="H129" s="386"/>
      <c r="I129" s="370" t="s">
        <v>587</v>
      </c>
      <c r="J129" s="399"/>
      <c r="K129" s="399"/>
      <c r="L129" s="399"/>
      <c r="M129" s="400"/>
      <c r="N129" s="399"/>
      <c r="O129" s="399"/>
      <c r="P129" s="399"/>
      <c r="Q129" s="400"/>
      <c r="R129" s="399"/>
      <c r="S129" s="399"/>
      <c r="T129" s="399"/>
      <c r="U129" s="400"/>
      <c r="V129" s="399"/>
      <c r="W129" s="399"/>
      <c r="X129" s="399"/>
      <c r="Y129" s="400"/>
      <c r="Z129" s="399"/>
      <c r="AA129" s="399"/>
      <c r="AB129" s="399"/>
      <c r="AC129" s="400"/>
      <c r="AD129" s="399"/>
      <c r="AE129" s="399"/>
      <c r="AF129" s="399"/>
      <c r="AG129" s="400"/>
      <c r="AH129" s="399"/>
      <c r="AI129" s="399"/>
      <c r="AJ129" s="399"/>
      <c r="AK129" s="400"/>
      <c r="AL129" s="399"/>
      <c r="AM129" s="399"/>
      <c r="AN129" s="399"/>
      <c r="AO129" s="400"/>
      <c r="AP129" s="399"/>
      <c r="AQ129" s="399"/>
      <c r="AR129" s="399"/>
      <c r="AS129" s="400"/>
      <c r="AT129" s="399"/>
      <c r="AU129" s="399"/>
      <c r="AV129" s="399"/>
      <c r="AW129" s="400"/>
      <c r="AX129" s="399"/>
      <c r="AY129" s="399"/>
      <c r="AZ129" s="399"/>
      <c r="BA129" s="400"/>
      <c r="BB129" s="401">
        <v>0</v>
      </c>
      <c r="BC129" s="401">
        <v>0</v>
      </c>
      <c r="BD129" s="401">
        <v>0</v>
      </c>
      <c r="BE129" s="402">
        <v>0</v>
      </c>
      <c r="BF129" s="401">
        <v>0</v>
      </c>
      <c r="BG129" s="401">
        <v>0</v>
      </c>
      <c r="BH129" s="401">
        <v>0</v>
      </c>
      <c r="BI129" s="402">
        <v>0</v>
      </c>
      <c r="BJ129" s="401">
        <v>0</v>
      </c>
      <c r="BK129" s="401">
        <v>0</v>
      </c>
      <c r="BL129" s="401">
        <v>0</v>
      </c>
      <c r="BM129" s="402">
        <v>25</v>
      </c>
      <c r="BN129" s="401">
        <v>0</v>
      </c>
      <c r="BO129" s="401">
        <v>0</v>
      </c>
      <c r="BP129" s="401">
        <v>0</v>
      </c>
      <c r="BQ129" s="402">
        <v>0</v>
      </c>
      <c r="BR129" s="401">
        <v>0</v>
      </c>
      <c r="BS129" s="401">
        <v>0</v>
      </c>
      <c r="BT129" s="401">
        <v>0</v>
      </c>
      <c r="BU129" s="402">
        <v>0</v>
      </c>
      <c r="BV129" s="401">
        <v>64</v>
      </c>
      <c r="BW129" s="401">
        <v>56</v>
      </c>
      <c r="BX129" s="401">
        <v>1481</v>
      </c>
      <c r="BY129" s="413">
        <v>0</v>
      </c>
      <c r="BZ129" s="401">
        <v>0</v>
      </c>
      <c r="CA129" s="401">
        <v>0</v>
      </c>
      <c r="CB129" s="412">
        <v>0</v>
      </c>
      <c r="CC129" s="413">
        <v>0</v>
      </c>
      <c r="CD129" s="401">
        <v>0</v>
      </c>
      <c r="CE129" s="401">
        <v>0</v>
      </c>
      <c r="CF129" s="401">
        <v>0</v>
      </c>
      <c r="CG129" s="413">
        <v>0</v>
      </c>
      <c r="CH129" s="401">
        <v>0</v>
      </c>
      <c r="CI129" s="401">
        <v>0</v>
      </c>
      <c r="CJ129" s="412">
        <v>0</v>
      </c>
      <c r="CK129" s="413">
        <v>0</v>
      </c>
      <c r="CL129" s="567">
        <v>0</v>
      </c>
      <c r="CM129" s="401">
        <v>0</v>
      </c>
      <c r="CN129" s="412">
        <v>0</v>
      </c>
      <c r="CO129" s="413">
        <v>0</v>
      </c>
      <c r="CP129" s="567">
        <v>0</v>
      </c>
      <c r="CQ129" s="412">
        <v>0</v>
      </c>
      <c r="CR129" s="412">
        <v>0</v>
      </c>
      <c r="CS129" s="413">
        <v>0</v>
      </c>
      <c r="CT129" s="373">
        <v>0</v>
      </c>
      <c r="CU129" s="325">
        <v>0</v>
      </c>
      <c r="CV129" s="325">
        <v>0</v>
      </c>
      <c r="CW129" s="413">
        <v>0</v>
      </c>
      <c r="CX129" s="409"/>
      <c r="CY129" s="409"/>
      <c r="CZ129" s="409"/>
      <c r="DA129" s="410"/>
      <c r="DB129" s="409"/>
      <c r="DC129" s="409"/>
      <c r="DD129" s="409"/>
      <c r="DE129" s="410"/>
      <c r="DF129" s="409"/>
      <c r="DG129" s="409"/>
      <c r="DH129" s="409"/>
      <c r="DI129" s="410"/>
      <c r="DJ129" s="454"/>
      <c r="DK129" s="411"/>
      <c r="DL129" s="399"/>
      <c r="DM129" s="399"/>
      <c r="DN129" s="399"/>
      <c r="DO129" s="399"/>
      <c r="DP129" s="399"/>
      <c r="DQ129" s="399"/>
      <c r="DR129" s="399"/>
      <c r="DS129" s="401">
        <v>0</v>
      </c>
      <c r="DT129" s="401">
        <v>0</v>
      </c>
      <c r="DU129" s="401">
        <v>0</v>
      </c>
      <c r="DV129" s="325">
        <v>0</v>
      </c>
      <c r="DW129" s="325">
        <v>0</v>
      </c>
      <c r="DX129" s="325">
        <v>25</v>
      </c>
      <c r="DY129" s="325">
        <v>0</v>
      </c>
      <c r="DZ129" s="325">
        <v>0</v>
      </c>
      <c r="EA129" s="325">
        <v>0</v>
      </c>
      <c r="EB129" s="325">
        <v>0</v>
      </c>
      <c r="EC129" s="412">
        <v>0</v>
      </c>
      <c r="ED129" s="412">
        <v>0</v>
      </c>
      <c r="EE129" s="412">
        <v>0</v>
      </c>
      <c r="EF129" s="412">
        <v>0</v>
      </c>
      <c r="EG129" s="412">
        <v>0</v>
      </c>
      <c r="EH129" s="412">
        <v>0</v>
      </c>
      <c r="EI129" s="412">
        <v>0</v>
      </c>
      <c r="EJ129" s="412">
        <v>0</v>
      </c>
      <c r="EK129" s="412">
        <v>0</v>
      </c>
      <c r="EL129" s="412">
        <v>0</v>
      </c>
      <c r="EM129" s="412">
        <v>0</v>
      </c>
      <c r="EN129" s="412">
        <v>0</v>
      </c>
      <c r="EO129" s="412">
        <v>0</v>
      </c>
      <c r="EP129" s="389"/>
      <c r="EQ129" s="386"/>
    </row>
    <row r="130" spans="1:147" s="390" customFormat="1" ht="15" customHeight="1" outlineLevel="1">
      <c r="A130" s="385"/>
      <c r="B130"/>
      <c r="C130"/>
      <c r="D130"/>
      <c r="E130"/>
      <c r="F130"/>
      <c r="G130"/>
      <c r="H130" s="386"/>
      <c r="I130" s="517" t="s">
        <v>1557</v>
      </c>
      <c r="J130" s="552"/>
      <c r="K130" s="552"/>
      <c r="L130" s="552"/>
      <c r="M130" s="553"/>
      <c r="N130" s="552"/>
      <c r="O130" s="552"/>
      <c r="P130" s="552"/>
      <c r="Q130" s="553"/>
      <c r="R130" s="552"/>
      <c r="S130" s="552"/>
      <c r="T130" s="552"/>
      <c r="U130" s="553"/>
      <c r="V130" s="552"/>
      <c r="W130" s="552"/>
      <c r="X130" s="552"/>
      <c r="Y130" s="553"/>
      <c r="Z130" s="552"/>
      <c r="AA130" s="552"/>
      <c r="AB130" s="552"/>
      <c r="AC130" s="553"/>
      <c r="AD130" s="552"/>
      <c r="AE130" s="552"/>
      <c r="AF130" s="552"/>
      <c r="AG130" s="553"/>
      <c r="AH130" s="552"/>
      <c r="AI130" s="552"/>
      <c r="AJ130" s="552"/>
      <c r="AK130" s="553"/>
      <c r="AL130" s="552"/>
      <c r="AM130" s="552"/>
      <c r="AN130" s="552"/>
      <c r="AO130" s="553"/>
      <c r="AP130" s="552"/>
      <c r="AQ130" s="552"/>
      <c r="AR130" s="552"/>
      <c r="AS130" s="553"/>
      <c r="AT130" s="552"/>
      <c r="AU130" s="552"/>
      <c r="AV130" s="552"/>
      <c r="AW130" s="553"/>
      <c r="AX130" s="552">
        <v>0</v>
      </c>
      <c r="AY130" s="552">
        <v>0</v>
      </c>
      <c r="AZ130" s="552">
        <v>0</v>
      </c>
      <c r="BA130" s="553">
        <v>0</v>
      </c>
      <c r="BB130" s="554">
        <v>1891</v>
      </c>
      <c r="BC130" s="554">
        <v>1246</v>
      </c>
      <c r="BD130" s="554">
        <v>1279</v>
      </c>
      <c r="BE130" s="555">
        <v>2556</v>
      </c>
      <c r="BF130" s="554">
        <v>1774</v>
      </c>
      <c r="BG130" s="554">
        <v>1484</v>
      </c>
      <c r="BH130" s="554">
        <v>1555</v>
      </c>
      <c r="BI130" s="555">
        <v>2652</v>
      </c>
      <c r="BJ130" s="554">
        <v>1899</v>
      </c>
      <c r="BK130" s="554">
        <v>1193</v>
      </c>
      <c r="BL130" s="554">
        <v>1433</v>
      </c>
      <c r="BM130" s="555">
        <v>2405</v>
      </c>
      <c r="BN130" s="554">
        <v>1893</v>
      </c>
      <c r="BO130" s="554">
        <v>1443</v>
      </c>
      <c r="BP130" s="554">
        <v>2112</v>
      </c>
      <c r="BQ130" s="555">
        <v>2714</v>
      </c>
      <c r="BR130" s="554">
        <v>1899</v>
      </c>
      <c r="BS130" s="554">
        <v>1545</v>
      </c>
      <c r="BT130" s="554">
        <v>1610</v>
      </c>
      <c r="BU130" s="555">
        <v>2611</v>
      </c>
      <c r="BV130" s="554">
        <v>2322</v>
      </c>
      <c r="BW130" s="554">
        <v>2191</v>
      </c>
      <c r="BX130" s="554">
        <v>3701</v>
      </c>
      <c r="BY130" s="555">
        <v>2656</v>
      </c>
      <c r="BZ130" s="554">
        <v>2239</v>
      </c>
      <c r="CA130" s="554">
        <v>1765</v>
      </c>
      <c r="CB130" s="554">
        <v>2389</v>
      </c>
      <c r="CC130" s="555">
        <v>3663</v>
      </c>
      <c r="CD130" s="554">
        <v>2927</v>
      </c>
      <c r="CE130" s="554">
        <v>2060</v>
      </c>
      <c r="CF130" s="554">
        <v>2382</v>
      </c>
      <c r="CG130" s="555">
        <v>2642</v>
      </c>
      <c r="CH130" s="554">
        <v>2295</v>
      </c>
      <c r="CI130" s="554">
        <v>1639</v>
      </c>
      <c r="CJ130" s="554">
        <v>1751</v>
      </c>
      <c r="CK130" s="555">
        <v>2915</v>
      </c>
      <c r="CL130" s="557">
        <v>2560</v>
      </c>
      <c r="CM130" s="554">
        <v>2557</v>
      </c>
      <c r="CN130" s="554">
        <v>2187</v>
      </c>
      <c r="CO130" s="555">
        <v>3100</v>
      </c>
      <c r="CP130" s="557">
        <v>3181</v>
      </c>
      <c r="CQ130" s="554">
        <v>2253</v>
      </c>
      <c r="CR130" s="554">
        <v>2016</v>
      </c>
      <c r="CS130" s="555">
        <v>2503.7506300276877</v>
      </c>
      <c r="CT130" s="557">
        <v>1986.4232563037278</v>
      </c>
      <c r="CU130" s="554">
        <v>1535.4275283080131</v>
      </c>
      <c r="CV130" s="554">
        <v>1963.0258134859378</v>
      </c>
      <c r="CW130" s="555">
        <v>2940.2235209250894</v>
      </c>
      <c r="CX130" s="552"/>
      <c r="CY130" s="552"/>
      <c r="CZ130" s="552"/>
      <c r="DA130" s="553"/>
      <c r="DB130" s="552"/>
      <c r="DC130" s="552"/>
      <c r="DD130" s="552"/>
      <c r="DE130" s="553"/>
      <c r="DF130" s="552"/>
      <c r="DG130" s="552"/>
      <c r="DH130" s="552"/>
      <c r="DI130" s="553"/>
      <c r="DJ130" s="454"/>
      <c r="DK130" s="558"/>
      <c r="DL130" s="552"/>
      <c r="DM130" s="552"/>
      <c r="DN130" s="552"/>
      <c r="DO130" s="552"/>
      <c r="DP130" s="552"/>
      <c r="DQ130" s="552"/>
      <c r="DR130" s="552"/>
      <c r="DS130" s="554">
        <v>2320</v>
      </c>
      <c r="DT130" s="398">
        <v>2507</v>
      </c>
      <c r="DU130" s="398">
        <v>2907</v>
      </c>
      <c r="DV130" s="394">
        <v>2556</v>
      </c>
      <c r="DW130" s="394">
        <v>2652</v>
      </c>
      <c r="DX130" s="394">
        <v>2405</v>
      </c>
      <c r="DY130" s="394">
        <v>2714</v>
      </c>
      <c r="DZ130" s="394">
        <v>2611</v>
      </c>
      <c r="EA130" s="394">
        <v>2656</v>
      </c>
      <c r="EB130" s="394">
        <v>3663</v>
      </c>
      <c r="EC130" s="554">
        <v>2642</v>
      </c>
      <c r="ED130" s="554">
        <v>2915</v>
      </c>
      <c r="EE130" s="554">
        <v>3100</v>
      </c>
      <c r="EF130" s="554">
        <v>2503.7506300276877</v>
      </c>
      <c r="EG130" s="554">
        <v>2940.2235209250894</v>
      </c>
      <c r="EH130" s="554">
        <v>3525.9584858727903</v>
      </c>
      <c r="EI130" s="554">
        <v>3258.4293895151968</v>
      </c>
      <c r="EJ130" s="554">
        <v>3183.828095410694</v>
      </c>
      <c r="EK130" s="554">
        <v>3375.705149436691</v>
      </c>
      <c r="EL130" s="554">
        <v>3323.7637344742498</v>
      </c>
      <c r="EM130" s="554">
        <v>3316.6254494314062</v>
      </c>
      <c r="EN130" s="554">
        <v>3350.2230817234158</v>
      </c>
      <c r="EO130" s="554">
        <v>3562.2616094606537</v>
      </c>
      <c r="EP130" s="389"/>
      <c r="EQ130" s="386"/>
    </row>
    <row r="131" spans="1:147" s="390" customFormat="1" ht="15" customHeight="1" outlineLevel="1">
      <c r="A131" s="385"/>
      <c r="B131"/>
      <c r="C131"/>
      <c r="D131"/>
      <c r="E131"/>
      <c r="F131"/>
      <c r="G131"/>
      <c r="H131" s="386"/>
      <c r="I131" s="370" t="s">
        <v>1558</v>
      </c>
      <c r="J131" s="399"/>
      <c r="K131" s="399"/>
      <c r="L131" s="399"/>
      <c r="M131" s="400"/>
      <c r="N131" s="399"/>
      <c r="O131" s="399"/>
      <c r="P131" s="399"/>
      <c r="Q131" s="400"/>
      <c r="R131" s="399"/>
      <c r="S131" s="399"/>
      <c r="T131" s="399"/>
      <c r="U131" s="400"/>
      <c r="V131" s="399"/>
      <c r="W131" s="399"/>
      <c r="X131" s="399"/>
      <c r="Y131" s="400"/>
      <c r="Z131" s="399"/>
      <c r="AA131" s="399"/>
      <c r="AB131" s="399"/>
      <c r="AC131" s="400"/>
      <c r="AD131" s="399"/>
      <c r="AE131" s="399"/>
      <c r="AF131" s="399"/>
      <c r="AG131" s="400"/>
      <c r="AH131" s="399"/>
      <c r="AI131" s="399"/>
      <c r="AJ131" s="399"/>
      <c r="AK131" s="400"/>
      <c r="AL131" s="399"/>
      <c r="AM131" s="399"/>
      <c r="AN131" s="399"/>
      <c r="AO131" s="400"/>
      <c r="AP131" s="399"/>
      <c r="AQ131" s="399"/>
      <c r="AR131" s="399"/>
      <c r="AS131" s="400"/>
      <c r="AT131" s="399"/>
      <c r="AU131" s="399"/>
      <c r="AV131" s="399"/>
      <c r="AW131" s="400"/>
      <c r="AX131" s="399"/>
      <c r="AY131" s="399"/>
      <c r="AZ131" s="399"/>
      <c r="BA131" s="400"/>
      <c r="BB131" s="401">
        <v>0</v>
      </c>
      <c r="BC131" s="401">
        <v>0</v>
      </c>
      <c r="BD131" s="401">
        <v>0</v>
      </c>
      <c r="BE131" s="402">
        <v>0</v>
      </c>
      <c r="BF131" s="401">
        <v>0</v>
      </c>
      <c r="BG131" s="401">
        <v>0</v>
      </c>
      <c r="BH131" s="401">
        <v>0</v>
      </c>
      <c r="BI131" s="402">
        <v>0</v>
      </c>
      <c r="BJ131" s="401">
        <v>0</v>
      </c>
      <c r="BK131" s="401">
        <v>0</v>
      </c>
      <c r="BL131" s="401">
        <v>2211</v>
      </c>
      <c r="BM131" s="402">
        <v>4668</v>
      </c>
      <c r="BN131" s="401">
        <v>4320</v>
      </c>
      <c r="BO131" s="401">
        <v>4321</v>
      </c>
      <c r="BP131" s="401">
        <v>4322</v>
      </c>
      <c r="BQ131" s="402">
        <v>4324</v>
      </c>
      <c r="BR131" s="401">
        <v>4075</v>
      </c>
      <c r="BS131" s="401">
        <v>4077</v>
      </c>
      <c r="BT131" s="401">
        <v>4078</v>
      </c>
      <c r="BU131" s="402">
        <v>4079</v>
      </c>
      <c r="BV131" s="401">
        <v>5777</v>
      </c>
      <c r="BW131" s="401">
        <v>4977</v>
      </c>
      <c r="BX131" s="401">
        <v>4881</v>
      </c>
      <c r="BY131" s="402">
        <v>4887</v>
      </c>
      <c r="BZ131" s="401">
        <v>4393</v>
      </c>
      <c r="CA131" s="401">
        <v>4387</v>
      </c>
      <c r="CB131" s="401">
        <v>4388</v>
      </c>
      <c r="CC131" s="402">
        <v>4390</v>
      </c>
      <c r="CD131" s="401">
        <v>4392</v>
      </c>
      <c r="CE131" s="401">
        <v>4394</v>
      </c>
      <c r="CF131" s="401">
        <v>2670</v>
      </c>
      <c r="CG131" s="402">
        <v>2671</v>
      </c>
      <c r="CH131" s="401">
        <v>2672</v>
      </c>
      <c r="CI131" s="401">
        <v>2673</v>
      </c>
      <c r="CJ131" s="401">
        <v>2674</v>
      </c>
      <c r="CK131" s="402">
        <v>2675</v>
      </c>
      <c r="CL131" s="438">
        <v>2675</v>
      </c>
      <c r="CM131" s="401">
        <v>2676</v>
      </c>
      <c r="CN131" s="401">
        <v>3604</v>
      </c>
      <c r="CO131" s="402">
        <v>3605</v>
      </c>
      <c r="CP131" s="438">
        <v>3606</v>
      </c>
      <c r="CQ131" s="401">
        <v>3606</v>
      </c>
      <c r="CR131" s="401">
        <v>3607</v>
      </c>
      <c r="CS131" s="413">
        <v>3607</v>
      </c>
      <c r="CT131" s="373">
        <v>3607</v>
      </c>
      <c r="CU131" s="325">
        <v>3607</v>
      </c>
      <c r="CV131" s="325">
        <v>3607</v>
      </c>
      <c r="CW131" s="413">
        <v>3607</v>
      </c>
      <c r="CX131" s="409"/>
      <c r="CY131" s="409"/>
      <c r="CZ131" s="409"/>
      <c r="DA131" s="410"/>
      <c r="DB131" s="409"/>
      <c r="DC131" s="409"/>
      <c r="DD131" s="409"/>
      <c r="DE131" s="410"/>
      <c r="DF131" s="409"/>
      <c r="DG131" s="409"/>
      <c r="DH131" s="409"/>
      <c r="DI131" s="410"/>
      <c r="DJ131" s="454"/>
      <c r="DK131" s="411"/>
      <c r="DL131" s="399"/>
      <c r="DM131" s="399"/>
      <c r="DN131" s="399"/>
      <c r="DO131" s="399"/>
      <c r="DP131" s="399"/>
      <c r="DQ131" s="399"/>
      <c r="DR131" s="399"/>
      <c r="DS131" s="401">
        <v>0</v>
      </c>
      <c r="DT131" s="401">
        <v>0</v>
      </c>
      <c r="DU131" s="401">
        <v>0</v>
      </c>
      <c r="DV131" s="325">
        <v>0</v>
      </c>
      <c r="DW131" s="325">
        <v>0</v>
      </c>
      <c r="DX131" s="325">
        <v>4668</v>
      </c>
      <c r="DY131" s="325">
        <v>4324</v>
      </c>
      <c r="DZ131" s="325">
        <v>4079</v>
      </c>
      <c r="EA131" s="325">
        <v>4887</v>
      </c>
      <c r="EB131" s="325">
        <v>4390</v>
      </c>
      <c r="EC131" s="412">
        <v>2671</v>
      </c>
      <c r="ED131" s="412">
        <v>2675</v>
      </c>
      <c r="EE131" s="412">
        <v>3605</v>
      </c>
      <c r="EF131" s="412">
        <v>3607</v>
      </c>
      <c r="EG131" s="412">
        <v>3607</v>
      </c>
      <c r="EH131" s="412">
        <v>3607</v>
      </c>
      <c r="EI131" s="412">
        <v>3607</v>
      </c>
      <c r="EJ131" s="412">
        <v>3607</v>
      </c>
      <c r="EK131" s="412">
        <v>3607</v>
      </c>
      <c r="EL131" s="412">
        <v>3607</v>
      </c>
      <c r="EM131" s="412">
        <v>3607</v>
      </c>
      <c r="EN131" s="412">
        <v>3607</v>
      </c>
      <c r="EO131" s="412">
        <v>3607</v>
      </c>
      <c r="EP131" s="389"/>
      <c r="EQ131" s="386"/>
    </row>
    <row r="132" spans="1:147" s="390" customFormat="1" ht="15" customHeight="1" outlineLevel="1">
      <c r="A132" s="385"/>
      <c r="B132"/>
      <c r="C132"/>
      <c r="D132"/>
      <c r="E132"/>
      <c r="F132"/>
      <c r="G132"/>
      <c r="H132" s="386"/>
      <c r="I132" s="370" t="s">
        <v>1559</v>
      </c>
      <c r="J132" s="399"/>
      <c r="K132" s="399"/>
      <c r="L132" s="399"/>
      <c r="M132" s="400"/>
      <c r="N132" s="399"/>
      <c r="O132" s="399"/>
      <c r="P132" s="399"/>
      <c r="Q132" s="400"/>
      <c r="R132" s="399"/>
      <c r="S132" s="399"/>
      <c r="T132" s="399"/>
      <c r="U132" s="400"/>
      <c r="V132" s="399"/>
      <c r="W132" s="399"/>
      <c r="X132" s="399"/>
      <c r="Y132" s="400"/>
      <c r="Z132" s="399"/>
      <c r="AA132" s="399"/>
      <c r="AB132" s="399"/>
      <c r="AC132" s="400"/>
      <c r="AD132" s="399"/>
      <c r="AE132" s="399"/>
      <c r="AF132" s="399"/>
      <c r="AG132" s="400"/>
      <c r="AH132" s="399"/>
      <c r="AI132" s="399"/>
      <c r="AJ132" s="399"/>
      <c r="AK132" s="400"/>
      <c r="AL132" s="399"/>
      <c r="AM132" s="399"/>
      <c r="AN132" s="399"/>
      <c r="AO132" s="400"/>
      <c r="AP132" s="399"/>
      <c r="AQ132" s="399"/>
      <c r="AR132" s="399"/>
      <c r="AS132" s="400"/>
      <c r="AT132" s="399"/>
      <c r="AU132" s="399"/>
      <c r="AV132" s="399"/>
      <c r="AW132" s="400"/>
      <c r="AX132" s="399"/>
      <c r="AY132" s="399"/>
      <c r="AZ132" s="399"/>
      <c r="BA132" s="400"/>
      <c r="BB132" s="401">
        <v>83</v>
      </c>
      <c r="BC132" s="401">
        <v>97</v>
      </c>
      <c r="BD132" s="401">
        <v>95</v>
      </c>
      <c r="BE132" s="402">
        <v>55</v>
      </c>
      <c r="BF132" s="401">
        <v>57</v>
      </c>
      <c r="BG132" s="401">
        <v>61</v>
      </c>
      <c r="BH132" s="401">
        <v>60</v>
      </c>
      <c r="BI132" s="402">
        <v>25</v>
      </c>
      <c r="BJ132" s="401">
        <v>83</v>
      </c>
      <c r="BK132" s="401">
        <v>77</v>
      </c>
      <c r="BL132" s="401">
        <v>71</v>
      </c>
      <c r="BM132" s="402">
        <v>20</v>
      </c>
      <c r="BN132" s="401">
        <v>86</v>
      </c>
      <c r="BO132" s="401">
        <v>82</v>
      </c>
      <c r="BP132" s="401">
        <v>82</v>
      </c>
      <c r="BQ132" s="402">
        <v>114</v>
      </c>
      <c r="BR132" s="401">
        <v>124</v>
      </c>
      <c r="BS132" s="401">
        <v>126</v>
      </c>
      <c r="BT132" s="401">
        <v>110</v>
      </c>
      <c r="BU132" s="402">
        <v>3</v>
      </c>
      <c r="BV132" s="401">
        <v>57</v>
      </c>
      <c r="BW132" s="401">
        <v>50</v>
      </c>
      <c r="BX132" s="401">
        <v>43</v>
      </c>
      <c r="BY132" s="402">
        <v>44</v>
      </c>
      <c r="BZ132" s="401">
        <v>41</v>
      </c>
      <c r="CA132" s="401">
        <v>38</v>
      </c>
      <c r="CB132" s="401">
        <v>40</v>
      </c>
      <c r="CC132" s="402">
        <v>21</v>
      </c>
      <c r="CD132" s="401">
        <v>16</v>
      </c>
      <c r="CE132" s="401">
        <v>13</v>
      </c>
      <c r="CF132" s="401">
        <v>11</v>
      </c>
      <c r="CG132" s="402">
        <v>18</v>
      </c>
      <c r="CH132" s="401">
        <v>22</v>
      </c>
      <c r="CI132" s="401">
        <v>20</v>
      </c>
      <c r="CJ132" s="401">
        <v>23</v>
      </c>
      <c r="CK132" s="402">
        <v>505</v>
      </c>
      <c r="CL132" s="438">
        <v>458</v>
      </c>
      <c r="CM132" s="401">
        <v>436</v>
      </c>
      <c r="CN132" s="401">
        <v>480</v>
      </c>
      <c r="CO132" s="402">
        <v>418</v>
      </c>
      <c r="CP132" s="438">
        <v>365</v>
      </c>
      <c r="CQ132" s="401">
        <v>511</v>
      </c>
      <c r="CR132" s="401">
        <v>433</v>
      </c>
      <c r="CS132" s="413">
        <v>433</v>
      </c>
      <c r="CT132" s="373">
        <v>433</v>
      </c>
      <c r="CU132" s="325">
        <v>433</v>
      </c>
      <c r="CV132" s="325">
        <v>433</v>
      </c>
      <c r="CW132" s="413">
        <v>433</v>
      </c>
      <c r="CX132" s="409"/>
      <c r="CY132" s="409"/>
      <c r="CZ132" s="409"/>
      <c r="DA132" s="410"/>
      <c r="DB132" s="409"/>
      <c r="DC132" s="409"/>
      <c r="DD132" s="409"/>
      <c r="DE132" s="410"/>
      <c r="DF132" s="409"/>
      <c r="DG132" s="409"/>
      <c r="DH132" s="409"/>
      <c r="DI132" s="410"/>
      <c r="DJ132" s="454"/>
      <c r="DK132" s="411"/>
      <c r="DL132" s="399"/>
      <c r="DM132" s="399"/>
      <c r="DN132" s="399"/>
      <c r="DO132" s="399"/>
      <c r="DP132" s="399"/>
      <c r="DQ132" s="399"/>
      <c r="DR132" s="399"/>
      <c r="DS132" s="401">
        <v>751</v>
      </c>
      <c r="DT132" s="401">
        <v>270</v>
      </c>
      <c r="DU132" s="401">
        <v>112</v>
      </c>
      <c r="DV132" s="325">
        <v>55</v>
      </c>
      <c r="DW132" s="325">
        <v>25</v>
      </c>
      <c r="DX132" s="325">
        <v>20</v>
      </c>
      <c r="DY132" s="325">
        <v>114</v>
      </c>
      <c r="DZ132" s="325">
        <v>3</v>
      </c>
      <c r="EA132" s="325">
        <v>44</v>
      </c>
      <c r="EB132" s="325">
        <v>21</v>
      </c>
      <c r="EC132" s="412">
        <v>18</v>
      </c>
      <c r="ED132" s="412">
        <v>505</v>
      </c>
      <c r="EE132" s="412">
        <v>418</v>
      </c>
      <c r="EF132" s="412">
        <v>433</v>
      </c>
      <c r="EG132" s="412">
        <v>433</v>
      </c>
      <c r="EH132" s="412">
        <v>433</v>
      </c>
      <c r="EI132" s="412">
        <v>433</v>
      </c>
      <c r="EJ132" s="412">
        <v>433</v>
      </c>
      <c r="EK132" s="412">
        <v>433</v>
      </c>
      <c r="EL132" s="412">
        <v>433</v>
      </c>
      <c r="EM132" s="412">
        <v>433</v>
      </c>
      <c r="EN132" s="412">
        <v>433</v>
      </c>
      <c r="EO132" s="412">
        <v>433</v>
      </c>
      <c r="EP132" s="389"/>
      <c r="EQ132" s="386"/>
    </row>
    <row r="133" spans="1:147" s="390" customFormat="1" ht="15" customHeight="1" outlineLevel="1">
      <c r="A133" s="385"/>
      <c r="B133"/>
      <c r="C133"/>
      <c r="D133"/>
      <c r="E133"/>
      <c r="F133"/>
      <c r="G133"/>
      <c r="H133" s="386"/>
      <c r="I133" s="370" t="s">
        <v>1560</v>
      </c>
      <c r="J133" s="399"/>
      <c r="K133" s="399"/>
      <c r="L133" s="399"/>
      <c r="M133" s="400"/>
      <c r="N133" s="399"/>
      <c r="O133" s="399"/>
      <c r="P133" s="399"/>
      <c r="Q133" s="400"/>
      <c r="R133" s="399"/>
      <c r="S133" s="399"/>
      <c r="T133" s="399"/>
      <c r="U133" s="400"/>
      <c r="V133" s="399"/>
      <c r="W133" s="399"/>
      <c r="X133" s="399"/>
      <c r="Y133" s="400"/>
      <c r="Z133" s="399"/>
      <c r="AA133" s="399"/>
      <c r="AB133" s="399"/>
      <c r="AC133" s="400"/>
      <c r="AD133" s="399"/>
      <c r="AE133" s="399"/>
      <c r="AF133" s="399"/>
      <c r="AG133" s="400"/>
      <c r="AH133" s="399"/>
      <c r="AI133" s="399"/>
      <c r="AJ133" s="399"/>
      <c r="AK133" s="400"/>
      <c r="AL133" s="399"/>
      <c r="AM133" s="399"/>
      <c r="AN133" s="399"/>
      <c r="AO133" s="400"/>
      <c r="AP133" s="399"/>
      <c r="AQ133" s="399"/>
      <c r="AR133" s="399"/>
      <c r="AS133" s="400"/>
      <c r="AT133" s="399"/>
      <c r="AU133" s="399"/>
      <c r="AV133" s="399"/>
      <c r="AW133" s="400"/>
      <c r="AX133" s="399"/>
      <c r="AY133" s="399"/>
      <c r="AZ133" s="399"/>
      <c r="BA133" s="400"/>
      <c r="BB133" s="401">
        <v>166</v>
      </c>
      <c r="BC133" s="401">
        <v>164</v>
      </c>
      <c r="BD133" s="401">
        <v>168</v>
      </c>
      <c r="BE133" s="402">
        <v>174</v>
      </c>
      <c r="BF133" s="401">
        <v>165</v>
      </c>
      <c r="BG133" s="401">
        <v>160</v>
      </c>
      <c r="BH133" s="401">
        <v>163</v>
      </c>
      <c r="BI133" s="402">
        <v>206</v>
      </c>
      <c r="BJ133" s="401">
        <v>208</v>
      </c>
      <c r="BK133" s="401">
        <v>206</v>
      </c>
      <c r="BL133" s="401">
        <v>206</v>
      </c>
      <c r="BM133" s="402">
        <v>297</v>
      </c>
      <c r="BN133" s="401">
        <v>305</v>
      </c>
      <c r="BO133" s="401">
        <v>343</v>
      </c>
      <c r="BP133" s="401">
        <v>347</v>
      </c>
      <c r="BQ133" s="402">
        <v>361</v>
      </c>
      <c r="BR133" s="401">
        <v>441</v>
      </c>
      <c r="BS133" s="401">
        <v>466</v>
      </c>
      <c r="BT133" s="401">
        <v>515</v>
      </c>
      <c r="BU133" s="402">
        <v>483</v>
      </c>
      <c r="BV133" s="401">
        <v>798</v>
      </c>
      <c r="BW133" s="401">
        <v>835</v>
      </c>
      <c r="BX133" s="401">
        <v>937</v>
      </c>
      <c r="BY133" s="402">
        <v>746</v>
      </c>
      <c r="BZ133" s="401">
        <v>812</v>
      </c>
      <c r="CA133" s="401">
        <v>903</v>
      </c>
      <c r="CB133" s="401">
        <v>934</v>
      </c>
      <c r="CC133" s="402">
        <v>1181</v>
      </c>
      <c r="CD133" s="401">
        <v>1243</v>
      </c>
      <c r="CE133" s="401">
        <v>1145</v>
      </c>
      <c r="CF133" s="401">
        <v>991</v>
      </c>
      <c r="CG133" s="402">
        <v>1147</v>
      </c>
      <c r="CH133" s="401">
        <v>1363</v>
      </c>
      <c r="CI133" s="401">
        <v>1186</v>
      </c>
      <c r="CJ133" s="401">
        <v>1122</v>
      </c>
      <c r="CK133" s="402">
        <v>945</v>
      </c>
      <c r="CL133" s="438">
        <v>890</v>
      </c>
      <c r="CM133" s="401">
        <v>869</v>
      </c>
      <c r="CN133" s="401">
        <v>924</v>
      </c>
      <c r="CO133" s="402">
        <v>949</v>
      </c>
      <c r="CP133" s="438">
        <v>942</v>
      </c>
      <c r="CQ133" s="401">
        <v>916</v>
      </c>
      <c r="CR133" s="401">
        <v>971</v>
      </c>
      <c r="CS133" s="413">
        <v>971</v>
      </c>
      <c r="CT133" s="373">
        <v>971</v>
      </c>
      <c r="CU133" s="325">
        <v>971</v>
      </c>
      <c r="CV133" s="325">
        <v>971</v>
      </c>
      <c r="CW133" s="413">
        <v>971</v>
      </c>
      <c r="CX133" s="409"/>
      <c r="CY133" s="409"/>
      <c r="CZ133" s="409"/>
      <c r="DA133" s="410"/>
      <c r="DB133" s="409"/>
      <c r="DC133" s="409"/>
      <c r="DD133" s="409"/>
      <c r="DE133" s="410"/>
      <c r="DF133" s="409"/>
      <c r="DG133" s="409"/>
      <c r="DH133" s="409"/>
      <c r="DI133" s="410"/>
      <c r="DJ133" s="454"/>
      <c r="DK133" s="411"/>
      <c r="DL133" s="399"/>
      <c r="DM133" s="399"/>
      <c r="DN133" s="399"/>
      <c r="DO133" s="399"/>
      <c r="DP133" s="399"/>
      <c r="DQ133" s="399"/>
      <c r="DR133" s="399"/>
      <c r="DS133" s="401">
        <v>239</v>
      </c>
      <c r="DT133" s="401">
        <v>209</v>
      </c>
      <c r="DU133" s="401">
        <v>184</v>
      </c>
      <c r="DV133" s="325">
        <v>174</v>
      </c>
      <c r="DW133" s="325">
        <v>206</v>
      </c>
      <c r="DX133" s="325">
        <v>297</v>
      </c>
      <c r="DY133" s="325">
        <v>361</v>
      </c>
      <c r="DZ133" s="325">
        <v>483</v>
      </c>
      <c r="EA133" s="325">
        <v>746</v>
      </c>
      <c r="EB133" s="325">
        <v>1181</v>
      </c>
      <c r="EC133" s="412">
        <v>1147</v>
      </c>
      <c r="ED133" s="412">
        <v>945</v>
      </c>
      <c r="EE133" s="412">
        <v>949</v>
      </c>
      <c r="EF133" s="412">
        <v>971</v>
      </c>
      <c r="EG133" s="412">
        <v>971</v>
      </c>
      <c r="EH133" s="412">
        <v>1073.9420418426889</v>
      </c>
      <c r="EI133" s="412">
        <v>1036.6463122544035</v>
      </c>
      <c r="EJ133" s="412">
        <v>1018.2363180182401</v>
      </c>
      <c r="EK133" s="412">
        <v>1035.1024473735306</v>
      </c>
      <c r="EL133" s="412">
        <v>1039.1684492025531</v>
      </c>
      <c r="EM133" s="412">
        <v>1028.7121542225814</v>
      </c>
      <c r="EN133" s="412">
        <v>1035.5173992231635</v>
      </c>
      <c r="EO133" s="412">
        <v>1057.1301745022872</v>
      </c>
      <c r="EP133" s="389"/>
      <c r="EQ133" s="386"/>
    </row>
    <row r="134" spans="1:147" s="390" customFormat="1" ht="15" customHeight="1" outlineLevel="1">
      <c r="A134" s="385"/>
      <c r="B134"/>
      <c r="C134"/>
      <c r="D134"/>
      <c r="E134"/>
      <c r="F134"/>
      <c r="G134"/>
      <c r="H134" s="386"/>
      <c r="I134" s="517" t="s">
        <v>1561</v>
      </c>
      <c r="J134" s="552"/>
      <c r="K134" s="552"/>
      <c r="L134" s="552"/>
      <c r="M134" s="553"/>
      <c r="N134" s="552"/>
      <c r="O134" s="552"/>
      <c r="P134" s="552"/>
      <c r="Q134" s="553"/>
      <c r="R134" s="552"/>
      <c r="S134" s="552"/>
      <c r="T134" s="552"/>
      <c r="U134" s="553"/>
      <c r="V134" s="552"/>
      <c r="W134" s="552"/>
      <c r="X134" s="552"/>
      <c r="Y134" s="553"/>
      <c r="Z134" s="552"/>
      <c r="AA134" s="552"/>
      <c r="AB134" s="552"/>
      <c r="AC134" s="553"/>
      <c r="AD134" s="552"/>
      <c r="AE134" s="552"/>
      <c r="AF134" s="552"/>
      <c r="AG134" s="553"/>
      <c r="AH134" s="552"/>
      <c r="AI134" s="552"/>
      <c r="AJ134" s="552"/>
      <c r="AK134" s="553"/>
      <c r="AL134" s="552"/>
      <c r="AM134" s="552"/>
      <c r="AN134" s="552"/>
      <c r="AO134" s="553"/>
      <c r="AP134" s="552"/>
      <c r="AQ134" s="552"/>
      <c r="AR134" s="552"/>
      <c r="AS134" s="553"/>
      <c r="AT134" s="552"/>
      <c r="AU134" s="552"/>
      <c r="AV134" s="552"/>
      <c r="AW134" s="553"/>
      <c r="AX134" s="552">
        <v>0</v>
      </c>
      <c r="AY134" s="552">
        <v>0</v>
      </c>
      <c r="AZ134" s="552">
        <v>0</v>
      </c>
      <c r="BA134" s="553">
        <v>0</v>
      </c>
      <c r="BB134" s="554">
        <v>2140</v>
      </c>
      <c r="BC134" s="554">
        <v>1507</v>
      </c>
      <c r="BD134" s="554">
        <v>1542</v>
      </c>
      <c r="BE134" s="555">
        <v>2785</v>
      </c>
      <c r="BF134" s="554">
        <v>1996</v>
      </c>
      <c r="BG134" s="554">
        <v>1705</v>
      </c>
      <c r="BH134" s="554">
        <v>1778</v>
      </c>
      <c r="BI134" s="555">
        <v>2883</v>
      </c>
      <c r="BJ134" s="554">
        <v>2190</v>
      </c>
      <c r="BK134" s="554">
        <v>1476</v>
      </c>
      <c r="BL134" s="554">
        <v>3921</v>
      </c>
      <c r="BM134" s="555">
        <v>7390</v>
      </c>
      <c r="BN134" s="554">
        <v>6604</v>
      </c>
      <c r="BO134" s="554">
        <v>6189</v>
      </c>
      <c r="BP134" s="554">
        <v>6863</v>
      </c>
      <c r="BQ134" s="555">
        <v>7513</v>
      </c>
      <c r="BR134" s="554">
        <v>6539</v>
      </c>
      <c r="BS134" s="554">
        <v>6214</v>
      </c>
      <c r="BT134" s="554">
        <v>6313</v>
      </c>
      <c r="BU134" s="555">
        <v>7176</v>
      </c>
      <c r="BV134" s="554">
        <v>8954</v>
      </c>
      <c r="BW134" s="554">
        <v>8053</v>
      </c>
      <c r="BX134" s="554">
        <v>9562</v>
      </c>
      <c r="BY134" s="555">
        <v>8333</v>
      </c>
      <c r="BZ134" s="554">
        <v>7485</v>
      </c>
      <c r="CA134" s="554">
        <v>7093</v>
      </c>
      <c r="CB134" s="554">
        <v>7751</v>
      </c>
      <c r="CC134" s="555">
        <v>9255</v>
      </c>
      <c r="CD134" s="554">
        <v>8578</v>
      </c>
      <c r="CE134" s="554">
        <v>7612</v>
      </c>
      <c r="CF134" s="554">
        <v>6054</v>
      </c>
      <c r="CG134" s="555">
        <v>6478</v>
      </c>
      <c r="CH134" s="554">
        <v>6352</v>
      </c>
      <c r="CI134" s="554">
        <v>5518</v>
      </c>
      <c r="CJ134" s="554">
        <v>5570</v>
      </c>
      <c r="CK134" s="555">
        <v>7040</v>
      </c>
      <c r="CL134" s="557">
        <v>6583</v>
      </c>
      <c r="CM134" s="554">
        <v>6538</v>
      </c>
      <c r="CN134" s="554">
        <v>7195</v>
      </c>
      <c r="CO134" s="555">
        <v>8072</v>
      </c>
      <c r="CP134" s="557">
        <v>8094</v>
      </c>
      <c r="CQ134" s="554">
        <v>7286</v>
      </c>
      <c r="CR134" s="554">
        <v>7027</v>
      </c>
      <c r="CS134" s="555">
        <v>7514.7506300276873</v>
      </c>
      <c r="CT134" s="557">
        <v>6997.4232563037276</v>
      </c>
      <c r="CU134" s="554">
        <v>6546.4275283080133</v>
      </c>
      <c r="CV134" s="554">
        <v>6974.0258134859378</v>
      </c>
      <c r="CW134" s="555">
        <v>7951.2235209250894</v>
      </c>
      <c r="CX134" s="552"/>
      <c r="CY134" s="552"/>
      <c r="CZ134" s="552"/>
      <c r="DA134" s="553"/>
      <c r="DB134" s="552"/>
      <c r="DC134" s="552"/>
      <c r="DD134" s="552"/>
      <c r="DE134" s="553"/>
      <c r="DF134" s="552"/>
      <c r="DG134" s="552"/>
      <c r="DH134" s="552"/>
      <c r="DI134" s="553"/>
      <c r="DJ134" s="454"/>
      <c r="DK134" s="558"/>
      <c r="DL134" s="552"/>
      <c r="DM134" s="552"/>
      <c r="DN134" s="552"/>
      <c r="DO134" s="552"/>
      <c r="DP134" s="552"/>
      <c r="DQ134" s="552"/>
      <c r="DR134" s="552"/>
      <c r="DS134" s="554">
        <v>3310</v>
      </c>
      <c r="DT134" s="398">
        <v>2986</v>
      </c>
      <c r="DU134" s="398">
        <v>3203</v>
      </c>
      <c r="DV134" s="394">
        <v>2785</v>
      </c>
      <c r="DW134" s="394">
        <v>2883</v>
      </c>
      <c r="DX134" s="394">
        <v>7390</v>
      </c>
      <c r="DY134" s="394">
        <v>7513</v>
      </c>
      <c r="DZ134" s="394">
        <v>7176</v>
      </c>
      <c r="EA134" s="394">
        <v>8333</v>
      </c>
      <c r="EB134" s="394">
        <v>9255</v>
      </c>
      <c r="EC134" s="554">
        <v>6478</v>
      </c>
      <c r="ED134" s="554">
        <v>7040</v>
      </c>
      <c r="EE134" s="554">
        <v>8072</v>
      </c>
      <c r="EF134" s="554">
        <v>7514.7506300276873</v>
      </c>
      <c r="EG134" s="554">
        <v>7951.2235209250894</v>
      </c>
      <c r="EH134" s="554">
        <v>8639.9005277154793</v>
      </c>
      <c r="EI134" s="554">
        <v>8335.0757017695996</v>
      </c>
      <c r="EJ134" s="554">
        <v>8242.0644134289341</v>
      </c>
      <c r="EK134" s="554">
        <v>8450.8075968102221</v>
      </c>
      <c r="EL134" s="554">
        <v>8402.9321836768031</v>
      </c>
      <c r="EM134" s="554">
        <v>8385.3376036539885</v>
      </c>
      <c r="EN134" s="554">
        <v>8425.7404809465788</v>
      </c>
      <c r="EO134" s="554">
        <v>8659.3917839629412</v>
      </c>
      <c r="EP134" s="389"/>
      <c r="EQ134" s="386"/>
    </row>
    <row r="135" spans="1:147" s="390" customFormat="1" ht="15" customHeight="1" outlineLevel="1">
      <c r="A135" s="385"/>
      <c r="B135"/>
      <c r="C135"/>
      <c r="D135"/>
      <c r="E135"/>
      <c r="F135"/>
      <c r="G135"/>
      <c r="H135" s="386"/>
      <c r="I135" s="370"/>
      <c r="J135" s="386"/>
      <c r="K135" s="386"/>
      <c r="L135" s="386"/>
      <c r="M135" s="388"/>
      <c r="N135" s="386"/>
      <c r="O135" s="386"/>
      <c r="P135" s="386"/>
      <c r="Q135" s="388"/>
      <c r="R135" s="386"/>
      <c r="S135" s="386"/>
      <c r="T135" s="386"/>
      <c r="U135" s="388"/>
      <c r="V135" s="386"/>
      <c r="W135" s="386"/>
      <c r="X135" s="386"/>
      <c r="Y135" s="388"/>
      <c r="Z135" s="386"/>
      <c r="AA135" s="386"/>
      <c r="AB135" s="386"/>
      <c r="AC135" s="388"/>
      <c r="AD135" s="386"/>
      <c r="AE135" s="386"/>
      <c r="AF135" s="386"/>
      <c r="AG135" s="388"/>
      <c r="AH135" s="386"/>
      <c r="AI135" s="386"/>
      <c r="AJ135" s="386"/>
      <c r="AK135" s="388"/>
      <c r="AL135" s="386"/>
      <c r="AM135" s="386"/>
      <c r="AN135" s="386"/>
      <c r="AO135" s="388"/>
      <c r="AP135" s="386"/>
      <c r="AQ135" s="386"/>
      <c r="AR135" s="386"/>
      <c r="AS135" s="388"/>
      <c r="AT135" s="386"/>
      <c r="AU135" s="386"/>
      <c r="AV135" s="386"/>
      <c r="AW135" s="388"/>
      <c r="AX135" s="386"/>
      <c r="AY135" s="386"/>
      <c r="AZ135" s="386"/>
      <c r="BA135" s="388"/>
      <c r="BB135" s="325"/>
      <c r="BC135" s="325"/>
      <c r="BD135" s="325"/>
      <c r="BE135" s="372"/>
      <c r="BF135" s="325"/>
      <c r="BG135" s="325"/>
      <c r="BH135" s="325"/>
      <c r="BI135" s="372"/>
      <c r="BJ135" s="325"/>
      <c r="BK135" s="325"/>
      <c r="BL135" s="325"/>
      <c r="BM135" s="372"/>
      <c r="BN135" s="325"/>
      <c r="BO135" s="325"/>
      <c r="BP135" s="325"/>
      <c r="BQ135" s="372"/>
      <c r="BR135" s="325"/>
      <c r="BS135" s="325"/>
      <c r="BT135" s="325"/>
      <c r="BU135" s="372"/>
      <c r="BV135" s="325"/>
      <c r="BW135" s="325"/>
      <c r="BX135" s="325"/>
      <c r="BY135" s="372"/>
      <c r="BZ135" s="325"/>
      <c r="CA135" s="325"/>
      <c r="CB135" s="325"/>
      <c r="CC135" s="372"/>
      <c r="CD135" s="325"/>
      <c r="CE135" s="325"/>
      <c r="CF135" s="325"/>
      <c r="CG135" s="372"/>
      <c r="CH135" s="325"/>
      <c r="CI135" s="325"/>
      <c r="CJ135" s="325"/>
      <c r="CK135" s="372"/>
      <c r="CL135" s="373"/>
      <c r="CM135" s="325"/>
      <c r="CN135" s="325"/>
      <c r="CO135" s="372"/>
      <c r="CP135" s="373"/>
      <c r="CQ135" s="325"/>
      <c r="CR135" s="325"/>
      <c r="CS135" s="372"/>
      <c r="CT135" s="373"/>
      <c r="CU135" s="325"/>
      <c r="CV135" s="325"/>
      <c r="CW135" s="372"/>
      <c r="CX135" s="386"/>
      <c r="CY135" s="386"/>
      <c r="CZ135" s="386"/>
      <c r="DA135" s="388"/>
      <c r="DB135" s="386"/>
      <c r="DC135" s="386"/>
      <c r="DD135" s="386"/>
      <c r="DE135" s="388"/>
      <c r="DF135" s="386"/>
      <c r="DG135" s="386"/>
      <c r="DH135" s="386"/>
      <c r="DI135" s="388"/>
      <c r="DJ135" s="454"/>
      <c r="DK135" s="389"/>
      <c r="DL135" s="386"/>
      <c r="DM135" s="386"/>
      <c r="DN135" s="386"/>
      <c r="DO135" s="386"/>
      <c r="DP135" s="386"/>
      <c r="DQ135" s="386"/>
      <c r="DR135" s="386"/>
      <c r="DS135" s="325"/>
      <c r="DT135" s="401"/>
      <c r="DU135" s="401"/>
      <c r="DV135" s="325"/>
      <c r="DW135" s="325"/>
      <c r="DX135" s="325"/>
      <c r="DY135" s="325"/>
      <c r="DZ135" s="325"/>
      <c r="EA135" s="325"/>
      <c r="EB135" s="386"/>
      <c r="EC135" s="325"/>
      <c r="ED135" s="325"/>
      <c r="EE135" s="325"/>
      <c r="EF135" s="325"/>
      <c r="EG135" s="325"/>
      <c r="EH135" s="325"/>
      <c r="EI135" s="325"/>
      <c r="EJ135" s="325"/>
      <c r="EK135" s="325"/>
      <c r="EL135" s="325"/>
      <c r="EM135" s="325"/>
      <c r="EN135" s="325"/>
      <c r="EO135" s="325"/>
      <c r="EP135" s="389"/>
      <c r="EQ135" s="386"/>
    </row>
    <row r="136" spans="1:147" s="390" customFormat="1" ht="15" customHeight="1" outlineLevel="1">
      <c r="A136" s="385"/>
      <c r="B136"/>
      <c r="C136"/>
      <c r="D136"/>
      <c r="E136"/>
      <c r="F136"/>
      <c r="G136"/>
      <c r="H136" s="386"/>
      <c r="I136" s="547" t="s">
        <v>1562</v>
      </c>
      <c r="J136" s="548"/>
      <c r="K136" s="548"/>
      <c r="L136" s="548"/>
      <c r="M136" s="549"/>
      <c r="N136" s="548"/>
      <c r="O136" s="548"/>
      <c r="P136" s="548"/>
      <c r="Q136" s="549"/>
      <c r="R136" s="548"/>
      <c r="S136" s="548"/>
      <c r="T136" s="548"/>
      <c r="U136" s="549"/>
      <c r="V136" s="548"/>
      <c r="W136" s="548"/>
      <c r="X136" s="548"/>
      <c r="Y136" s="549"/>
      <c r="Z136" s="548"/>
      <c r="AA136" s="548"/>
      <c r="AB136" s="548"/>
      <c r="AC136" s="549"/>
      <c r="AD136" s="548"/>
      <c r="AE136" s="548"/>
      <c r="AF136" s="548"/>
      <c r="AG136" s="549"/>
      <c r="AH136" s="548"/>
      <c r="AI136" s="548"/>
      <c r="AJ136" s="548"/>
      <c r="AK136" s="549"/>
      <c r="AL136" s="548"/>
      <c r="AM136" s="548"/>
      <c r="AN136" s="548"/>
      <c r="AO136" s="549"/>
      <c r="AP136" s="548"/>
      <c r="AQ136" s="548"/>
      <c r="AR136" s="548"/>
      <c r="AS136" s="549"/>
      <c r="AT136" s="548"/>
      <c r="AU136" s="548"/>
      <c r="AV136" s="548"/>
      <c r="AW136" s="549"/>
      <c r="AX136" s="548"/>
      <c r="AY136" s="548"/>
      <c r="AZ136" s="548"/>
      <c r="BA136" s="549"/>
      <c r="BB136" s="563"/>
      <c r="BC136" s="563"/>
      <c r="BD136" s="563"/>
      <c r="BE136" s="564"/>
      <c r="BF136" s="563"/>
      <c r="BG136" s="563"/>
      <c r="BH136" s="563"/>
      <c r="BI136" s="564"/>
      <c r="BJ136" s="563"/>
      <c r="BK136" s="563"/>
      <c r="BL136" s="563"/>
      <c r="BM136" s="564"/>
      <c r="BN136" s="563"/>
      <c r="BO136" s="563"/>
      <c r="BP136" s="563"/>
      <c r="BQ136" s="564"/>
      <c r="BR136" s="563"/>
      <c r="BS136" s="563"/>
      <c r="BT136" s="563"/>
      <c r="BU136" s="564"/>
      <c r="BV136" s="563"/>
      <c r="BW136" s="563"/>
      <c r="BX136" s="563"/>
      <c r="BY136" s="564"/>
      <c r="BZ136" s="563"/>
      <c r="CA136" s="563"/>
      <c r="CB136" s="563"/>
      <c r="CC136" s="564"/>
      <c r="CD136" s="563"/>
      <c r="CE136" s="563"/>
      <c r="CF136" s="563"/>
      <c r="CG136" s="564"/>
      <c r="CH136" s="563"/>
      <c r="CI136" s="563"/>
      <c r="CJ136" s="563"/>
      <c r="CK136" s="564"/>
      <c r="CL136" s="566"/>
      <c r="CM136" s="563"/>
      <c r="CN136" s="563"/>
      <c r="CO136" s="564"/>
      <c r="CP136" s="566"/>
      <c r="CQ136" s="563"/>
      <c r="CR136" s="563"/>
      <c r="CS136" s="564"/>
      <c r="CT136" s="566"/>
      <c r="CU136" s="563"/>
      <c r="CV136" s="563"/>
      <c r="CW136" s="564"/>
      <c r="CX136" s="548"/>
      <c r="CY136" s="548"/>
      <c r="CZ136" s="548"/>
      <c r="DA136" s="549"/>
      <c r="DB136" s="548"/>
      <c r="DC136" s="548"/>
      <c r="DD136" s="548"/>
      <c r="DE136" s="549"/>
      <c r="DF136" s="548"/>
      <c r="DG136" s="548"/>
      <c r="DH136" s="548"/>
      <c r="DI136" s="549"/>
      <c r="DJ136" s="454"/>
      <c r="DK136" s="550"/>
      <c r="DL136" s="548"/>
      <c r="DM136" s="548"/>
      <c r="DN136" s="548"/>
      <c r="DO136" s="548"/>
      <c r="DP136" s="548"/>
      <c r="DQ136" s="548"/>
      <c r="DR136" s="548"/>
      <c r="DS136" s="563"/>
      <c r="DT136" s="565"/>
      <c r="DU136" s="565"/>
      <c r="DV136" s="563"/>
      <c r="DW136" s="563"/>
      <c r="DX136" s="563"/>
      <c r="DY136" s="563"/>
      <c r="DZ136" s="563"/>
      <c r="EA136" s="563"/>
      <c r="EB136" s="548"/>
      <c r="EC136" s="563"/>
      <c r="ED136" s="563"/>
      <c r="EE136" s="563"/>
      <c r="EF136" s="563"/>
      <c r="EG136" s="563"/>
      <c r="EH136" s="563"/>
      <c r="EI136" s="563"/>
      <c r="EJ136" s="563"/>
      <c r="EK136" s="563"/>
      <c r="EL136" s="563"/>
      <c r="EM136" s="563"/>
      <c r="EN136" s="563"/>
      <c r="EO136" s="563"/>
      <c r="EP136" s="389"/>
      <c r="EQ136" s="386"/>
    </row>
    <row r="137" spans="1:147" s="390" customFormat="1" ht="15" customHeight="1" outlineLevel="1">
      <c r="A137" s="385"/>
      <c r="B137"/>
      <c r="C137"/>
      <c r="D137"/>
      <c r="E137"/>
      <c r="F137"/>
      <c r="G137"/>
      <c r="H137" s="386"/>
      <c r="I137" s="370" t="s">
        <v>1563</v>
      </c>
      <c r="J137" s="399"/>
      <c r="K137" s="399"/>
      <c r="L137" s="399"/>
      <c r="M137" s="400"/>
      <c r="N137" s="399"/>
      <c r="O137" s="399"/>
      <c r="P137" s="399"/>
      <c r="Q137" s="400"/>
      <c r="R137" s="399"/>
      <c r="S137" s="399"/>
      <c r="T137" s="399"/>
      <c r="U137" s="400"/>
      <c r="V137" s="399"/>
      <c r="W137" s="399"/>
      <c r="X137" s="399"/>
      <c r="Y137" s="400"/>
      <c r="Z137" s="399"/>
      <c r="AA137" s="399"/>
      <c r="AB137" s="399"/>
      <c r="AC137" s="400"/>
      <c r="AD137" s="399"/>
      <c r="AE137" s="399"/>
      <c r="AF137" s="399"/>
      <c r="AG137" s="400"/>
      <c r="AH137" s="399"/>
      <c r="AI137" s="399"/>
      <c r="AJ137" s="399"/>
      <c r="AK137" s="400"/>
      <c r="AL137" s="399"/>
      <c r="AM137" s="399"/>
      <c r="AN137" s="399"/>
      <c r="AO137" s="400"/>
      <c r="AP137" s="399"/>
      <c r="AQ137" s="399"/>
      <c r="AR137" s="399"/>
      <c r="AS137" s="400"/>
      <c r="AT137" s="399"/>
      <c r="AU137" s="399"/>
      <c r="AV137" s="399"/>
      <c r="AW137" s="400"/>
      <c r="AX137" s="399"/>
      <c r="AY137" s="399"/>
      <c r="AZ137" s="399"/>
      <c r="BA137" s="400"/>
      <c r="BB137" s="401">
        <v>0</v>
      </c>
      <c r="BC137" s="401">
        <v>0</v>
      </c>
      <c r="BD137" s="401">
        <v>0</v>
      </c>
      <c r="BE137" s="402">
        <v>0</v>
      </c>
      <c r="BF137" s="401">
        <v>0</v>
      </c>
      <c r="BG137" s="401">
        <v>0</v>
      </c>
      <c r="BH137" s="401">
        <v>0</v>
      </c>
      <c r="BI137" s="402">
        <v>0</v>
      </c>
      <c r="BJ137" s="401">
        <v>0</v>
      </c>
      <c r="BK137" s="401">
        <v>0</v>
      </c>
      <c r="BL137" s="401">
        <v>0</v>
      </c>
      <c r="BM137" s="402">
        <v>0</v>
      </c>
      <c r="BN137" s="401">
        <v>0</v>
      </c>
      <c r="BO137" s="401">
        <v>0</v>
      </c>
      <c r="BP137" s="401">
        <v>0</v>
      </c>
      <c r="BQ137" s="402">
        <v>0</v>
      </c>
      <c r="BR137" s="401">
        <v>0</v>
      </c>
      <c r="BS137" s="401">
        <v>0</v>
      </c>
      <c r="BT137" s="401">
        <v>0</v>
      </c>
      <c r="BU137" s="402">
        <v>0</v>
      </c>
      <c r="BV137" s="401">
        <v>0</v>
      </c>
      <c r="BW137" s="401">
        <v>0</v>
      </c>
      <c r="BX137" s="412">
        <v>0</v>
      </c>
      <c r="BY137" s="413">
        <v>0</v>
      </c>
      <c r="BZ137" s="401">
        <v>0</v>
      </c>
      <c r="CA137" s="401">
        <v>0</v>
      </c>
      <c r="CB137" s="401">
        <v>0</v>
      </c>
      <c r="CC137" s="413">
        <v>0</v>
      </c>
      <c r="CD137" s="401">
        <v>0</v>
      </c>
      <c r="CE137" s="401">
        <v>0</v>
      </c>
      <c r="CF137" s="401">
        <v>0</v>
      </c>
      <c r="CG137" s="413">
        <v>0</v>
      </c>
      <c r="CH137" s="401">
        <v>0</v>
      </c>
      <c r="CI137" s="401">
        <v>0</v>
      </c>
      <c r="CJ137" s="412">
        <v>0</v>
      </c>
      <c r="CK137" s="413">
        <v>0</v>
      </c>
      <c r="CL137" s="567">
        <v>0</v>
      </c>
      <c r="CM137" s="401">
        <v>0</v>
      </c>
      <c r="CN137" s="412">
        <v>0</v>
      </c>
      <c r="CO137" s="413">
        <v>0</v>
      </c>
      <c r="CP137" s="567">
        <v>0</v>
      </c>
      <c r="CQ137" s="412">
        <v>0</v>
      </c>
      <c r="CR137" s="412">
        <v>0</v>
      </c>
      <c r="CS137" s="413">
        <v>0</v>
      </c>
      <c r="CT137" s="373">
        <v>0</v>
      </c>
      <c r="CU137" s="325">
        <v>0</v>
      </c>
      <c r="CV137" s="325">
        <v>0</v>
      </c>
      <c r="CW137" s="413">
        <v>0</v>
      </c>
      <c r="CX137" s="409"/>
      <c r="CY137" s="409"/>
      <c r="CZ137" s="409"/>
      <c r="DA137" s="410"/>
      <c r="DB137" s="409"/>
      <c r="DC137" s="409"/>
      <c r="DD137" s="409"/>
      <c r="DE137" s="410"/>
      <c r="DF137" s="409"/>
      <c r="DG137" s="409"/>
      <c r="DH137" s="409"/>
      <c r="DI137" s="410"/>
      <c r="DJ137" s="454"/>
      <c r="DK137" s="411"/>
      <c r="DL137" s="399"/>
      <c r="DM137" s="399"/>
      <c r="DN137" s="399"/>
      <c r="DO137" s="399"/>
      <c r="DP137" s="399"/>
      <c r="DQ137" s="399"/>
      <c r="DR137" s="399"/>
      <c r="DS137" s="401">
        <v>0</v>
      </c>
      <c r="DT137" s="401">
        <v>0</v>
      </c>
      <c r="DU137" s="401">
        <v>0</v>
      </c>
      <c r="DV137" s="325">
        <v>0</v>
      </c>
      <c r="DW137" s="325">
        <v>0</v>
      </c>
      <c r="DX137" s="325">
        <v>0</v>
      </c>
      <c r="DY137" s="325">
        <v>0</v>
      </c>
      <c r="DZ137" s="325">
        <v>0</v>
      </c>
      <c r="EA137" s="325">
        <v>0</v>
      </c>
      <c r="EB137" s="325">
        <v>0</v>
      </c>
      <c r="EC137" s="412">
        <v>0</v>
      </c>
      <c r="ED137" s="412">
        <v>0</v>
      </c>
      <c r="EE137" s="412">
        <v>0</v>
      </c>
      <c r="EF137" s="412">
        <v>0</v>
      </c>
      <c r="EG137" s="412">
        <v>0</v>
      </c>
      <c r="EH137" s="412">
        <v>0</v>
      </c>
      <c r="EI137" s="412">
        <v>0</v>
      </c>
      <c r="EJ137" s="412">
        <v>0</v>
      </c>
      <c r="EK137" s="412">
        <v>0</v>
      </c>
      <c r="EL137" s="412">
        <v>0</v>
      </c>
      <c r="EM137" s="412">
        <v>0</v>
      </c>
      <c r="EN137" s="412">
        <v>0</v>
      </c>
      <c r="EO137" s="412">
        <v>0</v>
      </c>
      <c r="EP137" s="389"/>
      <c r="EQ137" s="386"/>
    </row>
    <row r="138" spans="1:147" s="390" customFormat="1" ht="15" customHeight="1" outlineLevel="1">
      <c r="A138" s="385"/>
      <c r="B138"/>
      <c r="C138"/>
      <c r="D138"/>
      <c r="E138"/>
      <c r="F138"/>
      <c r="G138"/>
      <c r="H138" s="386"/>
      <c r="I138" s="370" t="s">
        <v>1564</v>
      </c>
      <c r="J138" s="399"/>
      <c r="K138" s="399"/>
      <c r="L138" s="399"/>
      <c r="M138" s="400"/>
      <c r="N138" s="399"/>
      <c r="O138" s="399"/>
      <c r="P138" s="399"/>
      <c r="Q138" s="400"/>
      <c r="R138" s="399"/>
      <c r="S138" s="399"/>
      <c r="T138" s="399"/>
      <c r="U138" s="400"/>
      <c r="V138" s="399"/>
      <c r="W138" s="399"/>
      <c r="X138" s="399"/>
      <c r="Y138" s="400"/>
      <c r="Z138" s="399"/>
      <c r="AA138" s="399"/>
      <c r="AB138" s="399"/>
      <c r="AC138" s="400"/>
      <c r="AD138" s="399"/>
      <c r="AE138" s="399"/>
      <c r="AF138" s="399"/>
      <c r="AG138" s="400"/>
      <c r="AH138" s="399"/>
      <c r="AI138" s="399"/>
      <c r="AJ138" s="399"/>
      <c r="AK138" s="400"/>
      <c r="AL138" s="399"/>
      <c r="AM138" s="399"/>
      <c r="AN138" s="399"/>
      <c r="AO138" s="400"/>
      <c r="AP138" s="399"/>
      <c r="AQ138" s="399"/>
      <c r="AR138" s="399"/>
      <c r="AS138" s="400"/>
      <c r="AT138" s="399"/>
      <c r="AU138" s="399"/>
      <c r="AV138" s="399"/>
      <c r="AW138" s="400"/>
      <c r="AX138" s="399"/>
      <c r="AY138" s="399"/>
      <c r="AZ138" s="399"/>
      <c r="BA138" s="400"/>
      <c r="BB138" s="401">
        <v>0</v>
      </c>
      <c r="BC138" s="401">
        <v>0</v>
      </c>
      <c r="BD138" s="401">
        <v>0</v>
      </c>
      <c r="BE138" s="402">
        <v>0</v>
      </c>
      <c r="BF138" s="401">
        <v>0</v>
      </c>
      <c r="BG138" s="401">
        <v>0</v>
      </c>
      <c r="BH138" s="401">
        <v>0</v>
      </c>
      <c r="BI138" s="402">
        <v>0</v>
      </c>
      <c r="BJ138" s="401">
        <v>0</v>
      </c>
      <c r="BK138" s="401">
        <v>0</v>
      </c>
      <c r="BL138" s="401">
        <v>0</v>
      </c>
      <c r="BM138" s="402">
        <v>0</v>
      </c>
      <c r="BN138" s="401">
        <v>0</v>
      </c>
      <c r="BO138" s="401">
        <v>0</v>
      </c>
      <c r="BP138" s="401">
        <v>0</v>
      </c>
      <c r="BQ138" s="402">
        <v>0</v>
      </c>
      <c r="BR138" s="401"/>
      <c r="BS138" s="401"/>
      <c r="BT138" s="401"/>
      <c r="BU138" s="402"/>
      <c r="BV138" s="401">
        <v>0</v>
      </c>
      <c r="BW138" s="401">
        <v>0</v>
      </c>
      <c r="BX138" s="412">
        <v>0</v>
      </c>
      <c r="BY138" s="413">
        <v>0</v>
      </c>
      <c r="BZ138" s="401">
        <v>0</v>
      </c>
      <c r="CA138" s="401">
        <v>0</v>
      </c>
      <c r="CB138" s="401">
        <v>0</v>
      </c>
      <c r="CC138" s="413">
        <v>0</v>
      </c>
      <c r="CD138" s="401">
        <v>0</v>
      </c>
      <c r="CE138" s="401">
        <v>0</v>
      </c>
      <c r="CF138" s="401">
        <v>0</v>
      </c>
      <c r="CG138" s="413">
        <v>0</v>
      </c>
      <c r="CH138" s="401">
        <v>0</v>
      </c>
      <c r="CI138" s="401">
        <v>0</v>
      </c>
      <c r="CJ138" s="412">
        <v>0</v>
      </c>
      <c r="CK138" s="413">
        <v>0</v>
      </c>
      <c r="CL138" s="567">
        <v>0</v>
      </c>
      <c r="CM138" s="401">
        <v>0</v>
      </c>
      <c r="CN138" s="412">
        <v>0</v>
      </c>
      <c r="CO138" s="413">
        <v>0</v>
      </c>
      <c r="CP138" s="567">
        <v>0</v>
      </c>
      <c r="CQ138" s="412">
        <v>0</v>
      </c>
      <c r="CR138" s="412">
        <v>0</v>
      </c>
      <c r="CS138" s="413">
        <v>0</v>
      </c>
      <c r="CT138" s="373">
        <v>0</v>
      </c>
      <c r="CU138" s="325">
        <v>0</v>
      </c>
      <c r="CV138" s="325">
        <v>0</v>
      </c>
      <c r="CW138" s="413">
        <v>0</v>
      </c>
      <c r="CX138" s="409"/>
      <c r="CY138" s="409"/>
      <c r="CZ138" s="409"/>
      <c r="DA138" s="410"/>
      <c r="DB138" s="409"/>
      <c r="DC138" s="409"/>
      <c r="DD138" s="409"/>
      <c r="DE138" s="410"/>
      <c r="DF138" s="409"/>
      <c r="DG138" s="409"/>
      <c r="DH138" s="409"/>
      <c r="DI138" s="410"/>
      <c r="DJ138" s="454"/>
      <c r="DK138" s="411"/>
      <c r="DL138" s="399"/>
      <c r="DM138" s="399"/>
      <c r="DN138" s="399"/>
      <c r="DO138" s="399"/>
      <c r="DP138" s="399"/>
      <c r="DQ138" s="399"/>
      <c r="DR138" s="399"/>
      <c r="DS138" s="401">
        <v>0</v>
      </c>
      <c r="DT138" s="401">
        <v>0</v>
      </c>
      <c r="DU138" s="401">
        <v>0</v>
      </c>
      <c r="DV138" s="325">
        <v>0</v>
      </c>
      <c r="DW138" s="325">
        <v>0</v>
      </c>
      <c r="DX138" s="325">
        <v>0</v>
      </c>
      <c r="DY138" s="325">
        <v>0</v>
      </c>
      <c r="DZ138" s="325">
        <v>0</v>
      </c>
      <c r="EA138" s="325">
        <v>0</v>
      </c>
      <c r="EB138" s="325">
        <v>0</v>
      </c>
      <c r="EC138" s="412">
        <v>0</v>
      </c>
      <c r="ED138" s="412">
        <v>0</v>
      </c>
      <c r="EE138" s="412">
        <v>0</v>
      </c>
      <c r="EF138" s="412">
        <v>0</v>
      </c>
      <c r="EG138" s="412">
        <v>0</v>
      </c>
      <c r="EH138" s="412">
        <v>0</v>
      </c>
      <c r="EI138" s="412">
        <v>0</v>
      </c>
      <c r="EJ138" s="412">
        <v>0</v>
      </c>
      <c r="EK138" s="412">
        <v>0</v>
      </c>
      <c r="EL138" s="412">
        <v>0</v>
      </c>
      <c r="EM138" s="412">
        <v>0</v>
      </c>
      <c r="EN138" s="412">
        <v>0</v>
      </c>
      <c r="EO138" s="412">
        <v>0</v>
      </c>
      <c r="EP138" s="389"/>
      <c r="EQ138" s="386"/>
    </row>
    <row r="139" spans="1:147" s="390" customFormat="1" ht="15" customHeight="1" outlineLevel="1">
      <c r="A139" s="385"/>
      <c r="B139"/>
      <c r="C139"/>
      <c r="D139"/>
      <c r="E139"/>
      <c r="F139"/>
      <c r="G139"/>
      <c r="H139" s="386"/>
      <c r="I139" s="370" t="s">
        <v>1565</v>
      </c>
      <c r="J139" s="399"/>
      <c r="K139" s="399"/>
      <c r="L139" s="399"/>
      <c r="M139" s="400"/>
      <c r="N139" s="399"/>
      <c r="O139" s="399"/>
      <c r="P139" s="399"/>
      <c r="Q139" s="400"/>
      <c r="R139" s="399"/>
      <c r="S139" s="399"/>
      <c r="T139" s="399"/>
      <c r="U139" s="400"/>
      <c r="V139" s="399"/>
      <c r="W139" s="399"/>
      <c r="X139" s="399"/>
      <c r="Y139" s="400"/>
      <c r="Z139" s="399"/>
      <c r="AA139" s="399"/>
      <c r="AB139" s="399"/>
      <c r="AC139" s="400"/>
      <c r="AD139" s="399"/>
      <c r="AE139" s="399"/>
      <c r="AF139" s="399"/>
      <c r="AG139" s="400"/>
      <c r="AH139" s="399"/>
      <c r="AI139" s="399"/>
      <c r="AJ139" s="399"/>
      <c r="AK139" s="400"/>
      <c r="AL139" s="399"/>
      <c r="AM139" s="399"/>
      <c r="AN139" s="399"/>
      <c r="AO139" s="400"/>
      <c r="AP139" s="399"/>
      <c r="AQ139" s="399"/>
      <c r="AR139" s="399"/>
      <c r="AS139" s="400"/>
      <c r="AT139" s="399"/>
      <c r="AU139" s="399"/>
      <c r="AV139" s="399"/>
      <c r="AW139" s="400"/>
      <c r="AX139" s="399"/>
      <c r="AY139" s="399"/>
      <c r="AZ139" s="399"/>
      <c r="BA139" s="400"/>
      <c r="BB139" s="401">
        <v>12382</v>
      </c>
      <c r="BC139" s="401">
        <v>9735</v>
      </c>
      <c r="BD139" s="401">
        <v>9751</v>
      </c>
      <c r="BE139" s="402">
        <v>9616</v>
      </c>
      <c r="BF139" s="401">
        <v>9391</v>
      </c>
      <c r="BG139" s="401">
        <v>9375</v>
      </c>
      <c r="BH139" s="401">
        <v>9418</v>
      </c>
      <c r="BI139" s="402">
        <v>9450</v>
      </c>
      <c r="BJ139" s="401">
        <v>9498</v>
      </c>
      <c r="BK139" s="401">
        <v>9541</v>
      </c>
      <c r="BL139" s="401">
        <v>9608</v>
      </c>
      <c r="BM139" s="402">
        <v>9682</v>
      </c>
      <c r="BN139" s="401">
        <v>9812</v>
      </c>
      <c r="BO139" s="401">
        <v>9853</v>
      </c>
      <c r="BP139" s="401">
        <v>9900</v>
      </c>
      <c r="BQ139" s="402">
        <v>9924</v>
      </c>
      <c r="BR139" s="401">
        <v>9968</v>
      </c>
      <c r="BS139" s="401">
        <v>10163</v>
      </c>
      <c r="BT139" s="401">
        <v>10209</v>
      </c>
      <c r="BU139" s="402">
        <v>10242</v>
      </c>
      <c r="BV139" s="438">
        <v>10343</v>
      </c>
      <c r="BW139" s="401">
        <v>10425</v>
      </c>
      <c r="BX139" s="401">
        <v>10427</v>
      </c>
      <c r="BY139" s="402">
        <v>10442</v>
      </c>
      <c r="BZ139" s="401">
        <v>10555</v>
      </c>
      <c r="CA139" s="401">
        <v>10606</v>
      </c>
      <c r="CB139" s="401">
        <v>10671</v>
      </c>
      <c r="CC139" s="402">
        <v>10747</v>
      </c>
      <c r="CD139" s="401">
        <v>10786</v>
      </c>
      <c r="CE139" s="401">
        <v>10867</v>
      </c>
      <c r="CF139" s="401">
        <v>10928</v>
      </c>
      <c r="CG139" s="402">
        <v>10963</v>
      </c>
      <c r="CH139" s="401">
        <v>11004</v>
      </c>
      <c r="CI139" s="401">
        <v>11063</v>
      </c>
      <c r="CJ139" s="401">
        <v>11116</v>
      </c>
      <c r="CK139" s="402">
        <v>11174</v>
      </c>
      <c r="CL139" s="438">
        <v>11213</v>
      </c>
      <c r="CM139" s="401">
        <v>11300</v>
      </c>
      <c r="CN139" s="401">
        <v>11395</v>
      </c>
      <c r="CO139" s="402">
        <v>11531</v>
      </c>
      <c r="CP139" s="438">
        <v>11549</v>
      </c>
      <c r="CQ139" s="401">
        <v>11621</v>
      </c>
      <c r="CR139" s="401">
        <v>11640</v>
      </c>
      <c r="CS139" s="413">
        <v>11724</v>
      </c>
      <c r="CT139" s="373">
        <v>11882.55</v>
      </c>
      <c r="CU139" s="325">
        <v>11927.699999999999</v>
      </c>
      <c r="CV139" s="325">
        <v>11994.9</v>
      </c>
      <c r="CW139" s="413">
        <v>12083.1</v>
      </c>
      <c r="CX139" s="409"/>
      <c r="CY139" s="409"/>
      <c r="CZ139" s="409"/>
      <c r="DA139" s="410"/>
      <c r="DB139" s="409"/>
      <c r="DC139" s="409"/>
      <c r="DD139" s="409"/>
      <c r="DE139" s="410"/>
      <c r="DF139" s="409"/>
      <c r="DG139" s="409"/>
      <c r="DH139" s="409"/>
      <c r="DI139" s="410"/>
      <c r="DJ139" s="454"/>
      <c r="DK139" s="411"/>
      <c r="DL139" s="399"/>
      <c r="DM139" s="399"/>
      <c r="DN139" s="399"/>
      <c r="DO139" s="399"/>
      <c r="DP139" s="399"/>
      <c r="DQ139" s="399"/>
      <c r="DR139" s="399"/>
      <c r="DS139" s="401">
        <v>12170</v>
      </c>
      <c r="DT139" s="401">
        <v>12376</v>
      </c>
      <c r="DU139" s="401">
        <v>12353</v>
      </c>
      <c r="DV139" s="325">
        <v>9616</v>
      </c>
      <c r="DW139" s="325">
        <v>9450</v>
      </c>
      <c r="DX139" s="325">
        <v>9682</v>
      </c>
      <c r="DY139" s="325">
        <v>9924</v>
      </c>
      <c r="DZ139" s="325">
        <v>10242</v>
      </c>
      <c r="EA139" s="325">
        <v>10442</v>
      </c>
      <c r="EB139" s="325">
        <v>10747</v>
      </c>
      <c r="EC139" s="412">
        <v>10963</v>
      </c>
      <c r="ED139" s="412">
        <v>11174</v>
      </c>
      <c r="EE139" s="412">
        <v>11531</v>
      </c>
      <c r="EF139" s="412">
        <v>11724</v>
      </c>
      <c r="EG139" s="412">
        <v>12083.1</v>
      </c>
      <c r="EH139" s="412">
        <v>12456.564</v>
      </c>
      <c r="EI139" s="412">
        <v>12844.966560000001</v>
      </c>
      <c r="EJ139" s="412">
        <v>13248.905222400001</v>
      </c>
      <c r="EK139" s="412">
        <v>13669.001431296001</v>
      </c>
      <c r="EL139" s="412">
        <v>14105.901488547841</v>
      </c>
      <c r="EM139" s="412">
        <v>14560.277548089754</v>
      </c>
      <c r="EN139" s="412">
        <v>15032.828650013345</v>
      </c>
      <c r="EO139" s="412">
        <v>15524.28179601388</v>
      </c>
      <c r="EP139" s="389"/>
      <c r="EQ139" s="386"/>
    </row>
    <row r="140" spans="1:147" s="390" customFormat="1" ht="15" customHeight="1" outlineLevel="1">
      <c r="A140" s="385"/>
      <c r="B140"/>
      <c r="C140"/>
      <c r="D140"/>
      <c r="E140"/>
      <c r="F140"/>
      <c r="G140"/>
      <c r="H140" s="386"/>
      <c r="I140" s="370" t="s">
        <v>1566</v>
      </c>
      <c r="J140" s="399"/>
      <c r="K140" s="399"/>
      <c r="L140" s="399"/>
      <c r="M140" s="400"/>
      <c r="N140" s="399"/>
      <c r="O140" s="399"/>
      <c r="P140" s="399"/>
      <c r="Q140" s="400"/>
      <c r="R140" s="399"/>
      <c r="S140" s="399"/>
      <c r="T140" s="399"/>
      <c r="U140" s="400"/>
      <c r="V140" s="399"/>
      <c r="W140" s="399"/>
      <c r="X140" s="399"/>
      <c r="Y140" s="400"/>
      <c r="Z140" s="399"/>
      <c r="AA140" s="399"/>
      <c r="AB140" s="399"/>
      <c r="AC140" s="400"/>
      <c r="AD140" s="399"/>
      <c r="AE140" s="399"/>
      <c r="AF140" s="399"/>
      <c r="AG140" s="400"/>
      <c r="AH140" s="399"/>
      <c r="AI140" s="399"/>
      <c r="AJ140" s="399"/>
      <c r="AK140" s="400"/>
      <c r="AL140" s="399"/>
      <c r="AM140" s="399"/>
      <c r="AN140" s="399"/>
      <c r="AO140" s="400"/>
      <c r="AP140" s="399"/>
      <c r="AQ140" s="399"/>
      <c r="AR140" s="399"/>
      <c r="AS140" s="400"/>
      <c r="AT140" s="399"/>
      <c r="AU140" s="399"/>
      <c r="AV140" s="399"/>
      <c r="AW140" s="400"/>
      <c r="AX140" s="399"/>
      <c r="AY140" s="399"/>
      <c r="AZ140" s="399"/>
      <c r="BA140" s="400"/>
      <c r="BB140" s="401">
        <v>-2537</v>
      </c>
      <c r="BC140" s="401">
        <v>0</v>
      </c>
      <c r="BD140" s="401">
        <v>0</v>
      </c>
      <c r="BE140" s="402">
        <v>0</v>
      </c>
      <c r="BF140" s="401">
        <v>0</v>
      </c>
      <c r="BG140" s="401">
        <v>0</v>
      </c>
      <c r="BH140" s="401">
        <v>0</v>
      </c>
      <c r="BI140" s="402">
        <v>0</v>
      </c>
      <c r="BJ140" s="401">
        <v>0</v>
      </c>
      <c r="BK140" s="401">
        <v>0</v>
      </c>
      <c r="BL140" s="401">
        <v>0</v>
      </c>
      <c r="BM140" s="402">
        <v>-5814</v>
      </c>
      <c r="BN140" s="401">
        <v>-5783</v>
      </c>
      <c r="BO140" s="401">
        <v>-5762</v>
      </c>
      <c r="BP140" s="401">
        <v>-5764</v>
      </c>
      <c r="BQ140" s="402">
        <v>-5762</v>
      </c>
      <c r="BR140" s="401">
        <v>-5709</v>
      </c>
      <c r="BS140" s="401">
        <v>-5627</v>
      </c>
      <c r="BT140" s="401">
        <v>-5613</v>
      </c>
      <c r="BU140" s="402">
        <v>-5637</v>
      </c>
      <c r="BV140" s="401">
        <v>-5591</v>
      </c>
      <c r="BW140" s="401">
        <v>-5588</v>
      </c>
      <c r="BX140" s="401">
        <v>-5572</v>
      </c>
      <c r="BY140" s="402">
        <v>-5563</v>
      </c>
      <c r="BZ140" s="401">
        <v>-5563</v>
      </c>
      <c r="CA140" s="401">
        <v>-5563</v>
      </c>
      <c r="CB140" s="401">
        <v>-5563</v>
      </c>
      <c r="CC140" s="402">
        <v>-5563</v>
      </c>
      <c r="CD140" s="401">
        <v>-5563</v>
      </c>
      <c r="CE140" s="401">
        <v>-5563</v>
      </c>
      <c r="CF140" s="401">
        <v>-5563</v>
      </c>
      <c r="CG140" s="402">
        <v>-5563</v>
      </c>
      <c r="CH140" s="401">
        <v>-5563</v>
      </c>
      <c r="CI140" s="401">
        <v>-5563</v>
      </c>
      <c r="CJ140" s="401">
        <v>-5563</v>
      </c>
      <c r="CK140" s="402">
        <v>-5563</v>
      </c>
      <c r="CL140" s="438">
        <v>-5563</v>
      </c>
      <c r="CM140" s="401">
        <v>-5563</v>
      </c>
      <c r="CN140" s="401">
        <v>-5563</v>
      </c>
      <c r="CO140" s="402">
        <v>-5563</v>
      </c>
      <c r="CP140" s="438">
        <v>-5563</v>
      </c>
      <c r="CQ140" s="401">
        <v>-5563</v>
      </c>
      <c r="CR140" s="401">
        <v>-5563</v>
      </c>
      <c r="CS140" s="413">
        <v>-5563</v>
      </c>
      <c r="CT140" s="373">
        <v>-5563</v>
      </c>
      <c r="CU140" s="325">
        <v>-5563</v>
      </c>
      <c r="CV140" s="325">
        <v>-5563</v>
      </c>
      <c r="CW140" s="413">
        <v>-5563</v>
      </c>
      <c r="CX140" s="409"/>
      <c r="CY140" s="409"/>
      <c r="CZ140" s="409"/>
      <c r="DA140" s="410"/>
      <c r="DB140" s="409"/>
      <c r="DC140" s="409"/>
      <c r="DD140" s="409"/>
      <c r="DE140" s="410"/>
      <c r="DF140" s="409"/>
      <c r="DG140" s="409"/>
      <c r="DH140" s="409"/>
      <c r="DI140" s="410"/>
      <c r="DJ140" s="454"/>
      <c r="DK140" s="411"/>
      <c r="DL140" s="399"/>
      <c r="DM140" s="399"/>
      <c r="DN140" s="399"/>
      <c r="DO140" s="399"/>
      <c r="DP140" s="399"/>
      <c r="DQ140" s="399"/>
      <c r="DR140" s="399"/>
      <c r="DS140" s="401">
        <v>-126</v>
      </c>
      <c r="DT140" s="401">
        <v>-1235</v>
      </c>
      <c r="DU140" s="401">
        <v>-2194</v>
      </c>
      <c r="DV140" s="325">
        <v>0</v>
      </c>
      <c r="DW140" s="325">
        <v>0</v>
      </c>
      <c r="DX140" s="325">
        <v>-5814</v>
      </c>
      <c r="DY140" s="325">
        <v>-5762</v>
      </c>
      <c r="DZ140" s="325">
        <v>-5637</v>
      </c>
      <c r="EA140" s="325">
        <v>-5563</v>
      </c>
      <c r="EB140" s="325">
        <v>-5563</v>
      </c>
      <c r="EC140" s="325">
        <v>-5563</v>
      </c>
      <c r="ED140" s="325">
        <v>-5563</v>
      </c>
      <c r="EE140" s="325">
        <v>-5563</v>
      </c>
      <c r="EF140" s="325">
        <v>-5563</v>
      </c>
      <c r="EG140" s="412">
        <v>-5563</v>
      </c>
      <c r="EH140" s="412">
        <v>-5563</v>
      </c>
      <c r="EI140" s="412">
        <v>-5563</v>
      </c>
      <c r="EJ140" s="412">
        <v>-5563</v>
      </c>
      <c r="EK140" s="412">
        <v>-5563</v>
      </c>
      <c r="EL140" s="412">
        <v>-5563</v>
      </c>
      <c r="EM140" s="412">
        <v>-5563</v>
      </c>
      <c r="EN140" s="412">
        <v>-5563</v>
      </c>
      <c r="EO140" s="412">
        <v>-5563</v>
      </c>
      <c r="EP140" s="389"/>
      <c r="EQ140" s="386"/>
    </row>
    <row r="141" spans="1:147" s="390" customFormat="1" ht="15" customHeight="1" outlineLevel="1">
      <c r="A141" s="385"/>
      <c r="B141"/>
      <c r="C141"/>
      <c r="D141"/>
      <c r="E141"/>
      <c r="F141"/>
      <c r="G141"/>
      <c r="H141" s="386"/>
      <c r="I141" s="370" t="s">
        <v>1567</v>
      </c>
      <c r="J141" s="399"/>
      <c r="K141" s="399"/>
      <c r="L141" s="399"/>
      <c r="M141" s="400"/>
      <c r="N141" s="399"/>
      <c r="O141" s="399"/>
      <c r="P141" s="399"/>
      <c r="Q141" s="400"/>
      <c r="R141" s="399"/>
      <c r="S141" s="399"/>
      <c r="T141" s="399"/>
      <c r="U141" s="400"/>
      <c r="V141" s="399"/>
      <c r="W141" s="399"/>
      <c r="X141" s="399"/>
      <c r="Y141" s="400"/>
      <c r="Z141" s="399"/>
      <c r="AA141" s="399"/>
      <c r="AB141" s="399"/>
      <c r="AC141" s="400"/>
      <c r="AD141" s="399"/>
      <c r="AE141" s="399"/>
      <c r="AF141" s="399"/>
      <c r="AG141" s="400"/>
      <c r="AH141" s="399"/>
      <c r="AI141" s="399"/>
      <c r="AJ141" s="399"/>
      <c r="AK141" s="400"/>
      <c r="AL141" s="399"/>
      <c r="AM141" s="399"/>
      <c r="AN141" s="399"/>
      <c r="AO141" s="400"/>
      <c r="AP141" s="399"/>
      <c r="AQ141" s="399"/>
      <c r="AR141" s="399"/>
      <c r="AS141" s="400"/>
      <c r="AT141" s="399" t="s">
        <v>366</v>
      </c>
      <c r="AU141" s="399" t="s">
        <v>366</v>
      </c>
      <c r="AV141" s="399"/>
      <c r="AW141" s="400"/>
      <c r="AX141" s="399"/>
      <c r="AY141" s="399"/>
      <c r="AZ141" s="399"/>
      <c r="BA141" s="400"/>
      <c r="BB141" s="401">
        <v>26</v>
      </c>
      <c r="BC141" s="401">
        <v>29</v>
      </c>
      <c r="BD141" s="401">
        <v>-29</v>
      </c>
      <c r="BE141" s="402">
        <v>-72</v>
      </c>
      <c r="BF141" s="401">
        <v>-33</v>
      </c>
      <c r="BG141" s="401">
        <v>-124</v>
      </c>
      <c r="BH141" s="401">
        <v>-74</v>
      </c>
      <c r="BI141" s="402">
        <v>-26</v>
      </c>
      <c r="BJ141" s="401">
        <v>-95</v>
      </c>
      <c r="BK141" s="401">
        <v>-62</v>
      </c>
      <c r="BL141" s="401">
        <v>18</v>
      </c>
      <c r="BM141" s="402">
        <v>68</v>
      </c>
      <c r="BN141" s="401">
        <v>63</v>
      </c>
      <c r="BO141" s="401">
        <v>44</v>
      </c>
      <c r="BP141" s="401">
        <v>-157</v>
      </c>
      <c r="BQ141" s="402">
        <v>-303</v>
      </c>
      <c r="BR141" s="401">
        <v>3598</v>
      </c>
      <c r="BS141" s="401">
        <v>3810</v>
      </c>
      <c r="BT141" s="401">
        <v>3937</v>
      </c>
      <c r="BU141" s="402">
        <v>4096</v>
      </c>
      <c r="BV141" s="401">
        <v>4239</v>
      </c>
      <c r="BW141" s="401">
        <v>4366</v>
      </c>
      <c r="BX141" s="401">
        <v>4616</v>
      </c>
      <c r="BY141" s="402">
        <v>4869</v>
      </c>
      <c r="BZ141" s="401">
        <v>5069</v>
      </c>
      <c r="CA141" s="401">
        <v>5312</v>
      </c>
      <c r="CB141" s="401">
        <v>5501</v>
      </c>
      <c r="CC141" s="402">
        <v>4916</v>
      </c>
      <c r="CD141" s="401">
        <v>5245</v>
      </c>
      <c r="CE141" s="401">
        <v>5647</v>
      </c>
      <c r="CF141" s="401">
        <v>5907</v>
      </c>
      <c r="CG141" s="402">
        <v>6558</v>
      </c>
      <c r="CH141" s="401">
        <v>6757</v>
      </c>
      <c r="CI141" s="401">
        <v>7085</v>
      </c>
      <c r="CJ141" s="401">
        <v>7289</v>
      </c>
      <c r="CK141" s="402">
        <v>7813</v>
      </c>
      <c r="CL141" s="438">
        <v>7999</v>
      </c>
      <c r="CM141" s="401">
        <v>8579</v>
      </c>
      <c r="CN141" s="401">
        <v>9183</v>
      </c>
      <c r="CO141" s="402">
        <v>9691</v>
      </c>
      <c r="CP141" s="438">
        <v>9945</v>
      </c>
      <c r="CQ141" s="401">
        <v>10821</v>
      </c>
      <c r="CR141" s="401">
        <v>11460</v>
      </c>
      <c r="CS141" s="413">
        <v>11460</v>
      </c>
      <c r="CT141" s="373">
        <v>11460</v>
      </c>
      <c r="CU141" s="325">
        <v>11460</v>
      </c>
      <c r="CV141" s="325">
        <v>11460</v>
      </c>
      <c r="CW141" s="413">
        <v>11460</v>
      </c>
      <c r="CX141" s="409"/>
      <c r="CY141" s="409"/>
      <c r="CZ141" s="409"/>
      <c r="DA141" s="410"/>
      <c r="DB141" s="409"/>
      <c r="DC141" s="409"/>
      <c r="DD141" s="409"/>
      <c r="DE141" s="410"/>
      <c r="DF141" s="409"/>
      <c r="DG141" s="409"/>
      <c r="DH141" s="409"/>
      <c r="DI141" s="410"/>
      <c r="DJ141" s="454"/>
      <c r="DK141" s="411"/>
      <c r="DL141" s="399"/>
      <c r="DM141" s="399"/>
      <c r="DN141" s="399"/>
      <c r="DO141" s="399"/>
      <c r="DP141" s="399"/>
      <c r="DQ141" s="399"/>
      <c r="DR141" s="399"/>
      <c r="DS141" s="401">
        <v>-43</v>
      </c>
      <c r="DT141" s="401">
        <v>-24</v>
      </c>
      <c r="DU141" s="401">
        <v>-13</v>
      </c>
      <c r="DV141" s="325">
        <v>-72</v>
      </c>
      <c r="DW141" s="325">
        <v>-26</v>
      </c>
      <c r="DX141" s="325">
        <v>68</v>
      </c>
      <c r="DY141" s="325">
        <v>-303</v>
      </c>
      <c r="DZ141" s="325">
        <v>4096</v>
      </c>
      <c r="EA141" s="325">
        <v>4869</v>
      </c>
      <c r="EB141" s="325">
        <v>4916</v>
      </c>
      <c r="EC141" s="325">
        <v>6558</v>
      </c>
      <c r="ED141" s="325">
        <v>7813</v>
      </c>
      <c r="EE141" s="325">
        <v>9691</v>
      </c>
      <c r="EF141" s="325">
        <v>11460</v>
      </c>
      <c r="EG141" s="412">
        <v>11460</v>
      </c>
      <c r="EH141" s="412">
        <v>11460</v>
      </c>
      <c r="EI141" s="412">
        <v>11460</v>
      </c>
      <c r="EJ141" s="412">
        <v>11460</v>
      </c>
      <c r="EK141" s="412">
        <v>11460</v>
      </c>
      <c r="EL141" s="412">
        <v>11460</v>
      </c>
      <c r="EM141" s="412">
        <v>11460</v>
      </c>
      <c r="EN141" s="412">
        <v>11460</v>
      </c>
      <c r="EO141" s="412">
        <v>11460</v>
      </c>
      <c r="EP141" s="389"/>
      <c r="EQ141" s="386"/>
    </row>
    <row r="142" spans="1:147" s="390" customFormat="1" ht="15" customHeight="1" outlineLevel="1">
      <c r="A142" s="385"/>
      <c r="B142"/>
      <c r="C142"/>
      <c r="D142"/>
      <c r="E142"/>
      <c r="F142"/>
      <c r="G142"/>
      <c r="H142" s="386"/>
      <c r="I142" s="370" t="s">
        <v>1568</v>
      </c>
      <c r="J142" s="399"/>
      <c r="K142" s="399"/>
      <c r="L142" s="399"/>
      <c r="M142" s="400"/>
      <c r="N142" s="399"/>
      <c r="O142" s="399"/>
      <c r="P142" s="399"/>
      <c r="Q142" s="400"/>
      <c r="R142" s="399"/>
      <c r="S142" s="399"/>
      <c r="T142" s="399"/>
      <c r="U142" s="400"/>
      <c r="V142" s="399"/>
      <c r="W142" s="399"/>
      <c r="X142" s="399"/>
      <c r="Y142" s="400"/>
      <c r="Z142" s="399"/>
      <c r="AA142" s="399"/>
      <c r="AB142" s="399"/>
      <c r="AC142" s="400"/>
      <c r="AD142" s="399"/>
      <c r="AE142" s="399"/>
      <c r="AF142" s="399"/>
      <c r="AG142" s="400"/>
      <c r="AH142" s="399"/>
      <c r="AI142" s="399"/>
      <c r="AJ142" s="399"/>
      <c r="AK142" s="400"/>
      <c r="AL142" s="399"/>
      <c r="AM142" s="399"/>
      <c r="AN142" s="399"/>
      <c r="AO142" s="400"/>
      <c r="AP142" s="399"/>
      <c r="AQ142" s="399"/>
      <c r="AR142" s="399"/>
      <c r="AS142" s="400"/>
      <c r="AT142" s="399"/>
      <c r="AU142" s="399"/>
      <c r="AV142" s="399"/>
      <c r="AW142" s="400"/>
      <c r="AX142" s="399"/>
      <c r="AY142" s="399"/>
      <c r="AZ142" s="399"/>
      <c r="BA142" s="400"/>
      <c r="BB142" s="401">
        <v>366</v>
      </c>
      <c r="BC142" s="401">
        <v>701</v>
      </c>
      <c r="BD142" s="401">
        <v>849</v>
      </c>
      <c r="BE142" s="402">
        <v>948</v>
      </c>
      <c r="BF142" s="401">
        <v>1128</v>
      </c>
      <c r="BG142" s="401">
        <v>1313</v>
      </c>
      <c r="BH142" s="401">
        <v>1539</v>
      </c>
      <c r="BI142" s="402">
        <v>1893</v>
      </c>
      <c r="BJ142" s="401">
        <v>2132</v>
      </c>
      <c r="BK142" s="401">
        <v>2456</v>
      </c>
      <c r="BL142" s="401">
        <v>2513</v>
      </c>
      <c r="BM142" s="402">
        <v>2686</v>
      </c>
      <c r="BN142" s="401">
        <v>2832</v>
      </c>
      <c r="BO142" s="401">
        <v>3036</v>
      </c>
      <c r="BP142" s="401">
        <v>3013</v>
      </c>
      <c r="BQ142" s="402">
        <v>3374</v>
      </c>
      <c r="BR142" s="401">
        <v>-619</v>
      </c>
      <c r="BS142" s="401">
        <v>-545</v>
      </c>
      <c r="BT142" s="401">
        <v>-544</v>
      </c>
      <c r="BU142" s="402">
        <v>-633</v>
      </c>
      <c r="BV142" s="401">
        <v>-643</v>
      </c>
      <c r="BW142" s="401">
        <v>-649</v>
      </c>
      <c r="BX142" s="401">
        <v>-653</v>
      </c>
      <c r="BY142" s="402">
        <v>-629</v>
      </c>
      <c r="BZ142" s="401">
        <v>-625</v>
      </c>
      <c r="CA142" s="401">
        <v>-640</v>
      </c>
      <c r="CB142" s="401">
        <v>-642</v>
      </c>
      <c r="CC142" s="402">
        <v>-638</v>
      </c>
      <c r="CD142" s="401">
        <v>-649</v>
      </c>
      <c r="CE142" s="401">
        <v>-605</v>
      </c>
      <c r="CF142" s="401">
        <v>-613</v>
      </c>
      <c r="CG142" s="402">
        <v>-601</v>
      </c>
      <c r="CH142" s="401">
        <v>-602</v>
      </c>
      <c r="CI142" s="401">
        <v>-608</v>
      </c>
      <c r="CJ142" s="401">
        <v>-607</v>
      </c>
      <c r="CK142" s="402">
        <v>-619</v>
      </c>
      <c r="CL142" s="438">
        <v>-628</v>
      </c>
      <c r="CM142" s="401">
        <v>-634</v>
      </c>
      <c r="CN142" s="401">
        <v>-633</v>
      </c>
      <c r="CO142" s="402">
        <v>-622</v>
      </c>
      <c r="CP142" s="438">
        <v>-600</v>
      </c>
      <c r="CQ142" s="401">
        <v>-593</v>
      </c>
      <c r="CR142" s="401">
        <v>-587</v>
      </c>
      <c r="CS142" s="413">
        <v>373.4976021179923</v>
      </c>
      <c r="CT142" s="373">
        <v>678.53966473018181</v>
      </c>
      <c r="CU142" s="325">
        <v>1037.069730015457</v>
      </c>
      <c r="CV142" s="325">
        <v>1639.9277468129735</v>
      </c>
      <c r="CW142" s="413">
        <v>2800.6082059400264</v>
      </c>
      <c r="CX142" s="409"/>
      <c r="CY142" s="409"/>
      <c r="CZ142" s="409"/>
      <c r="DA142" s="410"/>
      <c r="DB142" s="409"/>
      <c r="DC142" s="409"/>
      <c r="DD142" s="409"/>
      <c r="DE142" s="410"/>
      <c r="DF142" s="409"/>
      <c r="DG142" s="409"/>
      <c r="DH142" s="409"/>
      <c r="DI142" s="410"/>
      <c r="DJ142" s="454"/>
      <c r="DK142" s="411"/>
      <c r="DL142" s="399"/>
      <c r="DM142" s="399"/>
      <c r="DN142" s="399"/>
      <c r="DO142" s="399"/>
      <c r="DP142" s="399"/>
      <c r="DQ142" s="399"/>
      <c r="DR142" s="399"/>
      <c r="DS142" s="401">
        <v>-474</v>
      </c>
      <c r="DT142" s="401">
        <v>-361</v>
      </c>
      <c r="DU142" s="401">
        <v>57</v>
      </c>
      <c r="DV142" s="325">
        <v>948</v>
      </c>
      <c r="DW142" s="325">
        <v>1893</v>
      </c>
      <c r="DX142" s="325">
        <v>2686</v>
      </c>
      <c r="DY142" s="325">
        <v>3374</v>
      </c>
      <c r="DZ142" s="325">
        <v>-633</v>
      </c>
      <c r="EA142" s="325">
        <v>-629</v>
      </c>
      <c r="EB142" s="325">
        <v>-638</v>
      </c>
      <c r="EC142" s="325">
        <v>-601</v>
      </c>
      <c r="ED142" s="325">
        <v>-619</v>
      </c>
      <c r="EE142" s="325">
        <v>-622</v>
      </c>
      <c r="EF142" s="325">
        <v>373.4976021179923</v>
      </c>
      <c r="EG142" s="412">
        <v>2800.6082059400264</v>
      </c>
      <c r="EH142" s="412">
        <v>5910.2683669768212</v>
      </c>
      <c r="EI142" s="412">
        <v>8814.0439699329218</v>
      </c>
      <c r="EJ142" s="412">
        <v>11443.356267902846</v>
      </c>
      <c r="EK142" s="412">
        <v>15210.258669501956</v>
      </c>
      <c r="EL142" s="412">
        <v>18699.048065763451</v>
      </c>
      <c r="EM142" s="412">
        <v>22255.316470669171</v>
      </c>
      <c r="EN142" s="412">
        <v>25715.568245291965</v>
      </c>
      <c r="EO142" s="412">
        <v>29718.312721779646</v>
      </c>
      <c r="EP142" s="389"/>
      <c r="EQ142" s="386"/>
    </row>
    <row r="143" spans="1:147" s="390" customFormat="1" ht="15" customHeight="1" outlineLevel="1">
      <c r="A143" s="385"/>
      <c r="B143"/>
      <c r="C143"/>
      <c r="D143"/>
      <c r="E143"/>
      <c r="F143"/>
      <c r="G143"/>
      <c r="H143" s="386"/>
      <c r="I143" s="517" t="s">
        <v>1569</v>
      </c>
      <c r="J143" s="552"/>
      <c r="K143" s="552"/>
      <c r="L143" s="552"/>
      <c r="M143" s="553"/>
      <c r="N143" s="552"/>
      <c r="O143" s="552"/>
      <c r="P143" s="552"/>
      <c r="Q143" s="553"/>
      <c r="R143" s="552"/>
      <c r="S143" s="552"/>
      <c r="T143" s="552"/>
      <c r="U143" s="553"/>
      <c r="V143" s="552"/>
      <c r="W143" s="552"/>
      <c r="X143" s="552"/>
      <c r="Y143" s="553"/>
      <c r="Z143" s="552"/>
      <c r="AA143" s="552"/>
      <c r="AB143" s="552"/>
      <c r="AC143" s="553"/>
      <c r="AD143" s="552"/>
      <c r="AE143" s="552"/>
      <c r="AF143" s="552"/>
      <c r="AG143" s="553"/>
      <c r="AH143" s="552"/>
      <c r="AI143" s="552"/>
      <c r="AJ143" s="552"/>
      <c r="AK143" s="553"/>
      <c r="AL143" s="552"/>
      <c r="AM143" s="552"/>
      <c r="AN143" s="552"/>
      <c r="AO143" s="553"/>
      <c r="AP143" s="552"/>
      <c r="AQ143" s="552"/>
      <c r="AR143" s="552"/>
      <c r="AS143" s="553"/>
      <c r="AT143" s="552"/>
      <c r="AU143" s="552"/>
      <c r="AV143" s="552"/>
      <c r="AW143" s="553"/>
      <c r="AX143" s="552">
        <v>0</v>
      </c>
      <c r="AY143" s="552">
        <v>0</v>
      </c>
      <c r="AZ143" s="552">
        <v>0</v>
      </c>
      <c r="BA143" s="553">
        <v>0</v>
      </c>
      <c r="BB143" s="554">
        <v>10237</v>
      </c>
      <c r="BC143" s="554">
        <v>10465</v>
      </c>
      <c r="BD143" s="554">
        <v>10571</v>
      </c>
      <c r="BE143" s="555">
        <v>10492</v>
      </c>
      <c r="BF143" s="554">
        <v>10486</v>
      </c>
      <c r="BG143" s="554">
        <v>10564</v>
      </c>
      <c r="BH143" s="554">
        <v>10883</v>
      </c>
      <c r="BI143" s="555">
        <v>11317</v>
      </c>
      <c r="BJ143" s="554">
        <v>11535</v>
      </c>
      <c r="BK143" s="554">
        <v>11935</v>
      </c>
      <c r="BL143" s="554">
        <v>12139</v>
      </c>
      <c r="BM143" s="555">
        <v>6622</v>
      </c>
      <c r="BN143" s="554">
        <v>6924</v>
      </c>
      <c r="BO143" s="554">
        <v>7171</v>
      </c>
      <c r="BP143" s="554">
        <v>6992</v>
      </c>
      <c r="BQ143" s="555">
        <v>7233</v>
      </c>
      <c r="BR143" s="554">
        <v>7238</v>
      </c>
      <c r="BS143" s="554">
        <v>7801</v>
      </c>
      <c r="BT143" s="554">
        <v>7989</v>
      </c>
      <c r="BU143" s="555">
        <v>8068</v>
      </c>
      <c r="BV143" s="554">
        <v>8348</v>
      </c>
      <c r="BW143" s="554">
        <v>8554</v>
      </c>
      <c r="BX143" s="554">
        <v>8818</v>
      </c>
      <c r="BY143" s="555">
        <v>9119</v>
      </c>
      <c r="BZ143" s="554">
        <v>9436</v>
      </c>
      <c r="CA143" s="554">
        <v>9715</v>
      </c>
      <c r="CB143" s="554">
        <v>9967</v>
      </c>
      <c r="CC143" s="555">
        <v>9462</v>
      </c>
      <c r="CD143" s="554">
        <v>9819</v>
      </c>
      <c r="CE143" s="554">
        <v>10346</v>
      </c>
      <c r="CF143" s="554">
        <v>10659</v>
      </c>
      <c r="CG143" s="555">
        <v>11357</v>
      </c>
      <c r="CH143" s="554">
        <v>11596</v>
      </c>
      <c r="CI143" s="554">
        <v>11977</v>
      </c>
      <c r="CJ143" s="554">
        <v>12235</v>
      </c>
      <c r="CK143" s="555">
        <v>12805</v>
      </c>
      <c r="CL143" s="557">
        <v>13021</v>
      </c>
      <c r="CM143" s="554">
        <v>13682</v>
      </c>
      <c r="CN143" s="554">
        <v>14382</v>
      </c>
      <c r="CO143" s="555">
        <v>15037</v>
      </c>
      <c r="CP143" s="557">
        <v>15331</v>
      </c>
      <c r="CQ143" s="554">
        <v>16286</v>
      </c>
      <c r="CR143" s="554">
        <v>16950</v>
      </c>
      <c r="CS143" s="555">
        <v>17994.497602117994</v>
      </c>
      <c r="CT143" s="557">
        <v>18458.089664730182</v>
      </c>
      <c r="CU143" s="554">
        <v>18861.769730015454</v>
      </c>
      <c r="CV143" s="554">
        <v>19531.827746812975</v>
      </c>
      <c r="CW143" s="555">
        <v>20780.708205940024</v>
      </c>
      <c r="CX143" s="552"/>
      <c r="CY143" s="552"/>
      <c r="CZ143" s="552"/>
      <c r="DA143" s="553"/>
      <c r="DB143" s="552"/>
      <c r="DC143" s="552"/>
      <c r="DD143" s="552"/>
      <c r="DE143" s="553"/>
      <c r="DF143" s="552"/>
      <c r="DG143" s="552"/>
      <c r="DH143" s="552"/>
      <c r="DI143" s="553"/>
      <c r="DJ143" s="454"/>
      <c r="DK143" s="558"/>
      <c r="DL143" s="552"/>
      <c r="DM143" s="552"/>
      <c r="DN143" s="552"/>
      <c r="DO143" s="552"/>
      <c r="DP143" s="552"/>
      <c r="DQ143" s="552"/>
      <c r="DR143" s="552"/>
      <c r="DS143" s="552">
        <v>11527</v>
      </c>
      <c r="DT143" s="398">
        <v>10756</v>
      </c>
      <c r="DU143" s="398">
        <v>10203</v>
      </c>
      <c r="DV143" s="394">
        <v>10492</v>
      </c>
      <c r="DW143" s="394">
        <v>11317</v>
      </c>
      <c r="DX143" s="394">
        <v>6622</v>
      </c>
      <c r="DY143" s="394">
        <v>7233</v>
      </c>
      <c r="DZ143" s="394">
        <v>8068</v>
      </c>
      <c r="EA143" s="394">
        <v>9119</v>
      </c>
      <c r="EB143" s="394">
        <v>9462</v>
      </c>
      <c r="EC143" s="394">
        <v>11357</v>
      </c>
      <c r="ED143" s="394">
        <v>12805</v>
      </c>
      <c r="EE143" s="394">
        <v>15037</v>
      </c>
      <c r="EF143" s="394">
        <v>17994.497602117994</v>
      </c>
      <c r="EG143" s="554">
        <v>20780.708205940024</v>
      </c>
      <c r="EH143" s="554">
        <v>24263.832366976822</v>
      </c>
      <c r="EI143" s="554">
        <v>27556.010529932923</v>
      </c>
      <c r="EJ143" s="554">
        <v>30589.261490302844</v>
      </c>
      <c r="EK143" s="554">
        <v>34776.260100797954</v>
      </c>
      <c r="EL143" s="554">
        <v>38701.949554311286</v>
      </c>
      <c r="EM143" s="554">
        <v>42712.594018758929</v>
      </c>
      <c r="EN143" s="554">
        <v>46645.396895305312</v>
      </c>
      <c r="EO143" s="554">
        <v>51139.594517793521</v>
      </c>
      <c r="EP143" s="389"/>
      <c r="EQ143" s="386"/>
    </row>
    <row r="144" spans="1:147" s="390" customFormat="1" ht="15" customHeight="1" outlineLevel="1">
      <c r="A144" s="385"/>
      <c r="B144"/>
      <c r="C144"/>
      <c r="D144"/>
      <c r="E144"/>
      <c r="F144"/>
      <c r="G144"/>
      <c r="H144" s="386"/>
      <c r="I144" s="568" t="s">
        <v>1570</v>
      </c>
      <c r="J144" s="569"/>
      <c r="K144" s="569"/>
      <c r="L144" s="569"/>
      <c r="M144" s="570"/>
      <c r="N144" s="569"/>
      <c r="O144" s="569"/>
      <c r="P144" s="569"/>
      <c r="Q144" s="570"/>
      <c r="R144" s="569"/>
      <c r="S144" s="569"/>
      <c r="T144" s="569"/>
      <c r="U144" s="570"/>
      <c r="V144" s="569"/>
      <c r="W144" s="569"/>
      <c r="X144" s="569"/>
      <c r="Y144" s="570"/>
      <c r="Z144" s="569"/>
      <c r="AA144" s="569"/>
      <c r="AB144" s="569"/>
      <c r="AC144" s="570"/>
      <c r="AD144" s="569"/>
      <c r="AE144" s="569"/>
      <c r="AF144" s="569"/>
      <c r="AG144" s="570"/>
      <c r="AH144" s="569"/>
      <c r="AI144" s="569"/>
      <c r="AJ144" s="569"/>
      <c r="AK144" s="570"/>
      <c r="AL144" s="569"/>
      <c r="AM144" s="569"/>
      <c r="AN144" s="569"/>
      <c r="AO144" s="570"/>
      <c r="AP144" s="569"/>
      <c r="AQ144" s="569"/>
      <c r="AR144" s="569"/>
      <c r="AS144" s="570"/>
      <c r="AT144" s="569" t="s">
        <v>366</v>
      </c>
      <c r="AU144" s="569"/>
      <c r="AV144" s="569"/>
      <c r="AW144" s="570"/>
      <c r="AX144" s="569">
        <v>0</v>
      </c>
      <c r="AY144" s="569">
        <v>0</v>
      </c>
      <c r="AZ144" s="569">
        <v>0</v>
      </c>
      <c r="BA144" s="570">
        <v>0</v>
      </c>
      <c r="BB144" s="571">
        <v>12377</v>
      </c>
      <c r="BC144" s="571">
        <v>11972</v>
      </c>
      <c r="BD144" s="571">
        <v>12113</v>
      </c>
      <c r="BE144" s="572">
        <v>13277</v>
      </c>
      <c r="BF144" s="571">
        <v>12482</v>
      </c>
      <c r="BG144" s="571">
        <v>12269</v>
      </c>
      <c r="BH144" s="571">
        <v>12661</v>
      </c>
      <c r="BI144" s="572">
        <v>14200</v>
      </c>
      <c r="BJ144" s="571">
        <v>13725</v>
      </c>
      <c r="BK144" s="571">
        <v>13411</v>
      </c>
      <c r="BL144" s="571">
        <v>16060</v>
      </c>
      <c r="BM144" s="572">
        <v>14012</v>
      </c>
      <c r="BN144" s="571">
        <v>13528</v>
      </c>
      <c r="BO144" s="571">
        <v>13360</v>
      </c>
      <c r="BP144" s="571">
        <v>13855</v>
      </c>
      <c r="BQ144" s="572">
        <v>14746</v>
      </c>
      <c r="BR144" s="571">
        <v>13777</v>
      </c>
      <c r="BS144" s="571">
        <v>14015</v>
      </c>
      <c r="BT144" s="571">
        <v>14302</v>
      </c>
      <c r="BU144" s="572">
        <v>15244</v>
      </c>
      <c r="BV144" s="571">
        <v>17302</v>
      </c>
      <c r="BW144" s="571">
        <v>16607</v>
      </c>
      <c r="BX144" s="571">
        <v>18380</v>
      </c>
      <c r="BY144" s="572">
        <v>17452</v>
      </c>
      <c r="BZ144" s="571">
        <v>16921</v>
      </c>
      <c r="CA144" s="571">
        <v>16808</v>
      </c>
      <c r="CB144" s="571">
        <v>17718</v>
      </c>
      <c r="CC144" s="572">
        <v>18717</v>
      </c>
      <c r="CD144" s="571">
        <v>18397</v>
      </c>
      <c r="CE144" s="571">
        <v>17958</v>
      </c>
      <c r="CF144" s="571">
        <v>16713</v>
      </c>
      <c r="CG144" s="572">
        <v>17835</v>
      </c>
      <c r="CH144" s="571">
        <v>17948</v>
      </c>
      <c r="CI144" s="571">
        <v>17495</v>
      </c>
      <c r="CJ144" s="571">
        <v>17805</v>
      </c>
      <c r="CK144" s="572">
        <v>19845</v>
      </c>
      <c r="CL144" s="573">
        <v>19604</v>
      </c>
      <c r="CM144" s="571">
        <v>20220</v>
      </c>
      <c r="CN144" s="571">
        <v>21577</v>
      </c>
      <c r="CO144" s="572">
        <v>23109</v>
      </c>
      <c r="CP144" s="573">
        <v>23425</v>
      </c>
      <c r="CQ144" s="571">
        <v>23572</v>
      </c>
      <c r="CR144" s="571">
        <v>23977</v>
      </c>
      <c r="CS144" s="572">
        <v>25509.248232145681</v>
      </c>
      <c r="CT144" s="573">
        <v>25455.512921033907</v>
      </c>
      <c r="CU144" s="571">
        <v>25408.197258323467</v>
      </c>
      <c r="CV144" s="571">
        <v>26505.853560298914</v>
      </c>
      <c r="CW144" s="572">
        <v>28731.931726865114</v>
      </c>
      <c r="CX144" s="569"/>
      <c r="CY144" s="569"/>
      <c r="CZ144" s="569"/>
      <c r="DA144" s="570"/>
      <c r="DB144" s="569"/>
      <c r="DC144" s="569"/>
      <c r="DD144" s="569"/>
      <c r="DE144" s="570"/>
      <c r="DF144" s="569"/>
      <c r="DG144" s="569"/>
      <c r="DH144" s="569"/>
      <c r="DI144" s="570"/>
      <c r="DJ144" s="574"/>
      <c r="DK144" s="575"/>
      <c r="DL144" s="569"/>
      <c r="DM144" s="569"/>
      <c r="DN144" s="569"/>
      <c r="DO144" s="569"/>
      <c r="DP144" s="569"/>
      <c r="DQ144" s="569"/>
      <c r="DR144" s="569"/>
      <c r="DS144" s="569">
        <v>14837</v>
      </c>
      <c r="DT144" s="576">
        <v>13742</v>
      </c>
      <c r="DU144" s="576">
        <v>13406</v>
      </c>
      <c r="DV144" s="577">
        <v>13277</v>
      </c>
      <c r="DW144" s="577">
        <v>14200</v>
      </c>
      <c r="DX144" s="577">
        <v>14012</v>
      </c>
      <c r="DY144" s="577">
        <v>14746</v>
      </c>
      <c r="DZ144" s="577">
        <v>15244</v>
      </c>
      <c r="EA144" s="577">
        <v>17452</v>
      </c>
      <c r="EB144" s="577">
        <v>18717</v>
      </c>
      <c r="EC144" s="577">
        <v>17835</v>
      </c>
      <c r="ED144" s="577">
        <v>19845</v>
      </c>
      <c r="EE144" s="577">
        <v>23109</v>
      </c>
      <c r="EF144" s="577">
        <v>25509.248232145681</v>
      </c>
      <c r="EG144" s="571">
        <v>28731.931726865114</v>
      </c>
      <c r="EH144" s="571">
        <v>32903.732894692301</v>
      </c>
      <c r="EI144" s="571">
        <v>35891.086231702524</v>
      </c>
      <c r="EJ144" s="571">
        <v>38831.325903731777</v>
      </c>
      <c r="EK144" s="571">
        <v>43227.067697608174</v>
      </c>
      <c r="EL144" s="571">
        <v>47104.881737988093</v>
      </c>
      <c r="EM144" s="571">
        <v>51097.931622412914</v>
      </c>
      <c r="EN144" s="571">
        <v>55071.137376251892</v>
      </c>
      <c r="EO144" s="572">
        <v>59798.986301756464</v>
      </c>
      <c r="EP144" s="389"/>
      <c r="EQ144" s="386"/>
    </row>
    <row r="145" spans="1:147" ht="15" customHeight="1" outlineLevel="2">
      <c r="A145" s="473"/>
      <c r="H145" s="474"/>
      <c r="I145" s="578" t="s">
        <v>1571</v>
      </c>
      <c r="J145" s="356"/>
      <c r="K145" s="356"/>
      <c r="L145" s="356"/>
      <c r="M145" s="477"/>
      <c r="N145" s="356"/>
      <c r="O145" s="356"/>
      <c r="P145" s="356"/>
      <c r="Q145" s="477"/>
      <c r="R145" s="356"/>
      <c r="S145" s="356"/>
      <c r="T145" s="356"/>
      <c r="U145" s="477"/>
      <c r="V145" s="356"/>
      <c r="W145" s="356"/>
      <c r="X145" s="356"/>
      <c r="Y145" s="477"/>
      <c r="Z145" s="356"/>
      <c r="AA145" s="356"/>
      <c r="AB145" s="356"/>
      <c r="AC145" s="477"/>
      <c r="AD145" s="356"/>
      <c r="AE145" s="356"/>
      <c r="AF145" s="356"/>
      <c r="AG145" s="477"/>
      <c r="AH145" s="356"/>
      <c r="AI145" s="356"/>
      <c r="AJ145" s="356"/>
      <c r="AK145" s="477"/>
      <c r="AL145" s="356"/>
      <c r="AM145" s="356"/>
      <c r="AN145" s="356"/>
      <c r="AO145" s="477"/>
      <c r="AP145" s="356"/>
      <c r="AQ145" s="356"/>
      <c r="AR145" s="356"/>
      <c r="AS145" s="477"/>
      <c r="AT145" s="356"/>
      <c r="AU145" s="356"/>
      <c r="AV145" s="356"/>
      <c r="AW145" s="477"/>
      <c r="AX145" s="356" t="b">
        <v>1</v>
      </c>
      <c r="AY145" s="356" t="b">
        <v>1</v>
      </c>
      <c r="AZ145" s="356" t="b">
        <v>1</v>
      </c>
      <c r="BA145" s="477" t="b">
        <v>1</v>
      </c>
      <c r="BB145" s="356" t="b">
        <v>1</v>
      </c>
      <c r="BC145" s="325" t="b">
        <v>1</v>
      </c>
      <c r="BD145" s="325" t="b">
        <v>1</v>
      </c>
      <c r="BE145" s="477" t="b">
        <v>1</v>
      </c>
      <c r="BF145" s="356" t="b">
        <v>1</v>
      </c>
      <c r="BG145" s="325" t="b">
        <v>1</v>
      </c>
      <c r="BH145" s="325" t="b">
        <v>1</v>
      </c>
      <c r="BI145" s="477" t="b">
        <v>1</v>
      </c>
      <c r="BJ145" s="356" t="b">
        <v>1</v>
      </c>
      <c r="BK145" s="325" t="b">
        <v>1</v>
      </c>
      <c r="BL145" s="325" t="b">
        <v>1</v>
      </c>
      <c r="BM145" s="477" t="b">
        <v>1</v>
      </c>
      <c r="BN145" s="356" t="b">
        <v>1</v>
      </c>
      <c r="BO145" s="325" t="b">
        <v>1</v>
      </c>
      <c r="BP145" s="325" t="b">
        <v>1</v>
      </c>
      <c r="BQ145" s="477" t="b">
        <v>1</v>
      </c>
      <c r="BR145" s="356" t="b">
        <v>1</v>
      </c>
      <c r="BS145" s="325" t="b">
        <v>1</v>
      </c>
      <c r="BT145" s="325" t="b">
        <v>1</v>
      </c>
      <c r="BU145" s="372" t="b">
        <v>1</v>
      </c>
      <c r="BV145" s="356" t="b">
        <v>1</v>
      </c>
      <c r="BW145" s="356" t="b">
        <v>1</v>
      </c>
      <c r="BX145" s="356" t="b">
        <v>1</v>
      </c>
      <c r="BY145" s="477" t="b">
        <v>1</v>
      </c>
      <c r="BZ145" s="356" t="b">
        <v>1</v>
      </c>
      <c r="CA145" s="356" t="b">
        <v>1</v>
      </c>
      <c r="CB145" s="356" t="b">
        <v>1</v>
      </c>
      <c r="CC145" s="477" t="b">
        <v>1</v>
      </c>
      <c r="CD145" s="356" t="b">
        <v>1</v>
      </c>
      <c r="CE145" s="356" t="b">
        <v>1</v>
      </c>
      <c r="CF145" s="356" t="b">
        <v>1</v>
      </c>
      <c r="CG145" s="477" t="b">
        <v>1</v>
      </c>
      <c r="CH145" s="356" t="b">
        <v>1</v>
      </c>
      <c r="CI145" s="356" t="b">
        <v>1</v>
      </c>
      <c r="CJ145" s="356" t="b">
        <v>1</v>
      </c>
      <c r="CK145" s="477" t="b">
        <v>1</v>
      </c>
      <c r="CL145" s="356" t="b">
        <v>1</v>
      </c>
      <c r="CM145" s="356" t="b">
        <v>1</v>
      </c>
      <c r="CN145" s="356" t="b">
        <v>1</v>
      </c>
      <c r="CO145" s="477" t="b">
        <v>1</v>
      </c>
      <c r="CP145" s="355" t="b">
        <v>1</v>
      </c>
      <c r="CQ145" s="356" t="b">
        <v>1</v>
      </c>
      <c r="CR145" s="356" t="b">
        <v>1</v>
      </c>
      <c r="CS145" s="477" t="b">
        <v>1</v>
      </c>
      <c r="CT145" s="355" t="b">
        <v>1</v>
      </c>
      <c r="CU145" s="356" t="b">
        <v>1</v>
      </c>
      <c r="CV145" s="356" t="b">
        <v>1</v>
      </c>
      <c r="CW145" s="477" t="b">
        <v>1</v>
      </c>
      <c r="CX145" s="356"/>
      <c r="CY145" s="356"/>
      <c r="CZ145" s="356"/>
      <c r="DA145" s="477"/>
      <c r="DB145" s="356"/>
      <c r="DC145" s="356"/>
      <c r="DD145" s="356"/>
      <c r="DE145" s="477"/>
      <c r="DF145" s="356"/>
      <c r="DG145" s="356"/>
      <c r="DH145" s="356"/>
      <c r="DI145" s="477"/>
      <c r="DJ145" s="454"/>
      <c r="DK145" s="355"/>
      <c r="DL145" s="356"/>
      <c r="DM145" s="356"/>
      <c r="DN145" s="356"/>
      <c r="DO145" s="356"/>
      <c r="DP145" s="356"/>
      <c r="DQ145" s="356"/>
      <c r="DR145" s="356"/>
      <c r="DS145" s="356" t="b">
        <v>1</v>
      </c>
      <c r="DT145" s="356" t="b">
        <v>1</v>
      </c>
      <c r="DU145" s="356" t="b">
        <v>1</v>
      </c>
      <c r="DV145" s="356" t="b">
        <v>1</v>
      </c>
      <c r="DW145" s="356" t="b">
        <v>1</v>
      </c>
      <c r="DX145" s="356" t="b">
        <v>1</v>
      </c>
      <c r="DY145" s="356" t="b">
        <v>1</v>
      </c>
      <c r="DZ145" s="356" t="b">
        <v>1</v>
      </c>
      <c r="EA145" s="356" t="b">
        <v>1</v>
      </c>
      <c r="EB145" s="356" t="b">
        <v>1</v>
      </c>
      <c r="EC145" s="356" t="b">
        <v>1</v>
      </c>
      <c r="ED145" s="356" t="b">
        <v>1</v>
      </c>
      <c r="EE145" s="356" t="b">
        <v>1</v>
      </c>
      <c r="EF145" s="356" t="b">
        <v>1</v>
      </c>
      <c r="EG145" s="356" t="b">
        <v>1</v>
      </c>
      <c r="EH145" s="356" t="b">
        <v>1</v>
      </c>
      <c r="EI145" s="356" t="b">
        <v>1</v>
      </c>
      <c r="EJ145" s="356" t="b">
        <v>1</v>
      </c>
      <c r="EK145" s="356" t="b">
        <v>1</v>
      </c>
      <c r="EL145" s="356" t="b">
        <v>1</v>
      </c>
      <c r="EM145" s="356" t="b">
        <v>1</v>
      </c>
      <c r="EN145" s="356" t="b">
        <v>1</v>
      </c>
      <c r="EO145" s="356" t="b">
        <v>1</v>
      </c>
      <c r="EP145" s="355"/>
      <c r="EQ145" s="356"/>
    </row>
    <row r="146" spans="1:147" s="588" customFormat="1" ht="15" customHeight="1" outlineLevel="2">
      <c r="A146" s="579"/>
      <c r="B146"/>
      <c r="C146"/>
      <c r="D146"/>
      <c r="E146"/>
      <c r="F146"/>
      <c r="G146"/>
      <c r="H146" s="580"/>
      <c r="I146" s="581"/>
      <c r="J146" s="582"/>
      <c r="K146" s="582"/>
      <c r="L146" s="582"/>
      <c r="M146" s="583"/>
      <c r="N146" s="582"/>
      <c r="O146" s="582"/>
      <c r="P146" s="582"/>
      <c r="Q146" s="583"/>
      <c r="R146" s="582"/>
      <c r="S146" s="582"/>
      <c r="T146" s="582"/>
      <c r="U146" s="583"/>
      <c r="V146" s="582"/>
      <c r="W146" s="582"/>
      <c r="X146" s="582"/>
      <c r="Y146" s="583"/>
      <c r="Z146" s="582"/>
      <c r="AA146" s="582"/>
      <c r="AB146" s="582"/>
      <c r="AC146" s="583"/>
      <c r="AD146" s="582"/>
      <c r="AE146" s="582"/>
      <c r="AF146" s="582"/>
      <c r="AG146" s="583"/>
      <c r="AH146" s="582"/>
      <c r="AI146" s="582"/>
      <c r="AJ146" s="582"/>
      <c r="AK146" s="583"/>
      <c r="AL146" s="582"/>
      <c r="AM146" s="582"/>
      <c r="AN146" s="582"/>
      <c r="AO146" s="583"/>
      <c r="AP146" s="582"/>
      <c r="AQ146" s="582"/>
      <c r="AR146" s="582"/>
      <c r="AS146" s="583"/>
      <c r="AT146" s="582"/>
      <c r="AU146" s="582"/>
      <c r="AV146" s="582"/>
      <c r="AW146" s="583"/>
      <c r="AX146" s="582"/>
      <c r="AY146" s="582"/>
      <c r="AZ146" s="582"/>
      <c r="BA146" s="583"/>
      <c r="BB146" s="584"/>
      <c r="BC146" s="584"/>
      <c r="BD146" s="585"/>
      <c r="BE146" s="583"/>
      <c r="BF146" s="584"/>
      <c r="BG146" s="584"/>
      <c r="BH146" s="585"/>
      <c r="BI146" s="583"/>
      <c r="BJ146" s="584"/>
      <c r="BK146" s="584"/>
      <c r="BL146" s="585"/>
      <c r="BM146" s="583"/>
      <c r="BN146" s="584"/>
      <c r="BO146" s="584"/>
      <c r="BP146" s="585"/>
      <c r="BQ146" s="583"/>
      <c r="BR146" s="584"/>
      <c r="BS146" s="584"/>
      <c r="BT146" s="585"/>
      <c r="BU146" s="583"/>
      <c r="BV146" s="582"/>
      <c r="BW146" s="582"/>
      <c r="BX146" s="582"/>
      <c r="BY146" s="583"/>
      <c r="BZ146" s="582"/>
      <c r="CA146" s="582"/>
      <c r="CB146" s="582"/>
      <c r="CC146" s="583"/>
      <c r="CD146" s="582"/>
      <c r="CE146" s="582"/>
      <c r="CF146" s="582"/>
      <c r="CG146" s="583"/>
      <c r="CH146" s="582"/>
      <c r="CI146" s="582"/>
      <c r="CJ146" s="582"/>
      <c r="CK146" s="583"/>
      <c r="CL146" s="582"/>
      <c r="CM146" s="582"/>
      <c r="CN146" s="582"/>
      <c r="CO146" s="583"/>
      <c r="CP146" s="586"/>
      <c r="CQ146" s="582"/>
      <c r="CR146" s="582"/>
      <c r="CS146" s="583"/>
      <c r="CT146" s="586"/>
      <c r="CU146" s="582"/>
      <c r="CV146" s="582"/>
      <c r="CW146" s="583"/>
      <c r="CX146" s="582"/>
      <c r="CY146" s="582"/>
      <c r="CZ146" s="582"/>
      <c r="DA146" s="583"/>
      <c r="DB146" s="582"/>
      <c r="DC146" s="582"/>
      <c r="DD146" s="582"/>
      <c r="DE146" s="583"/>
      <c r="DF146" s="582"/>
      <c r="DG146" s="582"/>
      <c r="DH146" s="582"/>
      <c r="DI146" s="583"/>
      <c r="DJ146" s="587"/>
      <c r="DK146" s="586"/>
      <c r="DL146" s="582"/>
      <c r="DM146" s="582"/>
      <c r="DN146" s="582"/>
      <c r="DO146" s="582"/>
      <c r="DP146" s="582"/>
      <c r="DQ146" s="582"/>
      <c r="DR146" s="582"/>
      <c r="DS146" s="582"/>
      <c r="DT146" s="582"/>
      <c r="DU146" s="582"/>
      <c r="DV146" s="582"/>
      <c r="DW146" s="582"/>
      <c r="DX146" s="582"/>
      <c r="DY146" s="582"/>
      <c r="DZ146" s="582"/>
      <c r="EA146" s="582"/>
      <c r="EB146" s="582"/>
      <c r="EC146" s="582"/>
      <c r="ED146" s="582"/>
      <c r="EE146" s="582"/>
      <c r="EF146" s="582"/>
      <c r="EG146" s="582"/>
      <c r="EH146" s="582"/>
      <c r="EI146" s="582"/>
      <c r="EJ146" s="582"/>
      <c r="EK146" s="582"/>
      <c r="EL146" s="582"/>
      <c r="EM146" s="582"/>
      <c r="EN146" s="582"/>
      <c r="EO146" s="582"/>
      <c r="EP146" s="586"/>
      <c r="EQ146" s="582"/>
    </row>
    <row r="147" spans="1:147" s="589" customFormat="1" ht="12.95" outlineLevel="2">
      <c r="A147"/>
      <c r="B147"/>
      <c r="C147"/>
      <c r="D147"/>
      <c r="E147"/>
      <c r="F147"/>
      <c r="G147"/>
      <c r="I147" s="590" t="s">
        <v>1572</v>
      </c>
      <c r="J147" s="591"/>
      <c r="K147" s="591"/>
      <c r="L147" s="591"/>
      <c r="M147" s="592"/>
      <c r="N147" s="593"/>
      <c r="O147" s="591"/>
      <c r="P147" s="591"/>
      <c r="Q147" s="592"/>
      <c r="R147" s="593"/>
      <c r="S147" s="591"/>
      <c r="T147" s="591"/>
      <c r="U147" s="592"/>
      <c r="V147" s="593"/>
      <c r="W147" s="591"/>
      <c r="X147" s="591"/>
      <c r="Y147" s="592"/>
      <c r="Z147" s="593"/>
      <c r="AA147" s="591"/>
      <c r="AB147" s="591"/>
      <c r="AC147" s="592"/>
      <c r="AD147" s="593"/>
      <c r="AE147" s="591"/>
      <c r="AF147" s="591"/>
      <c r="AG147" s="592"/>
      <c r="AH147" s="593"/>
      <c r="AI147" s="591"/>
      <c r="AJ147" s="591"/>
      <c r="AK147" s="592"/>
      <c r="AL147" s="593"/>
      <c r="AM147" s="591"/>
      <c r="AN147" s="591"/>
      <c r="AO147" s="592"/>
      <c r="AP147" s="593"/>
      <c r="AQ147" s="591"/>
      <c r="AR147" s="591"/>
      <c r="AS147" s="592"/>
      <c r="AT147" s="593"/>
      <c r="AU147" s="591"/>
      <c r="AV147" s="591"/>
      <c r="AW147" s="592"/>
      <c r="AX147" s="593"/>
      <c r="AY147" s="591"/>
      <c r="AZ147" s="591"/>
      <c r="BA147" s="592"/>
      <c r="BB147" s="594"/>
      <c r="BC147" s="357"/>
      <c r="BD147" s="357"/>
      <c r="BE147" s="592"/>
      <c r="BF147" s="594"/>
      <c r="BG147" s="357"/>
      <c r="BH147" s="357"/>
      <c r="BI147" s="592"/>
      <c r="BJ147" s="594"/>
      <c r="BK147" s="357"/>
      <c r="BL147" s="357"/>
      <c r="BM147" s="592"/>
      <c r="BN147" s="594"/>
      <c r="BO147" s="357"/>
      <c r="BP147" s="357"/>
      <c r="BQ147" s="592"/>
      <c r="BR147" s="594"/>
      <c r="BS147" s="357"/>
      <c r="BT147" s="357"/>
      <c r="BU147" s="592"/>
      <c r="BV147" s="412"/>
      <c r="BW147" s="357"/>
      <c r="BX147" s="357"/>
      <c r="BY147" s="592"/>
      <c r="BZ147" s="357"/>
      <c r="CA147" s="357"/>
      <c r="CB147" s="357"/>
      <c r="CC147" s="592"/>
      <c r="CD147" s="357"/>
      <c r="CE147" s="357"/>
      <c r="CF147" s="357"/>
      <c r="CG147" s="592"/>
      <c r="CH147" s="357"/>
      <c r="CI147" s="357"/>
      <c r="CJ147" s="357"/>
      <c r="CK147" s="592"/>
      <c r="CL147" s="357"/>
      <c r="CM147" s="357"/>
      <c r="CN147" s="357"/>
      <c r="CO147" s="592"/>
      <c r="CP147" s="594"/>
      <c r="CQ147" s="357"/>
      <c r="CR147" s="357"/>
      <c r="CS147" s="592"/>
      <c r="CT147" s="594"/>
      <c r="CU147" s="357"/>
      <c r="CV147" s="357"/>
      <c r="CW147" s="592"/>
      <c r="CX147" s="357"/>
      <c r="CY147" s="357"/>
      <c r="CZ147" s="357"/>
      <c r="DA147" s="592"/>
      <c r="DB147" s="357"/>
      <c r="DC147" s="357"/>
      <c r="DD147" s="357"/>
      <c r="DE147" s="592"/>
      <c r="DF147" s="357"/>
      <c r="DG147" s="357"/>
      <c r="DH147" s="357"/>
      <c r="DI147" s="592"/>
      <c r="DJ147" s="364"/>
      <c r="DK147" s="593"/>
      <c r="DL147" s="591"/>
      <c r="DM147" s="591"/>
      <c r="DN147" s="591"/>
      <c r="DO147" s="591"/>
      <c r="DP147" s="591"/>
      <c r="DQ147" s="591"/>
      <c r="DR147" s="591"/>
      <c r="DS147" s="591"/>
      <c r="DT147" s="595"/>
      <c r="DU147" s="595"/>
      <c r="DV147" s="595"/>
      <c r="DW147" s="595"/>
      <c r="DX147" s="595"/>
      <c r="DY147" s="595"/>
      <c r="DZ147" s="595"/>
      <c r="EA147" s="595"/>
      <c r="EB147" s="357"/>
      <c r="EC147" s="356"/>
      <c r="ED147" s="356"/>
      <c r="EE147" s="356"/>
      <c r="EF147" s="356"/>
      <c r="EG147" s="357"/>
      <c r="EH147" s="357"/>
      <c r="EI147" s="357"/>
      <c r="EJ147" s="357"/>
      <c r="EK147" s="357"/>
      <c r="EL147" s="357"/>
      <c r="EM147" s="357"/>
      <c r="EN147" s="357"/>
      <c r="EO147" s="357"/>
      <c r="EP147" s="594"/>
      <c r="EQ147" s="357"/>
    </row>
    <row r="148" spans="1:147" s="596" customFormat="1" ht="12.95" outlineLevel="2">
      <c r="A148" s="546"/>
      <c r="B148"/>
      <c r="C148"/>
      <c r="D148"/>
      <c r="E148"/>
      <c r="F148"/>
      <c r="G148"/>
      <c r="I148" s="597" t="s">
        <v>187</v>
      </c>
      <c r="J148" s="409"/>
      <c r="K148" s="409"/>
      <c r="L148" s="409"/>
      <c r="M148" s="410"/>
      <c r="N148" s="409"/>
      <c r="O148" s="409"/>
      <c r="P148" s="409"/>
      <c r="Q148" s="410"/>
      <c r="R148" s="598"/>
      <c r="S148" s="409"/>
      <c r="T148" s="409"/>
      <c r="U148" s="410"/>
      <c r="V148" s="598"/>
      <c r="W148" s="409"/>
      <c r="X148" s="409"/>
      <c r="Y148" s="410"/>
      <c r="Z148" s="598"/>
      <c r="AA148" s="409"/>
      <c r="AB148" s="409"/>
      <c r="AC148" s="410"/>
      <c r="AD148" s="598"/>
      <c r="AE148" s="409"/>
      <c r="AF148" s="409"/>
      <c r="AG148" s="410"/>
      <c r="AH148" s="598"/>
      <c r="AI148" s="409"/>
      <c r="AJ148" s="409"/>
      <c r="AK148" s="410"/>
      <c r="AL148" s="598"/>
      <c r="AM148" s="409"/>
      <c r="AN148" s="409"/>
      <c r="AO148" s="410"/>
      <c r="AP148" s="598"/>
      <c r="AQ148" s="409"/>
      <c r="AR148" s="409"/>
      <c r="AS148" s="410"/>
      <c r="AT148" s="409"/>
      <c r="AU148" s="409"/>
      <c r="AV148" s="409"/>
      <c r="AW148" s="410"/>
      <c r="AX148" s="598"/>
      <c r="AY148" s="409"/>
      <c r="AZ148" s="409"/>
      <c r="BA148" s="410"/>
      <c r="BB148" s="598"/>
      <c r="BC148" s="409"/>
      <c r="BD148" s="409"/>
      <c r="BE148" s="410"/>
      <c r="BF148" s="598"/>
      <c r="BG148" s="409"/>
      <c r="BH148" s="409"/>
      <c r="BI148" s="410"/>
      <c r="BJ148" s="598"/>
      <c r="BK148" s="409"/>
      <c r="BL148" s="409"/>
      <c r="BM148" s="410"/>
      <c r="BN148" s="598"/>
      <c r="BO148" s="409"/>
      <c r="BP148" s="409"/>
      <c r="BQ148" s="410"/>
      <c r="BR148" s="409"/>
      <c r="BS148" s="409"/>
      <c r="BT148" s="409"/>
      <c r="BU148" s="410"/>
      <c r="BV148" s="409"/>
      <c r="BW148" s="409"/>
      <c r="BX148" s="409"/>
      <c r="BY148" s="410"/>
      <c r="BZ148" s="409"/>
      <c r="CA148" s="409"/>
      <c r="CB148" s="409"/>
      <c r="CC148" s="410"/>
      <c r="CD148" s="409"/>
      <c r="CE148" s="409"/>
      <c r="CF148" s="409"/>
      <c r="CG148" s="410"/>
      <c r="CH148" s="409"/>
      <c r="CI148" s="409"/>
      <c r="CJ148" s="409"/>
      <c r="CK148" s="410"/>
      <c r="CL148" s="409"/>
      <c r="CM148" s="409"/>
      <c r="CN148" s="409"/>
      <c r="CO148" s="410"/>
      <c r="CP148" s="598"/>
      <c r="CQ148" s="409"/>
      <c r="CR148" s="409"/>
      <c r="CS148" s="410"/>
      <c r="CT148" s="598"/>
      <c r="CU148" s="409"/>
      <c r="CV148" s="409"/>
      <c r="CW148" s="410"/>
      <c r="CX148" s="409"/>
      <c r="CY148" s="409"/>
      <c r="CZ148" s="409"/>
      <c r="DA148" s="410"/>
      <c r="DB148" s="409"/>
      <c r="DC148" s="409"/>
      <c r="DD148" s="409"/>
      <c r="DE148" s="410"/>
      <c r="DF148" s="409"/>
      <c r="DG148" s="409"/>
      <c r="DH148" s="409"/>
      <c r="DI148" s="410"/>
      <c r="DJ148" s="543"/>
      <c r="DK148" s="598"/>
      <c r="DL148" s="409"/>
      <c r="DM148" s="409"/>
      <c r="DN148" s="409"/>
      <c r="DO148" s="409"/>
      <c r="DP148" s="409"/>
      <c r="DQ148" s="409"/>
      <c r="DR148" s="409"/>
      <c r="DS148" s="409"/>
      <c r="DT148" s="386"/>
      <c r="DU148" s="386"/>
      <c r="DV148" s="386"/>
      <c r="DW148" s="386"/>
      <c r="DX148" s="386"/>
      <c r="DY148" s="386"/>
      <c r="DZ148" s="386"/>
      <c r="EA148" s="386"/>
      <c r="EB148" s="409"/>
      <c r="EC148" s="386"/>
      <c r="ED148" s="386"/>
      <c r="EE148" s="386"/>
      <c r="EF148" s="386"/>
      <c r="EG148" s="409"/>
      <c r="EH148" s="409"/>
      <c r="EI148" s="409"/>
      <c r="EJ148" s="409"/>
      <c r="EK148" s="409"/>
      <c r="EL148" s="409"/>
      <c r="EM148" s="409"/>
      <c r="EN148" s="409"/>
      <c r="EO148" s="409"/>
      <c r="EP148" s="598"/>
      <c r="EQ148" s="409"/>
    </row>
    <row r="149" spans="1:147" s="596" customFormat="1" ht="12.95" outlineLevel="2">
      <c r="A149" s="546"/>
      <c r="B149"/>
      <c r="C149"/>
      <c r="D149"/>
      <c r="E149"/>
      <c r="F149"/>
      <c r="G149"/>
      <c r="I149" s="597" t="s">
        <v>914</v>
      </c>
      <c r="J149" s="559"/>
      <c r="K149" s="559"/>
      <c r="L149" s="559"/>
      <c r="M149" s="560"/>
      <c r="N149" s="559"/>
      <c r="O149" s="559"/>
      <c r="P149" s="559"/>
      <c r="Q149" s="560"/>
      <c r="R149" s="561"/>
      <c r="S149" s="559"/>
      <c r="T149" s="559"/>
      <c r="U149" s="560"/>
      <c r="V149" s="561"/>
      <c r="W149" s="559"/>
      <c r="X149" s="559"/>
      <c r="Y149" s="560"/>
      <c r="Z149" s="561"/>
      <c r="AA149" s="559"/>
      <c r="AB149" s="559"/>
      <c r="AC149" s="560"/>
      <c r="AD149" s="561"/>
      <c r="AE149" s="559"/>
      <c r="AF149" s="559"/>
      <c r="AG149" s="560"/>
      <c r="AH149" s="561"/>
      <c r="AI149" s="559"/>
      <c r="AJ149" s="559"/>
      <c r="AK149" s="560"/>
      <c r="AL149" s="561"/>
      <c r="AM149" s="559"/>
      <c r="AN149" s="559"/>
      <c r="AO149" s="560"/>
      <c r="AP149" s="561"/>
      <c r="AQ149" s="559"/>
      <c r="AR149" s="559"/>
      <c r="AS149" s="560"/>
      <c r="AT149" s="559"/>
      <c r="AU149" s="559"/>
      <c r="AV149" s="559"/>
      <c r="AW149" s="560"/>
      <c r="AX149" s="559"/>
      <c r="AY149" s="559"/>
      <c r="AZ149" s="559"/>
      <c r="BA149" s="560"/>
      <c r="BB149" s="599">
        <v>18.25</v>
      </c>
      <c r="BC149" s="562">
        <v>18.25</v>
      </c>
      <c r="BD149" s="562">
        <v>18.25</v>
      </c>
      <c r="BE149" s="562">
        <v>18.25</v>
      </c>
      <c r="BF149" s="599">
        <v>7.5</v>
      </c>
      <c r="BG149" s="562">
        <v>7.5</v>
      </c>
      <c r="BH149" s="461">
        <v>7.5</v>
      </c>
      <c r="BI149" s="600">
        <v>7.5</v>
      </c>
      <c r="BJ149" s="599">
        <v>6</v>
      </c>
      <c r="BK149" s="562">
        <v>6</v>
      </c>
      <c r="BL149" s="461">
        <v>6</v>
      </c>
      <c r="BM149" s="600">
        <v>6</v>
      </c>
      <c r="BN149" s="599">
        <v>3.5</v>
      </c>
      <c r="BO149" s="562">
        <v>3.5</v>
      </c>
      <c r="BP149" s="461">
        <v>3.5</v>
      </c>
      <c r="BQ149" s="600">
        <v>3.5</v>
      </c>
      <c r="BR149" s="562">
        <v>2</v>
      </c>
      <c r="BS149" s="562">
        <v>2</v>
      </c>
      <c r="BT149" s="461">
        <v>2</v>
      </c>
      <c r="BU149" s="600">
        <v>2</v>
      </c>
      <c r="BV149" s="448">
        <v>81</v>
      </c>
      <c r="BW149" s="562">
        <v>203</v>
      </c>
      <c r="BX149" s="562">
        <v>211</v>
      </c>
      <c r="BY149" s="600">
        <v>212</v>
      </c>
      <c r="BZ149" s="448">
        <v>190</v>
      </c>
      <c r="CA149" s="562">
        <v>194</v>
      </c>
      <c r="CB149" s="562">
        <v>187</v>
      </c>
      <c r="CC149" s="600">
        <v>185</v>
      </c>
      <c r="CD149" s="448">
        <v>119</v>
      </c>
      <c r="CE149" s="562">
        <v>77</v>
      </c>
      <c r="CF149" s="562">
        <v>83</v>
      </c>
      <c r="CG149" s="600">
        <v>91</v>
      </c>
      <c r="CH149" s="448">
        <v>54</v>
      </c>
      <c r="CI149" s="562">
        <v>47</v>
      </c>
      <c r="CJ149" s="562">
        <v>50</v>
      </c>
      <c r="CK149" s="600">
        <v>56</v>
      </c>
      <c r="CL149" s="448">
        <v>33</v>
      </c>
      <c r="CM149" s="562">
        <v>14</v>
      </c>
      <c r="CN149" s="562">
        <v>16</v>
      </c>
      <c r="CO149" s="600">
        <v>18</v>
      </c>
      <c r="CP149" s="450">
        <v>5</v>
      </c>
      <c r="CQ149" s="448">
        <v>2</v>
      </c>
      <c r="CR149" s="562">
        <v>2</v>
      </c>
      <c r="CS149" s="600">
        <v>2</v>
      </c>
      <c r="CT149" s="450">
        <v>2</v>
      </c>
      <c r="CU149" s="448">
        <v>2</v>
      </c>
      <c r="CV149" s="562">
        <v>2</v>
      </c>
      <c r="CW149" s="600">
        <v>2</v>
      </c>
      <c r="CX149" s="559"/>
      <c r="CY149" s="559"/>
      <c r="CZ149" s="559"/>
      <c r="DA149" s="560"/>
      <c r="DB149" s="559"/>
      <c r="DC149" s="559"/>
      <c r="DD149" s="559"/>
      <c r="DE149" s="560"/>
      <c r="DF149" s="559"/>
      <c r="DG149" s="559"/>
      <c r="DH149" s="559"/>
      <c r="DI149" s="560"/>
      <c r="DJ149" s="560"/>
      <c r="DK149" s="561"/>
      <c r="DL149" s="559"/>
      <c r="DM149" s="559"/>
      <c r="DN149" s="559"/>
      <c r="DO149" s="559"/>
      <c r="DP149" s="559"/>
      <c r="DQ149" s="559"/>
      <c r="DR149" s="559"/>
      <c r="DS149" s="559"/>
      <c r="DT149" s="369"/>
      <c r="DU149" s="448">
        <v>130</v>
      </c>
      <c r="DV149" s="448">
        <v>73</v>
      </c>
      <c r="DW149" s="448">
        <v>30</v>
      </c>
      <c r="DX149" s="448">
        <v>24</v>
      </c>
      <c r="DY149" s="448">
        <v>14</v>
      </c>
      <c r="DZ149" s="448">
        <v>8</v>
      </c>
      <c r="EA149" s="448">
        <v>707</v>
      </c>
      <c r="EB149" s="448">
        <v>756</v>
      </c>
      <c r="EC149" s="448">
        <v>370</v>
      </c>
      <c r="ED149" s="448">
        <v>207</v>
      </c>
      <c r="EE149" s="448">
        <v>81</v>
      </c>
      <c r="EF149" s="448">
        <v>11</v>
      </c>
      <c r="EG149" s="448">
        <v>8</v>
      </c>
      <c r="EH149" s="562">
        <v>0</v>
      </c>
      <c r="EI149" s="562">
        <v>0</v>
      </c>
      <c r="EJ149" s="562">
        <v>0</v>
      </c>
      <c r="EK149" s="562">
        <v>0</v>
      </c>
      <c r="EL149" s="562">
        <v>0</v>
      </c>
      <c r="EM149" s="562">
        <v>0</v>
      </c>
      <c r="EN149" s="562">
        <v>0</v>
      </c>
      <c r="EO149" s="562">
        <v>0</v>
      </c>
      <c r="EP149" s="598"/>
      <c r="EQ149" s="409"/>
    </row>
    <row r="150" spans="1:147" s="613" customFormat="1" outlineLevel="2">
      <c r="A150" s="601"/>
      <c r="B150"/>
      <c r="C150"/>
      <c r="D150"/>
      <c r="E150"/>
      <c r="F150"/>
      <c r="G150"/>
      <c r="H150" s="602"/>
      <c r="I150" s="603" t="s">
        <v>1573</v>
      </c>
      <c r="J150" s="604"/>
      <c r="K150" s="604"/>
      <c r="L150" s="604"/>
      <c r="M150" s="605"/>
      <c r="N150" s="604"/>
      <c r="O150" s="604"/>
      <c r="P150" s="604"/>
      <c r="Q150" s="604"/>
      <c r="R150" s="606"/>
      <c r="S150" s="604"/>
      <c r="T150" s="604"/>
      <c r="U150" s="605"/>
      <c r="V150" s="604"/>
      <c r="W150" s="604"/>
      <c r="X150" s="604"/>
      <c r="Y150" s="604"/>
      <c r="Z150" s="606"/>
      <c r="AA150" s="604"/>
      <c r="AB150" s="604"/>
      <c r="AC150" s="604"/>
      <c r="AD150" s="606"/>
      <c r="AE150" s="604"/>
      <c r="AF150" s="604"/>
      <c r="AG150" s="604"/>
      <c r="AH150" s="606"/>
      <c r="AI150" s="604"/>
      <c r="AJ150" s="604"/>
      <c r="AK150" s="604"/>
      <c r="AL150" s="606"/>
      <c r="AM150" s="604"/>
      <c r="AN150" s="604"/>
      <c r="AO150" s="605"/>
      <c r="AP150" s="604"/>
      <c r="AQ150" s="604"/>
      <c r="AR150" s="604"/>
      <c r="AS150" s="605"/>
      <c r="AT150" s="604"/>
      <c r="AU150" s="604"/>
      <c r="AV150" s="604"/>
      <c r="AW150" s="605"/>
      <c r="AX150" s="604">
        <v>0</v>
      </c>
      <c r="AY150" s="604">
        <v>0</v>
      </c>
      <c r="AZ150" s="604">
        <v>0</v>
      </c>
      <c r="BA150" s="604">
        <v>0</v>
      </c>
      <c r="BB150" s="606">
        <v>1.2594893029675638E-2</v>
      </c>
      <c r="BC150" s="604">
        <v>1.5924956369982549E-2</v>
      </c>
      <c r="BD150" s="607">
        <v>2.420424403183024E-2</v>
      </c>
      <c r="BE150" s="604">
        <v>1.2970859985785359E-2</v>
      </c>
      <c r="BF150" s="608">
        <v>6.3993174061433445E-3</v>
      </c>
      <c r="BG150" s="607">
        <v>6.9767441860465115E-3</v>
      </c>
      <c r="BH150" s="607">
        <v>8.9179548156956001E-3</v>
      </c>
      <c r="BI150" s="607">
        <v>4.2420814479638006E-3</v>
      </c>
      <c r="BJ150" s="608">
        <v>4.5317220543806651E-3</v>
      </c>
      <c r="BK150" s="607">
        <v>5.7142857142857143E-3</v>
      </c>
      <c r="BL150" s="607">
        <v>8.6830680173661367E-3</v>
      </c>
      <c r="BM150" s="607">
        <v>3.952569169960474E-3</v>
      </c>
      <c r="BN150" s="608">
        <v>3.1503150315031502E-3</v>
      </c>
      <c r="BO150" s="607">
        <v>3.6082474226804126E-3</v>
      </c>
      <c r="BP150" s="607">
        <v>4.6480743691899072E-3</v>
      </c>
      <c r="BQ150" s="609">
        <v>2.2222222222222222E-3</v>
      </c>
      <c r="BR150" s="607">
        <v>1.5649452269170579E-3</v>
      </c>
      <c r="BS150" s="607">
        <v>1.9157088122605363E-3</v>
      </c>
      <c r="BT150" s="607">
        <v>2.0202020202020202E-3</v>
      </c>
      <c r="BU150" s="609">
        <v>1.4781966001478197E-3</v>
      </c>
      <c r="BV150" s="607">
        <v>5.5670103092783509E-2</v>
      </c>
      <c r="BW150" s="607">
        <v>0.12929936305732484</v>
      </c>
      <c r="BX150" s="607">
        <v>0.13456632653061223</v>
      </c>
      <c r="BY150" s="609">
        <v>0.10526315789473684</v>
      </c>
      <c r="BZ150" s="607">
        <v>0.1100811123986095</v>
      </c>
      <c r="CA150" s="607">
        <v>0.11894543225015328</v>
      </c>
      <c r="CB150" s="607">
        <v>0.11557478368355995</v>
      </c>
      <c r="CC150" s="609">
        <v>9.0553108174253549E-2</v>
      </c>
      <c r="CD150" s="607">
        <v>6.0559796437659033E-2</v>
      </c>
      <c r="CE150" s="607">
        <v>4.692260816575259E-2</v>
      </c>
      <c r="CF150" s="607">
        <v>5.4894179894179891E-2</v>
      </c>
      <c r="CG150" s="609">
        <v>3.8219235615287693E-2</v>
      </c>
      <c r="CH150" s="607">
        <v>2.958904109589041E-2</v>
      </c>
      <c r="CI150" s="607">
        <v>3.36676217765043E-2</v>
      </c>
      <c r="CJ150" s="607">
        <v>3.9001560062402497E-2</v>
      </c>
      <c r="CK150" s="609">
        <v>2.8197381671701913E-2</v>
      </c>
      <c r="CL150" s="607">
        <v>1.8456375838926176E-2</v>
      </c>
      <c r="CM150" s="607">
        <v>7.246376811594203E-3</v>
      </c>
      <c r="CN150" s="607">
        <v>8.1883316274309111E-3</v>
      </c>
      <c r="CO150" s="609">
        <v>7.4595938665561546E-3</v>
      </c>
      <c r="CP150" s="608">
        <v>2.1978021978021978E-3</v>
      </c>
      <c r="CQ150" s="607">
        <v>8.710801393728223E-4</v>
      </c>
      <c r="CR150" s="607">
        <v>9.6618357487922703E-4</v>
      </c>
      <c r="CS150" s="609">
        <v>7.099825292233707E-4</v>
      </c>
      <c r="CT150" s="608">
        <v>1.2362269389124473E-3</v>
      </c>
      <c r="CU150" s="607">
        <v>1.260280724708714E-3</v>
      </c>
      <c r="CV150" s="607">
        <v>9.4621281870139442E-4</v>
      </c>
      <c r="CW150" s="609">
        <v>5.6163364211620371E-4</v>
      </c>
      <c r="CX150" s="610"/>
      <c r="CY150" s="610"/>
      <c r="CZ150" s="610"/>
      <c r="DA150" s="611"/>
      <c r="DB150" s="610"/>
      <c r="DC150" s="610"/>
      <c r="DD150" s="610"/>
      <c r="DE150" s="611"/>
      <c r="DF150" s="610"/>
      <c r="DG150" s="610"/>
      <c r="DH150" s="610"/>
      <c r="DI150" s="611"/>
      <c r="DJ150" s="605"/>
      <c r="DK150" s="606"/>
      <c r="DL150" s="604"/>
      <c r="DM150" s="604"/>
      <c r="DN150" s="604"/>
      <c r="DO150" s="604"/>
      <c r="DP150" s="604"/>
      <c r="DQ150" s="604"/>
      <c r="DR150" s="604"/>
      <c r="DS150" s="604"/>
      <c r="DT150" s="607"/>
      <c r="DU150" s="607">
        <v>2.9233190915223747E-2</v>
      </c>
      <c r="DV150" s="607">
        <v>1.5349032800672834E-2</v>
      </c>
      <c r="DW150" s="607">
        <v>6.1779242174629326E-3</v>
      </c>
      <c r="DX150" s="607">
        <v>5.236744490508401E-3</v>
      </c>
      <c r="DY150" s="607">
        <v>3.1753232025402587E-3</v>
      </c>
      <c r="DZ150" s="607">
        <v>1.7148981779206859E-3</v>
      </c>
      <c r="EA150" s="607">
        <v>0.10700771908581808</v>
      </c>
      <c r="EB150" s="607">
        <v>0.10772299800512966</v>
      </c>
      <c r="EC150" s="607">
        <v>4.9339911988265102E-2</v>
      </c>
      <c r="ED150" s="607">
        <v>3.1900138696255201E-2</v>
      </c>
      <c r="EE150" s="607">
        <v>1.0016075182391492E-2</v>
      </c>
      <c r="EF150" s="607">
        <v>1.1630401827171122E-3</v>
      </c>
      <c r="EG150" s="607">
        <v>9.0095126621393912E-4</v>
      </c>
      <c r="EH150" s="607">
        <v>0</v>
      </c>
      <c r="EI150" s="607">
        <v>0</v>
      </c>
      <c r="EJ150" s="607">
        <v>0</v>
      </c>
      <c r="EK150" s="607">
        <v>0</v>
      </c>
      <c r="EL150" s="607">
        <v>0</v>
      </c>
      <c r="EM150" s="607">
        <v>0</v>
      </c>
      <c r="EN150" s="607">
        <v>0</v>
      </c>
      <c r="EO150" s="607">
        <v>0</v>
      </c>
      <c r="EP150" s="606"/>
      <c r="EQ150" s="612"/>
    </row>
    <row r="151" spans="1:147" s="596" customFormat="1" ht="12.95" outlineLevel="2">
      <c r="A151" s="546"/>
      <c r="B151"/>
      <c r="C151"/>
      <c r="D151"/>
      <c r="E151"/>
      <c r="F151"/>
      <c r="G151"/>
      <c r="I151" s="597" t="s">
        <v>950</v>
      </c>
      <c r="J151" s="559"/>
      <c r="K151" s="559"/>
      <c r="L151" s="559"/>
      <c r="M151" s="560"/>
      <c r="N151" s="559"/>
      <c r="O151" s="559"/>
      <c r="P151" s="559"/>
      <c r="Q151" s="560"/>
      <c r="R151" s="559"/>
      <c r="S151" s="559"/>
      <c r="T151" s="559"/>
      <c r="U151" s="560"/>
      <c r="V151" s="559"/>
      <c r="W151" s="559"/>
      <c r="X151" s="559"/>
      <c r="Y151" s="559"/>
      <c r="Z151" s="561"/>
      <c r="AA151" s="559"/>
      <c r="AB151" s="559"/>
      <c r="AC151" s="560"/>
      <c r="AD151" s="559"/>
      <c r="AE151" s="559"/>
      <c r="AF151" s="559"/>
      <c r="AG151" s="559"/>
      <c r="AH151" s="561"/>
      <c r="AI151" s="559"/>
      <c r="AJ151" s="559"/>
      <c r="AK151" s="559"/>
      <c r="AL151" s="561"/>
      <c r="AM151" s="559"/>
      <c r="AN151" s="559"/>
      <c r="AO151" s="560"/>
      <c r="AP151" s="559"/>
      <c r="AQ151" s="559"/>
      <c r="AR151" s="559"/>
      <c r="AS151" s="560"/>
      <c r="AT151" s="559"/>
      <c r="AU151" s="559"/>
      <c r="AV151" s="559"/>
      <c r="AW151" s="560"/>
      <c r="AX151" s="559">
        <v>0</v>
      </c>
      <c r="AY151" s="559">
        <v>0</v>
      </c>
      <c r="AZ151" s="559">
        <v>0</v>
      </c>
      <c r="BA151" s="559">
        <v>0</v>
      </c>
      <c r="BB151" s="599">
        <v>7.75</v>
      </c>
      <c r="BC151" s="562">
        <v>7.75</v>
      </c>
      <c r="BD151" s="448">
        <v>6.75</v>
      </c>
      <c r="BE151" s="562">
        <v>52.75</v>
      </c>
      <c r="BF151" s="450">
        <v>15.5</v>
      </c>
      <c r="BG151" s="448">
        <v>14.5</v>
      </c>
      <c r="BH151" s="448">
        <v>16.5</v>
      </c>
      <c r="BI151" s="448">
        <v>43.5</v>
      </c>
      <c r="BJ151" s="450">
        <v>18</v>
      </c>
      <c r="BK151" s="448">
        <v>17</v>
      </c>
      <c r="BL151" s="448">
        <v>15</v>
      </c>
      <c r="BM151" s="448">
        <v>34</v>
      </c>
      <c r="BN151" s="450">
        <v>15.5</v>
      </c>
      <c r="BO151" s="448">
        <v>15.5</v>
      </c>
      <c r="BP151" s="448">
        <v>19.5</v>
      </c>
      <c r="BQ151" s="449">
        <v>25.5</v>
      </c>
      <c r="BR151" s="448">
        <v>18</v>
      </c>
      <c r="BS151" s="448">
        <v>18</v>
      </c>
      <c r="BT151" s="448">
        <v>23</v>
      </c>
      <c r="BU151" s="449">
        <v>28</v>
      </c>
      <c r="BV151" s="448">
        <v>26</v>
      </c>
      <c r="BW151" s="448">
        <v>31</v>
      </c>
      <c r="BX151" s="448">
        <v>32</v>
      </c>
      <c r="BY151" s="449">
        <v>33</v>
      </c>
      <c r="BZ151" s="448">
        <v>34</v>
      </c>
      <c r="CA151" s="448">
        <v>32</v>
      </c>
      <c r="CB151" s="448">
        <v>33</v>
      </c>
      <c r="CC151" s="449">
        <v>33</v>
      </c>
      <c r="CD151" s="448">
        <v>36</v>
      </c>
      <c r="CE151" s="448">
        <v>35</v>
      </c>
      <c r="CF151" s="448">
        <v>35</v>
      </c>
      <c r="CG151" s="449">
        <v>33</v>
      </c>
      <c r="CH151" s="448">
        <v>33</v>
      </c>
      <c r="CI151" s="448">
        <v>32</v>
      </c>
      <c r="CJ151" s="448">
        <v>30</v>
      </c>
      <c r="CK151" s="449">
        <v>26</v>
      </c>
      <c r="CL151" s="448">
        <v>29</v>
      </c>
      <c r="CM151" s="448">
        <v>30</v>
      </c>
      <c r="CN151" s="448">
        <v>30</v>
      </c>
      <c r="CO151" s="449">
        <v>27</v>
      </c>
      <c r="CP151" s="450">
        <v>28</v>
      </c>
      <c r="CQ151" s="448">
        <v>26</v>
      </c>
      <c r="CR151" s="448">
        <v>25</v>
      </c>
      <c r="CS151" s="600">
        <v>36.878770819201982</v>
      </c>
      <c r="CT151" s="450">
        <v>26.239906061051261</v>
      </c>
      <c r="CU151" s="448">
        <v>24.642049991120743</v>
      </c>
      <c r="CV151" s="448">
        <v>38.046409104251275</v>
      </c>
      <c r="CW151" s="600">
        <v>64.098724329180214</v>
      </c>
      <c r="CX151" s="559"/>
      <c r="CY151" s="559"/>
      <c r="CZ151" s="559"/>
      <c r="DA151" s="560"/>
      <c r="DB151" s="559"/>
      <c r="DC151" s="559"/>
      <c r="DD151" s="559"/>
      <c r="DE151" s="560"/>
      <c r="DF151" s="559"/>
      <c r="DG151" s="559"/>
      <c r="DH151" s="559"/>
      <c r="DI151" s="560"/>
      <c r="DJ151" s="560"/>
      <c r="DK151" s="561"/>
      <c r="DL151" s="559"/>
      <c r="DM151" s="559"/>
      <c r="DN151" s="559"/>
      <c r="DO151" s="559"/>
      <c r="DP151" s="559"/>
      <c r="DQ151" s="559"/>
      <c r="DR151" s="559"/>
      <c r="DS151" s="559"/>
      <c r="DT151" s="369"/>
      <c r="DU151" s="507">
        <v>68</v>
      </c>
      <c r="DV151" s="507">
        <v>75</v>
      </c>
      <c r="DW151" s="507">
        <v>90</v>
      </c>
      <c r="DX151" s="507">
        <v>84</v>
      </c>
      <c r="DY151" s="507">
        <v>76</v>
      </c>
      <c r="DZ151" s="448">
        <v>87</v>
      </c>
      <c r="EA151" s="448">
        <v>122</v>
      </c>
      <c r="EB151" s="448">
        <v>132</v>
      </c>
      <c r="EC151" s="448">
        <v>139</v>
      </c>
      <c r="ED151" s="448">
        <v>121</v>
      </c>
      <c r="EE151" s="448">
        <v>116</v>
      </c>
      <c r="EF151" s="448">
        <v>115.87877081920197</v>
      </c>
      <c r="EG151" s="448">
        <v>153.02708948560348</v>
      </c>
      <c r="EH151" s="562">
        <v>178.43913293223679</v>
      </c>
      <c r="EI151" s="562">
        <v>165.75922207317078</v>
      </c>
      <c r="EJ151" s="562">
        <v>159.00567642373034</v>
      </c>
      <c r="EK151" s="562">
        <v>169.48401748842389</v>
      </c>
      <c r="EL151" s="562">
        <v>163.47862903266423</v>
      </c>
      <c r="EM151" s="562">
        <v>164.57788837296641</v>
      </c>
      <c r="EN151" s="562">
        <v>163.6826514701832</v>
      </c>
      <c r="EO151" s="562">
        <v>176.20245252308914</v>
      </c>
      <c r="EP151" s="598"/>
      <c r="EQ151" s="409"/>
    </row>
    <row r="152" spans="1:147" s="613" customFormat="1" outlineLevel="2">
      <c r="A152" s="601"/>
      <c r="B152"/>
      <c r="C152"/>
      <c r="D152"/>
      <c r="E152"/>
      <c r="F152"/>
      <c r="G152"/>
      <c r="H152" s="602"/>
      <c r="I152" s="603" t="s">
        <v>1573</v>
      </c>
      <c r="J152" s="604"/>
      <c r="K152" s="604"/>
      <c r="L152" s="604"/>
      <c r="M152" s="605"/>
      <c r="N152" s="604"/>
      <c r="O152" s="604"/>
      <c r="P152" s="604"/>
      <c r="Q152" s="605"/>
      <c r="R152" s="604"/>
      <c r="S152" s="604"/>
      <c r="T152" s="604"/>
      <c r="U152" s="605"/>
      <c r="V152" s="604"/>
      <c r="W152" s="604"/>
      <c r="X152" s="604"/>
      <c r="Y152" s="605"/>
      <c r="Z152" s="604"/>
      <c r="AA152" s="604"/>
      <c r="AB152" s="604"/>
      <c r="AC152" s="605"/>
      <c r="AD152" s="604"/>
      <c r="AE152" s="604"/>
      <c r="AF152" s="604"/>
      <c r="AG152" s="604"/>
      <c r="AH152" s="606"/>
      <c r="AI152" s="604"/>
      <c r="AJ152" s="604"/>
      <c r="AK152" s="605"/>
      <c r="AL152" s="604"/>
      <c r="AM152" s="604"/>
      <c r="AN152" s="604"/>
      <c r="AO152" s="605"/>
      <c r="AP152" s="604"/>
      <c r="AQ152" s="604"/>
      <c r="AR152" s="604"/>
      <c r="AS152" s="605"/>
      <c r="AT152" s="604"/>
      <c r="AU152" s="604"/>
      <c r="AV152" s="604"/>
      <c r="AW152" s="605"/>
      <c r="AX152" s="604">
        <v>0</v>
      </c>
      <c r="AY152" s="604">
        <v>0</v>
      </c>
      <c r="AZ152" s="604">
        <v>0</v>
      </c>
      <c r="BA152" s="604">
        <v>0</v>
      </c>
      <c r="BB152" s="606">
        <v>5.3485162180814351E-3</v>
      </c>
      <c r="BC152" s="604">
        <v>6.7626527050610816E-3</v>
      </c>
      <c r="BD152" s="607">
        <v>8.952254641909815E-3</v>
      </c>
      <c r="BE152" s="604">
        <v>3.7491115849324803E-2</v>
      </c>
      <c r="BF152" s="608">
        <v>1.3225255972696246E-2</v>
      </c>
      <c r="BG152" s="607">
        <v>1.3488372093023256E-2</v>
      </c>
      <c r="BH152" s="607">
        <v>1.9619500594530322E-2</v>
      </c>
      <c r="BI152" s="607">
        <v>2.4604072398190045E-2</v>
      </c>
      <c r="BJ152" s="608">
        <v>1.3595166163141994E-2</v>
      </c>
      <c r="BK152" s="607">
        <v>1.6190476190476189E-2</v>
      </c>
      <c r="BL152" s="607">
        <v>2.1707670043415339E-2</v>
      </c>
      <c r="BM152" s="607">
        <v>2.2397891963109356E-2</v>
      </c>
      <c r="BN152" s="608">
        <v>1.3951395139513951E-2</v>
      </c>
      <c r="BO152" s="607">
        <v>1.5979381443298968E-2</v>
      </c>
      <c r="BP152" s="607">
        <v>2.5896414342629483E-2</v>
      </c>
      <c r="BQ152" s="609">
        <v>1.6190476190476189E-2</v>
      </c>
      <c r="BR152" s="607">
        <v>1.4084507042253521E-2</v>
      </c>
      <c r="BS152" s="607">
        <v>1.7241379310344827E-2</v>
      </c>
      <c r="BT152" s="607">
        <v>2.3232323232323233E-2</v>
      </c>
      <c r="BU152" s="609">
        <v>2.0694752402069475E-2</v>
      </c>
      <c r="BV152" s="607">
        <v>1.7869415807560136E-2</v>
      </c>
      <c r="BW152" s="607">
        <v>1.9745222929936305E-2</v>
      </c>
      <c r="BX152" s="607">
        <v>2.0408163265306121E-2</v>
      </c>
      <c r="BY152" s="609">
        <v>1.6385302879841111E-2</v>
      </c>
      <c r="BZ152" s="607">
        <v>1.9698725376593278E-2</v>
      </c>
      <c r="CA152" s="607">
        <v>1.9619865113427344E-2</v>
      </c>
      <c r="CB152" s="607">
        <v>2.0395550061804699E-2</v>
      </c>
      <c r="CC152" s="609">
        <v>1.6152716593245228E-2</v>
      </c>
      <c r="CD152" s="607">
        <v>1.8320610687022901E-2</v>
      </c>
      <c r="CE152" s="607">
        <v>2.1328458257160267E-2</v>
      </c>
      <c r="CF152" s="607">
        <v>2.3148148148148147E-2</v>
      </c>
      <c r="CG152" s="609">
        <v>1.385972280554389E-2</v>
      </c>
      <c r="CH152" s="607">
        <v>1.8082191780821918E-2</v>
      </c>
      <c r="CI152" s="607">
        <v>2.2922636103151862E-2</v>
      </c>
      <c r="CJ152" s="607">
        <v>2.3400936037441498E-2</v>
      </c>
      <c r="CK152" s="609">
        <v>1.3091641490433032E-2</v>
      </c>
      <c r="CL152" s="607">
        <v>1.6219239373601788E-2</v>
      </c>
      <c r="CM152" s="607">
        <v>1.5527950310559006E-2</v>
      </c>
      <c r="CN152" s="607">
        <v>1.5353121801432957E-2</v>
      </c>
      <c r="CO152" s="609">
        <v>1.1189390799834231E-2</v>
      </c>
      <c r="CP152" s="608">
        <v>1.2307692307692308E-2</v>
      </c>
      <c r="CQ152" s="614">
        <v>1.1324041811846691E-2</v>
      </c>
      <c r="CR152" s="614">
        <v>1.2077294685990338E-2</v>
      </c>
      <c r="CS152" s="611">
        <v>1.3091641490433032E-2</v>
      </c>
      <c r="CT152" s="615">
        <v>1.6219239373601788E-2</v>
      </c>
      <c r="CU152" s="616">
        <v>1.5527950310559006E-2</v>
      </c>
      <c r="CV152" s="616">
        <v>1.7999999999999999E-2</v>
      </c>
      <c r="CW152" s="611">
        <v>1.7999999999999999E-2</v>
      </c>
      <c r="CX152" s="610"/>
      <c r="CY152" s="610"/>
      <c r="CZ152" s="610"/>
      <c r="DA152" s="611"/>
      <c r="DB152" s="610"/>
      <c r="DC152" s="610"/>
      <c r="DD152" s="610"/>
      <c r="DE152" s="611"/>
      <c r="DF152" s="610"/>
      <c r="DG152" s="610"/>
      <c r="DH152" s="610"/>
      <c r="DI152" s="611"/>
      <c r="DJ152" s="605"/>
      <c r="DK152" s="606"/>
      <c r="DL152" s="604"/>
      <c r="DM152" s="604"/>
      <c r="DN152" s="604"/>
      <c r="DO152" s="604"/>
      <c r="DP152" s="604"/>
      <c r="DQ152" s="604"/>
      <c r="DR152" s="604"/>
      <c r="DS152" s="604"/>
      <c r="DT152" s="607"/>
      <c r="DU152" s="607">
        <v>1.5291207555655498E-2</v>
      </c>
      <c r="DV152" s="607">
        <v>1.5769554247266612E-2</v>
      </c>
      <c r="DW152" s="607">
        <v>1.8533772652388796E-2</v>
      </c>
      <c r="DX152" s="607">
        <v>1.8328605716779401E-2</v>
      </c>
      <c r="DY152" s="607">
        <v>1.7237468813789975E-2</v>
      </c>
      <c r="DZ152" s="607">
        <v>1.864951768488746E-2</v>
      </c>
      <c r="EA152" s="607">
        <v>1.8465264113818679E-2</v>
      </c>
      <c r="EB152" s="607">
        <v>1.8808777429467086E-2</v>
      </c>
      <c r="EC152" s="607">
        <v>1.8535804773969863E-2</v>
      </c>
      <c r="ED152" s="607">
        <v>1.8646940977038066E-2</v>
      </c>
      <c r="EE152" s="607">
        <v>1.4344008903177941E-2</v>
      </c>
      <c r="EF152" s="607">
        <v>1.2251969707872639E-2</v>
      </c>
      <c r="EG152" s="607">
        <v>1.7233743754636027E-2</v>
      </c>
      <c r="EH152" s="610">
        <v>1.7233743754636027E-2</v>
      </c>
      <c r="EI152" s="610">
        <v>1.7000000000000001E-2</v>
      </c>
      <c r="EJ152" s="610">
        <v>1.7000000000000001E-2</v>
      </c>
      <c r="EK152" s="610">
        <v>1.7000000000000001E-2</v>
      </c>
      <c r="EL152" s="610">
        <v>1.7000000000000001E-2</v>
      </c>
      <c r="EM152" s="610">
        <v>1.7000000000000001E-2</v>
      </c>
      <c r="EN152" s="610">
        <v>1.7000000000000001E-2</v>
      </c>
      <c r="EO152" s="610">
        <v>1.7000000000000001E-2</v>
      </c>
      <c r="EP152" s="606"/>
      <c r="EQ152" s="612"/>
    </row>
    <row r="153" spans="1:147" s="596" customFormat="1" ht="12.95" outlineLevel="2">
      <c r="A153" s="546"/>
      <c r="B153"/>
      <c r="C153"/>
      <c r="D153"/>
      <c r="E153"/>
      <c r="F153"/>
      <c r="G153"/>
      <c r="I153" s="597" t="s">
        <v>1574</v>
      </c>
      <c r="J153" s="559"/>
      <c r="K153" s="559"/>
      <c r="L153" s="559"/>
      <c r="M153" s="560"/>
      <c r="N153" s="559"/>
      <c r="O153" s="559"/>
      <c r="P153" s="559"/>
      <c r="Q153" s="560"/>
      <c r="R153" s="559"/>
      <c r="S153" s="559"/>
      <c r="T153" s="559"/>
      <c r="U153" s="560"/>
      <c r="V153" s="559"/>
      <c r="W153" s="559"/>
      <c r="X153" s="559"/>
      <c r="Y153" s="560"/>
      <c r="Z153" s="559"/>
      <c r="AA153" s="559"/>
      <c r="AB153" s="559"/>
      <c r="AC153" s="560"/>
      <c r="AD153" s="559"/>
      <c r="AE153" s="559"/>
      <c r="AF153" s="559"/>
      <c r="AG153" s="560"/>
      <c r="AH153" s="559"/>
      <c r="AI153" s="559"/>
      <c r="AJ153" s="559"/>
      <c r="AK153" s="560"/>
      <c r="AL153" s="559"/>
      <c r="AM153" s="559"/>
      <c r="AN153" s="559"/>
      <c r="AO153" s="560"/>
      <c r="AP153" s="559"/>
      <c r="AQ153" s="559"/>
      <c r="AR153" s="559"/>
      <c r="AS153" s="560"/>
      <c r="AT153" s="559"/>
      <c r="AU153" s="559"/>
      <c r="AV153" s="559"/>
      <c r="AW153" s="560"/>
      <c r="AX153" s="559">
        <v>0</v>
      </c>
      <c r="AY153" s="559">
        <v>0</v>
      </c>
      <c r="AZ153" s="559">
        <v>0</v>
      </c>
      <c r="BA153" s="560">
        <v>0</v>
      </c>
      <c r="BB153" s="599">
        <v>26</v>
      </c>
      <c r="BC153" s="562">
        <v>26</v>
      </c>
      <c r="BD153" s="448">
        <v>25</v>
      </c>
      <c r="BE153" s="600">
        <v>71</v>
      </c>
      <c r="BF153" s="450">
        <v>23</v>
      </c>
      <c r="BG153" s="448">
        <v>22</v>
      </c>
      <c r="BH153" s="448">
        <v>24</v>
      </c>
      <c r="BI153" s="449">
        <v>51</v>
      </c>
      <c r="BJ153" s="450">
        <v>24</v>
      </c>
      <c r="BK153" s="448">
        <v>23</v>
      </c>
      <c r="BL153" s="448">
        <v>21</v>
      </c>
      <c r="BM153" s="449">
        <v>40</v>
      </c>
      <c r="BN153" s="450">
        <v>19</v>
      </c>
      <c r="BO153" s="448">
        <v>19</v>
      </c>
      <c r="BP153" s="448">
        <v>23</v>
      </c>
      <c r="BQ153" s="449">
        <v>29</v>
      </c>
      <c r="BR153" s="448">
        <v>20</v>
      </c>
      <c r="BS153" s="448">
        <v>20</v>
      </c>
      <c r="BT153" s="448">
        <v>25</v>
      </c>
      <c r="BU153" s="449">
        <v>30</v>
      </c>
      <c r="BV153" s="448">
        <v>107</v>
      </c>
      <c r="BW153" s="448">
        <v>234</v>
      </c>
      <c r="BX153" s="448">
        <v>243</v>
      </c>
      <c r="BY153" s="449">
        <v>245</v>
      </c>
      <c r="BZ153" s="448">
        <v>224</v>
      </c>
      <c r="CA153" s="448">
        <v>226</v>
      </c>
      <c r="CB153" s="448">
        <v>220</v>
      </c>
      <c r="CC153" s="449">
        <v>218</v>
      </c>
      <c r="CD153" s="448">
        <v>155</v>
      </c>
      <c r="CE153" s="448">
        <v>112</v>
      </c>
      <c r="CF153" s="448">
        <v>118</v>
      </c>
      <c r="CG153" s="449">
        <v>124</v>
      </c>
      <c r="CH153" s="448">
        <v>87</v>
      </c>
      <c r="CI153" s="448">
        <v>79</v>
      </c>
      <c r="CJ153" s="448">
        <v>80</v>
      </c>
      <c r="CK153" s="449">
        <v>82</v>
      </c>
      <c r="CL153" s="448">
        <v>62</v>
      </c>
      <c r="CM153" s="448">
        <v>44</v>
      </c>
      <c r="CN153" s="448">
        <v>46</v>
      </c>
      <c r="CO153" s="449">
        <v>45</v>
      </c>
      <c r="CP153" s="450">
        <v>33</v>
      </c>
      <c r="CQ153" s="448">
        <v>28</v>
      </c>
      <c r="CR153" s="448">
        <v>27</v>
      </c>
      <c r="CS153" s="600">
        <v>38.878770819201982</v>
      </c>
      <c r="CT153" s="450">
        <v>28.239906061051261</v>
      </c>
      <c r="CU153" s="448">
        <v>26.642049991120743</v>
      </c>
      <c r="CV153" s="448">
        <v>40.046409104251275</v>
      </c>
      <c r="CW153" s="600">
        <v>66.098724329180214</v>
      </c>
      <c r="CX153" s="559"/>
      <c r="CY153" s="559"/>
      <c r="CZ153" s="559"/>
      <c r="DA153" s="560"/>
      <c r="DB153" s="559"/>
      <c r="DC153" s="559"/>
      <c r="DD153" s="559"/>
      <c r="DE153" s="560"/>
      <c r="DF153" s="559"/>
      <c r="DG153" s="559"/>
      <c r="DH153" s="559"/>
      <c r="DI153" s="560"/>
      <c r="DJ153" s="410"/>
      <c r="DK153" s="561"/>
      <c r="DL153" s="559"/>
      <c r="DM153" s="559"/>
      <c r="DN153" s="559"/>
      <c r="DO153" s="559"/>
      <c r="DP153" s="559"/>
      <c r="DQ153" s="559"/>
      <c r="DR153" s="559"/>
      <c r="DS153" s="559"/>
      <c r="DT153" s="369"/>
      <c r="DU153" s="448">
        <v>198</v>
      </c>
      <c r="DV153" s="448">
        <v>148</v>
      </c>
      <c r="DW153" s="448">
        <v>120</v>
      </c>
      <c r="DX153" s="448">
        <v>108</v>
      </c>
      <c r="DY153" s="448">
        <v>90</v>
      </c>
      <c r="DZ153" s="448">
        <v>95</v>
      </c>
      <c r="EA153" s="448">
        <v>829</v>
      </c>
      <c r="EB153" s="448">
        <v>888</v>
      </c>
      <c r="EC153" s="448">
        <v>509</v>
      </c>
      <c r="ED153" s="448">
        <v>328</v>
      </c>
      <c r="EE153" s="448">
        <v>197</v>
      </c>
      <c r="EF153" s="448">
        <v>126.87877081920197</v>
      </c>
      <c r="EG153" s="448">
        <v>161.02708948560348</v>
      </c>
      <c r="EH153" s="562">
        <v>178.43913293223679</v>
      </c>
      <c r="EI153" s="562">
        <v>165.75922207317078</v>
      </c>
      <c r="EJ153" s="562">
        <v>159.00567642373034</v>
      </c>
      <c r="EK153" s="562">
        <v>169.48401748842389</v>
      </c>
      <c r="EL153" s="562">
        <v>163.47862903266423</v>
      </c>
      <c r="EM153" s="562">
        <v>164.57788837296641</v>
      </c>
      <c r="EN153" s="562">
        <v>163.6826514701832</v>
      </c>
      <c r="EO153" s="562">
        <v>176.20245252308914</v>
      </c>
      <c r="EP153" s="598"/>
      <c r="EQ153" s="409"/>
    </row>
    <row r="154" spans="1:147" s="474" customFormat="1" ht="15" customHeight="1" outlineLevel="2">
      <c r="A154" s="473"/>
      <c r="B154"/>
      <c r="C154"/>
      <c r="D154"/>
      <c r="E154"/>
      <c r="F154"/>
      <c r="G154"/>
      <c r="I154" s="617" t="s">
        <v>1575</v>
      </c>
      <c r="J154" s="618"/>
      <c r="K154" s="618"/>
      <c r="L154" s="618"/>
      <c r="M154" s="619"/>
      <c r="N154" s="618"/>
      <c r="O154" s="618"/>
      <c r="P154" s="618"/>
      <c r="Q154" s="619"/>
      <c r="R154" s="618"/>
      <c r="S154" s="618"/>
      <c r="T154" s="618"/>
      <c r="U154" s="619"/>
      <c r="V154" s="618"/>
      <c r="W154" s="618"/>
      <c r="X154" s="618"/>
      <c r="Y154" s="619"/>
      <c r="Z154" s="618"/>
      <c r="AA154" s="618"/>
      <c r="AB154" s="618"/>
      <c r="AC154" s="619"/>
      <c r="AD154" s="618"/>
      <c r="AE154" s="618"/>
      <c r="AF154" s="618"/>
      <c r="AG154" s="619"/>
      <c r="AH154" s="618"/>
      <c r="AI154" s="618"/>
      <c r="AJ154" s="618"/>
      <c r="AK154" s="619"/>
      <c r="AL154" s="618"/>
      <c r="AM154" s="618"/>
      <c r="AN154" s="618"/>
      <c r="AO154" s="619"/>
      <c r="AP154" s="618"/>
      <c r="AQ154" s="618"/>
      <c r="AR154" s="618"/>
      <c r="AS154" s="619"/>
      <c r="AT154" s="618"/>
      <c r="AU154" s="618"/>
      <c r="AV154" s="618"/>
      <c r="AW154" s="619"/>
      <c r="AX154" s="618"/>
      <c r="AY154" s="618"/>
      <c r="AZ154" s="618"/>
      <c r="BA154" s="618"/>
      <c r="BB154" s="620"/>
      <c r="BC154" s="618"/>
      <c r="BD154" s="618"/>
      <c r="BE154" s="619"/>
      <c r="BF154" s="620"/>
      <c r="BG154" s="618"/>
      <c r="BH154" s="618"/>
      <c r="BI154" s="619"/>
      <c r="BJ154" s="620"/>
      <c r="BK154" s="618"/>
      <c r="BL154" s="386">
        <v>2.3166666666666669</v>
      </c>
      <c r="BM154" s="388">
        <v>1.0183823529411764</v>
      </c>
      <c r="BN154" s="386">
        <v>2.3387096774193545</v>
      </c>
      <c r="BO154" s="386">
        <v>2.532258064516129</v>
      </c>
      <c r="BP154" s="386">
        <v>2.0769230769230771</v>
      </c>
      <c r="BQ154" s="388">
        <v>1.5637254901960784</v>
      </c>
      <c r="BR154" s="386">
        <v>2.1875</v>
      </c>
      <c r="BS154" s="386">
        <v>2.3402777777777777</v>
      </c>
      <c r="BT154" s="386">
        <v>2.0597826086956519</v>
      </c>
      <c r="BU154" s="388">
        <v>1.7366071428571428</v>
      </c>
      <c r="BV154" s="386">
        <v>2.0913461538461537</v>
      </c>
      <c r="BW154" s="386">
        <v>2.0403225806451615</v>
      </c>
      <c r="BX154" s="386">
        <v>2.0234375</v>
      </c>
      <c r="BY154" s="388">
        <v>1.9545454545454544</v>
      </c>
      <c r="BZ154" s="386">
        <v>1.8492647058823528</v>
      </c>
      <c r="CA154" s="386">
        <v>1.9179687500000002</v>
      </c>
      <c r="CB154" s="386">
        <v>1.8939393939393938</v>
      </c>
      <c r="CC154" s="388">
        <v>2.0757575757575757</v>
      </c>
      <c r="CD154" s="386">
        <v>2.0138888888888888</v>
      </c>
      <c r="CE154" s="386">
        <v>2.0249999999999999</v>
      </c>
      <c r="CF154" s="386">
        <v>2.0071428571428571</v>
      </c>
      <c r="CG154" s="388">
        <v>2.1325757575757573</v>
      </c>
      <c r="CH154" s="386">
        <v>2.0681818181818183</v>
      </c>
      <c r="CI154" s="386">
        <v>2.04296875</v>
      </c>
      <c r="CJ154" s="386">
        <v>2.1166666666666667</v>
      </c>
      <c r="CK154" s="388">
        <v>2.4134615384615383</v>
      </c>
      <c r="CL154" s="386">
        <v>2.1077586206896552</v>
      </c>
      <c r="CM154" s="386">
        <v>1.9083333333333334</v>
      </c>
      <c r="CN154" s="386">
        <v>1.8041666666666669</v>
      </c>
      <c r="CO154" s="388">
        <v>1.9444444444444446</v>
      </c>
      <c r="CP154" s="389">
        <v>1.7901785714285716</v>
      </c>
      <c r="CQ154" s="386">
        <v>1.7596153846153848</v>
      </c>
      <c r="CR154" s="386">
        <v>1.7249999999999999</v>
      </c>
      <c r="CS154" s="388">
        <v>1.2120881097088079</v>
      </c>
      <c r="CT154" s="389">
        <v>1.7347473989307443</v>
      </c>
      <c r="CU154" s="386">
        <v>1.7305013108997667</v>
      </c>
      <c r="CV154" s="386">
        <v>1.1096625972728718</v>
      </c>
      <c r="CW154" s="388">
        <v>0.71398274528046535</v>
      </c>
      <c r="CX154" s="618"/>
      <c r="CY154" s="618"/>
      <c r="CZ154" s="618"/>
      <c r="DA154" s="619"/>
      <c r="DB154" s="618"/>
      <c r="DC154" s="618"/>
      <c r="DD154" s="618"/>
      <c r="DE154" s="619"/>
      <c r="DF154" s="618"/>
      <c r="DG154" s="618"/>
      <c r="DH154" s="618"/>
      <c r="DI154" s="619"/>
      <c r="DJ154" s="388"/>
      <c r="DK154" s="618"/>
      <c r="DL154" s="618"/>
      <c r="DM154" s="618"/>
      <c r="DN154" s="618"/>
      <c r="DO154" s="618"/>
      <c r="DP154" s="618"/>
      <c r="DQ154" s="618"/>
      <c r="DR154" s="618"/>
      <c r="DS154" s="618"/>
      <c r="DT154" s="618"/>
      <c r="DU154" s="618"/>
      <c r="DV154" s="621"/>
      <c r="DW154" s="618"/>
      <c r="DX154" s="386">
        <v>1.6607142857142856</v>
      </c>
      <c r="DY154" s="386">
        <v>1.9407894736842106</v>
      </c>
      <c r="DZ154" s="386">
        <v>1.9885057471264367</v>
      </c>
      <c r="EA154" s="386">
        <v>1.831967213114754</v>
      </c>
      <c r="EB154" s="386">
        <v>2.0909090909090908</v>
      </c>
      <c r="EC154" s="386">
        <v>2.0719424460431655</v>
      </c>
      <c r="ED154" s="386">
        <v>2.2107438016528929</v>
      </c>
      <c r="EE154" s="386">
        <v>1.9913793103448276</v>
      </c>
      <c r="EF154" s="386">
        <v>1.7069673508285637</v>
      </c>
      <c r="EG154" s="386">
        <v>1.2369270415485236</v>
      </c>
      <c r="EH154" s="386">
        <v>1.0786974407288097</v>
      </c>
      <c r="EI154" s="386">
        <v>1.1672778351644713</v>
      </c>
      <c r="EJ154" s="386">
        <v>1.2228636181508719</v>
      </c>
      <c r="EK154" s="386">
        <v>1.1529606498144382</v>
      </c>
      <c r="EL154" s="386">
        <v>1.2013050635438574</v>
      </c>
      <c r="EM154" s="386">
        <v>1.1991439366442926</v>
      </c>
      <c r="EN154" s="386">
        <v>1.2116009078720187</v>
      </c>
      <c r="EO154" s="386">
        <v>1.131185794185376</v>
      </c>
      <c r="EP154" s="622"/>
      <c r="EQ154" s="623"/>
    </row>
    <row r="155" spans="1:147" s="635" customFormat="1" outlineLevel="2">
      <c r="A155" s="624"/>
      <c r="B155"/>
      <c r="C155"/>
      <c r="D155"/>
      <c r="E155"/>
      <c r="F155"/>
      <c r="G155"/>
      <c r="H155" s="625"/>
      <c r="I155" s="626"/>
      <c r="J155" s="627"/>
      <c r="K155" s="627"/>
      <c r="L155" s="627"/>
      <c r="M155" s="628"/>
      <c r="N155" s="627"/>
      <c r="O155" s="627"/>
      <c r="P155" s="627"/>
      <c r="Q155" s="628"/>
      <c r="R155" s="627"/>
      <c r="S155" s="627"/>
      <c r="T155" s="627"/>
      <c r="U155" s="628"/>
      <c r="V155" s="627"/>
      <c r="W155" s="627"/>
      <c r="X155" s="627"/>
      <c r="Y155" s="628"/>
      <c r="Z155" s="627"/>
      <c r="AA155" s="627"/>
      <c r="AB155" s="627"/>
      <c r="AC155" s="628"/>
      <c r="AD155" s="627"/>
      <c r="AE155" s="627"/>
      <c r="AF155" s="627"/>
      <c r="AG155" s="628"/>
      <c r="AH155" s="627"/>
      <c r="AI155" s="627"/>
      <c r="AJ155" s="627"/>
      <c r="AK155" s="628"/>
      <c r="AL155" s="627"/>
      <c r="AM155" s="627"/>
      <c r="AN155" s="627"/>
      <c r="AO155" s="628"/>
      <c r="AP155" s="627"/>
      <c r="AQ155" s="627"/>
      <c r="AR155" s="627"/>
      <c r="AS155" s="628"/>
      <c r="AT155" s="627"/>
      <c r="AU155" s="627"/>
      <c r="AV155" s="627"/>
      <c r="AW155" s="628"/>
      <c r="AX155" s="627"/>
      <c r="AY155" s="627"/>
      <c r="AZ155" s="627"/>
      <c r="BA155" s="627"/>
      <c r="BB155" s="629"/>
      <c r="BC155" s="627"/>
      <c r="BD155" s="630"/>
      <c r="BE155" s="627"/>
      <c r="BF155" s="629"/>
      <c r="BG155" s="627"/>
      <c r="BH155" s="630"/>
      <c r="BI155" s="627"/>
      <c r="BJ155" s="629"/>
      <c r="BK155" s="627"/>
      <c r="BL155" s="630"/>
      <c r="BM155" s="627"/>
      <c r="BN155" s="629"/>
      <c r="BO155" s="627"/>
      <c r="BP155" s="630"/>
      <c r="BQ155" s="628"/>
      <c r="BR155" s="627"/>
      <c r="BS155" s="627"/>
      <c r="BT155" s="630"/>
      <c r="BU155" s="628"/>
      <c r="BV155" s="627"/>
      <c r="BW155" s="627"/>
      <c r="BX155" s="631"/>
      <c r="BY155" s="632"/>
      <c r="BZ155" s="627"/>
      <c r="CA155" s="627"/>
      <c r="CB155" s="631"/>
      <c r="CC155" s="632"/>
      <c r="CD155" s="627"/>
      <c r="CE155" s="627"/>
      <c r="CF155" s="627"/>
      <c r="CG155" s="628"/>
      <c r="CH155" s="627"/>
      <c r="CI155" s="627"/>
      <c r="CJ155" s="627"/>
      <c r="CK155" s="628"/>
      <c r="CL155" s="627"/>
      <c r="CM155" s="627"/>
      <c r="CN155" s="627"/>
      <c r="CO155" s="628"/>
      <c r="CP155" s="629"/>
      <c r="CQ155" s="627"/>
      <c r="CR155" s="631"/>
      <c r="CS155" s="632"/>
      <c r="CT155" s="629"/>
      <c r="CU155" s="627"/>
      <c r="CV155" s="631"/>
      <c r="CW155" s="632"/>
      <c r="CX155" s="631"/>
      <c r="CY155" s="631"/>
      <c r="CZ155" s="631"/>
      <c r="DA155" s="632"/>
      <c r="DB155" s="631"/>
      <c r="DC155" s="631"/>
      <c r="DD155" s="631"/>
      <c r="DE155" s="632"/>
      <c r="DF155" s="631"/>
      <c r="DG155" s="631"/>
      <c r="DH155" s="631"/>
      <c r="DI155" s="632"/>
      <c r="DJ155" s="628"/>
      <c r="DK155" s="629"/>
      <c r="DL155" s="627"/>
      <c r="DM155" s="627"/>
      <c r="DN155" s="627"/>
      <c r="DO155" s="627"/>
      <c r="DP155" s="627"/>
      <c r="DQ155" s="627"/>
      <c r="DR155" s="627"/>
      <c r="DS155" s="627"/>
      <c r="DT155" s="633"/>
      <c r="DU155" s="633"/>
      <c r="DV155" s="633"/>
      <c r="DW155" s="633"/>
      <c r="DX155" s="633"/>
      <c r="DY155" s="633"/>
      <c r="DZ155" s="633"/>
      <c r="EA155" s="633"/>
      <c r="EB155" s="633"/>
      <c r="EC155" s="633"/>
      <c r="ED155" s="633"/>
      <c r="EE155" s="633"/>
      <c r="EF155" s="633"/>
      <c r="EG155" s="631"/>
      <c r="EH155" s="631"/>
      <c r="EI155" s="631"/>
      <c r="EJ155" s="631"/>
      <c r="EK155" s="631"/>
      <c r="EL155" s="631"/>
      <c r="EM155" s="631"/>
      <c r="EN155" s="631"/>
      <c r="EO155" s="631"/>
      <c r="EP155" s="629"/>
      <c r="EQ155" s="634"/>
    </row>
    <row r="156" spans="1:147" s="589" customFormat="1" ht="12.95" outlineLevel="2">
      <c r="A156"/>
      <c r="B156"/>
      <c r="C156"/>
      <c r="D156"/>
      <c r="E156"/>
      <c r="F156"/>
      <c r="G156"/>
      <c r="I156" s="636" t="s">
        <v>1576</v>
      </c>
      <c r="J156" s="357"/>
      <c r="K156" s="357"/>
      <c r="L156" s="357"/>
      <c r="M156" s="592"/>
      <c r="N156" s="357"/>
      <c r="O156" s="357"/>
      <c r="P156" s="357"/>
      <c r="Q156" s="592"/>
      <c r="R156" s="357"/>
      <c r="S156" s="357"/>
      <c r="T156" s="357"/>
      <c r="U156" s="592"/>
      <c r="V156" s="357"/>
      <c r="W156" s="357"/>
      <c r="X156" s="357"/>
      <c r="Y156" s="592"/>
      <c r="Z156" s="357"/>
      <c r="AA156" s="357"/>
      <c r="AB156" s="357"/>
      <c r="AC156" s="592"/>
      <c r="AD156" s="357"/>
      <c r="AE156" s="357"/>
      <c r="AF156" s="357"/>
      <c r="AG156" s="592"/>
      <c r="AH156" s="357"/>
      <c r="AI156" s="357"/>
      <c r="AJ156" s="357"/>
      <c r="AK156" s="592"/>
      <c r="AL156" s="357"/>
      <c r="AM156" s="357"/>
      <c r="AN156" s="357"/>
      <c r="AO156" s="592"/>
      <c r="AP156" s="357"/>
      <c r="AQ156" s="357"/>
      <c r="AR156" s="357"/>
      <c r="AS156" s="592"/>
      <c r="AT156" s="357"/>
      <c r="AU156" s="357"/>
      <c r="AV156" s="357"/>
      <c r="AW156" s="592"/>
      <c r="AX156" s="357"/>
      <c r="AY156" s="357"/>
      <c r="AZ156" s="357"/>
      <c r="BA156" s="592"/>
      <c r="BB156" s="594"/>
      <c r="BC156" s="357"/>
      <c r="BD156" s="481"/>
      <c r="BE156" s="592"/>
      <c r="BF156" s="594"/>
      <c r="BG156" s="357"/>
      <c r="BH156" s="481"/>
      <c r="BI156" s="592"/>
      <c r="BJ156" s="594"/>
      <c r="BK156" s="357"/>
      <c r="BL156" s="481"/>
      <c r="BM156" s="592"/>
      <c r="BN156" s="594"/>
      <c r="BO156" s="357"/>
      <c r="BP156" s="481"/>
      <c r="BQ156" s="592"/>
      <c r="BR156" s="357"/>
      <c r="BS156" s="357"/>
      <c r="BT156" s="481"/>
      <c r="BU156" s="592"/>
      <c r="BV156" s="357"/>
      <c r="BW156" s="357"/>
      <c r="BX156" s="357"/>
      <c r="BY156" s="592"/>
      <c r="BZ156" s="357"/>
      <c r="CA156" s="357"/>
      <c r="CB156" s="357"/>
      <c r="CC156" s="592"/>
      <c r="CD156" s="357"/>
      <c r="CE156" s="357"/>
      <c r="CF156" s="357"/>
      <c r="CG156" s="592"/>
      <c r="CH156" s="357"/>
      <c r="CI156" s="357"/>
      <c r="CJ156" s="357"/>
      <c r="CK156" s="592"/>
      <c r="CL156" s="357"/>
      <c r="CM156" s="357"/>
      <c r="CN156" s="357"/>
      <c r="CO156" s="592"/>
      <c r="CP156" s="594"/>
      <c r="CQ156" s="357"/>
      <c r="CR156" s="357"/>
      <c r="CS156" s="592"/>
      <c r="CT156" s="594"/>
      <c r="CU156" s="357"/>
      <c r="CV156" s="357"/>
      <c r="CW156" s="592"/>
      <c r="CX156" s="357"/>
      <c r="CY156" s="357"/>
      <c r="CZ156" s="357"/>
      <c r="DA156" s="592"/>
      <c r="DB156" s="357"/>
      <c r="DC156" s="357"/>
      <c r="DD156" s="357"/>
      <c r="DE156" s="592"/>
      <c r="DF156" s="357"/>
      <c r="DG156" s="357"/>
      <c r="DH156" s="357"/>
      <c r="DI156" s="592"/>
      <c r="DJ156" s="592"/>
      <c r="DK156" s="594"/>
      <c r="DL156" s="357"/>
      <c r="DM156" s="357"/>
      <c r="DN156" s="357"/>
      <c r="DO156" s="357"/>
      <c r="DP156" s="357"/>
      <c r="DQ156" s="357"/>
      <c r="DR156" s="357"/>
      <c r="DS156" s="357"/>
      <c r="DT156" s="356"/>
      <c r="DU156" s="356"/>
      <c r="DV156" s="356"/>
      <c r="DW156" s="356"/>
      <c r="DX156" s="356"/>
      <c r="DY156" s="356"/>
      <c r="DZ156" s="356"/>
      <c r="EA156" s="356"/>
      <c r="EB156" s="356"/>
      <c r="EC156" s="356"/>
      <c r="ED156" s="356"/>
      <c r="EE156" s="356"/>
      <c r="EF156" s="356"/>
      <c r="EG156" s="357"/>
      <c r="EH156" s="357"/>
      <c r="EI156" s="357"/>
      <c r="EJ156" s="357"/>
      <c r="EK156" s="357"/>
      <c r="EL156" s="357"/>
      <c r="EM156" s="357"/>
      <c r="EN156" s="357"/>
      <c r="EO156" s="357"/>
      <c r="EP156" s="594"/>
      <c r="EQ156" s="357"/>
    </row>
    <row r="157" spans="1:147" s="596" customFormat="1" outlineLevel="2">
      <c r="A157" s="546"/>
      <c r="B157"/>
      <c r="C157"/>
      <c r="D157"/>
      <c r="E157"/>
      <c r="F157"/>
      <c r="G157"/>
      <c r="I157" s="637" t="s">
        <v>1577</v>
      </c>
      <c r="J157" s="409"/>
      <c r="K157" s="409"/>
      <c r="L157" s="409"/>
      <c r="M157" s="410"/>
      <c r="N157" s="409"/>
      <c r="O157" s="409"/>
      <c r="P157" s="409"/>
      <c r="Q157" s="410"/>
      <c r="R157" s="409"/>
      <c r="S157" s="409"/>
      <c r="T157" s="409"/>
      <c r="U157" s="410"/>
      <c r="V157" s="409"/>
      <c r="W157" s="409"/>
      <c r="X157" s="409"/>
      <c r="Y157" s="410"/>
      <c r="Z157" s="409"/>
      <c r="AA157" s="409"/>
      <c r="AB157" s="409"/>
      <c r="AC157" s="410"/>
      <c r="AD157" s="409"/>
      <c r="AE157" s="409"/>
      <c r="AF157" s="409"/>
      <c r="AG157" s="410"/>
      <c r="AH157" s="409"/>
      <c r="AI157" s="409"/>
      <c r="AJ157" s="409"/>
      <c r="AK157" s="410"/>
      <c r="AL157" s="409"/>
      <c r="AM157" s="409"/>
      <c r="AN157" s="409"/>
      <c r="AO157" s="410"/>
      <c r="AP157" s="409"/>
      <c r="AQ157" s="409"/>
      <c r="AR157" s="409"/>
      <c r="AS157" s="410"/>
      <c r="AT157" s="409"/>
      <c r="AU157" s="409"/>
      <c r="AV157" s="409"/>
      <c r="AW157" s="410"/>
      <c r="AX157" s="409">
        <v>0</v>
      </c>
      <c r="AY157" s="409">
        <v>0</v>
      </c>
      <c r="AZ157" s="409">
        <v>0</v>
      </c>
      <c r="BA157" s="410">
        <v>0</v>
      </c>
      <c r="BB157" s="567">
        <v>0</v>
      </c>
      <c r="BC157" s="412">
        <v>165</v>
      </c>
      <c r="BD157" s="376">
        <v>163</v>
      </c>
      <c r="BE157" s="413">
        <v>167</v>
      </c>
      <c r="BF157" s="567">
        <v>163</v>
      </c>
      <c r="BG157" s="412">
        <v>154</v>
      </c>
      <c r="BH157" s="376">
        <v>149</v>
      </c>
      <c r="BI157" s="413">
        <v>148</v>
      </c>
      <c r="BJ157" s="567">
        <v>141</v>
      </c>
      <c r="BK157" s="412">
        <v>133</v>
      </c>
      <c r="BL157" s="376">
        <v>132</v>
      </c>
      <c r="BM157" s="413">
        <v>139</v>
      </c>
      <c r="BN157" s="567">
        <v>138</v>
      </c>
      <c r="BO157" s="412">
        <v>152</v>
      </c>
      <c r="BP157" s="376">
        <v>162</v>
      </c>
      <c r="BQ157" s="413">
        <v>162</v>
      </c>
      <c r="BR157" s="412">
        <v>157</v>
      </c>
      <c r="BS157" s="412">
        <v>158</v>
      </c>
      <c r="BT157" s="412">
        <v>179</v>
      </c>
      <c r="BU157" s="413">
        <v>200</v>
      </c>
      <c r="BV157" s="412">
        <v>189</v>
      </c>
      <c r="BW157" s="412">
        <v>246</v>
      </c>
      <c r="BX157" s="412">
        <v>260</v>
      </c>
      <c r="BY157" s="413">
        <v>258</v>
      </c>
      <c r="BZ157" s="412">
        <v>258</v>
      </c>
      <c r="CA157" s="412">
        <v>245</v>
      </c>
      <c r="CB157" s="412">
        <v>246</v>
      </c>
      <c r="CC157" s="413">
        <v>254</v>
      </c>
      <c r="CD157" s="412">
        <v>294</v>
      </c>
      <c r="CE157" s="412">
        <v>286</v>
      </c>
      <c r="CF157" s="412">
        <v>281</v>
      </c>
      <c r="CG157" s="413">
        <v>281</v>
      </c>
      <c r="CH157" s="412">
        <v>282</v>
      </c>
      <c r="CI157" s="412">
        <v>264</v>
      </c>
      <c r="CJ157" s="412">
        <v>259</v>
      </c>
      <c r="CK157" s="413">
        <v>249</v>
      </c>
      <c r="CL157" s="412">
        <v>253</v>
      </c>
      <c r="CM157" s="412">
        <v>236</v>
      </c>
      <c r="CN157" s="412">
        <v>222</v>
      </c>
      <c r="CO157" s="413">
        <v>211</v>
      </c>
      <c r="CP157" s="567">
        <v>209</v>
      </c>
      <c r="CQ157" s="412">
        <v>192</v>
      </c>
      <c r="CR157" s="412">
        <v>174</v>
      </c>
      <c r="CS157" s="413">
        <v>171</v>
      </c>
      <c r="CT157" s="567">
        <v>186.60255688504699</v>
      </c>
      <c r="CU157" s="412">
        <v>177.55431341571898</v>
      </c>
      <c r="CV157" s="412">
        <v>163.59048508741722</v>
      </c>
      <c r="CW157" s="413">
        <v>174.15893206082038</v>
      </c>
      <c r="CX157" s="409"/>
      <c r="CY157" s="409"/>
      <c r="CZ157" s="409"/>
      <c r="DA157" s="410"/>
      <c r="DB157" s="409"/>
      <c r="DC157" s="409"/>
      <c r="DD157" s="409"/>
      <c r="DE157" s="410"/>
      <c r="DF157" s="409"/>
      <c r="DG157" s="409"/>
      <c r="DH157" s="409"/>
      <c r="DI157" s="410"/>
      <c r="DJ157" s="410"/>
      <c r="DK157" s="598"/>
      <c r="DL157" s="409"/>
      <c r="DM157" s="409"/>
      <c r="DN157" s="409"/>
      <c r="DO157" s="409"/>
      <c r="DP157" s="409"/>
      <c r="DQ157" s="409"/>
      <c r="DR157" s="409"/>
      <c r="DS157" s="409"/>
      <c r="DT157" s="386"/>
      <c r="DU157" s="325"/>
      <c r="DV157" s="325">
        <v>169</v>
      </c>
      <c r="DW157" s="325">
        <v>163</v>
      </c>
      <c r="DX157" s="325">
        <v>141</v>
      </c>
      <c r="DY157" s="325">
        <v>138</v>
      </c>
      <c r="DZ157" s="325">
        <v>157</v>
      </c>
      <c r="EA157" s="325">
        <v>189</v>
      </c>
      <c r="EB157" s="325">
        <v>258</v>
      </c>
      <c r="EC157" s="325">
        <v>294</v>
      </c>
      <c r="ED157" s="325">
        <v>282</v>
      </c>
      <c r="EE157" s="325">
        <v>253</v>
      </c>
      <c r="EF157" s="325">
        <v>209</v>
      </c>
      <c r="EG157" s="412">
        <v>186.60255688504699</v>
      </c>
      <c r="EH157" s="412">
        <v>191.96413326337043</v>
      </c>
      <c r="EI157" s="412">
        <v>192.99953877637299</v>
      </c>
      <c r="EJ157" s="412">
        <v>193.97459302386224</v>
      </c>
      <c r="EK157" s="412">
        <v>194.90992053223709</v>
      </c>
      <c r="EL157" s="412">
        <v>195.90688534099252</v>
      </c>
      <c r="EM157" s="412">
        <v>196.86852433530225</v>
      </c>
      <c r="EN157" s="412">
        <v>197.83662956102557</v>
      </c>
      <c r="EO157" s="412">
        <v>198.79946868732077</v>
      </c>
      <c r="EP157" s="598"/>
      <c r="EQ157" s="409"/>
    </row>
    <row r="158" spans="1:147" s="596" customFormat="1" outlineLevel="2">
      <c r="A158" s="546"/>
      <c r="B158"/>
      <c r="C158"/>
      <c r="D158"/>
      <c r="E158"/>
      <c r="F158"/>
      <c r="G158"/>
      <c r="I158" s="638" t="s">
        <v>1578</v>
      </c>
      <c r="J158" s="409"/>
      <c r="K158" s="409"/>
      <c r="L158" s="409"/>
      <c r="M158" s="410"/>
      <c r="N158" s="409"/>
      <c r="O158" s="409"/>
      <c r="P158" s="409"/>
      <c r="Q158" s="410"/>
      <c r="R158" s="409"/>
      <c r="S158" s="409"/>
      <c r="T158" s="409"/>
      <c r="U158" s="410"/>
      <c r="V158" s="409"/>
      <c r="W158" s="409"/>
      <c r="X158" s="409"/>
      <c r="Y158" s="410"/>
      <c r="Z158" s="409"/>
      <c r="AA158" s="409"/>
      <c r="AB158" s="409"/>
      <c r="AC158" s="410"/>
      <c r="AD158" s="409"/>
      <c r="AE158" s="409"/>
      <c r="AF158" s="409"/>
      <c r="AG158" s="410"/>
      <c r="AH158" s="409"/>
      <c r="AI158" s="409"/>
      <c r="AJ158" s="409"/>
      <c r="AK158" s="410"/>
      <c r="AL158" s="409"/>
      <c r="AM158" s="409"/>
      <c r="AN158" s="409"/>
      <c r="AO158" s="410"/>
      <c r="AP158" s="409"/>
      <c r="AQ158" s="409"/>
      <c r="AR158" s="409"/>
      <c r="AS158" s="410"/>
      <c r="AT158" s="409"/>
      <c r="AU158" s="409"/>
      <c r="AV158" s="409"/>
      <c r="AW158" s="410"/>
      <c r="AX158" s="409">
        <v>0</v>
      </c>
      <c r="AY158" s="409">
        <v>0</v>
      </c>
      <c r="AZ158" s="409">
        <v>0</v>
      </c>
      <c r="BA158" s="410">
        <v>0</v>
      </c>
      <c r="BB158" s="567">
        <v>4</v>
      </c>
      <c r="BC158" s="412">
        <v>14</v>
      </c>
      <c r="BD158" s="325">
        <v>29</v>
      </c>
      <c r="BE158" s="372">
        <v>25</v>
      </c>
      <c r="BF158" s="373">
        <v>9</v>
      </c>
      <c r="BG158" s="325">
        <v>17</v>
      </c>
      <c r="BH158" s="325">
        <v>20</v>
      </c>
      <c r="BI158" s="372">
        <v>27</v>
      </c>
      <c r="BJ158" s="373">
        <v>17</v>
      </c>
      <c r="BK158" s="325">
        <v>19</v>
      </c>
      <c r="BL158" s="325">
        <v>22</v>
      </c>
      <c r="BM158" s="372">
        <v>16</v>
      </c>
      <c r="BN158" s="567">
        <v>37</v>
      </c>
      <c r="BO158" s="412">
        <v>25</v>
      </c>
      <c r="BP158" s="376">
        <v>28</v>
      </c>
      <c r="BQ158" s="413">
        <v>17</v>
      </c>
      <c r="BR158" s="412">
        <v>21</v>
      </c>
      <c r="BS158" s="412">
        <v>28</v>
      </c>
      <c r="BT158" s="412">
        <v>46</v>
      </c>
      <c r="BU158" s="413">
        <v>16</v>
      </c>
      <c r="BV158" s="412">
        <v>27</v>
      </c>
      <c r="BW158" s="412">
        <v>44</v>
      </c>
      <c r="BX158" s="412">
        <v>28</v>
      </c>
      <c r="BY158" s="413">
        <v>37</v>
      </c>
      <c r="BZ158" s="412">
        <v>21</v>
      </c>
      <c r="CA158" s="412">
        <v>31</v>
      </c>
      <c r="CB158" s="412">
        <v>34</v>
      </c>
      <c r="CC158" s="413">
        <v>69</v>
      </c>
      <c r="CD158" s="412">
        <v>31</v>
      </c>
      <c r="CE158" s="412">
        <v>30</v>
      </c>
      <c r="CF158" s="412">
        <v>36</v>
      </c>
      <c r="CG158" s="413">
        <v>34</v>
      </c>
      <c r="CH158" s="412">
        <v>18</v>
      </c>
      <c r="CI158" s="412">
        <v>27</v>
      </c>
      <c r="CJ158" s="412">
        <v>34</v>
      </c>
      <c r="CK158" s="413">
        <v>37</v>
      </c>
      <c r="CL158" s="412">
        <v>19</v>
      </c>
      <c r="CM158" s="412">
        <v>13</v>
      </c>
      <c r="CN158" s="412">
        <v>24</v>
      </c>
      <c r="CO158" s="413">
        <v>22</v>
      </c>
      <c r="CP158" s="567">
        <v>22</v>
      </c>
      <c r="CQ158" s="412">
        <v>14</v>
      </c>
      <c r="CR158" s="412">
        <v>23</v>
      </c>
      <c r="CS158" s="413">
        <v>52.481327704248969</v>
      </c>
      <c r="CT158" s="567">
        <v>17.191662591723244</v>
      </c>
      <c r="CU158" s="412">
        <v>10.67822166281899</v>
      </c>
      <c r="CV158" s="412">
        <v>48.614856077654416</v>
      </c>
      <c r="CW158" s="413">
        <v>81.90392553173028</v>
      </c>
      <c r="CX158" s="409"/>
      <c r="CY158" s="409"/>
      <c r="CZ158" s="409"/>
      <c r="DA158" s="410"/>
      <c r="DB158" s="409"/>
      <c r="DC158" s="409"/>
      <c r="DD158" s="409"/>
      <c r="DE158" s="410"/>
      <c r="DF158" s="409"/>
      <c r="DG158" s="409"/>
      <c r="DH158" s="409"/>
      <c r="DI158" s="410"/>
      <c r="DJ158" s="410"/>
      <c r="DK158" s="598"/>
      <c r="DL158" s="409"/>
      <c r="DM158" s="409"/>
      <c r="DN158" s="409"/>
      <c r="DO158" s="409"/>
      <c r="DP158" s="409"/>
      <c r="DQ158" s="409"/>
      <c r="DR158" s="409"/>
      <c r="DS158" s="409"/>
      <c r="DT158" s="386"/>
      <c r="DU158" s="325"/>
      <c r="DV158" s="325">
        <v>72</v>
      </c>
      <c r="DW158" s="325">
        <v>73</v>
      </c>
      <c r="DX158" s="325">
        <v>74</v>
      </c>
      <c r="DY158" s="325">
        <v>107</v>
      </c>
      <c r="DZ158" s="325">
        <v>111</v>
      </c>
      <c r="EA158" s="325">
        <v>136</v>
      </c>
      <c r="EB158" s="325">
        <v>155</v>
      </c>
      <c r="EC158" s="325">
        <v>131</v>
      </c>
      <c r="ED158" s="325">
        <v>116</v>
      </c>
      <c r="EE158" s="325">
        <v>78</v>
      </c>
      <c r="EF158" s="325">
        <v>111.48132770424897</v>
      </c>
      <c r="EG158" s="325">
        <v>158.38866586392692</v>
      </c>
      <c r="EH158" s="412">
        <v>179.47453844523935</v>
      </c>
      <c r="EI158" s="412">
        <v>166.73427632066</v>
      </c>
      <c r="EJ158" s="412">
        <v>159.94100393210522</v>
      </c>
      <c r="EK158" s="412">
        <v>170.48098229717931</v>
      </c>
      <c r="EL158" s="412">
        <v>164.440268026974</v>
      </c>
      <c r="EM158" s="412">
        <v>165.54599359868973</v>
      </c>
      <c r="EN158" s="412">
        <v>164.6454905964784</v>
      </c>
      <c r="EO158" s="412">
        <v>177.23893753793081</v>
      </c>
      <c r="EP158" s="598"/>
      <c r="EQ158" s="409"/>
    </row>
    <row r="159" spans="1:147" s="596" customFormat="1" outlineLevel="2">
      <c r="A159" s="546"/>
      <c r="B159"/>
      <c r="C159"/>
      <c r="D159"/>
      <c r="E159"/>
      <c r="F159"/>
      <c r="G159"/>
      <c r="I159" s="638" t="s">
        <v>1579</v>
      </c>
      <c r="J159" s="409"/>
      <c r="K159" s="409"/>
      <c r="L159" s="409"/>
      <c r="M159" s="410"/>
      <c r="N159" s="409"/>
      <c r="O159" s="409"/>
      <c r="P159" s="409"/>
      <c r="Q159" s="410"/>
      <c r="R159" s="409"/>
      <c r="S159" s="409"/>
      <c r="T159" s="409"/>
      <c r="U159" s="410"/>
      <c r="V159" s="409"/>
      <c r="W159" s="409"/>
      <c r="X159" s="409"/>
      <c r="Y159" s="410"/>
      <c r="Z159" s="409"/>
      <c r="AA159" s="409"/>
      <c r="AB159" s="409"/>
      <c r="AC159" s="410"/>
      <c r="AD159" s="409"/>
      <c r="AE159" s="409"/>
      <c r="AF159" s="409"/>
      <c r="AG159" s="410"/>
      <c r="AH159" s="409"/>
      <c r="AI159" s="409"/>
      <c r="AJ159" s="409"/>
      <c r="AK159" s="410"/>
      <c r="AL159" s="409"/>
      <c r="AM159" s="409"/>
      <c r="AN159" s="409"/>
      <c r="AO159" s="410"/>
      <c r="AP159" s="409"/>
      <c r="AQ159" s="409"/>
      <c r="AR159" s="409"/>
      <c r="AS159" s="410"/>
      <c r="AT159" s="409"/>
      <c r="AU159" s="409"/>
      <c r="AV159" s="409"/>
      <c r="AW159" s="410"/>
      <c r="AX159" s="409">
        <v>0</v>
      </c>
      <c r="AY159" s="409">
        <v>0</v>
      </c>
      <c r="AZ159" s="409">
        <v>0</v>
      </c>
      <c r="BA159" s="410">
        <v>0</v>
      </c>
      <c r="BB159" s="567">
        <v>7.75</v>
      </c>
      <c r="BC159" s="412">
        <v>7.75</v>
      </c>
      <c r="BD159" s="325">
        <v>6.75</v>
      </c>
      <c r="BE159" s="372">
        <v>52.75</v>
      </c>
      <c r="BF159" s="373">
        <v>15.5</v>
      </c>
      <c r="BG159" s="325">
        <v>14.5</v>
      </c>
      <c r="BH159" s="325">
        <v>16.5</v>
      </c>
      <c r="BI159" s="372">
        <v>43.5</v>
      </c>
      <c r="BJ159" s="373">
        <v>18</v>
      </c>
      <c r="BK159" s="325">
        <v>17</v>
      </c>
      <c r="BL159" s="325">
        <v>15</v>
      </c>
      <c r="BM159" s="372">
        <v>34</v>
      </c>
      <c r="BN159" s="567">
        <v>15.5</v>
      </c>
      <c r="BO159" s="412">
        <v>15.5</v>
      </c>
      <c r="BP159" s="376">
        <v>19.5</v>
      </c>
      <c r="BQ159" s="413">
        <v>25.5</v>
      </c>
      <c r="BR159" s="412">
        <v>18</v>
      </c>
      <c r="BS159" s="412">
        <v>18</v>
      </c>
      <c r="BT159" s="412">
        <v>23</v>
      </c>
      <c r="BU159" s="413">
        <v>28</v>
      </c>
      <c r="BV159" s="412">
        <v>26</v>
      </c>
      <c r="BW159" s="412">
        <v>31</v>
      </c>
      <c r="BX159" s="412">
        <v>32</v>
      </c>
      <c r="BY159" s="413">
        <v>33</v>
      </c>
      <c r="BZ159" s="412">
        <v>34</v>
      </c>
      <c r="CA159" s="412">
        <v>32</v>
      </c>
      <c r="CB159" s="412">
        <v>33</v>
      </c>
      <c r="CC159" s="413">
        <v>33</v>
      </c>
      <c r="CD159" s="412">
        <v>36</v>
      </c>
      <c r="CE159" s="412">
        <v>35</v>
      </c>
      <c r="CF159" s="412">
        <v>35</v>
      </c>
      <c r="CG159" s="413">
        <v>33</v>
      </c>
      <c r="CH159" s="412">
        <v>33</v>
      </c>
      <c r="CI159" s="412">
        <v>32</v>
      </c>
      <c r="CJ159" s="412">
        <v>30</v>
      </c>
      <c r="CK159" s="413">
        <v>26</v>
      </c>
      <c r="CL159" s="412">
        <v>29</v>
      </c>
      <c r="CM159" s="412">
        <v>30</v>
      </c>
      <c r="CN159" s="412">
        <v>30</v>
      </c>
      <c r="CO159" s="413">
        <v>27</v>
      </c>
      <c r="CP159" s="567">
        <v>28</v>
      </c>
      <c r="CQ159" s="412">
        <v>26</v>
      </c>
      <c r="CR159" s="412">
        <v>25</v>
      </c>
      <c r="CS159" s="413">
        <v>36.878770819201982</v>
      </c>
      <c r="CT159" s="567">
        <v>26.239906061051261</v>
      </c>
      <c r="CU159" s="412">
        <v>24.642049991120743</v>
      </c>
      <c r="CV159" s="412">
        <v>38.046409104251275</v>
      </c>
      <c r="CW159" s="413">
        <v>64.098724329180214</v>
      </c>
      <c r="CX159" s="409"/>
      <c r="CY159" s="409"/>
      <c r="CZ159" s="409"/>
      <c r="DA159" s="410"/>
      <c r="DB159" s="409"/>
      <c r="DC159" s="409"/>
      <c r="DD159" s="409"/>
      <c r="DE159" s="410"/>
      <c r="DF159" s="409"/>
      <c r="DG159" s="409"/>
      <c r="DH159" s="409"/>
      <c r="DI159" s="410"/>
      <c r="DJ159" s="410"/>
      <c r="DK159" s="598"/>
      <c r="DL159" s="409"/>
      <c r="DM159" s="409"/>
      <c r="DN159" s="409"/>
      <c r="DO159" s="409"/>
      <c r="DP159" s="409"/>
      <c r="DQ159" s="409"/>
      <c r="DR159" s="409"/>
      <c r="DS159" s="409"/>
      <c r="DT159" s="386"/>
      <c r="DU159" s="325"/>
      <c r="DV159" s="325">
        <v>75</v>
      </c>
      <c r="DW159" s="325">
        <v>90</v>
      </c>
      <c r="DX159" s="325">
        <v>84</v>
      </c>
      <c r="DY159" s="325">
        <v>76</v>
      </c>
      <c r="DZ159" s="325">
        <v>87</v>
      </c>
      <c r="EA159" s="325">
        <v>122</v>
      </c>
      <c r="EB159" s="325">
        <v>132</v>
      </c>
      <c r="EC159" s="325">
        <v>139</v>
      </c>
      <c r="ED159" s="325">
        <v>121</v>
      </c>
      <c r="EE159" s="325">
        <v>116</v>
      </c>
      <c r="EF159" s="325">
        <v>115.87877081920197</v>
      </c>
      <c r="EG159" s="412">
        <v>153.02708948560348</v>
      </c>
      <c r="EH159" s="412">
        <v>178.43913293223679</v>
      </c>
      <c r="EI159" s="412">
        <v>165.75922207317078</v>
      </c>
      <c r="EJ159" s="412">
        <v>159.00567642373034</v>
      </c>
      <c r="EK159" s="412">
        <v>169.48401748842389</v>
      </c>
      <c r="EL159" s="412">
        <v>163.47862903266423</v>
      </c>
      <c r="EM159" s="412">
        <v>164.57788837296641</v>
      </c>
      <c r="EN159" s="412">
        <v>163.6826514701832</v>
      </c>
      <c r="EO159" s="412">
        <v>176.20245252308914</v>
      </c>
      <c r="EP159" s="598"/>
      <c r="EQ159" s="409"/>
    </row>
    <row r="160" spans="1:147" s="596" customFormat="1" outlineLevel="2">
      <c r="A160" s="546"/>
      <c r="B160"/>
      <c r="C160"/>
      <c r="D160"/>
      <c r="E160"/>
      <c r="F160"/>
      <c r="G160"/>
      <c r="I160" s="638" t="s">
        <v>1580</v>
      </c>
      <c r="J160" s="639"/>
      <c r="K160" s="639"/>
      <c r="L160" s="639"/>
      <c r="M160" s="640"/>
      <c r="N160" s="639"/>
      <c r="O160" s="639"/>
      <c r="P160" s="639"/>
      <c r="Q160" s="640"/>
      <c r="R160" s="639"/>
      <c r="S160" s="639"/>
      <c r="T160" s="639"/>
      <c r="U160" s="640"/>
      <c r="V160" s="639"/>
      <c r="W160" s="639"/>
      <c r="X160" s="639"/>
      <c r="Y160" s="640"/>
      <c r="Z160" s="639"/>
      <c r="AA160" s="639"/>
      <c r="AB160" s="639"/>
      <c r="AC160" s="640"/>
      <c r="AD160" s="639"/>
      <c r="AE160" s="639"/>
      <c r="AF160" s="639"/>
      <c r="AG160" s="640"/>
      <c r="AH160" s="639"/>
      <c r="AI160" s="639"/>
      <c r="AJ160" s="639"/>
      <c r="AK160" s="640"/>
      <c r="AL160" s="639"/>
      <c r="AM160" s="639"/>
      <c r="AN160" s="639"/>
      <c r="AO160" s="640"/>
      <c r="AP160" s="639"/>
      <c r="AQ160" s="639"/>
      <c r="AR160" s="639"/>
      <c r="AS160" s="640"/>
      <c r="AT160" s="639" t="s">
        <v>366</v>
      </c>
      <c r="AU160" s="639" t="s">
        <v>366</v>
      </c>
      <c r="AV160" s="639"/>
      <c r="AW160" s="640"/>
      <c r="AX160" s="639">
        <v>0</v>
      </c>
      <c r="AY160" s="639">
        <v>0</v>
      </c>
      <c r="AZ160" s="639">
        <v>0</v>
      </c>
      <c r="BA160" s="639">
        <v>0</v>
      </c>
      <c r="BB160" s="641">
        <v>168.75</v>
      </c>
      <c r="BC160" s="642">
        <v>-8.25</v>
      </c>
      <c r="BD160" s="506">
        <v>-18.25</v>
      </c>
      <c r="BE160" s="506">
        <v>23.75</v>
      </c>
      <c r="BF160" s="528">
        <v>-2.5</v>
      </c>
      <c r="BG160" s="506">
        <v>-7.5</v>
      </c>
      <c r="BH160" s="506">
        <v>-4.5</v>
      </c>
      <c r="BI160" s="506">
        <v>9.5</v>
      </c>
      <c r="BJ160" s="528">
        <v>-7</v>
      </c>
      <c r="BK160" s="506">
        <v>-3</v>
      </c>
      <c r="BL160" s="506">
        <v>0</v>
      </c>
      <c r="BM160" s="506">
        <v>17</v>
      </c>
      <c r="BN160" s="528">
        <v>-7.5</v>
      </c>
      <c r="BO160" s="506">
        <v>0.5</v>
      </c>
      <c r="BP160" s="506">
        <v>-8.5</v>
      </c>
      <c r="BQ160" s="527">
        <v>3.5</v>
      </c>
      <c r="BR160" s="642">
        <v>-2</v>
      </c>
      <c r="BS160" s="642">
        <v>11</v>
      </c>
      <c r="BT160" s="642">
        <v>-2</v>
      </c>
      <c r="BU160" s="527">
        <v>1</v>
      </c>
      <c r="BV160" s="642">
        <v>56</v>
      </c>
      <c r="BW160" s="642">
        <v>1</v>
      </c>
      <c r="BX160" s="642">
        <v>2</v>
      </c>
      <c r="BY160" s="643">
        <v>-4</v>
      </c>
      <c r="BZ160" s="642">
        <v>0</v>
      </c>
      <c r="CA160" s="642">
        <v>2</v>
      </c>
      <c r="CB160" s="642">
        <v>7</v>
      </c>
      <c r="CC160" s="643">
        <v>4</v>
      </c>
      <c r="CD160" s="642">
        <v>-3</v>
      </c>
      <c r="CE160" s="642">
        <v>0</v>
      </c>
      <c r="CF160" s="642">
        <v>-1</v>
      </c>
      <c r="CG160" s="643">
        <v>0</v>
      </c>
      <c r="CH160" s="642">
        <v>-3</v>
      </c>
      <c r="CI160" s="642">
        <v>0</v>
      </c>
      <c r="CJ160" s="642">
        <v>-14</v>
      </c>
      <c r="CK160" s="643">
        <v>-7</v>
      </c>
      <c r="CL160" s="642">
        <v>-7</v>
      </c>
      <c r="CM160" s="642">
        <v>3</v>
      </c>
      <c r="CN160" s="642">
        <v>-5</v>
      </c>
      <c r="CO160" s="643">
        <v>3</v>
      </c>
      <c r="CP160" s="641">
        <v>-11</v>
      </c>
      <c r="CQ160" s="642">
        <v>-6</v>
      </c>
      <c r="CR160" s="642">
        <v>-1</v>
      </c>
      <c r="CS160" s="644">
        <v>0</v>
      </c>
      <c r="CT160" s="641">
        <v>0</v>
      </c>
      <c r="CU160" s="642">
        <v>0</v>
      </c>
      <c r="CV160" s="642">
        <v>0</v>
      </c>
      <c r="CW160" s="644">
        <v>0</v>
      </c>
      <c r="CX160" s="645"/>
      <c r="CY160" s="645"/>
      <c r="CZ160" s="645"/>
      <c r="DA160" s="646"/>
      <c r="DB160" s="645"/>
      <c r="DC160" s="645"/>
      <c r="DD160" s="645"/>
      <c r="DE160" s="646"/>
      <c r="DF160" s="645"/>
      <c r="DG160" s="645"/>
      <c r="DH160" s="645"/>
      <c r="DI160" s="646"/>
      <c r="DJ160" s="410"/>
      <c r="DK160" s="647"/>
      <c r="DL160" s="639"/>
      <c r="DM160" s="639"/>
      <c r="DN160" s="639"/>
      <c r="DO160" s="639"/>
      <c r="DP160" s="639"/>
      <c r="DQ160" s="639"/>
      <c r="DR160" s="639"/>
      <c r="DS160" s="639"/>
      <c r="DT160" s="521"/>
      <c r="DU160" s="506"/>
      <c r="DV160" s="506">
        <v>-3</v>
      </c>
      <c r="DW160" s="506">
        <v>-5</v>
      </c>
      <c r="DX160" s="506">
        <v>7</v>
      </c>
      <c r="DY160" s="506">
        <v>-12</v>
      </c>
      <c r="DZ160" s="506">
        <v>8</v>
      </c>
      <c r="EA160" s="506">
        <v>55</v>
      </c>
      <c r="EB160" s="506">
        <v>13</v>
      </c>
      <c r="EC160" s="506">
        <v>-4</v>
      </c>
      <c r="ED160" s="506">
        <v>-24</v>
      </c>
      <c r="EE160" s="506">
        <v>-6</v>
      </c>
      <c r="EF160" s="506">
        <v>-18</v>
      </c>
      <c r="EG160" s="506">
        <v>0</v>
      </c>
      <c r="EH160" s="648">
        <v>0</v>
      </c>
      <c r="EI160" s="648">
        <v>0</v>
      </c>
      <c r="EJ160" s="648">
        <v>0</v>
      </c>
      <c r="EK160" s="648">
        <v>0</v>
      </c>
      <c r="EL160" s="648">
        <v>0</v>
      </c>
      <c r="EM160" s="648">
        <v>0</v>
      </c>
      <c r="EN160" s="648">
        <v>0</v>
      </c>
      <c r="EO160" s="648">
        <v>0</v>
      </c>
      <c r="EP160" s="598"/>
      <c r="EQ160" s="409"/>
    </row>
    <row r="161" spans="1:147" s="596" customFormat="1" ht="12.95" outlineLevel="2">
      <c r="A161" s="546"/>
      <c r="B161"/>
      <c r="C161"/>
      <c r="D161"/>
      <c r="E161"/>
      <c r="F161"/>
      <c r="G161"/>
      <c r="I161" s="649" t="s">
        <v>1581</v>
      </c>
      <c r="J161" s="559"/>
      <c r="K161" s="559"/>
      <c r="L161" s="559"/>
      <c r="M161" s="560"/>
      <c r="N161" s="559"/>
      <c r="O161" s="559"/>
      <c r="P161" s="559"/>
      <c r="Q161" s="560"/>
      <c r="R161" s="559"/>
      <c r="S161" s="559"/>
      <c r="T161" s="559"/>
      <c r="U161" s="560"/>
      <c r="V161" s="559"/>
      <c r="W161" s="559"/>
      <c r="X161" s="559"/>
      <c r="Y161" s="560"/>
      <c r="Z161" s="559"/>
      <c r="AA161" s="559"/>
      <c r="AB161" s="559"/>
      <c r="AC161" s="560"/>
      <c r="AD161" s="559"/>
      <c r="AE161" s="559"/>
      <c r="AF161" s="559"/>
      <c r="AG161" s="560"/>
      <c r="AH161" s="559"/>
      <c r="AI161" s="559"/>
      <c r="AJ161" s="559"/>
      <c r="AK161" s="560"/>
      <c r="AL161" s="559"/>
      <c r="AM161" s="559"/>
      <c r="AN161" s="559"/>
      <c r="AO161" s="560"/>
      <c r="AP161" s="559"/>
      <c r="AQ161" s="559"/>
      <c r="AR161" s="559"/>
      <c r="AS161" s="560"/>
      <c r="AT161" s="559"/>
      <c r="AU161" s="559"/>
      <c r="AV161" s="559"/>
      <c r="AW161" s="560"/>
      <c r="AX161" s="559">
        <v>0</v>
      </c>
      <c r="AY161" s="559">
        <v>0</v>
      </c>
      <c r="AZ161" s="559">
        <v>0</v>
      </c>
      <c r="BA161" s="560">
        <v>0</v>
      </c>
      <c r="BB161" s="599">
        <v>165</v>
      </c>
      <c r="BC161" s="562">
        <v>163</v>
      </c>
      <c r="BD161" s="448">
        <v>167</v>
      </c>
      <c r="BE161" s="449">
        <v>163</v>
      </c>
      <c r="BF161" s="450">
        <v>154</v>
      </c>
      <c r="BG161" s="448">
        <v>149</v>
      </c>
      <c r="BH161" s="448">
        <v>148</v>
      </c>
      <c r="BI161" s="449">
        <v>141</v>
      </c>
      <c r="BJ161" s="450">
        <v>133</v>
      </c>
      <c r="BK161" s="448">
        <v>132</v>
      </c>
      <c r="BL161" s="448">
        <v>139</v>
      </c>
      <c r="BM161" s="449">
        <v>138</v>
      </c>
      <c r="BN161" s="450">
        <v>152</v>
      </c>
      <c r="BO161" s="448">
        <v>162</v>
      </c>
      <c r="BP161" s="448">
        <v>162</v>
      </c>
      <c r="BQ161" s="449">
        <v>157</v>
      </c>
      <c r="BR161" s="562">
        <v>158</v>
      </c>
      <c r="BS161" s="562">
        <v>179</v>
      </c>
      <c r="BT161" s="562">
        <v>200</v>
      </c>
      <c r="BU161" s="449">
        <v>189</v>
      </c>
      <c r="BV161" s="562">
        <v>246</v>
      </c>
      <c r="BW161" s="562">
        <v>260</v>
      </c>
      <c r="BX161" s="562">
        <v>258</v>
      </c>
      <c r="BY161" s="600">
        <v>258</v>
      </c>
      <c r="BZ161" s="562">
        <v>245</v>
      </c>
      <c r="CA161" s="562">
        <v>246</v>
      </c>
      <c r="CB161" s="562">
        <v>254</v>
      </c>
      <c r="CC161" s="600">
        <v>294</v>
      </c>
      <c r="CD161" s="562">
        <v>286</v>
      </c>
      <c r="CE161" s="562">
        <v>281</v>
      </c>
      <c r="CF161" s="562">
        <v>281</v>
      </c>
      <c r="CG161" s="600">
        <v>282</v>
      </c>
      <c r="CH161" s="562">
        <v>264</v>
      </c>
      <c r="CI161" s="562">
        <v>259</v>
      </c>
      <c r="CJ161" s="562">
        <v>249</v>
      </c>
      <c r="CK161" s="600">
        <v>253</v>
      </c>
      <c r="CL161" s="562">
        <v>236</v>
      </c>
      <c r="CM161" s="562">
        <v>222</v>
      </c>
      <c r="CN161" s="562">
        <v>211</v>
      </c>
      <c r="CO161" s="600">
        <v>209</v>
      </c>
      <c r="CP161" s="599">
        <v>192</v>
      </c>
      <c r="CQ161" s="562">
        <v>174</v>
      </c>
      <c r="CR161" s="562">
        <v>171</v>
      </c>
      <c r="CS161" s="600">
        <v>186.60255688504699</v>
      </c>
      <c r="CT161" s="599">
        <v>177.55431341571898</v>
      </c>
      <c r="CU161" s="562">
        <v>163.59048508741722</v>
      </c>
      <c r="CV161" s="562">
        <v>174.15893206082038</v>
      </c>
      <c r="CW161" s="600">
        <v>191.96413326337043</v>
      </c>
      <c r="CX161" s="559"/>
      <c r="CY161" s="559"/>
      <c r="CZ161" s="559"/>
      <c r="DA161" s="560"/>
      <c r="DB161" s="559"/>
      <c r="DC161" s="559"/>
      <c r="DD161" s="559"/>
      <c r="DE161" s="560"/>
      <c r="DF161" s="559"/>
      <c r="DG161" s="559"/>
      <c r="DH161" s="559"/>
      <c r="DI161" s="560"/>
      <c r="DJ161" s="410"/>
      <c r="DK161" s="561"/>
      <c r="DL161" s="559"/>
      <c r="DM161" s="559"/>
      <c r="DN161" s="559"/>
      <c r="DO161" s="559"/>
      <c r="DP161" s="559"/>
      <c r="DQ161" s="559"/>
      <c r="DR161" s="559"/>
      <c r="DS161" s="559"/>
      <c r="DT161" s="369"/>
      <c r="DU161" s="448">
        <v>169</v>
      </c>
      <c r="DV161" s="448">
        <v>163</v>
      </c>
      <c r="DW161" s="448">
        <v>141</v>
      </c>
      <c r="DX161" s="448">
        <v>138</v>
      </c>
      <c r="DY161" s="448">
        <v>157</v>
      </c>
      <c r="DZ161" s="448">
        <v>189</v>
      </c>
      <c r="EA161" s="448">
        <v>258</v>
      </c>
      <c r="EB161" s="448">
        <v>294</v>
      </c>
      <c r="EC161" s="448">
        <v>282</v>
      </c>
      <c r="ED161" s="448">
        <v>253</v>
      </c>
      <c r="EE161" s="448">
        <v>209</v>
      </c>
      <c r="EF161" s="448">
        <v>186.60255688504699</v>
      </c>
      <c r="EG161" s="448">
        <v>191.96413326337043</v>
      </c>
      <c r="EH161" s="562">
        <v>192.99953877637299</v>
      </c>
      <c r="EI161" s="562">
        <v>193.97459302386224</v>
      </c>
      <c r="EJ161" s="562">
        <v>194.90992053223709</v>
      </c>
      <c r="EK161" s="562">
        <v>195.90688534099252</v>
      </c>
      <c r="EL161" s="562">
        <v>196.86852433530225</v>
      </c>
      <c r="EM161" s="562">
        <v>197.83662956102557</v>
      </c>
      <c r="EN161" s="562">
        <v>198.79946868732077</v>
      </c>
      <c r="EO161" s="562">
        <v>199.83595370216247</v>
      </c>
      <c r="EP161" s="598"/>
      <c r="EQ161" s="409"/>
    </row>
    <row r="162" spans="1:147" s="635" customFormat="1" outlineLevel="2">
      <c r="A162" s="624"/>
      <c r="B162"/>
      <c r="C162"/>
      <c r="D162"/>
      <c r="E162"/>
      <c r="F162"/>
      <c r="G162"/>
      <c r="H162" s="625"/>
      <c r="I162" s="650" t="s">
        <v>1582</v>
      </c>
      <c r="J162" s="627"/>
      <c r="K162" s="627"/>
      <c r="L162" s="627"/>
      <c r="M162" s="628"/>
      <c r="N162" s="627"/>
      <c r="O162" s="627"/>
      <c r="P162" s="627"/>
      <c r="Q162" s="628"/>
      <c r="R162" s="627"/>
      <c r="S162" s="627"/>
      <c r="T162" s="627"/>
      <c r="U162" s="628"/>
      <c r="V162" s="627"/>
      <c r="W162" s="627"/>
      <c r="X162" s="627"/>
      <c r="Y162" s="628"/>
      <c r="Z162" s="627"/>
      <c r="AA162" s="627"/>
      <c r="AB162" s="627"/>
      <c r="AC162" s="628"/>
      <c r="AD162" s="627"/>
      <c r="AE162" s="627"/>
      <c r="AF162" s="627"/>
      <c r="AG162" s="628"/>
      <c r="AH162" s="627"/>
      <c r="AI162" s="627"/>
      <c r="AJ162" s="627"/>
      <c r="AK162" s="628"/>
      <c r="AL162" s="627"/>
      <c r="AM162" s="627"/>
      <c r="AN162" s="627"/>
      <c r="AO162" s="628"/>
      <c r="AP162" s="627"/>
      <c r="AQ162" s="627"/>
      <c r="AR162" s="627"/>
      <c r="AS162" s="628"/>
      <c r="AT162" s="627"/>
      <c r="AU162" s="627"/>
      <c r="AV162" s="627"/>
      <c r="AW162" s="628"/>
      <c r="AX162" s="627">
        <v>0</v>
      </c>
      <c r="AY162" s="627">
        <v>0</v>
      </c>
      <c r="AZ162" s="627">
        <v>0</v>
      </c>
      <c r="BA162" s="627">
        <v>0</v>
      </c>
      <c r="BB162" s="629">
        <v>2.7605244996549345E-3</v>
      </c>
      <c r="BC162" s="627">
        <v>1.2216404886561954E-2</v>
      </c>
      <c r="BD162" s="633">
        <v>3.8461538461538464E-2</v>
      </c>
      <c r="BE162" s="633">
        <v>1.7768301350390904E-2</v>
      </c>
      <c r="BF162" s="651">
        <v>7.6791808873720134E-3</v>
      </c>
      <c r="BG162" s="633">
        <v>1.5813953488372091E-2</v>
      </c>
      <c r="BH162" s="633">
        <v>2.3781212841854936E-2</v>
      </c>
      <c r="BI162" s="633">
        <v>1.5271493212669683E-2</v>
      </c>
      <c r="BJ162" s="651">
        <v>1.283987915407855E-2</v>
      </c>
      <c r="BK162" s="633">
        <v>1.8095238095238095E-2</v>
      </c>
      <c r="BL162" s="633">
        <v>3.1837916063675829E-2</v>
      </c>
      <c r="BM162" s="633">
        <v>1.0540184453227932E-2</v>
      </c>
      <c r="BN162" s="651">
        <v>3.3303330333033301E-2</v>
      </c>
      <c r="BO162" s="633">
        <v>2.5773195876288658E-2</v>
      </c>
      <c r="BP162" s="633">
        <v>3.7184594953519258E-2</v>
      </c>
      <c r="BQ162" s="652">
        <v>1.0793650793650795E-2</v>
      </c>
      <c r="BR162" s="627">
        <v>1.6431924882629109E-2</v>
      </c>
      <c r="BS162" s="627">
        <v>2.681992337164751E-2</v>
      </c>
      <c r="BT162" s="627">
        <v>4.6464646464646465E-2</v>
      </c>
      <c r="BU162" s="652">
        <v>1.1825572801182557E-2</v>
      </c>
      <c r="BV162" s="627">
        <v>1.8556701030927835E-2</v>
      </c>
      <c r="BW162" s="627">
        <v>2.802547770700637E-2</v>
      </c>
      <c r="BX162" s="627">
        <v>1.7857142857142856E-2</v>
      </c>
      <c r="BY162" s="628">
        <v>1.8371400198609732E-2</v>
      </c>
      <c r="BZ162" s="627">
        <v>1.2166859791425261E-2</v>
      </c>
      <c r="CA162" s="627">
        <v>1.9006744328632742E-2</v>
      </c>
      <c r="CB162" s="627">
        <v>2.1013597033374538E-2</v>
      </c>
      <c r="CC162" s="628">
        <v>3.3773861967694566E-2</v>
      </c>
      <c r="CD162" s="627">
        <v>1.5776081424936386E-2</v>
      </c>
      <c r="CE162" s="627">
        <v>1.8281535648994516E-2</v>
      </c>
      <c r="CF162" s="627">
        <v>2.3809523809523808E-2</v>
      </c>
      <c r="CG162" s="628">
        <v>1.4279714405711887E-2</v>
      </c>
      <c r="CH162" s="627">
        <v>9.8630136986301367E-3</v>
      </c>
      <c r="CI162" s="627">
        <v>1.9340974212034383E-2</v>
      </c>
      <c r="CJ162" s="627">
        <v>2.6521060842433698E-2</v>
      </c>
      <c r="CK162" s="628">
        <v>1.863041289023162E-2</v>
      </c>
      <c r="CL162" s="627">
        <v>1.0626398210290829E-2</v>
      </c>
      <c r="CM162" s="627">
        <v>6.728778467908903E-3</v>
      </c>
      <c r="CN162" s="627">
        <v>1.2282497441146366E-2</v>
      </c>
      <c r="CO162" s="628">
        <v>9.117281392457521E-3</v>
      </c>
      <c r="CP162" s="629">
        <v>9.6703296703296703E-3</v>
      </c>
      <c r="CQ162" s="653">
        <v>6.0975609756097563E-3</v>
      </c>
      <c r="CR162" s="653">
        <v>1.1111111111111112E-2</v>
      </c>
      <c r="CS162" s="632">
        <v>1.863041289023162E-2</v>
      </c>
      <c r="CT162" s="654">
        <v>1.0626398210290829E-2</v>
      </c>
      <c r="CU162" s="655">
        <v>6.728778467908903E-3</v>
      </c>
      <c r="CV162" s="655">
        <v>2.3E-2</v>
      </c>
      <c r="CW162" s="632">
        <v>2.3E-2</v>
      </c>
      <c r="CX162" s="631"/>
      <c r="CY162" s="631"/>
      <c r="CZ162" s="631"/>
      <c r="DA162" s="632"/>
      <c r="DB162" s="631"/>
      <c r="DC162" s="631"/>
      <c r="DD162" s="631"/>
      <c r="DE162" s="632"/>
      <c r="DF162" s="631"/>
      <c r="DG162" s="631"/>
      <c r="DH162" s="631"/>
      <c r="DI162" s="632"/>
      <c r="DJ162" s="628"/>
      <c r="DK162" s="629"/>
      <c r="DL162" s="627"/>
      <c r="DM162" s="627"/>
      <c r="DN162" s="627"/>
      <c r="DO162" s="627"/>
      <c r="DP162" s="627"/>
      <c r="DQ162" s="627"/>
      <c r="DR162" s="627"/>
      <c r="DS162" s="627"/>
      <c r="DT162" s="633"/>
      <c r="DU162" s="633"/>
      <c r="DV162" s="633">
        <v>1.5138772077375946E-2</v>
      </c>
      <c r="DW162" s="633">
        <v>1.5032948929159802E-2</v>
      </c>
      <c r="DX162" s="633">
        <v>1.6146628845734236E-2</v>
      </c>
      <c r="DY162" s="633">
        <v>2.4268541619414833E-2</v>
      </c>
      <c r="DZ162" s="633">
        <v>2.3794212218649517E-2</v>
      </c>
      <c r="EA162" s="633">
        <v>2.0584228848191312E-2</v>
      </c>
      <c r="EB162" s="633">
        <v>2.2086064405813621E-2</v>
      </c>
      <c r="EC162" s="633">
        <v>1.7468995866115482E-2</v>
      </c>
      <c r="ED162" s="633">
        <v>1.787640622592079E-2</v>
      </c>
      <c r="EE162" s="633">
        <v>9.6451094348955109E-3</v>
      </c>
      <c r="EF162" s="633">
        <v>1.1787023976608725E-2</v>
      </c>
      <c r="EG162" s="633">
        <v>1.7837558633005183E-2</v>
      </c>
      <c r="EH162" s="631">
        <v>1.7333743754636026E-2</v>
      </c>
      <c r="EI162" s="631">
        <v>1.7100000000000001E-2</v>
      </c>
      <c r="EJ162" s="631">
        <v>1.7100000000000001E-2</v>
      </c>
      <c r="EK162" s="631">
        <v>1.7100000000000001E-2</v>
      </c>
      <c r="EL162" s="631">
        <v>1.7100000000000001E-2</v>
      </c>
      <c r="EM162" s="631">
        <v>1.7100000000000001E-2</v>
      </c>
      <c r="EN162" s="631">
        <v>1.7100000000000001E-2</v>
      </c>
      <c r="EO162" s="631">
        <v>1.7100000000000001E-2</v>
      </c>
      <c r="EP162" s="629"/>
      <c r="EQ162" s="634"/>
    </row>
    <row r="163" spans="1:147" s="656" customFormat="1" ht="15" customHeight="1" outlineLevel="2">
      <c r="A163" s="473"/>
      <c r="B163"/>
      <c r="C163"/>
      <c r="D163"/>
      <c r="E163"/>
      <c r="F163"/>
      <c r="G163"/>
      <c r="I163" s="657" t="s">
        <v>1583</v>
      </c>
      <c r="J163" s="658"/>
      <c r="K163" s="658"/>
      <c r="L163" s="658"/>
      <c r="M163" s="659"/>
      <c r="N163" s="658"/>
      <c r="O163" s="658"/>
      <c r="P163" s="658"/>
      <c r="Q163" s="659"/>
      <c r="R163" s="658"/>
      <c r="S163" s="658"/>
      <c r="T163" s="658"/>
      <c r="U163" s="659"/>
      <c r="V163" s="658"/>
      <c r="W163" s="658"/>
      <c r="X163" s="658"/>
      <c r="Y163" s="659"/>
      <c r="Z163" s="658"/>
      <c r="AA163" s="658"/>
      <c r="AB163" s="658"/>
      <c r="AC163" s="659"/>
      <c r="AD163" s="658"/>
      <c r="AE163" s="658"/>
      <c r="AF163" s="658"/>
      <c r="AG163" s="659"/>
      <c r="AH163" s="658"/>
      <c r="AI163" s="658"/>
      <c r="AJ163" s="658"/>
      <c r="AK163" s="659"/>
      <c r="AL163" s="658"/>
      <c r="AM163" s="658"/>
      <c r="AN163" s="658"/>
      <c r="AO163" s="659"/>
      <c r="AP163" s="658"/>
      <c r="AQ163" s="658"/>
      <c r="AR163" s="658"/>
      <c r="AS163" s="659"/>
      <c r="AT163" s="658"/>
      <c r="AU163" s="658"/>
      <c r="AV163" s="658"/>
      <c r="AW163" s="659"/>
      <c r="AX163" s="658"/>
      <c r="AY163" s="658"/>
      <c r="AZ163" s="658"/>
      <c r="BA163" s="658"/>
      <c r="BB163" s="660"/>
      <c r="BC163" s="653"/>
      <c r="BD163" s="653"/>
      <c r="BE163" s="659"/>
      <c r="BF163" s="660"/>
      <c r="BG163" s="653"/>
      <c r="BH163" s="653"/>
      <c r="BI163" s="659"/>
      <c r="BJ163" s="660"/>
      <c r="BK163" s="653"/>
      <c r="BL163" s="653"/>
      <c r="BM163" s="659"/>
      <c r="BN163" s="661">
        <v>19</v>
      </c>
      <c r="BO163" s="661">
        <v>30</v>
      </c>
      <c r="BP163" s="661">
        <v>23</v>
      </c>
      <c r="BQ163" s="662">
        <v>19</v>
      </c>
      <c r="BR163" s="661">
        <v>6</v>
      </c>
      <c r="BS163" s="661">
        <v>17</v>
      </c>
      <c r="BT163" s="661">
        <v>38</v>
      </c>
      <c r="BU163" s="662">
        <v>32</v>
      </c>
      <c r="BV163" s="661">
        <v>88</v>
      </c>
      <c r="BW163" s="661">
        <v>81</v>
      </c>
      <c r="BX163" s="661">
        <v>58</v>
      </c>
      <c r="BY163" s="662">
        <v>69</v>
      </c>
      <c r="BZ163" s="661">
        <v>-1</v>
      </c>
      <c r="CA163" s="661">
        <v>-14</v>
      </c>
      <c r="CB163" s="661">
        <v>-4</v>
      </c>
      <c r="CC163" s="662">
        <v>36</v>
      </c>
      <c r="CD163" s="661">
        <v>41</v>
      </c>
      <c r="CE163" s="661">
        <v>35</v>
      </c>
      <c r="CF163" s="661">
        <v>27</v>
      </c>
      <c r="CG163" s="662">
        <v>-12</v>
      </c>
      <c r="CH163" s="661">
        <v>-22</v>
      </c>
      <c r="CI163" s="661">
        <v>-22</v>
      </c>
      <c r="CJ163" s="661">
        <v>-32</v>
      </c>
      <c r="CK163" s="662">
        <v>-29</v>
      </c>
      <c r="CL163" s="661">
        <v>-28</v>
      </c>
      <c r="CM163" s="661">
        <v>-37</v>
      </c>
      <c r="CN163" s="661">
        <v>-38</v>
      </c>
      <c r="CO163" s="662">
        <v>-44</v>
      </c>
      <c r="CP163" s="663">
        <v>-44</v>
      </c>
      <c r="CQ163" s="661">
        <v>-48</v>
      </c>
      <c r="CR163" s="661">
        <v>-40</v>
      </c>
      <c r="CS163" s="662">
        <v>-22.397443114953006</v>
      </c>
      <c r="CT163" s="663">
        <v>-14.44568658428102</v>
      </c>
      <c r="CU163" s="661">
        <v>-10.409514912582779</v>
      </c>
      <c r="CV163" s="661">
        <v>3.1589320608203764</v>
      </c>
      <c r="CW163" s="662">
        <v>5.3615763783234343</v>
      </c>
      <c r="CX163" s="664"/>
      <c r="CY163" s="664"/>
      <c r="CZ163" s="664"/>
      <c r="DA163" s="665"/>
      <c r="DB163" s="664"/>
      <c r="DC163" s="664"/>
      <c r="DD163" s="664"/>
      <c r="DE163" s="665"/>
      <c r="DF163" s="664"/>
      <c r="DG163" s="664"/>
      <c r="DH163" s="664"/>
      <c r="DI163" s="665"/>
      <c r="DJ163" s="372"/>
      <c r="DK163" s="666"/>
      <c r="DL163" s="666"/>
      <c r="DM163" s="666"/>
      <c r="DN163" s="666"/>
      <c r="DO163" s="666"/>
      <c r="DP163" s="666"/>
      <c r="DQ163" s="666"/>
      <c r="DR163" s="666"/>
      <c r="DS163" s="666"/>
      <c r="DT163" s="666"/>
      <c r="DU163" s="666"/>
      <c r="DV163" s="667"/>
      <c r="DW163" s="667"/>
      <c r="DX163" s="661">
        <v>-3</v>
      </c>
      <c r="DY163" s="661">
        <v>19</v>
      </c>
      <c r="DZ163" s="661">
        <v>32</v>
      </c>
      <c r="EA163" s="661">
        <v>69</v>
      </c>
      <c r="EB163" s="661">
        <v>36</v>
      </c>
      <c r="EC163" s="661">
        <v>-12</v>
      </c>
      <c r="ED163" s="661">
        <v>-29</v>
      </c>
      <c r="EE163" s="661">
        <v>-44</v>
      </c>
      <c r="EF163" s="661">
        <v>-22.397443114953006</v>
      </c>
      <c r="EG163" s="661">
        <v>5.3615763783234343</v>
      </c>
      <c r="EH163" s="661">
        <v>1.0354055130025586</v>
      </c>
      <c r="EI163" s="661">
        <v>0.97505424748925407</v>
      </c>
      <c r="EJ163" s="661">
        <v>0.93532750837485423</v>
      </c>
      <c r="EK163" s="661">
        <v>0.99696480875542193</v>
      </c>
      <c r="EL163" s="661">
        <v>0.96163899430973743</v>
      </c>
      <c r="EM163" s="661">
        <v>0.96810522572332047</v>
      </c>
      <c r="EN163" s="661">
        <v>0.96283912629519364</v>
      </c>
      <c r="EO163" s="661">
        <v>1.036485014841702</v>
      </c>
      <c r="EP163" s="668"/>
      <c r="EQ163" s="669"/>
    </row>
    <row r="164" spans="1:147" s="656" customFormat="1" ht="15" customHeight="1" outlineLevel="2">
      <c r="A164" s="473"/>
      <c r="B164"/>
      <c r="C164"/>
      <c r="D164"/>
      <c r="E164"/>
      <c r="F164"/>
      <c r="G164"/>
      <c r="I164" s="657" t="s">
        <v>1584</v>
      </c>
      <c r="J164" s="658"/>
      <c r="K164" s="658"/>
      <c r="L164" s="658"/>
      <c r="M164" s="659"/>
      <c r="N164" s="658"/>
      <c r="O164" s="658"/>
      <c r="P164" s="658"/>
      <c r="Q164" s="659"/>
      <c r="R164" s="658"/>
      <c r="S164" s="658"/>
      <c r="T164" s="658"/>
      <c r="U164" s="659"/>
      <c r="V164" s="658"/>
      <c r="W164" s="658"/>
      <c r="X164" s="658"/>
      <c r="Y164" s="659"/>
      <c r="Z164" s="658"/>
      <c r="AA164" s="658"/>
      <c r="AB164" s="658"/>
      <c r="AC164" s="659"/>
      <c r="AD164" s="658"/>
      <c r="AE164" s="658"/>
      <c r="AF164" s="658"/>
      <c r="AG164" s="659"/>
      <c r="AH164" s="658"/>
      <c r="AI164" s="658"/>
      <c r="AJ164" s="658"/>
      <c r="AK164" s="659"/>
      <c r="AL164" s="658"/>
      <c r="AM164" s="658"/>
      <c r="AN164" s="658"/>
      <c r="AO164" s="659"/>
      <c r="AP164" s="658"/>
      <c r="AQ164" s="658"/>
      <c r="AR164" s="658"/>
      <c r="AS164" s="659"/>
      <c r="AT164" s="658"/>
      <c r="AU164" s="658"/>
      <c r="AV164" s="658"/>
      <c r="AW164" s="659"/>
      <c r="AX164" s="658"/>
      <c r="AY164" s="658"/>
      <c r="AZ164" s="658"/>
      <c r="BA164" s="658"/>
      <c r="BB164" s="660"/>
      <c r="BC164" s="653"/>
      <c r="BD164" s="653"/>
      <c r="BE164" s="659"/>
      <c r="BF164" s="660"/>
      <c r="BG164" s="653"/>
      <c r="BH164" s="653"/>
      <c r="BI164" s="659"/>
      <c r="BJ164" s="660"/>
      <c r="BK164" s="653"/>
      <c r="BL164" s="653"/>
      <c r="BM164" s="659"/>
      <c r="BN164" s="661">
        <v>14</v>
      </c>
      <c r="BO164" s="661">
        <v>10</v>
      </c>
      <c r="BP164" s="661">
        <v>0</v>
      </c>
      <c r="BQ164" s="662">
        <v>-5</v>
      </c>
      <c r="BR164" s="661">
        <v>1</v>
      </c>
      <c r="BS164" s="661">
        <v>21</v>
      </c>
      <c r="BT164" s="661">
        <v>21</v>
      </c>
      <c r="BU164" s="662">
        <v>-11</v>
      </c>
      <c r="BV164" s="661">
        <v>57</v>
      </c>
      <c r="BW164" s="661">
        <v>14</v>
      </c>
      <c r="BX164" s="661">
        <v>-2</v>
      </c>
      <c r="BY164" s="662">
        <v>0</v>
      </c>
      <c r="BZ164" s="661">
        <v>-13</v>
      </c>
      <c r="CA164" s="661">
        <v>1</v>
      </c>
      <c r="CB164" s="661">
        <v>8</v>
      </c>
      <c r="CC164" s="662">
        <v>40</v>
      </c>
      <c r="CD164" s="661">
        <v>-8</v>
      </c>
      <c r="CE164" s="661">
        <v>-5</v>
      </c>
      <c r="CF164" s="661">
        <v>0</v>
      </c>
      <c r="CG164" s="662">
        <v>1</v>
      </c>
      <c r="CH164" s="661">
        <v>-18</v>
      </c>
      <c r="CI164" s="661">
        <v>-5</v>
      </c>
      <c r="CJ164" s="661">
        <v>-10</v>
      </c>
      <c r="CK164" s="662">
        <v>4</v>
      </c>
      <c r="CL164" s="661">
        <v>-17</v>
      </c>
      <c r="CM164" s="661">
        <v>-14</v>
      </c>
      <c r="CN164" s="661">
        <v>-11</v>
      </c>
      <c r="CO164" s="662">
        <v>-2</v>
      </c>
      <c r="CP164" s="663">
        <v>-17</v>
      </c>
      <c r="CQ164" s="661">
        <v>-18</v>
      </c>
      <c r="CR164" s="661">
        <v>-3</v>
      </c>
      <c r="CS164" s="662">
        <v>15.602556885046994</v>
      </c>
      <c r="CT164" s="663">
        <v>-9.048243469328014</v>
      </c>
      <c r="CU164" s="661">
        <v>-13.963828328301759</v>
      </c>
      <c r="CV164" s="661">
        <v>10.568446973403155</v>
      </c>
      <c r="CW164" s="662">
        <v>17.805201202550052</v>
      </c>
      <c r="CX164" s="664"/>
      <c r="CY164" s="664"/>
      <c r="CZ164" s="664"/>
      <c r="DA164" s="665"/>
      <c r="DB164" s="664"/>
      <c r="DC164" s="664"/>
      <c r="DD164" s="664"/>
      <c r="DE164" s="665"/>
      <c r="DF164" s="664"/>
      <c r="DG164" s="664"/>
      <c r="DH164" s="664"/>
      <c r="DI164" s="665"/>
      <c r="DJ164" s="372"/>
      <c r="DK164" s="666"/>
      <c r="DL164" s="666"/>
      <c r="DM164" s="666"/>
      <c r="DN164" s="666"/>
      <c r="DO164" s="666"/>
      <c r="DP164" s="666"/>
      <c r="DQ164" s="666"/>
      <c r="DR164" s="666"/>
      <c r="DS164" s="666"/>
      <c r="DT164" s="666"/>
      <c r="DU164" s="666"/>
      <c r="DV164" s="667"/>
      <c r="DW164" s="667"/>
      <c r="DX164" s="661"/>
      <c r="DY164" s="666"/>
      <c r="DZ164" s="666"/>
      <c r="EA164" s="666"/>
      <c r="EB164" s="664"/>
      <c r="EC164" s="325"/>
      <c r="ED164" s="325"/>
      <c r="EE164" s="325"/>
      <c r="EF164" s="325"/>
      <c r="EG164" s="664"/>
      <c r="EH164" s="664"/>
      <c r="EI164" s="664"/>
      <c r="EJ164" s="664"/>
      <c r="EK164" s="664"/>
      <c r="EL164" s="664"/>
      <c r="EM164" s="664"/>
      <c r="EN164" s="664"/>
      <c r="EO164" s="664"/>
      <c r="EP164" s="668"/>
      <c r="EQ164" s="669"/>
    </row>
    <row r="165" spans="1:147" s="589" customFormat="1" ht="12.95" outlineLevel="2">
      <c r="A165"/>
      <c r="B165"/>
      <c r="C165"/>
      <c r="D165"/>
      <c r="E165"/>
      <c r="F165"/>
      <c r="G165"/>
      <c r="I165" s="670"/>
      <c r="J165" s="409"/>
      <c r="K165" s="409"/>
      <c r="L165" s="409"/>
      <c r="M165" s="410"/>
      <c r="N165" s="409"/>
      <c r="O165" s="409"/>
      <c r="P165" s="409"/>
      <c r="Q165" s="410"/>
      <c r="R165" s="409"/>
      <c r="S165" s="409"/>
      <c r="T165" s="409"/>
      <c r="U165" s="410"/>
      <c r="V165" s="409"/>
      <c r="W165" s="409"/>
      <c r="X165" s="409"/>
      <c r="Y165" s="410"/>
      <c r="Z165" s="409"/>
      <c r="AA165" s="409"/>
      <c r="AB165" s="409"/>
      <c r="AC165" s="410"/>
      <c r="AD165" s="409"/>
      <c r="AE165" s="409"/>
      <c r="AF165" s="409"/>
      <c r="AG165" s="410"/>
      <c r="AH165" s="409"/>
      <c r="AI165" s="409"/>
      <c r="AJ165" s="409"/>
      <c r="AK165" s="410"/>
      <c r="AL165" s="409"/>
      <c r="AM165" s="409"/>
      <c r="AN165" s="409"/>
      <c r="AO165" s="410"/>
      <c r="AP165" s="409"/>
      <c r="AQ165" s="409"/>
      <c r="AR165" s="409"/>
      <c r="AS165" s="410"/>
      <c r="AT165" s="409"/>
      <c r="AU165" s="409"/>
      <c r="AV165" s="409"/>
      <c r="AW165" s="410"/>
      <c r="AX165" s="409"/>
      <c r="AY165" s="409"/>
      <c r="AZ165" s="409"/>
      <c r="BA165" s="410"/>
      <c r="BB165" s="594"/>
      <c r="BC165" s="409"/>
      <c r="BD165" s="356"/>
      <c r="BE165" s="388"/>
      <c r="BF165" s="355"/>
      <c r="BG165" s="386"/>
      <c r="BH165" s="356"/>
      <c r="BI165" s="388"/>
      <c r="BJ165" s="355"/>
      <c r="BK165" s="386"/>
      <c r="BL165" s="356"/>
      <c r="BM165" s="388"/>
      <c r="BN165" s="355"/>
      <c r="BO165" s="386"/>
      <c r="BP165" s="356"/>
      <c r="BQ165" s="388"/>
      <c r="BR165" s="357"/>
      <c r="BS165" s="409"/>
      <c r="BT165" s="481"/>
      <c r="BU165" s="388"/>
      <c r="BV165" s="357"/>
      <c r="BW165" s="409"/>
      <c r="BX165" s="357"/>
      <c r="BY165" s="592"/>
      <c r="BZ165" s="357"/>
      <c r="CA165" s="409"/>
      <c r="CB165" s="357"/>
      <c r="CC165" s="592"/>
      <c r="CD165" s="357"/>
      <c r="CE165" s="409"/>
      <c r="CF165" s="409"/>
      <c r="CG165" s="410"/>
      <c r="CH165" s="357"/>
      <c r="CI165" s="409"/>
      <c r="CJ165" s="409"/>
      <c r="CK165" s="410"/>
      <c r="CL165" s="357"/>
      <c r="CM165" s="409"/>
      <c r="CN165" s="409"/>
      <c r="CO165" s="410"/>
      <c r="CP165" s="594"/>
      <c r="CQ165" s="357"/>
      <c r="CR165" s="357"/>
      <c r="CS165" s="592"/>
      <c r="CT165" s="594"/>
      <c r="CU165" s="357"/>
      <c r="CV165" s="357"/>
      <c r="CW165" s="592"/>
      <c r="CX165" s="357"/>
      <c r="CY165" s="357"/>
      <c r="CZ165" s="357"/>
      <c r="DA165" s="592"/>
      <c r="DB165" s="357"/>
      <c r="DC165" s="357"/>
      <c r="DD165" s="357"/>
      <c r="DE165" s="592"/>
      <c r="DF165" s="357"/>
      <c r="DG165" s="357"/>
      <c r="DH165" s="357"/>
      <c r="DI165" s="592"/>
      <c r="DJ165" s="592"/>
      <c r="DK165" s="598"/>
      <c r="DL165" s="409"/>
      <c r="DM165" s="409"/>
      <c r="DN165" s="409"/>
      <c r="DO165" s="409"/>
      <c r="DP165" s="409"/>
      <c r="DQ165" s="409"/>
      <c r="DR165" s="409"/>
      <c r="DS165" s="409"/>
      <c r="DT165" s="386"/>
      <c r="DU165" s="386"/>
      <c r="DV165" s="386"/>
      <c r="DW165" s="386"/>
      <c r="DX165" s="386"/>
      <c r="DY165" s="386"/>
      <c r="DZ165" s="386"/>
      <c r="EA165" s="386"/>
      <c r="EB165" s="386"/>
      <c r="EC165" s="356"/>
      <c r="ED165" s="356"/>
      <c r="EE165" s="356"/>
      <c r="EF165" s="356"/>
      <c r="EG165" s="357"/>
      <c r="EH165" s="357"/>
      <c r="EI165" s="357"/>
      <c r="EJ165" s="357"/>
      <c r="EK165" s="357"/>
      <c r="EL165" s="357"/>
      <c r="EM165" s="357"/>
      <c r="EN165" s="357"/>
      <c r="EO165" s="357"/>
      <c r="EP165" s="594"/>
      <c r="EQ165" s="357"/>
    </row>
    <row r="166" spans="1:147" s="589" customFormat="1" ht="12.95" outlineLevel="2">
      <c r="A166"/>
      <c r="B166"/>
      <c r="C166"/>
      <c r="D166"/>
      <c r="E166"/>
      <c r="F166"/>
      <c r="G166"/>
      <c r="I166" s="636" t="s">
        <v>1585</v>
      </c>
      <c r="J166" s="357"/>
      <c r="K166" s="357"/>
      <c r="L166" s="357"/>
      <c r="M166" s="592"/>
      <c r="N166" s="357"/>
      <c r="O166" s="357"/>
      <c r="P166" s="357"/>
      <c r="Q166" s="592"/>
      <c r="R166" s="357"/>
      <c r="S166" s="357"/>
      <c r="T166" s="357"/>
      <c r="U166" s="592"/>
      <c r="V166" s="357"/>
      <c r="W166" s="357"/>
      <c r="X166" s="357"/>
      <c r="Y166" s="592"/>
      <c r="Z166" s="357"/>
      <c r="AA166" s="357"/>
      <c r="AB166" s="357"/>
      <c r="AC166" s="592"/>
      <c r="AD166" s="357"/>
      <c r="AE166" s="357"/>
      <c r="AF166" s="357"/>
      <c r="AG166" s="592"/>
      <c r="AH166" s="357"/>
      <c r="AI166" s="357"/>
      <c r="AJ166" s="357"/>
      <c r="AK166" s="592"/>
      <c r="AL166" s="357"/>
      <c r="AM166" s="357"/>
      <c r="AN166" s="357"/>
      <c r="AO166" s="592"/>
      <c r="AP166" s="357"/>
      <c r="AQ166" s="357"/>
      <c r="AR166" s="357"/>
      <c r="AS166" s="592"/>
      <c r="AT166" s="357"/>
      <c r="AU166" s="357"/>
      <c r="AV166" s="357"/>
      <c r="AW166" s="592"/>
      <c r="AX166" s="357"/>
      <c r="AY166" s="357"/>
      <c r="AZ166" s="357"/>
      <c r="BA166" s="592"/>
      <c r="BB166" s="594"/>
      <c r="BC166" s="357"/>
      <c r="BD166" s="356"/>
      <c r="BE166" s="477"/>
      <c r="BF166" s="355"/>
      <c r="BG166" s="356"/>
      <c r="BH166" s="356"/>
      <c r="BI166" s="477"/>
      <c r="BJ166" s="355"/>
      <c r="BK166" s="356"/>
      <c r="BL166" s="356"/>
      <c r="BM166" s="477"/>
      <c r="BN166" s="355"/>
      <c r="BO166" s="356"/>
      <c r="BP166" s="356"/>
      <c r="BQ166" s="477"/>
      <c r="BR166" s="357"/>
      <c r="BS166" s="357"/>
      <c r="BT166" s="481"/>
      <c r="BU166" s="477"/>
      <c r="BV166" s="357"/>
      <c r="BW166" s="357"/>
      <c r="BX166" s="357"/>
      <c r="BY166" s="592"/>
      <c r="BZ166" s="357"/>
      <c r="CA166" s="357"/>
      <c r="CB166" s="357"/>
      <c r="CC166" s="592"/>
      <c r="CD166" s="357"/>
      <c r="CE166" s="357"/>
      <c r="CF166" s="357"/>
      <c r="CG166" s="592"/>
      <c r="CH166" s="357"/>
      <c r="CI166" s="357"/>
      <c r="CJ166" s="357"/>
      <c r="CK166" s="592"/>
      <c r="CL166" s="357"/>
      <c r="CM166" s="357"/>
      <c r="CN166" s="357"/>
      <c r="CO166" s="592"/>
      <c r="CP166" s="594"/>
      <c r="CQ166" s="357"/>
      <c r="CR166" s="357"/>
      <c r="CS166" s="592"/>
      <c r="CT166" s="594"/>
      <c r="CU166" s="357"/>
      <c r="CV166" s="357"/>
      <c r="CW166" s="592"/>
      <c r="CX166" s="357"/>
      <c r="CY166" s="357"/>
      <c r="CZ166" s="357"/>
      <c r="DA166" s="592"/>
      <c r="DB166" s="357"/>
      <c r="DC166" s="357"/>
      <c r="DD166" s="357"/>
      <c r="DE166" s="592"/>
      <c r="DF166" s="357"/>
      <c r="DG166" s="357"/>
      <c r="DH166" s="357"/>
      <c r="DI166" s="592"/>
      <c r="DJ166" s="592"/>
      <c r="DK166" s="594"/>
      <c r="DL166" s="357"/>
      <c r="DM166" s="357"/>
      <c r="DN166" s="357"/>
      <c r="DO166" s="357"/>
      <c r="DP166" s="357"/>
      <c r="DQ166" s="357"/>
      <c r="DR166" s="357"/>
      <c r="DS166" s="357"/>
      <c r="DT166" s="356"/>
      <c r="DU166" s="356"/>
      <c r="DV166" s="356"/>
      <c r="DW166" s="356"/>
      <c r="DX166" s="356"/>
      <c r="DY166" s="356"/>
      <c r="DZ166" s="356"/>
      <c r="EA166" s="356"/>
      <c r="EB166" s="356"/>
      <c r="EC166" s="356"/>
      <c r="ED166" s="356"/>
      <c r="EE166" s="356"/>
      <c r="EF166" s="356"/>
      <c r="EG166" s="357"/>
      <c r="EH166" s="357"/>
      <c r="EI166" s="357"/>
      <c r="EJ166" s="357"/>
      <c r="EK166" s="357"/>
      <c r="EL166" s="357"/>
      <c r="EM166" s="357"/>
      <c r="EN166" s="357"/>
      <c r="EO166" s="357"/>
      <c r="EP166" s="594"/>
      <c r="EQ166" s="357"/>
    </row>
    <row r="167" spans="1:147" s="596" customFormat="1" outlineLevel="2">
      <c r="A167" s="546"/>
      <c r="B167"/>
      <c r="C167"/>
      <c r="D167"/>
      <c r="E167"/>
      <c r="F167"/>
      <c r="G167"/>
      <c r="I167" s="637" t="s">
        <v>1586</v>
      </c>
      <c r="J167" s="409"/>
      <c r="K167" s="386"/>
      <c r="L167" s="386"/>
      <c r="M167" s="388"/>
      <c r="N167" s="409"/>
      <c r="O167" s="386"/>
      <c r="P167" s="386"/>
      <c r="Q167" s="388"/>
      <c r="R167" s="409"/>
      <c r="S167" s="386"/>
      <c r="T167" s="386"/>
      <c r="U167" s="388"/>
      <c r="V167" s="409"/>
      <c r="W167" s="386"/>
      <c r="X167" s="386"/>
      <c r="Y167" s="388"/>
      <c r="Z167" s="409"/>
      <c r="AA167" s="386"/>
      <c r="AB167" s="386"/>
      <c r="AC167" s="388"/>
      <c r="AD167" s="409"/>
      <c r="AE167" s="386"/>
      <c r="AF167" s="386"/>
      <c r="AG167" s="388"/>
      <c r="AH167" s="409"/>
      <c r="AI167" s="386"/>
      <c r="AJ167" s="386"/>
      <c r="AK167" s="388"/>
      <c r="AL167" s="409"/>
      <c r="AM167" s="386"/>
      <c r="AN167" s="386"/>
      <c r="AO167" s="388"/>
      <c r="AP167" s="409"/>
      <c r="AQ167" s="386"/>
      <c r="AR167" s="386"/>
      <c r="AS167" s="388"/>
      <c r="AT167" s="409"/>
      <c r="AU167" s="386"/>
      <c r="AV167" s="386"/>
      <c r="AW167" s="388"/>
      <c r="AX167" s="409">
        <v>0</v>
      </c>
      <c r="AY167" s="386">
        <v>0</v>
      </c>
      <c r="AZ167" s="386">
        <v>0</v>
      </c>
      <c r="BA167" s="388">
        <v>0</v>
      </c>
      <c r="BB167" s="598">
        <v>0</v>
      </c>
      <c r="BC167" s="386">
        <v>152</v>
      </c>
      <c r="BD167" s="386">
        <v>144</v>
      </c>
      <c r="BE167" s="388">
        <v>138</v>
      </c>
      <c r="BF167" s="389">
        <v>88</v>
      </c>
      <c r="BG167" s="386">
        <v>85</v>
      </c>
      <c r="BH167" s="386">
        <v>83</v>
      </c>
      <c r="BI167" s="388">
        <v>80</v>
      </c>
      <c r="BJ167" s="389">
        <v>68</v>
      </c>
      <c r="BK167" s="386">
        <v>64</v>
      </c>
      <c r="BL167" s="386">
        <v>61</v>
      </c>
      <c r="BM167" s="388">
        <v>58</v>
      </c>
      <c r="BN167" s="373">
        <v>43</v>
      </c>
      <c r="BO167" s="325">
        <v>41</v>
      </c>
      <c r="BP167" s="325">
        <v>39</v>
      </c>
      <c r="BQ167" s="372">
        <v>38</v>
      </c>
      <c r="BR167" s="412">
        <v>29</v>
      </c>
      <c r="BS167" s="325">
        <v>28</v>
      </c>
      <c r="BT167" s="325">
        <v>26</v>
      </c>
      <c r="BU167" s="372">
        <v>24</v>
      </c>
      <c r="BV167" s="412">
        <v>49</v>
      </c>
      <c r="BW167" s="325">
        <v>2484</v>
      </c>
      <c r="BX167" s="325">
        <v>2281</v>
      </c>
      <c r="BY167" s="372">
        <v>2070</v>
      </c>
      <c r="BZ167" s="412">
        <v>1858</v>
      </c>
      <c r="CA167" s="325">
        <v>1673</v>
      </c>
      <c r="CB167" s="325">
        <v>1479</v>
      </c>
      <c r="CC167" s="372">
        <v>1292</v>
      </c>
      <c r="CD167" s="412">
        <v>1106</v>
      </c>
      <c r="CE167" s="325">
        <v>1445</v>
      </c>
      <c r="CF167" s="325">
        <v>910</v>
      </c>
      <c r="CG167" s="372">
        <v>826</v>
      </c>
      <c r="CH167" s="412">
        <v>735</v>
      </c>
      <c r="CI167" s="325">
        <v>680</v>
      </c>
      <c r="CJ167" s="325">
        <v>633</v>
      </c>
      <c r="CK167" s="372">
        <v>583</v>
      </c>
      <c r="CL167" s="412">
        <v>531</v>
      </c>
      <c r="CM167" s="325">
        <v>498</v>
      </c>
      <c r="CN167" s="325">
        <v>484</v>
      </c>
      <c r="CO167" s="372">
        <v>469</v>
      </c>
      <c r="CP167" s="567">
        <v>451</v>
      </c>
      <c r="CQ167" s="412">
        <v>446</v>
      </c>
      <c r="CR167" s="412">
        <v>449</v>
      </c>
      <c r="CS167" s="413">
        <v>449</v>
      </c>
      <c r="CT167" s="567">
        <v>447</v>
      </c>
      <c r="CU167" s="412">
        <v>445</v>
      </c>
      <c r="CV167" s="412">
        <v>443</v>
      </c>
      <c r="CW167" s="413">
        <v>441</v>
      </c>
      <c r="CX167" s="412"/>
      <c r="CY167" s="412"/>
      <c r="CZ167" s="412"/>
      <c r="DA167" s="413"/>
      <c r="DB167" s="567"/>
      <c r="DC167" s="412"/>
      <c r="DD167" s="412"/>
      <c r="DE167" s="413"/>
      <c r="DF167" s="412"/>
      <c r="DG167" s="412"/>
      <c r="DH167" s="412"/>
      <c r="DI167" s="413"/>
      <c r="DJ167" s="413"/>
      <c r="DK167" s="373"/>
      <c r="DL167" s="325"/>
      <c r="DM167" s="325"/>
      <c r="DN167" s="325"/>
      <c r="DO167" s="325"/>
      <c r="DP167" s="325"/>
      <c r="DQ167" s="325"/>
      <c r="DR167" s="325"/>
      <c r="DS167" s="325"/>
      <c r="DT167" s="325"/>
      <c r="DU167" s="325"/>
      <c r="DV167" s="325">
        <v>160</v>
      </c>
      <c r="DW167" s="325">
        <v>88</v>
      </c>
      <c r="DX167" s="325">
        <v>68</v>
      </c>
      <c r="DY167" s="325">
        <v>43</v>
      </c>
      <c r="DZ167" s="325">
        <v>29</v>
      </c>
      <c r="EA167" s="325">
        <v>49</v>
      </c>
      <c r="EB167" s="325">
        <v>1858</v>
      </c>
      <c r="EC167" s="325">
        <v>1106</v>
      </c>
      <c r="ED167" s="325">
        <v>735</v>
      </c>
      <c r="EE167" s="325">
        <v>531</v>
      </c>
      <c r="EF167" s="325">
        <v>451</v>
      </c>
      <c r="EG167" s="325">
        <v>447</v>
      </c>
      <c r="EH167" s="412">
        <v>439</v>
      </c>
      <c r="EI167" s="412">
        <v>439</v>
      </c>
      <c r="EJ167" s="412">
        <v>439</v>
      </c>
      <c r="EK167" s="412">
        <v>439</v>
      </c>
      <c r="EL167" s="412">
        <v>439</v>
      </c>
      <c r="EM167" s="412">
        <v>439</v>
      </c>
      <c r="EN167" s="412">
        <v>439</v>
      </c>
      <c r="EO167" s="412">
        <v>439</v>
      </c>
      <c r="EP167" s="598"/>
      <c r="EQ167" s="409"/>
    </row>
    <row r="168" spans="1:147" s="596" customFormat="1" outlineLevel="2">
      <c r="A168" s="546"/>
      <c r="B168"/>
      <c r="C168"/>
      <c r="D168"/>
      <c r="E168"/>
      <c r="F168"/>
      <c r="G168"/>
      <c r="I168" s="638" t="s">
        <v>1587</v>
      </c>
      <c r="J168" s="399"/>
      <c r="K168" s="399"/>
      <c r="L168" s="399"/>
      <c r="M168" s="400"/>
      <c r="N168" s="399"/>
      <c r="O168" s="399"/>
      <c r="P168" s="399"/>
      <c r="Q168" s="400"/>
      <c r="R168" s="399"/>
      <c r="S168" s="399"/>
      <c r="T168" s="399"/>
      <c r="U168" s="400"/>
      <c r="V168" s="399"/>
      <c r="W168" s="399"/>
      <c r="X168" s="399"/>
      <c r="Y168" s="400"/>
      <c r="Z168" s="399"/>
      <c r="AA168" s="399"/>
      <c r="AB168" s="399"/>
      <c r="AC168" s="400"/>
      <c r="AD168" s="399"/>
      <c r="AE168" s="399"/>
      <c r="AF168" s="399"/>
      <c r="AG168" s="400"/>
      <c r="AH168" s="399"/>
      <c r="AI168" s="399"/>
      <c r="AJ168" s="399"/>
      <c r="AK168" s="400"/>
      <c r="AL168" s="399"/>
      <c r="AM168" s="399"/>
      <c r="AN168" s="399"/>
      <c r="AO168" s="400"/>
      <c r="AP168" s="399"/>
      <c r="AQ168" s="399"/>
      <c r="AR168" s="399"/>
      <c r="AS168" s="400"/>
      <c r="AT168" s="399"/>
      <c r="AU168" s="399"/>
      <c r="AV168" s="399"/>
      <c r="AW168" s="400"/>
      <c r="AX168" s="399">
        <v>0</v>
      </c>
      <c r="AY168" s="399">
        <v>0</v>
      </c>
      <c r="AZ168" s="399">
        <v>0</v>
      </c>
      <c r="BA168" s="400">
        <v>0</v>
      </c>
      <c r="BB168" s="411">
        <v>0</v>
      </c>
      <c r="BC168" s="399">
        <v>0</v>
      </c>
      <c r="BD168" s="386">
        <v>0</v>
      </c>
      <c r="BE168" s="388">
        <v>0</v>
      </c>
      <c r="BF168" s="389">
        <v>0</v>
      </c>
      <c r="BG168" s="386">
        <v>0</v>
      </c>
      <c r="BH168" s="386">
        <v>0</v>
      </c>
      <c r="BI168" s="388">
        <v>0</v>
      </c>
      <c r="BJ168" s="389">
        <v>0</v>
      </c>
      <c r="BK168" s="386">
        <v>0</v>
      </c>
      <c r="BL168" s="386">
        <v>0</v>
      </c>
      <c r="BM168" s="388">
        <v>0</v>
      </c>
      <c r="BN168" s="373">
        <v>0</v>
      </c>
      <c r="BO168" s="325">
        <v>0</v>
      </c>
      <c r="BP168" s="325">
        <v>0</v>
      </c>
      <c r="BQ168" s="372">
        <v>0</v>
      </c>
      <c r="BR168" s="401">
        <v>0</v>
      </c>
      <c r="BS168" s="401">
        <v>0</v>
      </c>
      <c r="BT168" s="401">
        <v>0</v>
      </c>
      <c r="BU168" s="372">
        <v>0</v>
      </c>
      <c r="BV168" s="401">
        <v>2437</v>
      </c>
      <c r="BW168" s="401">
        <v>0</v>
      </c>
      <c r="BX168" s="401">
        <v>0</v>
      </c>
      <c r="BY168" s="402">
        <v>0</v>
      </c>
      <c r="BZ168" s="412">
        <v>0</v>
      </c>
      <c r="CA168" s="401">
        <v>0</v>
      </c>
      <c r="CB168" s="401">
        <v>0</v>
      </c>
      <c r="CC168" s="402">
        <v>0</v>
      </c>
      <c r="CD168" s="412">
        <v>0</v>
      </c>
      <c r="CE168" s="401">
        <v>0</v>
      </c>
      <c r="CF168" s="401">
        <v>0</v>
      </c>
      <c r="CG168" s="402">
        <v>0</v>
      </c>
      <c r="CH168" s="412">
        <v>0</v>
      </c>
      <c r="CI168" s="401">
        <v>0</v>
      </c>
      <c r="CJ168" s="401">
        <v>0</v>
      </c>
      <c r="CK168" s="402">
        <v>0</v>
      </c>
      <c r="CL168" s="412">
        <v>0</v>
      </c>
      <c r="CM168" s="401">
        <v>0</v>
      </c>
      <c r="CN168" s="401">
        <v>0</v>
      </c>
      <c r="CO168" s="402">
        <v>0</v>
      </c>
      <c r="CP168" s="567">
        <v>0</v>
      </c>
      <c r="CQ168" s="412">
        <v>0</v>
      </c>
      <c r="CR168" s="401">
        <v>0</v>
      </c>
      <c r="CS168" s="413">
        <v>0</v>
      </c>
      <c r="CT168" s="567">
        <v>0</v>
      </c>
      <c r="CU168" s="412">
        <v>0</v>
      </c>
      <c r="CV168" s="401">
        <v>0</v>
      </c>
      <c r="CW168" s="413">
        <v>0</v>
      </c>
      <c r="CX168" s="412"/>
      <c r="CY168" s="412"/>
      <c r="CZ168" s="412"/>
      <c r="DA168" s="413"/>
      <c r="DB168" s="567"/>
      <c r="DC168" s="412"/>
      <c r="DD168" s="412"/>
      <c r="DE168" s="413"/>
      <c r="DF168" s="412"/>
      <c r="DG168" s="412"/>
      <c r="DH168" s="412"/>
      <c r="DI168" s="413"/>
      <c r="DJ168" s="671"/>
      <c r="DK168" s="438"/>
      <c r="DL168" s="401"/>
      <c r="DM168" s="401"/>
      <c r="DN168" s="401"/>
      <c r="DO168" s="401"/>
      <c r="DP168" s="401"/>
      <c r="DQ168" s="401"/>
      <c r="DR168" s="401"/>
      <c r="DS168" s="401"/>
      <c r="DT168" s="325"/>
      <c r="DU168" s="325"/>
      <c r="DV168" s="325">
        <v>0</v>
      </c>
      <c r="DW168" s="325">
        <v>0</v>
      </c>
      <c r="DX168" s="325">
        <v>0</v>
      </c>
      <c r="DY168" s="325">
        <v>0</v>
      </c>
      <c r="DZ168" s="325">
        <v>0</v>
      </c>
      <c r="EA168" s="325">
        <v>2437</v>
      </c>
      <c r="EB168" s="325">
        <v>0</v>
      </c>
      <c r="EC168" s="325">
        <v>0</v>
      </c>
      <c r="ED168" s="325">
        <v>0</v>
      </c>
      <c r="EE168" s="325">
        <v>0</v>
      </c>
      <c r="EF168" s="325">
        <v>0</v>
      </c>
      <c r="EG168" s="325">
        <v>0</v>
      </c>
      <c r="EH168" s="412">
        <v>0</v>
      </c>
      <c r="EI168" s="412">
        <v>0</v>
      </c>
      <c r="EJ168" s="412">
        <v>0</v>
      </c>
      <c r="EK168" s="412">
        <v>0</v>
      </c>
      <c r="EL168" s="412">
        <v>0</v>
      </c>
      <c r="EM168" s="412">
        <v>0</v>
      </c>
      <c r="EN168" s="412">
        <v>0</v>
      </c>
      <c r="EO168" s="412">
        <v>0</v>
      </c>
      <c r="EP168" s="598"/>
      <c r="EQ168" s="409"/>
    </row>
    <row r="169" spans="1:147" s="596" customFormat="1" outlineLevel="2">
      <c r="A169" s="546"/>
      <c r="B169"/>
      <c r="C169"/>
      <c r="D169"/>
      <c r="E169"/>
      <c r="F169"/>
      <c r="G169"/>
      <c r="I169" s="638" t="s">
        <v>1588</v>
      </c>
      <c r="J169" s="409"/>
      <c r="K169" s="386"/>
      <c r="L169" s="386"/>
      <c r="M169" s="388"/>
      <c r="N169" s="409"/>
      <c r="O169" s="386"/>
      <c r="P169" s="386"/>
      <c r="Q169" s="388"/>
      <c r="R169" s="409"/>
      <c r="S169" s="386"/>
      <c r="T169" s="386"/>
      <c r="U169" s="388"/>
      <c r="V169" s="409"/>
      <c r="W169" s="386"/>
      <c r="X169" s="386"/>
      <c r="Y169" s="388"/>
      <c r="Z169" s="409"/>
      <c r="AA169" s="386"/>
      <c r="AB169" s="386"/>
      <c r="AC169" s="388"/>
      <c r="AD169" s="409"/>
      <c r="AE169" s="386"/>
      <c r="AF169" s="386"/>
      <c r="AG169" s="388"/>
      <c r="AH169" s="409"/>
      <c r="AI169" s="386"/>
      <c r="AJ169" s="386"/>
      <c r="AK169" s="388"/>
      <c r="AL169" s="409"/>
      <c r="AM169" s="386"/>
      <c r="AN169" s="386"/>
      <c r="AO169" s="388"/>
      <c r="AP169" s="409"/>
      <c r="AQ169" s="386"/>
      <c r="AR169" s="386"/>
      <c r="AS169" s="388"/>
      <c r="AT169" s="409"/>
      <c r="AU169" s="386"/>
      <c r="AV169" s="386"/>
      <c r="AW169" s="388"/>
      <c r="AX169" s="409">
        <v>0</v>
      </c>
      <c r="AY169" s="386">
        <v>0</v>
      </c>
      <c r="AZ169" s="386">
        <v>0</v>
      </c>
      <c r="BA169" s="388">
        <v>0</v>
      </c>
      <c r="BB169" s="598">
        <v>18.25</v>
      </c>
      <c r="BC169" s="386">
        <v>18.25</v>
      </c>
      <c r="BD169" s="386">
        <v>18.25</v>
      </c>
      <c r="BE169" s="388">
        <v>18.25</v>
      </c>
      <c r="BF169" s="389">
        <v>7.5</v>
      </c>
      <c r="BG169" s="386">
        <v>7.5</v>
      </c>
      <c r="BH169" s="386">
        <v>7.5</v>
      </c>
      <c r="BI169" s="388">
        <v>7.5</v>
      </c>
      <c r="BJ169" s="389">
        <v>6</v>
      </c>
      <c r="BK169" s="386">
        <v>6</v>
      </c>
      <c r="BL169" s="386">
        <v>6</v>
      </c>
      <c r="BM169" s="388">
        <v>6</v>
      </c>
      <c r="BN169" s="373">
        <v>3.5</v>
      </c>
      <c r="BO169" s="325">
        <v>3.5</v>
      </c>
      <c r="BP169" s="325">
        <v>3.5</v>
      </c>
      <c r="BQ169" s="372">
        <v>3.5</v>
      </c>
      <c r="BR169" s="412">
        <v>2</v>
      </c>
      <c r="BS169" s="325">
        <v>2</v>
      </c>
      <c r="BT169" s="325">
        <v>2</v>
      </c>
      <c r="BU169" s="372">
        <v>2</v>
      </c>
      <c r="BV169" s="412">
        <v>81</v>
      </c>
      <c r="BW169" s="325">
        <v>203</v>
      </c>
      <c r="BX169" s="325">
        <v>211</v>
      </c>
      <c r="BY169" s="372">
        <v>212</v>
      </c>
      <c r="BZ169" s="412">
        <v>190</v>
      </c>
      <c r="CA169" s="325">
        <v>194</v>
      </c>
      <c r="CB169" s="325">
        <v>187</v>
      </c>
      <c r="CC169" s="372">
        <v>185</v>
      </c>
      <c r="CD169" s="412">
        <v>119</v>
      </c>
      <c r="CE169" s="325">
        <v>77</v>
      </c>
      <c r="CF169" s="325">
        <v>83</v>
      </c>
      <c r="CG169" s="372">
        <v>91</v>
      </c>
      <c r="CH169" s="412">
        <v>54</v>
      </c>
      <c r="CI169" s="325">
        <v>47</v>
      </c>
      <c r="CJ169" s="325">
        <v>50</v>
      </c>
      <c r="CK169" s="372">
        <v>56</v>
      </c>
      <c r="CL169" s="412">
        <v>33</v>
      </c>
      <c r="CM169" s="325">
        <v>14</v>
      </c>
      <c r="CN169" s="325">
        <v>16</v>
      </c>
      <c r="CO169" s="372">
        <v>18</v>
      </c>
      <c r="CP169" s="567">
        <v>5</v>
      </c>
      <c r="CQ169" s="412">
        <v>2</v>
      </c>
      <c r="CR169" s="412">
        <v>2</v>
      </c>
      <c r="CS169" s="413">
        <v>2</v>
      </c>
      <c r="CT169" s="567">
        <v>2</v>
      </c>
      <c r="CU169" s="412">
        <v>2</v>
      </c>
      <c r="CV169" s="412">
        <v>2</v>
      </c>
      <c r="CW169" s="413">
        <v>2</v>
      </c>
      <c r="CX169" s="412"/>
      <c r="CY169" s="412"/>
      <c r="CZ169" s="412"/>
      <c r="DA169" s="413"/>
      <c r="DB169" s="567"/>
      <c r="DC169" s="412"/>
      <c r="DD169" s="412"/>
      <c r="DE169" s="413"/>
      <c r="DF169" s="412"/>
      <c r="DG169" s="412"/>
      <c r="DH169" s="412"/>
      <c r="DI169" s="413"/>
      <c r="DJ169" s="671"/>
      <c r="DK169" s="373"/>
      <c r="DL169" s="325"/>
      <c r="DM169" s="325"/>
      <c r="DN169" s="325"/>
      <c r="DO169" s="325"/>
      <c r="DP169" s="325"/>
      <c r="DQ169" s="325"/>
      <c r="DR169" s="325"/>
      <c r="DS169" s="325"/>
      <c r="DT169" s="325"/>
      <c r="DU169" s="325"/>
      <c r="DV169" s="325">
        <v>73</v>
      </c>
      <c r="DW169" s="325">
        <v>30</v>
      </c>
      <c r="DX169" s="325">
        <v>24</v>
      </c>
      <c r="DY169" s="325">
        <v>14</v>
      </c>
      <c r="DZ169" s="325">
        <v>8</v>
      </c>
      <c r="EA169" s="325">
        <v>707</v>
      </c>
      <c r="EB169" s="325">
        <v>756</v>
      </c>
      <c r="EC169" s="325">
        <v>370</v>
      </c>
      <c r="ED169" s="325">
        <v>207</v>
      </c>
      <c r="EE169" s="325">
        <v>81</v>
      </c>
      <c r="EF169" s="325">
        <v>11</v>
      </c>
      <c r="EG169" s="325">
        <v>8</v>
      </c>
      <c r="EH169" s="412">
        <v>0</v>
      </c>
      <c r="EI169" s="412">
        <v>0</v>
      </c>
      <c r="EJ169" s="412">
        <v>0</v>
      </c>
      <c r="EK169" s="412">
        <v>0</v>
      </c>
      <c r="EL169" s="412">
        <v>0</v>
      </c>
      <c r="EM169" s="412">
        <v>0</v>
      </c>
      <c r="EN169" s="412">
        <v>0</v>
      </c>
      <c r="EO169" s="412">
        <v>0</v>
      </c>
      <c r="EP169" s="598"/>
      <c r="EQ169" s="409"/>
    </row>
    <row r="170" spans="1:147" s="596" customFormat="1" outlineLevel="2">
      <c r="A170" s="546"/>
      <c r="B170"/>
      <c r="C170"/>
      <c r="D170"/>
      <c r="E170"/>
      <c r="F170"/>
      <c r="G170"/>
      <c r="I170" s="638" t="s">
        <v>1589</v>
      </c>
      <c r="J170" s="639"/>
      <c r="K170" s="521"/>
      <c r="L170" s="521"/>
      <c r="M170" s="522"/>
      <c r="N170" s="639"/>
      <c r="O170" s="521"/>
      <c r="P170" s="521"/>
      <c r="Q170" s="522"/>
      <c r="R170" s="639"/>
      <c r="S170" s="521"/>
      <c r="T170" s="521"/>
      <c r="U170" s="522"/>
      <c r="V170" s="639"/>
      <c r="W170" s="521"/>
      <c r="X170" s="521"/>
      <c r="Y170" s="522"/>
      <c r="Z170" s="647"/>
      <c r="AA170" s="521"/>
      <c r="AB170" s="521"/>
      <c r="AC170" s="522"/>
      <c r="AD170" s="639"/>
      <c r="AE170" s="521"/>
      <c r="AF170" s="521"/>
      <c r="AG170" s="522"/>
      <c r="AH170" s="639"/>
      <c r="AI170" s="521"/>
      <c r="AJ170" s="521"/>
      <c r="AK170" s="522"/>
      <c r="AL170" s="639"/>
      <c r="AM170" s="521"/>
      <c r="AN170" s="521"/>
      <c r="AO170" s="522"/>
      <c r="AP170" s="639"/>
      <c r="AQ170" s="521"/>
      <c r="AR170" s="521"/>
      <c r="AS170" s="522"/>
      <c r="AT170" s="639" t="s">
        <v>366</v>
      </c>
      <c r="AU170" s="521" t="s">
        <v>366</v>
      </c>
      <c r="AV170" s="521"/>
      <c r="AW170" s="522"/>
      <c r="AX170" s="639">
        <v>0</v>
      </c>
      <c r="AY170" s="521">
        <v>0</v>
      </c>
      <c r="AZ170" s="521">
        <v>0</v>
      </c>
      <c r="BA170" s="522">
        <v>0</v>
      </c>
      <c r="BB170" s="647">
        <v>170.25</v>
      </c>
      <c r="BC170" s="521">
        <v>10.25</v>
      </c>
      <c r="BD170" s="521">
        <v>12.25</v>
      </c>
      <c r="BE170" s="522">
        <v>-31.75</v>
      </c>
      <c r="BF170" s="529">
        <v>4.5</v>
      </c>
      <c r="BG170" s="521">
        <v>5.5</v>
      </c>
      <c r="BH170" s="521">
        <v>4.5</v>
      </c>
      <c r="BI170" s="522">
        <v>-4.5</v>
      </c>
      <c r="BJ170" s="529">
        <v>2</v>
      </c>
      <c r="BK170" s="521">
        <v>3</v>
      </c>
      <c r="BL170" s="521">
        <v>3</v>
      </c>
      <c r="BM170" s="522">
        <v>-9</v>
      </c>
      <c r="BN170" s="528">
        <v>1.5</v>
      </c>
      <c r="BO170" s="506">
        <v>1.5</v>
      </c>
      <c r="BP170" s="506">
        <v>2.5</v>
      </c>
      <c r="BQ170" s="527">
        <v>-5.5</v>
      </c>
      <c r="BR170" s="642">
        <v>1</v>
      </c>
      <c r="BS170" s="506">
        <v>0</v>
      </c>
      <c r="BT170" s="506">
        <v>0</v>
      </c>
      <c r="BU170" s="527">
        <v>27</v>
      </c>
      <c r="BV170" s="642">
        <v>79</v>
      </c>
      <c r="BW170" s="506">
        <v>0</v>
      </c>
      <c r="BX170" s="506">
        <v>0</v>
      </c>
      <c r="BY170" s="527">
        <v>0</v>
      </c>
      <c r="BZ170" s="642">
        <v>5</v>
      </c>
      <c r="CA170" s="506">
        <v>0</v>
      </c>
      <c r="CB170" s="506">
        <v>0</v>
      </c>
      <c r="CC170" s="527">
        <v>-1</v>
      </c>
      <c r="CD170" s="642">
        <v>458</v>
      </c>
      <c r="CE170" s="506">
        <v>-458</v>
      </c>
      <c r="CF170" s="506">
        <v>-1</v>
      </c>
      <c r="CG170" s="527">
        <v>0</v>
      </c>
      <c r="CH170" s="642">
        <v>-1</v>
      </c>
      <c r="CI170" s="506">
        <v>0</v>
      </c>
      <c r="CJ170" s="506">
        <v>0</v>
      </c>
      <c r="CK170" s="527">
        <v>4</v>
      </c>
      <c r="CL170" s="642">
        <v>0</v>
      </c>
      <c r="CM170" s="506">
        <v>0</v>
      </c>
      <c r="CN170" s="506">
        <v>1</v>
      </c>
      <c r="CO170" s="527">
        <v>0</v>
      </c>
      <c r="CP170" s="641">
        <v>0</v>
      </c>
      <c r="CQ170" s="642">
        <v>5</v>
      </c>
      <c r="CR170" s="642">
        <v>2</v>
      </c>
      <c r="CS170" s="644">
        <v>0</v>
      </c>
      <c r="CT170" s="641">
        <v>0</v>
      </c>
      <c r="CU170" s="642">
        <v>0</v>
      </c>
      <c r="CV170" s="642">
        <v>0</v>
      </c>
      <c r="CW170" s="644">
        <v>0</v>
      </c>
      <c r="CX170" s="648"/>
      <c r="CY170" s="648"/>
      <c r="CZ170" s="648"/>
      <c r="DA170" s="644"/>
      <c r="DB170" s="672"/>
      <c r="DC170" s="648"/>
      <c r="DD170" s="648"/>
      <c r="DE170" s="644"/>
      <c r="DF170" s="672"/>
      <c r="DG170" s="648"/>
      <c r="DH170" s="648"/>
      <c r="DI170" s="644"/>
      <c r="DJ170" s="671"/>
      <c r="DK170" s="528"/>
      <c r="DL170" s="506"/>
      <c r="DM170" s="506"/>
      <c r="DN170" s="506"/>
      <c r="DO170" s="506"/>
      <c r="DP170" s="506"/>
      <c r="DQ170" s="506"/>
      <c r="DR170" s="506"/>
      <c r="DS170" s="506"/>
      <c r="DT170" s="506"/>
      <c r="DU170" s="506"/>
      <c r="DV170" s="506">
        <v>1</v>
      </c>
      <c r="DW170" s="506">
        <v>10</v>
      </c>
      <c r="DX170" s="506">
        <v>-1</v>
      </c>
      <c r="DY170" s="506">
        <v>0</v>
      </c>
      <c r="DZ170" s="506">
        <v>28</v>
      </c>
      <c r="EA170" s="506">
        <v>79</v>
      </c>
      <c r="EB170" s="506">
        <v>4</v>
      </c>
      <c r="EC170" s="506">
        <v>-1</v>
      </c>
      <c r="ED170" s="506">
        <v>3</v>
      </c>
      <c r="EE170" s="506">
        <v>1</v>
      </c>
      <c r="EF170" s="506">
        <v>7</v>
      </c>
      <c r="EG170" s="506">
        <v>0</v>
      </c>
      <c r="EH170" s="648">
        <v>0</v>
      </c>
      <c r="EI170" s="648">
        <v>0</v>
      </c>
      <c r="EJ170" s="648">
        <v>0</v>
      </c>
      <c r="EK170" s="648">
        <v>0</v>
      </c>
      <c r="EL170" s="648">
        <v>0</v>
      </c>
      <c r="EM170" s="648">
        <v>0</v>
      </c>
      <c r="EN170" s="648">
        <v>0</v>
      </c>
      <c r="EO170" s="648">
        <v>0</v>
      </c>
      <c r="EP170" s="598"/>
      <c r="EQ170" s="409"/>
    </row>
    <row r="171" spans="1:147" s="596" customFormat="1" ht="12.95" outlineLevel="2">
      <c r="A171" s="546"/>
      <c r="B171"/>
      <c r="C171"/>
      <c r="D171"/>
      <c r="E171"/>
      <c r="F171"/>
      <c r="G171"/>
      <c r="I171" s="649" t="s">
        <v>1590</v>
      </c>
      <c r="J171" s="559"/>
      <c r="K171" s="559"/>
      <c r="L171" s="559"/>
      <c r="M171" s="560"/>
      <c r="N171" s="561"/>
      <c r="O171" s="559"/>
      <c r="P171" s="559"/>
      <c r="Q171" s="560"/>
      <c r="R171" s="559"/>
      <c r="S171" s="559"/>
      <c r="T171" s="559"/>
      <c r="U171" s="560"/>
      <c r="V171" s="559"/>
      <c r="W171" s="559"/>
      <c r="X171" s="559"/>
      <c r="Y171" s="560"/>
      <c r="Z171" s="561"/>
      <c r="AA171" s="559"/>
      <c r="AB171" s="559"/>
      <c r="AC171" s="560"/>
      <c r="AD171" s="559"/>
      <c r="AE171" s="559"/>
      <c r="AF171" s="559"/>
      <c r="AG171" s="560"/>
      <c r="AH171" s="559"/>
      <c r="AI171" s="559"/>
      <c r="AJ171" s="559"/>
      <c r="AK171" s="560"/>
      <c r="AL171" s="559"/>
      <c r="AM171" s="559"/>
      <c r="AN171" s="559"/>
      <c r="AO171" s="560"/>
      <c r="AP171" s="559"/>
      <c r="AQ171" s="559"/>
      <c r="AR171" s="559"/>
      <c r="AS171" s="560"/>
      <c r="AT171" s="559"/>
      <c r="AU171" s="559"/>
      <c r="AV171" s="559"/>
      <c r="AW171" s="560"/>
      <c r="AX171" s="559">
        <v>0</v>
      </c>
      <c r="AY171" s="559">
        <v>0</v>
      </c>
      <c r="AZ171" s="559">
        <v>0</v>
      </c>
      <c r="BA171" s="560">
        <v>0</v>
      </c>
      <c r="BB171" s="561">
        <v>152</v>
      </c>
      <c r="BC171" s="559">
        <v>144</v>
      </c>
      <c r="BD171" s="369">
        <v>138</v>
      </c>
      <c r="BE171" s="371">
        <v>88</v>
      </c>
      <c r="BF171" s="375">
        <v>85</v>
      </c>
      <c r="BG171" s="369">
        <v>83</v>
      </c>
      <c r="BH171" s="369">
        <v>80</v>
      </c>
      <c r="BI171" s="371">
        <v>68</v>
      </c>
      <c r="BJ171" s="375">
        <v>64</v>
      </c>
      <c r="BK171" s="369">
        <v>61</v>
      </c>
      <c r="BL171" s="369">
        <v>58</v>
      </c>
      <c r="BM171" s="371">
        <v>43</v>
      </c>
      <c r="BN171" s="450">
        <v>41</v>
      </c>
      <c r="BO171" s="448">
        <v>39</v>
      </c>
      <c r="BP171" s="448">
        <v>38</v>
      </c>
      <c r="BQ171" s="449">
        <v>29</v>
      </c>
      <c r="BR171" s="562">
        <v>28</v>
      </c>
      <c r="BS171" s="562">
        <v>26</v>
      </c>
      <c r="BT171" s="562">
        <v>24</v>
      </c>
      <c r="BU171" s="449">
        <v>49</v>
      </c>
      <c r="BV171" s="562">
        <v>2484</v>
      </c>
      <c r="BW171" s="562">
        <v>2281</v>
      </c>
      <c r="BX171" s="562">
        <v>2070</v>
      </c>
      <c r="BY171" s="600">
        <v>1858</v>
      </c>
      <c r="BZ171" s="562">
        <v>1673</v>
      </c>
      <c r="CA171" s="562">
        <v>1479</v>
      </c>
      <c r="CB171" s="562">
        <v>1292</v>
      </c>
      <c r="CC171" s="600">
        <v>1106</v>
      </c>
      <c r="CD171" s="562">
        <v>1445</v>
      </c>
      <c r="CE171" s="562">
        <v>910</v>
      </c>
      <c r="CF171" s="562">
        <v>826</v>
      </c>
      <c r="CG171" s="600">
        <v>735</v>
      </c>
      <c r="CH171" s="562">
        <v>680</v>
      </c>
      <c r="CI171" s="562">
        <v>633</v>
      </c>
      <c r="CJ171" s="562">
        <v>583</v>
      </c>
      <c r="CK171" s="600">
        <v>531</v>
      </c>
      <c r="CL171" s="562">
        <v>498</v>
      </c>
      <c r="CM171" s="562">
        <v>484</v>
      </c>
      <c r="CN171" s="562">
        <v>469</v>
      </c>
      <c r="CO171" s="600">
        <v>451</v>
      </c>
      <c r="CP171" s="599">
        <v>446</v>
      </c>
      <c r="CQ171" s="562">
        <v>449</v>
      </c>
      <c r="CR171" s="562">
        <v>449</v>
      </c>
      <c r="CS171" s="600">
        <v>447</v>
      </c>
      <c r="CT171" s="599">
        <v>445</v>
      </c>
      <c r="CU171" s="562">
        <v>443</v>
      </c>
      <c r="CV171" s="562">
        <v>441</v>
      </c>
      <c r="CW171" s="600">
        <v>439</v>
      </c>
      <c r="CX171" s="599"/>
      <c r="CY171" s="562"/>
      <c r="CZ171" s="562"/>
      <c r="DA171" s="600"/>
      <c r="DB171" s="599"/>
      <c r="DC171" s="562"/>
      <c r="DD171" s="562"/>
      <c r="DE171" s="600"/>
      <c r="DF171" s="599"/>
      <c r="DG171" s="562"/>
      <c r="DH171" s="562"/>
      <c r="DI171" s="600"/>
      <c r="DJ171" s="671"/>
      <c r="DK171" s="599"/>
      <c r="DL171" s="562"/>
      <c r="DM171" s="562"/>
      <c r="DN171" s="562"/>
      <c r="DO171" s="562"/>
      <c r="DP171" s="562"/>
      <c r="DQ171" s="562"/>
      <c r="DR171" s="562"/>
      <c r="DS171" s="562"/>
      <c r="DT171" s="448"/>
      <c r="DU171" s="448">
        <v>160</v>
      </c>
      <c r="DV171" s="448">
        <v>88</v>
      </c>
      <c r="DW171" s="448">
        <v>68</v>
      </c>
      <c r="DX171" s="448">
        <v>43</v>
      </c>
      <c r="DY171" s="448">
        <v>29</v>
      </c>
      <c r="DZ171" s="448">
        <v>49</v>
      </c>
      <c r="EA171" s="448">
        <v>1858</v>
      </c>
      <c r="EB171" s="448">
        <v>1106</v>
      </c>
      <c r="EC171" s="448">
        <v>735</v>
      </c>
      <c r="ED171" s="448">
        <v>531</v>
      </c>
      <c r="EE171" s="448">
        <v>451</v>
      </c>
      <c r="EF171" s="448">
        <v>447</v>
      </c>
      <c r="EG171" s="448">
        <v>439</v>
      </c>
      <c r="EH171" s="562">
        <v>439</v>
      </c>
      <c r="EI171" s="562">
        <v>439</v>
      </c>
      <c r="EJ171" s="562">
        <v>439</v>
      </c>
      <c r="EK171" s="562">
        <v>439</v>
      </c>
      <c r="EL171" s="562">
        <v>439</v>
      </c>
      <c r="EM171" s="562">
        <v>439</v>
      </c>
      <c r="EN171" s="562">
        <v>439</v>
      </c>
      <c r="EO171" s="562">
        <v>439</v>
      </c>
      <c r="EP171" s="598"/>
      <c r="EQ171" s="409"/>
    </row>
    <row r="172" spans="1:147" s="635" customFormat="1" outlineLevel="2">
      <c r="A172" s="624"/>
      <c r="B172"/>
      <c r="C172"/>
      <c r="D172"/>
      <c r="E172"/>
      <c r="F172"/>
      <c r="G172"/>
      <c r="H172" s="625"/>
      <c r="I172" s="650" t="s">
        <v>1591</v>
      </c>
      <c r="J172" s="627"/>
      <c r="K172" s="627"/>
      <c r="L172" s="627"/>
      <c r="M172" s="652"/>
      <c r="N172" s="629"/>
      <c r="O172" s="627"/>
      <c r="P172" s="627"/>
      <c r="Q172" s="652"/>
      <c r="R172" s="627"/>
      <c r="S172" s="627"/>
      <c r="T172" s="627"/>
      <c r="U172" s="652"/>
      <c r="V172" s="627"/>
      <c r="W172" s="627"/>
      <c r="X172" s="627"/>
      <c r="Y172" s="652"/>
      <c r="Z172" s="629"/>
      <c r="AA172" s="627"/>
      <c r="AB172" s="627"/>
      <c r="AC172" s="652"/>
      <c r="AD172" s="627"/>
      <c r="AE172" s="627"/>
      <c r="AF172" s="627"/>
      <c r="AG172" s="652"/>
      <c r="AH172" s="627"/>
      <c r="AI172" s="627"/>
      <c r="AJ172" s="627"/>
      <c r="AK172" s="652"/>
      <c r="AL172" s="627"/>
      <c r="AM172" s="627"/>
      <c r="AN172" s="627"/>
      <c r="AO172" s="652"/>
      <c r="AP172" s="629"/>
      <c r="AQ172" s="627"/>
      <c r="AR172" s="627"/>
      <c r="AS172" s="652"/>
      <c r="AT172" s="627"/>
      <c r="AU172" s="627"/>
      <c r="AV172" s="627"/>
      <c r="AW172" s="652"/>
      <c r="AX172" s="629">
        <v>0</v>
      </c>
      <c r="AY172" s="627">
        <v>0</v>
      </c>
      <c r="AZ172" s="627">
        <v>0</v>
      </c>
      <c r="BA172" s="652">
        <v>0</v>
      </c>
      <c r="BB172" s="629">
        <v>0</v>
      </c>
      <c r="BC172" s="627">
        <v>0</v>
      </c>
      <c r="BD172" s="633">
        <v>0</v>
      </c>
      <c r="BE172" s="652">
        <v>0</v>
      </c>
      <c r="BF172" s="651">
        <v>0</v>
      </c>
      <c r="BG172" s="633">
        <v>0</v>
      </c>
      <c r="BH172" s="633">
        <v>0</v>
      </c>
      <c r="BI172" s="652">
        <v>0</v>
      </c>
      <c r="BJ172" s="651">
        <v>0</v>
      </c>
      <c r="BK172" s="633">
        <v>0</v>
      </c>
      <c r="BL172" s="633">
        <v>0</v>
      </c>
      <c r="BM172" s="652">
        <v>0</v>
      </c>
      <c r="BN172" s="651">
        <v>0</v>
      </c>
      <c r="BO172" s="633">
        <v>0</v>
      </c>
      <c r="BP172" s="633">
        <v>0</v>
      </c>
      <c r="BQ172" s="652">
        <v>0</v>
      </c>
      <c r="BR172" s="627">
        <v>0</v>
      </c>
      <c r="BS172" s="627">
        <v>0</v>
      </c>
      <c r="BT172" s="627">
        <v>0</v>
      </c>
      <c r="BU172" s="652">
        <v>0</v>
      </c>
      <c r="BV172" s="627">
        <v>1.6749140893470791</v>
      </c>
      <c r="BW172" s="627">
        <v>0</v>
      </c>
      <c r="BX172" s="627">
        <v>0</v>
      </c>
      <c r="BY172" s="628">
        <v>0</v>
      </c>
      <c r="BZ172" s="627">
        <v>0</v>
      </c>
      <c r="CA172" s="627">
        <v>0</v>
      </c>
      <c r="CB172" s="627">
        <v>0</v>
      </c>
      <c r="CC172" s="628">
        <v>0</v>
      </c>
      <c r="CD172" s="627">
        <v>0</v>
      </c>
      <c r="CE172" s="627">
        <v>0</v>
      </c>
      <c r="CF172" s="627">
        <v>0</v>
      </c>
      <c r="CG172" s="628">
        <v>0</v>
      </c>
      <c r="CH172" s="627">
        <v>0</v>
      </c>
      <c r="CI172" s="627">
        <v>0</v>
      </c>
      <c r="CJ172" s="627">
        <v>0</v>
      </c>
      <c r="CK172" s="628">
        <v>0</v>
      </c>
      <c r="CL172" s="627">
        <v>0</v>
      </c>
      <c r="CM172" s="627">
        <v>0</v>
      </c>
      <c r="CN172" s="627">
        <v>0</v>
      </c>
      <c r="CO172" s="628">
        <v>0</v>
      </c>
      <c r="CP172" s="629">
        <v>0</v>
      </c>
      <c r="CQ172" s="653">
        <v>0</v>
      </c>
      <c r="CR172" s="653">
        <v>0</v>
      </c>
      <c r="CS172" s="632">
        <v>0</v>
      </c>
      <c r="CT172" s="654">
        <v>0</v>
      </c>
      <c r="CU172" s="655">
        <v>0</v>
      </c>
      <c r="CV172" s="655">
        <v>0</v>
      </c>
      <c r="CW172" s="632">
        <v>0</v>
      </c>
      <c r="CX172" s="673"/>
      <c r="CY172" s="631"/>
      <c r="CZ172" s="631"/>
      <c r="DA172" s="632"/>
      <c r="DB172" s="673"/>
      <c r="DC172" s="631"/>
      <c r="DD172" s="631"/>
      <c r="DE172" s="632"/>
      <c r="DF172" s="673"/>
      <c r="DG172" s="631"/>
      <c r="DH172" s="631"/>
      <c r="DI172" s="632"/>
      <c r="DJ172" s="674"/>
      <c r="DK172" s="629"/>
      <c r="DL172" s="627"/>
      <c r="DM172" s="627"/>
      <c r="DN172" s="627"/>
      <c r="DO172" s="627"/>
      <c r="DP172" s="627"/>
      <c r="DQ172" s="627"/>
      <c r="DR172" s="627"/>
      <c r="DS172" s="627"/>
      <c r="DT172" s="633"/>
      <c r="DU172" s="633">
        <v>0</v>
      </c>
      <c r="DV172" s="633">
        <v>0</v>
      </c>
      <c r="DW172" s="633">
        <v>0</v>
      </c>
      <c r="DX172" s="633">
        <v>0</v>
      </c>
      <c r="DY172" s="633">
        <v>0</v>
      </c>
      <c r="DZ172" s="633">
        <v>0</v>
      </c>
      <c r="EA172" s="633">
        <v>0.36885121840472229</v>
      </c>
      <c r="EB172" s="633">
        <v>0</v>
      </c>
      <c r="EC172" s="633">
        <v>0</v>
      </c>
      <c r="ED172" s="633">
        <v>0</v>
      </c>
      <c r="EE172" s="633">
        <v>0</v>
      </c>
      <c r="EF172" s="633">
        <v>0</v>
      </c>
      <c r="EG172" s="633">
        <v>0</v>
      </c>
      <c r="EH172" s="631">
        <v>0</v>
      </c>
      <c r="EI172" s="631">
        <v>0</v>
      </c>
      <c r="EJ172" s="631">
        <v>0</v>
      </c>
      <c r="EK172" s="631">
        <v>0</v>
      </c>
      <c r="EL172" s="631">
        <v>0</v>
      </c>
      <c r="EM172" s="631">
        <v>0</v>
      </c>
      <c r="EN172" s="631">
        <v>0</v>
      </c>
      <c r="EO172" s="631">
        <v>0</v>
      </c>
      <c r="EP172" s="673"/>
      <c r="EQ172" s="634"/>
    </row>
    <row r="173" spans="1:147" s="635" customFormat="1" outlineLevel="2">
      <c r="A173" s="624"/>
      <c r="B173"/>
      <c r="C173"/>
      <c r="D173"/>
      <c r="E173"/>
      <c r="F173"/>
      <c r="G173"/>
      <c r="H173" s="625"/>
      <c r="I173" s="650"/>
      <c r="J173" s="627"/>
      <c r="K173" s="627"/>
      <c r="L173" s="627"/>
      <c r="M173" s="652"/>
      <c r="N173" s="629"/>
      <c r="O173" s="627"/>
      <c r="P173" s="627"/>
      <c r="Q173" s="652"/>
      <c r="R173" s="629"/>
      <c r="S173" s="627"/>
      <c r="T173" s="627"/>
      <c r="U173" s="652"/>
      <c r="V173" s="629"/>
      <c r="W173" s="627"/>
      <c r="X173" s="627"/>
      <c r="Y173" s="652"/>
      <c r="Z173" s="629"/>
      <c r="AA173" s="627"/>
      <c r="AB173" s="627"/>
      <c r="AC173" s="652"/>
      <c r="AD173" s="627"/>
      <c r="AE173" s="627"/>
      <c r="AF173" s="627"/>
      <c r="AG173" s="652"/>
      <c r="AH173" s="629"/>
      <c r="AI173" s="627"/>
      <c r="AJ173" s="627"/>
      <c r="AK173" s="652"/>
      <c r="AL173" s="629"/>
      <c r="AM173" s="627"/>
      <c r="AN173" s="627"/>
      <c r="AO173" s="652"/>
      <c r="AP173" s="629"/>
      <c r="AQ173" s="627"/>
      <c r="AR173" s="627"/>
      <c r="AS173" s="652"/>
      <c r="AT173" s="627"/>
      <c r="AU173" s="627"/>
      <c r="AV173" s="627"/>
      <c r="AW173" s="652"/>
      <c r="AX173" s="629"/>
      <c r="AY173" s="627"/>
      <c r="AZ173" s="627"/>
      <c r="BA173" s="652"/>
      <c r="BB173" s="629"/>
      <c r="BC173" s="627"/>
      <c r="BD173" s="633"/>
      <c r="BE173" s="652"/>
      <c r="BF173" s="651"/>
      <c r="BG173" s="633"/>
      <c r="BH173" s="633"/>
      <c r="BI173" s="652"/>
      <c r="BJ173" s="651"/>
      <c r="BK173" s="633"/>
      <c r="BL173" s="633"/>
      <c r="BM173" s="652"/>
      <c r="BN173" s="651"/>
      <c r="BO173" s="633"/>
      <c r="BP173" s="633"/>
      <c r="BQ173" s="652"/>
      <c r="BR173" s="627"/>
      <c r="BS173" s="627"/>
      <c r="BT173" s="627"/>
      <c r="BU173" s="652"/>
      <c r="BV173" s="627"/>
      <c r="BW173" s="627"/>
      <c r="BX173" s="631"/>
      <c r="BY173" s="632"/>
      <c r="BZ173" s="627"/>
      <c r="CA173" s="627"/>
      <c r="CB173" s="631"/>
      <c r="CC173" s="632"/>
      <c r="CD173" s="627"/>
      <c r="CE173" s="627"/>
      <c r="CF173" s="627"/>
      <c r="CG173" s="628"/>
      <c r="CH173" s="627"/>
      <c r="CI173" s="627"/>
      <c r="CJ173" s="627"/>
      <c r="CK173" s="628"/>
      <c r="CL173" s="627"/>
      <c r="CM173" s="627"/>
      <c r="CN173" s="627"/>
      <c r="CO173" s="628"/>
      <c r="CP173" s="629"/>
      <c r="CQ173" s="627"/>
      <c r="CR173" s="631"/>
      <c r="CS173" s="632"/>
      <c r="CT173" s="629"/>
      <c r="CU173" s="627"/>
      <c r="CV173" s="631"/>
      <c r="CW173" s="632"/>
      <c r="CX173" s="631"/>
      <c r="CY173" s="631"/>
      <c r="CZ173" s="631"/>
      <c r="DA173" s="632"/>
      <c r="DB173" s="631"/>
      <c r="DC173" s="631"/>
      <c r="DD173" s="631"/>
      <c r="DE173" s="632"/>
      <c r="DF173" s="631"/>
      <c r="DG173" s="631"/>
      <c r="DH173" s="631"/>
      <c r="DI173" s="632"/>
      <c r="DJ173" s="674"/>
      <c r="DK173" s="629"/>
      <c r="DL173" s="627"/>
      <c r="DM173" s="627"/>
      <c r="DN173" s="627"/>
      <c r="DO173" s="627"/>
      <c r="DP173" s="627"/>
      <c r="DQ173" s="627"/>
      <c r="DR173" s="627"/>
      <c r="DS173" s="627"/>
      <c r="DT173" s="633"/>
      <c r="DU173" s="633"/>
      <c r="DV173" s="633"/>
      <c r="DW173" s="633"/>
      <c r="DX173" s="633"/>
      <c r="DY173" s="633"/>
      <c r="DZ173" s="633"/>
      <c r="EA173" s="633"/>
      <c r="EB173" s="633"/>
      <c r="EC173" s="633"/>
      <c r="ED173" s="633"/>
      <c r="EE173" s="633"/>
      <c r="EF173" s="633"/>
      <c r="EG173" s="633"/>
      <c r="EH173" s="631"/>
      <c r="EI173" s="631"/>
      <c r="EJ173" s="631"/>
      <c r="EK173" s="631"/>
      <c r="EL173" s="631"/>
      <c r="EM173" s="631"/>
      <c r="EN173" s="631"/>
      <c r="EO173" s="631"/>
      <c r="EP173" s="673"/>
      <c r="EQ173" s="634"/>
    </row>
    <row r="174" spans="1:147" s="596" customFormat="1" outlineLevel="2">
      <c r="A174" s="546"/>
      <c r="B174"/>
      <c r="C174"/>
      <c r="D174"/>
      <c r="E174"/>
      <c r="F174"/>
      <c r="G174"/>
      <c r="I174" s="638" t="s">
        <v>1592</v>
      </c>
      <c r="J174" s="409"/>
      <c r="K174" s="409"/>
      <c r="L174" s="409"/>
      <c r="M174" s="409"/>
      <c r="N174" s="598"/>
      <c r="O174" s="409"/>
      <c r="P174" s="409"/>
      <c r="Q174" s="409"/>
      <c r="R174" s="598"/>
      <c r="S174" s="409"/>
      <c r="T174" s="409"/>
      <c r="U174" s="409"/>
      <c r="V174" s="598"/>
      <c r="W174" s="409"/>
      <c r="X174" s="409"/>
      <c r="Y174" s="409"/>
      <c r="Z174" s="598"/>
      <c r="AA174" s="409"/>
      <c r="AB174" s="409"/>
      <c r="AC174" s="410"/>
      <c r="AD174" s="409"/>
      <c r="AE174" s="409"/>
      <c r="AF174" s="409"/>
      <c r="AG174" s="409"/>
      <c r="AH174" s="598"/>
      <c r="AI174" s="409"/>
      <c r="AJ174" s="409"/>
      <c r="AK174" s="409"/>
      <c r="AL174" s="598"/>
      <c r="AM174" s="409"/>
      <c r="AN174" s="409"/>
      <c r="AO174" s="409"/>
      <c r="AP174" s="598"/>
      <c r="AQ174" s="409"/>
      <c r="AR174" s="409"/>
      <c r="AS174" s="410"/>
      <c r="AT174" s="409"/>
      <c r="AU174" s="409"/>
      <c r="AV174" s="409"/>
      <c r="AW174" s="409"/>
      <c r="AX174" s="598">
        <v>0</v>
      </c>
      <c r="AY174" s="409">
        <v>0</v>
      </c>
      <c r="AZ174" s="409">
        <v>0</v>
      </c>
      <c r="BA174" s="409">
        <v>0</v>
      </c>
      <c r="BB174" s="598">
        <v>5.9825741890959288</v>
      </c>
      <c r="BC174" s="409">
        <v>11.147469458987782</v>
      </c>
      <c r="BD174" s="386">
        <v>16.821949602122015</v>
      </c>
      <c r="BE174" s="386">
        <v>42.090440653873486</v>
      </c>
      <c r="BF174" s="389">
        <v>8.0194112627986343</v>
      </c>
      <c r="BG174" s="386">
        <v>19.268604651162793</v>
      </c>
      <c r="BH174" s="386">
        <v>21.700356718192626</v>
      </c>
      <c r="BI174" s="386">
        <v>36.489677601809959</v>
      </c>
      <c r="BJ174" s="389">
        <v>16.334025679758309</v>
      </c>
      <c r="BK174" s="386">
        <v>10.167857142857143</v>
      </c>
      <c r="BL174" s="386">
        <v>27.071273516642545</v>
      </c>
      <c r="BM174" s="386">
        <v>30.957674571805011</v>
      </c>
      <c r="BN174" s="389">
        <v>17.987173717371739</v>
      </c>
      <c r="BO174" s="386">
        <v>10.065721649484535</v>
      </c>
      <c r="BP174" s="386">
        <v>83.494355909694548</v>
      </c>
      <c r="BQ174" s="388">
        <v>38.18015873015873</v>
      </c>
      <c r="BR174" s="409">
        <v>14.851330203442879</v>
      </c>
      <c r="BS174" s="409">
        <v>17.568247126436784</v>
      </c>
      <c r="BT174" s="409">
        <v>46.362373737373737</v>
      </c>
      <c r="BU174" s="388">
        <v>45.793606799704364</v>
      </c>
      <c r="BV174" s="409">
        <v>24.019759450171822</v>
      </c>
      <c r="BW174" s="409">
        <v>26.851910828025474</v>
      </c>
      <c r="BX174" s="409">
        <v>25.955038265306122</v>
      </c>
      <c r="BY174" s="410">
        <v>33.165342601787486</v>
      </c>
      <c r="BZ174" s="409">
        <v>18.186558516801853</v>
      </c>
      <c r="CA174" s="409">
        <v>20.141017780502757</v>
      </c>
      <c r="CB174" s="409">
        <v>50.080346106304084</v>
      </c>
      <c r="CC174" s="410">
        <v>41.002202643171806</v>
      </c>
      <c r="CD174" s="409">
        <v>20.014631043256998</v>
      </c>
      <c r="CE174" s="409">
        <v>23.243449116392441</v>
      </c>
      <c r="CF174" s="409">
        <v>38.684689153439152</v>
      </c>
      <c r="CG174" s="410">
        <v>39.665581688366231</v>
      </c>
      <c r="CH174" s="409">
        <v>29.7</v>
      </c>
      <c r="CI174" s="409">
        <v>29.741224928366762</v>
      </c>
      <c r="CJ174" s="409">
        <v>27.474648985959437</v>
      </c>
      <c r="CK174" s="410">
        <v>38.962739174219536</v>
      </c>
      <c r="CL174" s="409">
        <v>30.110458612975393</v>
      </c>
      <c r="CM174" s="409">
        <v>28.999741200828158</v>
      </c>
      <c r="CN174" s="409">
        <v>28.906729785056292</v>
      </c>
      <c r="CO174" s="410">
        <v>39.782428512225444</v>
      </c>
      <c r="CP174" s="598">
        <v>31.004945054945058</v>
      </c>
      <c r="CQ174" s="409">
        <v>27.104747386759581</v>
      </c>
      <c r="CR174" s="409">
        <v>25.788043478260871</v>
      </c>
      <c r="CS174" s="400">
        <v>39.962739174219536</v>
      </c>
      <c r="CT174" s="411">
        <v>31.110458612975393</v>
      </c>
      <c r="CU174" s="399">
        <v>29.999741200828158</v>
      </c>
      <c r="CV174" s="399">
        <v>29.906729785056292</v>
      </c>
      <c r="CW174" s="400">
        <v>40.782428512225444</v>
      </c>
      <c r="CX174" s="675"/>
      <c r="CY174" s="675"/>
      <c r="CZ174" s="675"/>
      <c r="DA174" s="676"/>
      <c r="DB174" s="675"/>
      <c r="DC174" s="675"/>
      <c r="DD174" s="675"/>
      <c r="DE174" s="676"/>
      <c r="DF174" s="675"/>
      <c r="DG174" s="675"/>
      <c r="DH174" s="675"/>
      <c r="DI174" s="676"/>
      <c r="DJ174" s="543"/>
      <c r="DK174" s="598"/>
      <c r="DL174" s="409"/>
      <c r="DM174" s="409"/>
      <c r="DN174" s="409"/>
      <c r="DO174" s="409"/>
      <c r="DP174" s="409"/>
      <c r="DQ174" s="409"/>
      <c r="DR174" s="409"/>
      <c r="DS174" s="409"/>
      <c r="DT174" s="386"/>
      <c r="DU174" s="386">
        <v>52.529795367663588</v>
      </c>
      <c r="DV174" s="386">
        <v>49.807611438183343</v>
      </c>
      <c r="DW174" s="386">
        <v>53.1414744645799</v>
      </c>
      <c r="DX174" s="386">
        <v>41.015710233471523</v>
      </c>
      <c r="DY174" s="386">
        <v>54.555454751644362</v>
      </c>
      <c r="DZ174" s="386">
        <v>53.126473740621655</v>
      </c>
      <c r="EA174" s="386">
        <v>40.438928409262907</v>
      </c>
      <c r="EB174" s="386">
        <v>47.744371615844976</v>
      </c>
      <c r="EC174" s="386">
        <v>50.376716895586078</v>
      </c>
      <c r="ED174" s="386">
        <v>47.699183233163815</v>
      </c>
      <c r="EE174" s="386">
        <v>47.481142574502286</v>
      </c>
      <c r="EF174" s="386">
        <v>47.610156391673286</v>
      </c>
      <c r="EG174" s="386">
        <v>65.421616249559946</v>
      </c>
      <c r="EH174" s="675">
        <v>65.421616249559946</v>
      </c>
      <c r="EI174" s="675">
        <v>65.421616249559946</v>
      </c>
      <c r="EJ174" s="675">
        <v>65.421616249559946</v>
      </c>
      <c r="EK174" s="675">
        <v>65.421616249559946</v>
      </c>
      <c r="EL174" s="675">
        <v>65.421616249559946</v>
      </c>
      <c r="EM174" s="675">
        <v>65.421616249559946</v>
      </c>
      <c r="EN174" s="675">
        <v>65.421616249559946</v>
      </c>
      <c r="EO174" s="675">
        <v>65.421616249559946</v>
      </c>
      <c r="EP174" s="598"/>
      <c r="EQ174" s="409"/>
    </row>
    <row r="175" spans="1:147" s="635" customFormat="1" outlineLevel="2">
      <c r="A175" s="624"/>
      <c r="B175"/>
      <c r="C175"/>
      <c r="D175"/>
      <c r="E175"/>
      <c r="F175"/>
      <c r="G175"/>
      <c r="H175" s="625"/>
      <c r="I175" s="677" t="s">
        <v>1593</v>
      </c>
      <c r="J175" s="627"/>
      <c r="K175" s="627"/>
      <c r="L175" s="627"/>
      <c r="M175" s="627"/>
      <c r="N175" s="629"/>
      <c r="O175" s="627"/>
      <c r="P175" s="627"/>
      <c r="Q175" s="627"/>
      <c r="R175" s="629"/>
      <c r="S175" s="627"/>
      <c r="T175" s="627"/>
      <c r="U175" s="627"/>
      <c r="V175" s="629"/>
      <c r="W175" s="627"/>
      <c r="X175" s="627"/>
      <c r="Y175" s="627"/>
      <c r="Z175" s="629"/>
      <c r="AA175" s="627"/>
      <c r="AB175" s="627"/>
      <c r="AC175" s="627"/>
      <c r="AD175" s="629"/>
      <c r="AE175" s="627"/>
      <c r="AF175" s="627"/>
      <c r="AG175" s="627"/>
      <c r="AH175" s="629"/>
      <c r="AI175" s="627"/>
      <c r="AJ175" s="627"/>
      <c r="AK175" s="627"/>
      <c r="AL175" s="629"/>
      <c r="AM175" s="627"/>
      <c r="AN175" s="627"/>
      <c r="AO175" s="627"/>
      <c r="AP175" s="629"/>
      <c r="AQ175" s="627"/>
      <c r="AR175" s="627"/>
      <c r="AS175" s="628"/>
      <c r="AT175" s="627"/>
      <c r="AU175" s="627"/>
      <c r="AV175" s="627"/>
      <c r="AW175" s="627"/>
      <c r="AX175" s="629"/>
      <c r="AY175" s="627"/>
      <c r="AZ175" s="627"/>
      <c r="BA175" s="627"/>
      <c r="BB175" s="598">
        <v>31.433946488294314</v>
      </c>
      <c r="BC175" s="409">
        <v>39.841549295774648</v>
      </c>
      <c r="BD175" s="386">
        <v>136.875</v>
      </c>
      <c r="BE175" s="386">
        <v>27.204968944099377</v>
      </c>
      <c r="BF175" s="598">
        <v>51.838521400778212</v>
      </c>
      <c r="BG175" s="409">
        <v>51.004366812227076</v>
      </c>
      <c r="BH175" s="386">
        <v>181.875</v>
      </c>
      <c r="BI175" s="386">
        <v>39.484989648033128</v>
      </c>
      <c r="BJ175" s="598">
        <v>55.80288461538462</v>
      </c>
      <c r="BK175" s="409">
        <v>66.780726256983243</v>
      </c>
      <c r="BL175" s="386">
        <v>262.02981651376149</v>
      </c>
      <c r="BM175" s="386">
        <v>31.332831325301207</v>
      </c>
      <c r="BN175" s="598">
        <v>64.652466367713004</v>
      </c>
      <c r="BO175" s="409">
        <v>74.884510869565219</v>
      </c>
      <c r="BP175" s="386">
        <v>135.05000000000001</v>
      </c>
      <c r="BQ175" s="388">
        <v>26.408823529411766</v>
      </c>
      <c r="BR175" s="409">
        <v>46.07673267326733</v>
      </c>
      <c r="BS175" s="409">
        <v>72.627551020408163</v>
      </c>
      <c r="BT175" s="386">
        <v>121.3268156424581</v>
      </c>
      <c r="BU175" s="388">
        <v>34.052478134110785</v>
      </c>
      <c r="BV175" s="409">
        <v>55.613905325443788</v>
      </c>
      <c r="BW175" s="409">
        <v>57.567114093959731</v>
      </c>
      <c r="BX175" s="409">
        <v>107.69144144144143</v>
      </c>
      <c r="BY175" s="410">
        <v>14.28514376996805</v>
      </c>
      <c r="BZ175" s="409">
        <v>30.62937062937063</v>
      </c>
      <c r="CA175" s="409">
        <v>35.798076923076927</v>
      </c>
      <c r="CB175" s="409">
        <v>57.567114093959731</v>
      </c>
      <c r="CC175" s="410">
        <v>13.540322580645162</v>
      </c>
      <c r="CD175" s="409">
        <v>23.657407407407408</v>
      </c>
      <c r="CE175" s="409">
        <v>26.071428571428569</v>
      </c>
      <c r="CF175" s="409">
        <v>125.01968503937007</v>
      </c>
      <c r="CG175" s="410">
        <v>12.9496699669967</v>
      </c>
      <c r="CH175" s="409">
        <v>27.014802631578945</v>
      </c>
      <c r="CI175" s="409">
        <v>42.398989898989896</v>
      </c>
      <c r="CJ175" s="409">
        <v>67.93795620437956</v>
      </c>
      <c r="CK175" s="410">
        <v>10.895522388059701</v>
      </c>
      <c r="CL175" s="409">
        <v>0</v>
      </c>
      <c r="CM175" s="409">
        <v>0</v>
      </c>
      <c r="CN175" s="409">
        <v>0</v>
      </c>
      <c r="CO175" s="410">
        <v>0</v>
      </c>
      <c r="CP175" s="598">
        <v>0</v>
      </c>
      <c r="CQ175" s="409">
        <v>0</v>
      </c>
      <c r="CR175" s="409">
        <v>0</v>
      </c>
      <c r="CS175" s="400">
        <v>11.895522388059701</v>
      </c>
      <c r="CT175" s="411">
        <v>1</v>
      </c>
      <c r="CU175" s="399">
        <v>1</v>
      </c>
      <c r="CV175" s="399">
        <v>1</v>
      </c>
      <c r="CW175" s="400">
        <v>1</v>
      </c>
      <c r="CX175" s="631"/>
      <c r="CY175" s="631"/>
      <c r="CZ175" s="631"/>
      <c r="DA175" s="632"/>
      <c r="DB175" s="631"/>
      <c r="DC175" s="631"/>
      <c r="DD175" s="631"/>
      <c r="DE175" s="632"/>
      <c r="DF175" s="631"/>
      <c r="DG175" s="631"/>
      <c r="DH175" s="631"/>
      <c r="DI175" s="632"/>
      <c r="DJ175" s="674"/>
      <c r="DK175" s="629"/>
      <c r="DL175" s="627"/>
      <c r="DM175" s="627"/>
      <c r="DN175" s="627"/>
      <c r="DO175" s="627"/>
      <c r="DP175" s="627"/>
      <c r="DQ175" s="627"/>
      <c r="DR175" s="627"/>
      <c r="DS175" s="627"/>
      <c r="DT175" s="633"/>
      <c r="DU175" s="386">
        <v>30.259067357512954</v>
      </c>
      <c r="DV175" s="386">
        <v>46.390114739629304</v>
      </c>
      <c r="DW175" s="386">
        <v>68.417040358744387</v>
      </c>
      <c r="DX175" s="386">
        <v>59.670172084130016</v>
      </c>
      <c r="DY175" s="386">
        <v>45.717922606924645</v>
      </c>
      <c r="DZ175" s="386">
        <v>53.639494833524687</v>
      </c>
      <c r="EA175" s="386">
        <v>24.10377358490566</v>
      </c>
      <c r="EB175" s="386">
        <v>22.937158469945352</v>
      </c>
      <c r="EC175" s="386">
        <v>21.859331476323121</v>
      </c>
      <c r="ED175" s="386">
        <v>17.804878048780488</v>
      </c>
      <c r="EE175" s="386">
        <v>0</v>
      </c>
      <c r="EF175" s="386">
        <v>22.028970097377641</v>
      </c>
      <c r="EG175" s="386">
        <v>3.0434355856907263</v>
      </c>
      <c r="EH175" s="675">
        <v>3.0434355856907263</v>
      </c>
      <c r="EI175" s="675">
        <v>3.0434355856907263</v>
      </c>
      <c r="EJ175" s="675">
        <v>3.0434355856907263</v>
      </c>
      <c r="EK175" s="675">
        <v>3.0434355856907263</v>
      </c>
      <c r="EL175" s="675">
        <v>3.0434355856907263</v>
      </c>
      <c r="EM175" s="675">
        <v>3.0434355856907263</v>
      </c>
      <c r="EN175" s="675">
        <v>3.0434355856907263</v>
      </c>
      <c r="EO175" s="675">
        <v>3.0434355856907263</v>
      </c>
      <c r="EP175" s="629"/>
      <c r="EQ175" s="634"/>
    </row>
    <row r="176" spans="1:147" s="635" customFormat="1" outlineLevel="2">
      <c r="A176" s="624"/>
      <c r="B176"/>
      <c r="C176"/>
      <c r="D176"/>
      <c r="E176"/>
      <c r="F176"/>
      <c r="G176"/>
      <c r="H176" s="625"/>
      <c r="I176" s="677" t="s">
        <v>1594</v>
      </c>
      <c r="J176" s="627"/>
      <c r="K176" s="627"/>
      <c r="L176" s="627"/>
      <c r="M176" s="627"/>
      <c r="N176" s="629"/>
      <c r="O176" s="627"/>
      <c r="P176" s="627"/>
      <c r="Q176" s="627"/>
      <c r="R176" s="629"/>
      <c r="S176" s="627"/>
      <c r="T176" s="627"/>
      <c r="U176" s="627"/>
      <c r="V176" s="629"/>
      <c r="W176" s="627"/>
      <c r="X176" s="627"/>
      <c r="Y176" s="627"/>
      <c r="Z176" s="629"/>
      <c r="AA176" s="627"/>
      <c r="AB176" s="627"/>
      <c r="AC176" s="627"/>
      <c r="AD176" s="629"/>
      <c r="AE176" s="627"/>
      <c r="AF176" s="627"/>
      <c r="AG176" s="627"/>
      <c r="AH176" s="629"/>
      <c r="AI176" s="627"/>
      <c r="AJ176" s="627"/>
      <c r="AK176" s="627"/>
      <c r="AL176" s="629"/>
      <c r="AM176" s="627"/>
      <c r="AN176" s="627"/>
      <c r="AO176" s="627"/>
      <c r="AP176" s="629"/>
      <c r="AQ176" s="627"/>
      <c r="AR176" s="627"/>
      <c r="AS176" s="627"/>
      <c r="AT176" s="629"/>
      <c r="AU176" s="627"/>
      <c r="AV176" s="627"/>
      <c r="AW176" s="627"/>
      <c r="AX176" s="629"/>
      <c r="AY176" s="627"/>
      <c r="AZ176" s="627"/>
      <c r="BA176" s="627"/>
      <c r="BB176" s="598">
        <v>192.97131147540983</v>
      </c>
      <c r="BC176" s="409">
        <v>244.62765957446808</v>
      </c>
      <c r="BD176" s="386">
        <v>570.3125</v>
      </c>
      <c r="BE176" s="386">
        <v>147.07352941176472</v>
      </c>
      <c r="BF176" s="598">
        <v>435.64516129032256</v>
      </c>
      <c r="BG176" s="409">
        <v>225.72368421052633</v>
      </c>
      <c r="BH176" s="386">
        <v>787.63157894736844</v>
      </c>
      <c r="BI176" s="386">
        <v>172.01149425287358</v>
      </c>
      <c r="BJ176" s="598">
        <v>213.9139344262295</v>
      </c>
      <c r="BK176" s="409">
        <v>730</v>
      </c>
      <c r="BL176" s="386">
        <v>1862.5735294117646</v>
      </c>
      <c r="BM176" s="386">
        <v>345.24484536082474</v>
      </c>
      <c r="BN176" s="598">
        <v>610.02314814814815</v>
      </c>
      <c r="BO176" s="409">
        <v>728.13775510204084</v>
      </c>
      <c r="BP176" s="386">
        <v>1230.4924242424242</v>
      </c>
      <c r="BQ176" s="388">
        <v>319.72868217054264</v>
      </c>
      <c r="BR176" s="409">
        <v>231.68439716312056</v>
      </c>
      <c r="BS176" s="409">
        <v>440.60714285714289</v>
      </c>
      <c r="BT176" s="386">
        <v>503.34677419354841</v>
      </c>
      <c r="BU176" s="388">
        <v>312.85714285714283</v>
      </c>
      <c r="BV176" s="409">
        <v>211.015625</v>
      </c>
      <c r="BW176" s="409">
        <v>327.359375</v>
      </c>
      <c r="BX176" s="409">
        <v>899.46428571428567</v>
      </c>
      <c r="BY176" s="410">
        <v>469.9375</v>
      </c>
      <c r="BZ176" s="409">
        <v>383.66477272727269</v>
      </c>
      <c r="CA176" s="409">
        <v>424.61666666666667</v>
      </c>
      <c r="CB176" s="409">
        <v>929.76351351351354</v>
      </c>
      <c r="CC176" s="410">
        <v>331.57178217821786</v>
      </c>
      <c r="CD176" s="409">
        <v>186.25</v>
      </c>
      <c r="CE176" s="409">
        <v>595.91836734693879</v>
      </c>
      <c r="CF176" s="409">
        <v>1587.75</v>
      </c>
      <c r="CG176" s="410">
        <v>153.43949044585986</v>
      </c>
      <c r="CH176" s="409">
        <v>151.26126126126124</v>
      </c>
      <c r="CI176" s="409">
        <v>329.21568627450978</v>
      </c>
      <c r="CJ176" s="409">
        <v>2433.3333333333335</v>
      </c>
      <c r="CK176" s="410">
        <v>425.83333333333331</v>
      </c>
      <c r="CL176" s="409">
        <v>326.05182926829269</v>
      </c>
      <c r="CM176" s="409">
        <v>915.2651515151515</v>
      </c>
      <c r="CN176" s="409">
        <v>981.55405405405406</v>
      </c>
      <c r="CO176" s="410">
        <v>274.52991452991449</v>
      </c>
      <c r="CP176" s="598">
        <v>230.56919642857142</v>
      </c>
      <c r="CQ176" s="409">
        <v>258.19602272727269</v>
      </c>
      <c r="CR176" s="409">
        <v>287.69097222222223</v>
      </c>
      <c r="CS176" s="400">
        <v>426.83333333333331</v>
      </c>
      <c r="CT176" s="411">
        <v>327.05182926829269</v>
      </c>
      <c r="CU176" s="399">
        <v>916.2651515151515</v>
      </c>
      <c r="CV176" s="399">
        <v>982.55405405405406</v>
      </c>
      <c r="CW176" s="400">
        <v>275.52991452991449</v>
      </c>
      <c r="CX176" s="631"/>
      <c r="CY176" s="631"/>
      <c r="CZ176" s="631"/>
      <c r="DA176" s="632"/>
      <c r="DB176" s="631"/>
      <c r="DC176" s="631"/>
      <c r="DD176" s="631"/>
      <c r="DE176" s="632"/>
      <c r="DF176" s="631"/>
      <c r="DG176" s="631"/>
      <c r="DH176" s="631"/>
      <c r="DI176" s="632"/>
      <c r="DJ176" s="674"/>
      <c r="DK176" s="629"/>
      <c r="DL176" s="627"/>
      <c r="DM176" s="627"/>
      <c r="DN176" s="627"/>
      <c r="DO176" s="627"/>
      <c r="DP176" s="627"/>
      <c r="DQ176" s="627"/>
      <c r="DR176" s="627"/>
      <c r="DS176" s="627"/>
      <c r="DT176" s="633"/>
      <c r="DU176" s="386">
        <v>158.27433628318585</v>
      </c>
      <c r="DV176" s="386">
        <v>230.43778801843317</v>
      </c>
      <c r="DW176" s="386">
        <v>308.5567010309278</v>
      </c>
      <c r="DX176" s="386">
        <v>628.89671361502337</v>
      </c>
      <c r="DY176" s="386">
        <v>622.56603773584902</v>
      </c>
      <c r="DZ176" s="386">
        <v>330.56603773584908</v>
      </c>
      <c r="EA176" s="386">
        <v>455.69696969696975</v>
      </c>
      <c r="EB176" s="386">
        <v>445.03322259136212</v>
      </c>
      <c r="EC176" s="386">
        <v>445.03322259136212</v>
      </c>
      <c r="ED176" s="386">
        <v>445.03322259136212</v>
      </c>
      <c r="EE176" s="386">
        <v>445.03322259136212</v>
      </c>
      <c r="EF176" s="386">
        <v>445.03322259136212</v>
      </c>
      <c r="EG176" s="386">
        <v>445.03322259136212</v>
      </c>
      <c r="EH176" s="675">
        <v>445.03322259136212</v>
      </c>
      <c r="EI176" s="675">
        <v>445.03322259136212</v>
      </c>
      <c r="EJ176" s="675">
        <v>445.03322259136212</v>
      </c>
      <c r="EK176" s="675">
        <v>445.03322259136212</v>
      </c>
      <c r="EL176" s="675">
        <v>445.03322259136212</v>
      </c>
      <c r="EM176" s="675">
        <v>445.03322259136212</v>
      </c>
      <c r="EN176" s="675">
        <v>445.03322259136212</v>
      </c>
      <c r="EO176" s="675">
        <v>445.03322259136212</v>
      </c>
      <c r="EP176" s="629"/>
      <c r="EQ176" s="634"/>
    </row>
    <row r="177" spans="1:147" s="635" customFormat="1" outlineLevel="2">
      <c r="A177" s="624"/>
      <c r="B177"/>
      <c r="C177"/>
      <c r="D177"/>
      <c r="E177"/>
      <c r="F177"/>
      <c r="G177"/>
      <c r="H177" s="625"/>
      <c r="I177" s="677" t="s">
        <v>1595</v>
      </c>
      <c r="J177" s="627"/>
      <c r="K177" s="627"/>
      <c r="L177" s="627"/>
      <c r="M177" s="627"/>
      <c r="N177" s="629"/>
      <c r="O177" s="627"/>
      <c r="P177" s="627"/>
      <c r="Q177" s="627"/>
      <c r="R177" s="629"/>
      <c r="S177" s="627"/>
      <c r="T177" s="627"/>
      <c r="U177" s="627"/>
      <c r="V177" s="629"/>
      <c r="W177" s="627"/>
      <c r="X177" s="627"/>
      <c r="Y177" s="627"/>
      <c r="Z177" s="629"/>
      <c r="AA177" s="627"/>
      <c r="AB177" s="627"/>
      <c r="AC177" s="627"/>
      <c r="AD177" s="629"/>
      <c r="AE177" s="627"/>
      <c r="AF177" s="627"/>
      <c r="AG177" s="627"/>
      <c r="AH177" s="629"/>
      <c r="AI177" s="627"/>
      <c r="AJ177" s="627"/>
      <c r="AK177" s="627"/>
      <c r="AL177" s="629"/>
      <c r="AM177" s="627"/>
      <c r="AN177" s="627"/>
      <c r="AO177" s="627"/>
      <c r="AP177" s="629"/>
      <c r="AQ177" s="627"/>
      <c r="AR177" s="627"/>
      <c r="AS177" s="627"/>
      <c r="AT177" s="629"/>
      <c r="AU177" s="627"/>
      <c r="AV177" s="627"/>
      <c r="AW177" s="627"/>
      <c r="AX177" s="629"/>
      <c r="AY177" s="627"/>
      <c r="AZ177" s="627"/>
      <c r="BA177" s="627"/>
      <c r="BB177" s="598">
        <v>100.68965517241378</v>
      </c>
      <c r="BC177" s="409">
        <v>163.48958333333334</v>
      </c>
      <c r="BD177" s="386">
        <v>239.53125</v>
      </c>
      <c r="BE177" s="386">
        <v>20.911458333333336</v>
      </c>
      <c r="BF177" s="598">
        <v>286.78571428571428</v>
      </c>
      <c r="BG177" s="409">
        <v>36.5</v>
      </c>
      <c r="BH177" s="386">
        <v>118.625</v>
      </c>
      <c r="BI177" s="386">
        <v>19.302884615384617</v>
      </c>
      <c r="BJ177" s="598">
        <v>26.414473684210527</v>
      </c>
      <c r="BK177" s="409">
        <v>71.696428571428569</v>
      </c>
      <c r="BL177" s="386">
        <v>273.75</v>
      </c>
      <c r="BM177" s="386">
        <v>167.29166666666669</v>
      </c>
      <c r="BN177" s="598">
        <v>219</v>
      </c>
      <c r="BO177" s="409">
        <v>39.107142857142854</v>
      </c>
      <c r="BP177" s="386">
        <v>22.8125</v>
      </c>
      <c r="BQ177" s="388">
        <v>50.694444444444443</v>
      </c>
      <c r="BR177" s="409">
        <v>41.477272727272727</v>
      </c>
      <c r="BS177" s="409">
        <v>124.86842105263158</v>
      </c>
      <c r="BT177" s="386">
        <v>98.550000000000011</v>
      </c>
      <c r="BU177" s="388">
        <v>182.5</v>
      </c>
      <c r="BV177" s="409">
        <v>0</v>
      </c>
      <c r="BW177" s="409">
        <v>0</v>
      </c>
      <c r="BX177" s="409">
        <v>0</v>
      </c>
      <c r="BY177" s="410">
        <v>0</v>
      </c>
      <c r="BZ177" s="409">
        <v>0</v>
      </c>
      <c r="CA177" s="409">
        <v>0</v>
      </c>
      <c r="CB177" s="409">
        <v>0</v>
      </c>
      <c r="CC177" s="410">
        <v>0</v>
      </c>
      <c r="CD177" s="409">
        <v>0</v>
      </c>
      <c r="CE177" s="409">
        <v>0</v>
      </c>
      <c r="CF177" s="409">
        <v>0</v>
      </c>
      <c r="CG177" s="410">
        <v>0</v>
      </c>
      <c r="CH177" s="409">
        <v>0</v>
      </c>
      <c r="CI177" s="409">
        <v>0</v>
      </c>
      <c r="CJ177" s="409">
        <v>0</v>
      </c>
      <c r="CK177" s="410">
        <v>0</v>
      </c>
      <c r="CL177" s="409">
        <v>0</v>
      </c>
      <c r="CM177" s="409">
        <v>0</v>
      </c>
      <c r="CN177" s="409">
        <v>0</v>
      </c>
      <c r="CO177" s="410">
        <v>0</v>
      </c>
      <c r="CP177" s="598">
        <v>0</v>
      </c>
      <c r="CQ177" s="409">
        <v>0</v>
      </c>
      <c r="CR177" s="409">
        <v>0</v>
      </c>
      <c r="CS177" s="400">
        <v>0</v>
      </c>
      <c r="CT177" s="411">
        <v>0</v>
      </c>
      <c r="CU177" s="399">
        <v>0</v>
      </c>
      <c r="CV177" s="399">
        <v>0</v>
      </c>
      <c r="CW177" s="400">
        <v>0</v>
      </c>
      <c r="CX177" s="631"/>
      <c r="CY177" s="631"/>
      <c r="CZ177" s="631"/>
      <c r="DA177" s="632"/>
      <c r="DB177" s="631"/>
      <c r="DC177" s="631"/>
      <c r="DD177" s="631"/>
      <c r="DE177" s="632"/>
      <c r="DF177" s="631"/>
      <c r="DG177" s="631"/>
      <c r="DH177" s="631"/>
      <c r="DI177" s="632"/>
      <c r="DJ177" s="674"/>
      <c r="DK177" s="629"/>
      <c r="DL177" s="627"/>
      <c r="DM177" s="627"/>
      <c r="DN177" s="627"/>
      <c r="DO177" s="627"/>
      <c r="DP177" s="627"/>
      <c r="DQ177" s="627"/>
      <c r="DR177" s="627"/>
      <c r="DS177" s="627"/>
      <c r="DT177" s="633"/>
      <c r="DU177" s="386">
        <v>83.3756345177665</v>
      </c>
      <c r="DV177" s="386">
        <v>48.666666666666671</v>
      </c>
      <c r="DW177" s="386">
        <v>45.112359550561798</v>
      </c>
      <c r="DX177" s="386">
        <v>64.758064516129039</v>
      </c>
      <c r="DY177" s="386">
        <v>62.931034482758612</v>
      </c>
      <c r="DZ177" s="386">
        <v>156.42857142857144</v>
      </c>
      <c r="EA177" s="386">
        <v>0</v>
      </c>
      <c r="EB177" s="386">
        <v>0</v>
      </c>
      <c r="EC177" s="386">
        <v>0</v>
      </c>
      <c r="ED177" s="386">
        <v>0</v>
      </c>
      <c r="EE177" s="386">
        <v>0</v>
      </c>
      <c r="EF177" s="386">
        <v>0</v>
      </c>
      <c r="EG177" s="386">
        <v>0</v>
      </c>
      <c r="EH177" s="675">
        <v>0</v>
      </c>
      <c r="EI177" s="675">
        <v>0</v>
      </c>
      <c r="EJ177" s="675">
        <v>0</v>
      </c>
      <c r="EK177" s="675">
        <v>0</v>
      </c>
      <c r="EL177" s="675">
        <v>0</v>
      </c>
      <c r="EM177" s="675">
        <v>0</v>
      </c>
      <c r="EN177" s="675">
        <v>0</v>
      </c>
      <c r="EO177" s="675">
        <v>0</v>
      </c>
      <c r="EP177" s="629"/>
      <c r="EQ177" s="634"/>
    </row>
    <row r="178" spans="1:147" s="635" customFormat="1" outlineLevel="2">
      <c r="A178" s="624"/>
      <c r="B178"/>
      <c r="C178"/>
      <c r="D178"/>
      <c r="E178"/>
      <c r="F178"/>
      <c r="G178"/>
      <c r="H178" s="625"/>
      <c r="I178" s="677" t="s">
        <v>1596</v>
      </c>
      <c r="J178" s="627"/>
      <c r="K178" s="627"/>
      <c r="L178" s="627"/>
      <c r="M178" s="627"/>
      <c r="N178" s="629"/>
      <c r="O178" s="627"/>
      <c r="P178" s="627"/>
      <c r="Q178" s="627"/>
      <c r="R178" s="629"/>
      <c r="S178" s="627"/>
      <c r="T178" s="627"/>
      <c r="U178" s="627"/>
      <c r="V178" s="629"/>
      <c r="W178" s="627"/>
      <c r="X178" s="627"/>
      <c r="Y178" s="627"/>
      <c r="Z178" s="629"/>
      <c r="AA178" s="627"/>
      <c r="AB178" s="627"/>
      <c r="AC178" s="627"/>
      <c r="AD178" s="629"/>
      <c r="AE178" s="627"/>
      <c r="AF178" s="627"/>
      <c r="AG178" s="627"/>
      <c r="AH178" s="629"/>
      <c r="AI178" s="627"/>
      <c r="AJ178" s="627"/>
      <c r="AK178" s="627"/>
      <c r="AL178" s="629"/>
      <c r="AM178" s="627"/>
      <c r="AN178" s="627"/>
      <c r="AO178" s="627"/>
      <c r="AP178" s="629"/>
      <c r="AQ178" s="627"/>
      <c r="AR178" s="627"/>
      <c r="AS178" s="627"/>
      <c r="AT178" s="629" t="s">
        <v>366</v>
      </c>
      <c r="AU178" s="627"/>
      <c r="AV178" s="627"/>
      <c r="AW178" s="627"/>
      <c r="AX178" s="629">
        <v>0</v>
      </c>
      <c r="AY178" s="627">
        <v>0</v>
      </c>
      <c r="AZ178" s="627">
        <v>0</v>
      </c>
      <c r="BA178" s="627">
        <v>0</v>
      </c>
      <c r="BB178" s="629">
        <v>2.881297446514838E-2</v>
      </c>
      <c r="BC178" s="627">
        <v>2.1160558464223385E-2</v>
      </c>
      <c r="BD178" s="678">
        <v>4.5092838196286469E-2</v>
      </c>
      <c r="BE178" s="627">
        <v>7.0362473347547971E-2</v>
      </c>
      <c r="BF178" s="629">
        <v>4.8208191126279866E-2</v>
      </c>
      <c r="BG178" s="627">
        <v>3.5348837209302326E-2</v>
      </c>
      <c r="BH178" s="678">
        <v>5.1426872770511299E-2</v>
      </c>
      <c r="BI178" s="627">
        <v>4.5390271493212668E-2</v>
      </c>
      <c r="BJ178" s="629">
        <v>4.2673716012084591E-2</v>
      </c>
      <c r="BK178" s="627">
        <v>4.4047619047619051E-2</v>
      </c>
      <c r="BL178" s="678">
        <v>7.6700434153400873E-2</v>
      </c>
      <c r="BM178" s="627">
        <v>6.8017127799736496E-2</v>
      </c>
      <c r="BN178" s="629">
        <v>7.2232223222322228E-2</v>
      </c>
      <c r="BO178" s="627">
        <v>6.6752577319587628E-2</v>
      </c>
      <c r="BP178" s="678">
        <v>0.1251660026560425</v>
      </c>
      <c r="BQ178" s="628">
        <v>7.047619047619047E-2</v>
      </c>
      <c r="BR178" s="627">
        <v>6.9444444444444448E-2</v>
      </c>
      <c r="BS178" s="627">
        <v>0.12021072796934866</v>
      </c>
      <c r="BT178" s="627">
        <v>7.7525252525252525E-2</v>
      </c>
      <c r="BU178" s="628">
        <v>7.0768662232076868E-2</v>
      </c>
      <c r="BV178" s="627">
        <v>6.0824742268041236E-2</v>
      </c>
      <c r="BW178" s="627">
        <v>4.8726114649681532E-2</v>
      </c>
      <c r="BX178" s="627">
        <v>5.0063775510204078E-2</v>
      </c>
      <c r="BY178" s="628">
        <v>4.8659384309831182E-2</v>
      </c>
      <c r="BZ178" s="627">
        <v>5.011587485515643E-2</v>
      </c>
      <c r="CA178" s="627">
        <v>4.8129981606376458E-2</v>
      </c>
      <c r="CB178" s="627">
        <v>6.9684796044499384E-2</v>
      </c>
      <c r="CC178" s="628">
        <v>5.8247674987763093E-2</v>
      </c>
      <c r="CD178" s="627">
        <v>5.3689567430025446E-2</v>
      </c>
      <c r="CE178" s="627">
        <v>7.6630103595368676E-2</v>
      </c>
      <c r="CF178" s="627">
        <v>8.2837301587301584E-2</v>
      </c>
      <c r="CG178" s="628">
        <v>5.6593868122637545E-2</v>
      </c>
      <c r="CH178" s="627">
        <v>7.0958904109589035E-2</v>
      </c>
      <c r="CI178" s="627">
        <v>6.9126074498567336E-2</v>
      </c>
      <c r="CJ178" s="627">
        <v>6.7277691107644311E-2</v>
      </c>
      <c r="CK178" s="628">
        <v>3.726082578046324E-2</v>
      </c>
      <c r="CL178" s="627">
        <v>4.6140939597315439E-2</v>
      </c>
      <c r="CM178" s="627">
        <v>5.641821946169772E-2</v>
      </c>
      <c r="CN178" s="627">
        <v>7.2927328556806545E-2</v>
      </c>
      <c r="CO178" s="628">
        <v>5.3253211769581435E-2</v>
      </c>
      <c r="CP178" s="629">
        <v>6.4285714285714279E-2</v>
      </c>
      <c r="CQ178" s="653">
        <v>8.1337108013937287E-2</v>
      </c>
      <c r="CR178" s="653">
        <v>8.2246376811594205E-2</v>
      </c>
      <c r="CS178" s="679">
        <v>3.9260825780463242E-2</v>
      </c>
      <c r="CT178" s="654">
        <v>4.8140939597315441E-2</v>
      </c>
      <c r="CU178" s="655">
        <v>5.8418219461697722E-2</v>
      </c>
      <c r="CV178" s="655">
        <v>7.4927328556806547E-2</v>
      </c>
      <c r="CW178" s="679">
        <v>5.5253211769581437E-2</v>
      </c>
      <c r="CX178" s="631"/>
      <c r="CY178" s="631"/>
      <c r="CZ178" s="631"/>
      <c r="DA178" s="632"/>
      <c r="DB178" s="631"/>
      <c r="DC178" s="631"/>
      <c r="DD178" s="631"/>
      <c r="DE178" s="632"/>
      <c r="DF178" s="631"/>
      <c r="DG178" s="631"/>
      <c r="DH178" s="631"/>
      <c r="DI178" s="632"/>
      <c r="DJ178" s="674"/>
      <c r="DK178" s="629"/>
      <c r="DL178" s="627"/>
      <c r="DM178" s="627"/>
      <c r="DN178" s="627"/>
      <c r="DO178" s="627"/>
      <c r="DP178" s="627"/>
      <c r="DQ178" s="627"/>
      <c r="DR178" s="627"/>
      <c r="DS178" s="627"/>
      <c r="DT178" s="633"/>
      <c r="DU178" s="633">
        <v>4.7222846863053747E-3</v>
      </c>
      <c r="DV178" s="633">
        <v>2.5231286795626578E-3</v>
      </c>
      <c r="DW178" s="633">
        <v>2.2652388797364084E-3</v>
      </c>
      <c r="DX178" s="633">
        <v>7.6369190486580843E-3</v>
      </c>
      <c r="DY178" s="633">
        <v>1.9278748015422998E-2</v>
      </c>
      <c r="DZ178" s="633">
        <v>9.4533762057877807E-2</v>
      </c>
      <c r="EA178" s="633">
        <v>0.10352656273649161</v>
      </c>
      <c r="EB178" s="633">
        <v>0.13508121972071815</v>
      </c>
      <c r="EC178" s="633">
        <v>0.11801573543139085</v>
      </c>
      <c r="ED178" s="633">
        <v>0.30066265988596086</v>
      </c>
      <c r="EE178" s="633">
        <v>0.24224063311487573</v>
      </c>
      <c r="EF178" s="633">
        <v>0.21484524102556107</v>
      </c>
      <c r="EG178" s="633">
        <v>0.22884162161834051</v>
      </c>
      <c r="EH178" s="631">
        <v>0.22884162161834051</v>
      </c>
      <c r="EI178" s="631">
        <v>0.22884162161834051</v>
      </c>
      <c r="EJ178" s="631">
        <v>0.22884162161834051</v>
      </c>
      <c r="EK178" s="631">
        <v>0.22884162161834051</v>
      </c>
      <c r="EL178" s="631">
        <v>0.22884162161834051</v>
      </c>
      <c r="EM178" s="631">
        <v>0.22884162161834051</v>
      </c>
      <c r="EN178" s="631">
        <v>0.22884162161834051</v>
      </c>
      <c r="EO178" s="631">
        <v>0.22884162161834051</v>
      </c>
      <c r="EP178" s="629"/>
      <c r="EQ178" s="634"/>
    </row>
    <row r="179" spans="1:147" s="589" customFormat="1" outlineLevel="2">
      <c r="A179"/>
      <c r="B179"/>
      <c r="C179"/>
      <c r="D179"/>
      <c r="E179"/>
      <c r="F179"/>
      <c r="G179"/>
      <c r="I179" s="680"/>
      <c r="J179" s="357"/>
      <c r="K179" s="357"/>
      <c r="L179" s="357"/>
      <c r="M179" s="357"/>
      <c r="N179" s="594"/>
      <c r="O179" s="357"/>
      <c r="P179" s="357"/>
      <c r="Q179" s="357"/>
      <c r="R179" s="594"/>
      <c r="S179" s="357"/>
      <c r="T179" s="357"/>
      <c r="U179" s="357"/>
      <c r="V179" s="594"/>
      <c r="W179" s="357"/>
      <c r="X179" s="357"/>
      <c r="Y179" s="357"/>
      <c r="Z179" s="594"/>
      <c r="AA179" s="357"/>
      <c r="AB179" s="357"/>
      <c r="AC179" s="357"/>
      <c r="AD179" s="594"/>
      <c r="AE179" s="357"/>
      <c r="AF179" s="357"/>
      <c r="AG179" s="357"/>
      <c r="AH179" s="594"/>
      <c r="AI179" s="357"/>
      <c r="AJ179" s="357"/>
      <c r="AK179" s="357"/>
      <c r="AL179" s="594"/>
      <c r="AM179" s="357"/>
      <c r="AN179" s="357"/>
      <c r="AO179" s="357"/>
      <c r="AP179" s="594"/>
      <c r="AQ179" s="357"/>
      <c r="AR179" s="357"/>
      <c r="AS179" s="357"/>
      <c r="AT179" s="594"/>
      <c r="AU179" s="357"/>
      <c r="AV179" s="357"/>
      <c r="AW179" s="357"/>
      <c r="AX179" s="594"/>
      <c r="AY179" s="357"/>
      <c r="AZ179" s="357"/>
      <c r="BA179" s="357"/>
      <c r="BB179" s="594"/>
      <c r="BC179" s="357"/>
      <c r="BD179" s="481"/>
      <c r="BE179" s="357"/>
      <c r="BF179" s="594"/>
      <c r="BG179" s="357"/>
      <c r="BH179" s="481"/>
      <c r="BI179" s="357"/>
      <c r="BJ179" s="594"/>
      <c r="BK179" s="357"/>
      <c r="BL179" s="481"/>
      <c r="BM179" s="357"/>
      <c r="BN179" s="594"/>
      <c r="BO179" s="357"/>
      <c r="BP179" s="481"/>
      <c r="BQ179" s="592"/>
      <c r="BR179" s="357"/>
      <c r="BS179" s="357"/>
      <c r="BT179" s="357"/>
      <c r="BU179" s="592"/>
      <c r="BV179" s="357"/>
      <c r="BW179" s="357"/>
      <c r="BX179" s="357"/>
      <c r="BY179" s="592"/>
      <c r="BZ179" s="357"/>
      <c r="CA179" s="357"/>
      <c r="CB179" s="357"/>
      <c r="CC179" s="592"/>
      <c r="CD179" s="357"/>
      <c r="CE179" s="357"/>
      <c r="CF179" s="357"/>
      <c r="CG179" s="592"/>
      <c r="CH179" s="357"/>
      <c r="CI179" s="357"/>
      <c r="CJ179" s="357"/>
      <c r="CK179" s="592"/>
      <c r="CL179" s="357"/>
      <c r="CM179" s="357"/>
      <c r="CN179" s="357"/>
      <c r="CO179" s="592"/>
      <c r="CP179" s="594"/>
      <c r="CQ179" s="357"/>
      <c r="CR179" s="357"/>
      <c r="CS179" s="592"/>
      <c r="CT179" s="594"/>
      <c r="CU179" s="357"/>
      <c r="CV179" s="357"/>
      <c r="CW179" s="592"/>
      <c r="CX179" s="357"/>
      <c r="CY179" s="357"/>
      <c r="CZ179" s="357"/>
      <c r="DA179" s="592"/>
      <c r="DB179" s="357"/>
      <c r="DC179" s="357"/>
      <c r="DD179" s="357"/>
      <c r="DE179" s="592"/>
      <c r="DF179" s="357"/>
      <c r="DG179" s="357"/>
      <c r="DH179" s="357"/>
      <c r="DI179" s="592"/>
      <c r="DJ179" s="364"/>
      <c r="DK179" s="594"/>
      <c r="DL179" s="357"/>
      <c r="DM179" s="357"/>
      <c r="DN179" s="357"/>
      <c r="DO179" s="357"/>
      <c r="DP179" s="357"/>
      <c r="DQ179" s="357"/>
      <c r="DR179" s="357"/>
      <c r="DS179" s="357"/>
      <c r="DT179" s="356"/>
      <c r="DU179" s="356"/>
      <c r="DV179" s="356"/>
      <c r="DW179" s="356"/>
      <c r="DX179" s="356"/>
      <c r="DY179" s="356"/>
      <c r="DZ179" s="356"/>
      <c r="EA179" s="356"/>
      <c r="EB179" s="356"/>
      <c r="EC179" s="356"/>
      <c r="ED179" s="356"/>
      <c r="EE179" s="356"/>
      <c r="EF179" s="356"/>
      <c r="EG179" s="356"/>
      <c r="EH179" s="357"/>
      <c r="EI179" s="357"/>
      <c r="EJ179" s="357"/>
      <c r="EK179" s="357"/>
      <c r="EL179" s="357"/>
      <c r="EM179" s="357"/>
      <c r="EN179" s="357"/>
      <c r="EO179" s="357"/>
      <c r="EP179" s="594"/>
      <c r="EQ179" s="357"/>
    </row>
    <row r="180" spans="1:147" s="596" customFormat="1" outlineLevel="2">
      <c r="A180" s="546"/>
      <c r="B180"/>
      <c r="C180"/>
      <c r="D180"/>
      <c r="E180"/>
      <c r="F180"/>
      <c r="G180"/>
      <c r="I180" s="638" t="s">
        <v>1597</v>
      </c>
      <c r="J180" s="409"/>
      <c r="K180" s="409"/>
      <c r="L180" s="409"/>
      <c r="M180" s="409"/>
      <c r="N180" s="598"/>
      <c r="O180" s="409"/>
      <c r="P180" s="409"/>
      <c r="Q180" s="409"/>
      <c r="R180" s="598"/>
      <c r="S180" s="409"/>
      <c r="T180" s="409"/>
      <c r="U180" s="409"/>
      <c r="V180" s="598"/>
      <c r="W180" s="409"/>
      <c r="X180" s="409"/>
      <c r="Y180" s="409"/>
      <c r="Z180" s="598"/>
      <c r="AA180" s="409"/>
      <c r="AB180" s="409"/>
      <c r="AC180" s="409"/>
      <c r="AD180" s="598"/>
      <c r="AE180" s="409"/>
      <c r="AF180" s="409"/>
      <c r="AG180" s="409"/>
      <c r="AH180" s="598"/>
      <c r="AI180" s="409"/>
      <c r="AJ180" s="409"/>
      <c r="AK180" s="409"/>
      <c r="AL180" s="598"/>
      <c r="AM180" s="409"/>
      <c r="AN180" s="409"/>
      <c r="AO180" s="409"/>
      <c r="AP180" s="598"/>
      <c r="AQ180" s="409"/>
      <c r="AR180" s="409"/>
      <c r="AS180" s="409"/>
      <c r="AT180" s="598"/>
      <c r="AU180" s="409"/>
      <c r="AV180" s="409"/>
      <c r="AW180" s="409"/>
      <c r="AX180" s="598">
        <v>0</v>
      </c>
      <c r="AY180" s="409">
        <v>0</v>
      </c>
      <c r="AZ180" s="409">
        <v>0</v>
      </c>
      <c r="BA180" s="409">
        <v>0</v>
      </c>
      <c r="BB180" s="598">
        <v>52.491638795986624</v>
      </c>
      <c r="BC180" s="409">
        <v>66.830985915492946</v>
      </c>
      <c r="BD180" s="681">
        <v>165.30797101449275</v>
      </c>
      <c r="BE180" s="409">
        <v>73.68012422360249</v>
      </c>
      <c r="BF180" s="598">
        <v>64.26556420233463</v>
      </c>
      <c r="BG180" s="409">
        <v>64.950873362445421</v>
      </c>
      <c r="BH180" s="681">
        <v>158.125</v>
      </c>
      <c r="BI180" s="409">
        <v>64.800724637681157</v>
      </c>
      <c r="BJ180" s="598">
        <v>65.27884615384616</v>
      </c>
      <c r="BK180" s="409">
        <v>70.858938547486034</v>
      </c>
      <c r="BL180" s="681">
        <v>239.42660550458717</v>
      </c>
      <c r="BM180" s="409">
        <v>65.047690763052216</v>
      </c>
      <c r="BN180" s="598">
        <v>67.926008968609864</v>
      </c>
      <c r="BO180" s="409">
        <v>82.81929347826086</v>
      </c>
      <c r="BP180" s="681">
        <v>161.81666666666666</v>
      </c>
      <c r="BQ180" s="410">
        <v>69.779411764705884</v>
      </c>
      <c r="BR180" s="409">
        <v>55.563118811881196</v>
      </c>
      <c r="BS180" s="409">
        <v>122.90816326530611</v>
      </c>
      <c r="BT180" s="409">
        <v>157.52094972067039</v>
      </c>
      <c r="BU180" s="410">
        <v>75.553935860058303</v>
      </c>
      <c r="BV180" s="409">
        <v>80.991124260355036</v>
      </c>
      <c r="BW180" s="409">
        <v>107.78523489932886</v>
      </c>
      <c r="BX180" s="409">
        <v>173.4572072072072</v>
      </c>
      <c r="BY180" s="410">
        <v>64.720447284345042</v>
      </c>
      <c r="BZ180" s="409">
        <v>95.716783216783213</v>
      </c>
      <c r="CA180" s="409">
        <v>114.41346153846155</v>
      </c>
      <c r="CB180" s="409">
        <v>191.68624161073825</v>
      </c>
      <c r="CC180" s="410">
        <v>95.076612903225808</v>
      </c>
      <c r="CD180" s="409">
        <v>96.882716049382708</v>
      </c>
      <c r="CE180" s="409">
        <v>120.9424603174603</v>
      </c>
      <c r="CF180" s="409">
        <v>224.17322834645668</v>
      </c>
      <c r="CG180" s="410">
        <v>76.192244224422438</v>
      </c>
      <c r="CH180" s="409">
        <v>99.65460526315789</v>
      </c>
      <c r="CI180" s="409">
        <v>165.90909090909091</v>
      </c>
      <c r="CJ180" s="409">
        <v>182.5</v>
      </c>
      <c r="CK180" s="410">
        <v>99.421641791044777</v>
      </c>
      <c r="CL180" s="409">
        <v>121.15546218487395</v>
      </c>
      <c r="CM180" s="409">
        <v>117.89233576642336</v>
      </c>
      <c r="CN180" s="409">
        <v>202.37623762376239</v>
      </c>
      <c r="CO180" s="410">
        <v>77.131088825214903</v>
      </c>
      <c r="CP180" s="598">
        <v>146.65178571428572</v>
      </c>
      <c r="CQ180" s="409">
        <v>170.70043103448273</v>
      </c>
      <c r="CR180" s="409">
        <v>188.58333333333334</v>
      </c>
      <c r="CS180" s="676">
        <v>97.421641791044777</v>
      </c>
      <c r="CT180" s="411">
        <v>119.15546218487395</v>
      </c>
      <c r="CU180" s="399">
        <v>115.89233576642336</v>
      </c>
      <c r="CV180" s="399">
        <v>200.37623762376239</v>
      </c>
      <c r="CW180" s="676">
        <v>75.131088825214903</v>
      </c>
      <c r="CX180" s="675"/>
      <c r="CY180" s="675"/>
      <c r="CZ180" s="675"/>
      <c r="DA180" s="676"/>
      <c r="DB180" s="675"/>
      <c r="DC180" s="675"/>
      <c r="DD180" s="675"/>
      <c r="DE180" s="676"/>
      <c r="DF180" s="675"/>
      <c r="DG180" s="675"/>
      <c r="DH180" s="675"/>
      <c r="DI180" s="676"/>
      <c r="DJ180" s="543"/>
      <c r="DK180" s="598"/>
      <c r="DL180" s="409"/>
      <c r="DM180" s="409"/>
      <c r="DN180" s="409"/>
      <c r="DO180" s="409"/>
      <c r="DP180" s="409"/>
      <c r="DQ180" s="409"/>
      <c r="DR180" s="409"/>
      <c r="DS180" s="409"/>
      <c r="DT180" s="386"/>
      <c r="DU180" s="386">
        <v>98.071798667653596</v>
      </c>
      <c r="DV180" s="386">
        <v>125.63989408649604</v>
      </c>
      <c r="DW180" s="386">
        <v>112.28251121076232</v>
      </c>
      <c r="DX180" s="386">
        <v>123.87667304015297</v>
      </c>
      <c r="DY180" s="386">
        <v>120.79938900203666</v>
      </c>
      <c r="DZ180" s="386">
        <v>119.0126291618829</v>
      </c>
      <c r="EA180" s="386">
        <v>109.20485175202157</v>
      </c>
      <c r="EB180" s="386">
        <v>161.05874316939889</v>
      </c>
      <c r="EC180" s="386">
        <v>128.6142061281337</v>
      </c>
      <c r="ED180" s="386">
        <v>162.46951219512195</v>
      </c>
      <c r="EE180" s="386">
        <v>152.51416430594901</v>
      </c>
      <c r="EF180" s="386">
        <v>180.41228992234406</v>
      </c>
      <c r="EG180" s="386">
        <v>228.65662932234989</v>
      </c>
      <c r="EH180" s="675">
        <v>226.65662932234989</v>
      </c>
      <c r="EI180" s="675">
        <v>224.65662932234989</v>
      </c>
      <c r="EJ180" s="675">
        <v>222.65662932234989</v>
      </c>
      <c r="EK180" s="675">
        <v>220.65662932234989</v>
      </c>
      <c r="EL180" s="675">
        <v>218.65662932234989</v>
      </c>
      <c r="EM180" s="675">
        <v>216.65662932234989</v>
      </c>
      <c r="EN180" s="675">
        <v>214.65662932234989</v>
      </c>
      <c r="EO180" s="675">
        <v>212.65662932234989</v>
      </c>
      <c r="EP180" s="598"/>
      <c r="EQ180" s="409"/>
    </row>
    <row r="181" spans="1:147" s="596" customFormat="1" outlineLevel="2">
      <c r="A181" s="546"/>
      <c r="B181"/>
      <c r="C181"/>
      <c r="D181"/>
      <c r="E181"/>
      <c r="F181"/>
      <c r="G181"/>
      <c r="I181" s="638" t="s">
        <v>1598</v>
      </c>
      <c r="J181" s="409"/>
      <c r="K181" s="409"/>
      <c r="L181" s="409"/>
      <c r="M181" s="409"/>
      <c r="N181" s="598"/>
      <c r="O181" s="409"/>
      <c r="P181" s="409"/>
      <c r="Q181" s="409"/>
      <c r="R181" s="598"/>
      <c r="S181" s="409"/>
      <c r="T181" s="409"/>
      <c r="U181" s="409"/>
      <c r="V181" s="598"/>
      <c r="W181" s="409"/>
      <c r="X181" s="409"/>
      <c r="Y181" s="409"/>
      <c r="Z181" s="598"/>
      <c r="AA181" s="409"/>
      <c r="AB181" s="409"/>
      <c r="AC181" s="409"/>
      <c r="AD181" s="598"/>
      <c r="AE181" s="409"/>
      <c r="AF181" s="409"/>
      <c r="AG181" s="409"/>
      <c r="AH181" s="598"/>
      <c r="AI181" s="409"/>
      <c r="AJ181" s="409"/>
      <c r="AK181" s="409"/>
      <c r="AL181" s="598"/>
      <c r="AM181" s="409"/>
      <c r="AN181" s="409"/>
      <c r="AO181" s="409"/>
      <c r="AP181" s="598"/>
      <c r="AQ181" s="409"/>
      <c r="AR181" s="409"/>
      <c r="AS181" s="409"/>
      <c r="AT181" s="598"/>
      <c r="AU181" s="409"/>
      <c r="AV181" s="409"/>
      <c r="AW181" s="409"/>
      <c r="AX181" s="598"/>
      <c r="AY181" s="409"/>
      <c r="AZ181" s="409"/>
      <c r="BA181" s="409"/>
      <c r="BB181" s="629">
        <v>0.71980676328502413</v>
      </c>
      <c r="BC181" s="627">
        <v>0.5244328097731239</v>
      </c>
      <c r="BD181" s="627">
        <v>0.64588859416445621</v>
      </c>
      <c r="BE181" s="627">
        <v>1.0461975835110164</v>
      </c>
      <c r="BF181" s="629">
        <v>0.78242320819112632</v>
      </c>
      <c r="BG181" s="627">
        <v>0.8418604651162791</v>
      </c>
      <c r="BH181" s="627">
        <v>1.0071343638525565</v>
      </c>
      <c r="BI181" s="627">
        <v>0.93721719457013575</v>
      </c>
      <c r="BJ181" s="629">
        <v>0.84969788519637457</v>
      </c>
      <c r="BK181" s="627">
        <v>0.6333333333333333</v>
      </c>
      <c r="BL181" s="627">
        <v>0.9276410998552822</v>
      </c>
      <c r="BM181" s="627">
        <v>0.91501976284584985</v>
      </c>
      <c r="BN181" s="629">
        <v>0.98289828982898286</v>
      </c>
      <c r="BO181" s="627">
        <v>0.79278350515463913</v>
      </c>
      <c r="BP181" s="627">
        <v>1.7330677290836654</v>
      </c>
      <c r="BQ181" s="628">
        <v>1.1409523809523809</v>
      </c>
      <c r="BR181" s="627">
        <v>0.90845070422535212</v>
      </c>
      <c r="BS181" s="627">
        <v>0.80172413793103448</v>
      </c>
      <c r="BT181" s="627">
        <v>0.91616161616161618</v>
      </c>
      <c r="BU181" s="628">
        <v>1.2579453067257946</v>
      </c>
      <c r="BV181" s="627">
        <v>0.82955326460481105</v>
      </c>
      <c r="BW181" s="627">
        <v>0.7885350318471338</v>
      </c>
      <c r="BX181" s="627">
        <v>0.84183673469387754</v>
      </c>
      <c r="BY181" s="628">
        <v>0.80834160873882821</v>
      </c>
      <c r="BZ181" s="627">
        <v>0.66801853997682503</v>
      </c>
      <c r="CA181" s="627">
        <v>0.5763335377069283</v>
      </c>
      <c r="CB181" s="627">
        <v>0.84857849196538937</v>
      </c>
      <c r="CC181" s="628">
        <v>0.94419970631424377</v>
      </c>
      <c r="CD181" s="627">
        <v>0.61272264631043261</v>
      </c>
      <c r="CE181" s="627">
        <v>0.5070079219987812</v>
      </c>
      <c r="CF181" s="627">
        <v>0.67261904761904767</v>
      </c>
      <c r="CG181" s="628">
        <v>0.62704745905081893</v>
      </c>
      <c r="CH181" s="627">
        <v>0.51013698630136983</v>
      </c>
      <c r="CI181" s="627">
        <v>0.52148997134670483</v>
      </c>
      <c r="CJ181" s="627">
        <v>0.54212168486739465</v>
      </c>
      <c r="CK181" s="628">
        <v>0.69234642497482379</v>
      </c>
      <c r="CL181" s="627">
        <v>0.59507829977628635</v>
      </c>
      <c r="CM181" s="627">
        <v>0.63250517598343681</v>
      </c>
      <c r="CN181" s="627">
        <v>0.5670419651995906</v>
      </c>
      <c r="CO181" s="628">
        <v>0.69995855781185246</v>
      </c>
      <c r="CP181" s="629">
        <v>0.64131868131868131</v>
      </c>
      <c r="CQ181" s="653">
        <v>0.46080139372822299</v>
      </c>
      <c r="CR181" s="653">
        <v>0.40772946859903381</v>
      </c>
      <c r="CS181" s="679">
        <v>0.68234642497482378</v>
      </c>
      <c r="CT181" s="654">
        <v>0.58507829977628634</v>
      </c>
      <c r="CU181" s="655">
        <v>0.6225051759834368</v>
      </c>
      <c r="CV181" s="655">
        <v>0.55704196519959059</v>
      </c>
      <c r="CW181" s="679">
        <v>0.68995855781185245</v>
      </c>
      <c r="CX181" s="675"/>
      <c r="CY181" s="675"/>
      <c r="CZ181" s="675"/>
      <c r="DA181" s="676"/>
      <c r="DB181" s="675"/>
      <c r="DC181" s="675"/>
      <c r="DD181" s="675"/>
      <c r="DE181" s="676"/>
      <c r="DF181" s="675"/>
      <c r="DG181" s="675"/>
      <c r="DH181" s="675"/>
      <c r="DI181" s="676"/>
      <c r="DJ181" s="674"/>
      <c r="DK181" s="629"/>
      <c r="DL181" s="627"/>
      <c r="DM181" s="627"/>
      <c r="DN181" s="627"/>
      <c r="DO181" s="627"/>
      <c r="DP181" s="627"/>
      <c r="DQ181" s="627"/>
      <c r="DR181" s="627"/>
      <c r="DS181" s="627"/>
      <c r="DT181" s="633"/>
      <c r="DU181" s="633"/>
      <c r="DV181" s="633"/>
      <c r="DW181" s="633"/>
      <c r="DX181" s="633">
        <v>0.30307658738817367</v>
      </c>
      <c r="DY181" s="633">
        <v>0.40757541392606034</v>
      </c>
      <c r="DZ181" s="633">
        <v>0.36484458735262593</v>
      </c>
      <c r="EA181" s="633">
        <v>0.24640532768276072</v>
      </c>
      <c r="EB181" s="633">
        <v>0.2748646337988031</v>
      </c>
      <c r="EC181" s="633">
        <v>0.19909321242832378</v>
      </c>
      <c r="ED181" s="633">
        <v>0.21189705655725075</v>
      </c>
      <c r="EE181" s="633">
        <v>0.20885371584023743</v>
      </c>
      <c r="EF181" s="633">
        <v>8.8179592035097412E-2</v>
      </c>
      <c r="EG181" s="633">
        <v>9.3473693869696173E-2</v>
      </c>
      <c r="EH181" s="631">
        <v>9.3473693869696173E-2</v>
      </c>
      <c r="EI181" s="631">
        <v>9.3473693869696173E-2</v>
      </c>
      <c r="EJ181" s="631">
        <v>9.3473693869696173E-2</v>
      </c>
      <c r="EK181" s="631">
        <v>9.3473693869696173E-2</v>
      </c>
      <c r="EL181" s="631">
        <v>9.3473693869696173E-2</v>
      </c>
      <c r="EM181" s="631">
        <v>9.3473693869696173E-2</v>
      </c>
      <c r="EN181" s="631">
        <v>9.3473693869696173E-2</v>
      </c>
      <c r="EO181" s="631">
        <v>9.3473693869696173E-2</v>
      </c>
      <c r="EP181" s="598"/>
      <c r="EQ181" s="409"/>
    </row>
    <row r="182" spans="1:147" s="635" customFormat="1" outlineLevel="2">
      <c r="A182" s="624"/>
      <c r="B182"/>
      <c r="C182"/>
      <c r="D182"/>
      <c r="E182"/>
      <c r="F182"/>
      <c r="G182"/>
      <c r="H182" s="625"/>
      <c r="I182" s="677" t="s">
        <v>1599</v>
      </c>
      <c r="J182" s="627"/>
      <c r="K182" s="627"/>
      <c r="L182" s="627"/>
      <c r="M182" s="627"/>
      <c r="N182" s="629"/>
      <c r="O182" s="627"/>
      <c r="P182" s="627"/>
      <c r="Q182" s="627"/>
      <c r="R182" s="629"/>
      <c r="S182" s="627"/>
      <c r="T182" s="627"/>
      <c r="U182" s="627"/>
      <c r="V182" s="629"/>
      <c r="W182" s="627"/>
      <c r="X182" s="627"/>
      <c r="Y182" s="627"/>
      <c r="Z182" s="629"/>
      <c r="AA182" s="627"/>
      <c r="AB182" s="627"/>
      <c r="AC182" s="627"/>
      <c r="AD182" s="629"/>
      <c r="AE182" s="627"/>
      <c r="AF182" s="627"/>
      <c r="AG182" s="627"/>
      <c r="AH182" s="629"/>
      <c r="AI182" s="627"/>
      <c r="AJ182" s="627"/>
      <c r="AK182" s="627"/>
      <c r="AL182" s="629"/>
      <c r="AM182" s="627"/>
      <c r="AN182" s="627"/>
      <c r="AO182" s="627"/>
      <c r="AP182" s="629"/>
      <c r="AQ182" s="627"/>
      <c r="AR182" s="627"/>
      <c r="AS182" s="627"/>
      <c r="AT182" s="629"/>
      <c r="AU182" s="627"/>
      <c r="AV182" s="627"/>
      <c r="AW182" s="627"/>
      <c r="AX182" s="629">
        <v>0</v>
      </c>
      <c r="AY182" s="627">
        <v>0</v>
      </c>
      <c r="AZ182" s="627">
        <v>0</v>
      </c>
      <c r="BA182" s="627">
        <v>0</v>
      </c>
      <c r="BB182" s="629">
        <v>0.54914703493095041</v>
      </c>
      <c r="BC182" s="627">
        <v>0.49847094801223241</v>
      </c>
      <c r="BD182" s="678">
        <v>0.81016442451420034</v>
      </c>
      <c r="BE182" s="627">
        <v>1.3423597678916828</v>
      </c>
      <c r="BF182" s="629">
        <v>0.6247689463955638</v>
      </c>
      <c r="BG182" s="627">
        <v>0.53677419354838707</v>
      </c>
      <c r="BH182" s="678">
        <v>0.66229985443959238</v>
      </c>
      <c r="BI182" s="627">
        <v>1.0618892508143323</v>
      </c>
      <c r="BJ182" s="629">
        <v>0.54545454545454541</v>
      </c>
      <c r="BK182" s="627">
        <v>0.41738197424892703</v>
      </c>
      <c r="BL182" s="678">
        <v>0.86201022146507666</v>
      </c>
      <c r="BM182" s="627">
        <v>0.95209580838323349</v>
      </c>
      <c r="BN182" s="629">
        <v>0.72904707233065447</v>
      </c>
      <c r="BO182" s="627">
        <v>0.59159859976662776</v>
      </c>
      <c r="BP182" s="678">
        <v>1.0973630831643002</v>
      </c>
      <c r="BQ182" s="628">
        <v>0.89561270801815429</v>
      </c>
      <c r="BR182" s="627">
        <v>0.57262569832402233</v>
      </c>
      <c r="BS182" s="627">
        <v>0.58553386911595862</v>
      </c>
      <c r="BT182" s="627">
        <v>0.53315290933694182</v>
      </c>
      <c r="BU182" s="628">
        <v>1.2135922330097086</v>
      </c>
      <c r="BV182" s="627">
        <v>0.74896093100581884</v>
      </c>
      <c r="BW182" s="627">
        <v>0.7342158859470469</v>
      </c>
      <c r="BX182" s="627">
        <v>0.69315895372233405</v>
      </c>
      <c r="BY182" s="628">
        <v>0.73607305936073064</v>
      </c>
      <c r="BZ182" s="627">
        <v>0.68072727272727274</v>
      </c>
      <c r="CA182" s="627">
        <v>0.570198105081826</v>
      </c>
      <c r="CB182" s="627">
        <v>0.70795568982880164</v>
      </c>
      <c r="CC182" s="628">
        <v>1.27002700270027</v>
      </c>
      <c r="CD182" s="627">
        <v>0.98789808917197452</v>
      </c>
      <c r="CE182" s="627">
        <v>0.84474522292993626</v>
      </c>
      <c r="CF182" s="627">
        <v>1.0323529411764707</v>
      </c>
      <c r="CG182" s="628">
        <v>0.76320272572402048</v>
      </c>
      <c r="CH182" s="627">
        <v>0.78712220762155061</v>
      </c>
      <c r="CI182" s="627">
        <v>0.6712580348943985</v>
      </c>
      <c r="CJ182" s="627">
        <v>0.79552390640895221</v>
      </c>
      <c r="CK182" s="628">
        <v>1.4821852731591449</v>
      </c>
      <c r="CL182" s="627">
        <v>1.0527143981117231</v>
      </c>
      <c r="CM182" s="627">
        <v>1.195046439628483</v>
      </c>
      <c r="CN182" s="627">
        <v>0.68509615384615385</v>
      </c>
      <c r="CO182" s="628">
        <v>0.88641779189833203</v>
      </c>
      <c r="CP182" s="629">
        <v>1.0281593406593406</v>
      </c>
      <c r="CQ182" s="653">
        <v>0.62372448979591832</v>
      </c>
      <c r="CR182" s="653">
        <v>0.8034782608695652</v>
      </c>
      <c r="CS182" s="632">
        <v>0.88641779189833203</v>
      </c>
      <c r="CT182" s="654">
        <v>1.0281593406593406</v>
      </c>
      <c r="CU182" s="655">
        <v>0.62372448979591832</v>
      </c>
      <c r="CV182" s="655">
        <v>0.8034782608695652</v>
      </c>
      <c r="CW182" s="632">
        <v>0.88641779189833203</v>
      </c>
      <c r="CX182" s="631"/>
      <c r="CY182" s="631"/>
      <c r="CZ182" s="631"/>
      <c r="DA182" s="632"/>
      <c r="DB182" s="631"/>
      <c r="DC182" s="631"/>
      <c r="DD182" s="631"/>
      <c r="DE182" s="632"/>
      <c r="DF182" s="631"/>
      <c r="DG182" s="631"/>
      <c r="DH182" s="631"/>
      <c r="DI182" s="632"/>
      <c r="DJ182" s="674"/>
      <c r="DK182" s="629"/>
      <c r="DL182" s="627"/>
      <c r="DM182" s="627"/>
      <c r="DN182" s="627"/>
      <c r="DO182" s="627"/>
      <c r="DP182" s="627"/>
      <c r="DQ182" s="627"/>
      <c r="DR182" s="627"/>
      <c r="DS182" s="627"/>
      <c r="DT182" s="633"/>
      <c r="DU182" s="633">
        <v>0.26592977893368008</v>
      </c>
      <c r="DV182" s="633">
        <v>0.20423778693349029</v>
      </c>
      <c r="DW182" s="633">
        <v>0.20645978467384421</v>
      </c>
      <c r="DX182" s="633">
        <v>0.19479326186830015</v>
      </c>
      <c r="DY182" s="633">
        <v>0.20541290770298404</v>
      </c>
      <c r="DZ182" s="633">
        <v>0.19537355423569866</v>
      </c>
      <c r="EA182" s="633">
        <v>0.18858212447356107</v>
      </c>
      <c r="EB182" s="633">
        <v>0.30409482758620687</v>
      </c>
      <c r="EC182" s="633">
        <v>0.17848605577689244</v>
      </c>
      <c r="ED182" s="633">
        <v>0.28133453561767358</v>
      </c>
      <c r="EE182" s="633">
        <v>0.23795309168443496</v>
      </c>
      <c r="EF182" s="633">
        <v>0.23593826002530974</v>
      </c>
      <c r="EG182" s="633">
        <v>0.33182467800941917</v>
      </c>
      <c r="EH182" s="631">
        <v>0.33682467800941918</v>
      </c>
      <c r="EI182" s="631">
        <v>0.34182467800941918</v>
      </c>
      <c r="EJ182" s="631">
        <v>0.34682467800941919</v>
      </c>
      <c r="EK182" s="631">
        <v>0.35182467800941919</v>
      </c>
      <c r="EL182" s="631">
        <v>0.35682467800941919</v>
      </c>
      <c r="EM182" s="631">
        <v>0.3618246780094192</v>
      </c>
      <c r="EN182" s="631">
        <v>0.3668246780094192</v>
      </c>
      <c r="EO182" s="631">
        <v>0.37182467800941921</v>
      </c>
      <c r="EP182" s="629"/>
      <c r="EQ182" s="634"/>
    </row>
    <row r="183" spans="1:147" s="635" customFormat="1" outlineLevel="2">
      <c r="A183" s="624"/>
      <c r="B183"/>
      <c r="C183"/>
      <c r="D183"/>
      <c r="E183"/>
      <c r="F183"/>
      <c r="G183"/>
      <c r="H183" s="625"/>
      <c r="I183" s="682" t="s">
        <v>1600</v>
      </c>
      <c r="J183" s="683"/>
      <c r="K183" s="683"/>
      <c r="L183" s="683"/>
      <c r="M183" s="683"/>
      <c r="N183" s="684"/>
      <c r="O183" s="683"/>
      <c r="P183" s="683"/>
      <c r="Q183" s="683"/>
      <c r="R183" s="684"/>
      <c r="S183" s="683"/>
      <c r="T183" s="683"/>
      <c r="U183" s="683"/>
      <c r="V183" s="684"/>
      <c r="W183" s="683"/>
      <c r="X183" s="683"/>
      <c r="Y183" s="683"/>
      <c r="Z183" s="684"/>
      <c r="AA183" s="683"/>
      <c r="AB183" s="683"/>
      <c r="AC183" s="683"/>
      <c r="AD183" s="684"/>
      <c r="AE183" s="683"/>
      <c r="AF183" s="683"/>
      <c r="AG183" s="683"/>
      <c r="AH183" s="684"/>
      <c r="AI183" s="683"/>
      <c r="AJ183" s="683"/>
      <c r="AK183" s="683"/>
      <c r="AL183" s="684"/>
      <c r="AM183" s="683"/>
      <c r="AN183" s="683"/>
      <c r="AO183" s="683"/>
      <c r="AP183" s="684"/>
      <c r="AQ183" s="683"/>
      <c r="AR183" s="683"/>
      <c r="AS183" s="683"/>
      <c r="AT183" s="684" t="s">
        <v>366</v>
      </c>
      <c r="AU183" s="683"/>
      <c r="AV183" s="683"/>
      <c r="AW183" s="683"/>
      <c r="AX183" s="684">
        <v>0</v>
      </c>
      <c r="AY183" s="683">
        <v>0</v>
      </c>
      <c r="AZ183" s="683">
        <v>0</v>
      </c>
      <c r="BA183" s="683">
        <v>0</v>
      </c>
      <c r="BB183" s="684">
        <v>0.13484971567831031</v>
      </c>
      <c r="BC183" s="683">
        <v>0.16717635066258921</v>
      </c>
      <c r="BD183" s="685">
        <v>0.25112107623318386</v>
      </c>
      <c r="BE183" s="683">
        <v>0.3365570599613153</v>
      </c>
      <c r="BF183" s="684">
        <v>0.15249537892791126</v>
      </c>
      <c r="BG183" s="683">
        <v>0.20645161290322581</v>
      </c>
      <c r="BH183" s="685">
        <v>0.23726346433770015</v>
      </c>
      <c r="BI183" s="683">
        <v>0.33550488599348532</v>
      </c>
      <c r="BJ183" s="684">
        <v>0.19294990723562153</v>
      </c>
      <c r="BK183" s="683">
        <v>0.22103004291845493</v>
      </c>
      <c r="BL183" s="685">
        <v>0.35093696763202725</v>
      </c>
      <c r="BM183" s="683">
        <v>0.44461077844311375</v>
      </c>
      <c r="BN183" s="684">
        <v>0.35017221584385766</v>
      </c>
      <c r="BO183" s="683">
        <v>0.40023337222870481</v>
      </c>
      <c r="BP183" s="685">
        <v>0.70385395537525353</v>
      </c>
      <c r="BQ183" s="686">
        <v>0.54614220877458397</v>
      </c>
      <c r="BR183" s="683">
        <v>0.41061452513966479</v>
      </c>
      <c r="BS183" s="683">
        <v>0.5350172215843858</v>
      </c>
      <c r="BT183" s="683">
        <v>0.69688768606224627</v>
      </c>
      <c r="BU183" s="686">
        <v>0.93786407766990287</v>
      </c>
      <c r="BV183" s="683">
        <v>0.66334164588528677</v>
      </c>
      <c r="BW183" s="683">
        <v>0.85030549898167007</v>
      </c>
      <c r="BX183" s="683">
        <v>0.94265593561368211</v>
      </c>
      <c r="BY183" s="686">
        <v>0.68127853881278544</v>
      </c>
      <c r="BZ183" s="683">
        <v>0.5905454545454546</v>
      </c>
      <c r="CA183" s="683">
        <v>0.77777777777777779</v>
      </c>
      <c r="CB183" s="683">
        <v>0.94058408862034237</v>
      </c>
      <c r="CC183" s="686">
        <v>1.063006300630063</v>
      </c>
      <c r="CD183" s="683">
        <v>0.79171974522292998</v>
      </c>
      <c r="CE183" s="683">
        <v>0.9116242038216561</v>
      </c>
      <c r="CF183" s="683">
        <v>0.97156862745098038</v>
      </c>
      <c r="CG183" s="686">
        <v>0.97700170357751281</v>
      </c>
      <c r="CH183" s="683">
        <v>0.89553219448094612</v>
      </c>
      <c r="CI183" s="683">
        <v>1.0890725436179982</v>
      </c>
      <c r="CJ183" s="683">
        <v>1.1414038657171923</v>
      </c>
      <c r="CK183" s="686">
        <v>1.1223277909738718</v>
      </c>
      <c r="CL183" s="683">
        <v>0.70023603461841066</v>
      </c>
      <c r="CM183" s="683">
        <v>0.89680082559339525</v>
      </c>
      <c r="CN183" s="683">
        <v>0.74038461538461542</v>
      </c>
      <c r="CO183" s="686">
        <v>0.75377283558379671</v>
      </c>
      <c r="CP183" s="684">
        <v>0.64697802197802201</v>
      </c>
      <c r="CQ183" s="687">
        <v>0.58418367346938771</v>
      </c>
      <c r="CR183" s="687">
        <v>0.84434782608695658</v>
      </c>
      <c r="CS183" s="688">
        <v>1.1223277909738718</v>
      </c>
      <c r="CT183" s="689">
        <v>0.70023603461841066</v>
      </c>
      <c r="CU183" s="690">
        <v>0.89680082559339525</v>
      </c>
      <c r="CV183" s="690">
        <v>0.74038461538461542</v>
      </c>
      <c r="CW183" s="688">
        <v>0.75377283558379671</v>
      </c>
      <c r="CX183" s="691"/>
      <c r="CY183" s="691"/>
      <c r="CZ183" s="691"/>
      <c r="DA183" s="688"/>
      <c r="DB183" s="691"/>
      <c r="DC183" s="691"/>
      <c r="DD183" s="691"/>
      <c r="DE183" s="688"/>
      <c r="DF183" s="691"/>
      <c r="DG183" s="691"/>
      <c r="DH183" s="691"/>
      <c r="DI183" s="688"/>
      <c r="DJ183" s="674"/>
      <c r="DK183" s="684"/>
      <c r="DL183" s="683"/>
      <c r="DM183" s="683"/>
      <c r="DN183" s="683"/>
      <c r="DO183" s="683"/>
      <c r="DP183" s="683"/>
      <c r="DQ183" s="683"/>
      <c r="DR183" s="683"/>
      <c r="DS183" s="683"/>
      <c r="DT183" s="692"/>
      <c r="DU183" s="692">
        <v>5.9817945383615082E-2</v>
      </c>
      <c r="DV183" s="692">
        <v>5.1206592113007654E-2</v>
      </c>
      <c r="DW183" s="692">
        <v>6.5231158961367955E-2</v>
      </c>
      <c r="DX183" s="692">
        <v>9.0964777947932618E-2</v>
      </c>
      <c r="DY183" s="692">
        <v>0.12526023594725885</v>
      </c>
      <c r="DZ183" s="692">
        <v>0.15098468271334792</v>
      </c>
      <c r="EA183" s="692">
        <v>0.17454375292466073</v>
      </c>
      <c r="EB183" s="692">
        <v>0.25452586206896549</v>
      </c>
      <c r="EC183" s="692">
        <v>0.22848605577689243</v>
      </c>
      <c r="ED183" s="692">
        <v>0.21302975653742109</v>
      </c>
      <c r="EE183" s="692">
        <v>0.2023454157782516</v>
      </c>
      <c r="EF183" s="692">
        <v>0.17307467865122561</v>
      </c>
      <c r="EG183" s="692">
        <v>0.18166642182388307</v>
      </c>
      <c r="EH183" s="691">
        <v>0.18166642182388307</v>
      </c>
      <c r="EI183" s="691">
        <v>0.18166642182388307</v>
      </c>
      <c r="EJ183" s="691">
        <v>0.18166642182388307</v>
      </c>
      <c r="EK183" s="691">
        <v>0.18166642182388307</v>
      </c>
      <c r="EL183" s="691">
        <v>0.18166642182388307</v>
      </c>
      <c r="EM183" s="691">
        <v>0.18166642182388307</v>
      </c>
      <c r="EN183" s="691">
        <v>0.18166642182388307</v>
      </c>
      <c r="EO183" s="691">
        <v>0.18166642182388307</v>
      </c>
      <c r="EP183" s="629"/>
      <c r="EQ183" s="634"/>
    </row>
    <row r="184" spans="1:147" s="656" customFormat="1" ht="15" customHeight="1" outlineLevel="1">
      <c r="A184" s="473"/>
      <c r="B184"/>
      <c r="C184"/>
      <c r="D184"/>
      <c r="E184"/>
      <c r="F184"/>
      <c r="G184"/>
      <c r="I184" s="693"/>
      <c r="J184" s="694"/>
      <c r="K184" s="694"/>
      <c r="L184" s="694"/>
      <c r="M184" s="694"/>
      <c r="N184" s="694"/>
      <c r="O184" s="694"/>
      <c r="P184" s="694"/>
      <c r="Q184" s="694"/>
      <c r="R184" s="694"/>
      <c r="S184" s="694"/>
      <c r="T184" s="694"/>
      <c r="U184" s="694"/>
      <c r="V184" s="694"/>
      <c r="W184" s="694"/>
      <c r="X184" s="694"/>
      <c r="Y184" s="694"/>
      <c r="Z184" s="694"/>
      <c r="AA184" s="694"/>
      <c r="AB184" s="694"/>
      <c r="AC184" s="694"/>
      <c r="AD184" s="694"/>
      <c r="AE184" s="694"/>
      <c r="AF184" s="694"/>
      <c r="AG184" s="694"/>
      <c r="AH184" s="694"/>
      <c r="AI184" s="694"/>
      <c r="AJ184" s="694"/>
      <c r="AK184" s="694"/>
      <c r="AL184" s="694"/>
      <c r="AM184" s="694"/>
      <c r="AN184" s="694"/>
      <c r="AO184" s="694"/>
      <c r="AP184" s="694"/>
      <c r="AQ184" s="694"/>
      <c r="AR184" s="694"/>
      <c r="AS184" s="694"/>
      <c r="AT184" s="694"/>
      <c r="AU184" s="694"/>
      <c r="AV184" s="694"/>
      <c r="AW184" s="694"/>
      <c r="AX184" s="694"/>
      <c r="AY184" s="694"/>
      <c r="AZ184" s="694"/>
      <c r="BA184" s="694"/>
      <c r="BB184" s="695"/>
      <c r="BC184" s="695"/>
      <c r="BD184" s="695"/>
      <c r="BE184" s="694"/>
      <c r="BF184" s="695"/>
      <c r="BG184" s="695"/>
      <c r="BH184" s="695"/>
      <c r="BI184" s="694"/>
      <c r="BJ184" s="695"/>
      <c r="BK184" s="695"/>
      <c r="BL184" s="695"/>
      <c r="BM184" s="694"/>
      <c r="BN184" s="695"/>
      <c r="BO184" s="695"/>
      <c r="BP184" s="695"/>
      <c r="BQ184" s="694"/>
      <c r="BR184" s="695"/>
      <c r="BS184" s="695"/>
      <c r="BT184" s="695"/>
      <c r="BU184" s="695"/>
      <c r="BV184" s="695"/>
      <c r="BW184" s="695"/>
      <c r="BX184" s="695"/>
      <c r="BY184" s="695"/>
      <c r="BZ184" s="695"/>
      <c r="CA184" s="695"/>
      <c r="CB184" s="695"/>
      <c r="CC184" s="695"/>
      <c r="CD184" s="695"/>
      <c r="CE184" s="695"/>
      <c r="CF184" s="695"/>
      <c r="CG184" s="696"/>
      <c r="CH184" s="695"/>
      <c r="CI184" s="695"/>
      <c r="CJ184" s="695"/>
      <c r="CK184" s="696"/>
      <c r="CL184" s="695"/>
      <c r="CM184" s="695"/>
      <c r="CN184" s="695"/>
      <c r="CO184" s="696"/>
      <c r="CP184" s="697"/>
      <c r="CQ184" s="695"/>
      <c r="CR184" s="695"/>
      <c r="CS184" s="696"/>
      <c r="CT184" s="697"/>
      <c r="CU184" s="695"/>
      <c r="CV184" s="695"/>
      <c r="CW184" s="696"/>
      <c r="CX184" s="698"/>
      <c r="CY184" s="698"/>
      <c r="CZ184" s="698"/>
      <c r="DA184" s="698"/>
      <c r="DB184" s="698"/>
      <c r="DC184" s="698"/>
      <c r="DD184" s="698"/>
      <c r="DE184" s="698"/>
      <c r="DF184" s="698"/>
      <c r="DG184" s="698"/>
      <c r="DH184" s="698"/>
      <c r="DI184" s="698"/>
      <c r="DK184" s="699"/>
      <c r="DL184" s="699"/>
      <c r="DM184" s="699"/>
      <c r="DN184" s="699"/>
      <c r="DO184" s="699"/>
      <c r="DP184" s="699"/>
      <c r="DQ184" s="699"/>
      <c r="DR184" s="699"/>
      <c r="DS184" s="699"/>
      <c r="DT184" s="699"/>
      <c r="DU184" s="699"/>
      <c r="DV184" s="699"/>
      <c r="DW184" s="699"/>
      <c r="DX184" s="699"/>
      <c r="DY184" s="699"/>
      <c r="DZ184" s="699"/>
      <c r="EA184" s="699"/>
      <c r="EB184" s="700"/>
      <c r="EC184" s="699"/>
      <c r="ED184" s="699"/>
      <c r="EE184" s="699"/>
      <c r="EF184" s="699"/>
      <c r="EG184" s="700"/>
      <c r="EH184" s="700"/>
      <c r="EI184" s="700"/>
      <c r="EJ184" s="700"/>
      <c r="EK184" s="700"/>
      <c r="EL184" s="700"/>
      <c r="EM184" s="700"/>
      <c r="EN184" s="700"/>
      <c r="EO184" s="700"/>
      <c r="EP184" s="701"/>
    </row>
    <row r="185" spans="1:147" customFormat="1" ht="12.95">
      <c r="A185" s="473"/>
      <c r="H185" s="702" t="s">
        <v>1468</v>
      </c>
      <c r="I185" s="703" t="s">
        <v>527</v>
      </c>
      <c r="J185" s="359"/>
      <c r="K185" s="359"/>
      <c r="L185" s="359"/>
      <c r="M185" s="360"/>
      <c r="N185" s="704"/>
      <c r="O185" s="359"/>
      <c r="P185" s="359"/>
      <c r="Q185" s="360"/>
      <c r="R185" s="704"/>
      <c r="S185" s="359"/>
      <c r="T185" s="359"/>
      <c r="U185" s="360"/>
      <c r="V185" s="704"/>
      <c r="W185" s="359"/>
      <c r="X185" s="359"/>
      <c r="Y185" s="360"/>
      <c r="Z185" s="704"/>
      <c r="AA185" s="359"/>
      <c r="AB185" s="359"/>
      <c r="AC185" s="360"/>
      <c r="AD185" s="704"/>
      <c r="AE185" s="359"/>
      <c r="AF185" s="359"/>
      <c r="AG185" s="360"/>
      <c r="AH185" s="704"/>
      <c r="AI185" s="359"/>
      <c r="AJ185" s="359"/>
      <c r="AK185" s="360"/>
      <c r="AL185" s="704"/>
      <c r="AM185" s="359"/>
      <c r="AN185" s="359"/>
      <c r="AO185" s="360"/>
      <c r="AP185" s="704"/>
      <c r="AQ185" s="359"/>
      <c r="AR185" s="359"/>
      <c r="AS185" s="360"/>
      <c r="AT185" s="704"/>
      <c r="AU185" s="359"/>
      <c r="AV185" s="359"/>
      <c r="AW185" s="360"/>
      <c r="AX185" s="704"/>
      <c r="AY185" s="359"/>
      <c r="AZ185" s="359"/>
      <c r="BA185" s="360"/>
      <c r="BB185" s="704"/>
      <c r="BC185" s="359"/>
      <c r="BD185" s="359"/>
      <c r="BE185" s="360"/>
      <c r="BF185" s="704"/>
      <c r="BG185" s="359"/>
      <c r="BH185" s="359"/>
      <c r="BI185" s="360"/>
      <c r="BJ185" s="704"/>
      <c r="BK185" s="359"/>
      <c r="BL185" s="359"/>
      <c r="BM185" s="360"/>
      <c r="BN185" s="704"/>
      <c r="BO185" s="359"/>
      <c r="BP185" s="359"/>
      <c r="BQ185" s="360"/>
      <c r="BR185" s="704"/>
      <c r="BS185" s="359"/>
      <c r="BT185" s="359"/>
      <c r="BU185" s="360"/>
      <c r="BV185" s="359"/>
      <c r="BW185" s="359"/>
      <c r="BX185" s="359"/>
      <c r="BY185" s="360"/>
      <c r="BZ185" s="359"/>
      <c r="CA185" s="359"/>
      <c r="CB185" s="359"/>
      <c r="CC185" s="360"/>
      <c r="CD185" s="359"/>
      <c r="CE185" s="359"/>
      <c r="CF185" s="359"/>
      <c r="CG185" s="360"/>
      <c r="CH185" s="359"/>
      <c r="CI185" s="359"/>
      <c r="CJ185" s="359"/>
      <c r="CK185" s="360"/>
      <c r="CL185" s="359"/>
      <c r="CM185" s="359"/>
      <c r="CN185" s="359"/>
      <c r="CO185" s="360"/>
      <c r="CP185" s="704"/>
      <c r="CQ185" s="359"/>
      <c r="CR185" s="359"/>
      <c r="CS185" s="360"/>
      <c r="CT185" s="704"/>
      <c r="CU185" s="359"/>
      <c r="CV185" s="359"/>
      <c r="CW185" s="360"/>
      <c r="CX185" s="359"/>
      <c r="CY185" s="359"/>
      <c r="CZ185" s="359"/>
      <c r="DA185" s="360"/>
      <c r="DB185" s="359"/>
      <c r="DC185" s="359"/>
      <c r="DD185" s="359"/>
      <c r="DE185" s="360"/>
      <c r="DF185" s="359"/>
      <c r="DG185" s="359"/>
      <c r="DH185" s="359"/>
      <c r="DI185" s="360"/>
      <c r="DJ185" s="364"/>
      <c r="DK185" s="361"/>
      <c r="DL185" s="362"/>
      <c r="DM185" s="362"/>
      <c r="DN185" s="362"/>
      <c r="DO185" s="362"/>
      <c r="DP185" s="362"/>
      <c r="DQ185" s="362"/>
      <c r="DR185" s="362"/>
      <c r="DS185" s="362"/>
      <c r="DT185" s="705"/>
      <c r="DU185" s="705"/>
      <c r="DV185" s="705"/>
      <c r="DW185" s="705"/>
      <c r="DX185" s="705"/>
      <c r="DY185" s="705"/>
      <c r="DZ185" s="705"/>
      <c r="EA185" s="705"/>
      <c r="EB185" s="362"/>
      <c r="EC185" s="362"/>
      <c r="ED185" s="362"/>
      <c r="EE185" s="362"/>
      <c r="EF185" s="362"/>
      <c r="EG185" s="362"/>
      <c r="EH185" s="362"/>
      <c r="EI185" s="362"/>
      <c r="EJ185" s="362"/>
      <c r="EK185" s="362"/>
      <c r="EL185" s="362"/>
      <c r="EM185" s="362"/>
      <c r="EN185" s="362"/>
      <c r="EO185" s="362"/>
      <c r="EP185" s="706"/>
    </row>
    <row r="186" spans="1:147" ht="15" customHeight="1">
      <c r="A186" s="473"/>
      <c r="H186" s="316"/>
      <c r="I186" s="707" t="s">
        <v>1601</v>
      </c>
      <c r="J186" s="708"/>
      <c r="K186" s="708"/>
      <c r="L186" s="708"/>
      <c r="M186" s="709"/>
      <c r="N186" s="708"/>
      <c r="O186" s="708"/>
      <c r="P186" s="708"/>
      <c r="Q186" s="709"/>
      <c r="R186" s="708"/>
      <c r="S186" s="708"/>
      <c r="T186" s="708"/>
      <c r="U186" s="709"/>
      <c r="V186" s="708"/>
      <c r="W186" s="708"/>
      <c r="X186" s="708"/>
      <c r="Y186" s="709"/>
      <c r="Z186" s="708"/>
      <c r="AA186" s="708"/>
      <c r="AB186" s="708"/>
      <c r="AC186" s="709"/>
      <c r="AD186" s="708"/>
      <c r="AE186" s="708"/>
      <c r="AF186" s="708"/>
      <c r="AG186" s="709"/>
      <c r="AH186" s="708"/>
      <c r="AI186" s="708"/>
      <c r="AJ186" s="708"/>
      <c r="AK186" s="709"/>
      <c r="AL186" s="708"/>
      <c r="AM186" s="708"/>
      <c r="AN186" s="708"/>
      <c r="AO186" s="709"/>
      <c r="AP186" s="708"/>
      <c r="AQ186" s="708"/>
      <c r="AR186" s="708"/>
      <c r="AS186" s="709"/>
      <c r="AT186" s="708"/>
      <c r="AU186" s="708"/>
      <c r="AV186" s="708"/>
      <c r="AW186" s="709"/>
      <c r="AX186" s="708"/>
      <c r="AY186" s="708"/>
      <c r="AZ186" s="708"/>
      <c r="BA186" s="709"/>
      <c r="BB186" s="708"/>
      <c r="BC186" s="708"/>
      <c r="BD186" s="708"/>
      <c r="BE186" s="709"/>
      <c r="BF186" s="708"/>
      <c r="BG186" s="708"/>
      <c r="BH186" s="708"/>
      <c r="BI186" s="709"/>
      <c r="BJ186" s="708"/>
      <c r="BK186" s="708"/>
      <c r="BL186" s="708"/>
      <c r="BM186" s="709"/>
      <c r="BN186" s="708"/>
      <c r="BO186" s="708"/>
      <c r="BP186" s="708"/>
      <c r="BQ186" s="709"/>
      <c r="BR186" s="708"/>
      <c r="BS186" s="708"/>
      <c r="BT186" s="708"/>
      <c r="BU186" s="709"/>
      <c r="BV186" s="708"/>
      <c r="BW186" s="708"/>
      <c r="BX186" s="708"/>
      <c r="BY186" s="709"/>
      <c r="BZ186" s="708"/>
      <c r="CA186" s="708"/>
      <c r="CB186" s="708"/>
      <c r="CC186" s="709"/>
      <c r="CD186" s="708"/>
      <c r="CE186" s="708"/>
      <c r="CF186" s="708"/>
      <c r="CG186" s="709"/>
      <c r="CH186" s="708"/>
      <c r="CI186" s="708"/>
      <c r="CJ186" s="708"/>
      <c r="CK186" s="709"/>
      <c r="CL186" s="708"/>
      <c r="CM186" s="708"/>
      <c r="CN186" s="708"/>
      <c r="CO186" s="709"/>
      <c r="CP186" s="710"/>
      <c r="CQ186" s="708"/>
      <c r="CR186" s="708"/>
      <c r="CS186" s="709"/>
      <c r="CT186" s="710"/>
      <c r="CU186" s="708"/>
      <c r="CV186" s="708"/>
      <c r="CW186" s="709"/>
      <c r="CX186" s="708"/>
      <c r="CY186" s="708"/>
      <c r="CZ186" s="708"/>
      <c r="DA186" s="709"/>
      <c r="DB186" s="708"/>
      <c r="DC186" s="708"/>
      <c r="DD186" s="708"/>
      <c r="DE186" s="709"/>
      <c r="DF186" s="708"/>
      <c r="DG186" s="708"/>
      <c r="DH186" s="708"/>
      <c r="DI186" s="709"/>
      <c r="DJ186" s="350"/>
      <c r="DK186" s="710"/>
      <c r="DL186" s="708"/>
      <c r="DM186" s="708"/>
      <c r="DN186" s="708"/>
      <c r="DO186" s="708"/>
      <c r="DP186" s="708"/>
      <c r="DQ186" s="708"/>
      <c r="DR186" s="708"/>
      <c r="DS186" s="708"/>
      <c r="DT186" s="708"/>
      <c r="DU186" s="708"/>
      <c r="DV186" s="708"/>
      <c r="DW186" s="708"/>
      <c r="DX186" s="708"/>
      <c r="DY186" s="708"/>
      <c r="DZ186" s="708"/>
      <c r="EA186" s="708"/>
      <c r="EB186" s="708"/>
      <c r="EC186" s="708"/>
      <c r="ED186" s="708"/>
      <c r="EE186" s="708"/>
      <c r="EF186" s="708"/>
      <c r="EG186" s="708"/>
      <c r="EH186" s="708"/>
      <c r="EI186" s="708"/>
      <c r="EJ186" s="708"/>
      <c r="EK186" s="708"/>
      <c r="EL186" s="708"/>
      <c r="EM186" s="708"/>
      <c r="EN186" s="708"/>
      <c r="EO186" s="708"/>
      <c r="EP186" s="355"/>
      <c r="EQ186" s="356"/>
    </row>
    <row r="187" spans="1:147" s="390" customFormat="1" ht="15" customHeight="1">
      <c r="A187" s="385"/>
      <c r="B187"/>
      <c r="C187"/>
      <c r="D187"/>
      <c r="E187"/>
      <c r="F187"/>
      <c r="G187"/>
      <c r="I187" s="370" t="s">
        <v>295</v>
      </c>
      <c r="J187" s="399"/>
      <c r="K187" s="399"/>
      <c r="L187" s="399"/>
      <c r="M187" s="400"/>
      <c r="N187" s="399"/>
      <c r="O187" s="399"/>
      <c r="P187" s="399"/>
      <c r="Q187" s="400"/>
      <c r="R187" s="399"/>
      <c r="S187" s="399"/>
      <c r="T187" s="399"/>
      <c r="U187" s="400"/>
      <c r="V187" s="399"/>
      <c r="W187" s="399"/>
      <c r="X187" s="399"/>
      <c r="Y187" s="400"/>
      <c r="Z187" s="399"/>
      <c r="AA187" s="399"/>
      <c r="AB187" s="399"/>
      <c r="AC187" s="400"/>
      <c r="AD187" s="399"/>
      <c r="AE187" s="399"/>
      <c r="AF187" s="399"/>
      <c r="AG187" s="400"/>
      <c r="AH187" s="399"/>
      <c r="AI187" s="399"/>
      <c r="AJ187" s="399"/>
      <c r="AK187" s="400"/>
      <c r="AL187" s="399"/>
      <c r="AM187" s="399"/>
      <c r="AN187" s="399"/>
      <c r="AO187" s="400"/>
      <c r="AP187" s="399"/>
      <c r="AQ187" s="399"/>
      <c r="AR187" s="399"/>
      <c r="AS187" s="400"/>
      <c r="AT187" s="399"/>
      <c r="AU187" s="399"/>
      <c r="AV187" s="399"/>
      <c r="AW187" s="400"/>
      <c r="AX187" s="399"/>
      <c r="AY187" s="399"/>
      <c r="AZ187" s="399"/>
      <c r="BA187" s="400"/>
      <c r="BB187" s="376">
        <v>503</v>
      </c>
      <c r="BC187" s="376">
        <v>335</v>
      </c>
      <c r="BD187" s="376">
        <v>148</v>
      </c>
      <c r="BE187" s="485">
        <v>99</v>
      </c>
      <c r="BF187" s="376">
        <v>384</v>
      </c>
      <c r="BG187" s="376">
        <v>185</v>
      </c>
      <c r="BH187" s="376">
        <v>226</v>
      </c>
      <c r="BI187" s="485">
        <v>354</v>
      </c>
      <c r="BJ187" s="376">
        <v>456</v>
      </c>
      <c r="BK187" s="376">
        <v>324</v>
      </c>
      <c r="BL187" s="376">
        <v>56</v>
      </c>
      <c r="BM187" s="485">
        <v>174</v>
      </c>
      <c r="BN187" s="376">
        <v>293</v>
      </c>
      <c r="BO187" s="376">
        <v>204</v>
      </c>
      <c r="BP187" s="376">
        <v>-23</v>
      </c>
      <c r="BQ187" s="485">
        <v>361</v>
      </c>
      <c r="BR187" s="376">
        <v>394</v>
      </c>
      <c r="BS187" s="376">
        <v>212</v>
      </c>
      <c r="BT187" s="376">
        <v>127</v>
      </c>
      <c r="BU187" s="485">
        <v>159</v>
      </c>
      <c r="BV187" s="376">
        <v>363</v>
      </c>
      <c r="BW187" s="376">
        <v>151</v>
      </c>
      <c r="BX187" s="376">
        <v>199</v>
      </c>
      <c r="BY187" s="485">
        <v>253</v>
      </c>
      <c r="BZ187" s="376">
        <v>426</v>
      </c>
      <c r="CA187" s="376">
        <v>243</v>
      </c>
      <c r="CB187" s="376">
        <v>188</v>
      </c>
      <c r="CC187" s="485">
        <v>-584</v>
      </c>
      <c r="CD187" s="376">
        <v>500</v>
      </c>
      <c r="CE187" s="376">
        <v>402</v>
      </c>
      <c r="CF187" s="376">
        <v>260</v>
      </c>
      <c r="CG187" s="485">
        <v>650</v>
      </c>
      <c r="CH187" s="376">
        <v>390</v>
      </c>
      <c r="CI187" s="376">
        <v>328</v>
      </c>
      <c r="CJ187" s="376">
        <v>204</v>
      </c>
      <c r="CK187" s="485">
        <v>525</v>
      </c>
      <c r="CL187" s="376">
        <v>505</v>
      </c>
      <c r="CM187" s="376">
        <v>580</v>
      </c>
      <c r="CN187" s="376">
        <v>604</v>
      </c>
      <c r="CO187" s="485">
        <v>508</v>
      </c>
      <c r="CP187" s="487">
        <v>619</v>
      </c>
      <c r="CQ187" s="376">
        <v>876</v>
      </c>
      <c r="CR187" s="376">
        <v>639</v>
      </c>
      <c r="CS187" s="485">
        <v>960.4976021179923</v>
      </c>
      <c r="CT187" s="487">
        <v>305.04206261218957</v>
      </c>
      <c r="CU187" s="376">
        <v>358.53006528527516</v>
      </c>
      <c r="CV187" s="376">
        <v>602.85801679751648</v>
      </c>
      <c r="CW187" s="485">
        <v>1160.6804591270529</v>
      </c>
      <c r="CX187" s="386"/>
      <c r="CY187" s="386"/>
      <c r="CZ187" s="386"/>
      <c r="DA187" s="388"/>
      <c r="DB187" s="386"/>
      <c r="DC187" s="386"/>
      <c r="DD187" s="386"/>
      <c r="DE187" s="388"/>
      <c r="DF187" s="386"/>
      <c r="DG187" s="386"/>
      <c r="DH187" s="386"/>
      <c r="DI187" s="388"/>
      <c r="DJ187" s="374"/>
      <c r="DK187" s="411"/>
      <c r="DL187" s="399"/>
      <c r="DM187" s="399"/>
      <c r="DN187" s="399"/>
      <c r="DO187" s="399"/>
      <c r="DP187" s="399"/>
      <c r="DQ187" s="399"/>
      <c r="DR187" s="399"/>
      <c r="DS187" s="376">
        <v>-107</v>
      </c>
      <c r="DT187" s="376">
        <v>113</v>
      </c>
      <c r="DU187" s="376">
        <v>418</v>
      </c>
      <c r="DV187" s="325">
        <v>1085</v>
      </c>
      <c r="DW187" s="325">
        <v>1149</v>
      </c>
      <c r="DX187" s="325">
        <v>1010</v>
      </c>
      <c r="DY187" s="325">
        <v>835</v>
      </c>
      <c r="DZ187" s="325">
        <v>892</v>
      </c>
      <c r="EA187" s="325">
        <v>966</v>
      </c>
      <c r="EB187" s="325">
        <v>273</v>
      </c>
      <c r="EC187" s="376">
        <v>1812</v>
      </c>
      <c r="ED187" s="376">
        <v>1447</v>
      </c>
      <c r="EE187" s="376">
        <v>2197</v>
      </c>
      <c r="EF187" s="376">
        <v>3094.4976021179923</v>
      </c>
      <c r="EG187" s="376">
        <v>2427.1106038220341</v>
      </c>
      <c r="EH187" s="376">
        <v>3109.6601610367948</v>
      </c>
      <c r="EI187" s="376">
        <v>2903.7756029560996</v>
      </c>
      <c r="EJ187" s="376">
        <v>2629.3122979699237</v>
      </c>
      <c r="EK187" s="376">
        <v>3766.9024015991104</v>
      </c>
      <c r="EL187" s="376">
        <v>3488.7893962614949</v>
      </c>
      <c r="EM187" s="376">
        <v>3556.2684049057207</v>
      </c>
      <c r="EN187" s="376">
        <v>3460.2517746227913</v>
      </c>
      <c r="EO187" s="376">
        <v>4002.7444764876827</v>
      </c>
      <c r="EP187" s="389"/>
      <c r="EQ187" s="386"/>
    </row>
    <row r="188" spans="1:147" s="390" customFormat="1" ht="15" customHeight="1">
      <c r="A188" s="385"/>
      <c r="B188"/>
      <c r="C188"/>
      <c r="D188"/>
      <c r="E188"/>
      <c r="F188"/>
      <c r="G188"/>
      <c r="H188" s="386"/>
      <c r="I188" s="370" t="s">
        <v>1602</v>
      </c>
      <c r="J188" s="399"/>
      <c r="K188" s="399"/>
      <c r="L188" s="399"/>
      <c r="M188" s="400"/>
      <c r="N188" s="399"/>
      <c r="O188" s="399"/>
      <c r="P188" s="399"/>
      <c r="Q188" s="400"/>
      <c r="R188" s="399"/>
      <c r="S188" s="399"/>
      <c r="T188" s="399"/>
      <c r="U188" s="400"/>
      <c r="V188" s="399"/>
      <c r="W188" s="399"/>
      <c r="X188" s="399"/>
      <c r="Y188" s="400"/>
      <c r="Z188" s="399"/>
      <c r="AA188" s="399"/>
      <c r="AB188" s="399"/>
      <c r="AC188" s="400"/>
      <c r="AD188" s="399"/>
      <c r="AE188" s="399"/>
      <c r="AF188" s="399"/>
      <c r="AG188" s="400"/>
      <c r="AH188" s="399"/>
      <c r="AI188" s="399"/>
      <c r="AJ188" s="399"/>
      <c r="AK188" s="400"/>
      <c r="AL188" s="399"/>
      <c r="AM188" s="399"/>
      <c r="AN188" s="399"/>
      <c r="AO188" s="400"/>
      <c r="AP188" s="399"/>
      <c r="AQ188" s="399"/>
      <c r="AR188" s="399"/>
      <c r="AS188" s="400"/>
      <c r="AT188" s="399"/>
      <c r="AU188" s="399"/>
      <c r="AV188" s="399"/>
      <c r="AW188" s="400"/>
      <c r="AX188" s="399"/>
      <c r="AY188" s="399"/>
      <c r="AZ188" s="399"/>
      <c r="BA188" s="400"/>
      <c r="BB188" s="401">
        <v>150</v>
      </c>
      <c r="BC188" s="401">
        <v>-31</v>
      </c>
      <c r="BD188" s="401">
        <v>5</v>
      </c>
      <c r="BE188" s="402">
        <v>-49</v>
      </c>
      <c r="BF188" s="401">
        <v>65</v>
      </c>
      <c r="BG188" s="401">
        <v>-36</v>
      </c>
      <c r="BH188" s="401">
        <v>-9</v>
      </c>
      <c r="BI188" s="402">
        <v>-30</v>
      </c>
      <c r="BJ188" s="401">
        <v>140</v>
      </c>
      <c r="BK188" s="401">
        <v>69</v>
      </c>
      <c r="BL188" s="401">
        <v>-6</v>
      </c>
      <c r="BM188" s="402">
        <v>-18</v>
      </c>
      <c r="BN188" s="401">
        <v>6</v>
      </c>
      <c r="BO188" s="401">
        <v>-27</v>
      </c>
      <c r="BP188" s="401">
        <v>-36</v>
      </c>
      <c r="BQ188" s="402">
        <v>13</v>
      </c>
      <c r="BR188" s="401">
        <v>-3</v>
      </c>
      <c r="BS188" s="401">
        <v>23</v>
      </c>
      <c r="BT188" s="401">
        <v>-42</v>
      </c>
      <c r="BU188" s="402">
        <v>-5</v>
      </c>
      <c r="BV188" s="401">
        <v>-63</v>
      </c>
      <c r="BW188" s="401">
        <v>-52</v>
      </c>
      <c r="BX188" s="401">
        <v>-85</v>
      </c>
      <c r="BY188" s="402">
        <v>191</v>
      </c>
      <c r="BZ188" s="401">
        <v>-80</v>
      </c>
      <c r="CA188" s="401">
        <v>-23</v>
      </c>
      <c r="CB188" s="401">
        <v>-35</v>
      </c>
      <c r="CC188" s="402">
        <v>-43</v>
      </c>
      <c r="CD188" s="401">
        <v>29</v>
      </c>
      <c r="CE188" s="401">
        <v>66</v>
      </c>
      <c r="CF188" s="401">
        <v>80</v>
      </c>
      <c r="CG188" s="402">
        <v>-155</v>
      </c>
      <c r="CH188" s="401">
        <v>86</v>
      </c>
      <c r="CI188" s="401">
        <v>5</v>
      </c>
      <c r="CJ188" s="401">
        <v>9</v>
      </c>
      <c r="CK188" s="402">
        <v>-452</v>
      </c>
      <c r="CL188" s="401">
        <v>11</v>
      </c>
      <c r="CM188" s="401">
        <v>-8</v>
      </c>
      <c r="CN188" s="401">
        <v>-16</v>
      </c>
      <c r="CO188" s="402">
        <v>-81</v>
      </c>
      <c r="CP188" s="438">
        <v>3</v>
      </c>
      <c r="CQ188" s="401">
        <v>-49</v>
      </c>
      <c r="CR188" s="401">
        <v>-36</v>
      </c>
      <c r="CS188" s="372">
        <v>0</v>
      </c>
      <c r="CT188" s="373">
        <v>0</v>
      </c>
      <c r="CU188" s="325">
        <v>0</v>
      </c>
      <c r="CV188" s="325">
        <v>0</v>
      </c>
      <c r="CW188" s="372">
        <v>0</v>
      </c>
      <c r="CX188" s="399"/>
      <c r="CY188" s="399"/>
      <c r="CZ188" s="399"/>
      <c r="DA188" s="400"/>
      <c r="DB188" s="399"/>
      <c r="DC188" s="399"/>
      <c r="DD188" s="399"/>
      <c r="DE188" s="400"/>
      <c r="DF188" s="399"/>
      <c r="DG188" s="399"/>
      <c r="DH188" s="399"/>
      <c r="DI188" s="400"/>
      <c r="DJ188" s="454"/>
      <c r="DK188" s="411"/>
      <c r="DL188" s="399"/>
      <c r="DM188" s="399"/>
      <c r="DN188" s="399"/>
      <c r="DO188" s="399"/>
      <c r="DP188" s="399"/>
      <c r="DQ188" s="399"/>
      <c r="DR188" s="399"/>
      <c r="DS188" s="401">
        <v>-430</v>
      </c>
      <c r="DT188" s="401">
        <v>-256</v>
      </c>
      <c r="DU188" s="401">
        <v>-278</v>
      </c>
      <c r="DV188" s="325">
        <v>75</v>
      </c>
      <c r="DW188" s="325">
        <v>-10</v>
      </c>
      <c r="DX188" s="325">
        <v>185</v>
      </c>
      <c r="DY188" s="325">
        <v>-44</v>
      </c>
      <c r="DZ188" s="325">
        <v>-27</v>
      </c>
      <c r="EA188" s="325">
        <v>-9</v>
      </c>
      <c r="EB188" s="325">
        <v>-181</v>
      </c>
      <c r="EC188" s="325">
        <v>20</v>
      </c>
      <c r="ED188" s="325">
        <v>-352</v>
      </c>
      <c r="EE188" s="325">
        <v>-94</v>
      </c>
      <c r="EF188" s="325">
        <v>-82</v>
      </c>
      <c r="EG188" s="376">
        <v>0</v>
      </c>
      <c r="EH188" s="325">
        <v>0</v>
      </c>
      <c r="EI188" s="325">
        <v>0</v>
      </c>
      <c r="EJ188" s="325">
        <v>0</v>
      </c>
      <c r="EK188" s="325">
        <v>0</v>
      </c>
      <c r="EL188" s="325">
        <v>0</v>
      </c>
      <c r="EM188" s="325">
        <v>0</v>
      </c>
      <c r="EN188" s="325">
        <v>0</v>
      </c>
      <c r="EO188" s="325">
        <v>0</v>
      </c>
      <c r="EP188" s="389"/>
      <c r="EQ188" s="386"/>
    </row>
    <row r="189" spans="1:147" s="390" customFormat="1" ht="15" customHeight="1">
      <c r="A189" s="385"/>
      <c r="B189"/>
      <c r="C189"/>
      <c r="D189"/>
      <c r="E189"/>
      <c r="F189"/>
      <c r="G189"/>
      <c r="I189" s="370" t="s">
        <v>1603</v>
      </c>
      <c r="J189" s="399"/>
      <c r="K189" s="399"/>
      <c r="L189" s="399"/>
      <c r="M189" s="400"/>
      <c r="N189" s="399"/>
      <c r="O189" s="399"/>
      <c r="P189" s="399"/>
      <c r="Q189" s="400"/>
      <c r="R189" s="399"/>
      <c r="S189" s="399"/>
      <c r="T189" s="399"/>
      <c r="U189" s="400"/>
      <c r="V189" s="399"/>
      <c r="W189" s="399"/>
      <c r="X189" s="399"/>
      <c r="Y189" s="400"/>
      <c r="Z189" s="399"/>
      <c r="AA189" s="399"/>
      <c r="AB189" s="399"/>
      <c r="AC189" s="400"/>
      <c r="AD189" s="399"/>
      <c r="AE189" s="399"/>
      <c r="AF189" s="399"/>
      <c r="AG189" s="400"/>
      <c r="AH189" s="399"/>
      <c r="AI189" s="399"/>
      <c r="AJ189" s="399"/>
      <c r="AK189" s="400"/>
      <c r="AL189" s="399"/>
      <c r="AM189" s="399"/>
      <c r="AN189" s="399"/>
      <c r="AO189" s="400"/>
      <c r="AP189" s="399"/>
      <c r="AQ189" s="399"/>
      <c r="AR189" s="399"/>
      <c r="AS189" s="400"/>
      <c r="AT189" s="399"/>
      <c r="AU189" s="399"/>
      <c r="AV189" s="399"/>
      <c r="AW189" s="400"/>
      <c r="AX189" s="399"/>
      <c r="AY189" s="399"/>
      <c r="AZ189" s="399"/>
      <c r="BA189" s="400"/>
      <c r="BB189" s="401">
        <v>0</v>
      </c>
      <c r="BC189" s="401">
        <v>0</v>
      </c>
      <c r="BD189" s="401">
        <v>0</v>
      </c>
      <c r="BE189" s="402">
        <v>0</v>
      </c>
      <c r="BF189" s="401">
        <v>0</v>
      </c>
      <c r="BG189" s="401">
        <v>0</v>
      </c>
      <c r="BH189" s="401">
        <v>0</v>
      </c>
      <c r="BI189" s="402">
        <v>0</v>
      </c>
      <c r="BJ189" s="401">
        <v>0</v>
      </c>
      <c r="BK189" s="401">
        <v>0</v>
      </c>
      <c r="BL189" s="401">
        <v>0</v>
      </c>
      <c r="BM189" s="402">
        <v>0</v>
      </c>
      <c r="BN189" s="401">
        <v>9</v>
      </c>
      <c r="BO189" s="401">
        <v>11</v>
      </c>
      <c r="BP189" s="401">
        <v>13</v>
      </c>
      <c r="BQ189" s="402">
        <v>6</v>
      </c>
      <c r="BR189" s="401">
        <v>6</v>
      </c>
      <c r="BS189" s="401">
        <v>6</v>
      </c>
      <c r="BT189" s="401">
        <v>4</v>
      </c>
      <c r="BU189" s="402">
        <v>27</v>
      </c>
      <c r="BV189" s="401">
        <v>11</v>
      </c>
      <c r="BW189" s="401">
        <v>8</v>
      </c>
      <c r="BX189" s="401">
        <v>10</v>
      </c>
      <c r="BY189" s="402">
        <v>13</v>
      </c>
      <c r="BZ189" s="401">
        <v>1</v>
      </c>
      <c r="CA189" s="401">
        <v>6</v>
      </c>
      <c r="CB189" s="401">
        <v>2</v>
      </c>
      <c r="CC189" s="402">
        <v>24</v>
      </c>
      <c r="CD189" s="401">
        <v>0</v>
      </c>
      <c r="CE189" s="401">
        <v>0</v>
      </c>
      <c r="CF189" s="401">
        <v>0</v>
      </c>
      <c r="CG189" s="402">
        <v>6</v>
      </c>
      <c r="CH189" s="401">
        <v>0</v>
      </c>
      <c r="CI189" s="401">
        <v>0</v>
      </c>
      <c r="CJ189" s="401">
        <v>0</v>
      </c>
      <c r="CK189" s="402">
        <v>6</v>
      </c>
      <c r="CL189" s="401">
        <v>0</v>
      </c>
      <c r="CM189" s="401">
        <v>0</v>
      </c>
      <c r="CN189" s="401">
        <v>0</v>
      </c>
      <c r="CO189" s="402">
        <v>0</v>
      </c>
      <c r="CP189" s="438">
        <v>0</v>
      </c>
      <c r="CQ189" s="401">
        <v>0</v>
      </c>
      <c r="CR189" s="401">
        <v>0</v>
      </c>
      <c r="CS189" s="402">
        <v>0</v>
      </c>
      <c r="CT189" s="373">
        <v>0</v>
      </c>
      <c r="CU189" s="325">
        <v>0</v>
      </c>
      <c r="CV189" s="325">
        <v>0</v>
      </c>
      <c r="CW189" s="402">
        <v>0</v>
      </c>
      <c r="CX189" s="399"/>
      <c r="CY189" s="399"/>
      <c r="CZ189" s="399"/>
      <c r="DA189" s="400"/>
      <c r="DB189" s="399"/>
      <c r="DC189" s="399"/>
      <c r="DD189" s="399"/>
      <c r="DE189" s="400"/>
      <c r="DF189" s="399"/>
      <c r="DG189" s="399"/>
      <c r="DH189" s="399"/>
      <c r="DI189" s="400"/>
      <c r="DJ189" s="454"/>
      <c r="DK189" s="411"/>
      <c r="DL189" s="399"/>
      <c r="DM189" s="399"/>
      <c r="DN189" s="399"/>
      <c r="DO189" s="399"/>
      <c r="DP189" s="399"/>
      <c r="DQ189" s="399"/>
      <c r="DR189" s="399"/>
      <c r="DS189" s="401">
        <v>0</v>
      </c>
      <c r="DT189" s="401">
        <v>0</v>
      </c>
      <c r="DU189" s="401">
        <v>0</v>
      </c>
      <c r="DV189" s="325">
        <v>0</v>
      </c>
      <c r="DW189" s="325">
        <v>0</v>
      </c>
      <c r="DX189" s="325">
        <v>0</v>
      </c>
      <c r="DY189" s="325">
        <v>39</v>
      </c>
      <c r="DZ189" s="325">
        <v>43</v>
      </c>
      <c r="EA189" s="325">
        <v>42</v>
      </c>
      <c r="EB189" s="325">
        <v>33</v>
      </c>
      <c r="EC189" s="325">
        <v>6</v>
      </c>
      <c r="ED189" s="401">
        <v>6</v>
      </c>
      <c r="EE189" s="401">
        <v>0</v>
      </c>
      <c r="EF189" s="401">
        <v>0</v>
      </c>
      <c r="EG189" s="401">
        <v>0</v>
      </c>
      <c r="EH189" s="401">
        <v>0</v>
      </c>
      <c r="EI189" s="401">
        <v>0</v>
      </c>
      <c r="EJ189" s="401">
        <v>0</v>
      </c>
      <c r="EK189" s="401">
        <v>0</v>
      </c>
      <c r="EL189" s="401">
        <v>0</v>
      </c>
      <c r="EM189" s="401">
        <v>0</v>
      </c>
      <c r="EN189" s="401">
        <v>0</v>
      </c>
      <c r="EO189" s="401">
        <v>0</v>
      </c>
      <c r="EP189" s="389"/>
      <c r="EQ189" s="386"/>
    </row>
    <row r="190" spans="1:147" s="390" customFormat="1" ht="15" customHeight="1">
      <c r="A190" s="385"/>
      <c r="B190"/>
      <c r="C190"/>
      <c r="D190"/>
      <c r="E190"/>
      <c r="F190"/>
      <c r="G190"/>
      <c r="I190" s="370" t="s">
        <v>1604</v>
      </c>
      <c r="J190" s="399"/>
      <c r="K190" s="399"/>
      <c r="L190" s="399"/>
      <c r="M190" s="400"/>
      <c r="N190" s="399"/>
      <c r="O190" s="399"/>
      <c r="P190" s="399"/>
      <c r="Q190" s="400"/>
      <c r="R190" s="399"/>
      <c r="S190" s="399"/>
      <c r="T190" s="399"/>
      <c r="U190" s="400"/>
      <c r="V190" s="399"/>
      <c r="W190" s="399"/>
      <c r="X190" s="399"/>
      <c r="Y190" s="400"/>
      <c r="Z190" s="399"/>
      <c r="AA190" s="399"/>
      <c r="AB190" s="399"/>
      <c r="AC190" s="400"/>
      <c r="AD190" s="399"/>
      <c r="AE190" s="399"/>
      <c r="AF190" s="399"/>
      <c r="AG190" s="400"/>
      <c r="AH190" s="399"/>
      <c r="AI190" s="399"/>
      <c r="AJ190" s="399"/>
      <c r="AK190" s="400"/>
      <c r="AL190" s="399"/>
      <c r="AM190" s="399"/>
      <c r="AN190" s="399"/>
      <c r="AO190" s="400"/>
      <c r="AP190" s="399"/>
      <c r="AQ190" s="399"/>
      <c r="AR190" s="399"/>
      <c r="AS190" s="400"/>
      <c r="AT190" s="399"/>
      <c r="AU190" s="399"/>
      <c r="AV190" s="399"/>
      <c r="AW190" s="400"/>
      <c r="AX190" s="399"/>
      <c r="AY190" s="399"/>
      <c r="AZ190" s="399"/>
      <c r="BA190" s="400"/>
      <c r="BB190" s="401">
        <v>26</v>
      </c>
      <c r="BC190" s="401">
        <v>26</v>
      </c>
      <c r="BD190" s="401">
        <v>25</v>
      </c>
      <c r="BE190" s="402">
        <v>71</v>
      </c>
      <c r="BF190" s="401">
        <v>23</v>
      </c>
      <c r="BG190" s="401">
        <v>22</v>
      </c>
      <c r="BH190" s="401">
        <v>24</v>
      </c>
      <c r="BI190" s="402">
        <v>51</v>
      </c>
      <c r="BJ190" s="401">
        <v>24</v>
      </c>
      <c r="BK190" s="401">
        <v>23</v>
      </c>
      <c r="BL190" s="401">
        <v>21</v>
      </c>
      <c r="BM190" s="402">
        <v>40</v>
      </c>
      <c r="BN190" s="401">
        <v>19</v>
      </c>
      <c r="BO190" s="401">
        <v>19</v>
      </c>
      <c r="BP190" s="401">
        <v>23</v>
      </c>
      <c r="BQ190" s="402">
        <v>29</v>
      </c>
      <c r="BR190" s="401">
        <v>20</v>
      </c>
      <c r="BS190" s="401">
        <v>20</v>
      </c>
      <c r="BT190" s="401">
        <v>25</v>
      </c>
      <c r="BU190" s="402">
        <v>30</v>
      </c>
      <c r="BV190" s="401">
        <v>107</v>
      </c>
      <c r="BW190" s="401">
        <v>234</v>
      </c>
      <c r="BX190" s="401">
        <v>243</v>
      </c>
      <c r="BY190" s="402">
        <v>245</v>
      </c>
      <c r="BZ190" s="401">
        <v>224</v>
      </c>
      <c r="CA190" s="401">
        <v>226</v>
      </c>
      <c r="CB190" s="401">
        <v>220</v>
      </c>
      <c r="CC190" s="402">
        <v>218</v>
      </c>
      <c r="CD190" s="401">
        <v>155</v>
      </c>
      <c r="CE190" s="401">
        <v>112</v>
      </c>
      <c r="CF190" s="401">
        <v>118</v>
      </c>
      <c r="CG190" s="402">
        <v>124</v>
      </c>
      <c r="CH190" s="401">
        <v>87</v>
      </c>
      <c r="CI190" s="401">
        <v>79</v>
      </c>
      <c r="CJ190" s="401">
        <v>80</v>
      </c>
      <c r="CK190" s="402">
        <v>82</v>
      </c>
      <c r="CL190" s="401">
        <v>62</v>
      </c>
      <c r="CM190" s="401">
        <v>44</v>
      </c>
      <c r="CN190" s="401">
        <v>46</v>
      </c>
      <c r="CO190" s="402">
        <v>45</v>
      </c>
      <c r="CP190" s="438">
        <v>33</v>
      </c>
      <c r="CQ190" s="401">
        <v>28</v>
      </c>
      <c r="CR190" s="401">
        <v>27</v>
      </c>
      <c r="CS190" s="372">
        <v>38.878770819201982</v>
      </c>
      <c r="CT190" s="373">
        <v>28.239906061051261</v>
      </c>
      <c r="CU190" s="325">
        <v>26.642049991120743</v>
      </c>
      <c r="CV190" s="325">
        <v>40.046409104251275</v>
      </c>
      <c r="CW190" s="372">
        <v>66.098724329180214</v>
      </c>
      <c r="CX190" s="386"/>
      <c r="CY190" s="386"/>
      <c r="CZ190" s="386"/>
      <c r="DA190" s="388"/>
      <c r="DB190" s="386"/>
      <c r="DC190" s="386"/>
      <c r="DD190" s="386"/>
      <c r="DE190" s="388"/>
      <c r="DF190" s="386"/>
      <c r="DG190" s="386"/>
      <c r="DH190" s="386"/>
      <c r="DI190" s="388"/>
      <c r="DJ190" s="374"/>
      <c r="DK190" s="411"/>
      <c r="DL190" s="399"/>
      <c r="DM190" s="399"/>
      <c r="DN190" s="399"/>
      <c r="DO190" s="399"/>
      <c r="DP190" s="399"/>
      <c r="DQ190" s="399"/>
      <c r="DR190" s="399"/>
      <c r="DS190" s="401">
        <v>385</v>
      </c>
      <c r="DT190" s="401">
        <v>347</v>
      </c>
      <c r="DU190" s="401">
        <v>198</v>
      </c>
      <c r="DV190" s="325">
        <v>148</v>
      </c>
      <c r="DW190" s="325">
        <v>120</v>
      </c>
      <c r="DX190" s="325">
        <v>108</v>
      </c>
      <c r="DY190" s="325">
        <v>90</v>
      </c>
      <c r="DZ190" s="325">
        <v>95</v>
      </c>
      <c r="EA190" s="325">
        <v>829</v>
      </c>
      <c r="EB190" s="325">
        <v>888</v>
      </c>
      <c r="EC190" s="325">
        <v>509</v>
      </c>
      <c r="ED190" s="325">
        <v>328</v>
      </c>
      <c r="EE190" s="325">
        <v>197</v>
      </c>
      <c r="EF190" s="325">
        <v>126.87877081920197</v>
      </c>
      <c r="EG190" s="325">
        <v>161.02708948560348</v>
      </c>
      <c r="EH190" s="325">
        <v>178.43913293223679</v>
      </c>
      <c r="EI190" s="325">
        <v>165.75922207317078</v>
      </c>
      <c r="EJ190" s="325">
        <v>159.00567642373034</v>
      </c>
      <c r="EK190" s="325">
        <v>169.48401748842389</v>
      </c>
      <c r="EL190" s="325">
        <v>163.47862903266423</v>
      </c>
      <c r="EM190" s="325">
        <v>164.57788837296641</v>
      </c>
      <c r="EN190" s="325">
        <v>163.6826514701832</v>
      </c>
      <c r="EO190" s="325">
        <v>176.20245252308914</v>
      </c>
      <c r="EP190" s="389"/>
      <c r="EQ190" s="386"/>
    </row>
    <row r="191" spans="1:147" s="390" customFormat="1" ht="15" customHeight="1">
      <c r="A191" s="385"/>
      <c r="B191"/>
      <c r="C191"/>
      <c r="D191"/>
      <c r="E191"/>
      <c r="F191"/>
      <c r="G191"/>
      <c r="I191" s="370" t="s">
        <v>1605</v>
      </c>
      <c r="J191" s="399"/>
      <c r="K191" s="399"/>
      <c r="L191" s="399"/>
      <c r="M191" s="400"/>
      <c r="N191" s="399"/>
      <c r="O191" s="399"/>
      <c r="P191" s="399"/>
      <c r="Q191" s="400"/>
      <c r="R191" s="399"/>
      <c r="S191" s="399"/>
      <c r="T191" s="399"/>
      <c r="U191" s="400"/>
      <c r="V191" s="399"/>
      <c r="W191" s="399"/>
      <c r="X191" s="399"/>
      <c r="Y191" s="400"/>
      <c r="Z191" s="399"/>
      <c r="AA191" s="399"/>
      <c r="AB191" s="399"/>
      <c r="AC191" s="400"/>
      <c r="AD191" s="399"/>
      <c r="AE191" s="399"/>
      <c r="AF191" s="399"/>
      <c r="AG191" s="400"/>
      <c r="AH191" s="399"/>
      <c r="AI191" s="399"/>
      <c r="AJ191" s="399"/>
      <c r="AK191" s="400"/>
      <c r="AL191" s="399"/>
      <c r="AM191" s="399"/>
      <c r="AN191" s="399"/>
      <c r="AO191" s="400"/>
      <c r="AP191" s="399"/>
      <c r="AQ191" s="399"/>
      <c r="AR191" s="399"/>
      <c r="AS191" s="400"/>
      <c r="AT191" s="399"/>
      <c r="AU191" s="399"/>
      <c r="AV191" s="399"/>
      <c r="AW191" s="400"/>
      <c r="AX191" s="399"/>
      <c r="AY191" s="399"/>
      <c r="AZ191" s="399"/>
      <c r="BA191" s="400"/>
      <c r="BB191" s="401">
        <v>0</v>
      </c>
      <c r="BC191" s="401">
        <v>0</v>
      </c>
      <c r="BD191" s="401">
        <v>1</v>
      </c>
      <c r="BE191" s="402">
        <v>3</v>
      </c>
      <c r="BF191" s="401">
        <v>0</v>
      </c>
      <c r="BG191" s="401">
        <v>0</v>
      </c>
      <c r="BH191" s="401">
        <v>0</v>
      </c>
      <c r="BI191" s="402">
        <v>1</v>
      </c>
      <c r="BJ191" s="401">
        <v>0</v>
      </c>
      <c r="BK191" s="401">
        <v>0</v>
      </c>
      <c r="BL191" s="401">
        <v>0</v>
      </c>
      <c r="BM191" s="402">
        <v>0</v>
      </c>
      <c r="BN191" s="401">
        <v>0</v>
      </c>
      <c r="BO191" s="401">
        <v>0</v>
      </c>
      <c r="BP191" s="401">
        <v>0</v>
      </c>
      <c r="BQ191" s="402">
        <v>1</v>
      </c>
      <c r="BR191" s="401">
        <v>0</v>
      </c>
      <c r="BS191" s="401">
        <v>0</v>
      </c>
      <c r="BT191" s="401">
        <v>0</v>
      </c>
      <c r="BU191" s="402">
        <v>0</v>
      </c>
      <c r="BV191" s="401">
        <v>0</v>
      </c>
      <c r="BW191" s="401">
        <v>0</v>
      </c>
      <c r="BX191" s="401">
        <v>0</v>
      </c>
      <c r="BY191" s="402">
        <v>0</v>
      </c>
      <c r="BZ191" s="401">
        <v>0</v>
      </c>
      <c r="CA191" s="401">
        <v>0</v>
      </c>
      <c r="CB191" s="401">
        <v>0</v>
      </c>
      <c r="CC191" s="402">
        <v>0</v>
      </c>
      <c r="CD191" s="401">
        <v>0</v>
      </c>
      <c r="CE191" s="401">
        <v>0</v>
      </c>
      <c r="CF191" s="401">
        <v>0</v>
      </c>
      <c r="CG191" s="402">
        <v>0</v>
      </c>
      <c r="CH191" s="401">
        <v>0</v>
      </c>
      <c r="CI191" s="401">
        <v>0</v>
      </c>
      <c r="CJ191" s="401">
        <v>0</v>
      </c>
      <c r="CK191" s="402">
        <v>0</v>
      </c>
      <c r="CL191" s="401">
        <v>0</v>
      </c>
      <c r="CM191" s="401">
        <v>0</v>
      </c>
      <c r="CN191" s="401">
        <v>0</v>
      </c>
      <c r="CO191" s="402">
        <v>0</v>
      </c>
      <c r="CP191" s="438">
        <v>0</v>
      </c>
      <c r="CQ191" s="401">
        <v>0</v>
      </c>
      <c r="CR191" s="401">
        <v>0</v>
      </c>
      <c r="CS191" s="372">
        <v>0</v>
      </c>
      <c r="CT191" s="373">
        <v>0</v>
      </c>
      <c r="CU191" s="325">
        <v>0</v>
      </c>
      <c r="CV191" s="325">
        <v>0</v>
      </c>
      <c r="CW191" s="372">
        <v>0</v>
      </c>
      <c r="CX191" s="386"/>
      <c r="CY191" s="386"/>
      <c r="CZ191" s="386"/>
      <c r="DA191" s="388"/>
      <c r="DB191" s="386"/>
      <c r="DC191" s="386"/>
      <c r="DD191" s="386"/>
      <c r="DE191" s="388"/>
      <c r="DF191" s="386"/>
      <c r="DG191" s="386"/>
      <c r="DH191" s="386"/>
      <c r="DI191" s="388"/>
      <c r="DJ191" s="374"/>
      <c r="DK191" s="411"/>
      <c r="DL191" s="399"/>
      <c r="DM191" s="399"/>
      <c r="DN191" s="399"/>
      <c r="DO191" s="399"/>
      <c r="DP191" s="399"/>
      <c r="DQ191" s="399"/>
      <c r="DR191" s="399"/>
      <c r="DS191" s="401">
        <v>1</v>
      </c>
      <c r="DT191" s="401">
        <v>2</v>
      </c>
      <c r="DU191" s="401">
        <v>1</v>
      </c>
      <c r="DV191" s="325">
        <v>4</v>
      </c>
      <c r="DW191" s="325">
        <v>1</v>
      </c>
      <c r="DX191" s="325">
        <v>0</v>
      </c>
      <c r="DY191" s="325">
        <v>1</v>
      </c>
      <c r="DZ191" s="325">
        <v>0</v>
      </c>
      <c r="EA191" s="325">
        <v>0</v>
      </c>
      <c r="EB191" s="325">
        <v>0</v>
      </c>
      <c r="EC191" s="325">
        <v>0</v>
      </c>
      <c r="ED191" s="325">
        <v>0</v>
      </c>
      <c r="EE191" s="325">
        <v>0</v>
      </c>
      <c r="EF191" s="325">
        <v>0</v>
      </c>
      <c r="EG191" s="325">
        <v>0</v>
      </c>
      <c r="EH191" s="325">
        <v>0</v>
      </c>
      <c r="EI191" s="325">
        <v>0</v>
      </c>
      <c r="EJ191" s="325">
        <v>0</v>
      </c>
      <c r="EK191" s="325">
        <v>0</v>
      </c>
      <c r="EL191" s="325">
        <v>0</v>
      </c>
      <c r="EM191" s="325">
        <v>0</v>
      </c>
      <c r="EN191" s="325">
        <v>0</v>
      </c>
      <c r="EO191" s="325">
        <v>0</v>
      </c>
      <c r="EP191" s="389"/>
      <c r="EQ191" s="386"/>
    </row>
    <row r="192" spans="1:147" s="390" customFormat="1" ht="15" customHeight="1">
      <c r="A192" s="385"/>
      <c r="B192"/>
      <c r="C192"/>
      <c r="D192"/>
      <c r="E192"/>
      <c r="F192"/>
      <c r="G192"/>
      <c r="I192" s="370" t="s">
        <v>1606</v>
      </c>
      <c r="J192" s="399"/>
      <c r="K192" s="399"/>
      <c r="L192" s="399"/>
      <c r="M192" s="400"/>
      <c r="N192" s="399"/>
      <c r="O192" s="399"/>
      <c r="P192" s="399"/>
      <c r="Q192" s="400"/>
      <c r="R192" s="399"/>
      <c r="S192" s="399"/>
      <c r="T192" s="399"/>
      <c r="U192" s="400"/>
      <c r="V192" s="399"/>
      <c r="W192" s="399"/>
      <c r="X192" s="399"/>
      <c r="Y192" s="400"/>
      <c r="Z192" s="399"/>
      <c r="AA192" s="399"/>
      <c r="AB192" s="399"/>
      <c r="AC192" s="400"/>
      <c r="AD192" s="399"/>
      <c r="AE192" s="399"/>
      <c r="AF192" s="399"/>
      <c r="AG192" s="400"/>
      <c r="AH192" s="399"/>
      <c r="AI192" s="399"/>
      <c r="AJ192" s="399"/>
      <c r="AK192" s="400"/>
      <c r="AL192" s="399"/>
      <c r="AM192" s="399"/>
      <c r="AN192" s="399"/>
      <c r="AO192" s="400"/>
      <c r="AP192" s="399"/>
      <c r="AQ192" s="399"/>
      <c r="AR192" s="399"/>
      <c r="AS192" s="400"/>
      <c r="AT192" s="399"/>
      <c r="AU192" s="399"/>
      <c r="AV192" s="399"/>
      <c r="AW192" s="400"/>
      <c r="AX192" s="399"/>
      <c r="AY192" s="399"/>
      <c r="AZ192" s="399"/>
      <c r="BA192" s="400"/>
      <c r="BB192" s="401">
        <v>69</v>
      </c>
      <c r="BC192" s="401">
        <v>55</v>
      </c>
      <c r="BD192" s="401">
        <v>27</v>
      </c>
      <c r="BE192" s="402">
        <v>136</v>
      </c>
      <c r="BF192" s="401">
        <v>30</v>
      </c>
      <c r="BG192" s="401">
        <v>72</v>
      </c>
      <c r="BH192" s="401">
        <v>21</v>
      </c>
      <c r="BI192" s="402">
        <v>85</v>
      </c>
      <c r="BJ192" s="401">
        <v>83</v>
      </c>
      <c r="BK192" s="401">
        <v>43</v>
      </c>
      <c r="BL192" s="401">
        <v>14</v>
      </c>
      <c r="BM192" s="402">
        <v>67</v>
      </c>
      <c r="BN192" s="401">
        <v>51</v>
      </c>
      <c r="BO192" s="401">
        <v>46</v>
      </c>
      <c r="BP192" s="401">
        <v>34</v>
      </c>
      <c r="BQ192" s="402">
        <v>125</v>
      </c>
      <c r="BR192" s="401">
        <v>142</v>
      </c>
      <c r="BS192" s="401">
        <v>83</v>
      </c>
      <c r="BT192" s="401">
        <v>78</v>
      </c>
      <c r="BU192" s="402">
        <v>96</v>
      </c>
      <c r="BV192" s="401">
        <v>150</v>
      </c>
      <c r="BW192" s="401">
        <v>115</v>
      </c>
      <c r="BX192" s="401">
        <v>-17</v>
      </c>
      <c r="BY192" s="402">
        <v>73</v>
      </c>
      <c r="BZ192" s="401">
        <v>89</v>
      </c>
      <c r="CA192" s="401">
        <v>79</v>
      </c>
      <c r="CB192" s="401">
        <v>34</v>
      </c>
      <c r="CC192" s="402">
        <v>109</v>
      </c>
      <c r="CD192" s="401">
        <v>150</v>
      </c>
      <c r="CE192" s="401">
        <v>56</v>
      </c>
      <c r="CF192" s="401">
        <v>32</v>
      </c>
      <c r="CG192" s="402">
        <v>251</v>
      </c>
      <c r="CH192" s="401">
        <v>104</v>
      </c>
      <c r="CI192" s="401">
        <v>49</v>
      </c>
      <c r="CJ192" s="401">
        <v>10</v>
      </c>
      <c r="CK192" s="402">
        <v>62</v>
      </c>
      <c r="CL192" s="401">
        <v>77</v>
      </c>
      <c r="CM192" s="401">
        <v>28</v>
      </c>
      <c r="CN192" s="401">
        <v>36</v>
      </c>
      <c r="CO192" s="402">
        <v>108</v>
      </c>
      <c r="CP192" s="438">
        <v>106</v>
      </c>
      <c r="CQ192" s="401">
        <v>81</v>
      </c>
      <c r="CR192" s="401">
        <v>69</v>
      </c>
      <c r="CS192" s="372">
        <v>0</v>
      </c>
      <c r="CT192" s="373">
        <v>0</v>
      </c>
      <c r="CU192" s="325">
        <v>0</v>
      </c>
      <c r="CV192" s="325">
        <v>0</v>
      </c>
      <c r="CW192" s="372">
        <v>0</v>
      </c>
      <c r="CX192" s="386"/>
      <c r="CY192" s="386"/>
      <c r="CZ192" s="386"/>
      <c r="DA192" s="388"/>
      <c r="DB192" s="386"/>
      <c r="DC192" s="386"/>
      <c r="DD192" s="386"/>
      <c r="DE192" s="388"/>
      <c r="DF192" s="386"/>
      <c r="DG192" s="386"/>
      <c r="DH192" s="386"/>
      <c r="DI192" s="388"/>
      <c r="DJ192" s="374"/>
      <c r="DK192" s="411"/>
      <c r="DL192" s="399"/>
      <c r="DM192" s="399"/>
      <c r="DN192" s="399"/>
      <c r="DO192" s="399"/>
      <c r="DP192" s="399"/>
      <c r="DQ192" s="399"/>
      <c r="DR192" s="399"/>
      <c r="DS192" s="401">
        <v>176</v>
      </c>
      <c r="DT192" s="401">
        <v>281</v>
      </c>
      <c r="DU192" s="401">
        <v>319</v>
      </c>
      <c r="DV192" s="325">
        <v>287</v>
      </c>
      <c r="DW192" s="325">
        <v>208</v>
      </c>
      <c r="DX192" s="325">
        <v>207</v>
      </c>
      <c r="DY192" s="325">
        <v>256</v>
      </c>
      <c r="DZ192" s="325">
        <v>399</v>
      </c>
      <c r="EA192" s="325">
        <v>321</v>
      </c>
      <c r="EB192" s="325">
        <v>311</v>
      </c>
      <c r="EC192" s="325">
        <v>489</v>
      </c>
      <c r="ED192" s="325">
        <v>225</v>
      </c>
      <c r="EE192" s="325">
        <v>249</v>
      </c>
      <c r="EF192" s="325">
        <v>256</v>
      </c>
      <c r="EG192" s="325">
        <v>0</v>
      </c>
      <c r="EH192" s="325">
        <v>0</v>
      </c>
      <c r="EI192" s="325">
        <v>0</v>
      </c>
      <c r="EJ192" s="325">
        <v>0</v>
      </c>
      <c r="EK192" s="325">
        <v>0</v>
      </c>
      <c r="EL192" s="325">
        <v>0</v>
      </c>
      <c r="EM192" s="325">
        <v>0</v>
      </c>
      <c r="EN192" s="325">
        <v>0</v>
      </c>
      <c r="EO192" s="325">
        <v>0</v>
      </c>
      <c r="EP192" s="389"/>
      <c r="EQ192" s="386"/>
    </row>
    <row r="193" spans="1:147" s="390" customFormat="1" ht="15" customHeight="1">
      <c r="A193" s="385"/>
      <c r="B193"/>
      <c r="C193"/>
      <c r="D193"/>
      <c r="E193"/>
      <c r="F193"/>
      <c r="G193"/>
      <c r="I193" s="370" t="s">
        <v>1607</v>
      </c>
      <c r="J193" s="399"/>
      <c r="K193" s="399"/>
      <c r="L193" s="399"/>
      <c r="M193" s="400"/>
      <c r="N193" s="399"/>
      <c r="O193" s="399"/>
      <c r="P193" s="399"/>
      <c r="Q193" s="400"/>
      <c r="R193" s="399"/>
      <c r="S193" s="399"/>
      <c r="T193" s="399"/>
      <c r="U193" s="400"/>
      <c r="V193" s="399"/>
      <c r="W193" s="399"/>
      <c r="X193" s="399"/>
      <c r="Y193" s="400"/>
      <c r="Z193" s="399"/>
      <c r="AA193" s="399"/>
      <c r="AB193" s="399"/>
      <c r="AC193" s="400"/>
      <c r="AD193" s="399"/>
      <c r="AE193" s="399"/>
      <c r="AF193" s="399"/>
      <c r="AG193" s="400"/>
      <c r="AH193" s="399"/>
      <c r="AI193" s="399"/>
      <c r="AJ193" s="399"/>
      <c r="AK193" s="400"/>
      <c r="AL193" s="399"/>
      <c r="AM193" s="399"/>
      <c r="AN193" s="399"/>
      <c r="AO193" s="400"/>
      <c r="AP193" s="399"/>
      <c r="AQ193" s="399"/>
      <c r="AR193" s="399"/>
      <c r="AS193" s="400"/>
      <c r="AT193" s="399"/>
      <c r="AU193" s="399"/>
      <c r="AV193" s="399"/>
      <c r="AW193" s="400"/>
      <c r="AX193" s="399"/>
      <c r="AY193" s="399"/>
      <c r="AZ193" s="399"/>
      <c r="BA193" s="400"/>
      <c r="BB193" s="401">
        <v>0</v>
      </c>
      <c r="BC193" s="401">
        <v>0</v>
      </c>
      <c r="BD193" s="401">
        <v>0</v>
      </c>
      <c r="BE193" s="402">
        <v>0</v>
      </c>
      <c r="BF193" s="401">
        <v>0</v>
      </c>
      <c r="BG193" s="401">
        <v>0</v>
      </c>
      <c r="BH193" s="401">
        <v>0</v>
      </c>
      <c r="BI193" s="402">
        <v>0</v>
      </c>
      <c r="BJ193" s="401">
        <v>0</v>
      </c>
      <c r="BK193" s="401">
        <v>0</v>
      </c>
      <c r="BL193" s="401">
        <v>0</v>
      </c>
      <c r="BM193" s="402">
        <v>1</v>
      </c>
      <c r="BN193" s="401">
        <v>2</v>
      </c>
      <c r="BO193" s="401">
        <v>1</v>
      </c>
      <c r="BP193" s="401">
        <v>2</v>
      </c>
      <c r="BQ193" s="402">
        <v>2</v>
      </c>
      <c r="BR193" s="401">
        <v>2</v>
      </c>
      <c r="BS193" s="401">
        <v>2</v>
      </c>
      <c r="BT193" s="401">
        <v>1</v>
      </c>
      <c r="BU193" s="402">
        <v>2</v>
      </c>
      <c r="BV193" s="401">
        <v>4</v>
      </c>
      <c r="BW193" s="401">
        <v>8</v>
      </c>
      <c r="BX193" s="401">
        <v>14</v>
      </c>
      <c r="BY193" s="402">
        <v>24</v>
      </c>
      <c r="BZ193" s="401">
        <v>7</v>
      </c>
      <c r="CA193" s="401">
        <v>13</v>
      </c>
      <c r="CB193" s="401">
        <v>2</v>
      </c>
      <c r="CC193" s="402">
        <v>2</v>
      </c>
      <c r="CD193" s="401">
        <v>0</v>
      </c>
      <c r="CE193" s="401">
        <v>4</v>
      </c>
      <c r="CF193" s="401">
        <v>1</v>
      </c>
      <c r="CG193" s="402">
        <v>41</v>
      </c>
      <c r="CH193" s="401">
        <v>0</v>
      </c>
      <c r="CI193" s="401">
        <v>0</v>
      </c>
      <c r="CJ193" s="401">
        <v>0</v>
      </c>
      <c r="CK193" s="402"/>
      <c r="CL193" s="401">
        <v>0</v>
      </c>
      <c r="CM193" s="401">
        <v>0</v>
      </c>
      <c r="CN193" s="401">
        <v>0</v>
      </c>
      <c r="CO193" s="402"/>
      <c r="CP193" s="438">
        <v>0</v>
      </c>
      <c r="CQ193" s="401">
        <v>0</v>
      </c>
      <c r="CR193" s="401">
        <v>0</v>
      </c>
      <c r="CS193" s="372">
        <v>0</v>
      </c>
      <c r="CT193" s="373">
        <v>0</v>
      </c>
      <c r="CU193" s="325">
        <v>0</v>
      </c>
      <c r="CV193" s="325">
        <v>0</v>
      </c>
      <c r="CW193" s="372">
        <v>0</v>
      </c>
      <c r="CX193" s="386"/>
      <c r="CY193" s="386"/>
      <c r="CZ193" s="386"/>
      <c r="DA193" s="388"/>
      <c r="DB193" s="386"/>
      <c r="DC193" s="386"/>
      <c r="DD193" s="386"/>
      <c r="DE193" s="388"/>
      <c r="DF193" s="386"/>
      <c r="DG193" s="386"/>
      <c r="DH193" s="386"/>
      <c r="DI193" s="388"/>
      <c r="DJ193" s="374"/>
      <c r="DK193" s="411"/>
      <c r="DL193" s="399"/>
      <c r="DM193" s="399"/>
      <c r="DN193" s="399"/>
      <c r="DO193" s="399"/>
      <c r="DP193" s="399"/>
      <c r="DQ193" s="399"/>
      <c r="DR193" s="399"/>
      <c r="DS193" s="401">
        <v>0</v>
      </c>
      <c r="DT193" s="401">
        <v>0</v>
      </c>
      <c r="DU193" s="401">
        <v>0</v>
      </c>
      <c r="DV193" s="325">
        <v>0</v>
      </c>
      <c r="DW193" s="325">
        <v>0</v>
      </c>
      <c r="DX193" s="325">
        <v>1</v>
      </c>
      <c r="DY193" s="325">
        <v>7</v>
      </c>
      <c r="DZ193" s="325">
        <v>7</v>
      </c>
      <c r="EA193" s="325">
        <v>50</v>
      </c>
      <c r="EB193" s="325">
        <v>24</v>
      </c>
      <c r="EC193" s="325">
        <v>46</v>
      </c>
      <c r="ED193" s="325">
        <v>0</v>
      </c>
      <c r="EE193" s="325">
        <v>0</v>
      </c>
      <c r="EF193" s="325">
        <v>0</v>
      </c>
      <c r="EG193" s="325">
        <v>0</v>
      </c>
      <c r="EH193" s="325">
        <v>0</v>
      </c>
      <c r="EI193" s="325">
        <v>0</v>
      </c>
      <c r="EJ193" s="325">
        <v>0</v>
      </c>
      <c r="EK193" s="325">
        <v>0</v>
      </c>
      <c r="EL193" s="325">
        <v>0</v>
      </c>
      <c r="EM193" s="325">
        <v>0</v>
      </c>
      <c r="EN193" s="325">
        <v>0</v>
      </c>
      <c r="EO193" s="325">
        <v>0</v>
      </c>
      <c r="EP193" s="389"/>
      <c r="EQ193" s="386"/>
    </row>
    <row r="194" spans="1:147" s="390" customFormat="1" ht="15" customHeight="1">
      <c r="A194" s="385"/>
      <c r="B194"/>
      <c r="C194"/>
      <c r="D194"/>
      <c r="E194"/>
      <c r="F194"/>
      <c r="G194"/>
      <c r="H194" s="369"/>
      <c r="I194" s="370" t="s">
        <v>1608</v>
      </c>
      <c r="J194" s="399"/>
      <c r="K194" s="399"/>
      <c r="L194" s="399"/>
      <c r="M194" s="400"/>
      <c r="N194" s="399"/>
      <c r="O194" s="399"/>
      <c r="P194" s="399"/>
      <c r="Q194" s="400"/>
      <c r="R194" s="399"/>
      <c r="S194" s="399"/>
      <c r="T194" s="399"/>
      <c r="U194" s="400"/>
      <c r="V194" s="399"/>
      <c r="W194" s="399"/>
      <c r="X194" s="399"/>
      <c r="Y194" s="400"/>
      <c r="Z194" s="399"/>
      <c r="AA194" s="399"/>
      <c r="AB194" s="399"/>
      <c r="AC194" s="400"/>
      <c r="AD194" s="399"/>
      <c r="AE194" s="399"/>
      <c r="AF194" s="399"/>
      <c r="AG194" s="400"/>
      <c r="AH194" s="399"/>
      <c r="AI194" s="399"/>
      <c r="AJ194" s="399"/>
      <c r="AK194" s="400"/>
      <c r="AL194" s="399"/>
      <c r="AM194" s="399"/>
      <c r="AN194" s="399"/>
      <c r="AO194" s="400"/>
      <c r="AP194" s="399"/>
      <c r="AQ194" s="399"/>
      <c r="AR194" s="399"/>
      <c r="AS194" s="400"/>
      <c r="AT194" s="399"/>
      <c r="AU194" s="399"/>
      <c r="AV194" s="399"/>
      <c r="AW194" s="400"/>
      <c r="AX194" s="399"/>
      <c r="AY194" s="399"/>
      <c r="AZ194" s="399"/>
      <c r="BA194" s="400"/>
      <c r="BB194" s="401">
        <v>23</v>
      </c>
      <c r="BC194" s="401">
        <v>20</v>
      </c>
      <c r="BD194" s="401">
        <v>18</v>
      </c>
      <c r="BE194" s="402">
        <v>42</v>
      </c>
      <c r="BF194" s="401">
        <v>21</v>
      </c>
      <c r="BG194" s="401">
        <v>28</v>
      </c>
      <c r="BH194" s="401">
        <v>34</v>
      </c>
      <c r="BI194" s="402">
        <v>43</v>
      </c>
      <c r="BJ194" s="401">
        <v>27</v>
      </c>
      <c r="BK194" s="401">
        <v>23</v>
      </c>
      <c r="BL194" s="401">
        <v>26</v>
      </c>
      <c r="BM194" s="402">
        <v>32</v>
      </c>
      <c r="BN194" s="401">
        <v>29</v>
      </c>
      <c r="BO194" s="401">
        <v>23</v>
      </c>
      <c r="BP194" s="401">
        <v>22</v>
      </c>
      <c r="BQ194" s="402">
        <v>30</v>
      </c>
      <c r="BR194" s="401">
        <v>23</v>
      </c>
      <c r="BS194" s="401">
        <v>20</v>
      </c>
      <c r="BT194" s="401">
        <v>28</v>
      </c>
      <c r="BU194" s="402">
        <v>21</v>
      </c>
      <c r="BV194" s="401">
        <v>34</v>
      </c>
      <c r="BW194" s="401">
        <v>41</v>
      </c>
      <c r="BX194" s="401">
        <v>32</v>
      </c>
      <c r="BY194" s="402">
        <v>40</v>
      </c>
      <c r="BZ194" s="401">
        <v>33</v>
      </c>
      <c r="CA194" s="401">
        <v>38</v>
      </c>
      <c r="CB194" s="401">
        <v>47</v>
      </c>
      <c r="CC194" s="402">
        <v>58</v>
      </c>
      <c r="CD194" s="401">
        <v>54</v>
      </c>
      <c r="CE194" s="401">
        <v>56</v>
      </c>
      <c r="CF194" s="401">
        <v>55</v>
      </c>
      <c r="CG194" s="402">
        <v>44</v>
      </c>
      <c r="CH194" s="401">
        <v>63</v>
      </c>
      <c r="CI194" s="401">
        <v>37</v>
      </c>
      <c r="CJ194" s="401">
        <v>27</v>
      </c>
      <c r="CK194" s="402">
        <v>39</v>
      </c>
      <c r="CL194" s="401">
        <v>43</v>
      </c>
      <c r="CM194" s="401">
        <v>42</v>
      </c>
      <c r="CN194" s="401">
        <v>53</v>
      </c>
      <c r="CO194" s="402">
        <v>80</v>
      </c>
      <c r="CP194" s="438">
        <v>151</v>
      </c>
      <c r="CQ194" s="401">
        <v>43</v>
      </c>
      <c r="CR194" s="401">
        <v>65</v>
      </c>
      <c r="CS194" s="372">
        <v>84</v>
      </c>
      <c r="CT194" s="373">
        <v>158.55000000000001</v>
      </c>
      <c r="CU194" s="325">
        <v>45.15</v>
      </c>
      <c r="CV194" s="325">
        <v>67.2</v>
      </c>
      <c r="CW194" s="372">
        <v>88.2</v>
      </c>
      <c r="CX194" s="386"/>
      <c r="CY194" s="386"/>
      <c r="CZ194" s="386"/>
      <c r="DA194" s="388"/>
      <c r="DB194" s="386"/>
      <c r="DC194" s="386"/>
      <c r="DD194" s="386"/>
      <c r="DE194" s="388"/>
      <c r="DF194" s="386"/>
      <c r="DG194" s="386"/>
      <c r="DH194" s="386"/>
      <c r="DI194" s="388"/>
      <c r="DJ194" s="374"/>
      <c r="DK194" s="411"/>
      <c r="DL194" s="399"/>
      <c r="DM194" s="399"/>
      <c r="DN194" s="399"/>
      <c r="DO194" s="399"/>
      <c r="DP194" s="399"/>
      <c r="DQ194" s="399"/>
      <c r="DR194" s="399"/>
      <c r="DS194" s="401">
        <v>89</v>
      </c>
      <c r="DT194" s="401">
        <v>156</v>
      </c>
      <c r="DU194" s="401">
        <v>131</v>
      </c>
      <c r="DV194" s="325">
        <v>103</v>
      </c>
      <c r="DW194" s="325">
        <v>126</v>
      </c>
      <c r="DX194" s="325">
        <v>108</v>
      </c>
      <c r="DY194" s="325">
        <v>104</v>
      </c>
      <c r="DZ194" s="325">
        <v>92</v>
      </c>
      <c r="EA194" s="325">
        <v>147</v>
      </c>
      <c r="EB194" s="325">
        <v>176</v>
      </c>
      <c r="EC194" s="325">
        <v>209</v>
      </c>
      <c r="ED194" s="325">
        <v>166</v>
      </c>
      <c r="EE194" s="325">
        <v>218</v>
      </c>
      <c r="EF194" s="325">
        <v>343</v>
      </c>
      <c r="EG194" s="325">
        <v>359.1</v>
      </c>
      <c r="EH194" s="325">
        <v>373.46400000000006</v>
      </c>
      <c r="EI194" s="325">
        <v>388.40256000000005</v>
      </c>
      <c r="EJ194" s="325">
        <v>403.93866240000006</v>
      </c>
      <c r="EK194" s="325">
        <v>420.09620889600006</v>
      </c>
      <c r="EL194" s="325">
        <v>436.90005725184011</v>
      </c>
      <c r="EM194" s="325">
        <v>454.37605954191372</v>
      </c>
      <c r="EN194" s="325">
        <v>472.55110192359029</v>
      </c>
      <c r="EO194" s="325">
        <v>491.45314600053393</v>
      </c>
      <c r="EP194" s="389"/>
      <c r="EQ194" s="386"/>
    </row>
    <row r="195" spans="1:147" s="390" customFormat="1" ht="15" customHeight="1">
      <c r="A195" s="385"/>
      <c r="B195"/>
      <c r="C195"/>
      <c r="D195"/>
      <c r="E195"/>
      <c r="F195"/>
      <c r="G195"/>
      <c r="H195" s="369"/>
      <c r="I195" s="370" t="s">
        <v>1609</v>
      </c>
      <c r="J195" s="399"/>
      <c r="K195" s="399"/>
      <c r="L195" s="399"/>
      <c r="M195" s="400"/>
      <c r="N195" s="399"/>
      <c r="O195" s="399"/>
      <c r="P195" s="399"/>
      <c r="Q195" s="400"/>
      <c r="R195" s="399"/>
      <c r="S195" s="399"/>
      <c r="T195" s="399"/>
      <c r="U195" s="400"/>
      <c r="V195" s="399"/>
      <c r="W195" s="399"/>
      <c r="X195" s="399"/>
      <c r="Y195" s="400"/>
      <c r="Z195" s="399"/>
      <c r="AA195" s="399"/>
      <c r="AB195" s="399"/>
      <c r="AC195" s="400"/>
      <c r="AD195" s="399"/>
      <c r="AE195" s="399"/>
      <c r="AF195" s="399"/>
      <c r="AG195" s="400"/>
      <c r="AH195" s="399"/>
      <c r="AI195" s="399"/>
      <c r="AJ195" s="399"/>
      <c r="AK195" s="400"/>
      <c r="AL195" s="399"/>
      <c r="AM195" s="399"/>
      <c r="AN195" s="399"/>
      <c r="AO195" s="400"/>
      <c r="AP195" s="399"/>
      <c r="AQ195" s="399"/>
      <c r="AR195" s="399"/>
      <c r="AS195" s="400"/>
      <c r="AT195" s="399"/>
      <c r="AU195" s="399"/>
      <c r="AV195" s="399"/>
      <c r="AW195" s="400"/>
      <c r="AX195" s="399"/>
      <c r="AY195" s="399"/>
      <c r="AZ195" s="399"/>
      <c r="BA195" s="400"/>
      <c r="BB195" s="401">
        <v>-1</v>
      </c>
      <c r="BC195" s="401">
        <v>-3</v>
      </c>
      <c r="BD195" s="401">
        <v>-17</v>
      </c>
      <c r="BE195" s="402">
        <v>-3</v>
      </c>
      <c r="BF195" s="401">
        <v>-2</v>
      </c>
      <c r="BG195" s="401">
        <v>-1</v>
      </c>
      <c r="BH195" s="401">
        <v>-1</v>
      </c>
      <c r="BI195" s="402">
        <v>-1</v>
      </c>
      <c r="BJ195" s="401">
        <v>-4</v>
      </c>
      <c r="BK195" s="401">
        <v>-1</v>
      </c>
      <c r="BL195" s="401">
        <v>-8</v>
      </c>
      <c r="BM195" s="402">
        <v>-16</v>
      </c>
      <c r="BN195" s="401">
        <v>-17</v>
      </c>
      <c r="BO195" s="401">
        <v>-6</v>
      </c>
      <c r="BP195" s="401">
        <v>-6</v>
      </c>
      <c r="BQ195" s="402">
        <v>-10</v>
      </c>
      <c r="BR195" s="401">
        <v>-14</v>
      </c>
      <c r="BS195" s="401">
        <v>-9</v>
      </c>
      <c r="BT195" s="401">
        <v>-10</v>
      </c>
      <c r="BU195" s="402">
        <v>-34</v>
      </c>
      <c r="BV195" s="401">
        <v>-28</v>
      </c>
      <c r="BW195" s="401">
        <v>-24</v>
      </c>
      <c r="BX195" s="401">
        <v>52</v>
      </c>
      <c r="BY195" s="402">
        <v>63</v>
      </c>
      <c r="BZ195" s="401">
        <v>14</v>
      </c>
      <c r="CA195" s="401">
        <v>-14</v>
      </c>
      <c r="CB195" s="401">
        <v>0</v>
      </c>
      <c r="CC195" s="402">
        <v>0</v>
      </c>
      <c r="CD195" s="401">
        <v>0</v>
      </c>
      <c r="CE195" s="401">
        <v>0</v>
      </c>
      <c r="CF195" s="401">
        <v>0</v>
      </c>
      <c r="CG195" s="402">
        <v>0</v>
      </c>
      <c r="CH195" s="401">
        <v>0</v>
      </c>
      <c r="CI195" s="401">
        <v>0</v>
      </c>
      <c r="CJ195" s="401">
        <v>0</v>
      </c>
      <c r="CK195" s="402">
        <v>0</v>
      </c>
      <c r="CL195" s="401">
        <v>0</v>
      </c>
      <c r="CM195" s="401">
        <v>0</v>
      </c>
      <c r="CN195" s="401">
        <v>0</v>
      </c>
      <c r="CO195" s="402">
        <v>0</v>
      </c>
      <c r="CP195" s="438">
        <v>0</v>
      </c>
      <c r="CQ195" s="401">
        <v>0</v>
      </c>
      <c r="CR195" s="401">
        <v>0</v>
      </c>
      <c r="CS195" s="372">
        <v>0</v>
      </c>
      <c r="CT195" s="373">
        <v>0</v>
      </c>
      <c r="CU195" s="325">
        <v>0</v>
      </c>
      <c r="CV195" s="325">
        <v>0</v>
      </c>
      <c r="CW195" s="372">
        <v>0</v>
      </c>
      <c r="CX195" s="386"/>
      <c r="CY195" s="386"/>
      <c r="CZ195" s="386"/>
      <c r="DA195" s="388"/>
      <c r="DB195" s="386"/>
      <c r="DC195" s="386"/>
      <c r="DD195" s="386"/>
      <c r="DE195" s="388"/>
      <c r="DF195" s="386"/>
      <c r="DG195" s="386"/>
      <c r="DH195" s="386"/>
      <c r="DI195" s="388"/>
      <c r="DJ195" s="374"/>
      <c r="DK195" s="411"/>
      <c r="DL195" s="399"/>
      <c r="DM195" s="399"/>
      <c r="DN195" s="399"/>
      <c r="DO195" s="399"/>
      <c r="DP195" s="399"/>
      <c r="DQ195" s="399"/>
      <c r="DR195" s="399"/>
      <c r="DS195" s="401">
        <v>-21</v>
      </c>
      <c r="DT195" s="401">
        <v>-79</v>
      </c>
      <c r="DU195" s="401">
        <v>-22</v>
      </c>
      <c r="DV195" s="325">
        <v>-24</v>
      </c>
      <c r="DW195" s="325">
        <v>-5</v>
      </c>
      <c r="DX195" s="325">
        <v>-29</v>
      </c>
      <c r="DY195" s="325">
        <v>-39</v>
      </c>
      <c r="DZ195" s="325">
        <v>-67</v>
      </c>
      <c r="EA195" s="325">
        <v>63</v>
      </c>
      <c r="EB195" s="325">
        <v>0</v>
      </c>
      <c r="EC195" s="325">
        <v>0</v>
      </c>
      <c r="ED195" s="325">
        <v>0</v>
      </c>
      <c r="EE195" s="325">
        <v>0</v>
      </c>
      <c r="EF195" s="325">
        <v>0</v>
      </c>
      <c r="EG195" s="325">
        <v>0</v>
      </c>
      <c r="EH195" s="325">
        <v>0</v>
      </c>
      <c r="EI195" s="325">
        <v>0</v>
      </c>
      <c r="EJ195" s="325">
        <v>0</v>
      </c>
      <c r="EK195" s="325">
        <v>0</v>
      </c>
      <c r="EL195" s="325">
        <v>0</v>
      </c>
      <c r="EM195" s="325">
        <v>0</v>
      </c>
      <c r="EN195" s="325">
        <v>0</v>
      </c>
      <c r="EO195" s="325">
        <v>0</v>
      </c>
      <c r="EP195" s="389"/>
      <c r="EQ195" s="386"/>
    </row>
    <row r="196" spans="1:147" s="390" customFormat="1" ht="15" customHeight="1">
      <c r="A196" s="385"/>
      <c r="B196"/>
      <c r="C196"/>
      <c r="D196"/>
      <c r="E196"/>
      <c r="F196"/>
      <c r="G196"/>
      <c r="H196" s="369"/>
      <c r="I196" s="370" t="s">
        <v>198</v>
      </c>
      <c r="J196" s="399"/>
      <c r="K196" s="399"/>
      <c r="L196" s="399"/>
      <c r="M196" s="400"/>
      <c r="N196" s="399"/>
      <c r="O196" s="399"/>
      <c r="P196" s="399"/>
      <c r="Q196" s="400"/>
      <c r="R196" s="399"/>
      <c r="S196" s="399"/>
      <c r="T196" s="399"/>
      <c r="U196" s="400"/>
      <c r="V196" s="399"/>
      <c r="W196" s="399"/>
      <c r="X196" s="399"/>
      <c r="Y196" s="400"/>
      <c r="Z196" s="399"/>
      <c r="AA196" s="399"/>
      <c r="AB196" s="399"/>
      <c r="AC196" s="400"/>
      <c r="AD196" s="399"/>
      <c r="AE196" s="399"/>
      <c r="AF196" s="399"/>
      <c r="AG196" s="400"/>
      <c r="AH196" s="399"/>
      <c r="AI196" s="399"/>
      <c r="AJ196" s="399"/>
      <c r="AK196" s="400"/>
      <c r="AL196" s="399"/>
      <c r="AM196" s="399"/>
      <c r="AN196" s="399"/>
      <c r="AO196" s="400"/>
      <c r="AP196" s="399"/>
      <c r="AQ196" s="399"/>
      <c r="AR196" s="399"/>
      <c r="AS196" s="400"/>
      <c r="AT196" s="399"/>
      <c r="AU196" s="399"/>
      <c r="AV196" s="399"/>
      <c r="AW196" s="400"/>
      <c r="AX196" s="399"/>
      <c r="AY196" s="399"/>
      <c r="AZ196" s="399"/>
      <c r="BA196" s="400"/>
      <c r="BB196" s="401">
        <v>0</v>
      </c>
      <c r="BC196" s="401">
        <v>0</v>
      </c>
      <c r="BD196" s="401">
        <v>0</v>
      </c>
      <c r="BE196" s="402">
        <v>12</v>
      </c>
      <c r="BF196" s="401"/>
      <c r="BG196" s="401"/>
      <c r="BH196" s="401"/>
      <c r="BI196" s="402"/>
      <c r="BJ196" s="401"/>
      <c r="BK196" s="401"/>
      <c r="BL196" s="401"/>
      <c r="BM196" s="402"/>
      <c r="BN196" s="401"/>
      <c r="BO196" s="401"/>
      <c r="BP196" s="401"/>
      <c r="BQ196" s="402"/>
      <c r="BR196" s="401"/>
      <c r="BS196" s="401"/>
      <c r="BT196" s="401"/>
      <c r="BU196" s="372"/>
      <c r="BV196" s="401">
        <v>-27</v>
      </c>
      <c r="BW196" s="325">
        <v>-24</v>
      </c>
      <c r="BX196" s="401">
        <v>51</v>
      </c>
      <c r="BY196" s="402">
        <v>4</v>
      </c>
      <c r="BZ196" s="401">
        <v>0</v>
      </c>
      <c r="CA196" s="401">
        <v>16</v>
      </c>
      <c r="CB196" s="401">
        <v>-1</v>
      </c>
      <c r="CC196" s="402">
        <v>13</v>
      </c>
      <c r="CD196" s="401">
        <v>10</v>
      </c>
      <c r="CE196" s="401">
        <v>-5</v>
      </c>
      <c r="CF196" s="401">
        <v>50</v>
      </c>
      <c r="CG196" s="402">
        <v>-54</v>
      </c>
      <c r="CH196" s="401">
        <v>30</v>
      </c>
      <c r="CI196" s="401">
        <v>-6</v>
      </c>
      <c r="CJ196" s="401">
        <v>34</v>
      </c>
      <c r="CK196" s="402">
        <v>19</v>
      </c>
      <c r="CL196" s="401">
        <v>16</v>
      </c>
      <c r="CM196" s="401">
        <v>19</v>
      </c>
      <c r="CN196" s="401">
        <v>52</v>
      </c>
      <c r="CO196" s="402">
        <v>37</v>
      </c>
      <c r="CP196" s="438">
        <v>5</v>
      </c>
      <c r="CQ196" s="401">
        <v>-41</v>
      </c>
      <c r="CR196" s="401">
        <v>43</v>
      </c>
      <c r="CS196" s="372">
        <v>0</v>
      </c>
      <c r="CT196" s="373">
        <v>0</v>
      </c>
      <c r="CU196" s="325">
        <v>0</v>
      </c>
      <c r="CV196" s="325">
        <v>0</v>
      </c>
      <c r="CW196" s="372">
        <v>0</v>
      </c>
      <c r="CX196" s="386"/>
      <c r="CY196" s="386"/>
      <c r="CZ196" s="386"/>
      <c r="DA196" s="388"/>
      <c r="DB196" s="386"/>
      <c r="DC196" s="386"/>
      <c r="DD196" s="386"/>
      <c r="DE196" s="388"/>
      <c r="DF196" s="386"/>
      <c r="DG196" s="386"/>
      <c r="DH196" s="386"/>
      <c r="DI196" s="388"/>
      <c r="DJ196" s="374"/>
      <c r="DK196" s="411"/>
      <c r="DL196" s="399"/>
      <c r="DM196" s="399"/>
      <c r="DN196" s="399"/>
      <c r="DO196" s="399"/>
      <c r="DP196" s="399"/>
      <c r="DQ196" s="399"/>
      <c r="DR196" s="399"/>
      <c r="DS196" s="376">
        <v>35</v>
      </c>
      <c r="DT196" s="401">
        <v>409</v>
      </c>
      <c r="DU196" s="401">
        <v>326</v>
      </c>
      <c r="DV196" s="325">
        <v>12</v>
      </c>
      <c r="DW196" s="325">
        <v>0</v>
      </c>
      <c r="DX196" s="325">
        <v>0</v>
      </c>
      <c r="DY196" s="325">
        <v>0</v>
      </c>
      <c r="DZ196" s="325">
        <v>0</v>
      </c>
      <c r="EA196" s="325">
        <v>4</v>
      </c>
      <c r="EB196" s="325">
        <v>28</v>
      </c>
      <c r="EC196" s="325">
        <v>1</v>
      </c>
      <c r="ED196" s="325">
        <v>77</v>
      </c>
      <c r="EE196" s="325">
        <v>124</v>
      </c>
      <c r="EF196" s="325">
        <v>7</v>
      </c>
      <c r="EG196" s="325">
        <v>0</v>
      </c>
      <c r="EH196" s="325">
        <v>-234.49672443808004</v>
      </c>
      <c r="EI196" s="325">
        <v>100.81308507959989</v>
      </c>
      <c r="EJ196" s="325">
        <v>72.501319769215797</v>
      </c>
      <c r="EK196" s="325">
        <v>-124.18566835732872</v>
      </c>
      <c r="EL196" s="325">
        <v>84.906168456322803</v>
      </c>
      <c r="EM196" s="325">
        <v>-25.253723804316678</v>
      </c>
      <c r="EN196" s="325">
        <v>18.856272327963779</v>
      </c>
      <c r="EO196" s="325">
        <v>-146.9196703259347</v>
      </c>
      <c r="EP196" s="389"/>
      <c r="EQ196" s="386"/>
    </row>
    <row r="197" spans="1:147" s="712" customFormat="1" ht="15" customHeight="1">
      <c r="A197" s="711"/>
      <c r="B197"/>
      <c r="C197"/>
      <c r="D197"/>
      <c r="E197"/>
      <c r="F197"/>
      <c r="G197"/>
      <c r="I197" s="713" t="s">
        <v>1610</v>
      </c>
      <c r="J197" s="714"/>
      <c r="K197" s="714"/>
      <c r="L197" s="714"/>
      <c r="M197" s="715"/>
      <c r="N197" s="714"/>
      <c r="O197" s="714"/>
      <c r="P197" s="714"/>
      <c r="Q197" s="715"/>
      <c r="R197" s="714"/>
      <c r="S197" s="714"/>
      <c r="T197" s="714"/>
      <c r="U197" s="715"/>
      <c r="V197" s="714"/>
      <c r="W197" s="714"/>
      <c r="X197" s="714"/>
      <c r="Y197" s="715"/>
      <c r="Z197" s="714"/>
      <c r="AA197" s="714"/>
      <c r="AB197" s="714"/>
      <c r="AC197" s="715"/>
      <c r="AD197" s="714"/>
      <c r="AE197" s="714"/>
      <c r="AF197" s="714"/>
      <c r="AG197" s="715"/>
      <c r="AH197" s="714"/>
      <c r="AI197" s="714"/>
      <c r="AJ197" s="714"/>
      <c r="AK197" s="715"/>
      <c r="AL197" s="714"/>
      <c r="AM197" s="714"/>
      <c r="AN197" s="714"/>
      <c r="AO197" s="715"/>
      <c r="AP197" s="714"/>
      <c r="AQ197" s="714"/>
      <c r="AR197" s="714"/>
      <c r="AS197" s="715"/>
      <c r="AT197" s="714"/>
      <c r="AU197" s="714"/>
      <c r="AV197" s="714"/>
      <c r="AW197" s="715"/>
      <c r="AX197" s="714">
        <v>0</v>
      </c>
      <c r="AY197" s="714">
        <v>0</v>
      </c>
      <c r="AZ197" s="714">
        <v>0</v>
      </c>
      <c r="BA197" s="715">
        <v>0</v>
      </c>
      <c r="BB197" s="716">
        <v>770</v>
      </c>
      <c r="BC197" s="716">
        <v>402</v>
      </c>
      <c r="BD197" s="716">
        <v>207</v>
      </c>
      <c r="BE197" s="717">
        <v>311</v>
      </c>
      <c r="BF197" s="716">
        <v>521</v>
      </c>
      <c r="BG197" s="716">
        <v>270</v>
      </c>
      <c r="BH197" s="716">
        <v>295</v>
      </c>
      <c r="BI197" s="717">
        <v>503</v>
      </c>
      <c r="BJ197" s="716">
        <v>726</v>
      </c>
      <c r="BK197" s="716">
        <v>481</v>
      </c>
      <c r="BL197" s="716">
        <v>103</v>
      </c>
      <c r="BM197" s="717">
        <v>280</v>
      </c>
      <c r="BN197" s="716">
        <v>392</v>
      </c>
      <c r="BO197" s="716">
        <v>271</v>
      </c>
      <c r="BP197" s="716">
        <v>29</v>
      </c>
      <c r="BQ197" s="717">
        <v>557</v>
      </c>
      <c r="BR197" s="716">
        <v>570</v>
      </c>
      <c r="BS197" s="716">
        <v>357</v>
      </c>
      <c r="BT197" s="716">
        <v>211</v>
      </c>
      <c r="BU197" s="717">
        <v>296</v>
      </c>
      <c r="BV197" s="716">
        <v>551</v>
      </c>
      <c r="BW197" s="716">
        <v>457</v>
      </c>
      <c r="BX197" s="716">
        <v>499</v>
      </c>
      <c r="BY197" s="717">
        <v>906</v>
      </c>
      <c r="BZ197" s="716">
        <v>714</v>
      </c>
      <c r="CA197" s="716">
        <v>584</v>
      </c>
      <c r="CB197" s="716">
        <v>457</v>
      </c>
      <c r="CC197" s="717">
        <v>-203</v>
      </c>
      <c r="CD197" s="716">
        <v>898</v>
      </c>
      <c r="CE197" s="716">
        <v>691</v>
      </c>
      <c r="CF197" s="716">
        <v>596</v>
      </c>
      <c r="CG197" s="717">
        <v>907</v>
      </c>
      <c r="CH197" s="716">
        <v>760</v>
      </c>
      <c r="CI197" s="716">
        <v>492</v>
      </c>
      <c r="CJ197" s="716">
        <v>364</v>
      </c>
      <c r="CK197" s="717">
        <v>281</v>
      </c>
      <c r="CL197" s="716">
        <v>714</v>
      </c>
      <c r="CM197" s="716">
        <v>705</v>
      </c>
      <c r="CN197" s="716">
        <v>775</v>
      </c>
      <c r="CO197" s="717">
        <v>697</v>
      </c>
      <c r="CP197" s="718">
        <v>917</v>
      </c>
      <c r="CQ197" s="716">
        <v>938</v>
      </c>
      <c r="CR197" s="716">
        <v>807</v>
      </c>
      <c r="CS197" s="717">
        <v>1083.3763729371944</v>
      </c>
      <c r="CT197" s="718">
        <v>491.83196867324085</v>
      </c>
      <c r="CU197" s="716">
        <v>430.32211527639589</v>
      </c>
      <c r="CV197" s="716">
        <v>710.10442590176785</v>
      </c>
      <c r="CW197" s="717">
        <v>1314.9791834562332</v>
      </c>
      <c r="CX197" s="714"/>
      <c r="CY197" s="714"/>
      <c r="CZ197" s="714"/>
      <c r="DA197" s="715"/>
      <c r="DB197" s="714"/>
      <c r="DC197" s="714"/>
      <c r="DD197" s="714"/>
      <c r="DE197" s="715"/>
      <c r="DF197" s="714"/>
      <c r="DG197" s="714"/>
      <c r="DH197" s="714"/>
      <c r="DI197" s="715"/>
      <c r="DJ197" s="587"/>
      <c r="DK197" s="719"/>
      <c r="DL197" s="714"/>
      <c r="DM197" s="714"/>
      <c r="DN197" s="714"/>
      <c r="DO197" s="714"/>
      <c r="DP197" s="714"/>
      <c r="DQ197" s="714"/>
      <c r="DR197" s="714"/>
      <c r="DS197" s="720">
        <v>128</v>
      </c>
      <c r="DT197" s="720">
        <v>973</v>
      </c>
      <c r="DU197" s="720">
        <v>1093</v>
      </c>
      <c r="DV197" s="721">
        <v>1690</v>
      </c>
      <c r="DW197" s="721">
        <v>1589</v>
      </c>
      <c r="DX197" s="721">
        <v>1590</v>
      </c>
      <c r="DY197" s="721">
        <v>1249</v>
      </c>
      <c r="DZ197" s="721">
        <v>1434</v>
      </c>
      <c r="EA197" s="721">
        <v>2413</v>
      </c>
      <c r="EB197" s="721">
        <v>1552</v>
      </c>
      <c r="EC197" s="721">
        <v>3092</v>
      </c>
      <c r="ED197" s="716">
        <v>1897</v>
      </c>
      <c r="EE197" s="716">
        <v>2891</v>
      </c>
      <c r="EF197" s="716">
        <v>3745.3763729371944</v>
      </c>
      <c r="EG197" s="716">
        <v>2947.2376933076375</v>
      </c>
      <c r="EH197" s="716">
        <v>3427.0665695309513</v>
      </c>
      <c r="EI197" s="716">
        <v>3558.7504701088701</v>
      </c>
      <c r="EJ197" s="716">
        <v>3264.7579565628694</v>
      </c>
      <c r="EK197" s="716">
        <v>4232.2969596262055</v>
      </c>
      <c r="EL197" s="716">
        <v>4174.0742510023219</v>
      </c>
      <c r="EM197" s="716">
        <v>4149.9686290162836</v>
      </c>
      <c r="EN197" s="716">
        <v>4115.3418003445286</v>
      </c>
      <c r="EO197" s="716">
        <v>4523.4804046853706</v>
      </c>
      <c r="EP197" s="722"/>
      <c r="EQ197" s="723"/>
    </row>
    <row r="198" spans="1:147" s="390" customFormat="1" ht="15" customHeight="1">
      <c r="A198" s="385"/>
      <c r="B198"/>
      <c r="C198"/>
      <c r="D198"/>
      <c r="E198"/>
      <c r="F198"/>
      <c r="G198"/>
      <c r="I198" s="370" t="s">
        <v>1611</v>
      </c>
      <c r="J198" s="409"/>
      <c r="K198" s="409"/>
      <c r="L198" s="409"/>
      <c r="M198" s="410"/>
      <c r="N198" s="409"/>
      <c r="O198" s="409"/>
      <c r="P198" s="409"/>
      <c r="Q198" s="410"/>
      <c r="R198" s="409"/>
      <c r="S198" s="409"/>
      <c r="T198" s="409"/>
      <c r="U198" s="410"/>
      <c r="V198" s="409"/>
      <c r="W198" s="409"/>
      <c r="X198" s="409"/>
      <c r="Y198" s="410"/>
      <c r="Z198" s="409"/>
      <c r="AA198" s="409"/>
      <c r="AB198" s="409"/>
      <c r="AC198" s="410"/>
      <c r="AD198" s="409"/>
      <c r="AE198" s="409"/>
      <c r="AF198" s="409"/>
      <c r="AG198" s="410"/>
      <c r="AH198" s="409"/>
      <c r="AI198" s="409"/>
      <c r="AJ198" s="409"/>
      <c r="AK198" s="410"/>
      <c r="AL198" s="409"/>
      <c r="AM198" s="409"/>
      <c r="AN198" s="409"/>
      <c r="AO198" s="410"/>
      <c r="AP198" s="409"/>
      <c r="AQ198" s="409"/>
      <c r="AR198" s="409"/>
      <c r="AS198" s="410"/>
      <c r="AT198" s="409"/>
      <c r="AU198" s="409"/>
      <c r="AV198" s="409"/>
      <c r="AW198" s="410"/>
      <c r="AX198" s="409">
        <v>0</v>
      </c>
      <c r="AY198" s="409">
        <v>0</v>
      </c>
      <c r="AZ198" s="409">
        <v>0</v>
      </c>
      <c r="BA198" s="410">
        <v>0</v>
      </c>
      <c r="BB198" s="412">
        <v>-636</v>
      </c>
      <c r="BC198" s="412">
        <v>-480</v>
      </c>
      <c r="BD198" s="412">
        <v>-161</v>
      </c>
      <c r="BE198" s="413">
        <v>539</v>
      </c>
      <c r="BF198" s="412">
        <v>-368</v>
      </c>
      <c r="BG198" s="412">
        <v>-178</v>
      </c>
      <c r="BH198" s="412">
        <v>-171</v>
      </c>
      <c r="BI198" s="413">
        <v>473</v>
      </c>
      <c r="BJ198" s="412">
        <v>-401</v>
      </c>
      <c r="BK198" s="412">
        <v>-372</v>
      </c>
      <c r="BL198" s="412">
        <v>-153</v>
      </c>
      <c r="BM198" s="413">
        <v>600</v>
      </c>
      <c r="BN198" s="412">
        <v>-256</v>
      </c>
      <c r="BO198" s="412">
        <v>-165</v>
      </c>
      <c r="BP198" s="412">
        <v>-174</v>
      </c>
      <c r="BQ198" s="413">
        <v>638</v>
      </c>
      <c r="BR198" s="412">
        <v>-361</v>
      </c>
      <c r="BS198" s="412">
        <v>-222</v>
      </c>
      <c r="BT198" s="412">
        <v>-392</v>
      </c>
      <c r="BU198" s="413">
        <v>733</v>
      </c>
      <c r="BV198" s="412">
        <v>-242</v>
      </c>
      <c r="BW198" s="412">
        <v>22</v>
      </c>
      <c r="BX198" s="412">
        <v>9</v>
      </c>
      <c r="BY198" s="413">
        <v>-47</v>
      </c>
      <c r="BZ198" s="412">
        <v>-303</v>
      </c>
      <c r="CA198" s="412">
        <v>-319</v>
      </c>
      <c r="CB198" s="412">
        <v>-79</v>
      </c>
      <c r="CC198" s="413">
        <v>1362</v>
      </c>
      <c r="CD198" s="412">
        <v>-369</v>
      </c>
      <c r="CE198" s="412">
        <v>-682</v>
      </c>
      <c r="CF198" s="412">
        <v>-342</v>
      </c>
      <c r="CG198" s="413">
        <v>90</v>
      </c>
      <c r="CH198" s="412">
        <v>-367</v>
      </c>
      <c r="CI198" s="412">
        <v>-338</v>
      </c>
      <c r="CJ198" s="412">
        <v>-54</v>
      </c>
      <c r="CK198" s="413">
        <v>637</v>
      </c>
      <c r="CL198" s="412">
        <v>-566</v>
      </c>
      <c r="CM198" s="412">
        <v>63</v>
      </c>
      <c r="CN198" s="412">
        <v>-578</v>
      </c>
      <c r="CO198" s="413">
        <v>442</v>
      </c>
      <c r="CP198" s="567">
        <v>-73</v>
      </c>
      <c r="CQ198" s="412">
        <v>-550</v>
      </c>
      <c r="CR198" s="412">
        <v>-287</v>
      </c>
      <c r="CS198" s="413">
        <v>-103.26893899993593</v>
      </c>
      <c r="CT198" s="567">
        <v>571.47130758944695</v>
      </c>
      <c r="CU198" s="412">
        <v>-463.96123842891961</v>
      </c>
      <c r="CV198" s="412">
        <v>-334.54948030490652</v>
      </c>
      <c r="CW198" s="413">
        <v>-71.044635829012805</v>
      </c>
      <c r="CX198" s="409"/>
      <c r="CY198" s="409"/>
      <c r="CZ198" s="409"/>
      <c r="DA198" s="410"/>
      <c r="DB198" s="409"/>
      <c r="DC198" s="409"/>
      <c r="DD198" s="409"/>
      <c r="DE198" s="410"/>
      <c r="DF198" s="409"/>
      <c r="DG198" s="409"/>
      <c r="DH198" s="409"/>
      <c r="DI198" s="410"/>
      <c r="DJ198" s="454"/>
      <c r="DK198" s="598"/>
      <c r="DL198" s="409"/>
      <c r="DM198" s="409"/>
      <c r="DN198" s="409"/>
      <c r="DO198" s="409"/>
      <c r="DP198" s="409"/>
      <c r="DQ198" s="409"/>
      <c r="DR198" s="409"/>
      <c r="DS198" s="376">
        <v>251</v>
      </c>
      <c r="DT198" s="376">
        <v>210</v>
      </c>
      <c r="DU198" s="376">
        <v>283</v>
      </c>
      <c r="DV198" s="325">
        <v>-738</v>
      </c>
      <c r="DW198" s="325">
        <v>-244</v>
      </c>
      <c r="DX198" s="325">
        <v>-326</v>
      </c>
      <c r="DY198" s="325">
        <v>43</v>
      </c>
      <c r="DZ198" s="325">
        <v>-242</v>
      </c>
      <c r="EA198" s="325">
        <v>-258</v>
      </c>
      <c r="EB198" s="325">
        <v>661</v>
      </c>
      <c r="EC198" s="325">
        <v>-1303</v>
      </c>
      <c r="ED198" s="412">
        <v>-122</v>
      </c>
      <c r="EE198" s="412">
        <v>-639</v>
      </c>
      <c r="EF198" s="412">
        <v>-1013.2689389999359</v>
      </c>
      <c r="EG198" s="325">
        <v>-298.08404697339199</v>
      </c>
      <c r="EH198" s="412">
        <v>-1092.354814471217</v>
      </c>
      <c r="EI198" s="412">
        <v>-76.448818752395852</v>
      </c>
      <c r="EJ198" s="412">
        <v>112.8740772737961</v>
      </c>
      <c r="EK198" s="412">
        <v>-52.542201792851984</v>
      </c>
      <c r="EL198" s="412">
        <v>73.503941613249907</v>
      </c>
      <c r="EM198" s="412">
        <v>-20.15487719740263</v>
      </c>
      <c r="EN198" s="412">
        <v>51.728780564728105</v>
      </c>
      <c r="EO198" s="412">
        <v>-89.387629166363467</v>
      </c>
      <c r="EP198" s="389"/>
      <c r="EQ198" s="386"/>
    </row>
    <row r="199" spans="1:147" s="390" customFormat="1" ht="15" customHeight="1" outlineLevel="1">
      <c r="A199" s="385"/>
      <c r="B199"/>
      <c r="C199"/>
      <c r="D199"/>
      <c r="E199"/>
      <c r="F199"/>
      <c r="G199"/>
      <c r="H199" s="386"/>
      <c r="I199" s="724" t="s">
        <v>537</v>
      </c>
      <c r="J199" s="399"/>
      <c r="K199" s="399"/>
      <c r="L199" s="399"/>
      <c r="M199" s="400"/>
      <c r="N199" s="399"/>
      <c r="O199" s="399"/>
      <c r="P199" s="399"/>
      <c r="Q199" s="400"/>
      <c r="R199" s="399"/>
      <c r="S199" s="399"/>
      <c r="T199" s="399"/>
      <c r="U199" s="400"/>
      <c r="V199" s="399"/>
      <c r="W199" s="399"/>
      <c r="X199" s="399"/>
      <c r="Y199" s="400"/>
      <c r="Z199" s="399"/>
      <c r="AA199" s="399"/>
      <c r="AB199" s="399"/>
      <c r="AC199" s="400"/>
      <c r="AD199" s="399"/>
      <c r="AE199" s="399"/>
      <c r="AF199" s="399"/>
      <c r="AG199" s="400"/>
      <c r="AH199" s="399"/>
      <c r="AI199" s="399"/>
      <c r="AJ199" s="399"/>
      <c r="AK199" s="400"/>
      <c r="AL199" s="399"/>
      <c r="AM199" s="399"/>
      <c r="AN199" s="399"/>
      <c r="AO199" s="400"/>
      <c r="AP199" s="399"/>
      <c r="AQ199" s="399"/>
      <c r="AR199" s="399"/>
      <c r="AS199" s="400"/>
      <c r="AT199" s="399"/>
      <c r="AU199" s="399"/>
      <c r="AV199" s="399"/>
      <c r="AW199" s="400"/>
      <c r="AX199" s="399"/>
      <c r="AY199" s="399"/>
      <c r="AZ199" s="399"/>
      <c r="BA199" s="400"/>
      <c r="BB199" s="401">
        <v>554</v>
      </c>
      <c r="BC199" s="401">
        <v>-36</v>
      </c>
      <c r="BD199" s="401">
        <v>-2</v>
      </c>
      <c r="BE199" s="402">
        <v>-503</v>
      </c>
      <c r="BF199" s="401">
        <v>553</v>
      </c>
      <c r="BG199" s="401">
        <v>-132</v>
      </c>
      <c r="BH199" s="401">
        <v>29</v>
      </c>
      <c r="BI199" s="402">
        <v>-496</v>
      </c>
      <c r="BJ199" s="401">
        <v>465</v>
      </c>
      <c r="BK199" s="401">
        <v>118</v>
      </c>
      <c r="BL199" s="401">
        <v>-85</v>
      </c>
      <c r="BM199" s="402">
        <v>-300</v>
      </c>
      <c r="BN199" s="401">
        <v>290</v>
      </c>
      <c r="BO199" s="401">
        <v>112</v>
      </c>
      <c r="BP199" s="401">
        <v>-595</v>
      </c>
      <c r="BQ199" s="402">
        <v>16</v>
      </c>
      <c r="BR199" s="401">
        <v>438</v>
      </c>
      <c r="BS199" s="401">
        <v>7</v>
      </c>
      <c r="BT199" s="401">
        <v>-303</v>
      </c>
      <c r="BU199" s="402">
        <v>-182</v>
      </c>
      <c r="BV199" s="401">
        <v>459</v>
      </c>
      <c r="BW199" s="401">
        <v>-82</v>
      </c>
      <c r="BX199" s="401">
        <v>18</v>
      </c>
      <c r="BY199" s="402">
        <v>-311</v>
      </c>
      <c r="BZ199" s="401">
        <v>396</v>
      </c>
      <c r="CA199" s="401">
        <v>-11</v>
      </c>
      <c r="CB199" s="401">
        <v>-525</v>
      </c>
      <c r="CC199" s="402">
        <v>-25</v>
      </c>
      <c r="CD199" s="401">
        <v>503</v>
      </c>
      <c r="CE199" s="401">
        <v>8</v>
      </c>
      <c r="CF199" s="401">
        <v>-221</v>
      </c>
      <c r="CG199" s="402">
        <v>-404</v>
      </c>
      <c r="CH199" s="401">
        <v>438</v>
      </c>
      <c r="CI199" s="401">
        <v>132</v>
      </c>
      <c r="CJ199" s="401">
        <v>65</v>
      </c>
      <c r="CK199" s="402">
        <v>-453</v>
      </c>
      <c r="CL199" s="401">
        <v>249</v>
      </c>
      <c r="CM199" s="401">
        <v>-19</v>
      </c>
      <c r="CN199" s="401">
        <v>-5</v>
      </c>
      <c r="CO199" s="402">
        <v>-419</v>
      </c>
      <c r="CP199" s="438">
        <v>276</v>
      </c>
      <c r="CQ199" s="401">
        <v>93</v>
      </c>
      <c r="CR199" s="401">
        <v>93</v>
      </c>
      <c r="CS199" s="413">
        <v>-648.68620646439808</v>
      </c>
      <c r="CT199" s="373">
        <v>682.11024251578885</v>
      </c>
      <c r="CU199" s="325">
        <v>29.844129625188998</v>
      </c>
      <c r="CV199" s="325">
        <v>-171.01926240263674</v>
      </c>
      <c r="CW199" s="413">
        <v>-898.78719409868461</v>
      </c>
      <c r="CX199" s="409"/>
      <c r="CY199" s="409"/>
      <c r="CZ199" s="409"/>
      <c r="DA199" s="410"/>
      <c r="DB199" s="409"/>
      <c r="DC199" s="409"/>
      <c r="DD199" s="409"/>
      <c r="DE199" s="410"/>
      <c r="DF199" s="409"/>
      <c r="DG199" s="409"/>
      <c r="DH199" s="409"/>
      <c r="DI199" s="410"/>
      <c r="DJ199" s="454"/>
      <c r="DK199" s="411"/>
      <c r="DL199" s="399"/>
      <c r="DM199" s="399"/>
      <c r="DN199" s="399"/>
      <c r="DO199" s="399"/>
      <c r="DP199" s="399"/>
      <c r="DQ199" s="399"/>
      <c r="DR199" s="399"/>
      <c r="DS199" s="401">
        <v>-428</v>
      </c>
      <c r="DT199" s="401">
        <v>235</v>
      </c>
      <c r="DU199" s="401">
        <v>76</v>
      </c>
      <c r="DV199" s="325">
        <v>13</v>
      </c>
      <c r="DW199" s="325">
        <v>-46</v>
      </c>
      <c r="DX199" s="325">
        <v>198</v>
      </c>
      <c r="DY199" s="325">
        <v>-177</v>
      </c>
      <c r="DZ199" s="325">
        <v>-40</v>
      </c>
      <c r="EA199" s="325">
        <v>84</v>
      </c>
      <c r="EB199" s="325">
        <v>-165</v>
      </c>
      <c r="EC199" s="325">
        <v>-114</v>
      </c>
      <c r="ED199" s="412">
        <v>182</v>
      </c>
      <c r="EE199" s="412">
        <v>-194</v>
      </c>
      <c r="EF199" s="412">
        <v>-186.68620646439808</v>
      </c>
      <c r="EG199" s="412">
        <v>-357.8520843603435</v>
      </c>
      <c r="EH199" s="412">
        <v>-264.29464436245325</v>
      </c>
      <c r="EI199" s="412">
        <v>108.17198171474274</v>
      </c>
      <c r="EJ199" s="412">
        <v>71.205136470842717</v>
      </c>
      <c r="EK199" s="412">
        <v>-110.47703594945824</v>
      </c>
      <c r="EL199" s="412">
        <v>63.317037708661928</v>
      </c>
      <c r="EM199" s="412">
        <v>-11.589898907331872</v>
      </c>
      <c r="EN199" s="412">
        <v>9.4388146827279797</v>
      </c>
      <c r="EO199" s="412">
        <v>-132.0009057218449</v>
      </c>
      <c r="EP199" s="389"/>
      <c r="EQ199" s="386"/>
    </row>
    <row r="200" spans="1:147" s="390" customFormat="1" ht="15" customHeight="1" outlineLevel="1">
      <c r="A200" s="385"/>
      <c r="B200"/>
      <c r="C200"/>
      <c r="D200"/>
      <c r="E200"/>
      <c r="F200"/>
      <c r="G200"/>
      <c r="H200" s="386"/>
      <c r="I200" s="724" t="s">
        <v>538</v>
      </c>
      <c r="J200" s="399"/>
      <c r="K200" s="399"/>
      <c r="L200" s="399"/>
      <c r="M200" s="400"/>
      <c r="N200" s="399"/>
      <c r="O200" s="399"/>
      <c r="P200" s="399"/>
      <c r="Q200" s="400"/>
      <c r="R200" s="399"/>
      <c r="S200" s="399"/>
      <c r="T200" s="399"/>
      <c r="U200" s="400"/>
      <c r="V200" s="399"/>
      <c r="W200" s="399"/>
      <c r="X200" s="399"/>
      <c r="Y200" s="400"/>
      <c r="Z200" s="399"/>
      <c r="AA200" s="399"/>
      <c r="AB200" s="399"/>
      <c r="AC200" s="400"/>
      <c r="AD200" s="399"/>
      <c r="AE200" s="399"/>
      <c r="AF200" s="399"/>
      <c r="AG200" s="400"/>
      <c r="AH200" s="399"/>
      <c r="AI200" s="399"/>
      <c r="AJ200" s="399"/>
      <c r="AK200" s="400"/>
      <c r="AL200" s="399"/>
      <c r="AM200" s="399"/>
      <c r="AN200" s="399"/>
      <c r="AO200" s="400"/>
      <c r="AP200" s="399"/>
      <c r="AQ200" s="399"/>
      <c r="AR200" s="399"/>
      <c r="AS200" s="400"/>
      <c r="AT200" s="399"/>
      <c r="AU200" s="399"/>
      <c r="AV200" s="399"/>
      <c r="AW200" s="400"/>
      <c r="AX200" s="399"/>
      <c r="AY200" s="399"/>
      <c r="AZ200" s="399"/>
      <c r="BA200" s="400"/>
      <c r="BB200" s="401">
        <v>11</v>
      </c>
      <c r="BC200" s="401">
        <v>10</v>
      </c>
      <c r="BD200" s="401">
        <v>-117</v>
      </c>
      <c r="BE200" s="402">
        <v>62</v>
      </c>
      <c r="BF200" s="401">
        <v>0</v>
      </c>
      <c r="BG200" s="401">
        <v>15</v>
      </c>
      <c r="BH200" s="401">
        <v>-160</v>
      </c>
      <c r="BI200" s="402">
        <v>83</v>
      </c>
      <c r="BJ200" s="401">
        <v>47</v>
      </c>
      <c r="BK200" s="401">
        <v>29</v>
      </c>
      <c r="BL200" s="401">
        <v>-179</v>
      </c>
      <c r="BM200" s="402">
        <v>142</v>
      </c>
      <c r="BN200" s="401">
        <v>5</v>
      </c>
      <c r="BO200" s="401">
        <v>-4</v>
      </c>
      <c r="BP200" s="401">
        <v>-91</v>
      </c>
      <c r="BQ200" s="402">
        <v>88</v>
      </c>
      <c r="BR200" s="401">
        <v>10</v>
      </c>
      <c r="BS200" s="401">
        <v>-19</v>
      </c>
      <c r="BT200" s="401">
        <v>-126</v>
      </c>
      <c r="BU200" s="402">
        <v>81</v>
      </c>
      <c r="BV200" s="401">
        <v>14</v>
      </c>
      <c r="BW200" s="401">
        <v>-1</v>
      </c>
      <c r="BX200" s="401">
        <v>-45</v>
      </c>
      <c r="BY200" s="402">
        <v>64</v>
      </c>
      <c r="BZ200" s="401">
        <v>2</v>
      </c>
      <c r="CA200" s="401">
        <v>-8</v>
      </c>
      <c r="CB200" s="401">
        <v>-44</v>
      </c>
      <c r="CC200" s="402">
        <v>24</v>
      </c>
      <c r="CD200" s="401">
        <v>4</v>
      </c>
      <c r="CE200" s="401">
        <v>4</v>
      </c>
      <c r="CF200" s="401">
        <v>-135</v>
      </c>
      <c r="CG200" s="402">
        <v>122</v>
      </c>
      <c r="CH200" s="401">
        <v>-2</v>
      </c>
      <c r="CI200" s="401">
        <v>-2</v>
      </c>
      <c r="CJ200" s="401">
        <v>-61</v>
      </c>
      <c r="CK200" s="402">
        <v>72</v>
      </c>
      <c r="CL200" s="401">
        <v>0</v>
      </c>
      <c r="CM200" s="401">
        <v>0</v>
      </c>
      <c r="CN200" s="401">
        <v>0</v>
      </c>
      <c r="CO200" s="402">
        <v>0</v>
      </c>
      <c r="CP200" s="438">
        <v>0</v>
      </c>
      <c r="CQ200" s="401">
        <v>0</v>
      </c>
      <c r="CR200" s="401">
        <v>0</v>
      </c>
      <c r="CS200" s="413">
        <v>-42.256036472175005</v>
      </c>
      <c r="CT200" s="373">
        <v>41.695184050038016</v>
      </c>
      <c r="CU200" s="325">
        <v>0.26329242621917809</v>
      </c>
      <c r="CV200" s="325">
        <v>-0.25230329572602744</v>
      </c>
      <c r="CW200" s="413">
        <v>-3.9307512338876718</v>
      </c>
      <c r="CX200" s="409"/>
      <c r="CY200" s="409"/>
      <c r="CZ200" s="409"/>
      <c r="DA200" s="410"/>
      <c r="DB200" s="409"/>
      <c r="DC200" s="409"/>
      <c r="DD200" s="409"/>
      <c r="DE200" s="410"/>
      <c r="DF200" s="409"/>
      <c r="DG200" s="409"/>
      <c r="DH200" s="409"/>
      <c r="DI200" s="410"/>
      <c r="DJ200" s="454"/>
      <c r="DK200" s="411"/>
      <c r="DL200" s="399"/>
      <c r="DM200" s="399"/>
      <c r="DN200" s="399"/>
      <c r="DO200" s="399"/>
      <c r="DP200" s="399"/>
      <c r="DQ200" s="399"/>
      <c r="DR200" s="399"/>
      <c r="DS200" s="401">
        <v>-20</v>
      </c>
      <c r="DT200" s="401">
        <v>21</v>
      </c>
      <c r="DU200" s="401">
        <v>124</v>
      </c>
      <c r="DV200" s="325">
        <v>-34</v>
      </c>
      <c r="DW200" s="325">
        <v>-62</v>
      </c>
      <c r="DX200" s="325">
        <v>39</v>
      </c>
      <c r="DY200" s="325">
        <v>-2</v>
      </c>
      <c r="DZ200" s="325">
        <v>-54</v>
      </c>
      <c r="EA200" s="325">
        <v>32</v>
      </c>
      <c r="EB200" s="325">
        <v>-26</v>
      </c>
      <c r="EC200" s="325">
        <v>-5</v>
      </c>
      <c r="ED200" s="412">
        <v>7</v>
      </c>
      <c r="EE200" s="412">
        <v>0</v>
      </c>
      <c r="EF200" s="412">
        <v>-42.256036472175005</v>
      </c>
      <c r="EG200" s="412">
        <v>37.775421946643498</v>
      </c>
      <c r="EH200" s="412">
        <v>-2.7769175025973505</v>
      </c>
      <c r="EI200" s="412">
        <v>1.8536611886191015</v>
      </c>
      <c r="EJ200" s="412">
        <v>0.40695670322470079</v>
      </c>
      <c r="EK200" s="412">
        <v>-0.85700326453350684</v>
      </c>
      <c r="EL200" s="412">
        <v>0.51891425573918237</v>
      </c>
      <c r="EM200" s="412">
        <v>0.33497927067873956</v>
      </c>
      <c r="EN200" s="412">
        <v>-2.9238564922627219E-2</v>
      </c>
      <c r="EO200" s="412">
        <v>-0.85832815740246815</v>
      </c>
      <c r="EP200" s="389"/>
      <c r="EQ200" s="386"/>
    </row>
    <row r="201" spans="1:147" s="390" customFormat="1" ht="15" customHeight="1" outlineLevel="1">
      <c r="A201" s="385"/>
      <c r="B201"/>
      <c r="C201"/>
      <c r="D201"/>
      <c r="E201"/>
      <c r="F201"/>
      <c r="G201"/>
      <c r="H201" s="386"/>
      <c r="I201" s="724" t="s">
        <v>1612</v>
      </c>
      <c r="J201" s="399"/>
      <c r="K201" s="399"/>
      <c r="L201" s="399"/>
      <c r="M201" s="400"/>
      <c r="N201" s="399"/>
      <c r="O201" s="399"/>
      <c r="P201" s="399"/>
      <c r="Q201" s="400"/>
      <c r="R201" s="399"/>
      <c r="S201" s="399"/>
      <c r="T201" s="399"/>
      <c r="U201" s="400"/>
      <c r="V201" s="399"/>
      <c r="W201" s="399"/>
      <c r="X201" s="399"/>
      <c r="Y201" s="400"/>
      <c r="Z201" s="399"/>
      <c r="AA201" s="399"/>
      <c r="AB201" s="399"/>
      <c r="AC201" s="400"/>
      <c r="AD201" s="399"/>
      <c r="AE201" s="399"/>
      <c r="AF201" s="399"/>
      <c r="AG201" s="400"/>
      <c r="AH201" s="399"/>
      <c r="AI201" s="399"/>
      <c r="AJ201" s="399"/>
      <c r="AK201" s="400"/>
      <c r="AL201" s="399"/>
      <c r="AM201" s="399"/>
      <c r="AN201" s="399"/>
      <c r="AO201" s="400"/>
      <c r="AP201" s="399"/>
      <c r="AQ201" s="399"/>
      <c r="AR201" s="399"/>
      <c r="AS201" s="400"/>
      <c r="AT201" s="399"/>
      <c r="AU201" s="399"/>
      <c r="AV201" s="399"/>
      <c r="AW201" s="400"/>
      <c r="AX201" s="399"/>
      <c r="AY201" s="399"/>
      <c r="AZ201" s="399"/>
      <c r="BA201" s="400"/>
      <c r="BB201" s="401">
        <v>-45</v>
      </c>
      <c r="BC201" s="401">
        <v>-71</v>
      </c>
      <c r="BD201" s="401">
        <v>-65</v>
      </c>
      <c r="BE201" s="402">
        <v>-73</v>
      </c>
      <c r="BF201" s="401">
        <v>-67</v>
      </c>
      <c r="BG201" s="401">
        <v>-79</v>
      </c>
      <c r="BH201" s="401">
        <v>-72</v>
      </c>
      <c r="BI201" s="402">
        <v>-83</v>
      </c>
      <c r="BJ201" s="401">
        <v>-73</v>
      </c>
      <c r="BK201" s="401">
        <v>-67</v>
      </c>
      <c r="BL201" s="401">
        <v>-72</v>
      </c>
      <c r="BM201" s="402">
        <v>-56</v>
      </c>
      <c r="BN201" s="401">
        <v>-71</v>
      </c>
      <c r="BO201" s="401">
        <v>-90</v>
      </c>
      <c r="BP201" s="401">
        <v>-92</v>
      </c>
      <c r="BQ201" s="402">
        <v>-96</v>
      </c>
      <c r="BR201" s="401">
        <v>-77</v>
      </c>
      <c r="BS201" s="401">
        <v>-94</v>
      </c>
      <c r="BT201" s="401">
        <v>-78</v>
      </c>
      <c r="BU201" s="402">
        <v>-101</v>
      </c>
      <c r="BV201" s="401">
        <v>-130</v>
      </c>
      <c r="BW201" s="401">
        <v>-142</v>
      </c>
      <c r="BX201" s="401">
        <v>-23</v>
      </c>
      <c r="BY201" s="402">
        <v>-67</v>
      </c>
      <c r="BZ201" s="401">
        <v>-67</v>
      </c>
      <c r="CA201" s="401">
        <v>-87</v>
      </c>
      <c r="CB201" s="401">
        <v>-73</v>
      </c>
      <c r="CC201" s="402">
        <v>-74</v>
      </c>
      <c r="CD201" s="401">
        <v>-100</v>
      </c>
      <c r="CE201" s="401">
        <v>-109</v>
      </c>
      <c r="CF201" s="401">
        <v>-96</v>
      </c>
      <c r="CG201" s="402">
        <v>-67</v>
      </c>
      <c r="CH201" s="401">
        <v>-46</v>
      </c>
      <c r="CI201" s="401">
        <v>-59</v>
      </c>
      <c r="CJ201" s="401">
        <v>-81</v>
      </c>
      <c r="CK201" s="402">
        <v>-89</v>
      </c>
      <c r="CL201" s="401">
        <v>-85</v>
      </c>
      <c r="CM201" s="401">
        <v>-105</v>
      </c>
      <c r="CN201" s="401">
        <v>-110</v>
      </c>
      <c r="CO201" s="402">
        <v>-78</v>
      </c>
      <c r="CP201" s="438">
        <v>-84</v>
      </c>
      <c r="CQ201" s="401">
        <v>-105</v>
      </c>
      <c r="CR201" s="401">
        <v>-114</v>
      </c>
      <c r="CS201" s="413">
        <v>-138.69093865800187</v>
      </c>
      <c r="CT201" s="373">
        <v>234.14150926088274</v>
      </c>
      <c r="CU201" s="325">
        <v>16.219136262082273</v>
      </c>
      <c r="CV201" s="325">
        <v>-328.21051150842385</v>
      </c>
      <c r="CW201" s="413">
        <v>8.018845210919892</v>
      </c>
      <c r="CX201" s="409"/>
      <c r="CY201" s="409"/>
      <c r="CZ201" s="409"/>
      <c r="DA201" s="410"/>
      <c r="DB201" s="409"/>
      <c r="DC201" s="409"/>
      <c r="DD201" s="409"/>
      <c r="DE201" s="410"/>
      <c r="DF201" s="409"/>
      <c r="DG201" s="409"/>
      <c r="DH201" s="409"/>
      <c r="DI201" s="410"/>
      <c r="DJ201" s="454"/>
      <c r="DK201" s="411"/>
      <c r="DL201" s="399"/>
      <c r="DM201" s="399"/>
      <c r="DN201" s="399"/>
      <c r="DO201" s="399"/>
      <c r="DP201" s="399"/>
      <c r="DQ201" s="399"/>
      <c r="DR201" s="399"/>
      <c r="DS201" s="401">
        <v>-181</v>
      </c>
      <c r="DT201" s="401">
        <v>-308</v>
      </c>
      <c r="DU201" s="401">
        <v>-313</v>
      </c>
      <c r="DV201" s="325">
        <v>-254</v>
      </c>
      <c r="DW201" s="325">
        <v>-301</v>
      </c>
      <c r="DX201" s="325">
        <v>-268</v>
      </c>
      <c r="DY201" s="325">
        <v>-349</v>
      </c>
      <c r="DZ201" s="325">
        <v>-350</v>
      </c>
      <c r="EA201" s="325">
        <v>-362</v>
      </c>
      <c r="EB201" s="325">
        <v>-301</v>
      </c>
      <c r="EC201" s="325">
        <v>-372</v>
      </c>
      <c r="ED201" s="412">
        <v>-275</v>
      </c>
      <c r="EE201" s="412">
        <v>-378</v>
      </c>
      <c r="EF201" s="412">
        <v>-441.69093865800187</v>
      </c>
      <c r="EG201" s="412">
        <v>-69.831020774538956</v>
      </c>
      <c r="EH201" s="412">
        <v>171.38490661129777</v>
      </c>
      <c r="EI201" s="412">
        <v>-57.054179966048821</v>
      </c>
      <c r="EJ201" s="412">
        <v>24.951964198852238</v>
      </c>
      <c r="EK201" s="412">
        <v>7.9665811077616695</v>
      </c>
      <c r="EL201" s="412">
        <v>-19.230762016010544</v>
      </c>
      <c r="EM201" s="412">
        <v>13.035756306439396</v>
      </c>
      <c r="EN201" s="412">
        <v>-3.3294551724687835</v>
      </c>
      <c r="EO201" s="412">
        <v>-3.4477419295171785E-2</v>
      </c>
      <c r="EP201" s="389"/>
      <c r="EQ201" s="386"/>
    </row>
    <row r="202" spans="1:147" s="390" customFormat="1" ht="15" customHeight="1" outlineLevel="1">
      <c r="A202" s="385"/>
      <c r="B202"/>
      <c r="C202"/>
      <c r="D202"/>
      <c r="E202"/>
      <c r="F202"/>
      <c r="G202"/>
      <c r="H202" s="386"/>
      <c r="I202" s="724" t="s">
        <v>1613</v>
      </c>
      <c r="J202" s="399"/>
      <c r="K202" s="399"/>
      <c r="L202" s="399"/>
      <c r="M202" s="400"/>
      <c r="N202" s="399"/>
      <c r="O202" s="399"/>
      <c r="P202" s="399"/>
      <c r="Q202" s="400"/>
      <c r="R202" s="399"/>
      <c r="S202" s="399"/>
      <c r="T202" s="399"/>
      <c r="U202" s="400"/>
      <c r="V202" s="399"/>
      <c r="W202" s="399"/>
      <c r="X202" s="399"/>
      <c r="Y202" s="400"/>
      <c r="Z202" s="399"/>
      <c r="AA202" s="399"/>
      <c r="AB202" s="399"/>
      <c r="AC202" s="400"/>
      <c r="AD202" s="399"/>
      <c r="AE202" s="399"/>
      <c r="AF202" s="399"/>
      <c r="AG202" s="400"/>
      <c r="AH202" s="399"/>
      <c r="AI202" s="399"/>
      <c r="AJ202" s="399"/>
      <c r="AK202" s="400"/>
      <c r="AL202" s="399"/>
      <c r="AM202" s="399"/>
      <c r="AN202" s="399"/>
      <c r="AO202" s="400"/>
      <c r="AP202" s="399"/>
      <c r="AQ202" s="399"/>
      <c r="AR202" s="399"/>
      <c r="AS202" s="400"/>
      <c r="AT202" s="399"/>
      <c r="AU202" s="399"/>
      <c r="AV202" s="399"/>
      <c r="AW202" s="400"/>
      <c r="AX202" s="399"/>
      <c r="AY202" s="399"/>
      <c r="AZ202" s="399"/>
      <c r="BA202" s="400"/>
      <c r="BB202" s="401">
        <v>129</v>
      </c>
      <c r="BC202" s="401">
        <v>80</v>
      </c>
      <c r="BD202" s="401">
        <v>-39</v>
      </c>
      <c r="BE202" s="402">
        <v>-237</v>
      </c>
      <c r="BF202" s="401">
        <v>174</v>
      </c>
      <c r="BG202" s="401">
        <v>72</v>
      </c>
      <c r="BH202" s="401">
        <v>-18</v>
      </c>
      <c r="BI202" s="402">
        <v>-140</v>
      </c>
      <c r="BJ202" s="401">
        <v>91</v>
      </c>
      <c r="BK202" s="401">
        <v>41</v>
      </c>
      <c r="BL202" s="401">
        <v>-33</v>
      </c>
      <c r="BM202" s="402">
        <v>-190</v>
      </c>
      <c r="BN202" s="401">
        <v>111</v>
      </c>
      <c r="BO202" s="401">
        <v>71</v>
      </c>
      <c r="BP202" s="401">
        <v>-123</v>
      </c>
      <c r="BQ202" s="402">
        <v>-41</v>
      </c>
      <c r="BR202" s="401">
        <v>108</v>
      </c>
      <c r="BS202" s="401">
        <v>58</v>
      </c>
      <c r="BT202" s="401">
        <v>-8</v>
      </c>
      <c r="BU202" s="402">
        <v>-137</v>
      </c>
      <c r="BV202" s="401">
        <v>83</v>
      </c>
      <c r="BW202" s="401">
        <v>46</v>
      </c>
      <c r="BX202" s="401">
        <v>-44</v>
      </c>
      <c r="BY202" s="402">
        <v>-95</v>
      </c>
      <c r="BZ202" s="401">
        <v>-3</v>
      </c>
      <c r="CA202" s="401">
        <v>-16</v>
      </c>
      <c r="CB202" s="401">
        <v>-51</v>
      </c>
      <c r="CC202" s="402">
        <v>-76</v>
      </c>
      <c r="CD202" s="401">
        <v>22</v>
      </c>
      <c r="CE202" s="401">
        <v>17</v>
      </c>
      <c r="CF202" s="401">
        <v>-54</v>
      </c>
      <c r="CG202" s="402">
        <v>-36</v>
      </c>
      <c r="CH202" s="401">
        <v>-19</v>
      </c>
      <c r="CI202" s="401">
        <v>97</v>
      </c>
      <c r="CJ202" s="401">
        <v>-61</v>
      </c>
      <c r="CK202" s="402">
        <v>147</v>
      </c>
      <c r="CL202" s="401">
        <v>-11</v>
      </c>
      <c r="CM202" s="401">
        <v>-92</v>
      </c>
      <c r="CN202" s="401">
        <v>-103</v>
      </c>
      <c r="CO202" s="402">
        <v>87</v>
      </c>
      <c r="CP202" s="438">
        <v>-2</v>
      </c>
      <c r="CQ202" s="401">
        <v>22</v>
      </c>
      <c r="CR202" s="401">
        <v>-108</v>
      </c>
      <c r="CS202" s="413">
        <v>238.61361256695125</v>
      </c>
      <c r="CT202" s="373">
        <v>130.85174548669715</v>
      </c>
      <c r="CU202" s="325">
        <v>-59.292068746695293</v>
      </c>
      <c r="CV202" s="325">
        <v>-262.66568827604459</v>
      </c>
      <c r="CW202" s="413">
        <v>-153.54324314651217</v>
      </c>
      <c r="CX202" s="409"/>
      <c r="CY202" s="409"/>
      <c r="CZ202" s="409"/>
      <c r="DA202" s="410"/>
      <c r="DB202" s="409"/>
      <c r="DC202" s="409"/>
      <c r="DD202" s="409"/>
      <c r="DE202" s="410"/>
      <c r="DF202" s="409"/>
      <c r="DG202" s="409"/>
      <c r="DH202" s="409"/>
      <c r="DI202" s="410"/>
      <c r="DJ202" s="454"/>
      <c r="DK202" s="411"/>
      <c r="DL202" s="399"/>
      <c r="DM202" s="399"/>
      <c r="DN202" s="399"/>
      <c r="DO202" s="399"/>
      <c r="DP202" s="399"/>
      <c r="DQ202" s="399"/>
      <c r="DR202" s="399"/>
      <c r="DS202" s="401">
        <v>-165</v>
      </c>
      <c r="DT202" s="401">
        <v>-110</v>
      </c>
      <c r="DU202" s="401">
        <v>17</v>
      </c>
      <c r="DV202" s="325">
        <v>-67</v>
      </c>
      <c r="DW202" s="325">
        <v>88</v>
      </c>
      <c r="DX202" s="325">
        <v>-91</v>
      </c>
      <c r="DY202" s="325">
        <v>18</v>
      </c>
      <c r="DZ202" s="325">
        <v>21</v>
      </c>
      <c r="EA202" s="325">
        <v>-10</v>
      </c>
      <c r="EB202" s="325">
        <v>-146</v>
      </c>
      <c r="EC202" s="325">
        <v>-51</v>
      </c>
      <c r="ED202" s="412">
        <v>164</v>
      </c>
      <c r="EE202" s="412">
        <v>-119</v>
      </c>
      <c r="EF202" s="412">
        <v>150.61361256695125</v>
      </c>
      <c r="EG202" s="412">
        <v>-344.6492546825549</v>
      </c>
      <c r="EH202" s="412">
        <v>-1582.4031241651653</v>
      </c>
      <c r="EI202" s="412">
        <v>138.10881466788533</v>
      </c>
      <c r="EJ202" s="412">
        <v>90.911314005379154</v>
      </c>
      <c r="EK202" s="412">
        <v>-141.05179771261919</v>
      </c>
      <c r="EL202" s="412">
        <v>80.840166627300277</v>
      </c>
      <c r="EM202" s="412">
        <v>-14.797428824344934</v>
      </c>
      <c r="EN202" s="412">
        <v>12.051027327381689</v>
      </c>
      <c r="EO202" s="412">
        <v>-168.53244560505846</v>
      </c>
      <c r="EP202" s="389"/>
      <c r="EQ202" s="386"/>
    </row>
    <row r="203" spans="1:147" s="390" customFormat="1" ht="15" customHeight="1" outlineLevel="1">
      <c r="A203" s="385"/>
      <c r="B203"/>
      <c r="C203"/>
      <c r="D203"/>
      <c r="E203"/>
      <c r="F203"/>
      <c r="G203"/>
      <c r="H203" s="386"/>
      <c r="I203" s="724" t="s">
        <v>1614</v>
      </c>
      <c r="J203" s="399"/>
      <c r="K203" s="399"/>
      <c r="L203" s="399"/>
      <c r="M203" s="400"/>
      <c r="N203" s="399"/>
      <c r="O203" s="399"/>
      <c r="P203" s="399"/>
      <c r="Q203" s="400"/>
      <c r="R203" s="399"/>
      <c r="S203" s="399"/>
      <c r="T203" s="399"/>
      <c r="U203" s="400"/>
      <c r="V203" s="399"/>
      <c r="W203" s="399"/>
      <c r="X203" s="399"/>
      <c r="Y203" s="400"/>
      <c r="Z203" s="399"/>
      <c r="AA203" s="399"/>
      <c r="AB203" s="399"/>
      <c r="AC203" s="400"/>
      <c r="AD203" s="399"/>
      <c r="AE203" s="399"/>
      <c r="AF203" s="399"/>
      <c r="AG203" s="400"/>
      <c r="AH203" s="399"/>
      <c r="AI203" s="399"/>
      <c r="AJ203" s="399"/>
      <c r="AK203" s="400"/>
      <c r="AL203" s="399"/>
      <c r="AM203" s="399"/>
      <c r="AN203" s="399"/>
      <c r="AO203" s="400"/>
      <c r="AP203" s="399"/>
      <c r="AQ203" s="399"/>
      <c r="AR203" s="399"/>
      <c r="AS203" s="400"/>
      <c r="AT203" s="399"/>
      <c r="AU203" s="399"/>
      <c r="AV203" s="399"/>
      <c r="AW203" s="400"/>
      <c r="AX203" s="399"/>
      <c r="AY203" s="399"/>
      <c r="AZ203" s="399"/>
      <c r="BA203" s="400"/>
      <c r="BB203" s="401">
        <v>-716</v>
      </c>
      <c r="BC203" s="401">
        <v>-448</v>
      </c>
      <c r="BD203" s="401">
        <v>-104</v>
      </c>
      <c r="BE203" s="402">
        <v>1020</v>
      </c>
      <c r="BF203" s="401">
        <v>-576</v>
      </c>
      <c r="BG203" s="401">
        <v>12</v>
      </c>
      <c r="BH203" s="401">
        <v>-75</v>
      </c>
      <c r="BI203" s="402">
        <v>792</v>
      </c>
      <c r="BJ203" s="401">
        <v>-511</v>
      </c>
      <c r="BK203" s="401">
        <v>-463</v>
      </c>
      <c r="BL203" s="401">
        <v>-34</v>
      </c>
      <c r="BM203" s="402">
        <v>733</v>
      </c>
      <c r="BN203" s="401">
        <v>-298</v>
      </c>
      <c r="BO203" s="401">
        <v>-324</v>
      </c>
      <c r="BP203" s="401">
        <v>568</v>
      </c>
      <c r="BQ203" s="402">
        <v>529</v>
      </c>
      <c r="BR203" s="401">
        <v>-567</v>
      </c>
      <c r="BS203" s="401">
        <v>-336</v>
      </c>
      <c r="BT203" s="401">
        <v>70</v>
      </c>
      <c r="BU203" s="402">
        <v>806</v>
      </c>
      <c r="BV203" s="401">
        <v>-508</v>
      </c>
      <c r="BW203" s="401">
        <v>40</v>
      </c>
      <c r="BX203" s="401">
        <v>72</v>
      </c>
      <c r="BY203" s="402">
        <v>361</v>
      </c>
      <c r="BZ203" s="401">
        <v>-494</v>
      </c>
      <c r="CA203" s="401">
        <v>-239</v>
      </c>
      <c r="CB203" s="401">
        <v>413</v>
      </c>
      <c r="CC203" s="402">
        <v>540</v>
      </c>
      <c r="CD203" s="401">
        <v>-551</v>
      </c>
      <c r="CE203" s="401">
        <v>-340</v>
      </c>
      <c r="CF203" s="401">
        <v>181</v>
      </c>
      <c r="CG203" s="402">
        <v>588</v>
      </c>
      <c r="CH203" s="401">
        <v>-582</v>
      </c>
      <c r="CI203" s="401">
        <v>-222</v>
      </c>
      <c r="CJ203" s="401">
        <v>-5</v>
      </c>
      <c r="CK203" s="402">
        <v>655</v>
      </c>
      <c r="CL203" s="401">
        <v>-334</v>
      </c>
      <c r="CM203" s="401">
        <v>142</v>
      </c>
      <c r="CN203" s="401">
        <v>-130</v>
      </c>
      <c r="CO203" s="402">
        <v>538</v>
      </c>
      <c r="CP203" s="438">
        <v>-204</v>
      </c>
      <c r="CQ203" s="401">
        <v>-407</v>
      </c>
      <c r="CR203" s="401">
        <v>-207</v>
      </c>
      <c r="CS203" s="413">
        <v>-10</v>
      </c>
      <c r="CT203" s="373">
        <v>-1</v>
      </c>
      <c r="CU203" s="325">
        <v>-1</v>
      </c>
      <c r="CV203" s="325">
        <v>-1</v>
      </c>
      <c r="CW203" s="413">
        <v>-1</v>
      </c>
      <c r="CX203" s="409"/>
      <c r="CY203" s="409"/>
      <c r="CZ203" s="409"/>
      <c r="DA203" s="410"/>
      <c r="DB203" s="409"/>
      <c r="DC203" s="409"/>
      <c r="DD203" s="409"/>
      <c r="DE203" s="410"/>
      <c r="DF203" s="409"/>
      <c r="DG203" s="409"/>
      <c r="DH203" s="409"/>
      <c r="DI203" s="410"/>
      <c r="DJ203" s="454"/>
      <c r="DK203" s="411"/>
      <c r="DL203" s="399"/>
      <c r="DM203" s="399"/>
      <c r="DN203" s="399"/>
      <c r="DO203" s="399"/>
      <c r="DP203" s="399"/>
      <c r="DQ203" s="399"/>
      <c r="DR203" s="399"/>
      <c r="DS203" s="401">
        <v>726</v>
      </c>
      <c r="DT203" s="401">
        <v>503</v>
      </c>
      <c r="DU203" s="401">
        <v>293</v>
      </c>
      <c r="DV203" s="325">
        <v>-248</v>
      </c>
      <c r="DW203" s="325">
        <v>153</v>
      </c>
      <c r="DX203" s="325">
        <v>-275</v>
      </c>
      <c r="DY203" s="325">
        <v>475</v>
      </c>
      <c r="DZ203" s="325">
        <v>-27</v>
      </c>
      <c r="EA203" s="325">
        <v>-35</v>
      </c>
      <c r="EB203" s="325">
        <v>220</v>
      </c>
      <c r="EC203" s="325">
        <v>-122</v>
      </c>
      <c r="ED203" s="412">
        <v>-154</v>
      </c>
      <c r="EE203" s="412">
        <v>216</v>
      </c>
      <c r="EF203" s="412">
        <v>-828</v>
      </c>
      <c r="EG203" s="412">
        <v>-4</v>
      </c>
      <c r="EH203" s="412">
        <v>164.28350478788821</v>
      </c>
      <c r="EI203" s="412">
        <v>-85.310684435683129</v>
      </c>
      <c r="EJ203" s="412">
        <v>-34.661856300874774</v>
      </c>
      <c r="EK203" s="412">
        <v>72.337206678486496</v>
      </c>
      <c r="EL203" s="412">
        <v>-47.288372348326448</v>
      </c>
      <c r="EM203" s="412">
        <v>12.438965164861088</v>
      </c>
      <c r="EN203" s="412">
        <v>-7.2333288273584913</v>
      </c>
      <c r="EO203" s="412">
        <v>82.632468254712535</v>
      </c>
      <c r="EP203" s="389"/>
      <c r="EQ203" s="386"/>
    </row>
    <row r="204" spans="1:147" s="390" customFormat="1" ht="15" customHeight="1" outlineLevel="1">
      <c r="A204" s="385"/>
      <c r="B204"/>
      <c r="C204"/>
      <c r="D204"/>
      <c r="E204"/>
      <c r="F204"/>
      <c r="G204"/>
      <c r="H204" s="386"/>
      <c r="I204" s="724" t="s">
        <v>539</v>
      </c>
      <c r="J204" s="399"/>
      <c r="K204" s="399"/>
      <c r="L204" s="399"/>
      <c r="M204" s="400"/>
      <c r="N204" s="399"/>
      <c r="O204" s="399"/>
      <c r="P204" s="399"/>
      <c r="Q204" s="400"/>
      <c r="R204" s="399"/>
      <c r="S204" s="399"/>
      <c r="T204" s="399"/>
      <c r="U204" s="400"/>
      <c r="V204" s="399"/>
      <c r="W204" s="399"/>
      <c r="X204" s="399"/>
      <c r="Y204" s="400"/>
      <c r="Z204" s="399"/>
      <c r="AA204" s="399"/>
      <c r="AB204" s="399"/>
      <c r="AC204" s="400"/>
      <c r="AD204" s="399"/>
      <c r="AE204" s="399"/>
      <c r="AF204" s="399"/>
      <c r="AG204" s="400"/>
      <c r="AH204" s="399"/>
      <c r="AI204" s="399"/>
      <c r="AJ204" s="399"/>
      <c r="AK204" s="400"/>
      <c r="AL204" s="399"/>
      <c r="AM204" s="399"/>
      <c r="AN204" s="399"/>
      <c r="AO204" s="400"/>
      <c r="AP204" s="399"/>
      <c r="AQ204" s="399"/>
      <c r="AR204" s="399"/>
      <c r="AS204" s="400"/>
      <c r="AT204" s="399"/>
      <c r="AU204" s="399"/>
      <c r="AV204" s="399"/>
      <c r="AW204" s="400"/>
      <c r="AX204" s="399"/>
      <c r="AY204" s="399"/>
      <c r="AZ204" s="399"/>
      <c r="BA204" s="400"/>
      <c r="BB204" s="401">
        <v>-199</v>
      </c>
      <c r="BC204" s="401">
        <v>-17</v>
      </c>
      <c r="BD204" s="401">
        <v>99</v>
      </c>
      <c r="BE204" s="402">
        <v>148</v>
      </c>
      <c r="BF204" s="401">
        <v>-215</v>
      </c>
      <c r="BG204" s="401">
        <v>-13</v>
      </c>
      <c r="BH204" s="401">
        <v>87</v>
      </c>
      <c r="BI204" s="402">
        <v>87</v>
      </c>
      <c r="BJ204" s="401">
        <v>-149</v>
      </c>
      <c r="BK204" s="401">
        <v>-48</v>
      </c>
      <c r="BL204" s="401">
        <v>141</v>
      </c>
      <c r="BM204" s="402">
        <v>63</v>
      </c>
      <c r="BN204" s="401">
        <v>-189</v>
      </c>
      <c r="BO204" s="401">
        <v>-1</v>
      </c>
      <c r="BP204" s="401">
        <v>107</v>
      </c>
      <c r="BQ204" s="402">
        <v>71</v>
      </c>
      <c r="BR204" s="401">
        <v>-208</v>
      </c>
      <c r="BS204" s="401">
        <v>86</v>
      </c>
      <c r="BT204" s="401">
        <v>115</v>
      </c>
      <c r="BU204" s="402">
        <v>-18</v>
      </c>
      <c r="BV204" s="401">
        <v>-184</v>
      </c>
      <c r="BW204" s="401">
        <v>72</v>
      </c>
      <c r="BX204" s="401">
        <v>36</v>
      </c>
      <c r="BY204" s="402">
        <v>26</v>
      </c>
      <c r="BZ204" s="401">
        <v>-76</v>
      </c>
      <c r="CA204" s="401">
        <v>8</v>
      </c>
      <c r="CB204" s="401">
        <v>146</v>
      </c>
      <c r="CC204" s="402">
        <v>7</v>
      </c>
      <c r="CD204" s="401">
        <v>-160</v>
      </c>
      <c r="CE204" s="401">
        <v>3</v>
      </c>
      <c r="CF204" s="401">
        <v>143</v>
      </c>
      <c r="CG204" s="402">
        <v>-51</v>
      </c>
      <c r="CH204" s="401">
        <v>-91</v>
      </c>
      <c r="CI204" s="401">
        <v>16</v>
      </c>
      <c r="CJ204" s="401">
        <v>97</v>
      </c>
      <c r="CK204" s="402">
        <v>9</v>
      </c>
      <c r="CL204" s="401">
        <v>-132</v>
      </c>
      <c r="CM204" s="401">
        <v>19</v>
      </c>
      <c r="CN204" s="401">
        <v>42</v>
      </c>
      <c r="CO204" s="402">
        <v>61</v>
      </c>
      <c r="CP204" s="438">
        <v>-70</v>
      </c>
      <c r="CQ204" s="401">
        <v>-10</v>
      </c>
      <c r="CR204" s="401">
        <v>34</v>
      </c>
      <c r="CS204" s="413">
        <v>98.067395311172277</v>
      </c>
      <c r="CT204" s="373">
        <v>-279.23876573393363</v>
      </c>
      <c r="CU204" s="325">
        <v>-32.343706619676446</v>
      </c>
      <c r="CV204" s="325">
        <v>75.694614629447187</v>
      </c>
      <c r="CW204" s="413">
        <v>226.4539103222464</v>
      </c>
      <c r="CX204" s="409"/>
      <c r="CY204" s="409"/>
      <c r="CZ204" s="409"/>
      <c r="DA204" s="410"/>
      <c r="DB204" s="409"/>
      <c r="DC204" s="409"/>
      <c r="DD204" s="409"/>
      <c r="DE204" s="410"/>
      <c r="DF204" s="409"/>
      <c r="DG204" s="409"/>
      <c r="DH204" s="409"/>
      <c r="DI204" s="410"/>
      <c r="DJ204" s="454"/>
      <c r="DK204" s="411"/>
      <c r="DL204" s="399"/>
      <c r="DM204" s="399"/>
      <c r="DN204" s="399"/>
      <c r="DO204" s="399"/>
      <c r="DP204" s="399"/>
      <c r="DQ204" s="399"/>
      <c r="DR204" s="399"/>
      <c r="DS204" s="401">
        <v>86</v>
      </c>
      <c r="DT204" s="401">
        <v>-18</v>
      </c>
      <c r="DU204" s="401">
        <v>70</v>
      </c>
      <c r="DV204" s="325">
        <v>31</v>
      </c>
      <c r="DW204" s="325">
        <v>-54</v>
      </c>
      <c r="DX204" s="325">
        <v>7</v>
      </c>
      <c r="DY204" s="325">
        <v>-12</v>
      </c>
      <c r="DZ204" s="325">
        <v>-25</v>
      </c>
      <c r="EA204" s="325">
        <v>-50</v>
      </c>
      <c r="EB204" s="325">
        <v>85</v>
      </c>
      <c r="EC204" s="325">
        <v>-65</v>
      </c>
      <c r="ED204" s="412">
        <v>31</v>
      </c>
      <c r="EE204" s="412">
        <v>-10</v>
      </c>
      <c r="EF204" s="412">
        <v>52.067395311172277</v>
      </c>
      <c r="EG204" s="412">
        <v>-9.4339474019164697</v>
      </c>
      <c r="EH204" s="412">
        <v>203.86353334075125</v>
      </c>
      <c r="EI204" s="412">
        <v>-141.60061104078807</v>
      </c>
      <c r="EJ204" s="412">
        <v>-33.323967813220406</v>
      </c>
      <c r="EK204" s="412">
        <v>58.851130032046854</v>
      </c>
      <c r="EL204" s="412">
        <v>-41.128479096913111</v>
      </c>
      <c r="EM204" s="412">
        <v>-27.352471778823713</v>
      </c>
      <c r="EN204" s="412">
        <v>-1.2235501134953211</v>
      </c>
      <c r="EO204" s="412">
        <v>56.669721790048186</v>
      </c>
      <c r="EP204" s="389"/>
      <c r="EQ204" s="386"/>
    </row>
    <row r="205" spans="1:147" s="390" customFormat="1" ht="15" customHeight="1" outlineLevel="1">
      <c r="A205" s="385"/>
      <c r="B205"/>
      <c r="C205"/>
      <c r="D205"/>
      <c r="E205"/>
      <c r="F205"/>
      <c r="G205"/>
      <c r="I205" s="724" t="s">
        <v>1615</v>
      </c>
      <c r="J205" s="399"/>
      <c r="K205" s="399"/>
      <c r="L205" s="399"/>
      <c r="M205" s="400"/>
      <c r="N205" s="399"/>
      <c r="O205" s="399"/>
      <c r="P205" s="399"/>
      <c r="Q205" s="400"/>
      <c r="R205" s="399"/>
      <c r="S205" s="399"/>
      <c r="T205" s="399"/>
      <c r="U205" s="400"/>
      <c r="V205" s="399"/>
      <c r="W205" s="399"/>
      <c r="X205" s="399"/>
      <c r="Y205" s="400"/>
      <c r="Z205" s="399"/>
      <c r="AA205" s="399"/>
      <c r="AB205" s="399"/>
      <c r="AC205" s="400"/>
      <c r="AD205" s="399"/>
      <c r="AE205" s="399"/>
      <c r="AF205" s="399"/>
      <c r="AG205" s="400"/>
      <c r="AH205" s="399"/>
      <c r="AI205" s="399"/>
      <c r="AJ205" s="399"/>
      <c r="AK205" s="400"/>
      <c r="AL205" s="399"/>
      <c r="AM205" s="399"/>
      <c r="AN205" s="399"/>
      <c r="AO205" s="400"/>
      <c r="AP205" s="399"/>
      <c r="AQ205" s="399"/>
      <c r="AR205" s="399"/>
      <c r="AS205" s="400"/>
      <c r="AT205" s="399"/>
      <c r="AU205" s="399"/>
      <c r="AV205" s="399"/>
      <c r="AW205" s="400"/>
      <c r="AX205" s="399"/>
      <c r="AY205" s="399"/>
      <c r="AZ205" s="399"/>
      <c r="BA205" s="400"/>
      <c r="BB205" s="401">
        <v>-370</v>
      </c>
      <c r="BC205" s="401">
        <v>2</v>
      </c>
      <c r="BD205" s="401">
        <v>67</v>
      </c>
      <c r="BE205" s="402">
        <v>122</v>
      </c>
      <c r="BF205" s="401">
        <v>-237</v>
      </c>
      <c r="BG205" s="401">
        <v>-53</v>
      </c>
      <c r="BH205" s="401">
        <v>38</v>
      </c>
      <c r="BI205" s="402">
        <v>230</v>
      </c>
      <c r="BJ205" s="401">
        <v>-271</v>
      </c>
      <c r="BK205" s="401">
        <v>18</v>
      </c>
      <c r="BL205" s="401">
        <v>109</v>
      </c>
      <c r="BM205" s="402">
        <v>208</v>
      </c>
      <c r="BN205" s="401">
        <v>-104</v>
      </c>
      <c r="BO205" s="401">
        <v>71</v>
      </c>
      <c r="BP205" s="401">
        <v>52</v>
      </c>
      <c r="BQ205" s="402">
        <v>71</v>
      </c>
      <c r="BR205" s="401">
        <v>-65</v>
      </c>
      <c r="BS205" s="401">
        <v>76</v>
      </c>
      <c r="BT205" s="401">
        <v>-62</v>
      </c>
      <c r="BU205" s="402">
        <v>284</v>
      </c>
      <c r="BV205" s="401">
        <v>24</v>
      </c>
      <c r="BW205" s="401">
        <v>89</v>
      </c>
      <c r="BX205" s="401">
        <v>-5</v>
      </c>
      <c r="BY205" s="402">
        <v>-25</v>
      </c>
      <c r="BZ205" s="401">
        <v>-61</v>
      </c>
      <c r="CA205" s="401">
        <v>34</v>
      </c>
      <c r="CB205" s="401">
        <v>55</v>
      </c>
      <c r="CC205" s="402">
        <v>966</v>
      </c>
      <c r="CD205" s="401">
        <v>-87</v>
      </c>
      <c r="CE205" s="401">
        <v>-265</v>
      </c>
      <c r="CF205" s="401">
        <v>-160</v>
      </c>
      <c r="CG205" s="402">
        <v>-62</v>
      </c>
      <c r="CH205" s="401">
        <v>-65</v>
      </c>
      <c r="CI205" s="401">
        <v>-300</v>
      </c>
      <c r="CJ205" s="401">
        <v>-8</v>
      </c>
      <c r="CK205" s="402">
        <v>296</v>
      </c>
      <c r="CL205" s="401">
        <v>-253</v>
      </c>
      <c r="CM205" s="401">
        <v>118</v>
      </c>
      <c r="CN205" s="401">
        <v>-272</v>
      </c>
      <c r="CO205" s="402">
        <v>253</v>
      </c>
      <c r="CP205" s="438">
        <v>11</v>
      </c>
      <c r="CQ205" s="401">
        <v>-143</v>
      </c>
      <c r="CR205" s="401">
        <v>15</v>
      </c>
      <c r="CS205" s="413">
        <v>399.68323471651547</v>
      </c>
      <c r="CT205" s="373">
        <v>-237.08860799002628</v>
      </c>
      <c r="CU205" s="325">
        <v>-417.65202137603831</v>
      </c>
      <c r="CV205" s="325">
        <v>352.90367054847741</v>
      </c>
      <c r="CW205" s="413">
        <v>751.7437971169054</v>
      </c>
      <c r="CX205" s="409"/>
      <c r="CY205" s="409"/>
      <c r="CZ205" s="409"/>
      <c r="DA205" s="410"/>
      <c r="DB205" s="409"/>
      <c r="DC205" s="409"/>
      <c r="DD205" s="409"/>
      <c r="DE205" s="410"/>
      <c r="DF205" s="409"/>
      <c r="DG205" s="409"/>
      <c r="DH205" s="409"/>
      <c r="DI205" s="410"/>
      <c r="DJ205" s="454"/>
      <c r="DK205" s="411"/>
      <c r="DL205" s="399"/>
      <c r="DM205" s="399"/>
      <c r="DN205" s="399"/>
      <c r="DO205" s="399"/>
      <c r="DP205" s="399"/>
      <c r="DQ205" s="399"/>
      <c r="DR205" s="399"/>
      <c r="DS205" s="401">
        <v>233</v>
      </c>
      <c r="DT205" s="401">
        <v>-113</v>
      </c>
      <c r="DU205" s="401">
        <v>16</v>
      </c>
      <c r="DV205" s="325">
        <v>-179</v>
      </c>
      <c r="DW205" s="325">
        <v>-22</v>
      </c>
      <c r="DX205" s="325">
        <v>64</v>
      </c>
      <c r="DY205" s="325">
        <v>90</v>
      </c>
      <c r="DZ205" s="325">
        <v>233</v>
      </c>
      <c r="EA205" s="325">
        <v>83</v>
      </c>
      <c r="EB205" s="325">
        <v>994</v>
      </c>
      <c r="EC205" s="325">
        <v>-574</v>
      </c>
      <c r="ED205" s="412">
        <v>-77</v>
      </c>
      <c r="EE205" s="412">
        <v>-154</v>
      </c>
      <c r="EF205" s="412">
        <v>282.68323471651547</v>
      </c>
      <c r="EG205" s="412">
        <v>449.90683829931822</v>
      </c>
      <c r="EH205" s="412">
        <v>217.58792681906175</v>
      </c>
      <c r="EI205" s="412">
        <v>-40.617800881123003</v>
      </c>
      <c r="EJ205" s="412">
        <v>-6.6154699904075187</v>
      </c>
      <c r="EK205" s="412">
        <v>60.688717315463919</v>
      </c>
      <c r="EL205" s="412">
        <v>36.475436482798614</v>
      </c>
      <c r="EM205" s="412">
        <v>7.7752215711186636</v>
      </c>
      <c r="EN205" s="412">
        <v>42.054511232863661</v>
      </c>
      <c r="EO205" s="412">
        <v>72.736337692476809</v>
      </c>
      <c r="EP205" s="389"/>
      <c r="EQ205" s="386"/>
    </row>
    <row r="206" spans="1:147" s="390" customFormat="1" ht="15" customHeight="1">
      <c r="A206" s="385"/>
      <c r="B206"/>
      <c r="C206"/>
      <c r="D206"/>
      <c r="E206"/>
      <c r="F206"/>
      <c r="G206"/>
      <c r="I206" s="517" t="s">
        <v>1616</v>
      </c>
      <c r="J206" s="552"/>
      <c r="K206" s="552"/>
      <c r="L206" s="552"/>
      <c r="M206" s="553"/>
      <c r="N206" s="552"/>
      <c r="O206" s="552"/>
      <c r="P206" s="552"/>
      <c r="Q206" s="553"/>
      <c r="R206" s="552"/>
      <c r="S206" s="552"/>
      <c r="T206" s="552"/>
      <c r="U206" s="553"/>
      <c r="V206" s="552"/>
      <c r="W206" s="552"/>
      <c r="X206" s="552"/>
      <c r="Y206" s="553"/>
      <c r="Z206" s="552"/>
      <c r="AA206" s="552"/>
      <c r="AB206" s="552"/>
      <c r="AC206" s="553"/>
      <c r="AD206" s="552"/>
      <c r="AE206" s="552"/>
      <c r="AF206" s="552"/>
      <c r="AG206" s="553"/>
      <c r="AH206" s="552"/>
      <c r="AI206" s="552"/>
      <c r="AJ206" s="552"/>
      <c r="AK206" s="553"/>
      <c r="AL206" s="552"/>
      <c r="AM206" s="552"/>
      <c r="AN206" s="552"/>
      <c r="AO206" s="553"/>
      <c r="AP206" s="552"/>
      <c r="AQ206" s="552"/>
      <c r="AR206" s="552"/>
      <c r="AS206" s="553"/>
      <c r="AT206" s="552"/>
      <c r="AU206" s="552"/>
      <c r="AV206" s="552"/>
      <c r="AW206" s="553"/>
      <c r="AX206" s="552">
        <v>0</v>
      </c>
      <c r="AY206" s="552">
        <v>0</v>
      </c>
      <c r="AZ206" s="552">
        <v>0</v>
      </c>
      <c r="BA206" s="553">
        <v>0</v>
      </c>
      <c r="BB206" s="554">
        <v>134</v>
      </c>
      <c r="BC206" s="554">
        <v>-78</v>
      </c>
      <c r="BD206" s="554">
        <v>46</v>
      </c>
      <c r="BE206" s="555">
        <v>850</v>
      </c>
      <c r="BF206" s="554">
        <v>153</v>
      </c>
      <c r="BG206" s="554">
        <v>92</v>
      </c>
      <c r="BH206" s="554">
        <v>124</v>
      </c>
      <c r="BI206" s="555">
        <v>976</v>
      </c>
      <c r="BJ206" s="554">
        <v>325</v>
      </c>
      <c r="BK206" s="554">
        <v>109</v>
      </c>
      <c r="BL206" s="554">
        <v>-50</v>
      </c>
      <c r="BM206" s="555">
        <v>880</v>
      </c>
      <c r="BN206" s="554">
        <v>136</v>
      </c>
      <c r="BO206" s="554">
        <v>106</v>
      </c>
      <c r="BP206" s="554">
        <v>-145</v>
      </c>
      <c r="BQ206" s="555">
        <v>1195</v>
      </c>
      <c r="BR206" s="554">
        <v>209</v>
      </c>
      <c r="BS206" s="554">
        <v>135</v>
      </c>
      <c r="BT206" s="554">
        <v>-181</v>
      </c>
      <c r="BU206" s="555">
        <v>1029</v>
      </c>
      <c r="BV206" s="554">
        <v>309</v>
      </c>
      <c r="BW206" s="554">
        <v>479</v>
      </c>
      <c r="BX206" s="554">
        <v>508</v>
      </c>
      <c r="BY206" s="555">
        <v>859</v>
      </c>
      <c r="BZ206" s="554">
        <v>411</v>
      </c>
      <c r="CA206" s="554">
        <v>265</v>
      </c>
      <c r="CB206" s="554">
        <v>378</v>
      </c>
      <c r="CC206" s="555">
        <v>1159</v>
      </c>
      <c r="CD206" s="554">
        <v>529</v>
      </c>
      <c r="CE206" s="554">
        <v>9</v>
      </c>
      <c r="CF206" s="554">
        <v>254</v>
      </c>
      <c r="CG206" s="555">
        <v>997</v>
      </c>
      <c r="CH206" s="554">
        <v>393</v>
      </c>
      <c r="CI206" s="554">
        <v>154</v>
      </c>
      <c r="CJ206" s="554">
        <v>310</v>
      </c>
      <c r="CK206" s="555">
        <v>918</v>
      </c>
      <c r="CL206" s="554">
        <v>148</v>
      </c>
      <c r="CM206" s="554">
        <v>768</v>
      </c>
      <c r="CN206" s="554">
        <v>197</v>
      </c>
      <c r="CO206" s="555">
        <v>1139</v>
      </c>
      <c r="CP206" s="557">
        <v>844</v>
      </c>
      <c r="CQ206" s="554">
        <v>388</v>
      </c>
      <c r="CR206" s="554">
        <v>520</v>
      </c>
      <c r="CS206" s="555">
        <v>980.10743393725852</v>
      </c>
      <c r="CT206" s="557">
        <v>1063.3032762626879</v>
      </c>
      <c r="CU206" s="554">
        <v>-33.639123152523723</v>
      </c>
      <c r="CV206" s="554">
        <v>375.55494559686133</v>
      </c>
      <c r="CW206" s="555">
        <v>1243.9345476272204</v>
      </c>
      <c r="CX206" s="552"/>
      <c r="CY206" s="552"/>
      <c r="CZ206" s="552"/>
      <c r="DA206" s="553"/>
      <c r="DB206" s="552"/>
      <c r="DC206" s="552"/>
      <c r="DD206" s="552"/>
      <c r="DE206" s="553"/>
      <c r="DF206" s="552"/>
      <c r="DG206" s="552"/>
      <c r="DH206" s="552"/>
      <c r="DI206" s="553"/>
      <c r="DJ206" s="454"/>
      <c r="DK206" s="558"/>
      <c r="DL206" s="552"/>
      <c r="DM206" s="552"/>
      <c r="DN206" s="552"/>
      <c r="DO206" s="552"/>
      <c r="DP206" s="552"/>
      <c r="DQ206" s="552"/>
      <c r="DR206" s="552"/>
      <c r="DS206" s="398">
        <v>379</v>
      </c>
      <c r="DT206" s="398">
        <v>1183</v>
      </c>
      <c r="DU206" s="398">
        <v>1376</v>
      </c>
      <c r="DV206" s="394">
        <v>952</v>
      </c>
      <c r="DW206" s="394">
        <v>1345</v>
      </c>
      <c r="DX206" s="394">
        <v>1264</v>
      </c>
      <c r="DY206" s="394">
        <v>1292</v>
      </c>
      <c r="DZ206" s="394">
        <v>1192</v>
      </c>
      <c r="EA206" s="394">
        <v>2155</v>
      </c>
      <c r="EB206" s="394">
        <v>2213</v>
      </c>
      <c r="EC206" s="394">
        <v>1789</v>
      </c>
      <c r="ED206" s="554">
        <v>1775</v>
      </c>
      <c r="EE206" s="554">
        <v>2252</v>
      </c>
      <c r="EF206" s="554">
        <v>2732.1074339372585</v>
      </c>
      <c r="EG206" s="554">
        <v>2649.1536463342454</v>
      </c>
      <c r="EH206" s="554">
        <v>2334.7117550597341</v>
      </c>
      <c r="EI206" s="554">
        <v>3482.3016513564744</v>
      </c>
      <c r="EJ206" s="554">
        <v>3377.6320338366654</v>
      </c>
      <c r="EK206" s="554">
        <v>4179.7547578333533</v>
      </c>
      <c r="EL206" s="554">
        <v>4247.5781926155714</v>
      </c>
      <c r="EM206" s="554">
        <v>4129.8137518188805</v>
      </c>
      <c r="EN206" s="554">
        <v>4167.0705809092569</v>
      </c>
      <c r="EO206" s="554">
        <v>4434.0927755190069</v>
      </c>
      <c r="EP206" s="389"/>
      <c r="EQ206" s="386"/>
    </row>
    <row r="207" spans="1:147" s="390" customFormat="1" ht="15" customHeight="1">
      <c r="A207" s="385"/>
      <c r="B207"/>
      <c r="C207"/>
      <c r="D207"/>
      <c r="E207"/>
      <c r="F207"/>
      <c r="G207"/>
      <c r="H207" s="386"/>
      <c r="I207" s="370"/>
      <c r="J207" s="386"/>
      <c r="K207" s="386"/>
      <c r="L207" s="386"/>
      <c r="M207" s="388"/>
      <c r="N207" s="386"/>
      <c r="O207" s="386"/>
      <c r="P207" s="386"/>
      <c r="Q207" s="388"/>
      <c r="R207" s="386"/>
      <c r="S207" s="386"/>
      <c r="T207" s="386"/>
      <c r="U207" s="388"/>
      <c r="V207" s="386"/>
      <c r="W207" s="386"/>
      <c r="X207" s="386"/>
      <c r="Y207" s="388"/>
      <c r="Z207" s="386"/>
      <c r="AA207" s="386"/>
      <c r="AB207" s="386"/>
      <c r="AC207" s="388"/>
      <c r="AD207" s="386"/>
      <c r="AE207" s="386"/>
      <c r="AF207" s="386"/>
      <c r="AG207" s="388"/>
      <c r="AH207" s="386"/>
      <c r="AI207" s="386"/>
      <c r="AJ207" s="386"/>
      <c r="AK207" s="388"/>
      <c r="AL207" s="386"/>
      <c r="AM207" s="386"/>
      <c r="AN207" s="386"/>
      <c r="AO207" s="388"/>
      <c r="AP207" s="386"/>
      <c r="AQ207" s="386"/>
      <c r="AR207" s="386"/>
      <c r="AS207" s="388"/>
      <c r="AT207" s="386"/>
      <c r="AU207" s="386"/>
      <c r="AV207" s="386"/>
      <c r="AW207" s="388"/>
      <c r="AX207" s="386"/>
      <c r="AY207" s="386"/>
      <c r="AZ207" s="386"/>
      <c r="BA207" s="388"/>
      <c r="BB207" s="325"/>
      <c r="BC207" s="325"/>
      <c r="BD207" s="325"/>
      <c r="BE207" s="372"/>
      <c r="BF207" s="325"/>
      <c r="BG207" s="325"/>
      <c r="BH207" s="325"/>
      <c r="BI207" s="372"/>
      <c r="BJ207" s="325"/>
      <c r="BK207" s="325"/>
      <c r="BL207" s="325"/>
      <c r="BM207" s="372"/>
      <c r="BN207" s="325"/>
      <c r="BO207" s="325"/>
      <c r="BP207" s="325"/>
      <c r="BQ207" s="372"/>
      <c r="BR207" s="325"/>
      <c r="BS207" s="325"/>
      <c r="BT207" s="325"/>
      <c r="BU207" s="372"/>
      <c r="BV207" s="325"/>
      <c r="BW207" s="325"/>
      <c r="BX207" s="325"/>
      <c r="BY207" s="372"/>
      <c r="BZ207" s="325"/>
      <c r="CA207" s="325"/>
      <c r="CB207" s="325"/>
      <c r="CC207" s="372"/>
      <c r="CD207" s="325"/>
      <c r="CE207" s="325"/>
      <c r="CF207" s="325"/>
      <c r="CG207" s="372"/>
      <c r="CH207" s="325"/>
      <c r="CI207" s="325"/>
      <c r="CJ207" s="325"/>
      <c r="CK207" s="372"/>
      <c r="CL207" s="325"/>
      <c r="CM207" s="325"/>
      <c r="CN207" s="325"/>
      <c r="CO207" s="372"/>
      <c r="CP207" s="373"/>
      <c r="CQ207" s="325"/>
      <c r="CR207" s="325"/>
      <c r="CS207" s="372"/>
      <c r="CT207" s="373"/>
      <c r="CU207" s="325"/>
      <c r="CV207" s="325"/>
      <c r="CW207" s="372"/>
      <c r="CX207" s="386"/>
      <c r="CY207" s="386"/>
      <c r="CZ207" s="386"/>
      <c r="DA207" s="388"/>
      <c r="DB207" s="386"/>
      <c r="DC207" s="386"/>
      <c r="DD207" s="386"/>
      <c r="DE207" s="388"/>
      <c r="DF207" s="386"/>
      <c r="DG207" s="386"/>
      <c r="DH207" s="386"/>
      <c r="DI207" s="388"/>
      <c r="DJ207" s="454"/>
      <c r="DK207" s="389"/>
      <c r="DL207" s="386"/>
      <c r="DM207" s="386"/>
      <c r="DN207" s="386"/>
      <c r="DO207" s="386"/>
      <c r="DP207" s="386"/>
      <c r="DQ207" s="386"/>
      <c r="DR207" s="386"/>
      <c r="DS207" s="401"/>
      <c r="DT207" s="401"/>
      <c r="DU207" s="401"/>
      <c r="DV207" s="325"/>
      <c r="DW207" s="325"/>
      <c r="DX207" s="325"/>
      <c r="DY207" s="325"/>
      <c r="DZ207" s="325"/>
      <c r="EA207" s="325"/>
      <c r="EB207" s="325"/>
      <c r="EC207" s="325"/>
      <c r="ED207" s="325"/>
      <c r="EE207" s="325"/>
      <c r="EF207" s="325"/>
      <c r="EG207" s="325"/>
      <c r="EH207" s="325"/>
      <c r="EI207" s="325"/>
      <c r="EJ207" s="325"/>
      <c r="EK207" s="325"/>
      <c r="EL207" s="325"/>
      <c r="EM207" s="325"/>
      <c r="EN207" s="325"/>
      <c r="EO207" s="325"/>
      <c r="EP207" s="389"/>
      <c r="EQ207" s="386"/>
    </row>
    <row r="208" spans="1:147" s="390" customFormat="1" ht="15" customHeight="1">
      <c r="A208" s="385"/>
      <c r="B208"/>
      <c r="C208"/>
      <c r="D208"/>
      <c r="E208"/>
      <c r="F208"/>
      <c r="G208"/>
      <c r="H208" s="386"/>
      <c r="I208" s="547" t="s">
        <v>1617</v>
      </c>
      <c r="J208" s="548"/>
      <c r="K208" s="548"/>
      <c r="L208" s="548"/>
      <c r="M208" s="549"/>
      <c r="N208" s="548"/>
      <c r="O208" s="548"/>
      <c r="P208" s="548"/>
      <c r="Q208" s="549"/>
      <c r="R208" s="548"/>
      <c r="S208" s="548"/>
      <c r="T208" s="548"/>
      <c r="U208" s="549"/>
      <c r="V208" s="548"/>
      <c r="W208" s="548"/>
      <c r="X208" s="548"/>
      <c r="Y208" s="549"/>
      <c r="Z208" s="548"/>
      <c r="AA208" s="548"/>
      <c r="AB208" s="548"/>
      <c r="AC208" s="549"/>
      <c r="AD208" s="548"/>
      <c r="AE208" s="548"/>
      <c r="AF208" s="548"/>
      <c r="AG208" s="549"/>
      <c r="AH208" s="548"/>
      <c r="AI208" s="548"/>
      <c r="AJ208" s="548"/>
      <c r="AK208" s="549"/>
      <c r="AL208" s="548"/>
      <c r="AM208" s="548"/>
      <c r="AN208" s="548"/>
      <c r="AO208" s="549"/>
      <c r="AP208" s="548"/>
      <c r="AQ208" s="548"/>
      <c r="AR208" s="548"/>
      <c r="AS208" s="549"/>
      <c r="AT208" s="548"/>
      <c r="AU208" s="548"/>
      <c r="AV208" s="548"/>
      <c r="AW208" s="549"/>
      <c r="AX208" s="548"/>
      <c r="AY208" s="548"/>
      <c r="AZ208" s="548"/>
      <c r="BA208" s="549"/>
      <c r="BB208" s="563"/>
      <c r="BC208" s="563"/>
      <c r="BD208" s="563"/>
      <c r="BE208" s="564"/>
      <c r="BF208" s="563"/>
      <c r="BG208" s="563"/>
      <c r="BH208" s="563"/>
      <c r="BI208" s="564"/>
      <c r="BJ208" s="563"/>
      <c r="BK208" s="563"/>
      <c r="BL208" s="563"/>
      <c r="BM208" s="564"/>
      <c r="BN208" s="563"/>
      <c r="BO208" s="563"/>
      <c r="BP208" s="563"/>
      <c r="BQ208" s="564"/>
      <c r="BR208" s="563"/>
      <c r="BS208" s="563"/>
      <c r="BT208" s="563"/>
      <c r="BU208" s="564"/>
      <c r="BV208" s="563"/>
      <c r="BW208" s="563"/>
      <c r="BX208" s="563"/>
      <c r="BY208" s="564"/>
      <c r="BZ208" s="563"/>
      <c r="CA208" s="563"/>
      <c r="CB208" s="563"/>
      <c r="CC208" s="564"/>
      <c r="CD208" s="563"/>
      <c r="CE208" s="563"/>
      <c r="CF208" s="563"/>
      <c r="CG208" s="564"/>
      <c r="CH208" s="563"/>
      <c r="CI208" s="563"/>
      <c r="CJ208" s="563"/>
      <c r="CK208" s="564"/>
      <c r="CL208" s="563"/>
      <c r="CM208" s="563"/>
      <c r="CN208" s="563"/>
      <c r="CO208" s="564"/>
      <c r="CP208" s="566"/>
      <c r="CQ208" s="563"/>
      <c r="CR208" s="563"/>
      <c r="CS208" s="564"/>
      <c r="CT208" s="566"/>
      <c r="CU208" s="563"/>
      <c r="CV208" s="563"/>
      <c r="CW208" s="564"/>
      <c r="CX208" s="548"/>
      <c r="CY208" s="548"/>
      <c r="CZ208" s="548"/>
      <c r="DA208" s="549"/>
      <c r="DB208" s="548"/>
      <c r="DC208" s="548"/>
      <c r="DD208" s="548"/>
      <c r="DE208" s="549"/>
      <c r="DF208" s="548"/>
      <c r="DG208" s="548"/>
      <c r="DH208" s="548"/>
      <c r="DI208" s="549"/>
      <c r="DJ208" s="454"/>
      <c r="DK208" s="550"/>
      <c r="DL208" s="548"/>
      <c r="DM208" s="548"/>
      <c r="DN208" s="548"/>
      <c r="DO208" s="548"/>
      <c r="DP208" s="548"/>
      <c r="DQ208" s="548"/>
      <c r="DR208" s="548"/>
      <c r="DS208" s="565"/>
      <c r="DT208" s="565"/>
      <c r="DU208" s="565"/>
      <c r="DV208" s="563"/>
      <c r="DW208" s="563"/>
      <c r="DX208" s="563"/>
      <c r="DY208" s="563"/>
      <c r="DZ208" s="563"/>
      <c r="EA208" s="563"/>
      <c r="EB208" s="563"/>
      <c r="EC208" s="563"/>
      <c r="ED208" s="563"/>
      <c r="EE208" s="563"/>
      <c r="EF208" s="563"/>
      <c r="EG208" s="563"/>
      <c r="EH208" s="563"/>
      <c r="EI208" s="563"/>
      <c r="EJ208" s="563"/>
      <c r="EK208" s="563"/>
      <c r="EL208" s="563"/>
      <c r="EM208" s="563"/>
      <c r="EN208" s="563"/>
      <c r="EO208" s="563"/>
      <c r="EP208" s="389"/>
      <c r="EQ208" s="386"/>
    </row>
    <row r="209" spans="1:147" s="390" customFormat="1" ht="15" customHeight="1">
      <c r="A209" s="385"/>
      <c r="B209"/>
      <c r="C209"/>
      <c r="D209"/>
      <c r="E209"/>
      <c r="F209"/>
      <c r="G209"/>
      <c r="H209" s="386"/>
      <c r="I209" s="370" t="s">
        <v>1618</v>
      </c>
      <c r="J209" s="548"/>
      <c r="K209" s="548"/>
      <c r="L209" s="548"/>
      <c r="M209" s="549"/>
      <c r="N209" s="548"/>
      <c r="O209" s="548"/>
      <c r="P209" s="548"/>
      <c r="Q209" s="549"/>
      <c r="R209" s="548"/>
      <c r="S209" s="548"/>
      <c r="T209" s="548"/>
      <c r="U209" s="549"/>
      <c r="V209" s="548"/>
      <c r="W209" s="548"/>
      <c r="X209" s="548"/>
      <c r="Y209" s="549"/>
      <c r="Z209" s="548"/>
      <c r="AA209" s="548"/>
      <c r="AB209" s="548"/>
      <c r="AC209" s="549"/>
      <c r="AD209" s="548"/>
      <c r="AE209" s="548"/>
      <c r="AF209" s="548"/>
      <c r="AG209" s="549"/>
      <c r="AH209" s="548"/>
      <c r="AI209" s="548"/>
      <c r="AJ209" s="548"/>
      <c r="AK209" s="549"/>
      <c r="AL209" s="548"/>
      <c r="AM209" s="548"/>
      <c r="AN209" s="548"/>
      <c r="AO209" s="549"/>
      <c r="AP209" s="548"/>
      <c r="AQ209" s="548"/>
      <c r="AR209" s="548"/>
      <c r="AS209" s="549"/>
      <c r="AT209" s="548"/>
      <c r="AU209" s="548"/>
      <c r="AV209" s="548"/>
      <c r="AW209" s="549"/>
      <c r="AX209" s="548"/>
      <c r="AY209" s="548"/>
      <c r="AZ209" s="548"/>
      <c r="BA209" s="549"/>
      <c r="BB209" s="401">
        <v>154</v>
      </c>
      <c r="BC209" s="401">
        <v>220</v>
      </c>
      <c r="BD209" s="401">
        <v>229</v>
      </c>
      <c r="BE209" s="402">
        <v>137</v>
      </c>
      <c r="BF209" s="401">
        <v>115</v>
      </c>
      <c r="BG209" s="401">
        <v>138</v>
      </c>
      <c r="BH209" s="401">
        <v>52</v>
      </c>
      <c r="BI209" s="402">
        <v>139</v>
      </c>
      <c r="BJ209" s="401">
        <v>113</v>
      </c>
      <c r="BK209" s="401">
        <v>116</v>
      </c>
      <c r="BL209" s="401">
        <v>66</v>
      </c>
      <c r="BM209" s="402">
        <v>9</v>
      </c>
      <c r="BN209" s="401">
        <v>21</v>
      </c>
      <c r="BO209" s="401">
        <v>0</v>
      </c>
      <c r="BP209" s="401">
        <v>0</v>
      </c>
      <c r="BQ209" s="402">
        <v>0</v>
      </c>
      <c r="BR209" s="507">
        <v>0</v>
      </c>
      <c r="BS209" s="401">
        <v>0</v>
      </c>
      <c r="BT209" s="401">
        <v>15</v>
      </c>
      <c r="BU209" s="402">
        <v>130</v>
      </c>
      <c r="BV209" s="725">
        <v>0</v>
      </c>
      <c r="BW209" s="725">
        <v>0</v>
      </c>
      <c r="BX209" s="725">
        <v>0</v>
      </c>
      <c r="BY209" s="726">
        <v>0</v>
      </c>
      <c r="BZ209" s="725">
        <v>0</v>
      </c>
      <c r="CA209" s="725">
        <v>0</v>
      </c>
      <c r="CB209" s="401">
        <v>0</v>
      </c>
      <c r="CC209" s="402">
        <v>0</v>
      </c>
      <c r="CD209" s="401">
        <v>0</v>
      </c>
      <c r="CE209" s="725">
        <v>0</v>
      </c>
      <c r="CF209" s="725">
        <v>0</v>
      </c>
      <c r="CG209" s="402">
        <v>0</v>
      </c>
      <c r="CH209" s="401">
        <v>13</v>
      </c>
      <c r="CI209" s="401">
        <v>62</v>
      </c>
      <c r="CJ209" s="401">
        <v>78</v>
      </c>
      <c r="CK209" s="402">
        <v>0</v>
      </c>
      <c r="CL209" s="401">
        <v>0</v>
      </c>
      <c r="CM209" s="401">
        <v>0</v>
      </c>
      <c r="CN209" s="401">
        <v>36</v>
      </c>
      <c r="CO209" s="402">
        <v>85</v>
      </c>
      <c r="CP209" s="438">
        <v>16</v>
      </c>
      <c r="CQ209" s="401">
        <v>28</v>
      </c>
      <c r="CR209" s="401">
        <v>142</v>
      </c>
      <c r="CS209" s="726">
        <v>0</v>
      </c>
      <c r="CT209" s="373">
        <v>0</v>
      </c>
      <c r="CU209" s="325">
        <v>0</v>
      </c>
      <c r="CV209" s="325">
        <v>0</v>
      </c>
      <c r="CW209" s="726">
        <v>0</v>
      </c>
      <c r="CX209" s="548"/>
      <c r="CY209" s="548"/>
      <c r="CZ209" s="548"/>
      <c r="DA209" s="549"/>
      <c r="DB209" s="548"/>
      <c r="DC209" s="548"/>
      <c r="DD209" s="548"/>
      <c r="DE209" s="549"/>
      <c r="DF209" s="548"/>
      <c r="DG209" s="548"/>
      <c r="DH209" s="548"/>
      <c r="DI209" s="549"/>
      <c r="DJ209" s="454"/>
      <c r="DK209" s="550"/>
      <c r="DL209" s="548"/>
      <c r="DM209" s="548"/>
      <c r="DN209" s="548"/>
      <c r="DO209" s="548"/>
      <c r="DP209" s="548"/>
      <c r="DQ209" s="548"/>
      <c r="DR209" s="548"/>
      <c r="DS209" s="507">
        <v>0</v>
      </c>
      <c r="DT209" s="401">
        <v>44</v>
      </c>
      <c r="DU209" s="401">
        <v>580</v>
      </c>
      <c r="DV209" s="325">
        <v>740</v>
      </c>
      <c r="DW209" s="325">
        <v>444</v>
      </c>
      <c r="DX209" s="325">
        <v>304</v>
      </c>
      <c r="DY209" s="325">
        <v>21</v>
      </c>
      <c r="DZ209" s="325">
        <v>145</v>
      </c>
      <c r="EA209" s="325">
        <v>0</v>
      </c>
      <c r="EB209" s="325">
        <v>0</v>
      </c>
      <c r="EC209" s="325">
        <v>0</v>
      </c>
      <c r="ED209" s="725">
        <v>153</v>
      </c>
      <c r="EE209" s="725">
        <v>121</v>
      </c>
      <c r="EF209" s="725">
        <v>186</v>
      </c>
      <c r="EG209" s="412">
        <v>0</v>
      </c>
      <c r="EH209" s="725">
        <v>0</v>
      </c>
      <c r="EI209" s="725">
        <v>0</v>
      </c>
      <c r="EJ209" s="725">
        <v>0</v>
      </c>
      <c r="EK209" s="725">
        <v>0</v>
      </c>
      <c r="EL209" s="725">
        <v>0</v>
      </c>
      <c r="EM209" s="725">
        <v>0</v>
      </c>
      <c r="EN209" s="725">
        <v>0</v>
      </c>
      <c r="EO209" s="725">
        <v>0</v>
      </c>
      <c r="EP209" s="389"/>
      <c r="EQ209" s="386"/>
    </row>
    <row r="210" spans="1:147" s="390" customFormat="1" ht="15" customHeight="1">
      <c r="A210" s="385"/>
      <c r="B210"/>
      <c r="C210"/>
      <c r="D210"/>
      <c r="E210"/>
      <c r="F210"/>
      <c r="G210"/>
      <c r="H210" s="386"/>
      <c r="I210" s="370" t="s">
        <v>1619</v>
      </c>
      <c r="J210" s="548"/>
      <c r="K210" s="548"/>
      <c r="L210" s="548"/>
      <c r="M210" s="549"/>
      <c r="N210" s="548"/>
      <c r="O210" s="548"/>
      <c r="P210" s="548"/>
      <c r="Q210" s="549"/>
      <c r="R210" s="548"/>
      <c r="S210" s="548"/>
      <c r="T210" s="548"/>
      <c r="U210" s="549"/>
      <c r="V210" s="548"/>
      <c r="W210" s="548"/>
      <c r="X210" s="548"/>
      <c r="Y210" s="549"/>
      <c r="Z210" s="548"/>
      <c r="AA210" s="548"/>
      <c r="AB210" s="548"/>
      <c r="AC210" s="549"/>
      <c r="AD210" s="548"/>
      <c r="AE210" s="548"/>
      <c r="AF210" s="548"/>
      <c r="AG210" s="549"/>
      <c r="AH210" s="548"/>
      <c r="AI210" s="548"/>
      <c r="AJ210" s="548"/>
      <c r="AK210" s="549"/>
      <c r="AL210" s="548"/>
      <c r="AM210" s="548"/>
      <c r="AN210" s="548"/>
      <c r="AO210" s="549"/>
      <c r="AP210" s="548"/>
      <c r="AQ210" s="548"/>
      <c r="AR210" s="548"/>
      <c r="AS210" s="549"/>
      <c r="AT210" s="548"/>
      <c r="AU210" s="548"/>
      <c r="AV210" s="548"/>
      <c r="AW210" s="549"/>
      <c r="AX210" s="548"/>
      <c r="AY210" s="548"/>
      <c r="AZ210" s="548"/>
      <c r="BA210" s="549"/>
      <c r="BB210" s="401">
        <v>0</v>
      </c>
      <c r="BC210" s="401">
        <v>0</v>
      </c>
      <c r="BD210" s="401">
        <v>0</v>
      </c>
      <c r="BE210" s="402">
        <v>0</v>
      </c>
      <c r="BF210" s="401">
        <v>0</v>
      </c>
      <c r="BG210" s="401">
        <v>0</v>
      </c>
      <c r="BH210" s="401">
        <v>0</v>
      </c>
      <c r="BI210" s="402">
        <v>0</v>
      </c>
      <c r="BJ210" s="401">
        <v>0</v>
      </c>
      <c r="BK210" s="401">
        <v>0</v>
      </c>
      <c r="BL210" s="401">
        <v>60</v>
      </c>
      <c r="BM210" s="402">
        <v>38</v>
      </c>
      <c r="BN210" s="401">
        <v>0</v>
      </c>
      <c r="BO210" s="401">
        <v>0</v>
      </c>
      <c r="BP210" s="401">
        <v>0</v>
      </c>
      <c r="BQ210" s="402">
        <v>0</v>
      </c>
      <c r="BR210" s="507">
        <v>0</v>
      </c>
      <c r="BS210" s="401">
        <v>0</v>
      </c>
      <c r="BT210" s="401">
        <v>0</v>
      </c>
      <c r="BU210" s="402">
        <v>0</v>
      </c>
      <c r="BV210" s="725">
        <v>0</v>
      </c>
      <c r="BW210" s="725">
        <v>0</v>
      </c>
      <c r="BX210" s="725">
        <v>0</v>
      </c>
      <c r="BY210" s="726">
        <v>0</v>
      </c>
      <c r="BZ210" s="725">
        <v>0</v>
      </c>
      <c r="CA210" s="725">
        <v>0</v>
      </c>
      <c r="CB210" s="401">
        <v>-80</v>
      </c>
      <c r="CC210" s="402">
        <v>160</v>
      </c>
      <c r="CD210" s="401">
        <v>0</v>
      </c>
      <c r="CE210" s="725">
        <v>0</v>
      </c>
      <c r="CF210" s="725">
        <v>0</v>
      </c>
      <c r="CG210" s="402">
        <v>116</v>
      </c>
      <c r="CH210" s="401">
        <v>0</v>
      </c>
      <c r="CI210" s="725">
        <v>0</v>
      </c>
      <c r="CJ210" s="725">
        <v>0</v>
      </c>
      <c r="CK210" s="402">
        <v>0</v>
      </c>
      <c r="CL210" s="401">
        <v>0</v>
      </c>
      <c r="CM210" s="725">
        <v>0</v>
      </c>
      <c r="CN210" s="725">
        <v>0</v>
      </c>
      <c r="CO210" s="402">
        <v>0</v>
      </c>
      <c r="CP210" s="438">
        <v>0</v>
      </c>
      <c r="CQ210" s="401">
        <v>0</v>
      </c>
      <c r="CR210" s="401">
        <v>0</v>
      </c>
      <c r="CS210" s="726">
        <v>0</v>
      </c>
      <c r="CT210" s="373">
        <v>0</v>
      </c>
      <c r="CU210" s="325">
        <v>0</v>
      </c>
      <c r="CV210" s="325">
        <v>0</v>
      </c>
      <c r="CW210" s="726">
        <v>0</v>
      </c>
      <c r="CX210" s="548"/>
      <c r="CY210" s="548"/>
      <c r="CZ210" s="548"/>
      <c r="DA210" s="549"/>
      <c r="DB210" s="548"/>
      <c r="DC210" s="548"/>
      <c r="DD210" s="548"/>
      <c r="DE210" s="549"/>
      <c r="DF210" s="548"/>
      <c r="DG210" s="548"/>
      <c r="DH210" s="548"/>
      <c r="DI210" s="549"/>
      <c r="DJ210" s="454"/>
      <c r="DK210" s="550"/>
      <c r="DL210" s="548"/>
      <c r="DM210" s="548"/>
      <c r="DN210" s="548"/>
      <c r="DO210" s="548"/>
      <c r="DP210" s="548"/>
      <c r="DQ210" s="548"/>
      <c r="DR210" s="548"/>
      <c r="DS210" s="507">
        <v>0</v>
      </c>
      <c r="DT210" s="401">
        <v>2</v>
      </c>
      <c r="DU210" s="507">
        <v>0</v>
      </c>
      <c r="DV210" s="325">
        <v>0</v>
      </c>
      <c r="DW210" s="325">
        <v>0</v>
      </c>
      <c r="DX210" s="325">
        <v>98</v>
      </c>
      <c r="DY210" s="325">
        <v>0</v>
      </c>
      <c r="DZ210" s="325">
        <v>0</v>
      </c>
      <c r="EA210" s="325">
        <v>0</v>
      </c>
      <c r="EB210" s="325">
        <v>80</v>
      </c>
      <c r="EC210" s="325">
        <v>116</v>
      </c>
      <c r="ED210" s="725">
        <v>0</v>
      </c>
      <c r="EE210" s="725">
        <v>0</v>
      </c>
      <c r="EF210" s="725">
        <v>0</v>
      </c>
      <c r="EG210" s="725">
        <v>0</v>
      </c>
      <c r="EH210" s="725">
        <v>0</v>
      </c>
      <c r="EI210" s="725">
        <v>0</v>
      </c>
      <c r="EJ210" s="725">
        <v>0</v>
      </c>
      <c r="EK210" s="725">
        <v>0</v>
      </c>
      <c r="EL210" s="725">
        <v>0</v>
      </c>
      <c r="EM210" s="725">
        <v>0</v>
      </c>
      <c r="EN210" s="725">
        <v>0</v>
      </c>
      <c r="EO210" s="725">
        <v>0</v>
      </c>
      <c r="EP210" s="389"/>
      <c r="EQ210" s="386"/>
    </row>
    <row r="211" spans="1:147" s="390" customFormat="1" ht="15" customHeight="1">
      <c r="A211" s="385"/>
      <c r="B211"/>
      <c r="C211"/>
      <c r="D211"/>
      <c r="E211"/>
      <c r="F211"/>
      <c r="G211"/>
      <c r="H211" s="386"/>
      <c r="I211" s="370" t="s">
        <v>1620</v>
      </c>
      <c r="J211" s="548"/>
      <c r="K211" s="548"/>
      <c r="L211" s="548"/>
      <c r="M211" s="549"/>
      <c r="N211" s="548"/>
      <c r="O211" s="548"/>
      <c r="P211" s="548"/>
      <c r="Q211" s="549"/>
      <c r="R211" s="548"/>
      <c r="S211" s="548"/>
      <c r="T211" s="548"/>
      <c r="U211" s="549"/>
      <c r="V211" s="548"/>
      <c r="W211" s="548"/>
      <c r="X211" s="548"/>
      <c r="Y211" s="549"/>
      <c r="Z211" s="548"/>
      <c r="AA211" s="548"/>
      <c r="AB211" s="548"/>
      <c r="AC211" s="549"/>
      <c r="AD211" s="548"/>
      <c r="AE211" s="548"/>
      <c r="AF211" s="548"/>
      <c r="AG211" s="549"/>
      <c r="AH211" s="548"/>
      <c r="AI211" s="548"/>
      <c r="AJ211" s="548"/>
      <c r="AK211" s="549"/>
      <c r="AL211" s="548"/>
      <c r="AM211" s="548"/>
      <c r="AN211" s="548"/>
      <c r="AO211" s="549"/>
      <c r="AP211" s="548"/>
      <c r="AQ211" s="548"/>
      <c r="AR211" s="548"/>
      <c r="AS211" s="549"/>
      <c r="AT211" s="548"/>
      <c r="AU211" s="548"/>
      <c r="AV211" s="548"/>
      <c r="AW211" s="549"/>
      <c r="AX211" s="548"/>
      <c r="AY211" s="548"/>
      <c r="AZ211" s="548"/>
      <c r="BA211" s="549"/>
      <c r="BB211" s="401">
        <v>-161</v>
      </c>
      <c r="BC211" s="401">
        <v>-139</v>
      </c>
      <c r="BD211" s="401">
        <v>-25</v>
      </c>
      <c r="BE211" s="402">
        <v>-92</v>
      </c>
      <c r="BF211" s="401">
        <v>-187</v>
      </c>
      <c r="BG211" s="401">
        <v>-115</v>
      </c>
      <c r="BH211" s="401">
        <v>-80</v>
      </c>
      <c r="BI211" s="402">
        <v>-121</v>
      </c>
      <c r="BJ211" s="401">
        <v>-26</v>
      </c>
      <c r="BK211" s="401">
        <v>0</v>
      </c>
      <c r="BL211" s="401">
        <v>0</v>
      </c>
      <c r="BM211" s="402">
        <v>0</v>
      </c>
      <c r="BN211" s="507">
        <v>0</v>
      </c>
      <c r="BO211" s="401">
        <v>0</v>
      </c>
      <c r="BP211" s="401">
        <v>0</v>
      </c>
      <c r="BQ211" s="727">
        <v>0</v>
      </c>
      <c r="BR211" s="507">
        <v>0</v>
      </c>
      <c r="BS211" s="401">
        <v>-100</v>
      </c>
      <c r="BT211" s="401">
        <v>-44</v>
      </c>
      <c r="BU211" s="402">
        <v>-1</v>
      </c>
      <c r="BV211" s="401">
        <v>0</v>
      </c>
      <c r="BW211" s="725">
        <v>0</v>
      </c>
      <c r="BX211" s="725">
        <v>0</v>
      </c>
      <c r="BY211" s="726">
        <v>0</v>
      </c>
      <c r="BZ211" s="725">
        <v>0</v>
      </c>
      <c r="CA211" s="725">
        <v>0</v>
      </c>
      <c r="CB211" s="401">
        <v>0</v>
      </c>
      <c r="CC211" s="402">
        <v>-135</v>
      </c>
      <c r="CD211" s="401">
        <v>-20</v>
      </c>
      <c r="CE211" s="401">
        <v>-39</v>
      </c>
      <c r="CF211" s="401">
        <v>0</v>
      </c>
      <c r="CG211" s="402">
        <v>-150</v>
      </c>
      <c r="CH211" s="401">
        <v>0</v>
      </c>
      <c r="CI211" s="401">
        <v>0</v>
      </c>
      <c r="CJ211" s="401">
        <v>0</v>
      </c>
      <c r="CK211" s="402">
        <v>-65</v>
      </c>
      <c r="CL211" s="401">
        <v>-9</v>
      </c>
      <c r="CM211" s="401">
        <v>-47</v>
      </c>
      <c r="CN211" s="401">
        <v>-102</v>
      </c>
      <c r="CO211" s="402">
        <v>-63</v>
      </c>
      <c r="CP211" s="438">
        <v>-80</v>
      </c>
      <c r="CQ211" s="401">
        <v>-123</v>
      </c>
      <c r="CR211" s="401">
        <v>-45</v>
      </c>
      <c r="CS211" s="726">
        <v>0</v>
      </c>
      <c r="CT211" s="373">
        <v>0</v>
      </c>
      <c r="CU211" s="325">
        <v>0</v>
      </c>
      <c r="CV211" s="325">
        <v>0</v>
      </c>
      <c r="CW211" s="726">
        <v>0</v>
      </c>
      <c r="CX211" s="548"/>
      <c r="CY211" s="548"/>
      <c r="CZ211" s="548"/>
      <c r="DA211" s="549"/>
      <c r="DB211" s="548"/>
      <c r="DC211" s="548"/>
      <c r="DD211" s="548"/>
      <c r="DE211" s="549"/>
      <c r="DF211" s="548"/>
      <c r="DG211" s="548"/>
      <c r="DH211" s="548"/>
      <c r="DI211" s="549"/>
      <c r="DJ211" s="454"/>
      <c r="DK211" s="550"/>
      <c r="DL211" s="548"/>
      <c r="DM211" s="548"/>
      <c r="DN211" s="548"/>
      <c r="DO211" s="548"/>
      <c r="DP211" s="548"/>
      <c r="DQ211" s="548"/>
      <c r="DR211" s="548"/>
      <c r="DS211" s="507">
        <v>0</v>
      </c>
      <c r="DT211" s="401">
        <v>-425</v>
      </c>
      <c r="DU211" s="401">
        <v>-800</v>
      </c>
      <c r="DV211" s="325">
        <v>-417</v>
      </c>
      <c r="DW211" s="325">
        <v>-503</v>
      </c>
      <c r="DX211" s="325">
        <v>-26</v>
      </c>
      <c r="DY211" s="325">
        <v>0</v>
      </c>
      <c r="DZ211" s="325">
        <v>-145</v>
      </c>
      <c r="EA211" s="325">
        <v>0</v>
      </c>
      <c r="EB211" s="325">
        <v>-135</v>
      </c>
      <c r="EC211" s="325">
        <v>-209</v>
      </c>
      <c r="ED211" s="725">
        <v>-65</v>
      </c>
      <c r="EE211" s="725">
        <v>-221</v>
      </c>
      <c r="EF211" s="725">
        <v>-248</v>
      </c>
      <c r="EG211" s="725">
        <v>0</v>
      </c>
      <c r="EH211" s="725">
        <v>0</v>
      </c>
      <c r="EI211" s="725">
        <v>0</v>
      </c>
      <c r="EJ211" s="725">
        <v>0</v>
      </c>
      <c r="EK211" s="725">
        <v>0</v>
      </c>
      <c r="EL211" s="725">
        <v>0</v>
      </c>
      <c r="EM211" s="725">
        <v>0</v>
      </c>
      <c r="EN211" s="725">
        <v>0</v>
      </c>
      <c r="EO211" s="725">
        <v>0</v>
      </c>
      <c r="EP211" s="389"/>
      <c r="EQ211" s="386"/>
    </row>
    <row r="212" spans="1:147" s="390" customFormat="1" ht="15" customHeight="1">
      <c r="A212" s="385"/>
      <c r="B212"/>
      <c r="C212"/>
      <c r="D212"/>
      <c r="E212"/>
      <c r="F212"/>
      <c r="G212"/>
      <c r="H212" s="386"/>
      <c r="I212" s="370" t="s">
        <v>131</v>
      </c>
      <c r="J212" s="399"/>
      <c r="K212" s="399"/>
      <c r="L212" s="399"/>
      <c r="M212" s="400"/>
      <c r="N212" s="399"/>
      <c r="O212" s="399"/>
      <c r="P212" s="399"/>
      <c r="Q212" s="400"/>
      <c r="R212" s="399"/>
      <c r="S212" s="399"/>
      <c r="T212" s="399"/>
      <c r="U212" s="400"/>
      <c r="V212" s="399"/>
      <c r="W212" s="399"/>
      <c r="X212" s="399"/>
      <c r="Y212" s="400"/>
      <c r="Z212" s="399"/>
      <c r="AA212" s="399"/>
      <c r="AB212" s="399"/>
      <c r="AC212" s="400"/>
      <c r="AD212" s="399"/>
      <c r="AE212" s="399"/>
      <c r="AF212" s="399"/>
      <c r="AG212" s="400"/>
      <c r="AH212" s="399"/>
      <c r="AI212" s="399"/>
      <c r="AJ212" s="399"/>
      <c r="AK212" s="400"/>
      <c r="AL212" s="399"/>
      <c r="AM212" s="399"/>
      <c r="AN212" s="399"/>
      <c r="AO212" s="400"/>
      <c r="AP212" s="399"/>
      <c r="AQ212" s="399"/>
      <c r="AR212" s="399"/>
      <c r="AS212" s="400"/>
      <c r="AT212" s="399"/>
      <c r="AU212" s="399"/>
      <c r="AV212" s="399"/>
      <c r="AW212" s="400"/>
      <c r="AX212" s="399"/>
      <c r="AY212" s="399"/>
      <c r="AZ212" s="399"/>
      <c r="BA212" s="400"/>
      <c r="BB212" s="401">
        <v>-4</v>
      </c>
      <c r="BC212" s="401">
        <v>-14</v>
      </c>
      <c r="BD212" s="401">
        <v>-29</v>
      </c>
      <c r="BE212" s="402">
        <v>-25</v>
      </c>
      <c r="BF212" s="401">
        <v>-9</v>
      </c>
      <c r="BG212" s="401">
        <v>-17</v>
      </c>
      <c r="BH212" s="401">
        <v>-20</v>
      </c>
      <c r="BI212" s="402">
        <v>-27</v>
      </c>
      <c r="BJ212" s="401">
        <v>-17</v>
      </c>
      <c r="BK212" s="401">
        <v>-19</v>
      </c>
      <c r="BL212" s="401">
        <v>-22</v>
      </c>
      <c r="BM212" s="402">
        <v>-16</v>
      </c>
      <c r="BN212" s="401">
        <v>-37</v>
      </c>
      <c r="BO212" s="401">
        <v>-25</v>
      </c>
      <c r="BP212" s="401">
        <v>-28</v>
      </c>
      <c r="BQ212" s="402">
        <v>-17</v>
      </c>
      <c r="BR212" s="401">
        <v>-21</v>
      </c>
      <c r="BS212" s="401">
        <v>-28</v>
      </c>
      <c r="BT212" s="401">
        <v>-46</v>
      </c>
      <c r="BU212" s="402">
        <v>-16</v>
      </c>
      <c r="BV212" s="401">
        <v>-27</v>
      </c>
      <c r="BW212" s="401">
        <v>-44</v>
      </c>
      <c r="BX212" s="401">
        <v>-28</v>
      </c>
      <c r="BY212" s="402">
        <v>-37</v>
      </c>
      <c r="BZ212" s="401">
        <v>-21</v>
      </c>
      <c r="CA212" s="401">
        <v>-31</v>
      </c>
      <c r="CB212" s="401">
        <v>-34</v>
      </c>
      <c r="CC212" s="402">
        <v>-69</v>
      </c>
      <c r="CD212" s="401">
        <v>-31</v>
      </c>
      <c r="CE212" s="401">
        <v>-30</v>
      </c>
      <c r="CF212" s="401">
        <v>-36</v>
      </c>
      <c r="CG212" s="402">
        <v>-34</v>
      </c>
      <c r="CH212" s="401">
        <v>-18</v>
      </c>
      <c r="CI212" s="401">
        <v>-27</v>
      </c>
      <c r="CJ212" s="401">
        <v>-34</v>
      </c>
      <c r="CK212" s="402">
        <v>-37</v>
      </c>
      <c r="CL212" s="401">
        <v>-19</v>
      </c>
      <c r="CM212" s="401">
        <v>-13</v>
      </c>
      <c r="CN212" s="401">
        <v>-24</v>
      </c>
      <c r="CO212" s="402">
        <v>-22</v>
      </c>
      <c r="CP212" s="438">
        <v>-22</v>
      </c>
      <c r="CQ212" s="401">
        <v>-14</v>
      </c>
      <c r="CR212" s="401">
        <v>-23</v>
      </c>
      <c r="CS212" s="413">
        <v>-52.481327704248969</v>
      </c>
      <c r="CT212" s="373">
        <v>-17.191662591723244</v>
      </c>
      <c r="CU212" s="325">
        <v>-10.67822166281899</v>
      </c>
      <c r="CV212" s="325">
        <v>-48.614856077654416</v>
      </c>
      <c r="CW212" s="413">
        <v>-81.90392553173028</v>
      </c>
      <c r="CX212" s="409"/>
      <c r="CY212" s="409"/>
      <c r="CZ212" s="409"/>
      <c r="DA212" s="410"/>
      <c r="DB212" s="409"/>
      <c r="DC212" s="409"/>
      <c r="DD212" s="409"/>
      <c r="DE212" s="410"/>
      <c r="DF212" s="409"/>
      <c r="DG212" s="409"/>
      <c r="DH212" s="409"/>
      <c r="DI212" s="410"/>
      <c r="DJ212" s="454"/>
      <c r="DK212" s="411"/>
      <c r="DL212" s="399"/>
      <c r="DM212" s="399"/>
      <c r="DN212" s="399"/>
      <c r="DO212" s="399"/>
      <c r="DP212" s="399"/>
      <c r="DQ212" s="399"/>
      <c r="DR212" s="399"/>
      <c r="DS212" s="401">
        <v>-46</v>
      </c>
      <c r="DT212" s="401">
        <v>-69</v>
      </c>
      <c r="DU212" s="401">
        <v>-97</v>
      </c>
      <c r="DV212" s="325">
        <v>-72</v>
      </c>
      <c r="DW212" s="325">
        <v>-73</v>
      </c>
      <c r="DX212" s="325">
        <v>-74</v>
      </c>
      <c r="DY212" s="325">
        <v>-107</v>
      </c>
      <c r="DZ212" s="325">
        <v>-111</v>
      </c>
      <c r="EA212" s="325">
        <v>-136</v>
      </c>
      <c r="EB212" s="325">
        <v>-155</v>
      </c>
      <c r="EC212" s="325">
        <v>-131</v>
      </c>
      <c r="ED212" s="412">
        <v>-116</v>
      </c>
      <c r="EE212" s="412">
        <v>-78</v>
      </c>
      <c r="EF212" s="412">
        <v>-111.48132770424897</v>
      </c>
      <c r="EG212" s="412">
        <v>-158.38866586392692</v>
      </c>
      <c r="EH212" s="412">
        <v>-179.47453844523935</v>
      </c>
      <c r="EI212" s="412">
        <v>-166.73427632066</v>
      </c>
      <c r="EJ212" s="412">
        <v>-159.94100393210522</v>
      </c>
      <c r="EK212" s="412">
        <v>-170.48098229717931</v>
      </c>
      <c r="EL212" s="412">
        <v>-164.440268026974</v>
      </c>
      <c r="EM212" s="412">
        <v>-165.54599359868973</v>
      </c>
      <c r="EN212" s="412">
        <v>-164.6454905964784</v>
      </c>
      <c r="EO212" s="412">
        <v>-177.23893753793081</v>
      </c>
      <c r="EP212" s="389"/>
      <c r="EQ212" s="386"/>
    </row>
    <row r="213" spans="1:147" s="390" customFormat="1" ht="15" customHeight="1">
      <c r="A213" s="385"/>
      <c r="B213"/>
      <c r="C213"/>
      <c r="D213"/>
      <c r="E213"/>
      <c r="F213"/>
      <c r="G213"/>
      <c r="H213" s="386"/>
      <c r="I213" s="370" t="s">
        <v>316</v>
      </c>
      <c r="J213" s="399"/>
      <c r="K213" s="399"/>
      <c r="L213" s="399"/>
      <c r="M213" s="400"/>
      <c r="N213" s="399"/>
      <c r="O213" s="399"/>
      <c r="P213" s="399"/>
      <c r="Q213" s="400"/>
      <c r="R213" s="399"/>
      <c r="S213" s="399"/>
      <c r="T213" s="399"/>
      <c r="U213" s="400"/>
      <c r="V213" s="399"/>
      <c r="W213" s="399"/>
      <c r="X213" s="399"/>
      <c r="Y213" s="400"/>
      <c r="Z213" s="399"/>
      <c r="AA213" s="399"/>
      <c r="AB213" s="399"/>
      <c r="AC213" s="400"/>
      <c r="AD213" s="399"/>
      <c r="AE213" s="399"/>
      <c r="AF213" s="399"/>
      <c r="AG213" s="400"/>
      <c r="AH213" s="399"/>
      <c r="AI213" s="399"/>
      <c r="AJ213" s="399"/>
      <c r="AK213" s="400"/>
      <c r="AL213" s="399"/>
      <c r="AM213" s="399"/>
      <c r="AN213" s="399"/>
      <c r="AO213" s="400"/>
      <c r="AP213" s="399"/>
      <c r="AQ213" s="399"/>
      <c r="AR213" s="399"/>
      <c r="AS213" s="400"/>
      <c r="AT213" s="399"/>
      <c r="AU213" s="399"/>
      <c r="AV213" s="399"/>
      <c r="AW213" s="400"/>
      <c r="AX213" s="399"/>
      <c r="AY213" s="399"/>
      <c r="AZ213" s="399"/>
      <c r="BA213" s="400"/>
      <c r="BB213" s="401">
        <v>0</v>
      </c>
      <c r="BC213" s="401">
        <v>0</v>
      </c>
      <c r="BD213" s="401">
        <v>0</v>
      </c>
      <c r="BE213" s="402">
        <v>0</v>
      </c>
      <c r="BF213" s="401">
        <v>0</v>
      </c>
      <c r="BG213" s="401">
        <v>0</v>
      </c>
      <c r="BH213" s="401">
        <v>0</v>
      </c>
      <c r="BI213" s="402">
        <v>0</v>
      </c>
      <c r="BJ213" s="401">
        <v>0</v>
      </c>
      <c r="BK213" s="401">
        <v>0</v>
      </c>
      <c r="BL213" s="401">
        <v>0</v>
      </c>
      <c r="BM213" s="402">
        <v>0</v>
      </c>
      <c r="BN213" s="401">
        <v>0</v>
      </c>
      <c r="BO213" s="401">
        <v>0</v>
      </c>
      <c r="BP213" s="401">
        <v>0</v>
      </c>
      <c r="BQ213" s="402">
        <v>0</v>
      </c>
      <c r="BR213" s="401">
        <v>0</v>
      </c>
      <c r="BS213" s="401">
        <v>5</v>
      </c>
      <c r="BT213" s="401">
        <v>-5</v>
      </c>
      <c r="BU213" s="402">
        <v>-46</v>
      </c>
      <c r="BV213" s="401">
        <v>-4588</v>
      </c>
      <c r="BW213" s="401">
        <v>0</v>
      </c>
      <c r="BX213" s="401">
        <v>0</v>
      </c>
      <c r="BY213" s="402">
        <v>0</v>
      </c>
      <c r="BZ213" s="401">
        <v>0</v>
      </c>
      <c r="CA213" s="401">
        <v>0</v>
      </c>
      <c r="CB213" s="401">
        <v>0</v>
      </c>
      <c r="CC213" s="402">
        <v>0</v>
      </c>
      <c r="CD213" s="401">
        <v>0</v>
      </c>
      <c r="CE213" s="401">
        <v>0</v>
      </c>
      <c r="CF213" s="401">
        <v>0</v>
      </c>
      <c r="CG213" s="402">
        <v>0</v>
      </c>
      <c r="CH213" s="401">
        <v>0</v>
      </c>
      <c r="CI213" s="401">
        <v>0</v>
      </c>
      <c r="CJ213" s="401">
        <v>0</v>
      </c>
      <c r="CK213" s="402">
        <v>0</v>
      </c>
      <c r="CL213" s="401">
        <v>0</v>
      </c>
      <c r="CM213" s="401">
        <v>0</v>
      </c>
      <c r="CN213" s="401">
        <v>0</v>
      </c>
      <c r="CO213" s="402">
        <v>0</v>
      </c>
      <c r="CP213" s="438">
        <v>0</v>
      </c>
      <c r="CQ213" s="401">
        <v>0</v>
      </c>
      <c r="CR213" s="401">
        <v>0</v>
      </c>
      <c r="CS213" s="402">
        <v>0</v>
      </c>
      <c r="CT213" s="373">
        <v>0</v>
      </c>
      <c r="CU213" s="325">
        <v>0</v>
      </c>
      <c r="CV213" s="325">
        <v>0</v>
      </c>
      <c r="CW213" s="402">
        <v>0</v>
      </c>
      <c r="CX213" s="399"/>
      <c r="CY213" s="399"/>
      <c r="CZ213" s="399"/>
      <c r="DA213" s="400"/>
      <c r="DB213" s="399"/>
      <c r="DC213" s="399"/>
      <c r="DD213" s="399"/>
      <c r="DE213" s="400"/>
      <c r="DF213" s="399"/>
      <c r="DG213" s="399"/>
      <c r="DH213" s="399"/>
      <c r="DI213" s="400"/>
      <c r="DJ213" s="454"/>
      <c r="DK213" s="411"/>
      <c r="DL213" s="399"/>
      <c r="DM213" s="399"/>
      <c r="DN213" s="399"/>
      <c r="DO213" s="399"/>
      <c r="DP213" s="399"/>
      <c r="DQ213" s="399"/>
      <c r="DR213" s="399"/>
      <c r="DS213" s="401">
        <v>1120</v>
      </c>
      <c r="DT213" s="401">
        <v>0</v>
      </c>
      <c r="DU213" s="401">
        <v>0</v>
      </c>
      <c r="DV213" s="325">
        <v>0</v>
      </c>
      <c r="DW213" s="325">
        <v>0</v>
      </c>
      <c r="DX213" s="325">
        <v>0</v>
      </c>
      <c r="DY213" s="325">
        <v>0</v>
      </c>
      <c r="DZ213" s="325">
        <v>-46</v>
      </c>
      <c r="EA213" s="325">
        <v>-4588</v>
      </c>
      <c r="EB213" s="325">
        <v>0</v>
      </c>
      <c r="EC213" s="325">
        <v>0</v>
      </c>
      <c r="ED213" s="401">
        <v>0</v>
      </c>
      <c r="EE213" s="401">
        <v>0</v>
      </c>
      <c r="EF213" s="401">
        <v>0</v>
      </c>
      <c r="EG213" s="401">
        <v>0</v>
      </c>
      <c r="EH213" s="401">
        <v>0</v>
      </c>
      <c r="EI213" s="401">
        <v>0</v>
      </c>
      <c r="EJ213" s="401">
        <v>0</v>
      </c>
      <c r="EK213" s="401">
        <v>0</v>
      </c>
      <c r="EL213" s="401">
        <v>0</v>
      </c>
      <c r="EM213" s="401">
        <v>0</v>
      </c>
      <c r="EN213" s="401">
        <v>0</v>
      </c>
      <c r="EO213" s="401">
        <v>0</v>
      </c>
      <c r="EP213" s="389"/>
      <c r="EQ213" s="386"/>
    </row>
    <row r="214" spans="1:147" s="390" customFormat="1" ht="15" customHeight="1">
      <c r="A214" s="385"/>
      <c r="B214"/>
      <c r="C214"/>
      <c r="D214"/>
      <c r="E214"/>
      <c r="F214"/>
      <c r="G214"/>
      <c r="H214" s="386"/>
      <c r="I214" s="370" t="s">
        <v>1621</v>
      </c>
      <c r="J214" s="399"/>
      <c r="K214" s="399"/>
      <c r="L214" s="399"/>
      <c r="M214" s="400"/>
      <c r="N214" s="399"/>
      <c r="O214" s="399"/>
      <c r="P214" s="399"/>
      <c r="Q214" s="400"/>
      <c r="R214" s="399"/>
      <c r="S214" s="399"/>
      <c r="T214" s="399"/>
      <c r="U214" s="400"/>
      <c r="V214" s="399"/>
      <c r="W214" s="399"/>
      <c r="X214" s="399"/>
      <c r="Y214" s="400"/>
      <c r="Z214" s="399"/>
      <c r="AA214" s="399"/>
      <c r="AB214" s="399"/>
      <c r="AC214" s="400"/>
      <c r="AD214" s="399"/>
      <c r="AE214" s="399"/>
      <c r="AF214" s="399"/>
      <c r="AG214" s="400"/>
      <c r="AH214" s="399"/>
      <c r="AI214" s="399"/>
      <c r="AJ214" s="399"/>
      <c r="AK214" s="400"/>
      <c r="AL214" s="399"/>
      <c r="AM214" s="399"/>
      <c r="AN214" s="399"/>
      <c r="AO214" s="400"/>
      <c r="AP214" s="399"/>
      <c r="AQ214" s="399"/>
      <c r="AR214" s="399"/>
      <c r="AS214" s="400"/>
      <c r="AT214" s="399"/>
      <c r="AU214" s="399"/>
      <c r="AV214" s="399"/>
      <c r="AW214" s="400"/>
      <c r="AX214" s="399"/>
      <c r="AY214" s="399"/>
      <c r="AZ214" s="399"/>
      <c r="BA214" s="400"/>
      <c r="BB214" s="401">
        <v>0</v>
      </c>
      <c r="BC214" s="401">
        <v>10</v>
      </c>
      <c r="BD214" s="401">
        <v>-28</v>
      </c>
      <c r="BE214" s="402">
        <v>26</v>
      </c>
      <c r="BF214" s="401">
        <v>4</v>
      </c>
      <c r="BG214" s="401">
        <v>-3</v>
      </c>
      <c r="BH214" s="401">
        <v>-23</v>
      </c>
      <c r="BI214" s="402">
        <v>20</v>
      </c>
      <c r="BJ214" s="401">
        <v>10</v>
      </c>
      <c r="BK214" s="401">
        <v>-1</v>
      </c>
      <c r="BL214" s="401">
        <v>-18</v>
      </c>
      <c r="BM214" s="402">
        <v>15</v>
      </c>
      <c r="BN214" s="401">
        <v>4</v>
      </c>
      <c r="BO214" s="401">
        <v>3</v>
      </c>
      <c r="BP214" s="401">
        <v>-18</v>
      </c>
      <c r="BQ214" s="402">
        <v>13</v>
      </c>
      <c r="BR214" s="725">
        <v>0</v>
      </c>
      <c r="BS214" s="725">
        <v>0</v>
      </c>
      <c r="BT214" s="725">
        <v>0</v>
      </c>
      <c r="BU214" s="402">
        <v>2</v>
      </c>
      <c r="BV214" s="401">
        <v>-14</v>
      </c>
      <c r="BW214" s="401">
        <v>-1</v>
      </c>
      <c r="BX214" s="401">
        <v>-4</v>
      </c>
      <c r="BY214" s="726">
        <v>5</v>
      </c>
      <c r="BZ214" s="725">
        <v>0</v>
      </c>
      <c r="CA214" s="401">
        <v>0</v>
      </c>
      <c r="CB214" s="401">
        <v>0</v>
      </c>
      <c r="CC214" s="402">
        <v>13</v>
      </c>
      <c r="CD214" s="401">
        <v>0</v>
      </c>
      <c r="CE214" s="401">
        <v>0</v>
      </c>
      <c r="CF214" s="401">
        <v>0</v>
      </c>
      <c r="CG214" s="402">
        <v>0</v>
      </c>
      <c r="CH214" s="401">
        <v>0</v>
      </c>
      <c r="CI214" s="401">
        <v>0</v>
      </c>
      <c r="CJ214" s="401">
        <v>0</v>
      </c>
      <c r="CK214" s="402">
        <v>0</v>
      </c>
      <c r="CL214" s="401">
        <v>0</v>
      </c>
      <c r="CM214" s="401">
        <v>0</v>
      </c>
      <c r="CN214" s="401">
        <v>0</v>
      </c>
      <c r="CO214" s="402">
        <v>0</v>
      </c>
      <c r="CP214" s="438">
        <v>0</v>
      </c>
      <c r="CQ214" s="401">
        <v>0</v>
      </c>
      <c r="CR214" s="401">
        <v>0</v>
      </c>
      <c r="CS214" s="726">
        <v>0</v>
      </c>
      <c r="CT214" s="373">
        <v>0</v>
      </c>
      <c r="CU214" s="325">
        <v>0</v>
      </c>
      <c r="CV214" s="325">
        <v>0</v>
      </c>
      <c r="CW214" s="726">
        <v>0</v>
      </c>
      <c r="CX214" s="399"/>
      <c r="CY214" s="399"/>
      <c r="CZ214" s="399"/>
      <c r="DA214" s="400"/>
      <c r="DB214" s="399"/>
      <c r="DC214" s="399"/>
      <c r="DD214" s="399"/>
      <c r="DE214" s="400"/>
      <c r="DF214" s="399"/>
      <c r="DG214" s="399"/>
      <c r="DH214" s="399"/>
      <c r="DI214" s="400"/>
      <c r="DJ214" s="454"/>
      <c r="DK214" s="411"/>
      <c r="DL214" s="399"/>
      <c r="DM214" s="399"/>
      <c r="DN214" s="399"/>
      <c r="DO214" s="399"/>
      <c r="DP214" s="399"/>
      <c r="DQ214" s="399"/>
      <c r="DR214" s="399"/>
      <c r="DS214" s="401">
        <v>18</v>
      </c>
      <c r="DT214" s="401">
        <v>5</v>
      </c>
      <c r="DU214" s="401">
        <v>9</v>
      </c>
      <c r="DV214" s="325">
        <v>8</v>
      </c>
      <c r="DW214" s="325">
        <v>-2</v>
      </c>
      <c r="DX214" s="325">
        <v>6</v>
      </c>
      <c r="DY214" s="325">
        <v>2</v>
      </c>
      <c r="DZ214" s="325">
        <v>2</v>
      </c>
      <c r="EA214" s="325">
        <v>-14</v>
      </c>
      <c r="EB214" s="325">
        <v>13</v>
      </c>
      <c r="EC214" s="325">
        <v>0</v>
      </c>
      <c r="ED214" s="725">
        <v>0</v>
      </c>
      <c r="EE214" s="725">
        <v>0</v>
      </c>
      <c r="EF214" s="725">
        <v>0</v>
      </c>
      <c r="EG214" s="725">
        <v>0</v>
      </c>
      <c r="EH214" s="725">
        <v>0</v>
      </c>
      <c r="EI214" s="725">
        <v>0</v>
      </c>
      <c r="EJ214" s="725">
        <v>0</v>
      </c>
      <c r="EK214" s="725">
        <v>0</v>
      </c>
      <c r="EL214" s="725">
        <v>0</v>
      </c>
      <c r="EM214" s="725">
        <v>0</v>
      </c>
      <c r="EN214" s="725">
        <v>0</v>
      </c>
      <c r="EO214" s="725">
        <v>0</v>
      </c>
      <c r="EP214" s="389"/>
      <c r="EQ214" s="386"/>
    </row>
    <row r="215" spans="1:147" s="390" customFormat="1" ht="15" customHeight="1">
      <c r="A215" s="385"/>
      <c r="B215"/>
      <c r="C215"/>
      <c r="D215"/>
      <c r="E215"/>
      <c r="F215"/>
      <c r="G215"/>
      <c r="H215" s="386"/>
      <c r="I215" s="370" t="s">
        <v>198</v>
      </c>
      <c r="J215" s="399"/>
      <c r="K215" s="399"/>
      <c r="L215" s="399"/>
      <c r="M215" s="400"/>
      <c r="N215" s="399"/>
      <c r="O215" s="399"/>
      <c r="P215" s="399"/>
      <c r="Q215" s="400"/>
      <c r="R215" s="399"/>
      <c r="S215" s="399"/>
      <c r="T215" s="399"/>
      <c r="U215" s="400"/>
      <c r="V215" s="399"/>
      <c r="W215" s="399"/>
      <c r="X215" s="399"/>
      <c r="Y215" s="400"/>
      <c r="Z215" s="399"/>
      <c r="AA215" s="399"/>
      <c r="AB215" s="399"/>
      <c r="AC215" s="400"/>
      <c r="AD215" s="399"/>
      <c r="AE215" s="399"/>
      <c r="AF215" s="399"/>
      <c r="AG215" s="400"/>
      <c r="AH215" s="399"/>
      <c r="AI215" s="399"/>
      <c r="AJ215" s="399"/>
      <c r="AK215" s="400"/>
      <c r="AL215" s="399"/>
      <c r="AM215" s="399"/>
      <c r="AN215" s="399"/>
      <c r="AO215" s="400"/>
      <c r="AP215" s="399"/>
      <c r="AQ215" s="399"/>
      <c r="AR215" s="399"/>
      <c r="AS215" s="400"/>
      <c r="AT215" s="399"/>
      <c r="AU215" s="399"/>
      <c r="AV215" s="399"/>
      <c r="AW215" s="400"/>
      <c r="AX215" s="399"/>
      <c r="AY215" s="399"/>
      <c r="AZ215" s="399"/>
      <c r="BA215" s="400"/>
      <c r="BB215" s="401">
        <v>-3</v>
      </c>
      <c r="BC215" s="401">
        <v>0</v>
      </c>
      <c r="BD215" s="401">
        <v>0</v>
      </c>
      <c r="BE215" s="402">
        <v>10</v>
      </c>
      <c r="BF215" s="401">
        <v>0</v>
      </c>
      <c r="BG215" s="401">
        <v>0</v>
      </c>
      <c r="BH215" s="401">
        <v>0</v>
      </c>
      <c r="BI215" s="402">
        <v>10</v>
      </c>
      <c r="BJ215" s="401">
        <v>0</v>
      </c>
      <c r="BK215" s="401">
        <v>0</v>
      </c>
      <c r="BL215" s="401">
        <v>-71</v>
      </c>
      <c r="BM215" s="402">
        <v>71</v>
      </c>
      <c r="BN215" s="401">
        <v>0</v>
      </c>
      <c r="BO215" s="401">
        <v>0</v>
      </c>
      <c r="BP215" s="401">
        <v>0</v>
      </c>
      <c r="BQ215" s="402">
        <v>0</v>
      </c>
      <c r="BR215" s="401">
        <v>5</v>
      </c>
      <c r="BS215" s="401">
        <v>-5</v>
      </c>
      <c r="BT215" s="401">
        <v>-15</v>
      </c>
      <c r="BU215" s="402">
        <v>-3546</v>
      </c>
      <c r="BV215" s="401">
        <v>3561</v>
      </c>
      <c r="BW215" s="401">
        <v>0</v>
      </c>
      <c r="BX215" s="401">
        <v>-5</v>
      </c>
      <c r="BY215" s="372">
        <v>5</v>
      </c>
      <c r="BZ215" s="401">
        <v>-2</v>
      </c>
      <c r="CA215" s="401">
        <v>13</v>
      </c>
      <c r="CB215" s="401">
        <v>-1</v>
      </c>
      <c r="CC215" s="402">
        <v>-10</v>
      </c>
      <c r="CD215" s="401">
        <v>0</v>
      </c>
      <c r="CE215" s="401">
        <v>-4</v>
      </c>
      <c r="CF215" s="401">
        <v>0</v>
      </c>
      <c r="CG215" s="402">
        <v>-2</v>
      </c>
      <c r="CH215" s="401">
        <v>0</v>
      </c>
      <c r="CI215" s="401">
        <v>7</v>
      </c>
      <c r="CJ215" s="401">
        <v>-2</v>
      </c>
      <c r="CK215" s="402">
        <v>-1</v>
      </c>
      <c r="CL215" s="401">
        <v>0</v>
      </c>
      <c r="CM215" s="401">
        <v>0</v>
      </c>
      <c r="CN215" s="401">
        <v>0</v>
      </c>
      <c r="CO215" s="402">
        <v>0</v>
      </c>
      <c r="CP215" s="438">
        <v>0</v>
      </c>
      <c r="CQ215" s="401">
        <v>21</v>
      </c>
      <c r="CR215" s="401">
        <v>-1</v>
      </c>
      <c r="CS215" s="372">
        <v>0</v>
      </c>
      <c r="CT215" s="373">
        <v>0</v>
      </c>
      <c r="CU215" s="325">
        <v>0</v>
      </c>
      <c r="CV215" s="325">
        <v>0</v>
      </c>
      <c r="CW215" s="372">
        <v>0</v>
      </c>
      <c r="CX215" s="386"/>
      <c r="CY215" s="386"/>
      <c r="CZ215" s="386"/>
      <c r="DA215" s="388"/>
      <c r="DB215" s="386"/>
      <c r="DC215" s="386"/>
      <c r="DD215" s="386"/>
      <c r="DE215" s="388"/>
      <c r="DF215" s="386"/>
      <c r="DG215" s="386"/>
      <c r="DH215" s="386"/>
      <c r="DI215" s="388"/>
      <c r="DJ215" s="454"/>
      <c r="DK215" s="411"/>
      <c r="DL215" s="399"/>
      <c r="DM215" s="399"/>
      <c r="DN215" s="399"/>
      <c r="DO215" s="399"/>
      <c r="DP215" s="399"/>
      <c r="DQ215" s="399"/>
      <c r="DR215" s="399"/>
      <c r="DS215" s="401">
        <v>9</v>
      </c>
      <c r="DT215" s="401">
        <v>0</v>
      </c>
      <c r="DU215" s="401">
        <v>-4</v>
      </c>
      <c r="DV215" s="325">
        <v>7</v>
      </c>
      <c r="DW215" s="325">
        <v>10</v>
      </c>
      <c r="DX215" s="325">
        <v>0</v>
      </c>
      <c r="DY215" s="325">
        <v>0</v>
      </c>
      <c r="DZ215" s="325">
        <v>-3561</v>
      </c>
      <c r="EA215" s="325">
        <v>3561</v>
      </c>
      <c r="EB215" s="325">
        <v>0</v>
      </c>
      <c r="EC215" s="325">
        <v>-6</v>
      </c>
      <c r="ED215" s="325">
        <v>4</v>
      </c>
      <c r="EE215" s="325">
        <v>0</v>
      </c>
      <c r="EF215" s="325">
        <v>20</v>
      </c>
      <c r="EG215" s="325">
        <v>0</v>
      </c>
      <c r="EH215" s="325">
        <v>0</v>
      </c>
      <c r="EI215" s="325">
        <v>0</v>
      </c>
      <c r="EJ215" s="325">
        <v>0</v>
      </c>
      <c r="EK215" s="325">
        <v>0</v>
      </c>
      <c r="EL215" s="325">
        <v>0</v>
      </c>
      <c r="EM215" s="325">
        <v>0</v>
      </c>
      <c r="EN215" s="325">
        <v>0</v>
      </c>
      <c r="EO215" s="325">
        <v>0</v>
      </c>
      <c r="EP215" s="389"/>
      <c r="EQ215" s="386"/>
    </row>
    <row r="216" spans="1:147" s="390" customFormat="1" ht="15" customHeight="1">
      <c r="A216" s="385"/>
      <c r="B216"/>
      <c r="C216"/>
      <c r="D216"/>
      <c r="E216"/>
      <c r="F216"/>
      <c r="G216"/>
      <c r="H216" s="386"/>
      <c r="I216" s="517" t="s">
        <v>1622</v>
      </c>
      <c r="J216" s="552"/>
      <c r="K216" s="552"/>
      <c r="L216" s="552"/>
      <c r="M216" s="553"/>
      <c r="N216" s="552"/>
      <c r="O216" s="552"/>
      <c r="P216" s="552"/>
      <c r="Q216" s="553"/>
      <c r="R216" s="552"/>
      <c r="S216" s="552"/>
      <c r="T216" s="552"/>
      <c r="U216" s="553"/>
      <c r="V216" s="552"/>
      <c r="W216" s="552"/>
      <c r="X216" s="552"/>
      <c r="Y216" s="553"/>
      <c r="Z216" s="552"/>
      <c r="AA216" s="552"/>
      <c r="AB216" s="552"/>
      <c r="AC216" s="553"/>
      <c r="AD216" s="552"/>
      <c r="AE216" s="552"/>
      <c r="AF216" s="552"/>
      <c r="AG216" s="553"/>
      <c r="AH216" s="552"/>
      <c r="AI216" s="552"/>
      <c r="AJ216" s="552"/>
      <c r="AK216" s="553"/>
      <c r="AL216" s="552"/>
      <c r="AM216" s="552"/>
      <c r="AN216" s="552"/>
      <c r="AO216" s="553"/>
      <c r="AP216" s="552"/>
      <c r="AQ216" s="552"/>
      <c r="AR216" s="552"/>
      <c r="AS216" s="553"/>
      <c r="AT216" s="552"/>
      <c r="AU216" s="552"/>
      <c r="AV216" s="552"/>
      <c r="AW216" s="553"/>
      <c r="AX216" s="552">
        <v>0</v>
      </c>
      <c r="AY216" s="552">
        <v>0</v>
      </c>
      <c r="AZ216" s="552">
        <v>0</v>
      </c>
      <c r="BA216" s="553">
        <v>0</v>
      </c>
      <c r="BB216" s="554">
        <v>-14</v>
      </c>
      <c r="BC216" s="554">
        <v>77</v>
      </c>
      <c r="BD216" s="554">
        <v>147</v>
      </c>
      <c r="BE216" s="555">
        <v>56</v>
      </c>
      <c r="BF216" s="554">
        <v>-77</v>
      </c>
      <c r="BG216" s="554">
        <v>3</v>
      </c>
      <c r="BH216" s="554">
        <v>-71</v>
      </c>
      <c r="BI216" s="555">
        <v>21</v>
      </c>
      <c r="BJ216" s="554">
        <v>80</v>
      </c>
      <c r="BK216" s="554">
        <v>96</v>
      </c>
      <c r="BL216" s="554">
        <v>15</v>
      </c>
      <c r="BM216" s="555">
        <v>117</v>
      </c>
      <c r="BN216" s="554">
        <v>-12</v>
      </c>
      <c r="BO216" s="554">
        <v>-22</v>
      </c>
      <c r="BP216" s="554">
        <v>-46</v>
      </c>
      <c r="BQ216" s="555">
        <v>-4</v>
      </c>
      <c r="BR216" s="554">
        <v>-16</v>
      </c>
      <c r="BS216" s="554">
        <v>-128</v>
      </c>
      <c r="BT216" s="554">
        <v>-95</v>
      </c>
      <c r="BU216" s="555">
        <v>-3477</v>
      </c>
      <c r="BV216" s="554">
        <v>-1068</v>
      </c>
      <c r="BW216" s="554">
        <v>-45</v>
      </c>
      <c r="BX216" s="554">
        <v>-37</v>
      </c>
      <c r="BY216" s="555">
        <v>-27</v>
      </c>
      <c r="BZ216" s="554">
        <v>-23</v>
      </c>
      <c r="CA216" s="554">
        <v>-18</v>
      </c>
      <c r="CB216" s="554">
        <v>-115</v>
      </c>
      <c r="CC216" s="555">
        <v>-41</v>
      </c>
      <c r="CD216" s="554">
        <v>-51</v>
      </c>
      <c r="CE216" s="554">
        <v>-73</v>
      </c>
      <c r="CF216" s="554">
        <v>-36</v>
      </c>
      <c r="CG216" s="555">
        <v>-70</v>
      </c>
      <c r="CH216" s="554">
        <v>-5</v>
      </c>
      <c r="CI216" s="554">
        <v>42</v>
      </c>
      <c r="CJ216" s="554">
        <v>42</v>
      </c>
      <c r="CK216" s="555">
        <v>-103</v>
      </c>
      <c r="CL216" s="554">
        <v>-28</v>
      </c>
      <c r="CM216" s="554">
        <v>-60</v>
      </c>
      <c r="CN216" s="554">
        <v>-90</v>
      </c>
      <c r="CO216" s="555">
        <v>0</v>
      </c>
      <c r="CP216" s="557">
        <v>-86</v>
      </c>
      <c r="CQ216" s="554">
        <v>-88</v>
      </c>
      <c r="CR216" s="554">
        <v>73</v>
      </c>
      <c r="CS216" s="555">
        <v>-52.481327704248969</v>
      </c>
      <c r="CT216" s="557">
        <v>-17.191662591723244</v>
      </c>
      <c r="CU216" s="554">
        <v>-10.67822166281899</v>
      </c>
      <c r="CV216" s="554">
        <v>-48.614856077654416</v>
      </c>
      <c r="CW216" s="555">
        <v>-81.90392553173028</v>
      </c>
      <c r="CX216" s="552"/>
      <c r="CY216" s="552"/>
      <c r="CZ216" s="552"/>
      <c r="DA216" s="553"/>
      <c r="DB216" s="552"/>
      <c r="DC216" s="552"/>
      <c r="DD216" s="552"/>
      <c r="DE216" s="553"/>
      <c r="DF216" s="552"/>
      <c r="DG216" s="552"/>
      <c r="DH216" s="552"/>
      <c r="DI216" s="553"/>
      <c r="DJ216" s="454"/>
      <c r="DK216" s="558"/>
      <c r="DL216" s="552"/>
      <c r="DM216" s="552"/>
      <c r="DN216" s="552"/>
      <c r="DO216" s="552"/>
      <c r="DP216" s="552"/>
      <c r="DQ216" s="552"/>
      <c r="DR216" s="552"/>
      <c r="DS216" s="398">
        <v>1101</v>
      </c>
      <c r="DT216" s="398">
        <v>-443</v>
      </c>
      <c r="DU216" s="398">
        <v>-312</v>
      </c>
      <c r="DV216" s="394">
        <v>266</v>
      </c>
      <c r="DW216" s="394">
        <v>-124</v>
      </c>
      <c r="DX216" s="394">
        <v>308</v>
      </c>
      <c r="DY216" s="394">
        <v>-84</v>
      </c>
      <c r="DZ216" s="394">
        <v>-3716</v>
      </c>
      <c r="EA216" s="394">
        <v>-1177</v>
      </c>
      <c r="EB216" s="394">
        <v>-197</v>
      </c>
      <c r="EC216" s="394">
        <v>-230</v>
      </c>
      <c r="ED216" s="554">
        <v>-24</v>
      </c>
      <c r="EE216" s="554">
        <v>-178</v>
      </c>
      <c r="EF216" s="554">
        <v>-153.48132770424897</v>
      </c>
      <c r="EG216" s="554">
        <v>-158.38866586392692</v>
      </c>
      <c r="EH216" s="554">
        <v>-179.47453844523935</v>
      </c>
      <c r="EI216" s="554">
        <v>-166.73427632066</v>
      </c>
      <c r="EJ216" s="554">
        <v>-159.94100393210522</v>
      </c>
      <c r="EK216" s="554">
        <v>-170.48098229717931</v>
      </c>
      <c r="EL216" s="554">
        <v>-164.440268026974</v>
      </c>
      <c r="EM216" s="554">
        <v>-165.54599359868973</v>
      </c>
      <c r="EN216" s="554">
        <v>-164.6454905964784</v>
      </c>
      <c r="EO216" s="554">
        <v>-177.23893753793081</v>
      </c>
      <c r="EP216" s="389"/>
      <c r="EQ216" s="386"/>
    </row>
    <row r="217" spans="1:147" s="390" customFormat="1" ht="15" customHeight="1">
      <c r="A217" s="385"/>
      <c r="B217"/>
      <c r="C217"/>
      <c r="D217"/>
      <c r="E217"/>
      <c r="F217"/>
      <c r="G217"/>
      <c r="H217" s="386"/>
      <c r="I217" s="370"/>
      <c r="J217" s="386"/>
      <c r="K217" s="386"/>
      <c r="L217" s="386"/>
      <c r="M217" s="388"/>
      <c r="N217" s="386"/>
      <c r="O217" s="386"/>
      <c r="P217" s="386"/>
      <c r="Q217" s="388"/>
      <c r="R217" s="386"/>
      <c r="S217" s="386"/>
      <c r="T217" s="386"/>
      <c r="U217" s="388"/>
      <c r="V217" s="386"/>
      <c r="W217" s="386"/>
      <c r="X217" s="386"/>
      <c r="Y217" s="388"/>
      <c r="Z217" s="386"/>
      <c r="AA217" s="386"/>
      <c r="AB217" s="386"/>
      <c r="AC217" s="388"/>
      <c r="AD217" s="386"/>
      <c r="AE217" s="386"/>
      <c r="AF217" s="386"/>
      <c r="AG217" s="388"/>
      <c r="AH217" s="386"/>
      <c r="AI217" s="386"/>
      <c r="AJ217" s="386"/>
      <c r="AK217" s="388"/>
      <c r="AL217" s="386"/>
      <c r="AM217" s="386"/>
      <c r="AN217" s="386"/>
      <c r="AO217" s="388"/>
      <c r="AP217" s="386"/>
      <c r="AQ217" s="386"/>
      <c r="AR217" s="386"/>
      <c r="AS217" s="388"/>
      <c r="AT217" s="386"/>
      <c r="AU217" s="386"/>
      <c r="AV217" s="386"/>
      <c r="AW217" s="388"/>
      <c r="AX217" s="386"/>
      <c r="AY217" s="386"/>
      <c r="AZ217" s="386"/>
      <c r="BA217" s="388"/>
      <c r="BB217" s="325"/>
      <c r="BC217" s="325"/>
      <c r="BD217" s="325"/>
      <c r="BE217" s="372"/>
      <c r="BF217" s="325"/>
      <c r="BG217" s="325"/>
      <c r="BH217" s="325"/>
      <c r="BI217" s="372"/>
      <c r="BJ217" s="325"/>
      <c r="BK217" s="325"/>
      <c r="BL217" s="325"/>
      <c r="BM217" s="372"/>
      <c r="BN217" s="325"/>
      <c r="BO217" s="325"/>
      <c r="BP217" s="325"/>
      <c r="BQ217" s="372"/>
      <c r="BR217" s="325"/>
      <c r="BS217" s="325"/>
      <c r="BT217" s="325"/>
      <c r="BU217" s="372"/>
      <c r="BV217" s="325"/>
      <c r="BW217" s="325"/>
      <c r="BX217" s="325"/>
      <c r="BY217" s="372"/>
      <c r="BZ217" s="325"/>
      <c r="CA217" s="325"/>
      <c r="CB217" s="325"/>
      <c r="CC217" s="372"/>
      <c r="CD217" s="325"/>
      <c r="CE217" s="325"/>
      <c r="CF217" s="325"/>
      <c r="CG217" s="372"/>
      <c r="CH217" s="325"/>
      <c r="CI217" s="325"/>
      <c r="CJ217" s="325"/>
      <c r="CK217" s="372"/>
      <c r="CL217" s="325"/>
      <c r="CM217" s="325"/>
      <c r="CN217" s="325"/>
      <c r="CO217" s="372"/>
      <c r="CP217" s="373"/>
      <c r="CQ217" s="325"/>
      <c r="CR217" s="325"/>
      <c r="CS217" s="372"/>
      <c r="CT217" s="373"/>
      <c r="CU217" s="325"/>
      <c r="CV217" s="325"/>
      <c r="CW217" s="372"/>
      <c r="CX217" s="386"/>
      <c r="CY217" s="386"/>
      <c r="CZ217" s="386"/>
      <c r="DA217" s="388"/>
      <c r="DB217" s="386"/>
      <c r="DC217" s="386"/>
      <c r="DD217" s="386"/>
      <c r="DE217" s="388"/>
      <c r="DF217" s="386"/>
      <c r="DG217" s="386"/>
      <c r="DH217" s="386"/>
      <c r="DI217" s="388"/>
      <c r="DJ217" s="454"/>
      <c r="DK217" s="389"/>
      <c r="DL217" s="386"/>
      <c r="DM217" s="386"/>
      <c r="DN217" s="386"/>
      <c r="DO217" s="386"/>
      <c r="DP217" s="386"/>
      <c r="DQ217" s="386"/>
      <c r="DR217" s="386"/>
      <c r="DS217" s="401"/>
      <c r="DT217" s="401"/>
      <c r="DU217" s="401"/>
      <c r="DV217" s="325"/>
      <c r="DW217" s="325"/>
      <c r="DX217" s="325"/>
      <c r="DY217" s="325"/>
      <c r="DZ217" s="325"/>
      <c r="EA217" s="325"/>
      <c r="EB217" s="325"/>
      <c r="EC217" s="325"/>
      <c r="ED217" s="325"/>
      <c r="EE217" s="325"/>
      <c r="EF217" s="325"/>
      <c r="EG217" s="325"/>
      <c r="EH217" s="325"/>
      <c r="EI217" s="325"/>
      <c r="EJ217" s="325"/>
      <c r="EK217" s="325"/>
      <c r="EL217" s="325"/>
      <c r="EM217" s="325"/>
      <c r="EN217" s="325"/>
      <c r="EO217" s="325"/>
      <c r="EP217" s="389"/>
      <c r="EQ217" s="386"/>
    </row>
    <row r="218" spans="1:147" s="390" customFormat="1" ht="15" customHeight="1">
      <c r="A218" s="385"/>
      <c r="B218"/>
      <c r="C218"/>
      <c r="D218"/>
      <c r="E218"/>
      <c r="F218"/>
      <c r="G218"/>
      <c r="H218" s="386"/>
      <c r="I218" s="547" t="s">
        <v>1623</v>
      </c>
      <c r="J218" s="548"/>
      <c r="K218" s="548"/>
      <c r="L218" s="548"/>
      <c r="M218" s="549"/>
      <c r="N218" s="548"/>
      <c r="O218" s="548"/>
      <c r="P218" s="548"/>
      <c r="Q218" s="549"/>
      <c r="R218" s="548"/>
      <c r="S218" s="548"/>
      <c r="T218" s="548"/>
      <c r="U218" s="549"/>
      <c r="V218" s="548"/>
      <c r="W218" s="548"/>
      <c r="X218" s="548"/>
      <c r="Y218" s="549"/>
      <c r="Z218" s="548"/>
      <c r="AA218" s="548"/>
      <c r="AB218" s="548"/>
      <c r="AC218" s="549"/>
      <c r="AD218" s="548"/>
      <c r="AE218" s="548"/>
      <c r="AF218" s="548"/>
      <c r="AG218" s="549"/>
      <c r="AH218" s="548"/>
      <c r="AI218" s="548"/>
      <c r="AJ218" s="548"/>
      <c r="AK218" s="549"/>
      <c r="AL218" s="548"/>
      <c r="AM218" s="548"/>
      <c r="AN218" s="548"/>
      <c r="AO218" s="549"/>
      <c r="AP218" s="548"/>
      <c r="AQ218" s="548"/>
      <c r="AR218" s="548"/>
      <c r="AS218" s="549"/>
      <c r="AT218" s="548"/>
      <c r="AU218" s="548"/>
      <c r="AV218" s="548"/>
      <c r="AW218" s="549"/>
      <c r="AX218" s="548"/>
      <c r="AY218" s="548"/>
      <c r="AZ218" s="548"/>
      <c r="BA218" s="549"/>
      <c r="BB218" s="563"/>
      <c r="BC218" s="563"/>
      <c r="BD218" s="563"/>
      <c r="BE218" s="564"/>
      <c r="BF218" s="563"/>
      <c r="BG218" s="563"/>
      <c r="BH218" s="563"/>
      <c r="BI218" s="564"/>
      <c r="BJ218" s="563"/>
      <c r="BK218" s="563"/>
      <c r="BL218" s="563"/>
      <c r="BM218" s="564"/>
      <c r="BN218" s="563"/>
      <c r="BO218" s="563"/>
      <c r="BP218" s="563"/>
      <c r="BQ218" s="564"/>
      <c r="BR218" s="563"/>
      <c r="BS218" s="563"/>
      <c r="BT218" s="563"/>
      <c r="BU218" s="564"/>
      <c r="BV218" s="563"/>
      <c r="BW218" s="563"/>
      <c r="BX218" s="563"/>
      <c r="BY218" s="564"/>
      <c r="BZ218" s="563"/>
      <c r="CA218" s="563"/>
      <c r="CB218" s="563"/>
      <c r="CC218" s="564"/>
      <c r="CD218" s="563"/>
      <c r="CE218" s="728"/>
      <c r="CF218" s="563"/>
      <c r="CG218" s="564"/>
      <c r="CH218" s="563"/>
      <c r="CI218" s="728"/>
      <c r="CJ218" s="563"/>
      <c r="CK218" s="564"/>
      <c r="CL218" s="563"/>
      <c r="CM218" s="728"/>
      <c r="CN218" s="563"/>
      <c r="CO218" s="564"/>
      <c r="CP218" s="566"/>
      <c r="CQ218" s="563"/>
      <c r="CR218" s="563"/>
      <c r="CS218" s="564"/>
      <c r="CT218" s="566"/>
      <c r="CU218" s="563"/>
      <c r="CV218" s="563"/>
      <c r="CW218" s="564"/>
      <c r="CX218" s="548"/>
      <c r="CY218" s="548"/>
      <c r="CZ218" s="548"/>
      <c r="DA218" s="549"/>
      <c r="DB218" s="548"/>
      <c r="DC218" s="548"/>
      <c r="DD218" s="548"/>
      <c r="DE218" s="549"/>
      <c r="DF218" s="548"/>
      <c r="DG218" s="548"/>
      <c r="DH218" s="548"/>
      <c r="DI218" s="549"/>
      <c r="DJ218" s="454"/>
      <c r="DK218" s="550"/>
      <c r="DL218" s="548"/>
      <c r="DM218" s="548"/>
      <c r="DN218" s="548"/>
      <c r="DO218" s="548"/>
      <c r="DP218" s="548"/>
      <c r="DQ218" s="548"/>
      <c r="DR218" s="548"/>
      <c r="DS218" s="565"/>
      <c r="DT218" s="565"/>
      <c r="DU218" s="565"/>
      <c r="DV218" s="563"/>
      <c r="DW218" s="563"/>
      <c r="DX218" s="563"/>
      <c r="DY218" s="563"/>
      <c r="DZ218" s="563"/>
      <c r="EA218" s="563"/>
      <c r="EB218" s="563"/>
      <c r="EC218" s="563"/>
      <c r="ED218" s="563"/>
      <c r="EE218" s="563"/>
      <c r="EF218" s="563"/>
      <c r="EG218" s="563"/>
      <c r="EH218" s="563"/>
      <c r="EI218" s="563"/>
      <c r="EJ218" s="563"/>
      <c r="EK218" s="563"/>
      <c r="EL218" s="563"/>
      <c r="EM218" s="563"/>
      <c r="EN218" s="563"/>
      <c r="EO218" s="563"/>
      <c r="EP218" s="389"/>
      <c r="EQ218" s="386"/>
    </row>
    <row r="219" spans="1:147" s="390" customFormat="1" ht="15" customHeight="1">
      <c r="A219" s="385"/>
      <c r="B219"/>
      <c r="C219"/>
      <c r="D219"/>
      <c r="E219"/>
      <c r="F219"/>
      <c r="G219"/>
      <c r="H219" s="386"/>
      <c r="I219" s="370" t="s">
        <v>1624</v>
      </c>
      <c r="J219" s="548"/>
      <c r="K219" s="548"/>
      <c r="L219" s="548"/>
      <c r="M219" s="549"/>
      <c r="N219" s="548"/>
      <c r="O219" s="548"/>
      <c r="P219" s="548"/>
      <c r="Q219" s="549"/>
      <c r="R219" s="548"/>
      <c r="S219" s="548"/>
      <c r="T219" s="548"/>
      <c r="U219" s="549"/>
      <c r="V219" s="548"/>
      <c r="W219" s="548"/>
      <c r="X219" s="548"/>
      <c r="Y219" s="549"/>
      <c r="Z219" s="548"/>
      <c r="AA219" s="548"/>
      <c r="AB219" s="548"/>
      <c r="AC219" s="549"/>
      <c r="AD219" s="548"/>
      <c r="AE219" s="548"/>
      <c r="AF219" s="548"/>
      <c r="AG219" s="549"/>
      <c r="AH219" s="548"/>
      <c r="AI219" s="548"/>
      <c r="AJ219" s="548"/>
      <c r="AK219" s="549"/>
      <c r="AL219" s="548"/>
      <c r="AM219" s="548"/>
      <c r="AN219" s="548"/>
      <c r="AO219" s="549"/>
      <c r="AP219" s="548"/>
      <c r="AQ219" s="548"/>
      <c r="AR219" s="548"/>
      <c r="AS219" s="549"/>
      <c r="AT219" s="548"/>
      <c r="AU219" s="548"/>
      <c r="AV219" s="548"/>
      <c r="AW219" s="549"/>
      <c r="AX219" s="548"/>
      <c r="AY219" s="548"/>
      <c r="AZ219" s="548"/>
      <c r="BA219" s="549"/>
      <c r="BB219" s="325">
        <v>5</v>
      </c>
      <c r="BC219" s="401">
        <v>21</v>
      </c>
      <c r="BD219" s="401">
        <v>13</v>
      </c>
      <c r="BE219" s="402">
        <v>30</v>
      </c>
      <c r="BF219" s="401">
        <v>13</v>
      </c>
      <c r="BG219" s="401">
        <v>7</v>
      </c>
      <c r="BH219" s="401">
        <v>5</v>
      </c>
      <c r="BI219" s="402">
        <v>8</v>
      </c>
      <c r="BJ219" s="325">
        <v>33</v>
      </c>
      <c r="BK219" s="401">
        <v>18</v>
      </c>
      <c r="BL219" s="401">
        <v>41</v>
      </c>
      <c r="BM219" s="402">
        <v>66</v>
      </c>
      <c r="BN219" s="401">
        <v>119</v>
      </c>
      <c r="BO219" s="401">
        <v>18</v>
      </c>
      <c r="BP219" s="401">
        <v>23</v>
      </c>
      <c r="BQ219" s="402">
        <v>15</v>
      </c>
      <c r="BR219" s="401">
        <v>27</v>
      </c>
      <c r="BS219" s="401">
        <v>34</v>
      </c>
      <c r="BT219" s="401">
        <v>21</v>
      </c>
      <c r="BU219" s="402">
        <v>24</v>
      </c>
      <c r="BV219" s="401">
        <v>24</v>
      </c>
      <c r="BW219" s="401">
        <v>36</v>
      </c>
      <c r="BX219" s="401">
        <v>26</v>
      </c>
      <c r="BY219" s="402">
        <v>20</v>
      </c>
      <c r="BZ219" s="401">
        <v>109</v>
      </c>
      <c r="CA219" s="401">
        <v>21</v>
      </c>
      <c r="CB219" s="401">
        <v>20</v>
      </c>
      <c r="CC219" s="402">
        <v>28</v>
      </c>
      <c r="CD219" s="401">
        <v>47</v>
      </c>
      <c r="CE219" s="401">
        <v>30</v>
      </c>
      <c r="CF219" s="401">
        <v>14</v>
      </c>
      <c r="CG219" s="402">
        <v>8</v>
      </c>
      <c r="CH219" s="401">
        <v>30</v>
      </c>
      <c r="CI219" s="401">
        <v>27</v>
      </c>
      <c r="CJ219" s="401">
        <v>30</v>
      </c>
      <c r="CK219" s="402">
        <v>18</v>
      </c>
      <c r="CL219" s="401">
        <v>26</v>
      </c>
      <c r="CM219" s="401">
        <v>43</v>
      </c>
      <c r="CN219" s="401">
        <v>45</v>
      </c>
      <c r="CO219" s="402">
        <v>56</v>
      </c>
      <c r="CP219" s="438">
        <v>29</v>
      </c>
      <c r="CQ219" s="401">
        <v>38</v>
      </c>
      <c r="CR219" s="401">
        <v>11</v>
      </c>
      <c r="CS219" s="726">
        <v>0</v>
      </c>
      <c r="CT219" s="373">
        <v>0</v>
      </c>
      <c r="CU219" s="325">
        <v>0</v>
      </c>
      <c r="CV219" s="325">
        <v>0</v>
      </c>
      <c r="CW219" s="726">
        <v>0</v>
      </c>
      <c r="CX219" s="548"/>
      <c r="CY219" s="548"/>
      <c r="CZ219" s="548"/>
      <c r="DA219" s="549"/>
      <c r="DB219" s="548"/>
      <c r="DC219" s="548"/>
      <c r="DD219" s="548"/>
      <c r="DE219" s="549"/>
      <c r="DF219" s="548"/>
      <c r="DG219" s="548"/>
      <c r="DH219" s="548"/>
      <c r="DI219" s="549"/>
      <c r="DJ219" s="454"/>
      <c r="DK219" s="550"/>
      <c r="DL219" s="548"/>
      <c r="DM219" s="548"/>
      <c r="DN219" s="548"/>
      <c r="DO219" s="548"/>
      <c r="DP219" s="548"/>
      <c r="DQ219" s="548"/>
      <c r="DR219" s="548"/>
      <c r="DS219" s="507">
        <v>22</v>
      </c>
      <c r="DT219" s="401">
        <v>81</v>
      </c>
      <c r="DU219" s="401">
        <v>73</v>
      </c>
      <c r="DV219" s="325">
        <v>69</v>
      </c>
      <c r="DW219" s="325">
        <v>33</v>
      </c>
      <c r="DX219" s="325">
        <v>158</v>
      </c>
      <c r="DY219" s="325">
        <v>175</v>
      </c>
      <c r="DZ219" s="325">
        <v>106</v>
      </c>
      <c r="EA219" s="325">
        <v>106</v>
      </c>
      <c r="EB219" s="325">
        <v>178</v>
      </c>
      <c r="EC219" s="325">
        <v>99</v>
      </c>
      <c r="ED219" s="725">
        <v>105</v>
      </c>
      <c r="EE219" s="725">
        <v>170</v>
      </c>
      <c r="EF219" s="725">
        <v>78</v>
      </c>
      <c r="EG219" s="725">
        <v>0</v>
      </c>
      <c r="EH219" s="725">
        <v>0</v>
      </c>
      <c r="EI219" s="725">
        <v>0</v>
      </c>
      <c r="EJ219" s="725">
        <v>0</v>
      </c>
      <c r="EK219" s="725">
        <v>0</v>
      </c>
      <c r="EL219" s="725">
        <v>0</v>
      </c>
      <c r="EM219" s="725">
        <v>0</v>
      </c>
      <c r="EN219" s="725">
        <v>0</v>
      </c>
      <c r="EO219" s="725">
        <v>0</v>
      </c>
      <c r="EP219" s="389"/>
      <c r="EQ219" s="386"/>
    </row>
    <row r="220" spans="1:147" s="390" customFormat="1" ht="15" customHeight="1">
      <c r="A220" s="385"/>
      <c r="B220"/>
      <c r="C220"/>
      <c r="D220"/>
      <c r="E220"/>
      <c r="F220"/>
      <c r="G220"/>
      <c r="H220" s="386"/>
      <c r="I220" s="370" t="s">
        <v>1625</v>
      </c>
      <c r="J220" s="548"/>
      <c r="K220" s="548"/>
      <c r="L220" s="548"/>
      <c r="M220" s="549"/>
      <c r="N220" s="548"/>
      <c r="O220" s="548"/>
      <c r="P220" s="548"/>
      <c r="Q220" s="549"/>
      <c r="R220" s="548"/>
      <c r="S220" s="548"/>
      <c r="T220" s="548"/>
      <c r="U220" s="549"/>
      <c r="V220" s="548"/>
      <c r="W220" s="548"/>
      <c r="X220" s="548"/>
      <c r="Y220" s="549"/>
      <c r="Z220" s="548"/>
      <c r="AA220" s="548"/>
      <c r="AB220" s="548"/>
      <c r="AC220" s="549"/>
      <c r="AD220" s="548"/>
      <c r="AE220" s="548"/>
      <c r="AF220" s="548"/>
      <c r="AG220" s="549"/>
      <c r="AH220" s="548"/>
      <c r="AI220" s="548"/>
      <c r="AJ220" s="548"/>
      <c r="AK220" s="549"/>
      <c r="AL220" s="548"/>
      <c r="AM220" s="548"/>
      <c r="AN220" s="548"/>
      <c r="AO220" s="549"/>
      <c r="AP220" s="548"/>
      <c r="AQ220" s="548"/>
      <c r="AR220" s="548"/>
      <c r="AS220" s="549"/>
      <c r="AT220" s="548"/>
      <c r="AU220" s="548"/>
      <c r="AV220" s="548"/>
      <c r="AW220" s="549"/>
      <c r="AX220" s="548"/>
      <c r="AY220" s="548"/>
      <c r="AZ220" s="548"/>
      <c r="BA220" s="549"/>
      <c r="BB220" s="325">
        <v>0</v>
      </c>
      <c r="BC220" s="401">
        <v>0</v>
      </c>
      <c r="BD220" s="401">
        <v>0</v>
      </c>
      <c r="BE220" s="402">
        <v>-15</v>
      </c>
      <c r="BF220" s="325">
        <v>0</v>
      </c>
      <c r="BG220" s="401">
        <v>0</v>
      </c>
      <c r="BH220" s="401">
        <v>0</v>
      </c>
      <c r="BI220" s="402">
        <v>-16</v>
      </c>
      <c r="BJ220" s="325">
        <v>-14</v>
      </c>
      <c r="BK220" s="401">
        <v>-2</v>
      </c>
      <c r="BL220" s="401">
        <v>-3</v>
      </c>
      <c r="BM220" s="402">
        <v>-30</v>
      </c>
      <c r="BN220" s="401">
        <v>-13</v>
      </c>
      <c r="BO220" s="401">
        <v>-21</v>
      </c>
      <c r="BP220" s="401">
        <v>-7</v>
      </c>
      <c r="BQ220" s="402">
        <v>-25</v>
      </c>
      <c r="BR220" s="401">
        <v>-3</v>
      </c>
      <c r="BS220" s="401">
        <v>-21</v>
      </c>
      <c r="BT220" s="401">
        <v>-12</v>
      </c>
      <c r="BU220" s="402">
        <v>-47</v>
      </c>
      <c r="BV220" s="401">
        <v>-11</v>
      </c>
      <c r="BW220" s="401">
        <v>-58</v>
      </c>
      <c r="BX220" s="401">
        <v>-7</v>
      </c>
      <c r="BY220" s="402">
        <v>-39</v>
      </c>
      <c r="BZ220" s="401">
        <v>-13</v>
      </c>
      <c r="CA220" s="401">
        <v>-23</v>
      </c>
      <c r="CB220" s="401">
        <v>-8</v>
      </c>
      <c r="CC220" s="402">
        <v>-12</v>
      </c>
      <c r="CD220" s="401">
        <v>-39</v>
      </c>
      <c r="CE220" s="401">
        <v>-29</v>
      </c>
      <c r="CF220" s="401">
        <v>-17</v>
      </c>
      <c r="CG220" s="402">
        <v>-9</v>
      </c>
      <c r="CH220" s="401">
        <v>-6</v>
      </c>
      <c r="CI220" s="401">
        <v>-42</v>
      </c>
      <c r="CJ220" s="401">
        <v>-7</v>
      </c>
      <c r="CK220" s="402">
        <v>-4</v>
      </c>
      <c r="CL220" s="401">
        <v>-19</v>
      </c>
      <c r="CM220" s="401">
        <v>-15</v>
      </c>
      <c r="CN220" s="401">
        <v>-7</v>
      </c>
      <c r="CO220" s="402">
        <v>2</v>
      </c>
      <c r="CP220" s="438">
        <v>-124</v>
      </c>
      <c r="CQ220" s="401">
        <v>-49</v>
      </c>
      <c r="CR220" s="401">
        <v>-73</v>
      </c>
      <c r="CS220" s="726">
        <v>0</v>
      </c>
      <c r="CT220" s="373">
        <v>0</v>
      </c>
      <c r="CU220" s="325">
        <v>0</v>
      </c>
      <c r="CV220" s="325">
        <v>0</v>
      </c>
      <c r="CW220" s="726">
        <v>0</v>
      </c>
      <c r="CX220" s="548"/>
      <c r="CY220" s="548"/>
      <c r="CZ220" s="548"/>
      <c r="DA220" s="549"/>
      <c r="DB220" s="548"/>
      <c r="DC220" s="548"/>
      <c r="DD220" s="548"/>
      <c r="DE220" s="549"/>
      <c r="DF220" s="548"/>
      <c r="DG220" s="548"/>
      <c r="DH220" s="548"/>
      <c r="DI220" s="549"/>
      <c r="DJ220" s="454"/>
      <c r="DK220" s="550"/>
      <c r="DL220" s="548"/>
      <c r="DM220" s="548"/>
      <c r="DN220" s="548"/>
      <c r="DO220" s="548"/>
      <c r="DP220" s="548"/>
      <c r="DQ220" s="548"/>
      <c r="DR220" s="548"/>
      <c r="DS220" s="565">
        <v>0</v>
      </c>
      <c r="DT220" s="401">
        <v>0</v>
      </c>
      <c r="DU220" s="507">
        <v>0</v>
      </c>
      <c r="DV220" s="325">
        <v>-15</v>
      </c>
      <c r="DW220" s="325">
        <v>-16</v>
      </c>
      <c r="DX220" s="325">
        <v>-49</v>
      </c>
      <c r="DY220" s="325">
        <v>-66</v>
      </c>
      <c r="DZ220" s="325">
        <v>-83</v>
      </c>
      <c r="EA220" s="325">
        <v>-115</v>
      </c>
      <c r="EB220" s="325">
        <v>-56</v>
      </c>
      <c r="EC220" s="325">
        <v>-94</v>
      </c>
      <c r="ED220" s="725">
        <v>-59</v>
      </c>
      <c r="EE220" s="725">
        <v>-39</v>
      </c>
      <c r="EF220" s="725">
        <v>-246</v>
      </c>
      <c r="EG220" s="725">
        <v>0</v>
      </c>
      <c r="EH220" s="725">
        <v>0</v>
      </c>
      <c r="EI220" s="725">
        <v>0</v>
      </c>
      <c r="EJ220" s="725">
        <v>0</v>
      </c>
      <c r="EK220" s="725">
        <v>0</v>
      </c>
      <c r="EL220" s="725">
        <v>0</v>
      </c>
      <c r="EM220" s="725">
        <v>0</v>
      </c>
      <c r="EN220" s="725">
        <v>0</v>
      </c>
      <c r="EO220" s="725">
        <v>0</v>
      </c>
      <c r="EP220" s="389"/>
      <c r="EQ220" s="386"/>
    </row>
    <row r="221" spans="1:147" s="390" customFormat="1" ht="15" customHeight="1">
      <c r="A221" s="385"/>
      <c r="B221"/>
      <c r="C221"/>
      <c r="D221"/>
      <c r="E221"/>
      <c r="F221"/>
      <c r="G221"/>
      <c r="H221" s="386"/>
      <c r="I221" s="370" t="s">
        <v>1609</v>
      </c>
      <c r="J221" s="399"/>
      <c r="K221" s="399"/>
      <c r="L221" s="399"/>
      <c r="M221" s="400"/>
      <c r="N221" s="399"/>
      <c r="O221" s="399"/>
      <c r="P221" s="399"/>
      <c r="Q221" s="400"/>
      <c r="R221" s="399"/>
      <c r="S221" s="399"/>
      <c r="T221" s="399"/>
      <c r="U221" s="400"/>
      <c r="V221" s="399"/>
      <c r="W221" s="399"/>
      <c r="X221" s="399"/>
      <c r="Y221" s="400"/>
      <c r="Z221" s="399"/>
      <c r="AA221" s="399"/>
      <c r="AB221" s="399"/>
      <c r="AC221" s="400"/>
      <c r="AD221" s="399"/>
      <c r="AE221" s="399"/>
      <c r="AF221" s="399"/>
      <c r="AG221" s="400"/>
      <c r="AH221" s="399"/>
      <c r="AI221" s="399"/>
      <c r="AJ221" s="399"/>
      <c r="AK221" s="400"/>
      <c r="AL221" s="399"/>
      <c r="AM221" s="399"/>
      <c r="AN221" s="399"/>
      <c r="AO221" s="400"/>
      <c r="AP221" s="399"/>
      <c r="AQ221" s="399"/>
      <c r="AR221" s="399"/>
      <c r="AS221" s="400"/>
      <c r="AT221" s="399"/>
      <c r="AU221" s="399"/>
      <c r="AV221" s="399"/>
      <c r="AW221" s="400"/>
      <c r="AX221" s="399"/>
      <c r="AY221" s="399"/>
      <c r="AZ221" s="399"/>
      <c r="BA221" s="400"/>
      <c r="BB221" s="401">
        <v>1</v>
      </c>
      <c r="BC221" s="401">
        <v>3</v>
      </c>
      <c r="BD221" s="401">
        <v>17</v>
      </c>
      <c r="BE221" s="402">
        <v>3</v>
      </c>
      <c r="BF221" s="401">
        <v>2</v>
      </c>
      <c r="BG221" s="401">
        <v>1</v>
      </c>
      <c r="BH221" s="401">
        <v>1</v>
      </c>
      <c r="BI221" s="402">
        <v>1</v>
      </c>
      <c r="BJ221" s="401">
        <v>4</v>
      </c>
      <c r="BK221" s="401">
        <v>1</v>
      </c>
      <c r="BL221" s="401">
        <v>9</v>
      </c>
      <c r="BM221" s="402">
        <v>15</v>
      </c>
      <c r="BN221" s="401">
        <v>17</v>
      </c>
      <c r="BO221" s="401">
        <v>6</v>
      </c>
      <c r="BP221" s="401">
        <v>6</v>
      </c>
      <c r="BQ221" s="402">
        <v>10</v>
      </c>
      <c r="BR221" s="401">
        <v>14</v>
      </c>
      <c r="BS221" s="401">
        <v>9</v>
      </c>
      <c r="BT221" s="401">
        <v>10</v>
      </c>
      <c r="BU221" s="402">
        <v>34</v>
      </c>
      <c r="BV221" s="401">
        <v>28</v>
      </c>
      <c r="BW221" s="401">
        <v>24</v>
      </c>
      <c r="BX221" s="401">
        <v>-52</v>
      </c>
      <c r="BY221" s="402">
        <v>0</v>
      </c>
      <c r="BZ221" s="401">
        <v>0</v>
      </c>
      <c r="CA221" s="401">
        <v>0</v>
      </c>
      <c r="CB221" s="401">
        <v>0</v>
      </c>
      <c r="CC221" s="402">
        <v>0</v>
      </c>
      <c r="CD221" s="401">
        <v>0</v>
      </c>
      <c r="CE221" s="401">
        <v>0</v>
      </c>
      <c r="CF221" s="401">
        <v>0</v>
      </c>
      <c r="CG221" s="402">
        <v>0</v>
      </c>
      <c r="CH221" s="401">
        <v>0</v>
      </c>
      <c r="CI221" s="401">
        <v>0</v>
      </c>
      <c r="CJ221" s="401">
        <v>0</v>
      </c>
      <c r="CK221" s="402">
        <v>0</v>
      </c>
      <c r="CL221" s="401">
        <v>0</v>
      </c>
      <c r="CM221" s="401">
        <v>0</v>
      </c>
      <c r="CN221" s="401">
        <v>0</v>
      </c>
      <c r="CO221" s="402">
        <v>0</v>
      </c>
      <c r="CP221" s="438">
        <v>0</v>
      </c>
      <c r="CQ221" s="401">
        <v>0</v>
      </c>
      <c r="CR221" s="401">
        <v>0</v>
      </c>
      <c r="CS221" s="402">
        <v>0</v>
      </c>
      <c r="CT221" s="373">
        <v>0</v>
      </c>
      <c r="CU221" s="325">
        <v>0</v>
      </c>
      <c r="CV221" s="325">
        <v>0</v>
      </c>
      <c r="CW221" s="402">
        <v>0</v>
      </c>
      <c r="CX221" s="399"/>
      <c r="CY221" s="399"/>
      <c r="CZ221" s="399"/>
      <c r="DA221" s="400"/>
      <c r="DB221" s="399"/>
      <c r="DC221" s="399"/>
      <c r="DD221" s="399"/>
      <c r="DE221" s="400"/>
      <c r="DF221" s="399"/>
      <c r="DG221" s="399"/>
      <c r="DH221" s="399"/>
      <c r="DI221" s="400"/>
      <c r="DJ221" s="454"/>
      <c r="DK221" s="411"/>
      <c r="DL221" s="399"/>
      <c r="DM221" s="399"/>
      <c r="DN221" s="399"/>
      <c r="DO221" s="399"/>
      <c r="DP221" s="399"/>
      <c r="DQ221" s="399"/>
      <c r="DR221" s="399"/>
      <c r="DS221" s="401">
        <v>21</v>
      </c>
      <c r="DT221" s="401">
        <v>79</v>
      </c>
      <c r="DU221" s="401">
        <v>22</v>
      </c>
      <c r="DV221" s="325">
        <v>24</v>
      </c>
      <c r="DW221" s="325">
        <v>5</v>
      </c>
      <c r="DX221" s="325">
        <v>29</v>
      </c>
      <c r="DY221" s="325">
        <v>39</v>
      </c>
      <c r="DZ221" s="325">
        <v>67</v>
      </c>
      <c r="EA221" s="325">
        <v>0</v>
      </c>
      <c r="EB221" s="325">
        <v>0</v>
      </c>
      <c r="EC221" s="325">
        <v>0</v>
      </c>
      <c r="ED221" s="401">
        <v>0</v>
      </c>
      <c r="EE221" s="401">
        <v>0</v>
      </c>
      <c r="EF221" s="401">
        <v>0</v>
      </c>
      <c r="EG221" s="401">
        <v>0</v>
      </c>
      <c r="EH221" s="401">
        <v>0</v>
      </c>
      <c r="EI221" s="401">
        <v>0</v>
      </c>
      <c r="EJ221" s="401">
        <v>0</v>
      </c>
      <c r="EK221" s="401">
        <v>0</v>
      </c>
      <c r="EL221" s="401">
        <v>0</v>
      </c>
      <c r="EM221" s="401">
        <v>0</v>
      </c>
      <c r="EN221" s="401">
        <v>0</v>
      </c>
      <c r="EO221" s="401">
        <v>0</v>
      </c>
      <c r="EP221" s="389"/>
      <c r="EQ221" s="386"/>
    </row>
    <row r="222" spans="1:147" s="390" customFormat="1" ht="15" customHeight="1">
      <c r="A222" s="385"/>
      <c r="B222"/>
      <c r="C222"/>
      <c r="D222"/>
      <c r="E222"/>
      <c r="F222"/>
      <c r="G222"/>
      <c r="H222" s="386"/>
      <c r="I222" s="370" t="s">
        <v>1626</v>
      </c>
      <c r="J222" s="399"/>
      <c r="K222" s="399"/>
      <c r="L222" s="399"/>
      <c r="M222" s="400"/>
      <c r="N222" s="399"/>
      <c r="O222" s="399"/>
      <c r="P222" s="399"/>
      <c r="Q222" s="400"/>
      <c r="R222" s="399"/>
      <c r="S222" s="399"/>
      <c r="T222" s="399"/>
      <c r="U222" s="400"/>
      <c r="V222" s="399"/>
      <c r="W222" s="399"/>
      <c r="X222" s="399"/>
      <c r="Y222" s="400"/>
      <c r="Z222" s="399"/>
      <c r="AA222" s="399"/>
      <c r="AB222" s="399"/>
      <c r="AC222" s="400"/>
      <c r="AD222" s="399"/>
      <c r="AE222" s="399"/>
      <c r="AF222" s="399"/>
      <c r="AG222" s="400"/>
      <c r="AH222" s="399"/>
      <c r="AI222" s="399"/>
      <c r="AJ222" s="399"/>
      <c r="AK222" s="400"/>
      <c r="AL222" s="399"/>
      <c r="AM222" s="399"/>
      <c r="AN222" s="399"/>
      <c r="AO222" s="400"/>
      <c r="AP222" s="399"/>
      <c r="AQ222" s="399"/>
      <c r="AR222" s="399"/>
      <c r="AS222" s="400"/>
      <c r="AT222" s="399"/>
      <c r="AU222" s="399"/>
      <c r="AV222" s="399"/>
      <c r="AW222" s="400"/>
      <c r="AX222" s="399"/>
      <c r="AY222" s="399"/>
      <c r="AZ222" s="399"/>
      <c r="BA222" s="400"/>
      <c r="BB222" s="401">
        <v>0</v>
      </c>
      <c r="BC222" s="401">
        <v>-192</v>
      </c>
      <c r="BD222" s="401">
        <v>-2</v>
      </c>
      <c r="BE222" s="402">
        <v>0</v>
      </c>
      <c r="BF222" s="401">
        <v>0</v>
      </c>
      <c r="BG222" s="401">
        <v>-204</v>
      </c>
      <c r="BH222" s="401">
        <v>0</v>
      </c>
      <c r="BI222" s="402">
        <v>0</v>
      </c>
      <c r="BJ222" s="401">
        <v>0</v>
      </c>
      <c r="BK222" s="401">
        <v>-216</v>
      </c>
      <c r="BL222" s="401">
        <v>0</v>
      </c>
      <c r="BM222" s="402">
        <v>0</v>
      </c>
      <c r="BN222" s="401">
        <v>0</v>
      </c>
      <c r="BO222" s="401">
        <v>-147</v>
      </c>
      <c r="BP222" s="401">
        <v>0</v>
      </c>
      <c r="BQ222" s="402">
        <v>0</v>
      </c>
      <c r="BR222" s="401">
        <v>0</v>
      </c>
      <c r="BS222" s="401">
        <v>-170</v>
      </c>
      <c r="BT222" s="401">
        <v>0</v>
      </c>
      <c r="BU222" s="402">
        <v>0</v>
      </c>
      <c r="BV222" s="725">
        <v>0</v>
      </c>
      <c r="BW222" s="401">
        <v>-195</v>
      </c>
      <c r="BX222" s="725">
        <v>0</v>
      </c>
      <c r="BY222" s="726">
        <v>0</v>
      </c>
      <c r="BZ222" s="401">
        <v>0</v>
      </c>
      <c r="CA222" s="401">
        <v>-226</v>
      </c>
      <c r="CB222" s="401">
        <v>0</v>
      </c>
      <c r="CC222" s="726">
        <v>0</v>
      </c>
      <c r="CD222" s="725">
        <v>0</v>
      </c>
      <c r="CE222" s="401">
        <v>-259</v>
      </c>
      <c r="CF222" s="401">
        <v>0</v>
      </c>
      <c r="CG222" s="402">
        <v>0</v>
      </c>
      <c r="CH222" s="725">
        <v>0</v>
      </c>
      <c r="CI222" s="401">
        <v>-283</v>
      </c>
      <c r="CJ222" s="401">
        <v>0</v>
      </c>
      <c r="CK222" s="402">
        <v>0</v>
      </c>
      <c r="CL222" s="725">
        <v>0</v>
      </c>
      <c r="CM222" s="401">
        <v>-316</v>
      </c>
      <c r="CN222" s="401">
        <v>0</v>
      </c>
      <c r="CO222" s="402">
        <v>0</v>
      </c>
      <c r="CP222" s="729">
        <v>0</v>
      </c>
      <c r="CQ222" s="401">
        <v>-365</v>
      </c>
      <c r="CR222" s="401">
        <v>0</v>
      </c>
      <c r="CS222" s="726">
        <v>0</v>
      </c>
      <c r="CT222" s="373">
        <v>0</v>
      </c>
      <c r="CU222" s="325">
        <v>0</v>
      </c>
      <c r="CV222" s="325">
        <v>0</v>
      </c>
      <c r="CW222" s="726">
        <v>0</v>
      </c>
      <c r="CX222" s="399"/>
      <c r="CY222" s="399"/>
      <c r="CZ222" s="399"/>
      <c r="DA222" s="400"/>
      <c r="DB222" s="399"/>
      <c r="DC222" s="399"/>
      <c r="DD222" s="399"/>
      <c r="DE222" s="400"/>
      <c r="DF222" s="399"/>
      <c r="DG222" s="399"/>
      <c r="DH222" s="399"/>
      <c r="DI222" s="400"/>
      <c r="DJ222" s="454"/>
      <c r="DK222" s="411"/>
      <c r="DL222" s="399"/>
      <c r="DM222" s="399"/>
      <c r="DN222" s="399"/>
      <c r="DO222" s="399"/>
      <c r="DP222" s="399"/>
      <c r="DQ222" s="399"/>
      <c r="DR222" s="399"/>
      <c r="DS222" s="401">
        <v>0</v>
      </c>
      <c r="DT222" s="401">
        <v>0</v>
      </c>
      <c r="DU222" s="401">
        <v>-189</v>
      </c>
      <c r="DV222" s="325">
        <v>-194</v>
      </c>
      <c r="DW222" s="325">
        <v>-204</v>
      </c>
      <c r="DX222" s="325">
        <v>-216</v>
      </c>
      <c r="DY222" s="325">
        <v>-147</v>
      </c>
      <c r="DZ222" s="325">
        <v>-170</v>
      </c>
      <c r="EA222" s="325">
        <v>-195</v>
      </c>
      <c r="EB222" s="325">
        <v>-226</v>
      </c>
      <c r="EC222" s="325">
        <v>-259</v>
      </c>
      <c r="ED222" s="725">
        <v>-283</v>
      </c>
      <c r="EE222" s="725">
        <v>-316</v>
      </c>
      <c r="EF222" s="725">
        <v>-365</v>
      </c>
      <c r="EG222" s="725">
        <v>0</v>
      </c>
      <c r="EH222" s="725">
        <v>0</v>
      </c>
      <c r="EI222" s="725">
        <v>0</v>
      </c>
      <c r="EJ222" s="725">
        <v>0</v>
      </c>
      <c r="EK222" s="725">
        <v>0</v>
      </c>
      <c r="EL222" s="725">
        <v>0</v>
      </c>
      <c r="EM222" s="725">
        <v>0</v>
      </c>
      <c r="EN222" s="725">
        <v>0</v>
      </c>
      <c r="EO222" s="725">
        <v>0</v>
      </c>
      <c r="EP222" s="389"/>
      <c r="EQ222" s="386"/>
    </row>
    <row r="223" spans="1:147" s="390" customFormat="1" ht="15" customHeight="1">
      <c r="A223" s="385"/>
      <c r="B223"/>
      <c r="C223"/>
      <c r="D223"/>
      <c r="E223"/>
      <c r="F223"/>
      <c r="G223"/>
      <c r="I223" s="370" t="s">
        <v>1627</v>
      </c>
      <c r="J223" s="399"/>
      <c r="K223" s="399"/>
      <c r="L223" s="399"/>
      <c r="M223" s="400"/>
      <c r="N223" s="399"/>
      <c r="O223" s="399"/>
      <c r="P223" s="399"/>
      <c r="Q223" s="400"/>
      <c r="R223" s="399"/>
      <c r="S223" s="399"/>
      <c r="T223" s="399"/>
      <c r="U223" s="400"/>
      <c r="V223" s="399"/>
      <c r="W223" s="399"/>
      <c r="X223" s="399"/>
      <c r="Y223" s="400"/>
      <c r="Z223" s="399"/>
      <c r="AA223" s="399"/>
      <c r="AB223" s="399"/>
      <c r="AC223" s="400"/>
      <c r="AD223" s="399"/>
      <c r="AE223" s="399"/>
      <c r="AF223" s="399"/>
      <c r="AG223" s="400"/>
      <c r="AH223" s="399"/>
      <c r="AI223" s="399"/>
      <c r="AJ223" s="399"/>
      <c r="AK223" s="400"/>
      <c r="AL223" s="399"/>
      <c r="AM223" s="399"/>
      <c r="AN223" s="399"/>
      <c r="AO223" s="400"/>
      <c r="AP223" s="399"/>
      <c r="AQ223" s="399"/>
      <c r="AR223" s="399"/>
      <c r="AS223" s="400"/>
      <c r="AT223" s="399"/>
      <c r="AU223" s="399"/>
      <c r="AV223" s="399"/>
      <c r="AW223" s="400"/>
      <c r="AX223" s="399"/>
      <c r="AY223" s="399"/>
      <c r="AZ223" s="399"/>
      <c r="BA223" s="400"/>
      <c r="BB223" s="401">
        <v>0</v>
      </c>
      <c r="BC223" s="401">
        <v>0</v>
      </c>
      <c r="BD223" s="401">
        <v>0</v>
      </c>
      <c r="BE223" s="402">
        <v>0</v>
      </c>
      <c r="BF223" s="401">
        <v>0</v>
      </c>
      <c r="BG223" s="401">
        <v>0</v>
      </c>
      <c r="BH223" s="401">
        <v>0</v>
      </c>
      <c r="BI223" s="402">
        <v>0</v>
      </c>
      <c r="BJ223" s="401">
        <v>0</v>
      </c>
      <c r="BK223" s="401">
        <v>0</v>
      </c>
      <c r="BL223" s="401">
        <v>0</v>
      </c>
      <c r="BM223" s="402">
        <v>4744</v>
      </c>
      <c r="BN223" s="401">
        <v>-375</v>
      </c>
      <c r="BO223" s="401">
        <v>0</v>
      </c>
      <c r="BP223" s="401">
        <v>0</v>
      </c>
      <c r="BQ223" s="402">
        <v>0</v>
      </c>
      <c r="BR223" s="401">
        <v>-250</v>
      </c>
      <c r="BS223" s="401">
        <v>0</v>
      </c>
      <c r="BT223" s="401">
        <v>0</v>
      </c>
      <c r="BU223" s="402">
        <v>0</v>
      </c>
      <c r="BV223" s="401">
        <v>1766</v>
      </c>
      <c r="BW223" s="401">
        <v>-782</v>
      </c>
      <c r="BX223" s="401">
        <v>1337</v>
      </c>
      <c r="BY223" s="402">
        <v>-1617</v>
      </c>
      <c r="BZ223" s="401">
        <v>2551</v>
      </c>
      <c r="CA223" s="401">
        <v>1190</v>
      </c>
      <c r="CB223" s="401">
        <v>0</v>
      </c>
      <c r="CC223" s="402">
        <v>0</v>
      </c>
      <c r="CD223" s="401">
        <v>0</v>
      </c>
      <c r="CE223" s="401">
        <v>0</v>
      </c>
      <c r="CF223" s="401">
        <v>-1740</v>
      </c>
      <c r="CG223" s="402">
        <v>0</v>
      </c>
      <c r="CH223" s="401">
        <v>0</v>
      </c>
      <c r="CI223" s="401">
        <v>0</v>
      </c>
      <c r="CJ223" s="401">
        <v>0</v>
      </c>
      <c r="CK223" s="402">
        <v>0</v>
      </c>
      <c r="CL223" s="401">
        <v>0</v>
      </c>
      <c r="CM223" s="401">
        <v>0</v>
      </c>
      <c r="CN223" s="401">
        <v>896</v>
      </c>
      <c r="CO223" s="402">
        <v>0</v>
      </c>
      <c r="CP223" s="438">
        <v>0</v>
      </c>
      <c r="CQ223" s="401">
        <v>0</v>
      </c>
      <c r="CR223" s="401">
        <v>0</v>
      </c>
      <c r="CS223" s="402">
        <v>0</v>
      </c>
      <c r="CT223" s="373">
        <v>0</v>
      </c>
      <c r="CU223" s="325">
        <v>0</v>
      </c>
      <c r="CV223" s="325">
        <v>0</v>
      </c>
      <c r="CW223" s="402">
        <v>0</v>
      </c>
      <c r="CX223" s="399"/>
      <c r="CY223" s="399"/>
      <c r="CZ223" s="399"/>
      <c r="DA223" s="400"/>
      <c r="DB223" s="399"/>
      <c r="DC223" s="399"/>
      <c r="DD223" s="399"/>
      <c r="DE223" s="400"/>
      <c r="DF223" s="399"/>
      <c r="DG223" s="399"/>
      <c r="DH223" s="399"/>
      <c r="DI223" s="400"/>
      <c r="DJ223" s="454"/>
      <c r="DK223" s="411"/>
      <c r="DL223" s="399"/>
      <c r="DM223" s="399"/>
      <c r="DN223" s="399"/>
      <c r="DO223" s="399"/>
      <c r="DP223" s="399"/>
      <c r="DQ223" s="399"/>
      <c r="DR223" s="399"/>
      <c r="DS223" s="401">
        <v>0</v>
      </c>
      <c r="DT223" s="401">
        <v>0</v>
      </c>
      <c r="DU223" s="401">
        <v>0</v>
      </c>
      <c r="DV223" s="325">
        <v>0</v>
      </c>
      <c r="DW223" s="325">
        <v>0</v>
      </c>
      <c r="DX223" s="325">
        <v>4744</v>
      </c>
      <c r="DY223" s="325">
        <v>-375</v>
      </c>
      <c r="DZ223" s="325">
        <v>-250</v>
      </c>
      <c r="EA223" s="325">
        <v>704</v>
      </c>
      <c r="EB223" s="325">
        <v>3741</v>
      </c>
      <c r="EC223" s="325">
        <v>-1740</v>
      </c>
      <c r="ED223" s="401">
        <v>0</v>
      </c>
      <c r="EE223" s="401">
        <v>896</v>
      </c>
      <c r="EF223" s="401">
        <v>0</v>
      </c>
      <c r="EG223" s="401">
        <v>0</v>
      </c>
      <c r="EH223" s="401">
        <v>0</v>
      </c>
      <c r="EI223" s="401">
        <v>0</v>
      </c>
      <c r="EJ223" s="401">
        <v>0</v>
      </c>
      <c r="EK223" s="401">
        <v>0</v>
      </c>
      <c r="EL223" s="401">
        <v>0</v>
      </c>
      <c r="EM223" s="401">
        <v>0</v>
      </c>
      <c r="EN223" s="401">
        <v>0</v>
      </c>
      <c r="EO223" s="401">
        <v>0</v>
      </c>
      <c r="EP223" s="389"/>
      <c r="EQ223" s="386"/>
    </row>
    <row r="224" spans="1:147" s="390" customFormat="1" ht="15" customHeight="1">
      <c r="A224" s="385"/>
      <c r="B224"/>
      <c r="C224"/>
      <c r="D224"/>
      <c r="E224"/>
      <c r="F224"/>
      <c r="G224"/>
      <c r="H224" s="409"/>
      <c r="I224" s="370" t="s">
        <v>1628</v>
      </c>
      <c r="J224" s="399"/>
      <c r="K224" s="399"/>
      <c r="L224" s="399"/>
      <c r="M224" s="400"/>
      <c r="N224" s="399"/>
      <c r="O224" s="399"/>
      <c r="P224" s="399"/>
      <c r="Q224" s="400"/>
      <c r="R224" s="399"/>
      <c r="S224" s="399"/>
      <c r="T224" s="399"/>
      <c r="U224" s="400"/>
      <c r="V224" s="399"/>
      <c r="W224" s="399"/>
      <c r="X224" s="399"/>
      <c r="Y224" s="400"/>
      <c r="Z224" s="399"/>
      <c r="AA224" s="399"/>
      <c r="AB224" s="399"/>
      <c r="AC224" s="400"/>
      <c r="AD224" s="399"/>
      <c r="AE224" s="399"/>
      <c r="AF224" s="399"/>
      <c r="AG224" s="400"/>
      <c r="AH224" s="399"/>
      <c r="AI224" s="399"/>
      <c r="AJ224" s="399"/>
      <c r="AK224" s="400"/>
      <c r="AL224" s="399"/>
      <c r="AM224" s="399"/>
      <c r="AN224" s="399"/>
      <c r="AO224" s="400"/>
      <c r="AP224" s="399"/>
      <c r="AQ224" s="399"/>
      <c r="AR224" s="399"/>
      <c r="AS224" s="400"/>
      <c r="AT224" s="399"/>
      <c r="AU224" s="399"/>
      <c r="AV224" s="399"/>
      <c r="AW224" s="400"/>
      <c r="AX224" s="399"/>
      <c r="AY224" s="399"/>
      <c r="AZ224" s="399"/>
      <c r="BA224" s="400"/>
      <c r="BB224" s="401">
        <v>0</v>
      </c>
      <c r="BC224" s="401">
        <v>0</v>
      </c>
      <c r="BD224" s="401">
        <v>0</v>
      </c>
      <c r="BE224" s="402">
        <v>0</v>
      </c>
      <c r="BF224" s="401">
        <v>0</v>
      </c>
      <c r="BG224" s="401">
        <v>0</v>
      </c>
      <c r="BH224" s="401">
        <v>0</v>
      </c>
      <c r="BI224" s="402">
        <v>0</v>
      </c>
      <c r="BJ224" s="401">
        <v>0</v>
      </c>
      <c r="BK224" s="401">
        <v>0</v>
      </c>
      <c r="BL224" s="401">
        <v>0</v>
      </c>
      <c r="BM224" s="402">
        <v>0</v>
      </c>
      <c r="BN224" s="401">
        <v>0</v>
      </c>
      <c r="BO224" s="401">
        <v>0</v>
      </c>
      <c r="BP224" s="401">
        <v>0</v>
      </c>
      <c r="BQ224" s="402">
        <v>0</v>
      </c>
      <c r="BR224" s="401">
        <v>0</v>
      </c>
      <c r="BS224" s="401">
        <v>0</v>
      </c>
      <c r="BT224" s="401">
        <v>202</v>
      </c>
      <c r="BU224" s="402">
        <v>0</v>
      </c>
      <c r="BV224" s="401">
        <v>0</v>
      </c>
      <c r="BW224" s="401">
        <v>0</v>
      </c>
      <c r="BX224" s="401">
        <v>0</v>
      </c>
      <c r="BY224" s="402">
        <v>0</v>
      </c>
      <c r="BZ224" s="401">
        <v>-3051</v>
      </c>
      <c r="CA224" s="401">
        <v>-1200</v>
      </c>
      <c r="CB224" s="401">
        <v>0</v>
      </c>
      <c r="CC224" s="402">
        <v>0</v>
      </c>
      <c r="CD224" s="401">
        <v>0</v>
      </c>
      <c r="CE224" s="401">
        <v>0</v>
      </c>
      <c r="CF224" s="401">
        <v>0</v>
      </c>
      <c r="CG224" s="402"/>
      <c r="CH224" s="401">
        <v>0</v>
      </c>
      <c r="CI224" s="401">
        <v>0</v>
      </c>
      <c r="CJ224" s="401">
        <v>0</v>
      </c>
      <c r="CK224" s="402">
        <v>0</v>
      </c>
      <c r="CL224" s="401">
        <v>0</v>
      </c>
      <c r="CM224" s="401">
        <v>0</v>
      </c>
      <c r="CN224" s="401">
        <v>0</v>
      </c>
      <c r="CO224" s="402">
        <v>0</v>
      </c>
      <c r="CP224" s="438">
        <v>0</v>
      </c>
      <c r="CQ224" s="401">
        <v>0</v>
      </c>
      <c r="CR224" s="401">
        <v>0</v>
      </c>
      <c r="CS224" s="402">
        <v>0</v>
      </c>
      <c r="CT224" s="373">
        <v>0</v>
      </c>
      <c r="CU224" s="325">
        <v>0</v>
      </c>
      <c r="CV224" s="325">
        <v>0</v>
      </c>
      <c r="CW224" s="402">
        <v>0</v>
      </c>
      <c r="CX224" s="399"/>
      <c r="CY224" s="399"/>
      <c r="CZ224" s="399"/>
      <c r="DA224" s="400"/>
      <c r="DB224" s="399"/>
      <c r="DC224" s="399"/>
      <c r="DD224" s="399"/>
      <c r="DE224" s="400"/>
      <c r="DF224" s="399"/>
      <c r="DG224" s="399"/>
      <c r="DH224" s="399"/>
      <c r="DI224" s="400"/>
      <c r="DJ224" s="543"/>
      <c r="DK224" s="411"/>
      <c r="DL224" s="399"/>
      <c r="DM224" s="399"/>
      <c r="DN224" s="399"/>
      <c r="DO224" s="399"/>
      <c r="DP224" s="399"/>
      <c r="DQ224" s="399"/>
      <c r="DR224" s="399"/>
      <c r="DS224" s="401">
        <v>0</v>
      </c>
      <c r="DT224" s="401">
        <v>0</v>
      </c>
      <c r="DU224" s="401">
        <v>0</v>
      </c>
      <c r="DV224" s="325">
        <v>0</v>
      </c>
      <c r="DW224" s="325">
        <v>0</v>
      </c>
      <c r="DX224" s="325">
        <v>0</v>
      </c>
      <c r="DY224" s="325">
        <v>0</v>
      </c>
      <c r="DZ224" s="325">
        <v>202</v>
      </c>
      <c r="EA224" s="325">
        <v>0</v>
      </c>
      <c r="EB224" s="325">
        <v>-4251</v>
      </c>
      <c r="EC224" s="325">
        <v>0</v>
      </c>
      <c r="ED224" s="401">
        <v>0</v>
      </c>
      <c r="EE224" s="401">
        <v>0</v>
      </c>
      <c r="EF224" s="401">
        <v>0</v>
      </c>
      <c r="EG224" s="401">
        <v>0</v>
      </c>
      <c r="EH224" s="401">
        <v>0</v>
      </c>
      <c r="EI224" s="401">
        <v>0</v>
      </c>
      <c r="EJ224" s="401">
        <v>0</v>
      </c>
      <c r="EK224" s="401">
        <v>0</v>
      </c>
      <c r="EL224" s="401">
        <v>0</v>
      </c>
      <c r="EM224" s="401">
        <v>0</v>
      </c>
      <c r="EN224" s="401">
        <v>0</v>
      </c>
      <c r="EO224" s="401">
        <v>0</v>
      </c>
      <c r="EP224" s="389"/>
      <c r="EQ224" s="386"/>
    </row>
    <row r="225" spans="1:147" s="390" customFormat="1" ht="15" customHeight="1">
      <c r="A225" s="385"/>
      <c r="B225"/>
      <c r="C225"/>
      <c r="D225"/>
      <c r="E225"/>
      <c r="F225"/>
      <c r="G225"/>
      <c r="H225" s="409"/>
      <c r="I225" s="370" t="s">
        <v>1629</v>
      </c>
      <c r="J225" s="399"/>
      <c r="K225" s="399"/>
      <c r="L225" s="399"/>
      <c r="M225" s="400"/>
      <c r="N225" s="399"/>
      <c r="O225" s="399"/>
      <c r="P225" s="399"/>
      <c r="Q225" s="400"/>
      <c r="R225" s="399"/>
      <c r="S225" s="399"/>
      <c r="T225" s="399"/>
      <c r="U225" s="400"/>
      <c r="V225" s="399"/>
      <c r="W225" s="399"/>
      <c r="X225" s="399"/>
      <c r="Y225" s="400"/>
      <c r="Z225" s="399"/>
      <c r="AA225" s="399"/>
      <c r="AB225" s="399"/>
      <c r="AC225" s="400"/>
      <c r="AD225" s="399"/>
      <c r="AE225" s="399"/>
      <c r="AF225" s="399"/>
      <c r="AG225" s="400"/>
      <c r="AH225" s="399"/>
      <c r="AI225" s="399"/>
      <c r="AJ225" s="399"/>
      <c r="AK225" s="400"/>
      <c r="AL225" s="399"/>
      <c r="AM225" s="399"/>
      <c r="AN225" s="399"/>
      <c r="AO225" s="400"/>
      <c r="AP225" s="399"/>
      <c r="AQ225" s="399"/>
      <c r="AR225" s="399"/>
      <c r="AS225" s="400"/>
      <c r="AT225" s="399"/>
      <c r="AU225" s="399"/>
      <c r="AV225" s="399"/>
      <c r="AW225" s="400"/>
      <c r="AX225" s="399"/>
      <c r="AY225" s="399"/>
      <c r="AZ225" s="399"/>
      <c r="BA225" s="400"/>
      <c r="BB225" s="401">
        <v>-343</v>
      </c>
      <c r="BC225" s="401">
        <v>-158</v>
      </c>
      <c r="BD225" s="401">
        <v>-23</v>
      </c>
      <c r="BE225" s="402">
        <v>-168</v>
      </c>
      <c r="BF225" s="401">
        <v>-261</v>
      </c>
      <c r="BG225" s="401">
        <v>-54</v>
      </c>
      <c r="BH225" s="401">
        <v>0</v>
      </c>
      <c r="BI225" s="402">
        <v>0</v>
      </c>
      <c r="BJ225" s="401">
        <v>0</v>
      </c>
      <c r="BK225" s="401">
        <v>0</v>
      </c>
      <c r="BL225" s="401">
        <v>0</v>
      </c>
      <c r="BM225" s="402">
        <v>-5830</v>
      </c>
      <c r="BN225" s="725">
        <v>0</v>
      </c>
      <c r="BO225" s="725">
        <v>0</v>
      </c>
      <c r="BP225" s="725">
        <v>0</v>
      </c>
      <c r="BQ225" s="726">
        <v>0</v>
      </c>
      <c r="BR225" s="725">
        <v>0</v>
      </c>
      <c r="BS225" s="725">
        <v>0</v>
      </c>
      <c r="BT225" s="725">
        <v>0</v>
      </c>
      <c r="BU225" s="402">
        <v>0</v>
      </c>
      <c r="BV225" s="725">
        <v>0</v>
      </c>
      <c r="BW225" s="401">
        <v>0</v>
      </c>
      <c r="BX225" s="725">
        <v>0</v>
      </c>
      <c r="BY225" s="726">
        <v>0</v>
      </c>
      <c r="BZ225" s="401">
        <v>0</v>
      </c>
      <c r="CA225" s="401">
        <v>0</v>
      </c>
      <c r="CB225" s="401">
        <v>0</v>
      </c>
      <c r="CC225" s="726">
        <v>0</v>
      </c>
      <c r="CD225" s="725">
        <v>0</v>
      </c>
      <c r="CE225" s="401">
        <v>0</v>
      </c>
      <c r="CF225" s="401">
        <v>0</v>
      </c>
      <c r="CG225" s="726">
        <v>0</v>
      </c>
      <c r="CH225" s="725">
        <v>0</v>
      </c>
      <c r="CI225" s="401">
        <v>0</v>
      </c>
      <c r="CJ225" s="401">
        <v>0</v>
      </c>
      <c r="CK225" s="726">
        <v>0</v>
      </c>
      <c r="CL225" s="725">
        <v>0</v>
      </c>
      <c r="CM225" s="401">
        <v>0</v>
      </c>
      <c r="CN225" s="401">
        <v>0</v>
      </c>
      <c r="CO225" s="726">
        <v>0</v>
      </c>
      <c r="CP225" s="729">
        <v>0</v>
      </c>
      <c r="CQ225" s="725">
        <v>0</v>
      </c>
      <c r="CR225" s="725">
        <v>0</v>
      </c>
      <c r="CS225" s="726">
        <v>0</v>
      </c>
      <c r="CT225" s="373">
        <v>0</v>
      </c>
      <c r="CU225" s="325">
        <v>0</v>
      </c>
      <c r="CV225" s="325">
        <v>0</v>
      </c>
      <c r="CW225" s="726">
        <v>0</v>
      </c>
      <c r="CX225" s="399"/>
      <c r="CY225" s="399"/>
      <c r="CZ225" s="399"/>
      <c r="DA225" s="400"/>
      <c r="DB225" s="399"/>
      <c r="DC225" s="399"/>
      <c r="DD225" s="399"/>
      <c r="DE225" s="400"/>
      <c r="DF225" s="399"/>
      <c r="DG225" s="399"/>
      <c r="DH225" s="399"/>
      <c r="DI225" s="400"/>
      <c r="DJ225" s="543"/>
      <c r="DK225" s="411"/>
      <c r="DL225" s="399"/>
      <c r="DM225" s="399"/>
      <c r="DN225" s="399"/>
      <c r="DO225" s="399"/>
      <c r="DP225" s="399"/>
      <c r="DQ225" s="399"/>
      <c r="DR225" s="399"/>
      <c r="DS225" s="401">
        <v>-126</v>
      </c>
      <c r="DT225" s="401">
        <v>-1109</v>
      </c>
      <c r="DU225" s="401">
        <v>-959</v>
      </c>
      <c r="DV225" s="325">
        <v>-692</v>
      </c>
      <c r="DW225" s="325">
        <v>-315</v>
      </c>
      <c r="DX225" s="325">
        <v>-5830</v>
      </c>
      <c r="DY225" s="325">
        <v>0</v>
      </c>
      <c r="DZ225" s="325">
        <v>0</v>
      </c>
      <c r="EA225" s="325">
        <v>0</v>
      </c>
      <c r="EB225" s="325">
        <v>0</v>
      </c>
      <c r="EC225" s="325">
        <v>0</v>
      </c>
      <c r="ED225" s="725">
        <v>0</v>
      </c>
      <c r="EE225" s="725">
        <v>0</v>
      </c>
      <c r="EF225" s="725">
        <v>0</v>
      </c>
      <c r="EG225" s="725">
        <v>0</v>
      </c>
      <c r="EH225" s="725">
        <v>0</v>
      </c>
      <c r="EI225" s="725">
        <v>0</v>
      </c>
      <c r="EJ225" s="725">
        <v>0</v>
      </c>
      <c r="EK225" s="725">
        <v>0</v>
      </c>
      <c r="EL225" s="725">
        <v>0</v>
      </c>
      <c r="EM225" s="725">
        <v>0</v>
      </c>
      <c r="EN225" s="725">
        <v>0</v>
      </c>
      <c r="EO225" s="725">
        <v>0</v>
      </c>
      <c r="EP225" s="389"/>
      <c r="EQ225" s="386"/>
    </row>
    <row r="226" spans="1:147" s="390" customFormat="1" ht="15" customHeight="1">
      <c r="A226" s="385"/>
      <c r="B226"/>
      <c r="C226"/>
      <c r="D226"/>
      <c r="E226"/>
      <c r="F226"/>
      <c r="G226"/>
      <c r="I226" s="370" t="s">
        <v>198</v>
      </c>
      <c r="J226" s="399"/>
      <c r="K226" s="399"/>
      <c r="L226" s="399"/>
      <c r="M226" s="400"/>
      <c r="N226" s="399"/>
      <c r="O226" s="399"/>
      <c r="P226" s="399"/>
      <c r="Q226" s="400"/>
      <c r="R226" s="399"/>
      <c r="S226" s="399"/>
      <c r="T226" s="399"/>
      <c r="U226" s="400"/>
      <c r="V226" s="399"/>
      <c r="W226" s="399"/>
      <c r="X226" s="399"/>
      <c r="Y226" s="400"/>
      <c r="Z226" s="399"/>
      <c r="AA226" s="399"/>
      <c r="AB226" s="399"/>
      <c r="AC226" s="400"/>
      <c r="AD226" s="399"/>
      <c r="AE226" s="399"/>
      <c r="AF226" s="399"/>
      <c r="AG226" s="400"/>
      <c r="AH226" s="399"/>
      <c r="AI226" s="399"/>
      <c r="AJ226" s="399"/>
      <c r="AK226" s="400"/>
      <c r="AL226" s="399"/>
      <c r="AM226" s="399"/>
      <c r="AN226" s="399"/>
      <c r="AO226" s="400"/>
      <c r="AP226" s="399"/>
      <c r="AQ226" s="399"/>
      <c r="AR226" s="399"/>
      <c r="AS226" s="400"/>
      <c r="AT226" s="399"/>
      <c r="AU226" s="399"/>
      <c r="AV226" s="399"/>
      <c r="AW226" s="400"/>
      <c r="AX226" s="399"/>
      <c r="AY226" s="399"/>
      <c r="AZ226" s="399"/>
      <c r="BA226" s="400"/>
      <c r="BB226" s="401">
        <v>0</v>
      </c>
      <c r="BC226" s="401">
        <v>0</v>
      </c>
      <c r="BD226" s="401">
        <v>0</v>
      </c>
      <c r="BE226" s="402">
        <v>0</v>
      </c>
      <c r="BF226" s="401">
        <v>0</v>
      </c>
      <c r="BG226" s="401">
        <v>0</v>
      </c>
      <c r="BH226" s="401">
        <v>0</v>
      </c>
      <c r="BI226" s="402">
        <v>0</v>
      </c>
      <c r="BJ226" s="401">
        <v>0</v>
      </c>
      <c r="BK226" s="401">
        <v>0</v>
      </c>
      <c r="BL226" s="401">
        <v>0</v>
      </c>
      <c r="BM226" s="402">
        <v>-59</v>
      </c>
      <c r="BN226" s="401">
        <v>0</v>
      </c>
      <c r="BO226" s="401">
        <v>0</v>
      </c>
      <c r="BP226" s="401">
        <v>0</v>
      </c>
      <c r="BQ226" s="402">
        <v>0</v>
      </c>
      <c r="BR226" s="401">
        <v>0</v>
      </c>
      <c r="BS226" s="401">
        <v>0</v>
      </c>
      <c r="BT226" s="401">
        <v>0</v>
      </c>
      <c r="BU226" s="402">
        <v>-7</v>
      </c>
      <c r="BV226" s="401">
        <v>0</v>
      </c>
      <c r="BW226" s="401">
        <v>-34</v>
      </c>
      <c r="BX226" s="401">
        <v>-19</v>
      </c>
      <c r="BY226" s="402">
        <v>53</v>
      </c>
      <c r="BZ226" s="401">
        <v>0</v>
      </c>
      <c r="CA226" s="401">
        <v>-10</v>
      </c>
      <c r="CB226" s="401">
        <v>1</v>
      </c>
      <c r="CC226" s="402">
        <v>-1</v>
      </c>
      <c r="CD226" s="401">
        <v>0</v>
      </c>
      <c r="CE226" s="401">
        <v>0</v>
      </c>
      <c r="CF226" s="401">
        <v>-27</v>
      </c>
      <c r="CG226" s="402">
        <v>1</v>
      </c>
      <c r="CH226" s="401">
        <v>0</v>
      </c>
      <c r="CI226" s="401">
        <v>0</v>
      </c>
      <c r="CJ226" s="401">
        <v>0</v>
      </c>
      <c r="CK226" s="402">
        <v>0</v>
      </c>
      <c r="CL226" s="401">
        <v>0</v>
      </c>
      <c r="CM226" s="401">
        <v>0</v>
      </c>
      <c r="CN226" s="401">
        <v>0</v>
      </c>
      <c r="CO226" s="402">
        <v>0</v>
      </c>
      <c r="CP226" s="438">
        <v>0</v>
      </c>
      <c r="CQ226" s="401">
        <v>0</v>
      </c>
      <c r="CR226" s="401">
        <v>0</v>
      </c>
      <c r="CS226" s="402">
        <v>0</v>
      </c>
      <c r="CT226" s="373">
        <v>0</v>
      </c>
      <c r="CU226" s="325">
        <v>0</v>
      </c>
      <c r="CV226" s="325">
        <v>0</v>
      </c>
      <c r="CW226" s="402">
        <v>0</v>
      </c>
      <c r="CX226" s="399"/>
      <c r="CY226" s="399"/>
      <c r="CZ226" s="399"/>
      <c r="DA226" s="400"/>
      <c r="DB226" s="399"/>
      <c r="DC226" s="399"/>
      <c r="DD226" s="399"/>
      <c r="DE226" s="400"/>
      <c r="DF226" s="399"/>
      <c r="DG226" s="399"/>
      <c r="DH226" s="399"/>
      <c r="DI226" s="400"/>
      <c r="DJ226" s="454"/>
      <c r="DK226" s="411"/>
      <c r="DL226" s="399"/>
      <c r="DM226" s="399"/>
      <c r="DN226" s="399"/>
      <c r="DO226" s="399"/>
      <c r="DP226" s="399"/>
      <c r="DQ226" s="399"/>
      <c r="DR226" s="399"/>
      <c r="DS226" s="376">
        <v>1571</v>
      </c>
      <c r="DT226" s="401">
        <v>0</v>
      </c>
      <c r="DU226" s="401">
        <v>0</v>
      </c>
      <c r="DV226" s="325">
        <v>0</v>
      </c>
      <c r="DW226" s="325">
        <v>0</v>
      </c>
      <c r="DX226" s="325">
        <v>-59</v>
      </c>
      <c r="DY226" s="325">
        <v>0</v>
      </c>
      <c r="DZ226" s="325">
        <v>-7</v>
      </c>
      <c r="EA226" s="325">
        <v>0</v>
      </c>
      <c r="EB226" s="325">
        <v>-10</v>
      </c>
      <c r="EC226" s="325">
        <v>-26</v>
      </c>
      <c r="ED226" s="401">
        <v>0</v>
      </c>
      <c r="EE226" s="401">
        <v>0</v>
      </c>
      <c r="EF226" s="401">
        <v>0</v>
      </c>
      <c r="EG226" s="401">
        <v>0</v>
      </c>
      <c r="EH226" s="401">
        <v>0</v>
      </c>
      <c r="EI226" s="401">
        <v>0</v>
      </c>
      <c r="EJ226" s="401">
        <v>0</v>
      </c>
      <c r="EK226" s="401">
        <v>0</v>
      </c>
      <c r="EL226" s="401">
        <v>0</v>
      </c>
      <c r="EM226" s="401">
        <v>0</v>
      </c>
      <c r="EN226" s="401">
        <v>0</v>
      </c>
      <c r="EO226" s="401">
        <v>0</v>
      </c>
      <c r="EP226" s="389"/>
      <c r="EQ226" s="386"/>
    </row>
    <row r="227" spans="1:147" s="390" customFormat="1" ht="15" customHeight="1">
      <c r="A227" s="385"/>
      <c r="B227"/>
      <c r="C227"/>
      <c r="D227"/>
      <c r="E227"/>
      <c r="F227"/>
      <c r="G227"/>
      <c r="H227" s="386"/>
      <c r="I227" s="517" t="s">
        <v>1630</v>
      </c>
      <c r="J227" s="552"/>
      <c r="K227" s="552"/>
      <c r="L227" s="552"/>
      <c r="M227" s="553"/>
      <c r="N227" s="552"/>
      <c r="O227" s="552"/>
      <c r="P227" s="552"/>
      <c r="Q227" s="553"/>
      <c r="R227" s="552"/>
      <c r="S227" s="552"/>
      <c r="T227" s="552"/>
      <c r="U227" s="553"/>
      <c r="V227" s="552"/>
      <c r="W227" s="552"/>
      <c r="X227" s="552"/>
      <c r="Y227" s="553"/>
      <c r="Z227" s="552"/>
      <c r="AA227" s="552"/>
      <c r="AB227" s="552"/>
      <c r="AC227" s="553"/>
      <c r="AD227" s="552"/>
      <c r="AE227" s="552"/>
      <c r="AF227" s="552"/>
      <c r="AG227" s="553"/>
      <c r="AH227" s="552"/>
      <c r="AI227" s="552"/>
      <c r="AJ227" s="552"/>
      <c r="AK227" s="553"/>
      <c r="AL227" s="552"/>
      <c r="AM227" s="552"/>
      <c r="AN227" s="552"/>
      <c r="AO227" s="553"/>
      <c r="AP227" s="552"/>
      <c r="AQ227" s="552"/>
      <c r="AR227" s="552"/>
      <c r="AS227" s="553"/>
      <c r="AT227" s="552"/>
      <c r="AU227" s="552"/>
      <c r="AV227" s="552"/>
      <c r="AW227" s="553"/>
      <c r="AX227" s="552">
        <v>0</v>
      </c>
      <c r="AY227" s="552">
        <v>0</v>
      </c>
      <c r="AZ227" s="552">
        <v>0</v>
      </c>
      <c r="BA227" s="553">
        <v>0</v>
      </c>
      <c r="BB227" s="554">
        <v>-337</v>
      </c>
      <c r="BC227" s="554">
        <v>-326</v>
      </c>
      <c r="BD227" s="554">
        <v>5</v>
      </c>
      <c r="BE227" s="555">
        <v>-150</v>
      </c>
      <c r="BF227" s="554">
        <v>-246</v>
      </c>
      <c r="BG227" s="554">
        <v>-250</v>
      </c>
      <c r="BH227" s="554">
        <v>6</v>
      </c>
      <c r="BI227" s="555">
        <v>-7</v>
      </c>
      <c r="BJ227" s="554">
        <v>23</v>
      </c>
      <c r="BK227" s="554">
        <v>-199</v>
      </c>
      <c r="BL227" s="554">
        <v>47</v>
      </c>
      <c r="BM227" s="555">
        <v>-1094</v>
      </c>
      <c r="BN227" s="554">
        <v>-252</v>
      </c>
      <c r="BO227" s="554">
        <v>-144</v>
      </c>
      <c r="BP227" s="554">
        <v>22</v>
      </c>
      <c r="BQ227" s="555">
        <v>0</v>
      </c>
      <c r="BR227" s="554">
        <v>-212</v>
      </c>
      <c r="BS227" s="554">
        <v>-148</v>
      </c>
      <c r="BT227" s="554">
        <v>221</v>
      </c>
      <c r="BU227" s="555">
        <v>4</v>
      </c>
      <c r="BV227" s="554">
        <v>1807</v>
      </c>
      <c r="BW227" s="554">
        <v>-1009</v>
      </c>
      <c r="BX227" s="554">
        <v>1285</v>
      </c>
      <c r="BY227" s="555">
        <v>-1583</v>
      </c>
      <c r="BZ227" s="554">
        <v>-404</v>
      </c>
      <c r="CA227" s="554">
        <v>-248</v>
      </c>
      <c r="CB227" s="554">
        <v>13</v>
      </c>
      <c r="CC227" s="555">
        <v>15</v>
      </c>
      <c r="CD227" s="557">
        <v>8</v>
      </c>
      <c r="CE227" s="554">
        <v>-258</v>
      </c>
      <c r="CF227" s="554">
        <v>-1770</v>
      </c>
      <c r="CG227" s="555">
        <v>0</v>
      </c>
      <c r="CH227" s="557">
        <v>24</v>
      </c>
      <c r="CI227" s="554">
        <v>-298</v>
      </c>
      <c r="CJ227" s="554">
        <v>23</v>
      </c>
      <c r="CK227" s="555">
        <v>14</v>
      </c>
      <c r="CL227" s="557">
        <v>7</v>
      </c>
      <c r="CM227" s="554">
        <v>-288</v>
      </c>
      <c r="CN227" s="554">
        <v>934</v>
      </c>
      <c r="CO227" s="555">
        <v>58</v>
      </c>
      <c r="CP227" s="557">
        <v>-95</v>
      </c>
      <c r="CQ227" s="554">
        <v>-376</v>
      </c>
      <c r="CR227" s="554">
        <v>-62</v>
      </c>
      <c r="CS227" s="555">
        <v>0</v>
      </c>
      <c r="CT227" s="557">
        <v>0</v>
      </c>
      <c r="CU227" s="554">
        <v>0</v>
      </c>
      <c r="CV227" s="554">
        <v>0</v>
      </c>
      <c r="CW227" s="555">
        <v>0</v>
      </c>
      <c r="CX227" s="552"/>
      <c r="CY227" s="552"/>
      <c r="CZ227" s="552"/>
      <c r="DA227" s="553"/>
      <c r="DB227" s="552"/>
      <c r="DC227" s="552"/>
      <c r="DD227" s="552"/>
      <c r="DE227" s="553"/>
      <c r="DF227" s="552"/>
      <c r="DG227" s="552"/>
      <c r="DH227" s="552"/>
      <c r="DI227" s="553"/>
      <c r="DJ227" s="454"/>
      <c r="DK227" s="558"/>
      <c r="DL227" s="552"/>
      <c r="DM227" s="552"/>
      <c r="DN227" s="552"/>
      <c r="DO227" s="552"/>
      <c r="DP227" s="552"/>
      <c r="DQ227" s="552"/>
      <c r="DR227" s="552"/>
      <c r="DS227" s="398">
        <v>1488</v>
      </c>
      <c r="DT227" s="398">
        <v>-949</v>
      </c>
      <c r="DU227" s="398">
        <v>-1053</v>
      </c>
      <c r="DV227" s="394">
        <v>-808</v>
      </c>
      <c r="DW227" s="394">
        <v>-497</v>
      </c>
      <c r="DX227" s="394">
        <v>-1223</v>
      </c>
      <c r="DY227" s="394">
        <v>-374</v>
      </c>
      <c r="DZ227" s="394">
        <v>-135</v>
      </c>
      <c r="EA227" s="394">
        <v>500</v>
      </c>
      <c r="EB227" s="394">
        <v>-624</v>
      </c>
      <c r="EC227" s="394">
        <v>-2020</v>
      </c>
      <c r="ED227" s="554">
        <v>-237</v>
      </c>
      <c r="EE227" s="554">
        <v>711</v>
      </c>
      <c r="EF227" s="554">
        <v>-533</v>
      </c>
      <c r="EG227" s="554">
        <v>0</v>
      </c>
      <c r="EH227" s="554">
        <v>0</v>
      </c>
      <c r="EI227" s="554">
        <v>0</v>
      </c>
      <c r="EJ227" s="554">
        <v>0</v>
      </c>
      <c r="EK227" s="554">
        <v>0</v>
      </c>
      <c r="EL227" s="554">
        <v>0</v>
      </c>
      <c r="EM227" s="554">
        <v>0</v>
      </c>
      <c r="EN227" s="554">
        <v>0</v>
      </c>
      <c r="EO227" s="554">
        <v>0</v>
      </c>
      <c r="EP227" s="389"/>
      <c r="EQ227" s="386"/>
    </row>
    <row r="228" spans="1:147" s="390" customFormat="1" ht="15" customHeight="1">
      <c r="A228" s="385"/>
      <c r="B228"/>
      <c r="C228"/>
      <c r="D228"/>
      <c r="E228"/>
      <c r="F228"/>
      <c r="G228"/>
      <c r="H228" s="386"/>
      <c r="I228" s="370"/>
      <c r="J228" s="386"/>
      <c r="K228" s="386"/>
      <c r="L228" s="386"/>
      <c r="M228" s="388"/>
      <c r="N228" s="386"/>
      <c r="O228" s="386"/>
      <c r="P228" s="386"/>
      <c r="Q228" s="388"/>
      <c r="R228" s="386"/>
      <c r="S228" s="386"/>
      <c r="T228" s="386"/>
      <c r="U228" s="388"/>
      <c r="V228" s="386"/>
      <c r="W228" s="386"/>
      <c r="X228" s="386"/>
      <c r="Y228" s="388"/>
      <c r="Z228" s="386"/>
      <c r="AA228" s="386"/>
      <c r="AB228" s="386"/>
      <c r="AC228" s="388"/>
      <c r="AD228" s="386"/>
      <c r="AE228" s="386"/>
      <c r="AF228" s="386"/>
      <c r="AG228" s="388"/>
      <c r="AH228" s="386"/>
      <c r="AI228" s="386"/>
      <c r="AJ228" s="386"/>
      <c r="AK228" s="388"/>
      <c r="AL228" s="386"/>
      <c r="AM228" s="386"/>
      <c r="AN228" s="386"/>
      <c r="AO228" s="388"/>
      <c r="AP228" s="386"/>
      <c r="AQ228" s="386"/>
      <c r="AR228" s="386"/>
      <c r="AS228" s="388"/>
      <c r="AT228" s="386"/>
      <c r="AU228" s="386"/>
      <c r="AV228" s="386"/>
      <c r="AW228" s="388"/>
      <c r="AX228" s="386"/>
      <c r="AY228" s="386"/>
      <c r="AZ228" s="386"/>
      <c r="BA228" s="388"/>
      <c r="BB228" s="325"/>
      <c r="BC228" s="325"/>
      <c r="BD228" s="325"/>
      <c r="BE228" s="372"/>
      <c r="BF228" s="325"/>
      <c r="BG228" s="325"/>
      <c r="BH228" s="325"/>
      <c r="BI228" s="372"/>
      <c r="BJ228" s="325"/>
      <c r="BK228" s="325"/>
      <c r="BL228" s="325"/>
      <c r="BM228" s="372"/>
      <c r="BN228" s="325"/>
      <c r="BO228" s="325"/>
      <c r="BP228" s="325"/>
      <c r="BQ228" s="372"/>
      <c r="BR228" s="325"/>
      <c r="BS228" s="325"/>
      <c r="BT228" s="325"/>
      <c r="BU228" s="372"/>
      <c r="BV228" s="325"/>
      <c r="BW228" s="325"/>
      <c r="BX228" s="325"/>
      <c r="BY228" s="372"/>
      <c r="BZ228" s="325"/>
      <c r="CA228" s="325"/>
      <c r="CB228" s="325"/>
      <c r="CC228" s="372"/>
      <c r="CD228" s="373"/>
      <c r="CE228" s="325"/>
      <c r="CF228" s="325"/>
      <c r="CG228" s="372"/>
      <c r="CH228" s="373"/>
      <c r="CI228" s="325"/>
      <c r="CJ228" s="325"/>
      <c r="CK228" s="372"/>
      <c r="CL228" s="373"/>
      <c r="CM228" s="325"/>
      <c r="CN228" s="325"/>
      <c r="CO228" s="372"/>
      <c r="CP228" s="373"/>
      <c r="CQ228" s="325"/>
      <c r="CR228" s="325"/>
      <c r="CS228" s="372"/>
      <c r="CT228" s="373"/>
      <c r="CU228" s="325"/>
      <c r="CV228" s="325"/>
      <c r="CW228" s="372"/>
      <c r="CX228" s="386"/>
      <c r="CY228" s="386"/>
      <c r="CZ228" s="386"/>
      <c r="DA228" s="388"/>
      <c r="DB228" s="386"/>
      <c r="DC228" s="386"/>
      <c r="DD228" s="386"/>
      <c r="DE228" s="388"/>
      <c r="DF228" s="386"/>
      <c r="DG228" s="386"/>
      <c r="DH228" s="386"/>
      <c r="DI228" s="388"/>
      <c r="DJ228" s="454"/>
      <c r="DK228" s="389"/>
      <c r="DL228" s="386"/>
      <c r="DM228" s="386"/>
      <c r="DN228" s="386"/>
      <c r="DO228" s="386"/>
      <c r="DP228" s="386"/>
      <c r="DQ228" s="386"/>
      <c r="DR228" s="386"/>
      <c r="DS228" s="401"/>
      <c r="DT228" s="401"/>
      <c r="DU228" s="401"/>
      <c r="DV228" s="325"/>
      <c r="DW228" s="325"/>
      <c r="DX228" s="325"/>
      <c r="DY228" s="325"/>
      <c r="DZ228" s="325"/>
      <c r="EA228" s="325"/>
      <c r="EB228" s="325"/>
      <c r="EC228" s="325"/>
      <c r="ED228" s="325"/>
      <c r="EE228" s="325"/>
      <c r="EF228" s="325"/>
      <c r="EG228" s="325"/>
      <c r="EH228" s="325"/>
      <c r="EI228" s="325"/>
      <c r="EJ228" s="325"/>
      <c r="EK228" s="325"/>
      <c r="EL228" s="325"/>
      <c r="EM228" s="325"/>
      <c r="EN228" s="325"/>
      <c r="EO228" s="325"/>
      <c r="EP228" s="389"/>
      <c r="EQ228" s="386"/>
    </row>
    <row r="229" spans="1:147" s="390" customFormat="1" ht="15" customHeight="1">
      <c r="A229" s="385"/>
      <c r="B229"/>
      <c r="C229"/>
      <c r="D229"/>
      <c r="E229"/>
      <c r="F229"/>
      <c r="G229"/>
      <c r="H229" s="386"/>
      <c r="I229" s="370" t="s">
        <v>1631</v>
      </c>
      <c r="J229" s="399"/>
      <c r="K229" s="399"/>
      <c r="L229" s="399"/>
      <c r="M229" s="400"/>
      <c r="N229" s="399"/>
      <c r="O229" s="399"/>
      <c r="P229" s="399"/>
      <c r="Q229" s="400"/>
      <c r="R229" s="399"/>
      <c r="S229" s="399"/>
      <c r="T229" s="399"/>
      <c r="U229" s="400"/>
      <c r="V229" s="399"/>
      <c r="W229" s="399"/>
      <c r="X229" s="399"/>
      <c r="Y229" s="400"/>
      <c r="Z229" s="399"/>
      <c r="AA229" s="399"/>
      <c r="AB229" s="399"/>
      <c r="AC229" s="400"/>
      <c r="AD229" s="399"/>
      <c r="AE229" s="399"/>
      <c r="AF229" s="399"/>
      <c r="AG229" s="400"/>
      <c r="AH229" s="399"/>
      <c r="AI229" s="399"/>
      <c r="AJ229" s="399"/>
      <c r="AK229" s="400"/>
      <c r="AL229" s="399"/>
      <c r="AM229" s="399"/>
      <c r="AN229" s="399"/>
      <c r="AO229" s="400"/>
      <c r="AP229" s="399"/>
      <c r="AQ229" s="399"/>
      <c r="AR229" s="399"/>
      <c r="AS229" s="400"/>
      <c r="AT229" s="399"/>
      <c r="AU229" s="399"/>
      <c r="AV229" s="399"/>
      <c r="AW229" s="400"/>
      <c r="AX229" s="399"/>
      <c r="AY229" s="399"/>
      <c r="AZ229" s="399"/>
      <c r="BA229" s="400"/>
      <c r="BB229" s="401">
        <v>63</v>
      </c>
      <c r="BC229" s="401">
        <v>3</v>
      </c>
      <c r="BD229" s="401">
        <v>-63</v>
      </c>
      <c r="BE229" s="402">
        <v>-60</v>
      </c>
      <c r="BF229" s="401">
        <v>54</v>
      </c>
      <c r="BG229" s="401">
        <v>-108</v>
      </c>
      <c r="BH229" s="401">
        <v>64</v>
      </c>
      <c r="BI229" s="402">
        <v>60</v>
      </c>
      <c r="BJ229" s="401">
        <v>-88</v>
      </c>
      <c r="BK229" s="401">
        <v>36</v>
      </c>
      <c r="BL229" s="401">
        <v>91</v>
      </c>
      <c r="BM229" s="402">
        <v>63</v>
      </c>
      <c r="BN229" s="401">
        <v>-3</v>
      </c>
      <c r="BO229" s="401">
        <v>-20</v>
      </c>
      <c r="BP229" s="401">
        <v>-225</v>
      </c>
      <c r="BQ229" s="402">
        <v>-148</v>
      </c>
      <c r="BR229" s="401">
        <v>-364</v>
      </c>
      <c r="BS229" s="401">
        <v>92</v>
      </c>
      <c r="BT229" s="401">
        <v>4</v>
      </c>
      <c r="BU229" s="402">
        <v>-98</v>
      </c>
      <c r="BV229" s="401">
        <v>1</v>
      </c>
      <c r="BW229" s="401">
        <v>-26</v>
      </c>
      <c r="BX229" s="401">
        <v>2</v>
      </c>
      <c r="BY229" s="402">
        <v>-33</v>
      </c>
      <c r="BZ229" s="401">
        <v>19</v>
      </c>
      <c r="CA229" s="401">
        <v>31</v>
      </c>
      <c r="CB229" s="401">
        <v>22</v>
      </c>
      <c r="CC229" s="402">
        <v>4</v>
      </c>
      <c r="CD229" s="438">
        <v>18</v>
      </c>
      <c r="CE229" s="401">
        <v>-37</v>
      </c>
      <c r="CF229" s="401">
        <v>4</v>
      </c>
      <c r="CG229" s="402">
        <v>-31</v>
      </c>
      <c r="CH229" s="438">
        <v>2</v>
      </c>
      <c r="CI229" s="401">
        <v>1</v>
      </c>
      <c r="CJ229" s="401">
        <v>-27</v>
      </c>
      <c r="CK229" s="402">
        <v>21</v>
      </c>
      <c r="CL229" s="438">
        <v>-15</v>
      </c>
      <c r="CM229" s="401">
        <v>10</v>
      </c>
      <c r="CN229" s="401">
        <v>37</v>
      </c>
      <c r="CO229" s="402">
        <v>37</v>
      </c>
      <c r="CP229" s="438">
        <v>-28</v>
      </c>
      <c r="CQ229" s="401">
        <v>12</v>
      </c>
      <c r="CR229" s="401">
        <v>-19</v>
      </c>
      <c r="CS229" s="402">
        <v>0</v>
      </c>
      <c r="CT229" s="438">
        <v>0</v>
      </c>
      <c r="CU229" s="401">
        <v>0</v>
      </c>
      <c r="CV229" s="401">
        <v>0</v>
      </c>
      <c r="CW229" s="402">
        <v>0</v>
      </c>
      <c r="CX229" s="399"/>
      <c r="CY229" s="399"/>
      <c r="CZ229" s="399"/>
      <c r="DA229" s="400"/>
      <c r="DB229" s="399"/>
      <c r="DC229" s="399"/>
      <c r="DD229" s="399"/>
      <c r="DE229" s="400"/>
      <c r="DF229" s="399"/>
      <c r="DG229" s="399"/>
      <c r="DH229" s="399"/>
      <c r="DI229" s="400"/>
      <c r="DJ229" s="454"/>
      <c r="DK229" s="411"/>
      <c r="DL229" s="399"/>
      <c r="DM229" s="399"/>
      <c r="DN229" s="399"/>
      <c r="DO229" s="399"/>
      <c r="DP229" s="399"/>
      <c r="DQ229" s="399"/>
      <c r="DR229" s="399"/>
      <c r="DS229" s="401">
        <v>-72</v>
      </c>
      <c r="DT229" s="401">
        <v>19</v>
      </c>
      <c r="DU229" s="401">
        <v>33</v>
      </c>
      <c r="DV229" s="325">
        <v>-57</v>
      </c>
      <c r="DW229" s="325">
        <v>70</v>
      </c>
      <c r="DX229" s="325">
        <v>102</v>
      </c>
      <c r="DY229" s="325">
        <v>-396</v>
      </c>
      <c r="DZ229" s="325">
        <v>-366</v>
      </c>
      <c r="EA229" s="325">
        <v>-56</v>
      </c>
      <c r="EB229" s="325">
        <v>76</v>
      </c>
      <c r="EC229" s="325">
        <v>-46</v>
      </c>
      <c r="ED229" s="401">
        <v>-3</v>
      </c>
      <c r="EE229" s="401">
        <v>69</v>
      </c>
      <c r="EF229" s="401">
        <v>-35</v>
      </c>
      <c r="EG229" s="401">
        <v>0</v>
      </c>
      <c r="EH229" s="401">
        <v>0</v>
      </c>
      <c r="EI229" s="401">
        <v>0</v>
      </c>
      <c r="EJ229" s="401">
        <v>0</v>
      </c>
      <c r="EK229" s="401">
        <v>0</v>
      </c>
      <c r="EL229" s="401">
        <v>0</v>
      </c>
      <c r="EM229" s="401">
        <v>0</v>
      </c>
      <c r="EN229" s="401">
        <v>0</v>
      </c>
      <c r="EO229" s="401">
        <v>0</v>
      </c>
      <c r="EP229" s="389"/>
      <c r="EQ229" s="386"/>
    </row>
    <row r="230" spans="1:147" s="390" customFormat="1" ht="15" customHeight="1">
      <c r="A230" s="385"/>
      <c r="B230"/>
      <c r="C230"/>
      <c r="D230"/>
      <c r="E230"/>
      <c r="F230"/>
      <c r="G230"/>
      <c r="H230" s="386"/>
      <c r="I230" s="370"/>
      <c r="J230" s="386"/>
      <c r="K230" s="386"/>
      <c r="L230" s="386"/>
      <c r="M230" s="388"/>
      <c r="N230" s="386"/>
      <c r="O230" s="386"/>
      <c r="P230" s="386"/>
      <c r="Q230" s="388"/>
      <c r="R230" s="386"/>
      <c r="S230" s="386"/>
      <c r="T230" s="386"/>
      <c r="U230" s="388"/>
      <c r="V230" s="386"/>
      <c r="W230" s="386"/>
      <c r="X230" s="386"/>
      <c r="Y230" s="388"/>
      <c r="Z230" s="386"/>
      <c r="AA230" s="386"/>
      <c r="AB230" s="386"/>
      <c r="AC230" s="388"/>
      <c r="AD230" s="386"/>
      <c r="AE230" s="386"/>
      <c r="AF230" s="386"/>
      <c r="AG230" s="388"/>
      <c r="AH230" s="386"/>
      <c r="AI230" s="386"/>
      <c r="AJ230" s="386"/>
      <c r="AK230" s="388"/>
      <c r="AL230" s="386"/>
      <c r="AM230" s="386"/>
      <c r="AN230" s="386"/>
      <c r="AO230" s="388"/>
      <c r="AP230" s="386"/>
      <c r="AQ230" s="386"/>
      <c r="AR230" s="386"/>
      <c r="AS230" s="388"/>
      <c r="AT230" s="386"/>
      <c r="AU230" s="386"/>
      <c r="AV230" s="386"/>
      <c r="AW230" s="388"/>
      <c r="AX230" s="386"/>
      <c r="AY230" s="386"/>
      <c r="AZ230" s="386"/>
      <c r="BA230" s="388"/>
      <c r="BB230" s="325"/>
      <c r="BC230" s="325"/>
      <c r="BD230" s="325"/>
      <c r="BE230" s="372"/>
      <c r="BF230" s="325"/>
      <c r="BG230" s="325"/>
      <c r="BH230" s="325"/>
      <c r="BI230" s="372"/>
      <c r="BJ230" s="325"/>
      <c r="BK230" s="325"/>
      <c r="BL230" s="325"/>
      <c r="BM230" s="372"/>
      <c r="BN230" s="325"/>
      <c r="BO230" s="325"/>
      <c r="BP230" s="325"/>
      <c r="BQ230" s="372"/>
      <c r="BR230" s="325"/>
      <c r="BS230" s="325"/>
      <c r="BT230" s="325"/>
      <c r="BU230" s="372"/>
      <c r="BV230" s="325"/>
      <c r="BW230" s="325"/>
      <c r="BX230" s="325"/>
      <c r="BY230" s="372"/>
      <c r="BZ230" s="325"/>
      <c r="CA230" s="325"/>
      <c r="CB230" s="325"/>
      <c r="CC230" s="372"/>
      <c r="CD230" s="373"/>
      <c r="CE230" s="325"/>
      <c r="CF230" s="325"/>
      <c r="CG230" s="372"/>
      <c r="CH230" s="373"/>
      <c r="CI230" s="325"/>
      <c r="CJ230" s="325"/>
      <c r="CK230" s="372"/>
      <c r="CL230" s="373"/>
      <c r="CM230" s="325"/>
      <c r="CN230" s="325"/>
      <c r="CO230" s="372"/>
      <c r="CP230" s="373"/>
      <c r="CQ230" s="325"/>
      <c r="CR230" s="325"/>
      <c r="CS230" s="372"/>
      <c r="CT230" s="373"/>
      <c r="CU230" s="325"/>
      <c r="CV230" s="325"/>
      <c r="CW230" s="372"/>
      <c r="CX230" s="386"/>
      <c r="CY230" s="386"/>
      <c r="CZ230" s="386"/>
      <c r="DA230" s="388"/>
      <c r="DB230" s="386"/>
      <c r="DC230" s="386"/>
      <c r="DD230" s="386"/>
      <c r="DE230" s="388"/>
      <c r="DF230" s="386"/>
      <c r="DG230" s="386"/>
      <c r="DH230" s="386"/>
      <c r="DI230" s="388"/>
      <c r="DJ230" s="454"/>
      <c r="DK230" s="389"/>
      <c r="DL230" s="386"/>
      <c r="DM230" s="386"/>
      <c r="DN230" s="386"/>
      <c r="DO230" s="386"/>
      <c r="DP230" s="386"/>
      <c r="DQ230" s="386"/>
      <c r="DR230" s="386"/>
      <c r="DS230" s="401"/>
      <c r="DT230" s="401"/>
      <c r="DU230" s="401"/>
      <c r="DV230" s="325"/>
      <c r="DW230" s="325"/>
      <c r="DX230" s="325"/>
      <c r="DY230" s="325"/>
      <c r="DZ230" s="325"/>
      <c r="EA230" s="325"/>
      <c r="EB230" s="325"/>
      <c r="EC230" s="325"/>
      <c r="ED230" s="325"/>
      <c r="EE230" s="325"/>
      <c r="EF230" s="325"/>
      <c r="EG230" s="325"/>
      <c r="EH230" s="325"/>
      <c r="EI230" s="325"/>
      <c r="EJ230" s="325"/>
      <c r="EK230" s="325"/>
      <c r="EL230" s="325"/>
      <c r="EM230" s="325"/>
      <c r="EN230" s="325"/>
      <c r="EO230" s="325"/>
      <c r="EP230" s="389"/>
      <c r="EQ230" s="386"/>
    </row>
    <row r="231" spans="1:147" s="377" customFormat="1" ht="15" customHeight="1">
      <c r="A231" s="368"/>
      <c r="B231"/>
      <c r="C231"/>
      <c r="D231"/>
      <c r="E231"/>
      <c r="F231"/>
      <c r="G231"/>
      <c r="H231" s="369"/>
      <c r="I231" s="517" t="s">
        <v>1632</v>
      </c>
      <c r="J231" s="559"/>
      <c r="K231" s="559"/>
      <c r="L231" s="559"/>
      <c r="M231" s="560"/>
      <c r="N231" s="559"/>
      <c r="O231" s="559"/>
      <c r="P231" s="559"/>
      <c r="Q231" s="560"/>
      <c r="R231" s="559"/>
      <c r="S231" s="559"/>
      <c r="T231" s="559"/>
      <c r="U231" s="560"/>
      <c r="V231" s="559"/>
      <c r="W231" s="559"/>
      <c r="X231" s="559"/>
      <c r="Y231" s="560"/>
      <c r="Z231" s="559"/>
      <c r="AA231" s="559"/>
      <c r="AB231" s="559"/>
      <c r="AC231" s="560"/>
      <c r="AD231" s="559"/>
      <c r="AE231" s="559"/>
      <c r="AF231" s="559"/>
      <c r="AG231" s="560"/>
      <c r="AH231" s="559"/>
      <c r="AI231" s="559"/>
      <c r="AJ231" s="559"/>
      <c r="AK231" s="560"/>
      <c r="AL231" s="559"/>
      <c r="AM231" s="559"/>
      <c r="AN231" s="559"/>
      <c r="AO231" s="560"/>
      <c r="AP231" s="559"/>
      <c r="AQ231" s="559"/>
      <c r="AR231" s="559"/>
      <c r="AS231" s="560"/>
      <c r="AT231" s="559"/>
      <c r="AU231" s="559"/>
      <c r="AV231" s="559"/>
      <c r="AW231" s="560"/>
      <c r="AX231" s="559">
        <v>0</v>
      </c>
      <c r="AY231" s="559">
        <v>0</v>
      </c>
      <c r="AZ231" s="559">
        <v>0</v>
      </c>
      <c r="BA231" s="560">
        <v>0</v>
      </c>
      <c r="BB231" s="562">
        <v>-154</v>
      </c>
      <c r="BC231" s="562">
        <v>-324</v>
      </c>
      <c r="BD231" s="562">
        <v>135</v>
      </c>
      <c r="BE231" s="600">
        <v>696</v>
      </c>
      <c r="BF231" s="562">
        <v>-116</v>
      </c>
      <c r="BG231" s="562">
        <v>-263</v>
      </c>
      <c r="BH231" s="562">
        <v>123</v>
      </c>
      <c r="BI231" s="600">
        <v>1050</v>
      </c>
      <c r="BJ231" s="562">
        <v>340</v>
      </c>
      <c r="BK231" s="562">
        <v>42</v>
      </c>
      <c r="BL231" s="562">
        <v>103</v>
      </c>
      <c r="BM231" s="600">
        <v>-34</v>
      </c>
      <c r="BN231" s="562">
        <v>-131</v>
      </c>
      <c r="BO231" s="562">
        <v>-80</v>
      </c>
      <c r="BP231" s="562">
        <v>-394</v>
      </c>
      <c r="BQ231" s="600">
        <v>1043</v>
      </c>
      <c r="BR231" s="562">
        <v>-383</v>
      </c>
      <c r="BS231" s="562">
        <v>-49</v>
      </c>
      <c r="BT231" s="562">
        <v>-51</v>
      </c>
      <c r="BU231" s="600">
        <v>-2542</v>
      </c>
      <c r="BV231" s="562">
        <v>1049</v>
      </c>
      <c r="BW231" s="562">
        <v>-601</v>
      </c>
      <c r="BX231" s="562">
        <v>1758</v>
      </c>
      <c r="BY231" s="449">
        <v>-784</v>
      </c>
      <c r="BZ231" s="562">
        <v>3</v>
      </c>
      <c r="CA231" s="562">
        <v>30</v>
      </c>
      <c r="CB231" s="562">
        <v>298</v>
      </c>
      <c r="CC231" s="449">
        <v>1137</v>
      </c>
      <c r="CD231" s="450">
        <v>504</v>
      </c>
      <c r="CE231" s="562">
        <v>-359</v>
      </c>
      <c r="CF231" s="562">
        <v>-1548</v>
      </c>
      <c r="CG231" s="449">
        <v>896</v>
      </c>
      <c r="CH231" s="450">
        <v>414</v>
      </c>
      <c r="CI231" s="562">
        <v>-101</v>
      </c>
      <c r="CJ231" s="562">
        <v>348</v>
      </c>
      <c r="CK231" s="449">
        <v>850</v>
      </c>
      <c r="CL231" s="450">
        <v>112</v>
      </c>
      <c r="CM231" s="562">
        <v>430</v>
      </c>
      <c r="CN231" s="562">
        <v>1078</v>
      </c>
      <c r="CO231" s="449">
        <v>1234</v>
      </c>
      <c r="CP231" s="450">
        <v>635</v>
      </c>
      <c r="CQ231" s="448">
        <v>-64</v>
      </c>
      <c r="CR231" s="448">
        <v>512</v>
      </c>
      <c r="CS231" s="449">
        <v>927.62610623300952</v>
      </c>
      <c r="CT231" s="450">
        <v>1046.1116136709645</v>
      </c>
      <c r="CU231" s="448">
        <v>-44.317344815342715</v>
      </c>
      <c r="CV231" s="448">
        <v>326.94008951920694</v>
      </c>
      <c r="CW231" s="449">
        <v>1162.0306220954901</v>
      </c>
      <c r="CX231" s="559"/>
      <c r="CY231" s="559"/>
      <c r="CZ231" s="559"/>
      <c r="DA231" s="560"/>
      <c r="DB231" s="559"/>
      <c r="DC231" s="559"/>
      <c r="DD231" s="559"/>
      <c r="DE231" s="560"/>
      <c r="DF231" s="559"/>
      <c r="DG231" s="559"/>
      <c r="DH231" s="559"/>
      <c r="DI231" s="560"/>
      <c r="DJ231" s="374"/>
      <c r="DK231" s="561"/>
      <c r="DL231" s="559"/>
      <c r="DM231" s="559"/>
      <c r="DN231" s="559"/>
      <c r="DO231" s="559"/>
      <c r="DP231" s="559"/>
      <c r="DQ231" s="559"/>
      <c r="DR231" s="559"/>
      <c r="DS231" s="461">
        <v>2896</v>
      </c>
      <c r="DT231" s="461">
        <v>-190</v>
      </c>
      <c r="DU231" s="461">
        <v>44</v>
      </c>
      <c r="DV231" s="448">
        <v>353</v>
      </c>
      <c r="DW231" s="448">
        <v>794</v>
      </c>
      <c r="DX231" s="448">
        <v>451</v>
      </c>
      <c r="DY231" s="448">
        <v>438</v>
      </c>
      <c r="DZ231" s="448">
        <v>-3025</v>
      </c>
      <c r="EA231" s="448">
        <v>1422</v>
      </c>
      <c r="EB231" s="448">
        <v>1468</v>
      </c>
      <c r="EC231" s="562">
        <v>-507</v>
      </c>
      <c r="ED231" s="562">
        <v>1511</v>
      </c>
      <c r="EE231" s="562">
        <v>2854</v>
      </c>
      <c r="EF231" s="562">
        <v>2010.6261062330095</v>
      </c>
      <c r="EG231" s="562">
        <v>2490.7649804703187</v>
      </c>
      <c r="EH231" s="562">
        <v>2155.2372166144946</v>
      </c>
      <c r="EI231" s="562">
        <v>3315.5673750358146</v>
      </c>
      <c r="EJ231" s="562">
        <v>3217.6910299045603</v>
      </c>
      <c r="EK231" s="562">
        <v>4009.2737755361741</v>
      </c>
      <c r="EL231" s="562">
        <v>4083.1379245885973</v>
      </c>
      <c r="EM231" s="562">
        <v>3964.2677582201909</v>
      </c>
      <c r="EN231" s="562">
        <v>4002.4250903127786</v>
      </c>
      <c r="EO231" s="562">
        <v>4256.8538379810761</v>
      </c>
      <c r="EP231" s="375"/>
      <c r="EQ231" s="369"/>
    </row>
    <row r="232" spans="1:147" s="390" customFormat="1" ht="15" customHeight="1">
      <c r="A232" s="385"/>
      <c r="B232"/>
      <c r="C232"/>
      <c r="D232"/>
      <c r="E232"/>
      <c r="F232"/>
      <c r="G232"/>
      <c r="H232" s="386"/>
      <c r="I232" s="378" t="s">
        <v>1633</v>
      </c>
      <c r="J232" s="409"/>
      <c r="K232" s="409"/>
      <c r="L232" s="409"/>
      <c r="M232" s="410"/>
      <c r="N232" s="409"/>
      <c r="O232" s="409"/>
      <c r="P232" s="409"/>
      <c r="Q232" s="410"/>
      <c r="R232" s="409"/>
      <c r="S232" s="409"/>
      <c r="T232" s="409"/>
      <c r="U232" s="410"/>
      <c r="V232" s="409"/>
      <c r="W232" s="409"/>
      <c r="X232" s="409"/>
      <c r="Y232" s="410"/>
      <c r="Z232" s="409"/>
      <c r="AA232" s="409"/>
      <c r="AB232" s="409"/>
      <c r="AC232" s="410"/>
      <c r="AD232" s="409"/>
      <c r="AE232" s="409"/>
      <c r="AF232" s="409"/>
      <c r="AG232" s="410"/>
      <c r="AH232" s="409"/>
      <c r="AI232" s="409"/>
      <c r="AJ232" s="409"/>
      <c r="AK232" s="410"/>
      <c r="AL232" s="409"/>
      <c r="AM232" s="409"/>
      <c r="AN232" s="409"/>
      <c r="AO232" s="410"/>
      <c r="AP232" s="409"/>
      <c r="AQ232" s="409"/>
      <c r="AR232" s="409"/>
      <c r="AS232" s="410"/>
      <c r="AT232" s="409"/>
      <c r="AU232" s="409"/>
      <c r="AV232" s="409"/>
      <c r="AW232" s="410"/>
      <c r="AX232" s="399">
        <v>0</v>
      </c>
      <c r="AY232" s="409">
        <v>0</v>
      </c>
      <c r="AZ232" s="409">
        <v>0</v>
      </c>
      <c r="BA232" s="410">
        <v>0</v>
      </c>
      <c r="BB232" s="412">
        <v>2812</v>
      </c>
      <c r="BC232" s="412">
        <v>2658</v>
      </c>
      <c r="BD232" s="412">
        <v>2334</v>
      </c>
      <c r="BE232" s="413">
        <v>2469</v>
      </c>
      <c r="BF232" s="412">
        <v>3165</v>
      </c>
      <c r="BG232" s="412">
        <v>3049</v>
      </c>
      <c r="BH232" s="412">
        <v>2786</v>
      </c>
      <c r="BI232" s="413">
        <v>2909</v>
      </c>
      <c r="BJ232" s="412">
        <v>3959</v>
      </c>
      <c r="BK232" s="412">
        <v>4299</v>
      </c>
      <c r="BL232" s="412">
        <v>4341</v>
      </c>
      <c r="BM232" s="413">
        <v>4444</v>
      </c>
      <c r="BN232" s="412">
        <v>4410</v>
      </c>
      <c r="BO232" s="412">
        <v>4279</v>
      </c>
      <c r="BP232" s="412">
        <v>4199</v>
      </c>
      <c r="BQ232" s="413">
        <v>3805</v>
      </c>
      <c r="BR232" s="412">
        <v>4848</v>
      </c>
      <c r="BS232" s="412">
        <v>4465</v>
      </c>
      <c r="BT232" s="412">
        <v>4416</v>
      </c>
      <c r="BU232" s="413">
        <v>4365</v>
      </c>
      <c r="BV232" s="412">
        <v>1823</v>
      </c>
      <c r="BW232" s="412">
        <v>2872</v>
      </c>
      <c r="BX232" s="412">
        <v>2271</v>
      </c>
      <c r="BY232" s="413">
        <v>4029</v>
      </c>
      <c r="BZ232" s="412">
        <v>3245</v>
      </c>
      <c r="CA232" s="412">
        <v>3248</v>
      </c>
      <c r="CB232" s="412">
        <v>3278</v>
      </c>
      <c r="CC232" s="413">
        <v>3576</v>
      </c>
      <c r="CD232" s="567">
        <v>4713</v>
      </c>
      <c r="CE232" s="412">
        <v>5217</v>
      </c>
      <c r="CF232" s="412">
        <v>4857</v>
      </c>
      <c r="CG232" s="413">
        <v>3308</v>
      </c>
      <c r="CH232" s="567">
        <v>4225</v>
      </c>
      <c r="CI232" s="412">
        <v>4696</v>
      </c>
      <c r="CJ232" s="412">
        <v>4592</v>
      </c>
      <c r="CK232" s="413">
        <v>4939</v>
      </c>
      <c r="CL232" s="567">
        <v>5794</v>
      </c>
      <c r="CM232" s="412">
        <v>5906</v>
      </c>
      <c r="CN232" s="412">
        <v>6338</v>
      </c>
      <c r="CO232" s="413">
        <v>7415</v>
      </c>
      <c r="CP232" s="567">
        <v>8647</v>
      </c>
      <c r="CQ232" s="412">
        <v>9281</v>
      </c>
      <c r="CR232" s="412">
        <v>9209</v>
      </c>
      <c r="CS232" s="413">
        <v>9718</v>
      </c>
      <c r="CT232" s="567">
        <v>10645.626106233009</v>
      </c>
      <c r="CU232" s="412">
        <v>11691.737719903973</v>
      </c>
      <c r="CV232" s="412">
        <v>11647.42037508863</v>
      </c>
      <c r="CW232" s="413">
        <v>11974.360464607837</v>
      </c>
      <c r="CX232" s="409"/>
      <c r="CY232" s="409"/>
      <c r="CZ232" s="409"/>
      <c r="DA232" s="410"/>
      <c r="DB232" s="409"/>
      <c r="DC232" s="409"/>
      <c r="DD232" s="409"/>
      <c r="DE232" s="410"/>
      <c r="DF232" s="409"/>
      <c r="DG232" s="409"/>
      <c r="DH232" s="409"/>
      <c r="DI232" s="410"/>
      <c r="DJ232" s="454"/>
      <c r="DK232" s="598"/>
      <c r="DL232" s="409"/>
      <c r="DM232" s="409"/>
      <c r="DN232" s="409"/>
      <c r="DO232" s="409"/>
      <c r="DP232" s="409"/>
      <c r="DQ232" s="409"/>
      <c r="DR232" s="409"/>
      <c r="DS232" s="401">
        <v>62</v>
      </c>
      <c r="DT232" s="376">
        <v>2958</v>
      </c>
      <c r="DU232" s="376">
        <v>2768</v>
      </c>
      <c r="DV232" s="325">
        <v>2812</v>
      </c>
      <c r="DW232" s="325">
        <v>3165</v>
      </c>
      <c r="DX232" s="325">
        <v>3959</v>
      </c>
      <c r="DY232" s="325">
        <v>4410</v>
      </c>
      <c r="DZ232" s="325">
        <v>4848</v>
      </c>
      <c r="EA232" s="325">
        <v>1823</v>
      </c>
      <c r="EB232" s="325">
        <v>3245</v>
      </c>
      <c r="EC232" s="412">
        <v>4713</v>
      </c>
      <c r="ED232" s="412">
        <v>4225</v>
      </c>
      <c r="EE232" s="412">
        <v>5794</v>
      </c>
      <c r="EF232" s="412">
        <v>8647</v>
      </c>
      <c r="EG232" s="412">
        <v>10645.626106233009</v>
      </c>
      <c r="EH232" s="412">
        <v>13136.391086703326</v>
      </c>
      <c r="EI232" s="412">
        <v>15291.628303317821</v>
      </c>
      <c r="EJ232" s="412">
        <v>18607.195678353637</v>
      </c>
      <c r="EK232" s="412">
        <v>21824.886708258196</v>
      </c>
      <c r="EL232" s="412">
        <v>25834.160483794371</v>
      </c>
      <c r="EM232" s="412">
        <v>29917.298408382969</v>
      </c>
      <c r="EN232" s="412">
        <v>33881.566166603159</v>
      </c>
      <c r="EO232" s="412">
        <v>37883.991256915935</v>
      </c>
      <c r="EP232" s="389"/>
      <c r="EQ232" s="386"/>
    </row>
    <row r="233" spans="1:147" s="390" customFormat="1" ht="15" customHeight="1">
      <c r="A233" s="385"/>
      <c r="B233"/>
      <c r="C233"/>
      <c r="D233"/>
      <c r="E233"/>
      <c r="F233"/>
      <c r="G233"/>
      <c r="H233" s="386"/>
      <c r="I233" s="378" t="s">
        <v>1519</v>
      </c>
      <c r="J233" s="399"/>
      <c r="K233" s="399"/>
      <c r="L233" s="399"/>
      <c r="M233" s="400"/>
      <c r="N233" s="399"/>
      <c r="O233" s="399"/>
      <c r="P233" s="399"/>
      <c r="Q233" s="400"/>
      <c r="R233" s="399"/>
      <c r="S233" s="399"/>
      <c r="T233" s="399"/>
      <c r="U233" s="400"/>
      <c r="V233" s="399"/>
      <c r="W233" s="399"/>
      <c r="X233" s="399"/>
      <c r="Y233" s="400"/>
      <c r="Z233" s="399"/>
      <c r="AA233" s="399"/>
      <c r="AB233" s="399"/>
      <c r="AC233" s="400"/>
      <c r="AD233" s="399"/>
      <c r="AE233" s="399"/>
      <c r="AF233" s="399"/>
      <c r="AG233" s="400"/>
      <c r="AH233" s="399"/>
      <c r="AI233" s="399"/>
      <c r="AJ233" s="399"/>
      <c r="AK233" s="400"/>
      <c r="AL233" s="399"/>
      <c r="AM233" s="399"/>
      <c r="AN233" s="399"/>
      <c r="AO233" s="400"/>
      <c r="AP233" s="399"/>
      <c r="AQ233" s="399"/>
      <c r="AR233" s="399"/>
      <c r="AS233" s="400"/>
      <c r="AT233" s="399"/>
      <c r="AU233" s="399"/>
      <c r="AV233" s="399"/>
      <c r="AW233" s="400"/>
      <c r="AX233" s="399"/>
      <c r="AY233" s="399"/>
      <c r="AZ233" s="399"/>
      <c r="BA233" s="400"/>
      <c r="BB233" s="730">
        <v>0</v>
      </c>
      <c r="BC233" s="730">
        <v>0</v>
      </c>
      <c r="BD233" s="730">
        <v>0</v>
      </c>
      <c r="BE233" s="402">
        <v>0</v>
      </c>
      <c r="BF233" s="730">
        <v>0</v>
      </c>
      <c r="BG233" s="730">
        <v>0</v>
      </c>
      <c r="BH233" s="730">
        <v>0</v>
      </c>
      <c r="BI233" s="402">
        <v>0</v>
      </c>
      <c r="BJ233" s="730">
        <v>0</v>
      </c>
      <c r="BK233" s="730">
        <v>0</v>
      </c>
      <c r="BL233" s="730">
        <v>0</v>
      </c>
      <c r="BM233" s="402">
        <v>0</v>
      </c>
      <c r="BN233" s="730">
        <v>0</v>
      </c>
      <c r="BO233" s="730">
        <v>0</v>
      </c>
      <c r="BP233" s="730">
        <v>0</v>
      </c>
      <c r="BQ233" s="402">
        <v>0</v>
      </c>
      <c r="BR233" s="730">
        <v>0</v>
      </c>
      <c r="BS233" s="730">
        <v>0</v>
      </c>
      <c r="BT233" s="730">
        <v>0</v>
      </c>
      <c r="BU233" s="731">
        <v>0</v>
      </c>
      <c r="BV233" s="730">
        <v>0</v>
      </c>
      <c r="BW233" s="730">
        <v>0</v>
      </c>
      <c r="BX233" s="730">
        <v>0</v>
      </c>
      <c r="BY233" s="731">
        <v>0</v>
      </c>
      <c r="BZ233" s="730">
        <v>0</v>
      </c>
      <c r="CA233" s="730">
        <v>0</v>
      </c>
      <c r="CB233" s="730">
        <v>0</v>
      </c>
      <c r="CC233" s="731">
        <v>0</v>
      </c>
      <c r="CD233" s="732">
        <v>0</v>
      </c>
      <c r="CE233" s="401">
        <v>-1</v>
      </c>
      <c r="CF233" s="401">
        <v>-1</v>
      </c>
      <c r="CG233" s="402">
        <v>21</v>
      </c>
      <c r="CH233" s="732">
        <v>57</v>
      </c>
      <c r="CI233" s="730">
        <v>-3</v>
      </c>
      <c r="CJ233" s="401">
        <v>-1</v>
      </c>
      <c r="CK233" s="402">
        <v>5</v>
      </c>
      <c r="CL233" s="732">
        <v>0</v>
      </c>
      <c r="CM233" s="730">
        <v>2</v>
      </c>
      <c r="CN233" s="401">
        <v>-1</v>
      </c>
      <c r="CO233" s="402">
        <v>-2</v>
      </c>
      <c r="CP233" s="732">
        <v>-1</v>
      </c>
      <c r="CQ233" s="733">
        <v>-8</v>
      </c>
      <c r="CR233" s="733">
        <v>-3</v>
      </c>
      <c r="CS233" s="731">
        <v>0</v>
      </c>
      <c r="CT233" s="732">
        <v>0</v>
      </c>
      <c r="CU233" s="733">
        <v>0</v>
      </c>
      <c r="CV233" s="733">
        <v>0</v>
      </c>
      <c r="CW233" s="731">
        <v>0</v>
      </c>
      <c r="CX233" s="734"/>
      <c r="CY233" s="734"/>
      <c r="CZ233" s="734"/>
      <c r="DA233" s="735"/>
      <c r="DB233" s="734"/>
      <c r="DC233" s="734"/>
      <c r="DD233" s="734"/>
      <c r="DE233" s="735"/>
      <c r="DF233" s="734"/>
      <c r="DG233" s="734"/>
      <c r="DH233" s="734"/>
      <c r="DI233" s="735"/>
      <c r="DJ233" s="454"/>
      <c r="DK233" s="411"/>
      <c r="DL233" s="399"/>
      <c r="DM233" s="399"/>
      <c r="DN233" s="399"/>
      <c r="DO233" s="399"/>
      <c r="DP233" s="399"/>
      <c r="DQ233" s="399"/>
      <c r="DR233" s="399"/>
      <c r="DS233" s="325">
        <v>0</v>
      </c>
      <c r="DT233" s="325">
        <v>0</v>
      </c>
      <c r="DU233" s="325">
        <v>0</v>
      </c>
      <c r="DV233" s="325">
        <v>0</v>
      </c>
      <c r="DW233" s="325">
        <v>0</v>
      </c>
      <c r="DX233" s="325">
        <v>0</v>
      </c>
      <c r="DY233" s="325">
        <v>0</v>
      </c>
      <c r="DZ233" s="325">
        <v>0</v>
      </c>
      <c r="EA233" s="325">
        <v>0</v>
      </c>
      <c r="EB233" s="325">
        <v>0</v>
      </c>
      <c r="EC233" s="730">
        <v>19</v>
      </c>
      <c r="ED233" s="730">
        <v>58</v>
      </c>
      <c r="EE233" s="730">
        <v>-1</v>
      </c>
      <c r="EF233" s="730">
        <v>-12</v>
      </c>
      <c r="EG233" s="730">
        <v>0</v>
      </c>
      <c r="EH233" s="730">
        <v>0</v>
      </c>
      <c r="EI233" s="730">
        <v>0</v>
      </c>
      <c r="EJ233" s="730">
        <v>0</v>
      </c>
      <c r="EK233" s="730">
        <v>0</v>
      </c>
      <c r="EL233" s="730">
        <v>0</v>
      </c>
      <c r="EM233" s="730">
        <v>0</v>
      </c>
      <c r="EN233" s="730">
        <v>0</v>
      </c>
      <c r="EO233" s="730">
        <v>0</v>
      </c>
      <c r="EP233" s="389"/>
      <c r="EQ233" s="386"/>
    </row>
    <row r="234" spans="1:147" s="390" customFormat="1" ht="15" customHeight="1">
      <c r="A234" s="385"/>
      <c r="B234"/>
      <c r="C234"/>
      <c r="D234"/>
      <c r="E234"/>
      <c r="F234"/>
      <c r="G234"/>
      <c r="H234" s="386"/>
      <c r="I234" s="379" t="s">
        <v>1634</v>
      </c>
      <c r="J234" s="552"/>
      <c r="K234" s="552"/>
      <c r="L234" s="552"/>
      <c r="M234" s="553"/>
      <c r="N234" s="552"/>
      <c r="O234" s="552"/>
      <c r="P234" s="552"/>
      <c r="Q234" s="553"/>
      <c r="R234" s="552"/>
      <c r="S234" s="552"/>
      <c r="T234" s="552"/>
      <c r="U234" s="553"/>
      <c r="V234" s="552"/>
      <c r="W234" s="552"/>
      <c r="X234" s="552"/>
      <c r="Y234" s="553"/>
      <c r="Z234" s="552"/>
      <c r="AA234" s="552"/>
      <c r="AB234" s="552"/>
      <c r="AC234" s="553"/>
      <c r="AD234" s="552"/>
      <c r="AE234" s="552"/>
      <c r="AF234" s="552"/>
      <c r="AG234" s="553"/>
      <c r="AH234" s="552"/>
      <c r="AI234" s="552"/>
      <c r="AJ234" s="552"/>
      <c r="AK234" s="553"/>
      <c r="AL234" s="552"/>
      <c r="AM234" s="552"/>
      <c r="AN234" s="552"/>
      <c r="AO234" s="553"/>
      <c r="AP234" s="552"/>
      <c r="AQ234" s="552"/>
      <c r="AR234" s="552"/>
      <c r="AS234" s="553"/>
      <c r="AT234" s="552"/>
      <c r="AU234" s="552"/>
      <c r="AV234" s="552"/>
      <c r="AW234" s="553"/>
      <c r="AX234" s="552">
        <v>0</v>
      </c>
      <c r="AY234" s="552">
        <v>0</v>
      </c>
      <c r="AZ234" s="552">
        <v>0</v>
      </c>
      <c r="BA234" s="553">
        <v>0</v>
      </c>
      <c r="BB234" s="554">
        <v>2658</v>
      </c>
      <c r="BC234" s="554">
        <v>2334</v>
      </c>
      <c r="BD234" s="554">
        <v>2469</v>
      </c>
      <c r="BE234" s="555">
        <v>3165</v>
      </c>
      <c r="BF234" s="554">
        <v>3049</v>
      </c>
      <c r="BG234" s="554">
        <v>2786</v>
      </c>
      <c r="BH234" s="554">
        <v>2909</v>
      </c>
      <c r="BI234" s="555">
        <v>3959</v>
      </c>
      <c r="BJ234" s="554">
        <v>4299</v>
      </c>
      <c r="BK234" s="554">
        <v>4341</v>
      </c>
      <c r="BL234" s="554">
        <v>4444</v>
      </c>
      <c r="BM234" s="555">
        <v>4410</v>
      </c>
      <c r="BN234" s="554">
        <v>4279</v>
      </c>
      <c r="BO234" s="554">
        <v>4199</v>
      </c>
      <c r="BP234" s="554">
        <v>3805</v>
      </c>
      <c r="BQ234" s="555">
        <v>4848</v>
      </c>
      <c r="BR234" s="554">
        <v>4465</v>
      </c>
      <c r="BS234" s="554">
        <v>4416</v>
      </c>
      <c r="BT234" s="554">
        <v>4365</v>
      </c>
      <c r="BU234" s="555">
        <v>1823</v>
      </c>
      <c r="BV234" s="554">
        <v>2872</v>
      </c>
      <c r="BW234" s="554">
        <v>2271</v>
      </c>
      <c r="BX234" s="554">
        <v>4029</v>
      </c>
      <c r="BY234" s="555">
        <v>3245</v>
      </c>
      <c r="BZ234" s="554">
        <v>3248</v>
      </c>
      <c r="CA234" s="554">
        <v>3278</v>
      </c>
      <c r="CB234" s="554">
        <v>3576</v>
      </c>
      <c r="CC234" s="555">
        <v>4713</v>
      </c>
      <c r="CD234" s="554">
        <v>5217</v>
      </c>
      <c r="CE234" s="554">
        <v>4857</v>
      </c>
      <c r="CF234" s="554">
        <v>3308</v>
      </c>
      <c r="CG234" s="555">
        <v>4225</v>
      </c>
      <c r="CH234" s="554">
        <v>4696</v>
      </c>
      <c r="CI234" s="554">
        <v>4592</v>
      </c>
      <c r="CJ234" s="554">
        <v>4939</v>
      </c>
      <c r="CK234" s="555">
        <v>5794</v>
      </c>
      <c r="CL234" s="554">
        <v>5906</v>
      </c>
      <c r="CM234" s="554">
        <v>6338</v>
      </c>
      <c r="CN234" s="554">
        <v>7415</v>
      </c>
      <c r="CO234" s="555">
        <v>8647</v>
      </c>
      <c r="CP234" s="557">
        <v>9281</v>
      </c>
      <c r="CQ234" s="554">
        <v>9209</v>
      </c>
      <c r="CR234" s="554">
        <v>9718</v>
      </c>
      <c r="CS234" s="555">
        <v>10645.626106233009</v>
      </c>
      <c r="CT234" s="557">
        <v>11691.737719903973</v>
      </c>
      <c r="CU234" s="554">
        <v>11647.42037508863</v>
      </c>
      <c r="CV234" s="554">
        <v>11974.360464607837</v>
      </c>
      <c r="CW234" s="555">
        <v>13136.391086703326</v>
      </c>
      <c r="CX234" s="552"/>
      <c r="CY234" s="552"/>
      <c r="CZ234" s="552"/>
      <c r="DA234" s="553"/>
      <c r="DB234" s="552"/>
      <c r="DC234" s="552"/>
      <c r="DD234" s="552"/>
      <c r="DE234" s="553"/>
      <c r="DF234" s="552"/>
      <c r="DG234" s="552"/>
      <c r="DH234" s="552"/>
      <c r="DI234" s="553"/>
      <c r="DJ234" s="454"/>
      <c r="DK234" s="558"/>
      <c r="DL234" s="552"/>
      <c r="DM234" s="552"/>
      <c r="DN234" s="552"/>
      <c r="DO234" s="552"/>
      <c r="DP234" s="552"/>
      <c r="DQ234" s="552"/>
      <c r="DR234" s="552"/>
      <c r="DS234" s="394">
        <v>2958</v>
      </c>
      <c r="DT234" s="394">
        <v>2768</v>
      </c>
      <c r="DU234" s="394">
        <v>2812</v>
      </c>
      <c r="DV234" s="394">
        <v>3165</v>
      </c>
      <c r="DW234" s="394">
        <v>3959</v>
      </c>
      <c r="DX234" s="394">
        <v>4410</v>
      </c>
      <c r="DY234" s="394">
        <v>4848</v>
      </c>
      <c r="DZ234" s="394">
        <v>1823</v>
      </c>
      <c r="EA234" s="394">
        <v>3245</v>
      </c>
      <c r="EB234" s="394">
        <v>4713</v>
      </c>
      <c r="EC234" s="554">
        <v>4225</v>
      </c>
      <c r="ED234" s="554">
        <v>5794</v>
      </c>
      <c r="EE234" s="554">
        <v>8647</v>
      </c>
      <c r="EF234" s="554">
        <v>10645.626106233009</v>
      </c>
      <c r="EG234" s="554">
        <v>13136.391086703326</v>
      </c>
      <c r="EH234" s="554">
        <v>15291.628303317821</v>
      </c>
      <c r="EI234" s="554">
        <v>18607.195678353637</v>
      </c>
      <c r="EJ234" s="554">
        <v>21824.886708258196</v>
      </c>
      <c r="EK234" s="554">
        <v>25834.160483794371</v>
      </c>
      <c r="EL234" s="554">
        <v>29917.298408382969</v>
      </c>
      <c r="EM234" s="554">
        <v>33881.566166603159</v>
      </c>
      <c r="EN234" s="554">
        <v>37883.991256915935</v>
      </c>
      <c r="EO234" s="554">
        <v>42140.845094897013</v>
      </c>
      <c r="EP234" s="389"/>
      <c r="EQ234" s="386"/>
    </row>
    <row r="235" spans="1:147" ht="15" customHeight="1" outlineLevel="1">
      <c r="A235" s="473"/>
      <c r="H235" s="474"/>
      <c r="I235" s="581" t="s">
        <v>1571</v>
      </c>
      <c r="J235" s="736"/>
      <c r="K235" s="736"/>
      <c r="L235" s="736"/>
      <c r="M235" s="737"/>
      <c r="N235" s="736"/>
      <c r="O235" s="736"/>
      <c r="P235" s="736"/>
      <c r="Q235" s="737"/>
      <c r="R235" s="736"/>
      <c r="S235" s="736"/>
      <c r="T235" s="736"/>
      <c r="U235" s="737"/>
      <c r="V235" s="736"/>
      <c r="W235" s="736"/>
      <c r="X235" s="736"/>
      <c r="Y235" s="737"/>
      <c r="Z235" s="736"/>
      <c r="AA235" s="736"/>
      <c r="AB235" s="736"/>
      <c r="AC235" s="737"/>
      <c r="AD235" s="736"/>
      <c r="AE235" s="736"/>
      <c r="AF235" s="736"/>
      <c r="AG235" s="737"/>
      <c r="AH235" s="736"/>
      <c r="AI235" s="736"/>
      <c r="AJ235" s="736"/>
      <c r="AK235" s="737"/>
      <c r="AL235" s="736"/>
      <c r="AM235" s="736"/>
      <c r="AN235" s="736"/>
      <c r="AO235" s="737"/>
      <c r="AP235" s="736"/>
      <c r="AQ235" s="736"/>
      <c r="AR235" s="736"/>
      <c r="AS235" s="737"/>
      <c r="AT235" s="736" t="b">
        <v>1</v>
      </c>
      <c r="AU235" s="736" t="b">
        <v>1</v>
      </c>
      <c r="AV235" s="736" t="b">
        <v>1</v>
      </c>
      <c r="AW235" s="737" t="b">
        <v>1</v>
      </c>
      <c r="AX235" s="736" t="b">
        <v>1</v>
      </c>
      <c r="AY235" s="736" t="b">
        <v>1</v>
      </c>
      <c r="AZ235" s="736" t="b">
        <v>1</v>
      </c>
      <c r="BA235" s="737" t="b">
        <v>1</v>
      </c>
      <c r="BB235" s="412" t="s">
        <v>1635</v>
      </c>
      <c r="BC235" s="412" t="s">
        <v>1635</v>
      </c>
      <c r="BD235" s="412" t="s">
        <v>1635</v>
      </c>
      <c r="BE235" s="413" t="s">
        <v>1635</v>
      </c>
      <c r="BF235" s="412" t="s">
        <v>1635</v>
      </c>
      <c r="BG235" s="412" t="s">
        <v>1635</v>
      </c>
      <c r="BH235" s="412" t="s">
        <v>1635</v>
      </c>
      <c r="BI235" s="413" t="s">
        <v>1635</v>
      </c>
      <c r="BJ235" s="412" t="s">
        <v>1635</v>
      </c>
      <c r="BK235" s="412" t="s">
        <v>1635</v>
      </c>
      <c r="BL235" s="412" t="s">
        <v>1635</v>
      </c>
      <c r="BM235" s="413" t="s">
        <v>1635</v>
      </c>
      <c r="BN235" s="412" t="s">
        <v>1635</v>
      </c>
      <c r="BO235" s="412" t="s">
        <v>1635</v>
      </c>
      <c r="BP235" s="412" t="s">
        <v>1635</v>
      </c>
      <c r="BQ235" s="413" t="s">
        <v>1635</v>
      </c>
      <c r="BR235" s="412" t="s">
        <v>1635</v>
      </c>
      <c r="BS235" s="412" t="s">
        <v>1635</v>
      </c>
      <c r="BT235" s="412" t="s">
        <v>1635</v>
      </c>
      <c r="BU235" s="413" t="s">
        <v>1635</v>
      </c>
      <c r="BV235" s="412" t="s">
        <v>1635</v>
      </c>
      <c r="BW235" s="412" t="s">
        <v>1635</v>
      </c>
      <c r="BX235" s="412" t="s">
        <v>1635</v>
      </c>
      <c r="BY235" s="413" t="s">
        <v>1635</v>
      </c>
      <c r="BZ235" s="412" t="s">
        <v>1635</v>
      </c>
      <c r="CA235" s="412" t="s">
        <v>1635</v>
      </c>
      <c r="CB235" s="412" t="s">
        <v>1635</v>
      </c>
      <c r="CC235" s="413" t="s">
        <v>1635</v>
      </c>
      <c r="CD235" s="412" t="s">
        <v>1635</v>
      </c>
      <c r="CE235" s="412" t="s">
        <v>1635</v>
      </c>
      <c r="CF235" s="412" t="s">
        <v>1635</v>
      </c>
      <c r="CG235" s="413" t="s">
        <v>1635</v>
      </c>
      <c r="CH235" s="412" t="s">
        <v>1635</v>
      </c>
      <c r="CI235" s="412" t="s">
        <v>1635</v>
      </c>
      <c r="CJ235" s="412" t="s">
        <v>1635</v>
      </c>
      <c r="CK235" s="413" t="s">
        <v>1635</v>
      </c>
      <c r="CL235" s="412" t="s">
        <v>1635</v>
      </c>
      <c r="CM235" s="412" t="s">
        <v>1635</v>
      </c>
      <c r="CN235" s="412" t="s">
        <v>1635</v>
      </c>
      <c r="CO235" s="413" t="s">
        <v>1635</v>
      </c>
      <c r="CP235" s="412" t="s">
        <v>1635</v>
      </c>
      <c r="CQ235" s="412" t="s">
        <v>1635</v>
      </c>
      <c r="CR235" s="412" t="s">
        <v>1635</v>
      </c>
      <c r="CS235" s="413" t="s">
        <v>1635</v>
      </c>
      <c r="CT235" s="412" t="s">
        <v>1635</v>
      </c>
      <c r="CU235" s="412" t="s">
        <v>1635</v>
      </c>
      <c r="CV235" s="412" t="s">
        <v>1635</v>
      </c>
      <c r="CW235" s="413" t="s">
        <v>1635</v>
      </c>
      <c r="CX235" s="736"/>
      <c r="CY235" s="736"/>
      <c r="CZ235" s="736"/>
      <c r="DA235" s="737"/>
      <c r="DB235" s="736"/>
      <c r="DC235" s="736"/>
      <c r="DD235" s="736"/>
      <c r="DE235" s="737"/>
      <c r="DF235" s="736"/>
      <c r="DG235" s="736"/>
      <c r="DH235" s="736"/>
      <c r="DI235" s="737"/>
      <c r="DJ235" s="454"/>
      <c r="DK235" s="738"/>
      <c r="DL235" s="736"/>
      <c r="DM235" s="736"/>
      <c r="DN235" s="736"/>
      <c r="DO235" s="736"/>
      <c r="DP235" s="736"/>
      <c r="DQ235" s="736"/>
      <c r="DR235" s="736"/>
      <c r="DS235" s="325" t="s">
        <v>1635</v>
      </c>
      <c r="DT235" s="325" t="s">
        <v>1635</v>
      </c>
      <c r="DU235" s="325" t="s">
        <v>1635</v>
      </c>
      <c r="DV235" s="325" t="s">
        <v>1635</v>
      </c>
      <c r="DW235" s="325" t="s">
        <v>1635</v>
      </c>
      <c r="DX235" s="325" t="s">
        <v>1635</v>
      </c>
      <c r="DY235" s="325" t="s">
        <v>1635</v>
      </c>
      <c r="DZ235" s="325" t="s">
        <v>1635</v>
      </c>
      <c r="EA235" s="325" t="s">
        <v>1635</v>
      </c>
      <c r="EB235" s="325" t="s">
        <v>1635</v>
      </c>
      <c r="EC235" s="412" t="s">
        <v>1635</v>
      </c>
      <c r="ED235" s="412" t="s">
        <v>1635</v>
      </c>
      <c r="EE235" s="412" t="s">
        <v>1635</v>
      </c>
      <c r="EF235" s="412" t="s">
        <v>1635</v>
      </c>
      <c r="EG235" s="412" t="s">
        <v>1635</v>
      </c>
      <c r="EH235" s="412" t="s">
        <v>1635</v>
      </c>
      <c r="EI235" s="412" t="s">
        <v>1635</v>
      </c>
      <c r="EJ235" s="412" t="s">
        <v>1635</v>
      </c>
      <c r="EK235" s="412" t="s">
        <v>1635</v>
      </c>
      <c r="EL235" s="412" t="s">
        <v>1635</v>
      </c>
      <c r="EM235" s="412" t="s">
        <v>1635</v>
      </c>
      <c r="EN235" s="412" t="s">
        <v>1635</v>
      </c>
      <c r="EO235" s="412" t="s">
        <v>1635</v>
      </c>
      <c r="EP235" s="355"/>
      <c r="EQ235" s="356"/>
    </row>
    <row r="236" spans="1:147" ht="15" customHeight="1">
      <c r="A236" s="473"/>
      <c r="H236" s="474"/>
      <c r="I236" s="739"/>
      <c r="J236" s="740"/>
      <c r="K236" s="740"/>
      <c r="L236" s="740"/>
      <c r="M236" s="741"/>
      <c r="N236" s="740"/>
      <c r="O236" s="740"/>
      <c r="P236" s="740"/>
      <c r="Q236" s="741"/>
      <c r="R236" s="740"/>
      <c r="S236" s="740"/>
      <c r="T236" s="740"/>
      <c r="U236" s="741"/>
      <c r="V236" s="740"/>
      <c r="W236" s="740"/>
      <c r="X236" s="740"/>
      <c r="Y236" s="741"/>
      <c r="Z236" s="740"/>
      <c r="AA236" s="740"/>
      <c r="AB236" s="740"/>
      <c r="AC236" s="741"/>
      <c r="AD236" s="740"/>
      <c r="AE236" s="740"/>
      <c r="AF236" s="740"/>
      <c r="AG236" s="741"/>
      <c r="AH236" s="740"/>
      <c r="AI236" s="740"/>
      <c r="AJ236" s="740"/>
      <c r="AK236" s="741"/>
      <c r="AL236" s="740"/>
      <c r="AM236" s="740"/>
      <c r="AN236" s="740"/>
      <c r="AO236" s="741"/>
      <c r="AP236" s="740"/>
      <c r="AQ236" s="740"/>
      <c r="AR236" s="740"/>
      <c r="AS236" s="741"/>
      <c r="AT236" s="740"/>
      <c r="AU236" s="740"/>
      <c r="AV236" s="740"/>
      <c r="AW236" s="741"/>
      <c r="AX236" s="742">
        <v>0</v>
      </c>
      <c r="AY236" s="742">
        <v>0</v>
      </c>
      <c r="AZ236" s="742">
        <v>0</v>
      </c>
      <c r="BA236" s="743">
        <v>0</v>
      </c>
      <c r="BB236" s="562"/>
      <c r="BC236" s="562"/>
      <c r="BD236" s="562"/>
      <c r="BE236" s="600"/>
      <c r="BF236" s="562"/>
      <c r="BG236" s="562"/>
      <c r="BH236" s="562"/>
      <c r="BI236" s="600"/>
      <c r="BJ236" s="562"/>
      <c r="BK236" s="562"/>
      <c r="BL236" s="412"/>
      <c r="BM236" s="600"/>
      <c r="BN236" s="562"/>
      <c r="BO236" s="562"/>
      <c r="BP236" s="562"/>
      <c r="BQ236" s="600"/>
      <c r="BR236" s="562"/>
      <c r="BS236" s="562"/>
      <c r="BT236" s="562"/>
      <c r="BU236" s="600"/>
      <c r="BV236" s="562"/>
      <c r="BW236" s="562"/>
      <c r="BX236" s="562"/>
      <c r="BY236" s="600"/>
      <c r="BZ236" s="562"/>
      <c r="CA236" s="562"/>
      <c r="CB236" s="562"/>
      <c r="CC236" s="600"/>
      <c r="CD236" s="562"/>
      <c r="CE236" s="562"/>
      <c r="CF236" s="562"/>
      <c r="CG236" s="600"/>
      <c r="CH236" s="562"/>
      <c r="CI236" s="562"/>
      <c r="CJ236" s="562"/>
      <c r="CK236" s="600"/>
      <c r="CL236" s="562"/>
      <c r="CM236" s="562"/>
      <c r="CN236" s="562"/>
      <c r="CO236" s="600"/>
      <c r="CP236" s="562"/>
      <c r="CQ236" s="562"/>
      <c r="CR236" s="562"/>
      <c r="CS236" s="600"/>
      <c r="CT236" s="562"/>
      <c r="CU236" s="562"/>
      <c r="CV236" s="562"/>
      <c r="CW236" s="600"/>
      <c r="CX236" s="740"/>
      <c r="CY236" s="740"/>
      <c r="CZ236" s="740"/>
      <c r="DA236" s="741"/>
      <c r="DB236" s="740"/>
      <c r="DC236" s="740"/>
      <c r="DD236" s="740"/>
      <c r="DE236" s="741"/>
      <c r="DF236" s="740"/>
      <c r="DG236" s="740"/>
      <c r="DH236" s="740"/>
      <c r="DI236" s="741"/>
      <c r="DJ236" s="454"/>
      <c r="DK236" s="744"/>
      <c r="DL236" s="740"/>
      <c r="DM236" s="740"/>
      <c r="DN236" s="740"/>
      <c r="DO236" s="740"/>
      <c r="DP236" s="740"/>
      <c r="DQ236" s="740"/>
      <c r="DR236" s="740"/>
      <c r="DS236" s="562"/>
      <c r="DT236" s="448"/>
      <c r="DU236" s="448"/>
      <c r="DV236" s="448"/>
      <c r="DW236" s="448"/>
      <c r="DX236" s="448"/>
      <c r="DY236" s="448"/>
      <c r="DZ236" s="448"/>
      <c r="EA236" s="448"/>
      <c r="EB236" s="448"/>
      <c r="EC236" s="562"/>
      <c r="ED236" s="562"/>
      <c r="EE236" s="562"/>
      <c r="EF236" s="562"/>
      <c r="EG236" s="562"/>
      <c r="EH236" s="562"/>
      <c r="EI236" s="562"/>
      <c r="EJ236" s="562"/>
      <c r="EK236" s="562"/>
      <c r="EL236" s="562"/>
      <c r="EM236" s="562"/>
      <c r="EN236" s="562"/>
      <c r="EO236" s="562"/>
      <c r="EP236" s="355"/>
      <c r="EQ236" s="356"/>
    </row>
    <row r="237" spans="1:147" s="377" customFormat="1" ht="15" customHeight="1" outlineLevel="1">
      <c r="A237" s="368"/>
      <c r="B237"/>
      <c r="C237"/>
      <c r="D237"/>
      <c r="E237"/>
      <c r="F237"/>
      <c r="G237"/>
      <c r="H237" s="369"/>
      <c r="I237" s="517" t="s">
        <v>1636</v>
      </c>
      <c r="J237" s="559"/>
      <c r="K237" s="559"/>
      <c r="L237" s="559"/>
      <c r="M237" s="560"/>
      <c r="N237" s="559"/>
      <c r="O237" s="559"/>
      <c r="P237" s="559"/>
      <c r="Q237" s="560"/>
      <c r="R237" s="559"/>
      <c r="S237" s="559"/>
      <c r="T237" s="559"/>
      <c r="U237" s="560"/>
      <c r="V237" s="559"/>
      <c r="W237" s="559"/>
      <c r="X237" s="559"/>
      <c r="Y237" s="560"/>
      <c r="Z237" s="559"/>
      <c r="AA237" s="559"/>
      <c r="AB237" s="559"/>
      <c r="AC237" s="560"/>
      <c r="AD237" s="559"/>
      <c r="AE237" s="559"/>
      <c r="AF237" s="559"/>
      <c r="AG237" s="560"/>
      <c r="AH237" s="559"/>
      <c r="AI237" s="559"/>
      <c r="AJ237" s="559"/>
      <c r="AK237" s="560"/>
      <c r="AL237" s="559"/>
      <c r="AM237" s="559"/>
      <c r="AN237" s="559"/>
      <c r="AO237" s="560"/>
      <c r="AP237" s="559"/>
      <c r="AQ237" s="559"/>
      <c r="AR237" s="559"/>
      <c r="AS237" s="560"/>
      <c r="AT237" s="559"/>
      <c r="AU237" s="559"/>
      <c r="AV237" s="559"/>
      <c r="AW237" s="560"/>
      <c r="AX237" s="559"/>
      <c r="AY237" s="559"/>
      <c r="AZ237" s="559"/>
      <c r="BA237" s="560"/>
      <c r="BB237" s="562"/>
      <c r="BC237" s="562"/>
      <c r="BD237" s="562"/>
      <c r="BE237" s="600"/>
      <c r="BF237" s="562"/>
      <c r="BG237" s="562"/>
      <c r="BH237" s="562"/>
      <c r="BI237" s="600"/>
      <c r="BJ237" s="562"/>
      <c r="BK237" s="562"/>
      <c r="BL237" s="562"/>
      <c r="BM237" s="600"/>
      <c r="BN237" s="562"/>
      <c r="BO237" s="562"/>
      <c r="BP237" s="562"/>
      <c r="BQ237" s="600"/>
      <c r="BR237" s="562"/>
      <c r="BS237" s="562"/>
      <c r="BT237" s="562"/>
      <c r="BU237" s="600"/>
      <c r="BV237" s="562"/>
      <c r="BW237" s="562"/>
      <c r="BX237" s="562"/>
      <c r="BY237" s="600"/>
      <c r="BZ237" s="562"/>
      <c r="CA237" s="562"/>
      <c r="CB237" s="562"/>
      <c r="CC237" s="600"/>
      <c r="CD237" s="562"/>
      <c r="CE237" s="562"/>
      <c r="CF237" s="562"/>
      <c r="CG237" s="600"/>
      <c r="CH237" s="562"/>
      <c r="CI237" s="562"/>
      <c r="CJ237" s="562"/>
      <c r="CK237" s="600"/>
      <c r="CL237" s="562"/>
      <c r="CM237" s="562"/>
      <c r="CN237" s="562"/>
      <c r="CO237" s="600"/>
      <c r="CP237" s="562"/>
      <c r="CQ237" s="562"/>
      <c r="CR237" s="562"/>
      <c r="CS237" s="600"/>
      <c r="CT237" s="562"/>
      <c r="CU237" s="562"/>
      <c r="CV237" s="562"/>
      <c r="CW237" s="600"/>
      <c r="CX237" s="559"/>
      <c r="CY237" s="559"/>
      <c r="CZ237" s="559"/>
      <c r="DA237" s="560"/>
      <c r="DB237" s="559"/>
      <c r="DC237" s="559"/>
      <c r="DD237" s="559"/>
      <c r="DE237" s="560"/>
      <c r="DF237" s="559"/>
      <c r="DG237" s="559"/>
      <c r="DH237" s="559"/>
      <c r="DI237" s="560"/>
      <c r="DJ237" s="374"/>
      <c r="DK237" s="561"/>
      <c r="DL237" s="559"/>
      <c r="DM237" s="559"/>
      <c r="DN237" s="559"/>
      <c r="DO237" s="559"/>
      <c r="DP237" s="559"/>
      <c r="DQ237" s="559"/>
      <c r="DR237" s="559"/>
      <c r="DS237" s="562"/>
      <c r="DT237" s="448"/>
      <c r="DU237" s="448"/>
      <c r="DV237" s="448"/>
      <c r="DW237" s="448"/>
      <c r="DX237" s="448"/>
      <c r="DY237" s="448"/>
      <c r="DZ237" s="448"/>
      <c r="EA237" s="448"/>
      <c r="EB237" s="448"/>
      <c r="EC237" s="562"/>
      <c r="ED237" s="562"/>
      <c r="EE237" s="562"/>
      <c r="EF237" s="562"/>
      <c r="EG237" s="562"/>
      <c r="EH237" s="562"/>
      <c r="EI237" s="562"/>
      <c r="EJ237" s="562"/>
      <c r="EK237" s="562"/>
      <c r="EL237" s="562"/>
      <c r="EM237" s="562"/>
      <c r="EN237" s="562"/>
      <c r="EO237" s="562"/>
      <c r="EP237" s="375"/>
      <c r="EQ237" s="369"/>
    </row>
    <row r="238" spans="1:147" s="390" customFormat="1" ht="15" customHeight="1" outlineLevel="1">
      <c r="A238" s="385"/>
      <c r="B238"/>
      <c r="C238"/>
      <c r="D238"/>
      <c r="E238"/>
      <c r="F238"/>
      <c r="G238"/>
      <c r="H238" s="386"/>
      <c r="I238" s="370" t="s">
        <v>1637</v>
      </c>
      <c r="J238" s="409"/>
      <c r="K238" s="409"/>
      <c r="L238" s="409"/>
      <c r="M238" s="410"/>
      <c r="N238" s="409"/>
      <c r="O238" s="409"/>
      <c r="P238" s="409"/>
      <c r="Q238" s="410"/>
      <c r="R238" s="409"/>
      <c r="S238" s="409"/>
      <c r="T238" s="409"/>
      <c r="U238" s="410"/>
      <c r="V238" s="409"/>
      <c r="W238" s="409"/>
      <c r="X238" s="409"/>
      <c r="Y238" s="410"/>
      <c r="Z238" s="409"/>
      <c r="AA238" s="409"/>
      <c r="AB238" s="409"/>
      <c r="AC238" s="410"/>
      <c r="AD238" s="409"/>
      <c r="AE238" s="409"/>
      <c r="AF238" s="409"/>
      <c r="AG238" s="410"/>
      <c r="AH238" s="409"/>
      <c r="AI238" s="409"/>
      <c r="AJ238" s="409"/>
      <c r="AK238" s="410"/>
      <c r="AL238" s="409"/>
      <c r="AM238" s="409"/>
      <c r="AN238" s="409"/>
      <c r="AO238" s="410"/>
      <c r="AP238" s="409"/>
      <c r="AQ238" s="409"/>
      <c r="AR238" s="409"/>
      <c r="AS238" s="410"/>
      <c r="AT238" s="409">
        <v>0</v>
      </c>
      <c r="AU238" s="409">
        <v>0</v>
      </c>
      <c r="AV238" s="409">
        <v>0</v>
      </c>
      <c r="AW238" s="410">
        <v>0</v>
      </c>
      <c r="AX238" s="409">
        <v>0</v>
      </c>
      <c r="AY238" s="409">
        <v>0</v>
      </c>
      <c r="AZ238" s="409">
        <v>0</v>
      </c>
      <c r="BA238" s="410">
        <v>0</v>
      </c>
      <c r="BB238" s="412">
        <v>134</v>
      </c>
      <c r="BC238" s="412">
        <v>-78</v>
      </c>
      <c r="BD238" s="412">
        <v>46</v>
      </c>
      <c r="BE238" s="413">
        <v>850</v>
      </c>
      <c r="BF238" s="412">
        <v>153</v>
      </c>
      <c r="BG238" s="412">
        <v>92</v>
      </c>
      <c r="BH238" s="412">
        <v>124</v>
      </c>
      <c r="BI238" s="413">
        <v>976</v>
      </c>
      <c r="BJ238" s="412">
        <v>325</v>
      </c>
      <c r="BK238" s="412">
        <v>109</v>
      </c>
      <c r="BL238" s="412">
        <v>-50</v>
      </c>
      <c r="BM238" s="413">
        <v>880</v>
      </c>
      <c r="BN238" s="412">
        <v>136</v>
      </c>
      <c r="BO238" s="412">
        <v>106</v>
      </c>
      <c r="BP238" s="412">
        <v>-145</v>
      </c>
      <c r="BQ238" s="413">
        <v>1195</v>
      </c>
      <c r="BR238" s="412">
        <v>209</v>
      </c>
      <c r="BS238" s="412">
        <v>135</v>
      </c>
      <c r="BT238" s="412">
        <v>-181</v>
      </c>
      <c r="BU238" s="413">
        <v>1029</v>
      </c>
      <c r="BV238" s="412">
        <v>309</v>
      </c>
      <c r="BW238" s="412">
        <v>479</v>
      </c>
      <c r="BX238" s="412">
        <v>508</v>
      </c>
      <c r="BY238" s="413">
        <v>859</v>
      </c>
      <c r="BZ238" s="412">
        <v>411</v>
      </c>
      <c r="CA238" s="412">
        <v>265</v>
      </c>
      <c r="CB238" s="412">
        <v>378</v>
      </c>
      <c r="CC238" s="413">
        <v>1159</v>
      </c>
      <c r="CD238" s="412">
        <v>529</v>
      </c>
      <c r="CE238" s="412">
        <v>9</v>
      </c>
      <c r="CF238" s="412">
        <v>254</v>
      </c>
      <c r="CG238" s="413">
        <v>997</v>
      </c>
      <c r="CH238" s="412">
        <v>393</v>
      </c>
      <c r="CI238" s="412">
        <v>154</v>
      </c>
      <c r="CJ238" s="412">
        <v>310</v>
      </c>
      <c r="CK238" s="413">
        <v>918</v>
      </c>
      <c r="CL238" s="412">
        <v>148</v>
      </c>
      <c r="CM238" s="412">
        <v>768</v>
      </c>
      <c r="CN238" s="412">
        <v>197</v>
      </c>
      <c r="CO238" s="413">
        <v>1139</v>
      </c>
      <c r="CP238" s="412">
        <v>844</v>
      </c>
      <c r="CQ238" s="412">
        <v>388</v>
      </c>
      <c r="CR238" s="412">
        <v>520</v>
      </c>
      <c r="CS238" s="413">
        <v>980.10743393725852</v>
      </c>
      <c r="CT238" s="412">
        <v>1063.3032762626879</v>
      </c>
      <c r="CU238" s="412">
        <v>-33.639123152523723</v>
      </c>
      <c r="CV238" s="412">
        <v>375.55494559686133</v>
      </c>
      <c r="CW238" s="413">
        <v>1243.9345476272204</v>
      </c>
      <c r="CX238" s="409"/>
      <c r="CY238" s="409"/>
      <c r="CZ238" s="409"/>
      <c r="DA238" s="410"/>
      <c r="DB238" s="409"/>
      <c r="DC238" s="409"/>
      <c r="DD238" s="409"/>
      <c r="DE238" s="410"/>
      <c r="DF238" s="409"/>
      <c r="DG238" s="409"/>
      <c r="DH238" s="409"/>
      <c r="DI238" s="410"/>
      <c r="DJ238" s="454"/>
      <c r="DK238" s="598"/>
      <c r="DL238" s="409"/>
      <c r="DM238" s="409"/>
      <c r="DN238" s="409"/>
      <c r="DO238" s="409"/>
      <c r="DP238" s="409"/>
      <c r="DQ238" s="409"/>
      <c r="DR238" s="409"/>
      <c r="DS238" s="325">
        <v>379</v>
      </c>
      <c r="DT238" s="325">
        <v>1183</v>
      </c>
      <c r="DU238" s="325">
        <v>1376</v>
      </c>
      <c r="DV238" s="325">
        <v>952</v>
      </c>
      <c r="DW238" s="325">
        <v>1345</v>
      </c>
      <c r="DX238" s="325">
        <v>1264</v>
      </c>
      <c r="DY238" s="325">
        <v>1292</v>
      </c>
      <c r="DZ238" s="325">
        <v>1192</v>
      </c>
      <c r="EA238" s="325">
        <v>2155</v>
      </c>
      <c r="EB238" s="325">
        <v>2213</v>
      </c>
      <c r="EC238" s="412">
        <v>1789</v>
      </c>
      <c r="ED238" s="412">
        <v>1775</v>
      </c>
      <c r="EE238" s="412">
        <v>2252</v>
      </c>
      <c r="EF238" s="412">
        <v>2732.1074339372585</v>
      </c>
      <c r="EG238" s="412">
        <v>2649.1536463342454</v>
      </c>
      <c r="EH238" s="412">
        <v>2334.7117550597341</v>
      </c>
      <c r="EI238" s="412">
        <v>3482.3016513564744</v>
      </c>
      <c r="EJ238" s="412">
        <v>3377.6320338366654</v>
      </c>
      <c r="EK238" s="412">
        <v>4179.7547578333533</v>
      </c>
      <c r="EL238" s="412">
        <v>4247.5781926155714</v>
      </c>
      <c r="EM238" s="412">
        <v>4129.8137518188805</v>
      </c>
      <c r="EN238" s="412">
        <v>4167.0705809092569</v>
      </c>
      <c r="EO238" s="412">
        <v>4434.0927755190069</v>
      </c>
      <c r="EP238" s="389"/>
      <c r="EQ238" s="386"/>
    </row>
    <row r="239" spans="1:147" s="390" customFormat="1" ht="15" customHeight="1" outlineLevel="1">
      <c r="A239" s="385"/>
      <c r="B239"/>
      <c r="C239"/>
      <c r="D239"/>
      <c r="E239"/>
      <c r="F239"/>
      <c r="G239"/>
      <c r="H239" s="386"/>
      <c r="I239" s="378" t="s">
        <v>1638</v>
      </c>
      <c r="J239" s="386"/>
      <c r="K239" s="386"/>
      <c r="L239" s="386"/>
      <c r="M239" s="388"/>
      <c r="N239" s="386"/>
      <c r="O239" s="386"/>
      <c r="P239" s="386"/>
      <c r="Q239" s="388"/>
      <c r="R239" s="386"/>
      <c r="S239" s="386"/>
      <c r="T239" s="386"/>
      <c r="U239" s="388"/>
      <c r="V239" s="386"/>
      <c r="W239" s="386"/>
      <c r="X239" s="386"/>
      <c r="Y239" s="388"/>
      <c r="Z239" s="386"/>
      <c r="AA239" s="386"/>
      <c r="AB239" s="386"/>
      <c r="AC239" s="388"/>
      <c r="AD239" s="386"/>
      <c r="AE239" s="386"/>
      <c r="AF239" s="386"/>
      <c r="AG239" s="388"/>
      <c r="AH239" s="386"/>
      <c r="AI239" s="386"/>
      <c r="AJ239" s="386"/>
      <c r="AK239" s="388"/>
      <c r="AL239" s="386"/>
      <c r="AM239" s="386"/>
      <c r="AN239" s="386"/>
      <c r="AO239" s="388"/>
      <c r="AP239" s="386"/>
      <c r="AQ239" s="386"/>
      <c r="AR239" s="386"/>
      <c r="AS239" s="388"/>
      <c r="AT239" s="386">
        <v>0</v>
      </c>
      <c r="AU239" s="386">
        <v>0</v>
      </c>
      <c r="AV239" s="386">
        <v>0</v>
      </c>
      <c r="AW239" s="388">
        <v>0</v>
      </c>
      <c r="AX239" s="386">
        <v>0</v>
      </c>
      <c r="AY239" s="386">
        <v>0</v>
      </c>
      <c r="AZ239" s="386">
        <v>0</v>
      </c>
      <c r="BA239" s="388">
        <v>0</v>
      </c>
      <c r="BB239" s="325">
        <v>-4</v>
      </c>
      <c r="BC239" s="325">
        <v>-14</v>
      </c>
      <c r="BD239" s="325">
        <v>-29</v>
      </c>
      <c r="BE239" s="372">
        <v>-25</v>
      </c>
      <c r="BF239" s="325">
        <v>-9</v>
      </c>
      <c r="BG239" s="325">
        <v>-17</v>
      </c>
      <c r="BH239" s="325">
        <v>-20</v>
      </c>
      <c r="BI239" s="372">
        <v>-27</v>
      </c>
      <c r="BJ239" s="325">
        <v>-17</v>
      </c>
      <c r="BK239" s="325">
        <v>-19</v>
      </c>
      <c r="BL239" s="325">
        <v>-22</v>
      </c>
      <c r="BM239" s="372">
        <v>-16</v>
      </c>
      <c r="BN239" s="325">
        <v>-37</v>
      </c>
      <c r="BO239" s="325">
        <v>-25</v>
      </c>
      <c r="BP239" s="325">
        <v>-28</v>
      </c>
      <c r="BQ239" s="372">
        <v>-17</v>
      </c>
      <c r="BR239" s="325">
        <v>-21</v>
      </c>
      <c r="BS239" s="325">
        <v>-28</v>
      </c>
      <c r="BT239" s="325">
        <v>-46</v>
      </c>
      <c r="BU239" s="372">
        <v>-16</v>
      </c>
      <c r="BV239" s="325">
        <v>-27</v>
      </c>
      <c r="BW239" s="325">
        <v>-44</v>
      </c>
      <c r="BX239" s="325">
        <v>-28</v>
      </c>
      <c r="BY239" s="372">
        <v>-37</v>
      </c>
      <c r="BZ239" s="325">
        <v>-21</v>
      </c>
      <c r="CA239" s="325">
        <v>-31</v>
      </c>
      <c r="CB239" s="325">
        <v>-34</v>
      </c>
      <c r="CC239" s="372">
        <v>-69</v>
      </c>
      <c r="CD239" s="325">
        <v>-31</v>
      </c>
      <c r="CE239" s="325">
        <v>-30</v>
      </c>
      <c r="CF239" s="325">
        <v>-36</v>
      </c>
      <c r="CG239" s="372">
        <v>-34</v>
      </c>
      <c r="CH239" s="325">
        <v>-18</v>
      </c>
      <c r="CI239" s="325">
        <v>-27</v>
      </c>
      <c r="CJ239" s="325">
        <v>-34</v>
      </c>
      <c r="CK239" s="372">
        <v>-37</v>
      </c>
      <c r="CL239" s="325">
        <v>-19</v>
      </c>
      <c r="CM239" s="325">
        <v>-13</v>
      </c>
      <c r="CN239" s="325">
        <v>-24</v>
      </c>
      <c r="CO239" s="372">
        <v>-22</v>
      </c>
      <c r="CP239" s="325">
        <v>-22</v>
      </c>
      <c r="CQ239" s="325">
        <v>-14</v>
      </c>
      <c r="CR239" s="325">
        <v>-23</v>
      </c>
      <c r="CS239" s="372">
        <v>-52.481327704248969</v>
      </c>
      <c r="CT239" s="325">
        <v>-17.191662591723244</v>
      </c>
      <c r="CU239" s="325">
        <v>-10.67822166281899</v>
      </c>
      <c r="CV239" s="325">
        <v>-48.614856077654416</v>
      </c>
      <c r="CW239" s="372">
        <v>-81.90392553173028</v>
      </c>
      <c r="CX239" s="386"/>
      <c r="CY239" s="386"/>
      <c r="CZ239" s="386"/>
      <c r="DA239" s="388"/>
      <c r="DB239" s="386"/>
      <c r="DC239" s="386"/>
      <c r="DD239" s="386"/>
      <c r="DE239" s="388"/>
      <c r="DF239" s="386"/>
      <c r="DG239" s="386"/>
      <c r="DH239" s="386"/>
      <c r="DI239" s="388"/>
      <c r="DJ239" s="454"/>
      <c r="DK239" s="389"/>
      <c r="DL239" s="386"/>
      <c r="DM239" s="386"/>
      <c r="DN239" s="386"/>
      <c r="DO239" s="386"/>
      <c r="DP239" s="386"/>
      <c r="DQ239" s="386"/>
      <c r="DR239" s="386"/>
      <c r="DS239" s="325">
        <v>-46</v>
      </c>
      <c r="DT239" s="325">
        <v>-69</v>
      </c>
      <c r="DU239" s="325">
        <v>-97</v>
      </c>
      <c r="DV239" s="325">
        <v>-72</v>
      </c>
      <c r="DW239" s="325">
        <v>-73</v>
      </c>
      <c r="DX239" s="506">
        <v>-74</v>
      </c>
      <c r="DY239" s="506">
        <v>-107</v>
      </c>
      <c r="DZ239" s="506">
        <v>-111</v>
      </c>
      <c r="EA239" s="506">
        <v>-136</v>
      </c>
      <c r="EB239" s="506">
        <v>-155</v>
      </c>
      <c r="EC239" s="506">
        <v>-131</v>
      </c>
      <c r="ED239" s="506">
        <v>-116</v>
      </c>
      <c r="EE239" s="506">
        <v>-78</v>
      </c>
      <c r="EF239" s="506">
        <v>-111.48132770424897</v>
      </c>
      <c r="EG239" s="506">
        <v>-158.38866586392692</v>
      </c>
      <c r="EH239" s="506">
        <v>-179.47453844523935</v>
      </c>
      <c r="EI239" s="506">
        <v>-166.73427632066</v>
      </c>
      <c r="EJ239" s="506">
        <v>-159.94100393210522</v>
      </c>
      <c r="EK239" s="506">
        <v>-170.48098229717931</v>
      </c>
      <c r="EL239" s="506">
        <v>-164.440268026974</v>
      </c>
      <c r="EM239" s="506">
        <v>-165.54599359868973</v>
      </c>
      <c r="EN239" s="506">
        <v>-164.6454905964784</v>
      </c>
      <c r="EO239" s="506">
        <v>-177.23893753793081</v>
      </c>
      <c r="EP239" s="389"/>
      <c r="EQ239" s="386"/>
    </row>
    <row r="240" spans="1:147" s="390" customFormat="1" ht="15" customHeight="1">
      <c r="A240" s="385"/>
      <c r="B240"/>
      <c r="C240"/>
      <c r="D240"/>
      <c r="E240"/>
      <c r="F240"/>
      <c r="G240"/>
      <c r="H240" s="386"/>
      <c r="I240" s="379" t="s">
        <v>1636</v>
      </c>
      <c r="J240" s="552"/>
      <c r="K240" s="552"/>
      <c r="L240" s="552"/>
      <c r="M240" s="553"/>
      <c r="N240" s="552"/>
      <c r="O240" s="552"/>
      <c r="P240" s="552"/>
      <c r="Q240" s="553"/>
      <c r="R240" s="552"/>
      <c r="S240" s="552"/>
      <c r="T240" s="552"/>
      <c r="U240" s="553"/>
      <c r="V240" s="552"/>
      <c r="W240" s="552"/>
      <c r="X240" s="552"/>
      <c r="Y240" s="553"/>
      <c r="Z240" s="552"/>
      <c r="AA240" s="552"/>
      <c r="AB240" s="552"/>
      <c r="AC240" s="553"/>
      <c r="AD240" s="552"/>
      <c r="AE240" s="552"/>
      <c r="AF240" s="552"/>
      <c r="AG240" s="553"/>
      <c r="AH240" s="552"/>
      <c r="AI240" s="552"/>
      <c r="AJ240" s="552"/>
      <c r="AK240" s="553"/>
      <c r="AL240" s="552"/>
      <c r="AM240" s="552"/>
      <c r="AN240" s="552"/>
      <c r="AO240" s="553"/>
      <c r="AP240" s="552"/>
      <c r="AQ240" s="552"/>
      <c r="AR240" s="552"/>
      <c r="AS240" s="553"/>
      <c r="AT240" s="552">
        <v>0</v>
      </c>
      <c r="AU240" s="552">
        <v>0</v>
      </c>
      <c r="AV240" s="552">
        <v>0</v>
      </c>
      <c r="AW240" s="553">
        <v>0</v>
      </c>
      <c r="AX240" s="552">
        <v>0</v>
      </c>
      <c r="AY240" s="552">
        <v>0</v>
      </c>
      <c r="AZ240" s="552">
        <v>0</v>
      </c>
      <c r="BA240" s="553">
        <v>0</v>
      </c>
      <c r="BB240" s="554">
        <v>130</v>
      </c>
      <c r="BC240" s="554">
        <v>-92</v>
      </c>
      <c r="BD240" s="554">
        <v>17</v>
      </c>
      <c r="BE240" s="555">
        <v>825</v>
      </c>
      <c r="BF240" s="554">
        <v>144</v>
      </c>
      <c r="BG240" s="554">
        <v>75</v>
      </c>
      <c r="BH240" s="554">
        <v>104</v>
      </c>
      <c r="BI240" s="555">
        <v>949</v>
      </c>
      <c r="BJ240" s="554">
        <v>308</v>
      </c>
      <c r="BK240" s="554">
        <v>90</v>
      </c>
      <c r="BL240" s="554">
        <v>-72</v>
      </c>
      <c r="BM240" s="555">
        <v>864</v>
      </c>
      <c r="BN240" s="554">
        <v>99</v>
      </c>
      <c r="BO240" s="554">
        <v>81</v>
      </c>
      <c r="BP240" s="554">
        <v>-173</v>
      </c>
      <c r="BQ240" s="555">
        <v>1178</v>
      </c>
      <c r="BR240" s="554">
        <v>188</v>
      </c>
      <c r="BS240" s="554">
        <v>107</v>
      </c>
      <c r="BT240" s="554">
        <v>-227</v>
      </c>
      <c r="BU240" s="555">
        <v>1013</v>
      </c>
      <c r="BV240" s="554">
        <v>282</v>
      </c>
      <c r="BW240" s="554">
        <v>435</v>
      </c>
      <c r="BX240" s="554">
        <v>480</v>
      </c>
      <c r="BY240" s="555">
        <v>822</v>
      </c>
      <c r="BZ240" s="554">
        <v>390</v>
      </c>
      <c r="CA240" s="554">
        <v>234</v>
      </c>
      <c r="CB240" s="554">
        <v>344</v>
      </c>
      <c r="CC240" s="555">
        <v>1090</v>
      </c>
      <c r="CD240" s="554">
        <v>498</v>
      </c>
      <c r="CE240" s="554">
        <v>-21</v>
      </c>
      <c r="CF240" s="554">
        <v>218</v>
      </c>
      <c r="CG240" s="555">
        <v>963</v>
      </c>
      <c r="CH240" s="554">
        <v>375</v>
      </c>
      <c r="CI240" s="554">
        <v>127</v>
      </c>
      <c r="CJ240" s="554">
        <v>276</v>
      </c>
      <c r="CK240" s="555">
        <v>881</v>
      </c>
      <c r="CL240" s="554">
        <v>129</v>
      </c>
      <c r="CM240" s="554">
        <v>755</v>
      </c>
      <c r="CN240" s="554">
        <v>173</v>
      </c>
      <c r="CO240" s="555">
        <v>1117</v>
      </c>
      <c r="CP240" s="554">
        <v>822</v>
      </c>
      <c r="CQ240" s="554">
        <v>374</v>
      </c>
      <c r="CR240" s="554">
        <v>497</v>
      </c>
      <c r="CS240" s="555">
        <v>927.62610623300952</v>
      </c>
      <c r="CT240" s="554">
        <v>1046.1116136709645</v>
      </c>
      <c r="CU240" s="554">
        <v>-44.317344815342715</v>
      </c>
      <c r="CV240" s="554">
        <v>326.94008951920694</v>
      </c>
      <c r="CW240" s="555">
        <v>1162.0306220954901</v>
      </c>
      <c r="CX240" s="552"/>
      <c r="CY240" s="552"/>
      <c r="CZ240" s="552"/>
      <c r="DA240" s="553"/>
      <c r="DB240" s="552"/>
      <c r="DC240" s="552"/>
      <c r="DD240" s="552"/>
      <c r="DE240" s="553"/>
      <c r="DF240" s="552"/>
      <c r="DG240" s="552"/>
      <c r="DH240" s="552"/>
      <c r="DI240" s="553"/>
      <c r="DJ240" s="454"/>
      <c r="DK240" s="558"/>
      <c r="DL240" s="552"/>
      <c r="DM240" s="552"/>
      <c r="DN240" s="552"/>
      <c r="DO240" s="552"/>
      <c r="DP240" s="552"/>
      <c r="DQ240" s="552"/>
      <c r="DR240" s="552"/>
      <c r="DS240" s="394">
        <v>333</v>
      </c>
      <c r="DT240" s="394">
        <v>1114</v>
      </c>
      <c r="DU240" s="394">
        <v>1279</v>
      </c>
      <c r="DV240" s="394">
        <v>880</v>
      </c>
      <c r="DW240" s="394">
        <v>1272</v>
      </c>
      <c r="DX240" s="448">
        <v>1190</v>
      </c>
      <c r="DY240" s="448">
        <v>1185</v>
      </c>
      <c r="DZ240" s="448">
        <v>1081</v>
      </c>
      <c r="EA240" s="448">
        <v>2019</v>
      </c>
      <c r="EB240" s="448">
        <v>2058</v>
      </c>
      <c r="EC240" s="562">
        <v>1658</v>
      </c>
      <c r="ED240" s="562">
        <v>1659</v>
      </c>
      <c r="EE240" s="562">
        <v>2174</v>
      </c>
      <c r="EF240" s="562">
        <v>2620.6261062330095</v>
      </c>
      <c r="EG240" s="562">
        <v>2490.7649804703187</v>
      </c>
      <c r="EH240" s="562">
        <v>2155.2372166144946</v>
      </c>
      <c r="EI240" s="562">
        <v>3315.5673750358146</v>
      </c>
      <c r="EJ240" s="562">
        <v>3217.6910299045603</v>
      </c>
      <c r="EK240" s="562">
        <v>4009.2737755361741</v>
      </c>
      <c r="EL240" s="562">
        <v>4083.1379245885973</v>
      </c>
      <c r="EM240" s="562">
        <v>3964.2677582201909</v>
      </c>
      <c r="EN240" s="562">
        <v>4002.4250903127786</v>
      </c>
      <c r="EO240" s="562">
        <v>4256.8538379810761</v>
      </c>
      <c r="EP240" s="389"/>
      <c r="EQ240" s="386"/>
    </row>
    <row r="241" spans="1:147" s="751" customFormat="1" ht="15" customHeight="1">
      <c r="A241" s="745"/>
      <c r="B241"/>
      <c r="C241"/>
      <c r="D241"/>
      <c r="E241"/>
      <c r="F241"/>
      <c r="G241"/>
      <c r="H241" s="746"/>
      <c r="I241" s="747" t="s">
        <v>1639</v>
      </c>
      <c r="J241" s="627"/>
      <c r="K241" s="627"/>
      <c r="L241" s="627"/>
      <c r="M241" s="628"/>
      <c r="N241" s="627"/>
      <c r="O241" s="627"/>
      <c r="P241" s="627"/>
      <c r="Q241" s="628"/>
      <c r="R241" s="627"/>
      <c r="S241" s="627"/>
      <c r="T241" s="627"/>
      <c r="U241" s="628"/>
      <c r="V241" s="627"/>
      <c r="W241" s="627"/>
      <c r="X241" s="627"/>
      <c r="Y241" s="628"/>
      <c r="Z241" s="627"/>
      <c r="AA241" s="627"/>
      <c r="AB241" s="627"/>
      <c r="AC241" s="628"/>
      <c r="AD241" s="627"/>
      <c r="AE241" s="627"/>
      <c r="AF241" s="627"/>
      <c r="AG241" s="628"/>
      <c r="AH241" s="627"/>
      <c r="AI241" s="627"/>
      <c r="AJ241" s="627"/>
      <c r="AK241" s="628"/>
      <c r="AL241" s="627"/>
      <c r="AM241" s="627"/>
      <c r="AN241" s="627"/>
      <c r="AO241" s="628"/>
      <c r="AP241" s="627"/>
      <c r="AQ241" s="627"/>
      <c r="AR241" s="627"/>
      <c r="AS241" s="628"/>
      <c r="AT241" s="627"/>
      <c r="AU241" s="627"/>
      <c r="AV241" s="627"/>
      <c r="AW241" s="628"/>
      <c r="AX241" s="627" t="s">
        <v>1640</v>
      </c>
      <c r="AY241" s="627" t="s">
        <v>1640</v>
      </c>
      <c r="AZ241" s="627" t="s">
        <v>1640</v>
      </c>
      <c r="BA241" s="628" t="s">
        <v>1640</v>
      </c>
      <c r="BB241" s="627" t="s">
        <v>1640</v>
      </c>
      <c r="BC241" s="627" t="s">
        <v>1640</v>
      </c>
      <c r="BD241" s="627" t="s">
        <v>1640</v>
      </c>
      <c r="BE241" s="628" t="s">
        <v>1640</v>
      </c>
      <c r="BF241" s="627">
        <v>0.10769230769230775</v>
      </c>
      <c r="BG241" s="627">
        <v>-1.8152173913043477</v>
      </c>
      <c r="BH241" s="627">
        <v>5.117647058823529</v>
      </c>
      <c r="BI241" s="628">
        <v>0.15030303030303038</v>
      </c>
      <c r="BJ241" s="627">
        <v>1.1388888888888888</v>
      </c>
      <c r="BK241" s="627">
        <v>0.19999999999999996</v>
      </c>
      <c r="BL241" s="627">
        <v>-1.6923076923076923</v>
      </c>
      <c r="BM241" s="628">
        <v>-8.9567966280295064E-2</v>
      </c>
      <c r="BN241" s="627">
        <v>-0.6785714285714286</v>
      </c>
      <c r="BO241" s="627">
        <v>-9.9999999999999978E-2</v>
      </c>
      <c r="BP241" s="627">
        <v>1.4027777777777777</v>
      </c>
      <c r="BQ241" s="628">
        <v>0.36342592592592582</v>
      </c>
      <c r="BR241" s="627">
        <v>0.89898989898989901</v>
      </c>
      <c r="BS241" s="627">
        <v>0.32098765432098775</v>
      </c>
      <c r="BT241" s="627">
        <v>0.31213872832369938</v>
      </c>
      <c r="BU241" s="628">
        <v>-0.14006791171477084</v>
      </c>
      <c r="BV241" s="627">
        <v>0.5</v>
      </c>
      <c r="BW241" s="627">
        <v>3.0654205607476639</v>
      </c>
      <c r="BX241" s="627">
        <v>-3.1145374449339207</v>
      </c>
      <c r="BY241" s="628">
        <v>-0.18854886475814414</v>
      </c>
      <c r="BZ241" s="627">
        <v>0.38297872340425543</v>
      </c>
      <c r="CA241" s="627">
        <v>-0.46206896551724141</v>
      </c>
      <c r="CB241" s="627">
        <v>-0.28333333333333333</v>
      </c>
      <c r="CC241" s="628">
        <v>0.32603406326034068</v>
      </c>
      <c r="CD241" s="627">
        <v>0.27692307692307683</v>
      </c>
      <c r="CE241" s="627">
        <v>-1.0897435897435896</v>
      </c>
      <c r="CF241" s="627">
        <v>-0.36627906976744184</v>
      </c>
      <c r="CG241" s="628">
        <v>-0.11651376146788994</v>
      </c>
      <c r="CH241" s="627">
        <v>-0.24698795180722888</v>
      </c>
      <c r="CI241" s="627">
        <v>-7.0476190476190474</v>
      </c>
      <c r="CJ241" s="627">
        <v>0.26605504587155959</v>
      </c>
      <c r="CK241" s="628">
        <v>-8.5150571131879516E-2</v>
      </c>
      <c r="CL241" s="627">
        <v>-0.65600000000000003</v>
      </c>
      <c r="CM241" s="627">
        <v>4.9448818897637796</v>
      </c>
      <c r="CN241" s="627">
        <v>-0.37318840579710144</v>
      </c>
      <c r="CO241" s="628">
        <v>0.26787741203178217</v>
      </c>
      <c r="CP241" s="627">
        <v>5.3720930232558137</v>
      </c>
      <c r="CQ241" s="627">
        <v>-0.50463576158940393</v>
      </c>
      <c r="CR241" s="627">
        <v>1.8728323699421967</v>
      </c>
      <c r="CS241" s="628">
        <v>-0.16953795323812937</v>
      </c>
      <c r="CT241" s="627">
        <v>0.27264186577976224</v>
      </c>
      <c r="CU241" s="627">
        <v>-1.1184955743725742</v>
      </c>
      <c r="CV241" s="627">
        <v>-0.34217285811024767</v>
      </c>
      <c r="CW241" s="628">
        <v>0.25269288378953925</v>
      </c>
      <c r="CX241" s="627"/>
      <c r="CY241" s="627"/>
      <c r="CZ241" s="627"/>
      <c r="DA241" s="628"/>
      <c r="DB241" s="627"/>
      <c r="DC241" s="627"/>
      <c r="DD241" s="627"/>
      <c r="DE241" s="628"/>
      <c r="DF241" s="627"/>
      <c r="DG241" s="627"/>
      <c r="DH241" s="627"/>
      <c r="DI241" s="628"/>
      <c r="DJ241" s="748"/>
      <c r="DK241" s="629"/>
      <c r="DL241" s="627"/>
      <c r="DM241" s="627"/>
      <c r="DN241" s="627"/>
      <c r="DO241" s="627"/>
      <c r="DP241" s="627"/>
      <c r="DQ241" s="627"/>
      <c r="DR241" s="627"/>
      <c r="DS241" s="749" t="s">
        <v>1640</v>
      </c>
      <c r="DT241" s="749">
        <v>2.3453453453453452</v>
      </c>
      <c r="DU241" s="749">
        <v>0.14811490125673243</v>
      </c>
      <c r="DV241" s="749">
        <v>-0.31196247068021887</v>
      </c>
      <c r="DW241" s="749">
        <v>0.44545454545454555</v>
      </c>
      <c r="DX241" s="633">
        <v>-6.4465408805031488E-2</v>
      </c>
      <c r="DY241" s="633">
        <v>-4.2016806722688926E-3</v>
      </c>
      <c r="DZ241" s="633">
        <v>-8.7763713080168726E-2</v>
      </c>
      <c r="EA241" s="633">
        <v>0.86771507863089736</v>
      </c>
      <c r="EB241" s="633">
        <v>1.9316493313521477E-2</v>
      </c>
      <c r="EC241" s="627">
        <v>-0.19436345966958213</v>
      </c>
      <c r="ED241" s="627">
        <v>6.0313630880570734E-4</v>
      </c>
      <c r="EE241" s="627">
        <v>0.31042796865581668</v>
      </c>
      <c r="EF241" s="627">
        <v>0.20543979127553347</v>
      </c>
      <c r="EG241" s="627">
        <v>-4.9553473291677697E-2</v>
      </c>
      <c r="EH241" s="627">
        <v>-0.13470872060858508</v>
      </c>
      <c r="EI241" s="627">
        <v>0.53837700531359522</v>
      </c>
      <c r="EJ241" s="627">
        <v>-2.9520240145986198E-2</v>
      </c>
      <c r="EK241" s="627">
        <v>0.24600955724922202</v>
      </c>
      <c r="EL241" s="627">
        <v>1.8423323820670134E-2</v>
      </c>
      <c r="EM241" s="627">
        <v>-2.9112454333852456E-2</v>
      </c>
      <c r="EN241" s="627">
        <v>9.6253165577591115E-3</v>
      </c>
      <c r="EO241" s="627">
        <v>6.3568646989571764E-2</v>
      </c>
      <c r="EP241" s="750"/>
      <c r="EQ241" s="746"/>
    </row>
    <row r="242" spans="1:147" s="751" customFormat="1" ht="15" customHeight="1">
      <c r="A242" s="745"/>
      <c r="B242"/>
      <c r="C242"/>
      <c r="D242"/>
      <c r="E242"/>
      <c r="F242"/>
      <c r="G242"/>
      <c r="H242" s="746"/>
      <c r="I242" s="752"/>
      <c r="J242" s="753"/>
      <c r="K242" s="753"/>
      <c r="L242" s="753"/>
      <c r="M242" s="754"/>
      <c r="N242" s="753"/>
      <c r="O242" s="753"/>
      <c r="P242" s="753"/>
      <c r="Q242" s="754"/>
      <c r="R242" s="753"/>
      <c r="S242" s="753"/>
      <c r="T242" s="753"/>
      <c r="U242" s="754"/>
      <c r="V242" s="753"/>
      <c r="W242" s="753"/>
      <c r="X242" s="753"/>
      <c r="Y242" s="754"/>
      <c r="Z242" s="753"/>
      <c r="AA242" s="753"/>
      <c r="AB242" s="753"/>
      <c r="AC242" s="754"/>
      <c r="AD242" s="753"/>
      <c r="AE242" s="753"/>
      <c r="AF242" s="753"/>
      <c r="AG242" s="754"/>
      <c r="AH242" s="753"/>
      <c r="AI242" s="753"/>
      <c r="AJ242" s="753"/>
      <c r="AK242" s="754"/>
      <c r="AL242" s="753"/>
      <c r="AM242" s="753"/>
      <c r="AN242" s="753"/>
      <c r="AO242" s="754"/>
      <c r="AP242" s="753"/>
      <c r="AQ242" s="753"/>
      <c r="AR242" s="753"/>
      <c r="AS242" s="754"/>
      <c r="AT242" s="753"/>
      <c r="AU242" s="753"/>
      <c r="AV242" s="753"/>
      <c r="AW242" s="754"/>
      <c r="AX242" s="753"/>
      <c r="AY242" s="753"/>
      <c r="AZ242" s="753"/>
      <c r="BA242" s="754"/>
      <c r="BB242" s="753"/>
      <c r="BC242" s="753"/>
      <c r="BD242" s="753"/>
      <c r="BE242" s="754"/>
      <c r="BF242" s="753"/>
      <c r="BG242" s="753"/>
      <c r="BH242" s="753"/>
      <c r="BI242" s="754"/>
      <c r="BJ242" s="753"/>
      <c r="BK242" s="753"/>
      <c r="BL242" s="753"/>
      <c r="BM242" s="754"/>
      <c r="BN242" s="753"/>
      <c r="BO242" s="753"/>
      <c r="BP242" s="753"/>
      <c r="BQ242" s="754"/>
      <c r="BR242" s="753"/>
      <c r="BS242" s="753"/>
      <c r="BT242" s="753"/>
      <c r="BU242" s="754"/>
      <c r="BV242" s="753"/>
      <c r="BW242" s="753"/>
      <c r="BX242" s="753"/>
      <c r="BY242" s="754"/>
      <c r="BZ242" s="753"/>
      <c r="CA242" s="753"/>
      <c r="CB242" s="753"/>
      <c r="CC242" s="754"/>
      <c r="CD242" s="753"/>
      <c r="CE242" s="753"/>
      <c r="CF242" s="753"/>
      <c r="CG242" s="754"/>
      <c r="CH242" s="753"/>
      <c r="CI242" s="753"/>
      <c r="CJ242" s="753"/>
      <c r="CK242" s="754"/>
      <c r="CL242" s="753"/>
      <c r="CM242" s="753"/>
      <c r="CN242" s="753"/>
      <c r="CO242" s="754"/>
      <c r="CP242" s="753"/>
      <c r="CQ242" s="753"/>
      <c r="CR242" s="753"/>
      <c r="CS242" s="754"/>
      <c r="CT242" s="753"/>
      <c r="CU242" s="753"/>
      <c r="CV242" s="753"/>
      <c r="CW242" s="754"/>
      <c r="CX242" s="753"/>
      <c r="CY242" s="753"/>
      <c r="CZ242" s="753"/>
      <c r="DA242" s="754"/>
      <c r="DB242" s="753"/>
      <c r="DC242" s="753"/>
      <c r="DD242" s="753"/>
      <c r="DE242" s="754"/>
      <c r="DF242" s="753"/>
      <c r="DG242" s="753"/>
      <c r="DH242" s="753"/>
      <c r="DI242" s="754"/>
      <c r="DJ242" s="748"/>
      <c r="DK242" s="755"/>
      <c r="DL242" s="753"/>
      <c r="DM242" s="753"/>
      <c r="DN242" s="753"/>
      <c r="DO242" s="753"/>
      <c r="DP242" s="753"/>
      <c r="DQ242" s="753"/>
      <c r="DR242" s="753"/>
      <c r="DS242" s="756"/>
      <c r="DT242" s="756"/>
      <c r="DU242" s="756"/>
      <c r="DV242" s="756"/>
      <c r="DW242" s="756"/>
      <c r="DX242" s="756"/>
      <c r="DY242" s="756"/>
      <c r="DZ242" s="756"/>
      <c r="EA242" s="756"/>
      <c r="EB242" s="756"/>
      <c r="EC242" s="753"/>
      <c r="ED242" s="753"/>
      <c r="EE242" s="753"/>
      <c r="EF242" s="753"/>
      <c r="EG242" s="753"/>
      <c r="EH242" s="753"/>
      <c r="EI242" s="753"/>
      <c r="EJ242" s="753"/>
      <c r="EK242" s="753"/>
      <c r="EL242" s="753"/>
      <c r="EM242" s="753"/>
      <c r="EN242" s="753"/>
      <c r="EO242" s="753"/>
      <c r="EP242" s="750"/>
      <c r="EQ242" s="746"/>
    </row>
    <row r="243" spans="1:147" s="751" customFormat="1" ht="15" customHeight="1">
      <c r="A243" s="745"/>
      <c r="B243"/>
      <c r="C243"/>
      <c r="D243"/>
      <c r="E243"/>
      <c r="F243"/>
      <c r="G243"/>
      <c r="H243" s="746"/>
      <c r="I243" s="752" t="s">
        <v>1641</v>
      </c>
      <c r="J243" s="753"/>
      <c r="K243" s="753"/>
      <c r="L243" s="753"/>
      <c r="M243" s="754"/>
      <c r="N243" s="753"/>
      <c r="O243" s="753"/>
      <c r="P243" s="753"/>
      <c r="Q243" s="754"/>
      <c r="R243" s="753"/>
      <c r="S243" s="753"/>
      <c r="T243" s="753"/>
      <c r="U243" s="754"/>
      <c r="V243" s="753"/>
      <c r="W243" s="753"/>
      <c r="X243" s="753"/>
      <c r="Y243" s="754"/>
      <c r="Z243" s="753"/>
      <c r="AA243" s="753"/>
      <c r="AB243" s="753"/>
      <c r="AC243" s="754"/>
      <c r="AD243" s="753"/>
      <c r="AE243" s="753"/>
      <c r="AF243" s="753"/>
      <c r="AG243" s="754"/>
      <c r="AH243" s="753"/>
      <c r="AI243" s="753"/>
      <c r="AJ243" s="753"/>
      <c r="AK243" s="754"/>
      <c r="AL243" s="753"/>
      <c r="AM243" s="753"/>
      <c r="AN243" s="753"/>
      <c r="AO243" s="754"/>
      <c r="AP243" s="753"/>
      <c r="AQ243" s="753"/>
      <c r="AR243" s="753"/>
      <c r="AS243" s="754"/>
      <c r="AT243" s="753">
        <v>0</v>
      </c>
      <c r="AU243" s="753">
        <v>0</v>
      </c>
      <c r="AV243" s="753">
        <v>0</v>
      </c>
      <c r="AW243" s="754">
        <v>0</v>
      </c>
      <c r="AX243" s="753">
        <v>0</v>
      </c>
      <c r="AY243" s="753">
        <v>0</v>
      </c>
      <c r="AZ243" s="753">
        <v>0</v>
      </c>
      <c r="BA243" s="754">
        <v>0</v>
      </c>
      <c r="BB243" s="753">
        <v>0.53278688524590168</v>
      </c>
      <c r="BC243" s="753">
        <v>-0.48167539267015708</v>
      </c>
      <c r="BD243" s="753">
        <v>0.15454545454545454</v>
      </c>
      <c r="BE243" s="754">
        <v>0.85848074921956297</v>
      </c>
      <c r="BF243" s="753">
        <v>1.2743362831858407</v>
      </c>
      <c r="BG243" s="753">
        <v>0.23291925465838509</v>
      </c>
      <c r="BH243" s="753">
        <v>0.5842696629213483</v>
      </c>
      <c r="BI243" s="754">
        <v>0.78755186721991699</v>
      </c>
      <c r="BJ243" s="753">
        <v>1.1407407407407408</v>
      </c>
      <c r="BK243" s="753">
        <v>0.63829787234042556</v>
      </c>
      <c r="BL243" s="753">
        <v>-0.57599999999999996</v>
      </c>
      <c r="BM243" s="754">
        <v>0.97078651685393258</v>
      </c>
      <c r="BN243" s="753">
        <v>0.38223938223938225</v>
      </c>
      <c r="BO243" s="753">
        <v>0.61363636363636365</v>
      </c>
      <c r="BP243" s="753">
        <v>-0.61130742049469966</v>
      </c>
      <c r="BQ243" s="754">
        <v>1.2492046659597031</v>
      </c>
      <c r="BR243" s="753">
        <v>0.8392857142857143</v>
      </c>
      <c r="BS243" s="753">
        <v>0.55440414507772018</v>
      </c>
      <c r="BT243" s="753">
        <v>-0.82545454545454544</v>
      </c>
      <c r="BU243" s="754">
        <v>1.1751740139211138</v>
      </c>
      <c r="BV243" s="753">
        <v>1.0180505415162455</v>
      </c>
      <c r="BW243" s="753">
        <v>0.7027463651050081</v>
      </c>
      <c r="BX243" s="753">
        <v>0.79077429983525538</v>
      </c>
      <c r="BY243" s="754">
        <v>0.80985221674876851</v>
      </c>
      <c r="BZ243" s="753">
        <v>1.0129870129870129</v>
      </c>
      <c r="CA243" s="753">
        <v>0.46520874751491054</v>
      </c>
      <c r="CB243" s="753">
        <v>0.52279635258358659</v>
      </c>
      <c r="CC243" s="754">
        <v>1.1054766734279919</v>
      </c>
      <c r="CD243" s="753">
        <v>1.1581395348837209</v>
      </c>
      <c r="CE243" s="753">
        <v>-4.9881235154394299E-2</v>
      </c>
      <c r="CF243" s="753">
        <v>0.41366223908918404</v>
      </c>
      <c r="CG243" s="754">
        <v>0.77723970944309928</v>
      </c>
      <c r="CH243" s="753">
        <v>1.1160714285714286</v>
      </c>
      <c r="CI243" s="753">
        <v>0.37352941176470589</v>
      </c>
      <c r="CJ243" s="753">
        <v>0.83890577507598785</v>
      </c>
      <c r="CK243" s="754">
        <v>0.73539232053422365</v>
      </c>
      <c r="CL243" s="753">
        <v>0.22671353251318102</v>
      </c>
      <c r="CM243" s="753">
        <v>0.76108870967741937</v>
      </c>
      <c r="CN243" s="753">
        <v>0.23505434782608695</v>
      </c>
      <c r="CO243" s="754">
        <v>0.94580863674851823</v>
      </c>
      <c r="CP243" s="753">
        <v>0.93728620296465226</v>
      </c>
      <c r="CQ243" s="753">
        <v>0.48761408083441982</v>
      </c>
      <c r="CR243" s="753">
        <v>0.65052356020942403</v>
      </c>
      <c r="CS243" s="754">
        <v>0.68180002518691041</v>
      </c>
      <c r="CT243" s="753">
        <v>1.7814312282434075</v>
      </c>
      <c r="CU243" s="753">
        <v>-8.2207214705182829E-2</v>
      </c>
      <c r="CV243" s="753">
        <v>0.37154080224270253</v>
      </c>
      <c r="CW243" s="754">
        <v>0.71540931561269128</v>
      </c>
      <c r="CX243" s="753"/>
      <c r="CY243" s="753"/>
      <c r="CZ243" s="753"/>
      <c r="DA243" s="754"/>
      <c r="DB243" s="753"/>
      <c r="DC243" s="753"/>
      <c r="DD243" s="753"/>
      <c r="DE243" s="754"/>
      <c r="DF243" s="753"/>
      <c r="DG243" s="753"/>
      <c r="DH243" s="753"/>
      <c r="DI243" s="754"/>
      <c r="DJ243" s="748"/>
      <c r="DK243" s="755"/>
      <c r="DL243" s="753"/>
      <c r="DM243" s="753"/>
      <c r="DN243" s="753"/>
      <c r="DO243" s="753"/>
      <c r="DP243" s="753"/>
      <c r="DQ243" s="753"/>
      <c r="DR243" s="753"/>
      <c r="DS243" s="756">
        <v>0.2890625</v>
      </c>
      <c r="DT243" s="756">
        <v>0.70461733080328903</v>
      </c>
      <c r="DU243" s="756">
        <v>0.81516889738687059</v>
      </c>
      <c r="DV243" s="756">
        <v>0.58432934926958835</v>
      </c>
      <c r="DW243" s="756">
        <v>0.6996699669966997</v>
      </c>
      <c r="DX243" s="756">
        <v>0.83450210378681622</v>
      </c>
      <c r="DY243" s="756">
        <v>0.73283858998144713</v>
      </c>
      <c r="DZ243" s="756">
        <v>0.69562419562419564</v>
      </c>
      <c r="EA243" s="756">
        <v>0.80182684670373316</v>
      </c>
      <c r="EB243" s="756">
        <v>0.8127962085308057</v>
      </c>
      <c r="EC243" s="753">
        <v>0.63354986625907528</v>
      </c>
      <c r="ED243" s="753">
        <v>0.75306400363141168</v>
      </c>
      <c r="EE243" s="753">
        <v>0.614992927864215</v>
      </c>
      <c r="EF243" s="753">
        <v>0.68503169731406155</v>
      </c>
      <c r="EG243" s="753">
        <v>0.67544898764962114</v>
      </c>
      <c r="EH243" s="753">
        <v>0.46641285013681205</v>
      </c>
      <c r="EI243" s="753">
        <v>0.78754868213356943</v>
      </c>
      <c r="EJ243" s="753">
        <v>0.82350698670727884</v>
      </c>
      <c r="EK243" s="753">
        <v>0.90272267821586583</v>
      </c>
      <c r="EL243" s="753">
        <v>1.0057813502948367</v>
      </c>
      <c r="EM243" s="753">
        <v>0.94771223182737696</v>
      </c>
      <c r="EN243" s="753">
        <v>0.97811681018767072</v>
      </c>
      <c r="EO243" s="753">
        <v>0.90149772317417443</v>
      </c>
      <c r="EP243" s="750"/>
      <c r="EQ243" s="746"/>
    </row>
    <row r="244" spans="1:147" s="751" customFormat="1" ht="15" customHeight="1">
      <c r="A244" s="745"/>
      <c r="B244"/>
      <c r="C244"/>
      <c r="D244"/>
      <c r="E244"/>
      <c r="F244"/>
      <c r="G244"/>
      <c r="H244" s="746"/>
      <c r="I244" s="752" t="s">
        <v>1642</v>
      </c>
      <c r="J244" s="753"/>
      <c r="K244" s="753"/>
      <c r="L244" s="753"/>
      <c r="M244" s="754"/>
      <c r="N244" s="753"/>
      <c r="O244" s="753"/>
      <c r="P244" s="753"/>
      <c r="Q244" s="754"/>
      <c r="R244" s="753"/>
      <c r="S244" s="753"/>
      <c r="T244" s="753"/>
      <c r="U244" s="754"/>
      <c r="V244" s="753"/>
      <c r="W244" s="753"/>
      <c r="X244" s="753"/>
      <c r="Y244" s="754"/>
      <c r="Z244" s="753"/>
      <c r="AA244" s="753"/>
      <c r="AB244" s="753"/>
      <c r="AC244" s="754"/>
      <c r="AD244" s="753"/>
      <c r="AE244" s="753"/>
      <c r="AF244" s="753"/>
      <c r="AG244" s="754"/>
      <c r="AH244" s="753"/>
      <c r="AI244" s="753"/>
      <c r="AJ244" s="753"/>
      <c r="AK244" s="754"/>
      <c r="AL244" s="753"/>
      <c r="AM244" s="753"/>
      <c r="AN244" s="753"/>
      <c r="AO244" s="754"/>
      <c r="AP244" s="753"/>
      <c r="AQ244" s="753"/>
      <c r="AR244" s="753"/>
      <c r="AS244" s="754"/>
      <c r="AT244" s="753">
        <v>0</v>
      </c>
      <c r="AU244" s="753">
        <v>0</v>
      </c>
      <c r="AV244" s="753">
        <v>0</v>
      </c>
      <c r="AW244" s="754">
        <v>0</v>
      </c>
      <c r="AX244" s="753">
        <v>0</v>
      </c>
      <c r="AY244" s="753">
        <v>0</v>
      </c>
      <c r="AZ244" s="753">
        <v>0</v>
      </c>
      <c r="BA244" s="754">
        <v>0</v>
      </c>
      <c r="BB244" s="753">
        <v>0.24208566108007448</v>
      </c>
      <c r="BC244" s="753">
        <v>-0.25842696629213485</v>
      </c>
      <c r="BD244" s="753">
        <v>0.10119047619047619</v>
      </c>
      <c r="BE244" s="754">
        <v>4.6875</v>
      </c>
      <c r="BF244" s="753">
        <v>0.35820895522388058</v>
      </c>
      <c r="BG244" s="753">
        <v>0.36231884057971014</v>
      </c>
      <c r="BH244" s="753">
        <v>0.41434262948207173</v>
      </c>
      <c r="BI244" s="754">
        <v>2.3374384236453203</v>
      </c>
      <c r="BJ244" s="753">
        <v>0.6470588235294118</v>
      </c>
      <c r="BK244" s="753">
        <v>0.26392961876832843</v>
      </c>
      <c r="BL244" s="753">
        <v>-0.63716814159292035</v>
      </c>
      <c r="BM244" s="754">
        <v>3.9272727272727272</v>
      </c>
      <c r="BN244" s="753">
        <v>0.31730769230769229</v>
      </c>
      <c r="BO244" s="753">
        <v>0.36986301369863012</v>
      </c>
      <c r="BP244" s="753">
        <v>-4.3250000000000002</v>
      </c>
      <c r="BQ244" s="754">
        <v>3.3753581661891117</v>
      </c>
      <c r="BR244" s="753">
        <v>0.45742092457420924</v>
      </c>
      <c r="BS244" s="753">
        <v>0.46724890829694321</v>
      </c>
      <c r="BT244" s="753">
        <v>-1.5442176870748299</v>
      </c>
      <c r="BU244" s="754">
        <v>5.5054347826086953</v>
      </c>
      <c r="BV244" s="753">
        <v>0.63945578231292521</v>
      </c>
      <c r="BW244" s="753">
        <v>1.2756598240469208</v>
      </c>
      <c r="BX244" s="753">
        <v>1.2972972972972974</v>
      </c>
      <c r="BY244" s="754">
        <v>1.657258064516129</v>
      </c>
      <c r="BZ244" s="753">
        <v>0.7142857142857143</v>
      </c>
      <c r="CA244" s="753">
        <v>0.5611510791366906</v>
      </c>
      <c r="CB244" s="753">
        <v>0.96089385474860334</v>
      </c>
      <c r="CC244" s="754">
        <v>2.9066666666666667</v>
      </c>
      <c r="CD244" s="753">
        <v>0.82314049586776861</v>
      </c>
      <c r="CE244" s="753">
        <v>-4.4397463002114168E-2</v>
      </c>
      <c r="CF244" s="753">
        <v>0.67076923076923078</v>
      </c>
      <c r="CG244" s="754">
        <v>1.3816355810616929</v>
      </c>
      <c r="CH244" s="753">
        <v>0.62189054726368154</v>
      </c>
      <c r="CI244" s="753">
        <v>0.31127450980392157</v>
      </c>
      <c r="CJ244" s="753">
        <v>0.93559322033898307</v>
      </c>
      <c r="CK244" s="754">
        <v>1.8278008298755186</v>
      </c>
      <c r="CL244" s="753">
        <v>0.21827411167512689</v>
      </c>
      <c r="CM244" s="753">
        <v>1.196513470681458</v>
      </c>
      <c r="CN244" s="753">
        <v>0.25329428989751096</v>
      </c>
      <c r="CO244" s="754">
        <v>1.8932203389830509</v>
      </c>
      <c r="CP244" s="753">
        <v>1.0703125</v>
      </c>
      <c r="CQ244" s="753">
        <v>0.39744952178533477</v>
      </c>
      <c r="CR244" s="753">
        <v>0.71</v>
      </c>
      <c r="CS244" s="754">
        <v>0.89070136877395223</v>
      </c>
      <c r="CT244" s="753">
        <v>2.4132754360515674</v>
      </c>
      <c r="CU244" s="753">
        <v>-0.11184186123335277</v>
      </c>
      <c r="CV244" s="753">
        <v>0.49670486248598306</v>
      </c>
      <c r="CW244" s="754">
        <v>0.94256366547079273</v>
      </c>
      <c r="CX244" s="753"/>
      <c r="CY244" s="753"/>
      <c r="CZ244" s="753"/>
      <c r="DA244" s="754"/>
      <c r="DB244" s="753"/>
      <c r="DC244" s="753"/>
      <c r="DD244" s="753"/>
      <c r="DE244" s="754"/>
      <c r="DF244" s="753"/>
      <c r="DG244" s="753"/>
      <c r="DH244" s="753"/>
      <c r="DI244" s="754"/>
      <c r="DJ244" s="748"/>
      <c r="DK244" s="755"/>
      <c r="DL244" s="753"/>
      <c r="DM244" s="753"/>
      <c r="DN244" s="753"/>
      <c r="DO244" s="753"/>
      <c r="DP244" s="753"/>
      <c r="DQ244" s="753"/>
      <c r="DR244" s="753"/>
      <c r="DS244" s="756">
        <v>-3.1121495327102804</v>
      </c>
      <c r="DT244" s="756">
        <v>1.7654516640253566</v>
      </c>
      <c r="DU244" s="756">
        <v>1.6940397350993377</v>
      </c>
      <c r="DV244" s="756">
        <v>0.7113985448666128</v>
      </c>
      <c r="DW244" s="756">
        <v>1.0047393364928909</v>
      </c>
      <c r="DX244" s="756">
        <v>1.0347826086956522</v>
      </c>
      <c r="DY244" s="756">
        <v>1.2880434782608696</v>
      </c>
      <c r="DZ244" s="756">
        <v>1.1132852729145211</v>
      </c>
      <c r="EA244" s="756">
        <v>1.225121359223301</v>
      </c>
      <c r="EB244" s="756">
        <v>1.2134433962264151</v>
      </c>
      <c r="EC244" s="753">
        <v>0.78952380952380952</v>
      </c>
      <c r="ED244" s="753">
        <v>0.92785234899328861</v>
      </c>
      <c r="EE244" s="753">
        <v>0.87134268537074144</v>
      </c>
      <c r="EF244" s="753">
        <v>0.75950142776117202</v>
      </c>
      <c r="EG244" s="753">
        <v>0.91545632985184999</v>
      </c>
      <c r="EH244" s="753">
        <v>0.63232525121436012</v>
      </c>
      <c r="EI244" s="753">
        <v>1.0314418410135262</v>
      </c>
      <c r="EJ244" s="753">
        <v>1.0898327198487043</v>
      </c>
      <c r="EK244" s="753">
        <v>0.95755316600453311</v>
      </c>
      <c r="EL244" s="753">
        <v>1.040113417600216</v>
      </c>
      <c r="EM244" s="753">
        <v>0.98843659500647596</v>
      </c>
      <c r="EN244" s="753">
        <v>1.0177029502753865</v>
      </c>
      <c r="EO244" s="753">
        <v>0.94718884115831681</v>
      </c>
      <c r="EP244" s="750"/>
      <c r="EQ244" s="746"/>
    </row>
    <row r="245" spans="1:147" s="766" customFormat="1" ht="15" customHeight="1">
      <c r="A245" s="757"/>
      <c r="B245"/>
      <c r="C245"/>
      <c r="D245"/>
      <c r="E245"/>
      <c r="F245"/>
      <c r="G245"/>
      <c r="H245" s="758"/>
      <c r="I245" s="759" t="s">
        <v>1643</v>
      </c>
      <c r="J245" s="760"/>
      <c r="K245" s="760"/>
      <c r="L245" s="760"/>
      <c r="M245" s="761"/>
      <c r="N245" s="760"/>
      <c r="O245" s="760"/>
      <c r="P245" s="760"/>
      <c r="Q245" s="761"/>
      <c r="R245" s="760"/>
      <c r="S245" s="760"/>
      <c r="T245" s="760"/>
      <c r="U245" s="761"/>
      <c r="V245" s="760"/>
      <c r="W245" s="760"/>
      <c r="X245" s="760"/>
      <c r="Y245" s="761"/>
      <c r="Z245" s="760"/>
      <c r="AA245" s="760"/>
      <c r="AB245" s="760"/>
      <c r="AC245" s="761"/>
      <c r="AD245" s="760"/>
      <c r="AE245" s="760"/>
      <c r="AF245" s="760"/>
      <c r="AG245" s="761"/>
      <c r="AH245" s="760"/>
      <c r="AI245" s="760"/>
      <c r="AJ245" s="760"/>
      <c r="AK245" s="761"/>
      <c r="AL245" s="760"/>
      <c r="AM245" s="760"/>
      <c r="AN245" s="760"/>
      <c r="AO245" s="761"/>
      <c r="AP245" s="760"/>
      <c r="AQ245" s="760"/>
      <c r="AR245" s="760"/>
      <c r="AS245" s="761"/>
      <c r="AT245" s="760">
        <v>0</v>
      </c>
      <c r="AU245" s="760">
        <v>0</v>
      </c>
      <c r="AV245" s="760">
        <v>0</v>
      </c>
      <c r="AW245" s="761">
        <v>0</v>
      </c>
      <c r="AX245" s="760">
        <v>0</v>
      </c>
      <c r="AY245" s="760">
        <v>0</v>
      </c>
      <c r="AZ245" s="760">
        <v>0</v>
      </c>
      <c r="BA245" s="761">
        <v>0</v>
      </c>
      <c r="BB245" s="760">
        <v>8.9717046238785375E-2</v>
      </c>
      <c r="BC245" s="760">
        <v>-8.0279232111692841E-2</v>
      </c>
      <c r="BD245" s="760">
        <v>2.2546419098143235E-2</v>
      </c>
      <c r="BE245" s="761">
        <v>0.5863539445628998</v>
      </c>
      <c r="BF245" s="760">
        <v>0.12286689419795221</v>
      </c>
      <c r="BG245" s="760">
        <v>6.9767441860465115E-2</v>
      </c>
      <c r="BH245" s="760">
        <v>0.12366230677764566</v>
      </c>
      <c r="BI245" s="761">
        <v>0.53676470588235292</v>
      </c>
      <c r="BJ245" s="760">
        <v>0.23262839879154079</v>
      </c>
      <c r="BK245" s="760">
        <v>8.5714285714285715E-2</v>
      </c>
      <c r="BL245" s="760">
        <v>-0.10419681620839363</v>
      </c>
      <c r="BM245" s="761">
        <v>0.56916996047430835</v>
      </c>
      <c r="BN245" s="760">
        <v>8.9108910891089105E-2</v>
      </c>
      <c r="BO245" s="760">
        <v>8.3505154639175252E-2</v>
      </c>
      <c r="BP245" s="760">
        <v>-0.2297476759628154</v>
      </c>
      <c r="BQ245" s="761">
        <v>0.7479365079365079</v>
      </c>
      <c r="BR245" s="760">
        <v>0.14710485133020346</v>
      </c>
      <c r="BS245" s="760">
        <v>0.1024904214559387</v>
      </c>
      <c r="BT245" s="760">
        <v>-0.2292929292929293</v>
      </c>
      <c r="BU245" s="761">
        <v>0.74870657797487061</v>
      </c>
      <c r="BV245" s="760">
        <v>0.19381443298969073</v>
      </c>
      <c r="BW245" s="760">
        <v>0.27707006369426751</v>
      </c>
      <c r="BX245" s="760">
        <v>0.30612244897959184</v>
      </c>
      <c r="BY245" s="761">
        <v>0.40814299900695133</v>
      </c>
      <c r="BZ245" s="760">
        <v>0.22595596755504055</v>
      </c>
      <c r="CA245" s="760">
        <v>0.14347026364193746</v>
      </c>
      <c r="CB245" s="760">
        <v>0.21260815822002471</v>
      </c>
      <c r="CC245" s="761">
        <v>0.53352912383749385</v>
      </c>
      <c r="CD245" s="760">
        <v>0.25343511450381678</v>
      </c>
      <c r="CE245" s="760">
        <v>-1.2797074954296161E-2</v>
      </c>
      <c r="CF245" s="760">
        <v>0.14417989417989419</v>
      </c>
      <c r="CG245" s="761">
        <v>0.40445191096178079</v>
      </c>
      <c r="CH245" s="760">
        <v>0.20547945205479451</v>
      </c>
      <c r="CI245" s="760">
        <v>9.0974212034383953E-2</v>
      </c>
      <c r="CJ245" s="760">
        <v>0.21528861154446177</v>
      </c>
      <c r="CK245" s="761">
        <v>0.44360523665659618</v>
      </c>
      <c r="CL245" s="760">
        <v>7.2147651006711416E-2</v>
      </c>
      <c r="CM245" s="760">
        <v>0.39078674948240166</v>
      </c>
      <c r="CN245" s="760">
        <v>8.8536335721596721E-2</v>
      </c>
      <c r="CO245" s="761">
        <v>0.46290924160795688</v>
      </c>
      <c r="CP245" s="760">
        <v>0.36131868131868133</v>
      </c>
      <c r="CQ245" s="760">
        <v>0.16289198606271776</v>
      </c>
      <c r="CR245" s="760">
        <v>0.24009661835748791</v>
      </c>
      <c r="CS245" s="761">
        <v>0.32929916453846964</v>
      </c>
      <c r="CT245" s="760">
        <v>0.64661567896460859</v>
      </c>
      <c r="CU245" s="760">
        <v>-2.7926147720523042E-2</v>
      </c>
      <c r="CV245" s="760">
        <v>0.15467745182522752</v>
      </c>
      <c r="CW245" s="761">
        <v>0.32631774526902402</v>
      </c>
      <c r="CX245" s="760"/>
      <c r="CY245" s="760"/>
      <c r="CZ245" s="760"/>
      <c r="DA245" s="761"/>
      <c r="DB245" s="760"/>
      <c r="DC245" s="760"/>
      <c r="DD245" s="760"/>
      <c r="DE245" s="761"/>
      <c r="DF245" s="760"/>
      <c r="DG245" s="760"/>
      <c r="DH245" s="760"/>
      <c r="DI245" s="761"/>
      <c r="DJ245" s="762"/>
      <c r="DK245" s="763"/>
      <c r="DL245" s="760"/>
      <c r="DM245" s="760"/>
      <c r="DN245" s="760"/>
      <c r="DO245" s="760"/>
      <c r="DP245" s="760"/>
      <c r="DQ245" s="760"/>
      <c r="DR245" s="760"/>
      <c r="DS245" s="760">
        <v>0.11004626569729015</v>
      </c>
      <c r="DT245" s="760">
        <v>0.26034120121523718</v>
      </c>
      <c r="DU245" s="760">
        <v>0.28760962446593208</v>
      </c>
      <c r="DV245" s="760">
        <v>0.18502943650126155</v>
      </c>
      <c r="DW245" s="760">
        <v>0.26194398682042835</v>
      </c>
      <c r="DX245" s="760">
        <v>0.25965524765437487</v>
      </c>
      <c r="DY245" s="760">
        <v>0.26876842821501473</v>
      </c>
      <c r="DZ245" s="760">
        <v>0.23172561629153268</v>
      </c>
      <c r="EA245" s="760">
        <v>0.30558498562131076</v>
      </c>
      <c r="EB245" s="760">
        <v>0.29324593901396412</v>
      </c>
      <c r="EC245" s="760">
        <v>0.22109614615282039</v>
      </c>
      <c r="ED245" s="760">
        <v>0.25566343042071199</v>
      </c>
      <c r="EE245" s="760">
        <v>0.26882651168542104</v>
      </c>
      <c r="EF245" s="760">
        <v>0.27708122412967939</v>
      </c>
      <c r="EG245" s="760">
        <v>0.28050723287450885</v>
      </c>
      <c r="EH245" s="760">
        <v>0.20815392515774192</v>
      </c>
      <c r="EI245" s="760">
        <v>0.340039273053103</v>
      </c>
      <c r="EJ245" s="760">
        <v>0.34401757684805445</v>
      </c>
      <c r="EK245" s="760">
        <v>0.4021479735619925</v>
      </c>
      <c r="EL245" s="760">
        <v>0.4246019502900093</v>
      </c>
      <c r="EM245" s="760">
        <v>0.40948728019293973</v>
      </c>
      <c r="EN245" s="760">
        <v>0.41568990924925103</v>
      </c>
      <c r="EO245" s="760">
        <v>0.41070095341718116</v>
      </c>
      <c r="EP245" s="764"/>
      <c r="EQ245" s="765"/>
    </row>
    <row r="246" spans="1:147" ht="15" customHeight="1">
      <c r="A246" s="473"/>
      <c r="H246" s="474"/>
      <c r="I246" s="767"/>
      <c r="J246" s="768"/>
      <c r="K246" s="768"/>
      <c r="L246" s="768"/>
      <c r="M246" s="768"/>
      <c r="N246" s="768"/>
      <c r="O246" s="768"/>
      <c r="P246" s="768"/>
      <c r="Q246" s="768"/>
      <c r="R246" s="768"/>
      <c r="S246" s="768"/>
      <c r="T246" s="768"/>
      <c r="U246" s="768"/>
      <c r="V246" s="768"/>
      <c r="W246" s="768"/>
      <c r="X246" s="768"/>
      <c r="Y246" s="768"/>
      <c r="Z246" s="768"/>
      <c r="AA246" s="768"/>
      <c r="AB246" s="768"/>
      <c r="AC246" s="768"/>
      <c r="AD246" s="768"/>
      <c r="AE246" s="768"/>
      <c r="AF246" s="768"/>
      <c r="AG246" s="768"/>
      <c r="AH246" s="768"/>
      <c r="AI246" s="768"/>
      <c r="AJ246" s="768"/>
      <c r="AK246" s="768"/>
      <c r="AL246" s="768"/>
      <c r="AM246" s="768"/>
      <c r="AN246" s="768"/>
      <c r="AO246" s="768"/>
      <c r="AP246" s="768"/>
      <c r="AQ246" s="768"/>
      <c r="AR246" s="768"/>
      <c r="AS246" s="768"/>
      <c r="AT246" s="768"/>
      <c r="AU246" s="768"/>
      <c r="AV246" s="768"/>
      <c r="AW246" s="768"/>
      <c r="AX246" s="768"/>
      <c r="AY246" s="768"/>
      <c r="AZ246" s="768"/>
      <c r="BA246" s="768"/>
      <c r="BB246" s="768"/>
      <c r="BC246" s="768"/>
      <c r="BD246" s="768"/>
      <c r="BE246" s="768"/>
      <c r="BF246" s="768"/>
      <c r="BG246" s="768"/>
      <c r="BH246" s="768"/>
      <c r="BI246" s="768"/>
      <c r="BJ246" s="768"/>
      <c r="BK246" s="768"/>
      <c r="BL246" s="768"/>
      <c r="BM246" s="768"/>
      <c r="BN246" s="768"/>
      <c r="BO246" s="768"/>
      <c r="BP246" s="768"/>
      <c r="BQ246" s="768"/>
      <c r="BR246" s="768"/>
      <c r="BS246" s="768"/>
      <c r="BT246" s="768"/>
      <c r="BU246" s="768"/>
      <c r="BV246" s="768"/>
      <c r="BW246" s="768"/>
      <c r="BX246" s="768"/>
      <c r="BY246" s="768"/>
      <c r="BZ246" s="768"/>
      <c r="CA246" s="768"/>
      <c r="CB246" s="768"/>
      <c r="CC246" s="768"/>
      <c r="CD246" s="768"/>
      <c r="CE246" s="768"/>
      <c r="CF246" s="768"/>
      <c r="CG246" s="768"/>
      <c r="CH246" s="768"/>
      <c r="CI246" s="768"/>
      <c r="CJ246" s="768"/>
      <c r="CK246" s="768"/>
      <c r="CL246" s="768"/>
      <c r="CM246" s="768"/>
      <c r="CN246" s="768"/>
      <c r="CO246" s="768"/>
      <c r="CP246" s="768"/>
      <c r="CQ246" s="768"/>
      <c r="CR246" s="768"/>
      <c r="CS246" s="768"/>
      <c r="CT246" s="768"/>
      <c r="CU246" s="768"/>
      <c r="CV246" s="768"/>
      <c r="CW246" s="768"/>
      <c r="CX246" s="768"/>
      <c r="CY246" s="768"/>
      <c r="CZ246" s="768"/>
      <c r="DA246" s="768"/>
      <c r="DB246" s="768"/>
      <c r="DC246" s="768"/>
      <c r="DD246" s="768"/>
      <c r="DE246" s="768"/>
      <c r="DF246" s="768"/>
      <c r="DG246" s="768"/>
      <c r="DH246" s="768"/>
      <c r="DI246" s="768"/>
      <c r="DJ246" s="386"/>
      <c r="DK246" s="768"/>
      <c r="DL246" s="768"/>
      <c r="DM246" s="768"/>
      <c r="DN246" s="768"/>
      <c r="DO246" s="768"/>
      <c r="DP246" s="768"/>
      <c r="DQ246" s="768"/>
      <c r="DR246" s="768"/>
      <c r="DS246" s="768"/>
      <c r="DT246" s="768"/>
      <c r="DU246" s="768"/>
      <c r="DV246" s="768"/>
      <c r="DW246" s="768"/>
      <c r="DX246" s="768"/>
      <c r="DY246" s="768"/>
      <c r="DZ246" s="768"/>
      <c r="EA246" s="768"/>
      <c r="EB246" s="768"/>
      <c r="EC246" s="768"/>
      <c r="ED246" s="768"/>
      <c r="EE246" s="768"/>
      <c r="EF246" s="768"/>
      <c r="EG246" s="768"/>
      <c r="EH246" s="768"/>
      <c r="EI246" s="768"/>
      <c r="EJ246" s="768"/>
      <c r="EK246" s="768"/>
      <c r="EL246" s="768"/>
      <c r="EM246" s="768"/>
      <c r="EN246" s="768"/>
      <c r="EO246" s="768"/>
      <c r="EP246" s="356"/>
      <c r="EQ246" s="356"/>
    </row>
    <row r="247" spans="1:147" s="589" customFormat="1" ht="12.95">
      <c r="A247"/>
      <c r="B247"/>
      <c r="C247"/>
      <c r="D247"/>
      <c r="E247"/>
      <c r="F247"/>
      <c r="G247"/>
      <c r="I247" s="769" t="s">
        <v>1644</v>
      </c>
      <c r="J247" s="357"/>
      <c r="K247" s="357"/>
      <c r="L247" s="357"/>
      <c r="M247" s="357"/>
      <c r="N247" s="357"/>
      <c r="O247" s="357"/>
      <c r="P247" s="357"/>
      <c r="Q247" s="357"/>
      <c r="R247" s="357"/>
      <c r="S247" s="357"/>
      <c r="T247" s="357"/>
      <c r="U247" s="357"/>
      <c r="V247" s="357"/>
      <c r="W247" s="357"/>
      <c r="X247" s="357"/>
      <c r="Y247" s="357"/>
      <c r="Z247" s="357"/>
      <c r="AA247" s="357"/>
      <c r="AB247" s="357"/>
      <c r="AC247" s="357"/>
      <c r="AD247" s="357"/>
      <c r="AE247" s="357"/>
      <c r="AF247" s="357"/>
      <c r="AG247" s="357"/>
      <c r="AH247" s="357"/>
      <c r="AI247" s="357"/>
      <c r="AJ247" s="357"/>
      <c r="AK247" s="357"/>
      <c r="AL247" s="357"/>
      <c r="AM247" s="357"/>
      <c r="AN247" s="357"/>
      <c r="AO247" s="357"/>
      <c r="AP247" s="357"/>
      <c r="AQ247" s="357"/>
      <c r="AR247" s="357"/>
      <c r="AS247" s="357"/>
      <c r="AT247" s="357"/>
      <c r="AU247" s="357"/>
      <c r="AV247" s="357"/>
      <c r="AW247" s="357"/>
      <c r="AX247" s="357"/>
      <c r="AY247" s="357"/>
      <c r="AZ247" s="357"/>
      <c r="BA247" s="357"/>
      <c r="BB247" s="357"/>
      <c r="BC247" s="357"/>
      <c r="BD247" s="357"/>
      <c r="BE247" s="357"/>
      <c r="BF247" s="357"/>
      <c r="BG247" s="357"/>
      <c r="BH247" s="357"/>
      <c r="BI247" s="357"/>
      <c r="BJ247" s="357"/>
      <c r="BK247" s="357"/>
      <c r="BL247" s="357"/>
      <c r="BM247" s="357"/>
      <c r="BN247" s="357"/>
      <c r="BO247" s="357"/>
      <c r="BP247" s="357"/>
      <c r="BQ247" s="357"/>
      <c r="BR247" s="357"/>
      <c r="BS247" s="357"/>
      <c r="BT247" s="357"/>
      <c r="BU247" s="357"/>
      <c r="BV247" s="357"/>
      <c r="BW247" s="357"/>
      <c r="BX247" s="357"/>
      <c r="BY247" s="357"/>
      <c r="BZ247" s="357"/>
      <c r="CA247" s="357"/>
      <c r="CB247" s="357"/>
      <c r="CC247" s="357"/>
      <c r="CD247" s="357"/>
      <c r="CE247" s="357"/>
      <c r="CF247" s="357"/>
      <c r="CG247" s="357"/>
      <c r="CH247" s="357"/>
      <c r="CI247" s="357"/>
      <c r="CJ247" s="357"/>
      <c r="CK247" s="357"/>
      <c r="CL247" s="357"/>
      <c r="CM247" s="357"/>
      <c r="CN247" s="357"/>
      <c r="CO247" s="357"/>
      <c r="CP247" s="357"/>
      <c r="CQ247" s="357"/>
      <c r="CR247" s="357"/>
      <c r="CS247" s="357"/>
      <c r="CT247" s="357"/>
      <c r="CU247" s="357"/>
      <c r="CV247" s="357"/>
      <c r="CW247" s="357"/>
      <c r="CX247" s="357"/>
      <c r="CY247" s="357"/>
      <c r="CZ247" s="357"/>
      <c r="DA247" s="357"/>
      <c r="DB247" s="357"/>
      <c r="DC247" s="357"/>
      <c r="DD247" s="357"/>
      <c r="DE247" s="357"/>
      <c r="DF247" s="357"/>
      <c r="DG247" s="357"/>
      <c r="DH247" s="357"/>
      <c r="DI247" s="357"/>
      <c r="DJ247" s="357"/>
      <c r="DK247" s="357"/>
      <c r="DL247" s="357"/>
      <c r="DM247" s="357"/>
      <c r="DN247" s="357"/>
      <c r="DO247" s="357"/>
      <c r="DP247" s="357"/>
      <c r="DQ247" s="357"/>
      <c r="DR247" s="357"/>
      <c r="DS247" s="357"/>
      <c r="DT247" s="356"/>
      <c r="DU247" s="356"/>
      <c r="DV247" s="356"/>
      <c r="DW247" s="356"/>
      <c r="DX247" s="356"/>
      <c r="DY247" s="356"/>
      <c r="DZ247" s="356"/>
      <c r="EA247" s="356"/>
      <c r="EB247" s="357"/>
      <c r="EC247" s="357"/>
      <c r="ED247" s="357"/>
      <c r="EE247" s="357"/>
      <c r="EF247" s="357"/>
      <c r="EG247" s="357"/>
      <c r="EH247" s="357"/>
      <c r="EI247" s="357"/>
      <c r="EJ247" s="357"/>
      <c r="EK247" s="357"/>
      <c r="EL247" s="357"/>
      <c r="EM247" s="357"/>
      <c r="EN247" s="357"/>
      <c r="EO247" s="357"/>
      <c r="EP247" s="357"/>
      <c r="EQ247" s="357"/>
    </row>
    <row r="248" spans="1:147" s="357" customFormat="1">
      <c r="A248"/>
      <c r="B248"/>
      <c r="C248"/>
      <c r="D248"/>
      <c r="E248"/>
      <c r="F248"/>
      <c r="G248"/>
      <c r="I248" s="770" t="s">
        <v>1645</v>
      </c>
      <c r="J248" s="771"/>
      <c r="K248" s="771"/>
      <c r="L248" s="771"/>
      <c r="M248" s="771"/>
      <c r="N248" s="771"/>
      <c r="O248" s="771"/>
      <c r="P248" s="771"/>
      <c r="Q248" s="771"/>
      <c r="R248" s="771"/>
      <c r="S248" s="771"/>
      <c r="T248" s="771"/>
      <c r="U248" s="771"/>
      <c r="V248" s="771"/>
      <c r="W248" s="771"/>
      <c r="X248" s="771"/>
      <c r="Y248" s="771"/>
      <c r="Z248" s="771"/>
      <c r="AA248" s="771"/>
      <c r="AB248" s="771"/>
      <c r="AC248" s="771"/>
      <c r="AD248" s="771"/>
      <c r="AE248" s="771"/>
      <c r="AF248" s="771"/>
      <c r="AG248" s="771"/>
      <c r="AH248" s="771"/>
      <c r="AI248" s="771"/>
      <c r="AJ248" s="771"/>
      <c r="AK248" s="771"/>
      <c r="AL248" s="771"/>
      <c r="AM248" s="771"/>
      <c r="AN248" s="771"/>
      <c r="AO248" s="771"/>
      <c r="AP248" s="771"/>
      <c r="AQ248" s="771"/>
      <c r="AR248" s="771"/>
      <c r="AS248" s="771"/>
      <c r="AT248" s="771" t="s">
        <v>1646</v>
      </c>
      <c r="AU248" s="771" t="s">
        <v>1646</v>
      </c>
      <c r="AV248" s="771" t="s">
        <v>1646</v>
      </c>
      <c r="AW248" s="771" t="s">
        <v>1646</v>
      </c>
      <c r="AX248" s="771" t="s">
        <v>1646</v>
      </c>
      <c r="AY248" s="771" t="s">
        <v>1646</v>
      </c>
      <c r="AZ248" s="771" t="s">
        <v>1646</v>
      </c>
      <c r="BA248" s="771" t="s">
        <v>1646</v>
      </c>
      <c r="BB248" s="771" t="s">
        <v>1646</v>
      </c>
      <c r="BC248" s="771" t="s">
        <v>1646</v>
      </c>
      <c r="BD248" s="771" t="s">
        <v>1646</v>
      </c>
      <c r="BE248" s="771" t="s">
        <v>1646</v>
      </c>
      <c r="BF248" s="771" t="s">
        <v>1646</v>
      </c>
      <c r="BG248" s="771" t="s">
        <v>1646</v>
      </c>
      <c r="BH248" s="771" t="s">
        <v>1646</v>
      </c>
      <c r="BI248" s="771" t="s">
        <v>1646</v>
      </c>
      <c r="BJ248" s="771" t="s">
        <v>1646</v>
      </c>
      <c r="BK248" s="771" t="s">
        <v>1646</v>
      </c>
      <c r="BL248" s="771" t="s">
        <v>1646</v>
      </c>
      <c r="BM248" s="771" t="s">
        <v>1646</v>
      </c>
      <c r="BN248" s="771" t="s">
        <v>1646</v>
      </c>
      <c r="BO248" s="771" t="s">
        <v>1646</v>
      </c>
      <c r="BP248" s="771" t="s">
        <v>1646</v>
      </c>
      <c r="BQ248" s="771" t="s">
        <v>1646</v>
      </c>
      <c r="BR248" s="771" t="s">
        <v>1646</v>
      </c>
      <c r="BS248" s="771" t="s">
        <v>1646</v>
      </c>
      <c r="BT248" s="771" t="s">
        <v>1646</v>
      </c>
      <c r="BU248" s="771" t="s">
        <v>1646</v>
      </c>
      <c r="BV248" s="771" t="s">
        <v>1646</v>
      </c>
      <c r="BW248" s="771" t="s">
        <v>1646</v>
      </c>
      <c r="BX248" s="771" t="s">
        <v>1646</v>
      </c>
      <c r="BY248" s="771" t="s">
        <v>1646</v>
      </c>
      <c r="BZ248" s="771" t="s">
        <v>1646</v>
      </c>
      <c r="CA248" s="771" t="s">
        <v>1646</v>
      </c>
      <c r="CB248" s="771" t="s">
        <v>1646</v>
      </c>
      <c r="CC248" s="771" t="s">
        <v>1646</v>
      </c>
      <c r="CD248" s="771" t="s">
        <v>1646</v>
      </c>
      <c r="CE248" s="771" t="s">
        <v>1646</v>
      </c>
      <c r="CF248" s="771" t="s">
        <v>1646</v>
      </c>
      <c r="CG248" s="771" t="s">
        <v>1646</v>
      </c>
      <c r="CH248" s="771" t="s">
        <v>1646</v>
      </c>
      <c r="CI248" s="771" t="s">
        <v>1646</v>
      </c>
      <c r="CJ248" s="771" t="s">
        <v>1646</v>
      </c>
      <c r="CK248" s="771" t="s">
        <v>1646</v>
      </c>
      <c r="CL248" s="771" t="s">
        <v>1646</v>
      </c>
      <c r="CM248" s="771" t="s">
        <v>1646</v>
      </c>
      <c r="CN248" s="771" t="s">
        <v>1646</v>
      </c>
      <c r="CO248" s="771" t="s">
        <v>1646</v>
      </c>
      <c r="CP248" s="771" t="s">
        <v>1646</v>
      </c>
      <c r="CQ248" s="771" t="s">
        <v>1646</v>
      </c>
      <c r="CR248" s="771" t="s">
        <v>1646</v>
      </c>
      <c r="CS248" s="771" t="s">
        <v>1646</v>
      </c>
      <c r="CT248" s="771" t="s">
        <v>1646</v>
      </c>
      <c r="CU248" s="771" t="s">
        <v>1646</v>
      </c>
      <c r="CV248" s="771" t="s">
        <v>1646</v>
      </c>
      <c r="CW248" s="771" t="s">
        <v>1646</v>
      </c>
      <c r="CX248" s="771"/>
      <c r="CY248" s="771"/>
      <c r="CZ248" s="771"/>
      <c r="DA248" s="771"/>
      <c r="DB248" s="771"/>
      <c r="DC248" s="771"/>
      <c r="DD248" s="771"/>
      <c r="DE248" s="771"/>
      <c r="DF248" s="771"/>
      <c r="DG248" s="771"/>
      <c r="DH248" s="771"/>
      <c r="DI248" s="771"/>
      <c r="DJ248" s="771"/>
      <c r="DK248" s="771"/>
      <c r="DL248" s="771"/>
      <c r="DM248" s="771"/>
      <c r="DN248" s="771"/>
      <c r="DO248" s="771"/>
      <c r="DP248" s="771"/>
      <c r="DQ248" s="771"/>
      <c r="DR248" s="771"/>
      <c r="DS248" s="356" t="s">
        <v>1646</v>
      </c>
      <c r="DT248" s="356" t="s">
        <v>1646</v>
      </c>
      <c r="DU248" s="356" t="s">
        <v>1646</v>
      </c>
      <c r="DV248" s="356" t="s">
        <v>1646</v>
      </c>
      <c r="DW248" s="356" t="s">
        <v>1646</v>
      </c>
      <c r="DX248" s="356" t="s">
        <v>1646</v>
      </c>
      <c r="DY248" s="356" t="s">
        <v>1646</v>
      </c>
      <c r="DZ248" s="356" t="s">
        <v>1646</v>
      </c>
      <c r="EA248" s="356" t="s">
        <v>1646</v>
      </c>
      <c r="EB248" s="771" t="s">
        <v>1646</v>
      </c>
      <c r="EC248" s="771" t="s">
        <v>1646</v>
      </c>
      <c r="ED248" s="771" t="s">
        <v>1646</v>
      </c>
      <c r="EE248" s="771" t="s">
        <v>1646</v>
      </c>
      <c r="EF248" s="771" t="s">
        <v>1646</v>
      </c>
      <c r="EG248" s="771" t="s">
        <v>1646</v>
      </c>
      <c r="EH248" s="771" t="s">
        <v>1646</v>
      </c>
      <c r="EI248" s="771" t="s">
        <v>1646</v>
      </c>
      <c r="EJ248" s="771" t="s">
        <v>1646</v>
      </c>
      <c r="EK248" s="771" t="s">
        <v>1646</v>
      </c>
      <c r="EL248" s="771" t="s">
        <v>1646</v>
      </c>
      <c r="EM248" s="771" t="s">
        <v>1646</v>
      </c>
      <c r="EN248" s="771" t="s">
        <v>1646</v>
      </c>
      <c r="EO248" s="771" t="s">
        <v>1646</v>
      </c>
    </row>
    <row r="249" spans="1:147" s="596" customFormat="1">
      <c r="A249" s="546"/>
      <c r="B249"/>
      <c r="C249"/>
      <c r="D249"/>
      <c r="E249"/>
      <c r="F249"/>
      <c r="G249"/>
      <c r="I249" s="596" t="s">
        <v>1647</v>
      </c>
      <c r="J249" s="409"/>
      <c r="K249" s="409"/>
      <c r="L249" s="409"/>
      <c r="M249" s="409"/>
      <c r="N249" s="409"/>
      <c r="O249" s="409"/>
      <c r="P249" s="409"/>
      <c r="Q249" s="409"/>
      <c r="R249" s="409"/>
      <c r="S249" s="409"/>
      <c r="T249" s="409"/>
      <c r="U249" s="409"/>
      <c r="V249" s="409"/>
      <c r="W249" s="409"/>
      <c r="X249" s="409"/>
      <c r="Y249" s="409"/>
      <c r="Z249" s="409"/>
      <c r="AA249" s="409"/>
      <c r="AB249" s="409"/>
      <c r="AC249" s="409"/>
      <c r="AD249" s="409"/>
      <c r="AE249" s="409"/>
      <c r="AF249" s="409"/>
      <c r="AG249" s="409"/>
      <c r="AH249" s="409"/>
      <c r="AI249" s="409"/>
      <c r="AJ249" s="409"/>
      <c r="AK249" s="409"/>
      <c r="AL249" s="409"/>
      <c r="AM249" s="409"/>
      <c r="AN249" s="409"/>
      <c r="AO249" s="409"/>
      <c r="AP249" s="409"/>
      <c r="AQ249" s="409"/>
      <c r="AR249" s="409"/>
      <c r="AS249" s="409"/>
      <c r="AT249" s="409">
        <v>0</v>
      </c>
      <c r="AU249" s="409">
        <v>0</v>
      </c>
      <c r="AV249" s="409">
        <v>0</v>
      </c>
      <c r="AW249" s="409">
        <v>0</v>
      </c>
      <c r="AX249" s="409">
        <v>0</v>
      </c>
      <c r="AY249" s="409">
        <v>0</v>
      </c>
      <c r="AZ249" s="409">
        <v>0</v>
      </c>
      <c r="BA249" s="409">
        <v>0</v>
      </c>
      <c r="BB249" s="409">
        <v>1153.373675</v>
      </c>
      <c r="BC249" s="409">
        <v>1142.158668</v>
      </c>
      <c r="BD249" s="409">
        <v>1142.796893</v>
      </c>
      <c r="BE249" s="409">
        <v>1133.3913709999999</v>
      </c>
      <c r="BF249" s="409">
        <v>1114.117148</v>
      </c>
      <c r="BG249" s="409">
        <v>1110.8701410000001</v>
      </c>
      <c r="BH249" s="409">
        <v>1112.1574840000001</v>
      </c>
      <c r="BI249" s="409">
        <v>1111.6060869999999</v>
      </c>
      <c r="BJ249" s="409">
        <v>1116.913935</v>
      </c>
      <c r="BK249" s="409">
        <v>1119.0154809999999</v>
      </c>
      <c r="BL249" s="409">
        <v>1123.569395</v>
      </c>
      <c r="BM249" s="409">
        <v>703.70895300000007</v>
      </c>
      <c r="BN249" s="409">
        <v>714.77048500000001</v>
      </c>
      <c r="BO249" s="409">
        <v>716.70159600000011</v>
      </c>
      <c r="BP249" s="409">
        <v>718.95911799999999</v>
      </c>
      <c r="BQ249" s="409">
        <v>721.92945499999996</v>
      </c>
      <c r="BR249" s="409">
        <v>725.90438700000004</v>
      </c>
      <c r="BS249" s="409">
        <v>728.87000699999999</v>
      </c>
      <c r="BT249" s="409">
        <v>730.9437539999999</v>
      </c>
      <c r="BU249" s="409">
        <v>734.99811499999998</v>
      </c>
      <c r="BV249" s="409">
        <v>738.22764099999995</v>
      </c>
      <c r="BW249" s="409">
        <v>741.46706200000006</v>
      </c>
      <c r="BX249" s="409">
        <v>743.21337100000005</v>
      </c>
      <c r="BY249" s="409">
        <v>751.84695799999997</v>
      </c>
      <c r="BZ249" s="409">
        <v>753.66240700000003</v>
      </c>
      <c r="CA249" s="409">
        <v>754.92117399999995</v>
      </c>
      <c r="CB249" s="409">
        <v>756.09945500000003</v>
      </c>
      <c r="CC249" s="409">
        <v>758.631663</v>
      </c>
      <c r="CD249" s="409">
        <v>761.22671500000001</v>
      </c>
      <c r="CE249" s="409">
        <v>762.40858700000001</v>
      </c>
      <c r="CF249" s="409">
        <v>762.40858700000001</v>
      </c>
      <c r="CG249" s="409">
        <v>763</v>
      </c>
      <c r="CH249" s="409">
        <v>764</v>
      </c>
      <c r="CI249" s="409">
        <v>766</v>
      </c>
      <c r="CJ249" s="409">
        <v>767</v>
      </c>
      <c r="CK249" s="409">
        <v>767</v>
      </c>
      <c r="CL249" s="409">
        <v>769</v>
      </c>
      <c r="CM249" s="409">
        <v>771</v>
      </c>
      <c r="CN249" s="409">
        <v>772</v>
      </c>
      <c r="CO249" s="409">
        <v>767</v>
      </c>
      <c r="CP249" s="409">
        <v>775</v>
      </c>
      <c r="CQ249" s="409">
        <v>777</v>
      </c>
      <c r="CR249" s="409">
        <v>778</v>
      </c>
      <c r="CS249" s="409">
        <v>778.93169988384034</v>
      </c>
      <c r="CT249" s="409">
        <v>780.56001796786677</v>
      </c>
      <c r="CU249" s="409">
        <v>780.98936355048352</v>
      </c>
      <c r="CV249" s="409">
        <v>781.58105427588123</v>
      </c>
      <c r="CW249" s="409">
        <v>782.30012286577437</v>
      </c>
      <c r="CX249" s="409"/>
      <c r="CY249" s="409"/>
      <c r="CZ249" s="409"/>
      <c r="DA249" s="409"/>
      <c r="DB249" s="409"/>
      <c r="DC249" s="409"/>
      <c r="DD249" s="409"/>
      <c r="DE249" s="409"/>
      <c r="DF249" s="409"/>
      <c r="DG249" s="409"/>
      <c r="DH249" s="409"/>
      <c r="DI249" s="409"/>
      <c r="DJ249" s="409"/>
      <c r="DK249" s="409"/>
      <c r="DL249" s="409"/>
      <c r="DM249" s="409"/>
      <c r="DN249" s="409"/>
      <c r="DO249" s="409"/>
      <c r="DP249" s="409"/>
      <c r="DQ249" s="409"/>
      <c r="DR249" s="409"/>
      <c r="DS249" s="386">
        <v>0</v>
      </c>
      <c r="DT249" s="386">
        <v>0</v>
      </c>
      <c r="DU249" s="386">
        <v>1116.913935</v>
      </c>
      <c r="DV249" s="386">
        <v>1119.0154809999999</v>
      </c>
      <c r="DW249" s="386">
        <v>1123.569395</v>
      </c>
      <c r="DX249" s="386">
        <v>703.70895300000007</v>
      </c>
      <c r="DY249" s="386">
        <v>721.92945499999996</v>
      </c>
      <c r="DZ249" s="386">
        <v>734.99811499999998</v>
      </c>
      <c r="EA249" s="386">
        <v>751.84695799999997</v>
      </c>
      <c r="EB249" s="409">
        <v>758.631663</v>
      </c>
      <c r="EC249" s="409">
        <v>763</v>
      </c>
      <c r="ED249" s="409">
        <v>767</v>
      </c>
      <c r="EE249" s="409">
        <v>767</v>
      </c>
      <c r="EF249" s="409">
        <v>778.93169988384034</v>
      </c>
      <c r="EG249" s="409">
        <v>782.30012286577437</v>
      </c>
      <c r="EH249" s="409">
        <v>787.77622372583471</v>
      </c>
      <c r="EI249" s="409">
        <v>793.29065729191552</v>
      </c>
      <c r="EJ249" s="409">
        <v>798.84369189295887</v>
      </c>
      <c r="EK249" s="409">
        <v>804.4355977362095</v>
      </c>
      <c r="EL249" s="409">
        <v>810.06664692036293</v>
      </c>
      <c r="EM249" s="409">
        <v>815.73711344880542</v>
      </c>
      <c r="EN249" s="409">
        <v>821.44727324294695</v>
      </c>
      <c r="EO249" s="409">
        <v>827.19740415564752</v>
      </c>
      <c r="EP249" s="409"/>
      <c r="EQ249" s="409"/>
    </row>
    <row r="250" spans="1:147" s="635" customFormat="1">
      <c r="A250" s="624"/>
      <c r="B250"/>
      <c r="C250"/>
      <c r="D250"/>
      <c r="E250"/>
      <c r="F250"/>
      <c r="G250"/>
      <c r="H250" s="625"/>
      <c r="I250" s="635" t="s">
        <v>1648</v>
      </c>
      <c r="J250" s="634"/>
      <c r="K250" s="634"/>
      <c r="L250" s="634"/>
      <c r="M250" s="634"/>
      <c r="N250" s="634"/>
      <c r="O250" s="634"/>
      <c r="P250" s="634"/>
      <c r="Q250" s="634"/>
      <c r="R250" s="634"/>
      <c r="S250" s="634"/>
      <c r="T250" s="634"/>
      <c r="U250" s="634"/>
      <c r="V250" s="634"/>
      <c r="W250" s="634"/>
      <c r="X250" s="634"/>
      <c r="Y250" s="634"/>
      <c r="Z250" s="634"/>
      <c r="AA250" s="634"/>
      <c r="AB250" s="634"/>
      <c r="AC250" s="634"/>
      <c r="AD250" s="634"/>
      <c r="AE250" s="634"/>
      <c r="AF250" s="634"/>
      <c r="AG250" s="634"/>
      <c r="AH250" s="634"/>
      <c r="AI250" s="634"/>
      <c r="AJ250" s="634"/>
      <c r="AK250" s="634"/>
      <c r="AL250" s="634"/>
      <c r="AM250" s="634"/>
      <c r="AN250" s="634"/>
      <c r="AO250" s="634"/>
      <c r="AP250" s="634"/>
      <c r="AQ250" s="634"/>
      <c r="AR250" s="634"/>
      <c r="AS250" s="634"/>
      <c r="AT250" s="634">
        <v>0.34</v>
      </c>
      <c r="AU250" s="634">
        <v>0.34</v>
      </c>
      <c r="AV250" s="634">
        <v>0.34</v>
      </c>
      <c r="AW250" s="634">
        <v>0.34</v>
      </c>
      <c r="AX250" s="634">
        <v>0.39400000000000002</v>
      </c>
      <c r="AY250" s="634">
        <v>0.39400000000000002</v>
      </c>
      <c r="AZ250" s="634">
        <v>0.39400000000000002</v>
      </c>
      <c r="BA250" s="634">
        <v>0.39400000000000002</v>
      </c>
      <c r="BB250" s="634">
        <v>0.36199999999999999</v>
      </c>
      <c r="BC250" s="634">
        <v>0.36199999999999999</v>
      </c>
      <c r="BD250" s="634">
        <v>0.36199999999999999</v>
      </c>
      <c r="BE250" s="634">
        <v>0.36199999999999999</v>
      </c>
      <c r="BF250" s="634">
        <v>0.36299999999999999</v>
      </c>
      <c r="BG250" s="634">
        <v>0.36299999999999999</v>
      </c>
      <c r="BH250" s="634">
        <v>0.36299999999999999</v>
      </c>
      <c r="BI250" s="634">
        <v>0.36299999999999999</v>
      </c>
      <c r="BJ250" s="634">
        <v>0.37</v>
      </c>
      <c r="BK250" s="634">
        <v>0.37</v>
      </c>
      <c r="BL250" s="634">
        <v>0.37</v>
      </c>
      <c r="BM250" s="634">
        <v>0.37</v>
      </c>
      <c r="BN250" s="634">
        <v>0.36899999999999999</v>
      </c>
      <c r="BO250" s="634">
        <v>0.36899999999999999</v>
      </c>
      <c r="BP250" s="634">
        <v>0.36899999999999999</v>
      </c>
      <c r="BQ250" s="634">
        <v>0.36899999999999999</v>
      </c>
      <c r="BR250" s="634">
        <v>0.36899999999999999</v>
      </c>
      <c r="BS250" s="634">
        <v>0.36899999999999999</v>
      </c>
      <c r="BT250" s="634">
        <v>0.36899999999999999</v>
      </c>
      <c r="BU250" s="634">
        <v>0.36899999999999999</v>
      </c>
      <c r="BV250" s="634">
        <v>0.36899999999999999</v>
      </c>
      <c r="BW250" s="634">
        <v>0.36899999999999999</v>
      </c>
      <c r="BX250" s="634">
        <v>0.36899999999999999</v>
      </c>
      <c r="BY250" s="634">
        <v>0.36899999999999999</v>
      </c>
      <c r="BZ250" s="634">
        <v>0.36899999999999999</v>
      </c>
      <c r="CA250" s="634">
        <v>0.36899999999999999</v>
      </c>
      <c r="CB250" s="634">
        <v>0.36899999999999999</v>
      </c>
      <c r="CC250" s="634">
        <v>0.36899999999999999</v>
      </c>
      <c r="CD250" s="634">
        <v>0.36899999999999999</v>
      </c>
      <c r="CE250" s="634">
        <v>0.36899999999999999</v>
      </c>
      <c r="CF250" s="634">
        <v>0.36899999999999999</v>
      </c>
      <c r="CG250" s="634">
        <v>0.36899999999999999</v>
      </c>
      <c r="CH250" s="627">
        <v>0.36899999999999999</v>
      </c>
      <c r="CI250" s="627">
        <v>0.36899999999999999</v>
      </c>
      <c r="CJ250" s="627">
        <v>0.36899999999999999</v>
      </c>
      <c r="CK250" s="627">
        <v>0.36899999999999999</v>
      </c>
      <c r="CL250" s="627">
        <v>0.36899999999999999</v>
      </c>
      <c r="CM250" s="627">
        <v>0.36899999999999999</v>
      </c>
      <c r="CN250" s="627">
        <v>0.36899999999999999</v>
      </c>
      <c r="CO250" s="627">
        <v>0.36899999999999999</v>
      </c>
      <c r="CP250" s="627">
        <v>0.36899999999999999</v>
      </c>
      <c r="CQ250" s="627">
        <v>0.36899999999999999</v>
      </c>
      <c r="CR250" s="627">
        <v>0.36899999999999999</v>
      </c>
      <c r="CS250" s="627">
        <v>0.36899999999999999</v>
      </c>
      <c r="CT250" s="627">
        <v>0.36899999999999999</v>
      </c>
      <c r="CU250" s="627">
        <v>0.36899999999999999</v>
      </c>
      <c r="CV250" s="627">
        <v>0.36899999999999999</v>
      </c>
      <c r="CW250" s="627">
        <v>0.36899999999999999</v>
      </c>
      <c r="CX250" s="627"/>
      <c r="CY250" s="627"/>
      <c r="CZ250" s="627"/>
      <c r="DA250" s="627"/>
      <c r="DB250" s="627"/>
      <c r="DC250" s="627"/>
      <c r="DD250" s="627"/>
      <c r="DE250" s="627"/>
      <c r="DF250" s="627"/>
      <c r="DG250" s="627"/>
      <c r="DH250" s="627"/>
      <c r="DI250" s="627"/>
      <c r="DJ250" s="627"/>
      <c r="DK250" s="772"/>
      <c r="DL250" s="772"/>
      <c r="DM250" s="772"/>
      <c r="DN250" s="772"/>
      <c r="DO250" s="772"/>
      <c r="DP250" s="772"/>
      <c r="DQ250" s="772"/>
      <c r="DR250" s="772"/>
      <c r="DS250" s="773">
        <v>0.34</v>
      </c>
      <c r="DT250" s="773">
        <v>0.34</v>
      </c>
      <c r="DU250" s="773">
        <v>0.39400000000000002</v>
      </c>
      <c r="DV250" s="773">
        <v>0.36199999999999999</v>
      </c>
      <c r="DW250" s="773">
        <v>0.36299999999999999</v>
      </c>
      <c r="DX250" s="773">
        <v>0.37</v>
      </c>
      <c r="DY250" s="773">
        <v>0.36899999999999999</v>
      </c>
      <c r="DZ250" s="773">
        <v>0.36899999999999999</v>
      </c>
      <c r="EA250" s="773">
        <v>0.36899999999999999</v>
      </c>
      <c r="EB250" s="634">
        <v>0.36899999999999999</v>
      </c>
      <c r="EC250" s="634">
        <v>0.36899999999999999</v>
      </c>
      <c r="ED250" s="634">
        <v>0.36899999999999999</v>
      </c>
      <c r="EE250" s="634">
        <v>0.36899999999999999</v>
      </c>
      <c r="EF250" s="634">
        <v>0.36899999999999999</v>
      </c>
      <c r="EG250" s="634">
        <v>0.36899999999999999</v>
      </c>
      <c r="EH250" s="634">
        <v>0.36899999999999999</v>
      </c>
      <c r="EI250" s="634">
        <v>0.36899999999999999</v>
      </c>
      <c r="EJ250" s="627">
        <v>0.36899999999999999</v>
      </c>
      <c r="EK250" s="627">
        <v>0.36899999999999999</v>
      </c>
      <c r="EL250" s="627">
        <v>0.36899999999999999</v>
      </c>
      <c r="EM250" s="627">
        <v>0.36899999999999999</v>
      </c>
      <c r="EN250" s="627">
        <v>0.36899999999999999</v>
      </c>
      <c r="EO250" s="627">
        <v>0.36899999999999999</v>
      </c>
      <c r="EP250" s="634"/>
      <c r="EQ250" s="634"/>
    </row>
    <row r="251" spans="1:147" s="635" customFormat="1">
      <c r="A251" s="624"/>
      <c r="B251"/>
      <c r="C251"/>
      <c r="D251"/>
      <c r="E251"/>
      <c r="F251"/>
      <c r="G251"/>
      <c r="H251" s="625"/>
      <c r="I251" s="774" t="s">
        <v>1649</v>
      </c>
      <c r="J251" s="634"/>
      <c r="K251" s="634"/>
      <c r="L251" s="634"/>
      <c r="M251" s="634"/>
      <c r="N251" s="634"/>
      <c r="O251" s="634"/>
      <c r="P251" s="634"/>
      <c r="Q251" s="634"/>
      <c r="R251" s="634"/>
      <c r="S251" s="634"/>
      <c r="T251" s="634"/>
      <c r="U251" s="634"/>
      <c r="V251" s="634"/>
      <c r="W251" s="634"/>
      <c r="X251" s="634"/>
      <c r="Y251" s="634"/>
      <c r="Z251" s="634"/>
      <c r="AA251" s="634"/>
      <c r="AB251" s="634"/>
      <c r="AC251" s="634"/>
      <c r="AD251" s="634"/>
      <c r="AE251" s="634"/>
      <c r="AF251" s="634"/>
      <c r="AG251" s="634"/>
      <c r="AH251" s="634"/>
      <c r="AI251" s="634"/>
      <c r="AJ251" s="634"/>
      <c r="AK251" s="634"/>
      <c r="AL251" s="634"/>
      <c r="AM251" s="634"/>
      <c r="AN251" s="634"/>
      <c r="AO251" s="634"/>
      <c r="AP251" s="634"/>
      <c r="AQ251" s="634"/>
      <c r="AR251" s="634"/>
      <c r="AS251" s="634"/>
      <c r="AT251" s="634"/>
      <c r="AU251" s="634"/>
      <c r="AV251" s="634"/>
      <c r="AW251" s="634"/>
      <c r="AX251" s="634">
        <v>0.34</v>
      </c>
      <c r="AY251" s="634">
        <v>0.34</v>
      </c>
      <c r="AZ251" s="634">
        <v>0.34</v>
      </c>
      <c r="BA251" s="634">
        <v>0.34</v>
      </c>
      <c r="BB251" s="634">
        <v>0.35</v>
      </c>
      <c r="BC251" s="634">
        <v>0.35</v>
      </c>
      <c r="BD251" s="634">
        <v>0.35</v>
      </c>
      <c r="BE251" s="634">
        <v>0.35</v>
      </c>
      <c r="BF251" s="634">
        <v>0.35</v>
      </c>
      <c r="BG251" s="634">
        <v>0.35</v>
      </c>
      <c r="BH251" s="634">
        <v>0.35</v>
      </c>
      <c r="BI251" s="634">
        <v>0.35</v>
      </c>
      <c r="BJ251" s="634">
        <v>0.35</v>
      </c>
      <c r="BK251" s="634">
        <v>0.35</v>
      </c>
      <c r="BL251" s="634">
        <v>0.35</v>
      </c>
      <c r="BM251" s="634">
        <v>0.35</v>
      </c>
      <c r="BN251" s="634">
        <v>0.35</v>
      </c>
      <c r="BO251" s="634">
        <v>0.35</v>
      </c>
      <c r="BP251" s="634">
        <v>0.35</v>
      </c>
      <c r="BQ251" s="634">
        <v>0.35</v>
      </c>
      <c r="BR251" s="634">
        <v>0</v>
      </c>
      <c r="BS251" s="634">
        <v>0</v>
      </c>
      <c r="BT251" s="634">
        <v>0</v>
      </c>
      <c r="BU251" s="634">
        <v>0</v>
      </c>
      <c r="BV251" s="634">
        <v>0</v>
      </c>
      <c r="BW251" s="634">
        <v>0</v>
      </c>
      <c r="BX251" s="634">
        <v>0</v>
      </c>
      <c r="BY251" s="634">
        <v>0</v>
      </c>
      <c r="BZ251" s="634">
        <v>0</v>
      </c>
      <c r="CA251" s="634">
        <v>0</v>
      </c>
      <c r="CB251" s="634">
        <v>0</v>
      </c>
      <c r="CC251" s="634">
        <v>0</v>
      </c>
      <c r="CD251" s="634">
        <v>0</v>
      </c>
      <c r="CE251" s="634">
        <v>0</v>
      </c>
      <c r="CF251" s="634">
        <v>0</v>
      </c>
      <c r="CG251" s="634">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c r="CY251" s="627"/>
      <c r="CZ251" s="627"/>
      <c r="DA251" s="627"/>
      <c r="DB251" s="627"/>
      <c r="DC251" s="627"/>
      <c r="DD251" s="627"/>
      <c r="DE251" s="627"/>
      <c r="DF251" s="627"/>
      <c r="DG251" s="627"/>
      <c r="DH251" s="627"/>
      <c r="DI251" s="627"/>
      <c r="DJ251" s="627"/>
      <c r="DK251" s="772"/>
      <c r="DL251" s="772"/>
      <c r="DM251" s="772"/>
      <c r="DN251" s="772"/>
      <c r="DO251" s="772"/>
      <c r="DP251" s="772"/>
      <c r="DQ251" s="772"/>
      <c r="DR251" s="772"/>
      <c r="DS251" s="775">
        <v>0.34</v>
      </c>
      <c r="DT251" s="775">
        <v>0.34</v>
      </c>
      <c r="DU251" s="775">
        <v>0.34</v>
      </c>
      <c r="DV251" s="775">
        <v>0.35</v>
      </c>
      <c r="DW251" s="775">
        <v>0.35</v>
      </c>
      <c r="DX251" s="775">
        <v>0.35</v>
      </c>
      <c r="DY251" s="775">
        <v>0.35</v>
      </c>
      <c r="DZ251" s="773"/>
      <c r="EA251" s="773"/>
      <c r="EB251" s="634"/>
      <c r="EC251" s="634"/>
      <c r="ED251" s="634"/>
      <c r="EE251" s="634"/>
      <c r="EF251" s="634"/>
      <c r="EG251" s="634"/>
      <c r="EH251" s="634"/>
      <c r="EI251" s="634"/>
      <c r="EJ251" s="627"/>
      <c r="EK251" s="627"/>
      <c r="EL251" s="627"/>
      <c r="EM251" s="627"/>
      <c r="EN251" s="627"/>
      <c r="EO251" s="627"/>
      <c r="EP251" s="634"/>
      <c r="EQ251" s="634"/>
    </row>
    <row r="252" spans="1:147" s="635" customFormat="1">
      <c r="A252" s="624"/>
      <c r="B252"/>
      <c r="C252"/>
      <c r="D252"/>
      <c r="E252"/>
      <c r="F252"/>
      <c r="G252"/>
      <c r="H252" s="625"/>
      <c r="I252" s="774" t="s">
        <v>1650</v>
      </c>
      <c r="J252" s="634"/>
      <c r="K252" s="634"/>
      <c r="L252" s="634"/>
      <c r="M252" s="634"/>
      <c r="N252" s="634"/>
      <c r="O252" s="634"/>
      <c r="P252" s="634"/>
      <c r="Q252" s="634"/>
      <c r="R252" s="634"/>
      <c r="S252" s="634"/>
      <c r="T252" s="634"/>
      <c r="U252" s="634"/>
      <c r="V252" s="634"/>
      <c r="W252" s="634"/>
      <c r="X252" s="634"/>
      <c r="Y252" s="634"/>
      <c r="Z252" s="634"/>
      <c r="AA252" s="634"/>
      <c r="AB252" s="634"/>
      <c r="AC252" s="634"/>
      <c r="AD252" s="634"/>
      <c r="AE252" s="634"/>
      <c r="AF252" s="634"/>
      <c r="AG252" s="634"/>
      <c r="AH252" s="634"/>
      <c r="AI252" s="634"/>
      <c r="AJ252" s="634"/>
      <c r="AK252" s="634"/>
      <c r="AL252" s="634"/>
      <c r="AM252" s="634"/>
      <c r="AN252" s="634"/>
      <c r="AO252" s="634"/>
      <c r="AP252" s="634"/>
      <c r="AQ252" s="634"/>
      <c r="AR252" s="634"/>
      <c r="AS252" s="634"/>
      <c r="AT252" s="634"/>
      <c r="AU252" s="634"/>
      <c r="AV252" s="634"/>
      <c r="AW252" s="634"/>
      <c r="AX252" s="634">
        <v>5.3999999999999999E-2</v>
      </c>
      <c r="AY252" s="634">
        <v>5.3999999999999999E-2</v>
      </c>
      <c r="AZ252" s="634">
        <v>5.3999999999999999E-2</v>
      </c>
      <c r="BA252" s="634">
        <v>5.3999999999999999E-2</v>
      </c>
      <c r="BB252" s="634">
        <v>1.2E-2</v>
      </c>
      <c r="BC252" s="634">
        <v>1.2E-2</v>
      </c>
      <c r="BD252" s="634">
        <v>1.2E-2</v>
      </c>
      <c r="BE252" s="634">
        <v>1.2E-2</v>
      </c>
      <c r="BF252" s="634">
        <v>1.2999999999999999E-2</v>
      </c>
      <c r="BG252" s="634">
        <v>1.2999999999999999E-2</v>
      </c>
      <c r="BH252" s="634">
        <v>1.2999999999999999E-2</v>
      </c>
      <c r="BI252" s="634">
        <v>1.2999999999999999E-2</v>
      </c>
      <c r="BJ252" s="634">
        <v>0.02</v>
      </c>
      <c r="BK252" s="634">
        <v>0.02</v>
      </c>
      <c r="BL252" s="634">
        <v>0.02</v>
      </c>
      <c r="BM252" s="634">
        <v>0.02</v>
      </c>
      <c r="BN252" s="634">
        <v>1.9E-2</v>
      </c>
      <c r="BO252" s="634">
        <v>1.9E-2</v>
      </c>
      <c r="BP252" s="634">
        <v>1.9E-2</v>
      </c>
      <c r="BQ252" s="634">
        <v>1.9E-2</v>
      </c>
      <c r="BR252" s="634">
        <v>0</v>
      </c>
      <c r="BS252" s="634">
        <v>0</v>
      </c>
      <c r="BT252" s="634">
        <v>0</v>
      </c>
      <c r="BU252" s="634">
        <v>0</v>
      </c>
      <c r="BV252" s="634">
        <v>0</v>
      </c>
      <c r="BW252" s="634">
        <v>0</v>
      </c>
      <c r="BX252" s="634">
        <v>0</v>
      </c>
      <c r="BY252" s="634">
        <v>0</v>
      </c>
      <c r="BZ252" s="634">
        <v>0</v>
      </c>
      <c r="CA252" s="634">
        <v>0</v>
      </c>
      <c r="CB252" s="634">
        <v>0</v>
      </c>
      <c r="CC252" s="634">
        <v>0</v>
      </c>
      <c r="CD252" s="634">
        <v>0</v>
      </c>
      <c r="CE252" s="634">
        <v>0</v>
      </c>
      <c r="CF252" s="634">
        <v>0</v>
      </c>
      <c r="CG252" s="634">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c r="CY252" s="627"/>
      <c r="CZ252" s="627"/>
      <c r="DA252" s="627"/>
      <c r="DB252" s="627"/>
      <c r="DC252" s="627"/>
      <c r="DD252" s="627"/>
      <c r="DE252" s="627"/>
      <c r="DF252" s="627"/>
      <c r="DG252" s="627"/>
      <c r="DH252" s="627"/>
      <c r="DI252" s="627"/>
      <c r="DJ252" s="627"/>
      <c r="DK252" s="772"/>
      <c r="DL252" s="772"/>
      <c r="DM252" s="772"/>
      <c r="DN252" s="772"/>
      <c r="DO252" s="772"/>
      <c r="DP252" s="772"/>
      <c r="DQ252" s="772"/>
      <c r="DR252" s="772"/>
      <c r="DS252" s="775"/>
      <c r="DT252" s="775"/>
      <c r="DU252" s="775">
        <v>5.3999999999999999E-2</v>
      </c>
      <c r="DV252" s="775">
        <v>1.2E-2</v>
      </c>
      <c r="DW252" s="775">
        <v>1.2999999999999999E-2</v>
      </c>
      <c r="DX252" s="775">
        <v>0.02</v>
      </c>
      <c r="DY252" s="775">
        <v>1.9E-2</v>
      </c>
      <c r="DZ252" s="773"/>
      <c r="EA252" s="773"/>
      <c r="EB252" s="634"/>
      <c r="EC252" s="634"/>
      <c r="ED252" s="634"/>
      <c r="EE252" s="634"/>
      <c r="EF252" s="634"/>
      <c r="EG252" s="634"/>
      <c r="EH252" s="634"/>
      <c r="EI252" s="634"/>
      <c r="EJ252" s="627"/>
      <c r="EK252" s="627"/>
      <c r="EL252" s="627"/>
      <c r="EM252" s="627"/>
      <c r="EN252" s="627"/>
      <c r="EO252" s="627"/>
      <c r="EP252" s="634"/>
      <c r="EQ252" s="634"/>
    </row>
    <row r="253" spans="1:147" s="596" customFormat="1">
      <c r="A253" s="546"/>
      <c r="B253"/>
      <c r="C253"/>
      <c r="D253"/>
      <c r="E253"/>
      <c r="F253"/>
      <c r="G253"/>
      <c r="I253" s="596" t="s">
        <v>1651</v>
      </c>
      <c r="J253" s="409"/>
      <c r="K253" s="409"/>
      <c r="L253" s="409"/>
      <c r="M253" s="409"/>
      <c r="N253" s="409"/>
      <c r="O253" s="409"/>
      <c r="P253" s="409"/>
      <c r="Q253" s="409"/>
      <c r="R253" s="409"/>
      <c r="S253" s="409"/>
      <c r="T253" s="409"/>
      <c r="U253" s="409"/>
      <c r="V253" s="409"/>
      <c r="W253" s="409"/>
      <c r="X253" s="409"/>
      <c r="Y253" s="409"/>
      <c r="Z253" s="409"/>
      <c r="AA253" s="409"/>
      <c r="AB253" s="409"/>
      <c r="AC253" s="409"/>
      <c r="AD253" s="409"/>
      <c r="AE253" s="409"/>
      <c r="AF253" s="409"/>
      <c r="AG253" s="409"/>
      <c r="AH253" s="409"/>
      <c r="AI253" s="409"/>
      <c r="AJ253" s="409"/>
      <c r="AK253" s="409"/>
      <c r="AL253" s="409"/>
      <c r="AM253" s="409"/>
      <c r="AN253" s="409"/>
      <c r="AO253" s="409"/>
      <c r="AP253" s="409"/>
      <c r="AQ253" s="409"/>
      <c r="AR253" s="409"/>
      <c r="AS253" s="409"/>
      <c r="AT253" s="409">
        <v>0</v>
      </c>
      <c r="AU253" s="409">
        <v>0</v>
      </c>
      <c r="AV253" s="409">
        <v>0</v>
      </c>
      <c r="AW253" s="409">
        <v>0</v>
      </c>
      <c r="AX253" s="409">
        <v>0</v>
      </c>
      <c r="AY253" s="409">
        <v>0</v>
      </c>
      <c r="AZ253" s="409">
        <v>0</v>
      </c>
      <c r="BA253" s="409">
        <v>0</v>
      </c>
      <c r="BB253" s="409">
        <v>23</v>
      </c>
      <c r="BC253" s="409">
        <v>20</v>
      </c>
      <c r="BD253" s="409">
        <v>18</v>
      </c>
      <c r="BE253" s="409">
        <v>42</v>
      </c>
      <c r="BF253" s="409">
        <v>21</v>
      </c>
      <c r="BG253" s="409">
        <v>28</v>
      </c>
      <c r="BH253" s="409">
        <v>34</v>
      </c>
      <c r="BI253" s="409">
        <v>43</v>
      </c>
      <c r="BJ253" s="409">
        <v>27</v>
      </c>
      <c r="BK253" s="409">
        <v>23</v>
      </c>
      <c r="BL253" s="409">
        <v>26</v>
      </c>
      <c r="BM253" s="409">
        <v>32</v>
      </c>
      <c r="BN253" s="409">
        <v>29</v>
      </c>
      <c r="BO253" s="409">
        <v>23</v>
      </c>
      <c r="BP253" s="409">
        <v>22</v>
      </c>
      <c r="BQ253" s="409">
        <v>30</v>
      </c>
      <c r="BR253" s="409">
        <v>23</v>
      </c>
      <c r="BS253" s="409">
        <v>20</v>
      </c>
      <c r="BT253" s="409">
        <v>230</v>
      </c>
      <c r="BU253" s="409">
        <v>21</v>
      </c>
      <c r="BV253" s="409">
        <v>34</v>
      </c>
      <c r="BW253" s="409">
        <v>41</v>
      </c>
      <c r="BX253" s="409">
        <v>32</v>
      </c>
      <c r="BY253" s="409">
        <v>40</v>
      </c>
      <c r="BZ253" s="409">
        <v>-3018</v>
      </c>
      <c r="CA253" s="409">
        <v>-1162</v>
      </c>
      <c r="CB253" s="409">
        <v>47</v>
      </c>
      <c r="CC253" s="409">
        <v>58</v>
      </c>
      <c r="CD253" s="409">
        <v>54</v>
      </c>
      <c r="CE253" s="409">
        <v>56</v>
      </c>
      <c r="CF253" s="409">
        <v>55</v>
      </c>
      <c r="CG253" s="409">
        <v>44</v>
      </c>
      <c r="CH253" s="409">
        <v>63</v>
      </c>
      <c r="CI253" s="409">
        <v>37</v>
      </c>
      <c r="CJ253" s="409">
        <v>27</v>
      </c>
      <c r="CK253" s="409">
        <v>39</v>
      </c>
      <c r="CL253" s="409">
        <v>43</v>
      </c>
      <c r="CM253" s="409">
        <v>42</v>
      </c>
      <c r="CN253" s="409">
        <v>53</v>
      </c>
      <c r="CO253" s="409">
        <v>80</v>
      </c>
      <c r="CP253" s="409">
        <v>151</v>
      </c>
      <c r="CQ253" s="409">
        <v>43</v>
      </c>
      <c r="CR253" s="409">
        <v>65</v>
      </c>
      <c r="CS253" s="409">
        <v>84</v>
      </c>
      <c r="CT253" s="409">
        <v>158.55000000000001</v>
      </c>
      <c r="CU253" s="409">
        <v>45.15</v>
      </c>
      <c r="CV253" s="409">
        <v>67.2</v>
      </c>
      <c r="CW253" s="409">
        <v>88.2</v>
      </c>
      <c r="CX253" s="409"/>
      <c r="CY253" s="409"/>
      <c r="CZ253" s="409"/>
      <c r="DA253" s="409"/>
      <c r="DB253" s="409"/>
      <c r="DC253" s="409"/>
      <c r="DD253" s="409"/>
      <c r="DE253" s="409"/>
      <c r="DF253" s="409"/>
      <c r="DG253" s="409"/>
      <c r="DH253" s="409"/>
      <c r="DI253" s="409"/>
      <c r="DJ253" s="409"/>
      <c r="DK253" s="409"/>
      <c r="DL253" s="409"/>
      <c r="DM253" s="409"/>
      <c r="DN253" s="409"/>
      <c r="DO253" s="409"/>
      <c r="DP253" s="409"/>
      <c r="DQ253" s="409"/>
      <c r="DR253" s="409"/>
      <c r="DS253" s="386">
        <v>89</v>
      </c>
      <c r="DT253" s="386">
        <v>156</v>
      </c>
      <c r="DU253" s="386">
        <v>131</v>
      </c>
      <c r="DV253" s="386">
        <v>103</v>
      </c>
      <c r="DW253" s="386">
        <v>126</v>
      </c>
      <c r="DX253" s="386">
        <v>108</v>
      </c>
      <c r="DY253" s="386">
        <v>104</v>
      </c>
      <c r="DZ253" s="386">
        <v>294</v>
      </c>
      <c r="EA253" s="386">
        <v>147</v>
      </c>
      <c r="EB253" s="409">
        <v>-4075</v>
      </c>
      <c r="EC253" s="409">
        <v>209</v>
      </c>
      <c r="ED253" s="409">
        <v>166</v>
      </c>
      <c r="EE253" s="409">
        <v>218</v>
      </c>
      <c r="EF253" s="409">
        <v>343</v>
      </c>
      <c r="EG253" s="409">
        <v>359.1</v>
      </c>
      <c r="EH253" s="409">
        <v>373.46400000000006</v>
      </c>
      <c r="EI253" s="409">
        <v>388.40256000000005</v>
      </c>
      <c r="EJ253" s="409">
        <v>403.93866240000006</v>
      </c>
      <c r="EK253" s="409">
        <v>420.09620889600006</v>
      </c>
      <c r="EL253" s="409">
        <v>436.90005725184011</v>
      </c>
      <c r="EM253" s="409">
        <v>454.37605954191372</v>
      </c>
      <c r="EN253" s="409">
        <v>472.55110192359029</v>
      </c>
      <c r="EO253" s="409">
        <v>491.45314600053393</v>
      </c>
      <c r="EP253" s="409"/>
      <c r="EQ253" s="409"/>
    </row>
    <row r="254" spans="1:147" s="596" customFormat="1">
      <c r="A254" s="546"/>
      <c r="B254"/>
      <c r="C254"/>
      <c r="D254"/>
      <c r="E254"/>
      <c r="F254"/>
      <c r="G254"/>
      <c r="I254" s="596" t="s">
        <v>1652</v>
      </c>
      <c r="J254" s="409"/>
      <c r="K254" s="409"/>
      <c r="L254" s="409"/>
      <c r="M254" s="409"/>
      <c r="N254" s="409"/>
      <c r="O254" s="409"/>
      <c r="P254" s="409"/>
      <c r="Q254" s="409"/>
      <c r="R254" s="409"/>
      <c r="S254" s="409"/>
      <c r="T254" s="409"/>
      <c r="U254" s="409"/>
      <c r="V254" s="409"/>
      <c r="W254" s="409"/>
      <c r="X254" s="409"/>
      <c r="Y254" s="409"/>
      <c r="Z254" s="409"/>
      <c r="AA254" s="409"/>
      <c r="AB254" s="409"/>
      <c r="AC254" s="409"/>
      <c r="AD254" s="409"/>
      <c r="AE254" s="409"/>
      <c r="AF254" s="409"/>
      <c r="AG254" s="409"/>
      <c r="AH254" s="409"/>
      <c r="AI254" s="409"/>
      <c r="AJ254" s="409"/>
      <c r="AK254" s="409"/>
      <c r="AL254" s="409"/>
      <c r="AM254" s="409"/>
      <c r="AN254" s="409"/>
      <c r="AO254" s="409"/>
      <c r="AP254" s="409"/>
      <c r="AQ254" s="409"/>
      <c r="AR254" s="409"/>
      <c r="AS254" s="409"/>
      <c r="AT254" s="409">
        <v>28</v>
      </c>
      <c r="AU254" s="409">
        <v>17</v>
      </c>
      <c r="AV254" s="409">
        <v>7</v>
      </c>
      <c r="AW254" s="409">
        <v>142</v>
      </c>
      <c r="AX254" s="409">
        <v>98</v>
      </c>
      <c r="AY254" s="409">
        <v>62</v>
      </c>
      <c r="AZ254" s="409">
        <v>-34</v>
      </c>
      <c r="BA254" s="409">
        <v>-333</v>
      </c>
      <c r="BB254" s="409">
        <v>186</v>
      </c>
      <c r="BC254" s="409">
        <v>147</v>
      </c>
      <c r="BD254" s="409">
        <v>50</v>
      </c>
      <c r="BE254" s="409">
        <v>-53</v>
      </c>
      <c r="BF254" s="409">
        <v>139</v>
      </c>
      <c r="BG254" s="409">
        <v>40</v>
      </c>
      <c r="BH254" s="409">
        <v>39</v>
      </c>
      <c r="BI254" s="409">
        <v>-25</v>
      </c>
      <c r="BJ254" s="409">
        <v>169</v>
      </c>
      <c r="BK254" s="409">
        <v>123</v>
      </c>
      <c r="BL254" s="409">
        <v>16</v>
      </c>
      <c r="BM254" s="409">
        <v>-43</v>
      </c>
      <c r="BN254" s="409">
        <v>87</v>
      </c>
      <c r="BO254" s="409">
        <v>85</v>
      </c>
      <c r="BP254" s="409">
        <v>-20</v>
      </c>
      <c r="BQ254" s="409">
        <v>-6</v>
      </c>
      <c r="BR254" s="409">
        <v>203</v>
      </c>
      <c r="BS254" s="409">
        <v>124</v>
      </c>
      <c r="BT254" s="409">
        <v>55</v>
      </c>
      <c r="BU254" s="409">
        <v>-22</v>
      </c>
      <c r="BV254" s="409">
        <v>251</v>
      </c>
      <c r="BW254" s="409">
        <v>215</v>
      </c>
      <c r="BX254" s="409">
        <v>111</v>
      </c>
      <c r="BY254" s="409">
        <v>233</v>
      </c>
      <c r="BZ254" s="409">
        <v>231</v>
      </c>
      <c r="CA254" s="409">
        <v>230</v>
      </c>
      <c r="CB254" s="409">
        <v>123</v>
      </c>
      <c r="CC254" s="409">
        <v>889</v>
      </c>
      <c r="CD254" s="409">
        <v>265</v>
      </c>
      <c r="CE254" s="409">
        <v>94</v>
      </c>
      <c r="CF254" s="409">
        <v>27</v>
      </c>
      <c r="CG254" s="409">
        <v>174</v>
      </c>
      <c r="CH254" s="409">
        <v>334</v>
      </c>
      <c r="CI254" s="409">
        <v>90</v>
      </c>
      <c r="CJ254" s="409">
        <v>51</v>
      </c>
      <c r="CK254" s="409">
        <v>-139</v>
      </c>
      <c r="CL254" s="409">
        <v>150</v>
      </c>
      <c r="CM254" s="409">
        <v>4</v>
      </c>
      <c r="CN254" s="409">
        <v>73</v>
      </c>
      <c r="CO254" s="409">
        <v>1</v>
      </c>
      <c r="CP254" s="409">
        <v>129</v>
      </c>
      <c r="CQ254" s="409">
        <v>150</v>
      </c>
      <c r="CR254" s="409">
        <v>-97</v>
      </c>
      <c r="CS254" s="409">
        <v>-1.5718025048355742</v>
      </c>
      <c r="CT254" s="409">
        <v>-29.962999999999994</v>
      </c>
      <c r="CU254" s="409">
        <v>-7.282999999999987</v>
      </c>
      <c r="CV254" s="409">
        <v>-11.693000000000026</v>
      </c>
      <c r="CW254" s="409">
        <v>-15.893000000000015</v>
      </c>
      <c r="CX254" s="409"/>
      <c r="CY254" s="409"/>
      <c r="CZ254" s="409"/>
      <c r="DA254" s="409"/>
      <c r="DB254" s="409"/>
      <c r="DC254" s="409"/>
      <c r="DD254" s="409"/>
      <c r="DE254" s="409"/>
      <c r="DF254" s="409"/>
      <c r="DG254" s="409"/>
      <c r="DH254" s="409"/>
      <c r="DI254" s="409"/>
      <c r="DJ254" s="409"/>
      <c r="DK254" s="409"/>
      <c r="DL254" s="409"/>
      <c r="DM254" s="409"/>
      <c r="DN254" s="409"/>
      <c r="DO254" s="409"/>
      <c r="DP254" s="409"/>
      <c r="DQ254" s="409"/>
      <c r="DR254" s="409"/>
      <c r="DS254" s="386">
        <v>-532</v>
      </c>
      <c r="DT254" s="386">
        <v>77</v>
      </c>
      <c r="DU254" s="386">
        <v>112</v>
      </c>
      <c r="DV254" s="386">
        <v>330</v>
      </c>
      <c r="DW254" s="386">
        <v>193</v>
      </c>
      <c r="DX254" s="386">
        <v>265</v>
      </c>
      <c r="DY254" s="386">
        <v>146</v>
      </c>
      <c r="DZ254" s="386">
        <v>360</v>
      </c>
      <c r="EA254" s="386">
        <v>810</v>
      </c>
      <c r="EB254" s="409">
        <v>1473</v>
      </c>
      <c r="EC254" s="409">
        <v>560</v>
      </c>
      <c r="ED254" s="409">
        <v>336</v>
      </c>
      <c r="EE254" s="409">
        <v>228</v>
      </c>
      <c r="EF254" s="409">
        <v>180.42819749516445</v>
      </c>
      <c r="EG254" s="409">
        <v>-64.83200000000005</v>
      </c>
      <c r="EH254" s="409">
        <v>-96.227542219966381</v>
      </c>
      <c r="EI254" s="409">
        <v>-66.497748396902182</v>
      </c>
      <c r="EJ254" s="409">
        <v>-76.244159214573244</v>
      </c>
      <c r="EK254" s="409">
        <v>-9.4821637798933125</v>
      </c>
      <c r="EL254" s="409">
        <v>6.1752820992400075</v>
      </c>
      <c r="EM254" s="409">
        <v>-1.6305344146041421</v>
      </c>
      <c r="EN254" s="409">
        <v>0.94816501443972356</v>
      </c>
      <c r="EO254" s="409">
        <v>-10.831695520267431</v>
      </c>
      <c r="EP254" s="409"/>
      <c r="EQ254" s="409"/>
    </row>
    <row r="255" spans="1:147" ht="15" customHeight="1">
      <c r="A255" s="473"/>
      <c r="I255" s="777" t="s">
        <v>1653</v>
      </c>
      <c r="J255" s="356"/>
      <c r="K255" s="356"/>
      <c r="L255" s="356"/>
      <c r="M255" s="356"/>
      <c r="N255" s="356"/>
      <c r="O255" s="356"/>
      <c r="P255" s="356"/>
      <c r="Q255" s="356"/>
      <c r="R255" s="356"/>
      <c r="S255" s="356"/>
      <c r="T255" s="356"/>
      <c r="U255" s="356"/>
      <c r="V255" s="356"/>
      <c r="W255" s="356"/>
      <c r="X255" s="356"/>
      <c r="Y255" s="356"/>
      <c r="Z255" s="356"/>
      <c r="AA255" s="356"/>
      <c r="AB255" s="356"/>
      <c r="AC255" s="356"/>
      <c r="AD255" s="356"/>
      <c r="AE255" s="356"/>
      <c r="AF255" s="356"/>
      <c r="AG255" s="356"/>
      <c r="AH255" s="356"/>
      <c r="AI255" s="356"/>
      <c r="AJ255" s="356"/>
      <c r="AK255" s="356"/>
      <c r="AL255" s="356"/>
      <c r="AM255" s="356"/>
      <c r="AN255" s="356"/>
      <c r="AO255" s="356"/>
      <c r="AP255" s="356"/>
      <c r="AQ255" s="356"/>
      <c r="AR255" s="356"/>
      <c r="AS255" s="356"/>
      <c r="AT255" s="356">
        <v>1</v>
      </c>
      <c r="AU255" s="356">
        <v>1</v>
      </c>
      <c r="AV255" s="356">
        <v>1</v>
      </c>
      <c r="AW255" s="356">
        <v>1</v>
      </c>
      <c r="AX255" s="356">
        <v>1</v>
      </c>
      <c r="AY255" s="356">
        <v>1</v>
      </c>
      <c r="AZ255" s="356">
        <v>1</v>
      </c>
      <c r="BA255" s="356">
        <v>1</v>
      </c>
      <c r="BB255" s="356">
        <v>1</v>
      </c>
      <c r="BC255" s="356">
        <v>1</v>
      </c>
      <c r="BD255" s="356">
        <v>1</v>
      </c>
      <c r="BE255" s="356">
        <v>1</v>
      </c>
      <c r="BF255" s="356">
        <v>1</v>
      </c>
      <c r="BG255" s="356">
        <v>1</v>
      </c>
      <c r="BH255" s="356">
        <v>1</v>
      </c>
      <c r="BI255" s="356">
        <v>1</v>
      </c>
      <c r="BJ255" s="356">
        <v>1</v>
      </c>
      <c r="BK255" s="356">
        <v>1</v>
      </c>
      <c r="BL255" s="356">
        <v>1</v>
      </c>
      <c r="BM255" s="356">
        <v>1</v>
      </c>
      <c r="BN255" s="356">
        <v>1</v>
      </c>
      <c r="BO255" s="356">
        <v>1</v>
      </c>
      <c r="BP255" s="356">
        <v>1</v>
      </c>
      <c r="BQ255" s="356">
        <v>1</v>
      </c>
      <c r="BR255" s="356">
        <v>1</v>
      </c>
      <c r="BS255" s="356">
        <v>1</v>
      </c>
      <c r="BT255" s="356">
        <v>1</v>
      </c>
      <c r="BU255" s="356">
        <v>1</v>
      </c>
      <c r="BV255" s="356">
        <v>1</v>
      </c>
      <c r="BW255" s="356">
        <v>1</v>
      </c>
      <c r="BX255" s="356">
        <v>1</v>
      </c>
      <c r="BY255" s="356">
        <v>1</v>
      </c>
      <c r="BZ255" s="356">
        <v>1</v>
      </c>
      <c r="CA255" s="356">
        <v>1</v>
      </c>
      <c r="CB255" s="356">
        <v>1</v>
      </c>
      <c r="CC255" s="356">
        <v>1</v>
      </c>
      <c r="CD255" s="356">
        <v>1</v>
      </c>
      <c r="CE255" s="356">
        <v>1</v>
      </c>
      <c r="CF255" s="356">
        <v>1</v>
      </c>
      <c r="CG255" s="356">
        <v>1</v>
      </c>
      <c r="CH255" s="356">
        <v>1</v>
      </c>
      <c r="CI255" s="356">
        <v>1</v>
      </c>
      <c r="CJ255" s="356">
        <v>1</v>
      </c>
      <c r="CK255" s="356">
        <v>1</v>
      </c>
      <c r="CL255" s="356">
        <v>1</v>
      </c>
      <c r="CM255" s="356">
        <v>1</v>
      </c>
      <c r="CN255" s="356">
        <v>1</v>
      </c>
      <c r="CO255" s="356">
        <v>1</v>
      </c>
      <c r="CP255" s="356">
        <v>1</v>
      </c>
      <c r="CQ255" s="356">
        <v>1</v>
      </c>
      <c r="CR255" s="356">
        <v>1</v>
      </c>
      <c r="CS255" s="356">
        <v>1</v>
      </c>
      <c r="CT255" s="356">
        <v>1</v>
      </c>
      <c r="CU255" s="356">
        <v>1</v>
      </c>
      <c r="CV255" s="356">
        <v>1</v>
      </c>
      <c r="CW255" s="356">
        <v>1</v>
      </c>
      <c r="CX255" s="356"/>
      <c r="CY255" s="356"/>
      <c r="CZ255" s="356"/>
      <c r="DA255" s="356"/>
      <c r="DB255" s="356"/>
      <c r="DC255" s="356"/>
      <c r="DD255" s="356"/>
      <c r="DE255" s="356"/>
      <c r="DF255" s="356"/>
      <c r="DG255" s="356"/>
      <c r="DH255" s="356"/>
      <c r="DI255" s="356"/>
      <c r="DJ255" s="356"/>
      <c r="DK255" s="356"/>
      <c r="DL255" s="356"/>
      <c r="DM255" s="356"/>
      <c r="DN255" s="356"/>
      <c r="DO255" s="356"/>
      <c r="DP255" s="356"/>
      <c r="DQ255" s="356"/>
      <c r="DR255" s="356"/>
      <c r="DS255" s="356"/>
      <c r="DT255" s="356"/>
      <c r="DU255" s="356"/>
      <c r="DV255" s="356"/>
      <c r="DW255" s="356"/>
      <c r="DX255" s="356"/>
      <c r="DY255" s="356">
        <v>1</v>
      </c>
      <c r="DZ255" s="356">
        <v>1</v>
      </c>
      <c r="EA255" s="356">
        <v>1</v>
      </c>
      <c r="EB255" s="356">
        <v>1</v>
      </c>
      <c r="EC255" s="356">
        <v>1</v>
      </c>
      <c r="ED255" s="356">
        <v>1</v>
      </c>
      <c r="EE255" s="356">
        <v>1</v>
      </c>
      <c r="EF255" s="356">
        <v>1</v>
      </c>
      <c r="EG255" s="356">
        <v>1</v>
      </c>
      <c r="EH255" s="356">
        <v>1</v>
      </c>
      <c r="EI255" s="356">
        <v>1</v>
      </c>
      <c r="EJ255" s="356">
        <v>1</v>
      </c>
      <c r="EK255" s="356">
        <v>1</v>
      </c>
      <c r="EL255" s="356">
        <v>1</v>
      </c>
      <c r="EM255" s="356">
        <v>1</v>
      </c>
      <c r="EN255" s="356">
        <v>1</v>
      </c>
      <c r="EO255" s="356">
        <v>1</v>
      </c>
      <c r="EP255" s="356"/>
      <c r="EQ255" s="356"/>
    </row>
    <row r="256" spans="1:147" ht="15" customHeight="1">
      <c r="A256" s="473"/>
      <c r="J256" s="356"/>
      <c r="K256" s="356"/>
      <c r="L256" s="356"/>
      <c r="M256" s="356"/>
      <c r="N256" s="356"/>
      <c r="O256" s="356"/>
      <c r="P256" s="356"/>
      <c r="Q256" s="356"/>
      <c r="R256" s="356"/>
      <c r="S256" s="356"/>
      <c r="T256" s="356"/>
      <c r="U256" s="356"/>
      <c r="V256" s="356"/>
      <c r="W256" s="356"/>
      <c r="X256" s="356"/>
      <c r="Y256" s="356"/>
      <c r="Z256" s="356"/>
      <c r="AA256" s="356"/>
      <c r="AB256" s="356"/>
      <c r="AC256" s="356"/>
      <c r="AD256" s="356"/>
      <c r="AE256" s="356"/>
      <c r="AF256" s="356"/>
      <c r="AG256" s="356"/>
      <c r="AH256" s="356"/>
      <c r="AI256" s="356"/>
      <c r="AJ256" s="356"/>
      <c r="AK256" s="356"/>
      <c r="AL256" s="356"/>
      <c r="AM256" s="356"/>
      <c r="AN256" s="356"/>
      <c r="AO256" s="356"/>
      <c r="AP256" s="356"/>
      <c r="AQ256" s="356"/>
      <c r="AR256" s="356"/>
      <c r="AS256" s="356"/>
      <c r="AT256" s="356"/>
      <c r="AU256" s="356"/>
      <c r="AV256" s="356"/>
      <c r="AW256" s="356"/>
      <c r="AX256" s="356"/>
      <c r="AY256" s="356"/>
      <c r="AZ256" s="356"/>
      <c r="BA256" s="356"/>
      <c r="BB256" s="356"/>
      <c r="BC256" s="356"/>
      <c r="BD256" s="356"/>
      <c r="BE256" s="356"/>
      <c r="BF256" s="356"/>
      <c r="BG256" s="356"/>
      <c r="BH256" s="356"/>
      <c r="BI256" s="356"/>
      <c r="BJ256" s="356"/>
      <c r="BK256" s="356"/>
      <c r="BL256" s="356"/>
      <c r="BM256" s="356"/>
      <c r="BN256" s="356"/>
      <c r="BO256" s="356"/>
      <c r="BP256" s="356"/>
      <c r="BQ256" s="356"/>
      <c r="BR256" s="356"/>
      <c r="BS256" s="356"/>
      <c r="BT256" s="356"/>
      <c r="BU256" s="356"/>
      <c r="BV256" s="356"/>
      <c r="BW256" s="356"/>
      <c r="BX256" s="356"/>
      <c r="BY256" s="356"/>
      <c r="BZ256" s="356"/>
      <c r="CA256" s="356"/>
      <c r="CB256" s="356"/>
      <c r="CC256" s="356"/>
      <c r="CD256" s="356"/>
      <c r="CE256" s="356"/>
      <c r="CF256" s="356"/>
      <c r="CG256" s="356"/>
      <c r="CH256" s="356"/>
      <c r="CI256" s="356"/>
      <c r="CJ256" s="356"/>
      <c r="CK256" s="356"/>
      <c r="CL256" s="356"/>
      <c r="CM256" s="356"/>
      <c r="CN256" s="356"/>
      <c r="CO256" s="356"/>
      <c r="CP256" s="356"/>
      <c r="CQ256" s="356"/>
      <c r="CR256" s="356"/>
      <c r="CS256" s="356"/>
      <c r="CT256" s="356"/>
      <c r="CU256" s="356"/>
      <c r="CV256" s="356"/>
      <c r="CW256" s="356"/>
      <c r="CX256" s="356"/>
      <c r="CY256" s="356"/>
      <c r="CZ256" s="356"/>
      <c r="DA256" s="356"/>
      <c r="DB256" s="356"/>
      <c r="DC256" s="356"/>
      <c r="DD256" s="356"/>
      <c r="DE256" s="356"/>
      <c r="DF256" s="356"/>
      <c r="DG256" s="356"/>
      <c r="DH256" s="356"/>
      <c r="DI256" s="356"/>
      <c r="DJ256" s="356"/>
      <c r="DK256" s="356"/>
      <c r="DL256" s="356"/>
      <c r="DM256" s="356"/>
      <c r="DN256" s="356"/>
      <c r="DO256" s="356"/>
      <c r="DP256" s="356"/>
      <c r="DQ256" s="356"/>
      <c r="DR256" s="356"/>
      <c r="DS256" s="356"/>
      <c r="DT256" s="356"/>
      <c r="DU256" s="356"/>
      <c r="DV256" s="356"/>
      <c r="DW256" s="356"/>
      <c r="DX256" s="356"/>
      <c r="DY256" s="356"/>
      <c r="DZ256" s="356"/>
      <c r="EA256" s="356"/>
      <c r="EB256" s="356"/>
      <c r="EC256" s="356"/>
      <c r="ED256" s="356"/>
      <c r="EE256" s="356"/>
      <c r="EF256" s="356"/>
      <c r="EG256" s="356"/>
      <c r="EH256" s="356"/>
      <c r="EI256" s="356"/>
      <c r="EJ256" s="356"/>
      <c r="EK256" s="356"/>
      <c r="EL256" s="356"/>
      <c r="EM256" s="356"/>
      <c r="EN256" s="356"/>
      <c r="EO256" s="356"/>
      <c r="EP256" s="356"/>
      <c r="EQ256" s="356"/>
    </row>
    <row r="257" spans="1:147" ht="15" customHeight="1">
      <c r="A257" s="473"/>
      <c r="I257" s="778" t="s">
        <v>1654</v>
      </c>
      <c r="J257" s="356"/>
      <c r="K257" s="356"/>
      <c r="L257" s="356"/>
      <c r="M257" s="356"/>
      <c r="N257" s="356"/>
      <c r="O257" s="356"/>
      <c r="P257" s="356"/>
      <c r="Q257" s="356"/>
      <c r="R257" s="356"/>
      <c r="S257" s="356"/>
      <c r="T257" s="356"/>
      <c r="U257" s="356"/>
      <c r="V257" s="356"/>
      <c r="W257" s="356"/>
      <c r="X257" s="356"/>
      <c r="Y257" s="356"/>
      <c r="Z257" s="356"/>
      <c r="AA257" s="356"/>
      <c r="AB257" s="356"/>
      <c r="AC257" s="356"/>
      <c r="AD257" s="356"/>
      <c r="AE257" s="356"/>
      <c r="AF257" s="356"/>
      <c r="AG257" s="356"/>
      <c r="AH257" s="356"/>
      <c r="AI257" s="356"/>
      <c r="AJ257" s="356"/>
      <c r="AK257" s="356"/>
      <c r="AL257" s="356"/>
      <c r="AM257" s="356"/>
      <c r="AN257" s="356"/>
      <c r="AO257" s="356"/>
      <c r="AP257" s="356"/>
      <c r="AQ257" s="356"/>
      <c r="AR257" s="356"/>
      <c r="AS257" s="356"/>
      <c r="AT257" s="356"/>
      <c r="AU257" s="356"/>
      <c r="AV257" s="356"/>
      <c r="AW257" s="356"/>
      <c r="AX257" s="356"/>
      <c r="AY257" s="356"/>
      <c r="AZ257" s="356"/>
      <c r="BA257" s="356"/>
      <c r="BB257" s="356"/>
      <c r="BC257" s="356"/>
      <c r="BD257" s="356"/>
      <c r="BE257" s="356"/>
      <c r="BF257" s="356"/>
      <c r="BG257" s="356"/>
      <c r="BH257" s="356"/>
      <c r="BI257" s="356"/>
      <c r="BJ257" s="356"/>
      <c r="BK257" s="356"/>
      <c r="BL257" s="356"/>
      <c r="BM257" s="356"/>
      <c r="BN257" s="356"/>
      <c r="BO257" s="356"/>
      <c r="BP257" s="356"/>
      <c r="BQ257" s="356"/>
      <c r="BR257" s="356"/>
      <c r="BS257" s="356"/>
      <c r="BT257" s="356"/>
      <c r="BU257" s="356"/>
      <c r="BV257" s="356"/>
      <c r="BW257" s="356"/>
      <c r="BX257" s="356"/>
      <c r="BY257" s="356"/>
      <c r="BZ257" s="356"/>
      <c r="CA257" s="356"/>
      <c r="CB257" s="356"/>
      <c r="CC257" s="356"/>
      <c r="CD257" s="356"/>
      <c r="CE257" s="356"/>
      <c r="CF257" s="356"/>
      <c r="CG257" s="356"/>
      <c r="CH257" s="356"/>
      <c r="CI257" s="356"/>
      <c r="CJ257" s="356"/>
      <c r="CK257" s="356"/>
      <c r="CL257" s="356"/>
      <c r="CM257" s="356"/>
      <c r="CN257" s="356"/>
      <c r="CO257" s="356"/>
      <c r="CP257" s="356"/>
      <c r="CQ257" s="356"/>
      <c r="CR257" s="356"/>
      <c r="CS257" s="356"/>
      <c r="CT257" s="356"/>
      <c r="CU257" s="356"/>
      <c r="CV257" s="356"/>
      <c r="CW257" s="356"/>
      <c r="CX257" s="356"/>
      <c r="CY257" s="356"/>
      <c r="CZ257" s="356"/>
      <c r="DA257" s="356"/>
      <c r="DB257" s="356"/>
      <c r="DC257" s="356"/>
      <c r="DD257" s="356"/>
      <c r="DE257" s="356"/>
      <c r="DF257" s="356"/>
      <c r="DG257" s="356"/>
      <c r="DH257" s="356"/>
      <c r="DI257" s="356"/>
      <c r="DJ257" s="356"/>
      <c r="DK257" s="356"/>
      <c r="DL257" s="356"/>
      <c r="DM257" s="356"/>
      <c r="DN257" s="356"/>
      <c r="DO257" s="356"/>
      <c r="DP257" s="356"/>
      <c r="DQ257" s="356"/>
      <c r="DR257" s="356"/>
      <c r="DS257" s="356"/>
      <c r="DT257" s="356"/>
      <c r="DU257" s="356"/>
      <c r="DV257" s="356"/>
      <c r="DW257" s="356"/>
      <c r="DX257" s="356"/>
      <c r="DY257" s="356"/>
      <c r="DZ257" s="356"/>
      <c r="EA257" s="356"/>
      <c r="EB257" s="356"/>
      <c r="EC257" s="356"/>
      <c r="ED257" s="356"/>
      <c r="EE257" s="356"/>
      <c r="EF257" s="356"/>
      <c r="EG257" s="356"/>
      <c r="EH257" s="356"/>
      <c r="EI257" s="356"/>
      <c r="EJ257" s="356"/>
      <c r="EK257" s="356"/>
      <c r="EL257" s="356"/>
      <c r="EM257" s="356"/>
      <c r="EN257" s="356"/>
      <c r="EO257" s="356"/>
      <c r="EP257" s="356"/>
      <c r="EQ257" s="356"/>
    </row>
    <row r="258" spans="1:147" ht="15" customHeight="1">
      <c r="A258" s="473"/>
      <c r="I258" s="777" t="s">
        <v>1655</v>
      </c>
      <c r="J258" s="356"/>
      <c r="K258" s="356"/>
      <c r="L258" s="356"/>
      <c r="M258" s="356"/>
      <c r="N258" s="356"/>
      <c r="O258" s="356"/>
      <c r="P258" s="356"/>
      <c r="Q258" s="356"/>
      <c r="R258" s="356"/>
      <c r="S258" s="356"/>
      <c r="T258" s="356"/>
      <c r="U258" s="356"/>
      <c r="V258" s="356"/>
      <c r="W258" s="356"/>
      <c r="X258" s="356"/>
      <c r="Y258" s="356"/>
      <c r="Z258" s="356"/>
      <c r="AA258" s="356"/>
      <c r="AB258" s="356"/>
      <c r="AC258" s="356"/>
      <c r="AD258" s="356"/>
      <c r="AE258" s="356"/>
      <c r="AF258" s="356"/>
      <c r="AG258" s="356"/>
      <c r="AH258" s="356"/>
      <c r="AI258" s="356"/>
      <c r="AJ258" s="356"/>
      <c r="AK258" s="356"/>
      <c r="AL258" s="356"/>
      <c r="AM258" s="356"/>
      <c r="AN258" s="356"/>
      <c r="AO258" s="356"/>
      <c r="AP258" s="356"/>
      <c r="AQ258" s="356"/>
      <c r="AR258" s="356"/>
      <c r="AS258" s="356"/>
      <c r="AT258" s="325">
        <v>724</v>
      </c>
      <c r="AU258" s="325">
        <v>801</v>
      </c>
      <c r="AV258" s="325">
        <v>755</v>
      </c>
      <c r="AW258" s="325">
        <v>2495</v>
      </c>
      <c r="AX258" s="325">
        <v>714</v>
      </c>
      <c r="AY258" s="325">
        <v>683</v>
      </c>
      <c r="AZ258" s="325">
        <v>857</v>
      </c>
      <c r="BA258" s="325">
        <v>2548</v>
      </c>
      <c r="BB258" s="325">
        <v>755</v>
      </c>
      <c r="BC258" s="325">
        <v>699</v>
      </c>
      <c r="BD258" s="325">
        <v>627</v>
      </c>
      <c r="BE258" s="325">
        <v>2408</v>
      </c>
      <c r="BF258" s="325">
        <v>587</v>
      </c>
      <c r="BG258" s="325">
        <v>1054</v>
      </c>
      <c r="BH258" s="325">
        <v>751</v>
      </c>
      <c r="BI258" s="325">
        <v>2595</v>
      </c>
      <c r="BJ258" s="325">
        <v>804</v>
      </c>
      <c r="BK258" s="325">
        <v>608</v>
      </c>
      <c r="BL258" s="325">
        <v>657</v>
      </c>
      <c r="BM258" s="325">
        <v>2272</v>
      </c>
      <c r="BN258" s="325">
        <v>772</v>
      </c>
      <c r="BO258" s="325">
        <v>658</v>
      </c>
      <c r="BP258" s="325">
        <v>1170</v>
      </c>
      <c r="BQ258" s="325">
        <v>2213</v>
      </c>
      <c r="BR258" s="325">
        <v>703</v>
      </c>
      <c r="BS258" s="325">
        <v>759</v>
      </c>
      <c r="BT258" s="325">
        <v>1040</v>
      </c>
      <c r="BU258" s="325">
        <v>2118</v>
      </c>
      <c r="BV258" s="325">
        <v>908</v>
      </c>
      <c r="BW258" s="325">
        <v>1609</v>
      </c>
      <c r="BX258" s="325">
        <v>1630</v>
      </c>
      <c r="BY258" s="325">
        <v>2452</v>
      </c>
      <c r="BZ258" s="325">
        <v>1196</v>
      </c>
      <c r="CA258" s="325">
        <v>1418</v>
      </c>
      <c r="CB258" s="325">
        <v>1902</v>
      </c>
      <c r="CC258" s="325">
        <v>2659</v>
      </c>
      <c r="CD258" s="325">
        <v>1384</v>
      </c>
      <c r="CE258" s="325">
        <v>1385</v>
      </c>
      <c r="CF258" s="325">
        <v>1658</v>
      </c>
      <c r="CG258" s="325">
        <v>2835</v>
      </c>
      <c r="CH258" s="325">
        <v>1258</v>
      </c>
      <c r="CI258" s="325">
        <v>1207</v>
      </c>
      <c r="CJ258" s="325">
        <v>1214</v>
      </c>
      <c r="CK258" s="325">
        <v>2708</v>
      </c>
      <c r="CL258" s="325">
        <v>1522</v>
      </c>
      <c r="CM258" s="325">
        <v>2078</v>
      </c>
      <c r="CN258" s="325">
        <v>1767</v>
      </c>
      <c r="CO258" s="325">
        <v>3051</v>
      </c>
      <c r="CP258" s="325">
        <v>2066</v>
      </c>
      <c r="CQ258" s="325">
        <v>1921</v>
      </c>
      <c r="CR258" s="325">
        <v>2060</v>
      </c>
      <c r="CS258" s="325">
        <v>2806.9707248821205</v>
      </c>
      <c r="CT258" s="325">
        <v>1616.8259323158504</v>
      </c>
      <c r="CU258" s="325">
        <v>1585.9480194281759</v>
      </c>
      <c r="CV258" s="325">
        <v>2112.6893946806267</v>
      </c>
      <c r="CW258" s="325">
        <v>3560.0402405100122</v>
      </c>
      <c r="CX258" s="356"/>
      <c r="CY258" s="356"/>
      <c r="CZ258" s="356"/>
      <c r="DA258" s="356"/>
      <c r="DB258" s="356"/>
      <c r="DC258" s="356"/>
      <c r="DD258" s="356"/>
      <c r="DE258" s="356"/>
      <c r="DF258" s="356"/>
      <c r="DG258" s="356"/>
      <c r="DH258" s="356"/>
      <c r="DI258" s="356"/>
      <c r="DJ258" s="356"/>
      <c r="DK258" s="325"/>
      <c r="DL258" s="325"/>
      <c r="DM258" s="325"/>
      <c r="DN258" s="325"/>
      <c r="DO258" s="325"/>
      <c r="DP258" s="325"/>
      <c r="DQ258" s="325"/>
      <c r="DR258" s="325"/>
      <c r="DS258" s="325">
        <v>3722</v>
      </c>
      <c r="DT258" s="325">
        <v>4775</v>
      </c>
      <c r="DU258" s="325">
        <v>4802</v>
      </c>
      <c r="DV258" s="325">
        <v>4489</v>
      </c>
      <c r="DW258" s="325">
        <v>4987</v>
      </c>
      <c r="DX258" s="325">
        <v>4341</v>
      </c>
      <c r="DY258" s="325">
        <v>4813</v>
      </c>
      <c r="DZ258" s="325">
        <v>4620</v>
      </c>
      <c r="EA258" s="325">
        <v>6599</v>
      </c>
      <c r="EB258" s="325">
        <v>7175</v>
      </c>
      <c r="EC258" s="325">
        <v>7262</v>
      </c>
      <c r="ED258" s="325">
        <v>6387</v>
      </c>
      <c r="EE258" s="325">
        <v>8418</v>
      </c>
      <c r="EF258" s="325">
        <v>8853.9707248821214</v>
      </c>
      <c r="EG258" s="325">
        <v>8875.5035869346648</v>
      </c>
      <c r="EH258" s="325">
        <v>10518.338634813546</v>
      </c>
      <c r="EI258" s="325">
        <v>9665.2317904567153</v>
      </c>
      <c r="EJ258" s="325">
        <v>9318.6132274479678</v>
      </c>
      <c r="EK258" s="325">
        <v>10041.985294232833</v>
      </c>
      <c r="EL258" s="325">
        <v>9569.1015707495681</v>
      </c>
      <c r="EM258" s="325">
        <v>9693.4912223981792</v>
      </c>
      <c r="EN258" s="325">
        <v>9621.1579341245942</v>
      </c>
      <c r="EO258" s="325">
        <v>10447.482616671719</v>
      </c>
      <c r="EP258" s="356"/>
      <c r="EQ258" s="356"/>
    </row>
    <row r="259" spans="1:147" ht="15" customHeight="1">
      <c r="A259" s="473"/>
      <c r="I259" s="777" t="s">
        <v>297</v>
      </c>
      <c r="J259" s="356"/>
      <c r="K259" s="356"/>
      <c r="L259" s="356"/>
      <c r="M259" s="356"/>
      <c r="N259" s="356"/>
      <c r="O259" s="356"/>
      <c r="P259" s="356"/>
      <c r="Q259" s="356"/>
      <c r="R259" s="356"/>
      <c r="S259" s="356"/>
      <c r="T259" s="356"/>
      <c r="U259" s="356"/>
      <c r="V259" s="356"/>
      <c r="W259" s="356"/>
      <c r="X259" s="356"/>
      <c r="Y259" s="356"/>
      <c r="Z259" s="356"/>
      <c r="AA259" s="356"/>
      <c r="AB259" s="356"/>
      <c r="AC259" s="356"/>
      <c r="AD259" s="356"/>
      <c r="AE259" s="356"/>
      <c r="AF259" s="356"/>
      <c r="AG259" s="356"/>
      <c r="AH259" s="356"/>
      <c r="AI259" s="356"/>
      <c r="AJ259" s="356"/>
      <c r="AK259" s="356"/>
      <c r="AL259" s="356"/>
      <c r="AM259" s="356"/>
      <c r="AN259" s="356"/>
      <c r="AO259" s="356"/>
      <c r="AP259" s="356"/>
      <c r="AQ259" s="356"/>
      <c r="AR259" s="356"/>
      <c r="AS259" s="356"/>
      <c r="AT259" s="418">
        <v>0.08</v>
      </c>
      <c r="AU259" s="418">
        <v>0.08</v>
      </c>
      <c r="AV259" s="418">
        <v>0.04</v>
      </c>
      <c r="AW259" s="418">
        <v>0.83</v>
      </c>
      <c r="AX259" s="418">
        <v>0.09</v>
      </c>
      <c r="AY259" s="418">
        <v>0.06</v>
      </c>
      <c r="AZ259" s="418">
        <v>0.12</v>
      </c>
      <c r="BA259" s="418">
        <v>0.55000000000000004</v>
      </c>
      <c r="BB259" s="418">
        <v>0.13</v>
      </c>
      <c r="BC259" s="418">
        <v>0.1</v>
      </c>
      <c r="BD259" s="418">
        <v>0.08</v>
      </c>
      <c r="BE259" s="418">
        <v>0.63</v>
      </c>
      <c r="BF259" s="418">
        <v>0.06</v>
      </c>
      <c r="BG259" s="418">
        <v>0.2</v>
      </c>
      <c r="BH259" s="418">
        <v>0.15</v>
      </c>
      <c r="BI259" s="418">
        <v>0.8</v>
      </c>
      <c r="BJ259" s="418">
        <v>0.18</v>
      </c>
      <c r="BK259" s="418">
        <v>0.08</v>
      </c>
      <c r="BL259" s="418">
        <v>0.08</v>
      </c>
      <c r="BM259" s="418">
        <v>0.8</v>
      </c>
      <c r="BN259" s="418">
        <v>0.19</v>
      </c>
      <c r="BO259" s="418">
        <v>0.06</v>
      </c>
      <c r="BP259" s="418">
        <v>0.23</v>
      </c>
      <c r="BQ259" s="418">
        <v>0.94</v>
      </c>
      <c r="BR259" s="418">
        <v>0.16</v>
      </c>
      <c r="BS259" s="418">
        <v>0.13</v>
      </c>
      <c r="BT259" s="418">
        <v>0.21</v>
      </c>
      <c r="BU259" s="418">
        <v>0.83</v>
      </c>
      <c r="BV259" s="418">
        <v>0.23</v>
      </c>
      <c r="BW259" s="418">
        <v>0.54</v>
      </c>
      <c r="BX259" s="418">
        <v>0.52</v>
      </c>
      <c r="BY259" s="418">
        <v>0.92</v>
      </c>
      <c r="BZ259" s="418">
        <v>0.31</v>
      </c>
      <c r="CA259" s="418">
        <v>0.43</v>
      </c>
      <c r="CB259" s="418">
        <v>0.6</v>
      </c>
      <c r="CC259" s="418">
        <v>0.95</v>
      </c>
      <c r="CD259" s="418">
        <v>0.38</v>
      </c>
      <c r="CE259" s="418">
        <v>0.41</v>
      </c>
      <c r="CF259" s="418">
        <v>0.52</v>
      </c>
      <c r="CG259" s="418">
        <v>1.29</v>
      </c>
      <c r="CH259" s="418">
        <v>0.31</v>
      </c>
      <c r="CI259" s="418">
        <v>0.38</v>
      </c>
      <c r="CJ259" s="418">
        <v>0.32</v>
      </c>
      <c r="CK259" s="418">
        <v>1.24</v>
      </c>
      <c r="CL259" s="418">
        <v>0.57999999999999996</v>
      </c>
      <c r="CM259" s="418">
        <v>0.97</v>
      </c>
      <c r="CN259" s="418">
        <v>0.71</v>
      </c>
      <c r="CO259" s="418">
        <v>1.21</v>
      </c>
      <c r="CP259" s="418">
        <v>0.84</v>
      </c>
      <c r="CQ259" s="418">
        <v>0.91</v>
      </c>
      <c r="CR259" s="418">
        <v>0.72</v>
      </c>
      <c r="CS259" s="418">
        <v>1.32</v>
      </c>
      <c r="CT259" s="418">
        <v>0.55000000000000004</v>
      </c>
      <c r="CU259" s="418">
        <v>0.5</v>
      </c>
      <c r="CV259" s="418">
        <v>0.83</v>
      </c>
      <c r="CW259" s="418">
        <v>1.56</v>
      </c>
      <c r="CX259" s="356"/>
      <c r="CY259" s="356"/>
      <c r="CZ259" s="356"/>
      <c r="DA259" s="356"/>
      <c r="DB259" s="356"/>
      <c r="DC259" s="356"/>
      <c r="DD259" s="356"/>
      <c r="DE259" s="356"/>
      <c r="DF259" s="356"/>
      <c r="DG259" s="356"/>
      <c r="DH259" s="356"/>
      <c r="DI259" s="356"/>
      <c r="DJ259" s="356"/>
      <c r="DK259" s="418"/>
      <c r="DL259" s="418"/>
      <c r="DM259" s="418"/>
      <c r="DN259" s="418"/>
      <c r="DO259" s="418"/>
      <c r="DP259" s="418"/>
      <c r="DQ259" s="418"/>
      <c r="DR259" s="418"/>
      <c r="DS259" s="418">
        <v>0</v>
      </c>
      <c r="DT259" s="418">
        <v>0.69</v>
      </c>
      <c r="DU259" s="418">
        <v>0.8</v>
      </c>
      <c r="DV259" s="418">
        <v>0.94</v>
      </c>
      <c r="DW259" s="418">
        <v>1.21</v>
      </c>
      <c r="DX259" s="418">
        <v>0.97</v>
      </c>
      <c r="DY259" s="418">
        <v>1.46</v>
      </c>
      <c r="DZ259" s="418">
        <v>1.34</v>
      </c>
      <c r="EA259" s="418">
        <v>2.2200000000000002</v>
      </c>
      <c r="EB259" s="418">
        <v>2.29</v>
      </c>
      <c r="EC259" s="418">
        <v>2.6</v>
      </c>
      <c r="ED259" s="418">
        <v>2.2599999999999998</v>
      </c>
      <c r="EE259" s="418">
        <v>3.48</v>
      </c>
      <c r="EF259" s="418">
        <v>3.8</v>
      </c>
      <c r="EG259" s="418">
        <v>3.45</v>
      </c>
      <c r="EH259" s="418">
        <v>4.4000000000000004</v>
      </c>
      <c r="EI259" s="418">
        <v>3.98</v>
      </c>
      <c r="EJ259" s="418">
        <v>3.65</v>
      </c>
      <c r="EK259" s="418">
        <v>5.22</v>
      </c>
      <c r="EL259" s="418">
        <v>4.79</v>
      </c>
      <c r="EM259" s="418">
        <v>4.9000000000000004</v>
      </c>
      <c r="EN259" s="418">
        <v>4.76</v>
      </c>
      <c r="EO259" s="418">
        <v>5.45</v>
      </c>
      <c r="EP259" s="356"/>
      <c r="EQ259" s="356"/>
    </row>
    <row r="260" spans="1:147" ht="15" customHeight="1">
      <c r="A260" s="473"/>
      <c r="I260" s="777" t="s">
        <v>1656</v>
      </c>
      <c r="J260" s="356"/>
      <c r="K260" s="356"/>
      <c r="L260" s="356"/>
      <c r="M260" s="356"/>
      <c r="N260" s="356"/>
      <c r="O260" s="356"/>
      <c r="P260" s="356"/>
      <c r="Q260" s="356"/>
      <c r="R260" s="356"/>
      <c r="S260" s="356"/>
      <c r="T260" s="356"/>
      <c r="U260" s="356"/>
      <c r="V260" s="356"/>
      <c r="W260" s="356"/>
      <c r="X260" s="356"/>
      <c r="Y260" s="356"/>
      <c r="Z260" s="356"/>
      <c r="AA260" s="356"/>
      <c r="AB260" s="356"/>
      <c r="AC260" s="356"/>
      <c r="AD260" s="356"/>
      <c r="AE260" s="356"/>
      <c r="AF260" s="356"/>
      <c r="AG260" s="356"/>
      <c r="AH260" s="356"/>
      <c r="AI260" s="356"/>
      <c r="AJ260" s="356"/>
      <c r="AK260" s="356"/>
      <c r="AL260" s="356"/>
      <c r="AM260" s="356"/>
      <c r="AN260" s="356"/>
      <c r="AO260" s="356"/>
      <c r="AP260" s="356"/>
      <c r="AQ260" s="356"/>
      <c r="AR260" s="356"/>
      <c r="AS260" s="356"/>
      <c r="AT260" s="456">
        <v>0.25966850828729282</v>
      </c>
      <c r="AU260" s="456">
        <v>0.2696629213483146</v>
      </c>
      <c r="AV260" s="456">
        <v>0.176158940397351</v>
      </c>
      <c r="AW260" s="456">
        <v>0.418436873747495</v>
      </c>
      <c r="AX260" s="456">
        <v>0.27731092436974791</v>
      </c>
      <c r="AY260" s="456">
        <v>0.21815519765739386</v>
      </c>
      <c r="AZ260" s="456">
        <v>0.25670945157526254</v>
      </c>
      <c r="BA260" s="456">
        <v>0.39324960753532184</v>
      </c>
      <c r="BB260" s="456">
        <v>0.32317880794701986</v>
      </c>
      <c r="BC260" s="456">
        <v>0.27324749642346208</v>
      </c>
      <c r="BD260" s="456">
        <v>0.17543859649122806</v>
      </c>
      <c r="BE260" s="456">
        <v>0.39908637873754155</v>
      </c>
      <c r="BF260" s="456">
        <v>0.19250425894378195</v>
      </c>
      <c r="BG260" s="456">
        <v>0.30550284629981023</v>
      </c>
      <c r="BH260" s="456">
        <v>0.23701731025299599</v>
      </c>
      <c r="BI260" s="456">
        <v>0.46435452793834298</v>
      </c>
      <c r="BJ260" s="456">
        <v>0.33582089552238809</v>
      </c>
      <c r="BK260" s="456">
        <v>0.23190789473684212</v>
      </c>
      <c r="BL260" s="456">
        <v>0.19025875190258751</v>
      </c>
      <c r="BM260" s="456">
        <v>0.39172535211267606</v>
      </c>
      <c r="BN260" s="456">
        <v>0.33549222797927464</v>
      </c>
      <c r="BO260" s="456">
        <v>0.20060790273556231</v>
      </c>
      <c r="BP260" s="456">
        <v>0.24188034188034188</v>
      </c>
      <c r="BQ260" s="456">
        <v>0.42611839132399459</v>
      </c>
      <c r="BR260" s="456">
        <v>0.31863442389758179</v>
      </c>
      <c r="BS260" s="456">
        <v>0.25428194993412384</v>
      </c>
      <c r="BT260" s="456">
        <v>0.26442307692307693</v>
      </c>
      <c r="BU260" s="456">
        <v>0.40698772426817753</v>
      </c>
      <c r="BV260" s="456">
        <v>0.30506607929515417</v>
      </c>
      <c r="BW260" s="456">
        <v>0.38471100062150404</v>
      </c>
      <c r="BX260" s="456">
        <v>0.37239263803680983</v>
      </c>
      <c r="BY260" s="456">
        <v>0.41394779771615009</v>
      </c>
      <c r="BZ260" s="456">
        <v>0.32190635451505017</v>
      </c>
      <c r="CA260" s="456">
        <v>0.35472496473906912</v>
      </c>
      <c r="CB260" s="456">
        <v>0.3459516298633018</v>
      </c>
      <c r="CC260" s="456">
        <v>0.37081609627679579</v>
      </c>
      <c r="CD260" s="456">
        <v>0.31069364161849711</v>
      </c>
      <c r="CE260" s="456">
        <v>0.303971119133574</v>
      </c>
      <c r="CF260" s="456">
        <v>0.3178528347406514</v>
      </c>
      <c r="CG260" s="456">
        <v>0.43703703703703706</v>
      </c>
      <c r="CH260" s="456">
        <v>0.26709062003179651</v>
      </c>
      <c r="CI260" s="456">
        <v>0.28169014084507044</v>
      </c>
      <c r="CJ260" s="456">
        <v>0.27100494233937394</v>
      </c>
      <c r="CK260" s="456">
        <v>0.44239290989660268</v>
      </c>
      <c r="CL260" s="456">
        <v>0.37385019710906703</v>
      </c>
      <c r="CM260" s="456">
        <v>0.4773820981713186</v>
      </c>
      <c r="CN260" s="456">
        <v>0.41652518392756083</v>
      </c>
      <c r="CO260" s="456">
        <v>0.38708620124549326</v>
      </c>
      <c r="CP260" s="456">
        <v>0.4244917715392062</v>
      </c>
      <c r="CQ260" s="456">
        <v>0.39927121290994272</v>
      </c>
      <c r="CR260" s="456">
        <v>0.37087378640776697</v>
      </c>
      <c r="CS260" s="456">
        <v>0.48470563240120168</v>
      </c>
      <c r="CT260" s="456">
        <v>0.36319987983194424</v>
      </c>
      <c r="CU260" s="456">
        <v>0.33991853767823249</v>
      </c>
      <c r="CV260" s="456">
        <v>0.41651055394925635</v>
      </c>
      <c r="CW260" s="456">
        <v>0.45625546019257934</v>
      </c>
      <c r="CX260" s="356"/>
      <c r="CY260" s="356"/>
      <c r="CZ260" s="356"/>
      <c r="DA260" s="356"/>
      <c r="DB260" s="356"/>
      <c r="DC260" s="356"/>
      <c r="DD260" s="356"/>
      <c r="DE260" s="356"/>
      <c r="DF260" s="356"/>
      <c r="DG260" s="356"/>
      <c r="DH260" s="356"/>
      <c r="DI260" s="356"/>
      <c r="DJ260" s="356"/>
      <c r="DK260" s="456"/>
      <c r="DL260" s="456"/>
      <c r="DM260" s="456"/>
      <c r="DN260" s="456"/>
      <c r="DO260" s="456"/>
      <c r="DP260" s="456"/>
      <c r="DQ260" s="456"/>
      <c r="DR260" s="456"/>
      <c r="DS260" s="456">
        <v>0.30951101558301986</v>
      </c>
      <c r="DT260" s="456">
        <v>0.3310994764397906</v>
      </c>
      <c r="DU260" s="456">
        <v>0.32673885880882964</v>
      </c>
      <c r="DV260" s="456">
        <v>0.33548674537758966</v>
      </c>
      <c r="DW260" s="456">
        <v>0.36454782434329258</v>
      </c>
      <c r="DX260" s="456">
        <v>0.32849573830914536</v>
      </c>
      <c r="DY260" s="456">
        <v>0.33596509453563267</v>
      </c>
      <c r="DZ260" s="456">
        <v>0.33636363636363636</v>
      </c>
      <c r="EA260" s="456">
        <v>0.38157296560084863</v>
      </c>
      <c r="EB260" s="456">
        <v>0.35289198606271777</v>
      </c>
      <c r="EC260" s="456">
        <v>0.36036904434040207</v>
      </c>
      <c r="ED260" s="456">
        <v>0.34491936746516361</v>
      </c>
      <c r="EE260" s="456">
        <v>0.41993347588500829</v>
      </c>
      <c r="EF260" s="456">
        <v>0.43207218989156754</v>
      </c>
      <c r="EG260" s="456">
        <v>0.4154771960986523</v>
      </c>
      <c r="EH260" s="456">
        <v>0.43931640596336363</v>
      </c>
      <c r="EI260" s="456">
        <v>0.43558024492204261</v>
      </c>
      <c r="EJ260" s="456">
        <v>0.41930087157265833</v>
      </c>
      <c r="EK260" s="456">
        <v>0.44227437689944038</v>
      </c>
      <c r="EL260" s="456">
        <v>0.42424751522421994</v>
      </c>
      <c r="EM260" s="456">
        <v>0.43152530976131409</v>
      </c>
      <c r="EN260" s="456">
        <v>0.42530956092153072</v>
      </c>
      <c r="EO260" s="456">
        <v>0.45197295374807356</v>
      </c>
      <c r="EP260" s="356"/>
      <c r="EQ260" s="356"/>
    </row>
    <row r="261" spans="1:147" ht="15" customHeight="1">
      <c r="A261" s="473"/>
      <c r="J261" s="356"/>
      <c r="K261" s="356"/>
      <c r="L261" s="356"/>
      <c r="M261" s="356"/>
      <c r="N261" s="356"/>
      <c r="O261" s="356"/>
      <c r="P261" s="356"/>
      <c r="Q261" s="356"/>
      <c r="R261" s="356"/>
      <c r="S261" s="356"/>
      <c r="T261" s="356"/>
      <c r="U261" s="356"/>
      <c r="V261" s="356"/>
      <c r="W261" s="356"/>
      <c r="X261" s="356"/>
      <c r="Y261" s="356"/>
      <c r="Z261" s="356"/>
      <c r="AA261" s="356"/>
      <c r="AB261" s="356"/>
      <c r="AC261" s="356"/>
      <c r="AD261" s="356"/>
      <c r="AE261" s="356"/>
      <c r="AF261" s="356"/>
      <c r="AG261" s="356"/>
      <c r="AH261" s="356"/>
      <c r="AI261" s="356"/>
      <c r="AJ261" s="356"/>
      <c r="AK261" s="356"/>
      <c r="AL261" s="356"/>
      <c r="AM261" s="356"/>
      <c r="AN261" s="356"/>
      <c r="AO261" s="356"/>
      <c r="AP261" s="356"/>
      <c r="AQ261" s="356"/>
      <c r="AR261" s="356"/>
      <c r="AS261" s="356"/>
      <c r="AT261" s="356"/>
      <c r="AU261" s="356"/>
      <c r="AV261" s="356"/>
      <c r="AW261" s="356"/>
      <c r="AX261" s="356"/>
      <c r="AY261" s="356"/>
      <c r="AZ261" s="356"/>
      <c r="BA261" s="356"/>
      <c r="BB261" s="356"/>
      <c r="BC261" s="356"/>
      <c r="BD261" s="356"/>
      <c r="BE261" s="356"/>
      <c r="BF261" s="356"/>
      <c r="BG261" s="356"/>
      <c r="BH261" s="356"/>
      <c r="BI261" s="356"/>
      <c r="BJ261" s="356"/>
      <c r="BK261" s="356"/>
      <c r="BL261" s="356"/>
      <c r="BM261" s="356"/>
      <c r="BN261" s="356"/>
      <c r="BO261" s="356"/>
      <c r="BP261" s="356"/>
      <c r="BQ261" s="356"/>
      <c r="BR261" s="356"/>
      <c r="BS261" s="356"/>
      <c r="BT261" s="356"/>
      <c r="BU261" s="356"/>
      <c r="BV261" s="356"/>
      <c r="BW261" s="356"/>
      <c r="BX261" s="356"/>
      <c r="BY261" s="356"/>
      <c r="BZ261" s="356"/>
      <c r="CA261" s="356"/>
      <c r="CB261" s="356"/>
      <c r="CC261" s="356"/>
      <c r="CD261" s="356"/>
      <c r="CE261" s="356"/>
      <c r="CF261" s="356"/>
      <c r="CG261" s="356"/>
      <c r="CH261" s="356"/>
      <c r="CI261" s="356"/>
      <c r="CJ261" s="356"/>
      <c r="CK261" s="356"/>
      <c r="CL261" s="356"/>
      <c r="CM261" s="356"/>
      <c r="CN261" s="356"/>
      <c r="CO261" s="356"/>
      <c r="CP261" s="356"/>
      <c r="CQ261" s="356"/>
      <c r="CR261" s="356"/>
      <c r="CS261" s="356"/>
      <c r="CT261" s="356"/>
      <c r="CU261" s="356"/>
      <c r="CV261" s="356"/>
      <c r="CW261" s="356"/>
      <c r="CX261" s="356"/>
      <c r="CY261" s="356"/>
      <c r="CZ261" s="356"/>
      <c r="DA261" s="356"/>
      <c r="DB261" s="356"/>
      <c r="DC261" s="356"/>
      <c r="DD261" s="356"/>
      <c r="DE261" s="356"/>
      <c r="DF261" s="356"/>
      <c r="DG261" s="356"/>
      <c r="DH261" s="356"/>
      <c r="DI261" s="356"/>
      <c r="DJ261" s="356"/>
      <c r="DK261" s="356"/>
      <c r="DL261" s="356"/>
      <c r="DM261" s="356"/>
      <c r="DN261" s="356"/>
      <c r="DO261" s="356"/>
      <c r="DP261" s="356"/>
      <c r="DQ261" s="356"/>
      <c r="DR261" s="356"/>
      <c r="DS261" s="356"/>
      <c r="DT261" s="356"/>
      <c r="DU261" s="356"/>
      <c r="DV261" s="356"/>
      <c r="DW261" s="356"/>
      <c r="DX261" s="356"/>
      <c r="DY261" s="356"/>
      <c r="DZ261" s="356"/>
      <c r="EA261" s="356"/>
      <c r="EB261" s="356"/>
      <c r="EC261" s="356"/>
      <c r="ED261" s="356"/>
      <c r="EE261" s="356"/>
      <c r="EF261" s="356"/>
      <c r="EG261" s="356"/>
      <c r="EH261" s="356"/>
      <c r="EI261" s="356"/>
      <c r="EJ261" s="356"/>
      <c r="EK261" s="356"/>
      <c r="EL261" s="356"/>
      <c r="EM261" s="356"/>
      <c r="EN261" s="356"/>
      <c r="EO261" s="356"/>
      <c r="EP261" s="356"/>
      <c r="EQ261" s="356"/>
    </row>
    <row r="262" spans="1:147" ht="15" customHeight="1">
      <c r="A262" s="473"/>
      <c r="J262" s="356"/>
      <c r="K262" s="356"/>
      <c r="L262" s="356"/>
      <c r="M262" s="356"/>
      <c r="N262" s="356"/>
      <c r="O262" s="356"/>
      <c r="P262" s="356"/>
      <c r="Q262" s="356"/>
      <c r="R262" s="356"/>
      <c r="S262" s="356"/>
      <c r="T262" s="356"/>
      <c r="U262" s="356"/>
      <c r="V262" s="356"/>
      <c r="W262" s="356"/>
      <c r="X262" s="356"/>
      <c r="Y262" s="356"/>
      <c r="Z262" s="356"/>
      <c r="AA262" s="356"/>
      <c r="AB262" s="356"/>
      <c r="AC262" s="356"/>
      <c r="AD262" s="356"/>
      <c r="AE262" s="356"/>
      <c r="AF262" s="356"/>
      <c r="AG262" s="356"/>
      <c r="AH262" s="356"/>
      <c r="AI262" s="356"/>
      <c r="AJ262" s="356"/>
      <c r="AK262" s="356"/>
      <c r="AL262" s="356"/>
      <c r="AM262" s="356"/>
      <c r="AN262" s="356"/>
      <c r="AO262" s="356"/>
      <c r="AP262" s="356"/>
      <c r="AQ262" s="356"/>
      <c r="AR262" s="356"/>
      <c r="AS262" s="356"/>
      <c r="AT262" s="356"/>
      <c r="AU262" s="356"/>
      <c r="AV262" s="356"/>
      <c r="AW262" s="356"/>
      <c r="AX262" s="356"/>
      <c r="AY262" s="356"/>
      <c r="AZ262" s="356"/>
      <c r="BA262" s="356"/>
      <c r="BB262" s="356"/>
      <c r="BC262" s="356"/>
      <c r="BD262" s="356"/>
      <c r="BE262" s="356"/>
      <c r="BF262" s="356"/>
      <c r="BG262" s="356"/>
      <c r="BH262" s="356"/>
      <c r="BI262" s="356"/>
      <c r="BJ262" s="356"/>
      <c r="BK262" s="356"/>
      <c r="BL262" s="356"/>
      <c r="BM262" s="356"/>
      <c r="BN262" s="356"/>
      <c r="BO262" s="356"/>
      <c r="BP262" s="356"/>
      <c r="BQ262" s="356"/>
      <c r="BR262" s="356"/>
      <c r="BS262" s="356"/>
      <c r="BT262" s="356"/>
      <c r="BU262" s="356"/>
      <c r="BV262" s="356"/>
      <c r="BW262" s="356"/>
      <c r="BX262" s="356"/>
      <c r="BY262" s="356"/>
      <c r="BZ262" s="356"/>
      <c r="CA262" s="356"/>
      <c r="CB262" s="356"/>
      <c r="CC262" s="356"/>
      <c r="CD262" s="356"/>
      <c r="CE262" s="356"/>
      <c r="CF262" s="356"/>
      <c r="CG262" s="356"/>
      <c r="CH262" s="356"/>
      <c r="CI262" s="356"/>
      <c r="CJ262" s="356"/>
      <c r="CK262" s="356"/>
      <c r="CL262" s="356"/>
      <c r="CM262" s="356"/>
      <c r="CN262" s="356"/>
      <c r="CO262" s="356"/>
      <c r="CP262" s="356"/>
      <c r="CQ262" s="356"/>
      <c r="CR262" s="356"/>
      <c r="CS262" s="356"/>
      <c r="CT262" s="356"/>
      <c r="CU262" s="356"/>
      <c r="CV262" s="356"/>
      <c r="CW262" s="356"/>
      <c r="CX262" s="356"/>
      <c r="CY262" s="356"/>
      <c r="CZ262" s="356"/>
      <c r="DA262" s="356"/>
      <c r="DB262" s="356"/>
      <c r="DC262" s="356"/>
      <c r="DD262" s="356"/>
      <c r="DE262" s="356"/>
      <c r="DF262" s="356"/>
      <c r="DG262" s="356"/>
      <c r="DH262" s="356"/>
      <c r="DI262" s="356"/>
      <c r="DJ262" s="356"/>
      <c r="DK262" s="356"/>
      <c r="DL262" s="356"/>
      <c r="DM262" s="356"/>
      <c r="DN262" s="356"/>
      <c r="DO262" s="356"/>
      <c r="DP262" s="356"/>
      <c r="DQ262" s="356"/>
      <c r="DR262" s="356"/>
      <c r="DS262" s="356"/>
      <c r="DT262" s="356"/>
      <c r="DU262" s="356"/>
      <c r="DV262" s="356"/>
      <c r="DW262" s="356"/>
      <c r="DX262" s="356"/>
      <c r="DY262" s="356"/>
      <c r="DZ262" s="356"/>
      <c r="EA262" s="356"/>
      <c r="EB262" s="356"/>
      <c r="EC262" s="356"/>
      <c r="ED262" s="356"/>
      <c r="EE262" s="356"/>
      <c r="EF262" s="356"/>
      <c r="EG262" s="356"/>
      <c r="EH262" s="356"/>
      <c r="EI262" s="356"/>
      <c r="EJ262" s="356"/>
      <c r="EK262" s="356"/>
      <c r="EL262" s="356"/>
      <c r="EM262" s="356"/>
      <c r="EN262" s="356"/>
      <c r="EO262" s="356"/>
      <c r="EP262" s="356"/>
      <c r="EQ262" s="356"/>
    </row>
    <row r="263" spans="1:147" customFormat="1" ht="15" customHeight="1"/>
    <row r="264" spans="1:147" ht="15" customHeight="1">
      <c r="A264" s="473"/>
      <c r="H264" s="474"/>
      <c r="AT264" s="356"/>
      <c r="AU264" s="356"/>
      <c r="AV264" s="356"/>
      <c r="AW264" s="356"/>
      <c r="AX264" s="356"/>
      <c r="AY264" s="356"/>
      <c r="AZ264" s="356"/>
      <c r="BA264" s="356"/>
      <c r="BB264" s="356"/>
      <c r="BC264" s="356"/>
      <c r="BD264" s="356"/>
      <c r="BE264" s="356"/>
      <c r="BF264" s="356"/>
      <c r="BG264" s="356"/>
      <c r="BH264" s="356"/>
      <c r="BI264" s="356"/>
      <c r="BJ264" s="356"/>
      <c r="BK264" s="356"/>
      <c r="BL264" s="356"/>
      <c r="BM264" s="356"/>
      <c r="BN264" s="356"/>
      <c r="BO264" s="356"/>
      <c r="BP264" s="356"/>
      <c r="BQ264" s="356"/>
      <c r="BR264" s="356"/>
      <c r="BS264" s="356"/>
      <c r="BT264" s="356"/>
      <c r="BU264" s="356"/>
      <c r="BV264" s="356"/>
      <c r="BW264" s="356"/>
      <c r="BX264" s="356"/>
      <c r="BY264" s="356"/>
      <c r="BZ264" s="356"/>
      <c r="CA264" s="356"/>
      <c r="CB264" s="356"/>
      <c r="CC264" s="356"/>
      <c r="CD264" s="356"/>
      <c r="CE264" s="356"/>
      <c r="CF264" s="356"/>
      <c r="CG264" s="356"/>
      <c r="CH264" s="356"/>
      <c r="CI264" s="356"/>
      <c r="CJ264" s="356"/>
      <c r="CK264" s="356"/>
      <c r="CL264" s="356"/>
      <c r="CM264" s="356"/>
      <c r="CN264" s="356"/>
      <c r="CO264" s="356"/>
      <c r="CP264" s="356"/>
      <c r="CQ264" s="356"/>
      <c r="CR264" s="356"/>
      <c r="CS264" s="356"/>
      <c r="CT264" s="356"/>
      <c r="CU264" s="356"/>
      <c r="CV264" s="356"/>
      <c r="CW264" s="356"/>
      <c r="CX264" s="356"/>
      <c r="CY264" s="356"/>
      <c r="CZ264" s="356"/>
      <c r="DA264" s="356"/>
      <c r="DB264" s="356"/>
      <c r="DC264" s="356"/>
      <c r="DD264" s="356"/>
      <c r="DE264" s="356"/>
      <c r="DF264" s="356"/>
      <c r="DG264" s="356"/>
      <c r="DH264" s="356"/>
      <c r="DI264" s="356"/>
      <c r="DJ264" s="474"/>
      <c r="DK264" s="356"/>
      <c r="DL264" s="356"/>
      <c r="DM264" s="356"/>
      <c r="DN264" s="356"/>
      <c r="DO264" s="356"/>
      <c r="DP264" s="356"/>
      <c r="DQ264" s="356"/>
      <c r="DR264" s="356"/>
      <c r="DS264" s="356"/>
      <c r="DT264" s="356"/>
      <c r="DU264" s="356"/>
      <c r="DV264" s="356"/>
      <c r="DW264" s="356"/>
      <c r="DX264" s="356"/>
      <c r="DY264" s="356"/>
      <c r="DZ264" s="356"/>
      <c r="EA264" s="356"/>
      <c r="EB264" s="356"/>
      <c r="EC264" s="356"/>
      <c r="ED264" s="356"/>
      <c r="EE264" s="356"/>
      <c r="EF264" s="356"/>
      <c r="EG264" s="356"/>
      <c r="EH264" s="356"/>
      <c r="EI264" s="356"/>
      <c r="EJ264" s="356"/>
      <c r="EK264" s="356"/>
      <c r="EL264" s="356"/>
      <c r="EM264" s="356"/>
      <c r="EN264" s="356"/>
      <c r="EO264" s="356"/>
      <c r="EP264" s="356"/>
      <c r="EQ264" s="356"/>
    </row>
    <row r="265" spans="1:147" ht="15" customHeight="1">
      <c r="A265" s="473"/>
      <c r="H265" s="474"/>
      <c r="AT265" s="356"/>
      <c r="AU265" s="356"/>
      <c r="AV265" s="356"/>
      <c r="AW265" s="356"/>
      <c r="AX265" s="356"/>
      <c r="AY265" s="356"/>
      <c r="AZ265" s="356"/>
      <c r="BA265" s="356"/>
      <c r="BB265" s="356"/>
      <c r="BC265" s="356"/>
      <c r="BD265" s="356"/>
      <c r="BE265" s="356"/>
      <c r="BF265" s="356"/>
      <c r="BG265" s="356"/>
      <c r="BH265" s="356"/>
      <c r="BI265" s="356"/>
      <c r="BJ265" s="356"/>
      <c r="BK265" s="356"/>
      <c r="BL265" s="356"/>
      <c r="BM265" s="356"/>
      <c r="BN265" s="356"/>
      <c r="BO265" s="356"/>
      <c r="BP265" s="356"/>
      <c r="BQ265" s="356"/>
      <c r="BR265" s="356"/>
      <c r="BS265" s="356"/>
      <c r="BT265" s="356"/>
      <c r="BU265" s="356"/>
      <c r="BV265" s="356"/>
      <c r="BW265" s="356"/>
      <c r="BX265" s="356"/>
      <c r="BY265" s="356"/>
      <c r="BZ265" s="356"/>
      <c r="CA265" s="356"/>
      <c r="CB265" s="356"/>
      <c r="CC265" s="356"/>
      <c r="CD265" s="356"/>
      <c r="CE265" s="356"/>
      <c r="CF265" s="356"/>
      <c r="CG265" s="356"/>
      <c r="CH265" s="356"/>
      <c r="CI265" s="356"/>
      <c r="CJ265" s="356"/>
      <c r="CK265" s="356"/>
      <c r="CL265" s="356"/>
      <c r="CM265" s="356"/>
      <c r="CN265" s="356"/>
      <c r="CO265" s="356"/>
      <c r="CP265" s="356"/>
      <c r="CQ265" s="356"/>
      <c r="CR265" s="356"/>
      <c r="CS265" s="356"/>
      <c r="CT265" s="356"/>
      <c r="CU265" s="356"/>
      <c r="CV265" s="356"/>
      <c r="CW265" s="356"/>
      <c r="CX265" s="356"/>
      <c r="CY265" s="356"/>
      <c r="CZ265" s="356"/>
      <c r="DA265" s="356"/>
      <c r="DB265" s="356"/>
      <c r="DC265" s="356"/>
      <c r="DD265" s="356"/>
      <c r="DE265" s="356"/>
      <c r="DF265" s="356"/>
      <c r="DG265" s="356"/>
      <c r="DH265" s="356"/>
      <c r="DI265" s="356"/>
      <c r="DJ265" s="386"/>
      <c r="DK265" s="356"/>
      <c r="DL265" s="356"/>
      <c r="DM265" s="356"/>
      <c r="DN265" s="356"/>
      <c r="DO265" s="356"/>
      <c r="DP265" s="356"/>
      <c r="DQ265" s="356"/>
      <c r="DR265" s="356"/>
      <c r="DS265" s="356"/>
      <c r="DT265" s="356"/>
      <c r="DU265" s="356"/>
      <c r="DV265" s="356"/>
      <c r="DW265" s="356"/>
      <c r="DX265" s="356"/>
      <c r="DY265" s="356"/>
      <c r="DZ265" s="356"/>
      <c r="EA265" s="356"/>
      <c r="EB265" s="356"/>
      <c r="EC265" s="356"/>
      <c r="ED265" s="356"/>
      <c r="EE265" s="356"/>
      <c r="EF265" s="356"/>
      <c r="EG265" s="356"/>
      <c r="EH265" s="356"/>
      <c r="EI265" s="356"/>
      <c r="EJ265" s="356"/>
      <c r="EK265" s="356"/>
      <c r="EL265" s="356"/>
      <c r="EM265" s="356"/>
      <c r="EN265" s="356"/>
      <c r="EO265" s="356"/>
      <c r="EP265" s="356"/>
      <c r="EQ265" s="356"/>
    </row>
    <row r="266" spans="1:147" ht="15" customHeight="1">
      <c r="A266" s="473"/>
      <c r="H266" s="474"/>
      <c r="AT266" s="356"/>
      <c r="AU266" s="356"/>
      <c r="AV266" s="356"/>
      <c r="AW266" s="356"/>
      <c r="AX266" s="356"/>
      <c r="AY266" s="356"/>
      <c r="AZ266" s="356"/>
      <c r="BA266" s="356"/>
      <c r="BB266" s="356"/>
      <c r="BC266" s="356"/>
      <c r="BD266" s="356"/>
      <c r="BE266" s="356"/>
      <c r="BF266" s="356"/>
      <c r="BG266" s="356"/>
      <c r="BH266" s="356"/>
      <c r="BI266" s="356"/>
      <c r="BJ266" s="356"/>
      <c r="BK266" s="356"/>
      <c r="BL266" s="356"/>
      <c r="BM266" s="356"/>
      <c r="BN266" s="356"/>
      <c r="BO266" s="356"/>
      <c r="BP266" s="356"/>
      <c r="BQ266" s="356"/>
      <c r="BR266" s="356"/>
      <c r="BS266" s="356"/>
      <c r="BT266" s="356"/>
      <c r="BU266" s="356"/>
      <c r="BV266" s="356"/>
      <c r="BW266" s="356"/>
      <c r="BX266" s="356"/>
      <c r="BY266" s="356"/>
      <c r="BZ266" s="356"/>
      <c r="CA266" s="356"/>
      <c r="CB266" s="356"/>
      <c r="CC266" s="356"/>
      <c r="CD266" s="356"/>
      <c r="CE266" s="356"/>
      <c r="CF266" s="356"/>
      <c r="CG266" s="356"/>
      <c r="CH266" s="356"/>
      <c r="CI266" s="356"/>
      <c r="CJ266" s="356"/>
      <c r="CK266" s="356"/>
      <c r="CL266" s="356"/>
      <c r="CM266" s="356"/>
      <c r="CN266" s="356"/>
      <c r="CO266" s="356"/>
      <c r="CP266" s="356"/>
      <c r="CQ266" s="356"/>
      <c r="CR266" s="356"/>
      <c r="CS266" s="356"/>
      <c r="CT266" s="356"/>
      <c r="CU266" s="356"/>
      <c r="CV266" s="356"/>
      <c r="CW266" s="356"/>
      <c r="CX266" s="356"/>
      <c r="CY266" s="356"/>
      <c r="CZ266" s="356"/>
      <c r="DA266" s="356"/>
      <c r="DB266" s="356"/>
      <c r="DC266" s="356"/>
      <c r="DD266" s="356"/>
      <c r="DE266" s="356"/>
      <c r="DF266" s="356"/>
      <c r="DG266" s="356"/>
      <c r="DH266" s="356"/>
      <c r="DI266" s="356"/>
      <c r="DJ266" s="386"/>
      <c r="DK266" s="356"/>
      <c r="DL266" s="356"/>
      <c r="DM266" s="356"/>
      <c r="DN266" s="356"/>
      <c r="DO266" s="356"/>
      <c r="DP266" s="356"/>
      <c r="DQ266" s="356"/>
      <c r="DR266" s="356"/>
      <c r="DS266" s="356"/>
      <c r="DT266" s="356"/>
      <c r="DU266" s="356"/>
      <c r="DV266" s="356"/>
      <c r="DW266" s="356"/>
      <c r="DX266" s="356"/>
      <c r="DY266" s="356"/>
      <c r="DZ266" s="356"/>
      <c r="EA266" s="356"/>
      <c r="EB266" s="356"/>
      <c r="EC266" s="356"/>
      <c r="ED266" s="356"/>
      <c r="EE266" s="356"/>
      <c r="EF266" s="356"/>
      <c r="EG266" s="356"/>
      <c r="EH266" s="356"/>
      <c r="EI266" s="356"/>
      <c r="EJ266" s="356"/>
      <c r="EK266" s="356"/>
      <c r="EL266" s="356"/>
      <c r="EM266" s="356"/>
      <c r="EN266" s="356"/>
      <c r="EO266" s="356"/>
      <c r="EP266" s="356"/>
      <c r="EQ266" s="356"/>
    </row>
    <row r="267" spans="1:147" ht="15" customHeight="1">
      <c r="A267" s="473"/>
      <c r="BB267" s="356"/>
      <c r="BC267" s="356"/>
      <c r="BD267" s="356"/>
      <c r="BE267" s="356"/>
      <c r="BF267" s="356"/>
      <c r="BG267" s="356"/>
      <c r="BH267" s="356"/>
      <c r="BI267" s="356"/>
      <c r="BJ267" s="356"/>
      <c r="BK267" s="356"/>
      <c r="BL267" s="356"/>
      <c r="BM267" s="356"/>
      <c r="BN267" s="356"/>
      <c r="BO267" s="356"/>
      <c r="BP267" s="356"/>
      <c r="BQ267" s="356"/>
      <c r="BR267" s="356"/>
      <c r="BS267" s="356"/>
      <c r="BT267" s="356"/>
      <c r="BU267" s="356"/>
      <c r="BV267" s="356"/>
      <c r="BW267" s="356"/>
      <c r="BX267" s="356"/>
      <c r="BY267" s="356"/>
      <c r="BZ267" s="356"/>
      <c r="CA267" s="356"/>
      <c r="CB267" s="356"/>
      <c r="CC267" s="356"/>
      <c r="CD267" s="356"/>
      <c r="CE267" s="356"/>
      <c r="CF267" s="356"/>
      <c r="CG267" s="356"/>
      <c r="CH267" s="356"/>
      <c r="CI267" s="356"/>
      <c r="CJ267" s="356"/>
      <c r="CK267" s="356"/>
      <c r="CL267" s="356"/>
      <c r="CM267" s="356"/>
      <c r="CN267" s="356"/>
      <c r="CO267" s="356"/>
      <c r="CP267" s="356"/>
      <c r="CQ267" s="356"/>
      <c r="CR267" s="356"/>
      <c r="CS267" s="356"/>
      <c r="CT267" s="356"/>
      <c r="CU267" s="356"/>
      <c r="CV267" s="356"/>
      <c r="CW267" s="356"/>
      <c r="CX267" s="356"/>
      <c r="CY267" s="356"/>
      <c r="CZ267" s="356"/>
      <c r="DA267" s="356"/>
      <c r="DB267" s="356"/>
      <c r="DC267" s="356"/>
      <c r="DD267" s="356"/>
      <c r="DE267" s="356"/>
      <c r="DF267" s="356"/>
      <c r="DG267" s="356"/>
      <c r="DH267" s="356"/>
      <c r="DI267" s="356"/>
      <c r="DJ267" s="356"/>
      <c r="DK267" s="356"/>
      <c r="DL267" s="356"/>
      <c r="DM267" s="356"/>
      <c r="DN267" s="356"/>
      <c r="DO267" s="356"/>
      <c r="DP267" s="356"/>
      <c r="DQ267" s="356"/>
      <c r="DR267" s="356"/>
      <c r="DS267" s="356"/>
      <c r="DT267" s="356"/>
      <c r="DU267" s="356"/>
      <c r="DV267" s="356"/>
      <c r="DW267" s="356"/>
      <c r="DX267" s="356"/>
      <c r="DY267" s="356"/>
      <c r="DZ267" s="356"/>
      <c r="EA267" s="356"/>
      <c r="EB267" s="356"/>
      <c r="EC267" s="356"/>
      <c r="ED267" s="356"/>
      <c r="EE267" s="356"/>
      <c r="EF267" s="356"/>
      <c r="EG267" s="356"/>
      <c r="EH267" s="356"/>
      <c r="EI267" s="356"/>
      <c r="EJ267" s="356"/>
      <c r="EK267" s="356"/>
      <c r="EL267" s="356"/>
      <c r="EM267" s="356"/>
      <c r="EN267" s="356"/>
      <c r="EO267" s="356"/>
      <c r="EP267" s="356"/>
      <c r="EQ267" s="356"/>
    </row>
    <row r="268" spans="1:147" ht="15" customHeight="1">
      <c r="A268" s="473"/>
      <c r="BB268" s="356"/>
      <c r="BC268" s="356"/>
      <c r="BD268" s="356"/>
      <c r="BE268" s="356"/>
      <c r="BF268" s="356"/>
      <c r="BG268" s="356"/>
      <c r="BH268" s="356"/>
      <c r="BI268" s="356"/>
      <c r="BJ268" s="356"/>
      <c r="BK268" s="356"/>
      <c r="BL268" s="356"/>
      <c r="BM268" s="356"/>
      <c r="BN268" s="356"/>
      <c r="BO268" s="356"/>
      <c r="BP268" s="356"/>
      <c r="BQ268" s="356"/>
      <c r="BR268" s="356"/>
      <c r="BS268" s="356"/>
      <c r="BT268" s="356"/>
      <c r="BU268" s="356"/>
      <c r="BV268" s="356"/>
      <c r="BW268" s="356"/>
      <c r="BX268" s="356"/>
      <c r="BY268" s="356"/>
      <c r="BZ268" s="356"/>
      <c r="CA268" s="356"/>
      <c r="CB268" s="356"/>
      <c r="CC268" s="356"/>
      <c r="CD268" s="356"/>
      <c r="CE268" s="356"/>
      <c r="CF268" s="356"/>
      <c r="CG268" s="356"/>
      <c r="CH268" s="356"/>
      <c r="CI268" s="356"/>
      <c r="CJ268" s="356"/>
      <c r="CK268" s="356"/>
      <c r="CL268" s="356"/>
      <c r="CM268" s="356"/>
      <c r="CN268" s="356"/>
      <c r="CO268" s="356"/>
      <c r="CP268" s="356"/>
      <c r="CQ268" s="356"/>
      <c r="CR268" s="356"/>
      <c r="CS268" s="356"/>
      <c r="CT268" s="356"/>
      <c r="CU268" s="356"/>
      <c r="CV268" s="356"/>
      <c r="CW268" s="356"/>
      <c r="CX268" s="356"/>
      <c r="CY268" s="356"/>
      <c r="CZ268" s="356"/>
      <c r="DA268" s="356"/>
      <c r="DB268" s="356"/>
      <c r="DC268" s="356"/>
      <c r="DD268" s="356"/>
      <c r="DE268" s="356"/>
      <c r="DF268" s="356"/>
      <c r="DG268" s="356"/>
      <c r="DH268" s="356"/>
      <c r="DI268" s="356"/>
      <c r="DJ268" s="356"/>
      <c r="DK268" s="356"/>
      <c r="DL268" s="356"/>
      <c r="DM268" s="356"/>
      <c r="DN268" s="356"/>
      <c r="DO268" s="356"/>
      <c r="DP268" s="356"/>
      <c r="DQ268" s="356"/>
      <c r="DR268" s="356"/>
      <c r="DS268" s="356"/>
      <c r="DT268" s="356"/>
      <c r="DU268" s="356"/>
      <c r="DV268" s="356"/>
      <c r="DW268" s="356"/>
      <c r="DX268" s="356"/>
      <c r="DY268" s="356"/>
      <c r="DZ268" s="356"/>
      <c r="EA268" s="356"/>
      <c r="EB268" s="356"/>
      <c r="EC268" s="356"/>
      <c r="ED268" s="356"/>
      <c r="EE268" s="356"/>
      <c r="EF268" s="356"/>
      <c r="EG268" s="356"/>
      <c r="EH268" s="356"/>
      <c r="EI268" s="356"/>
      <c r="EJ268" s="356"/>
      <c r="EK268" s="356"/>
      <c r="EL268" s="356"/>
      <c r="EM268" s="356"/>
      <c r="EN268" s="356"/>
      <c r="EO268" s="356"/>
      <c r="EP268" s="356"/>
      <c r="EQ268" s="356"/>
    </row>
    <row r="269" spans="1:147" ht="15" customHeight="1">
      <c r="A269" s="473"/>
      <c r="BB269" s="356"/>
      <c r="BC269" s="356"/>
      <c r="BD269" s="356"/>
      <c r="BE269" s="356"/>
      <c r="BF269" s="356"/>
      <c r="BG269" s="356"/>
      <c r="BH269" s="356"/>
      <c r="BI269" s="356"/>
      <c r="BJ269" s="356"/>
      <c r="BK269" s="356"/>
      <c r="BL269" s="356"/>
      <c r="BM269" s="356"/>
      <c r="BN269" s="356"/>
      <c r="BO269" s="356"/>
      <c r="BP269" s="356"/>
      <c r="BQ269" s="356"/>
      <c r="BR269" s="356"/>
      <c r="BS269" s="356"/>
      <c r="BT269" s="356"/>
      <c r="BU269" s="356"/>
      <c r="BV269" s="356"/>
      <c r="BW269" s="356"/>
      <c r="BX269" s="356"/>
      <c r="BY269" s="356"/>
      <c r="BZ269" s="356"/>
      <c r="CA269" s="356"/>
      <c r="CB269" s="356"/>
      <c r="CC269" s="356"/>
      <c r="CD269" s="356"/>
      <c r="CE269" s="356"/>
      <c r="CF269" s="356"/>
      <c r="CG269" s="356"/>
      <c r="CH269" s="356"/>
      <c r="CI269" s="356"/>
      <c r="CJ269" s="356"/>
      <c r="CK269" s="356"/>
      <c r="CL269" s="356"/>
      <c r="CM269" s="356"/>
      <c r="CN269" s="356"/>
      <c r="CO269" s="356"/>
      <c r="CP269" s="356"/>
      <c r="CQ269" s="356"/>
      <c r="CR269" s="356"/>
      <c r="CS269" s="356"/>
      <c r="CT269" s="356"/>
      <c r="CU269" s="356"/>
      <c r="CV269" s="356"/>
      <c r="CW269" s="356"/>
      <c r="CX269" s="356"/>
      <c r="CY269" s="356"/>
      <c r="CZ269" s="356"/>
      <c r="DA269" s="356"/>
      <c r="DB269" s="356"/>
      <c r="DC269" s="356"/>
      <c r="DD269" s="356"/>
      <c r="DE269" s="356"/>
      <c r="DF269" s="356"/>
      <c r="DG269" s="356"/>
      <c r="DH269" s="356"/>
      <c r="DI269" s="356"/>
      <c r="DJ269" s="356"/>
      <c r="DK269" s="356"/>
      <c r="DL269" s="356"/>
      <c r="DM269" s="356"/>
      <c r="DN269" s="356"/>
      <c r="DO269" s="356"/>
      <c r="DP269" s="356"/>
      <c r="DQ269" s="356"/>
      <c r="DR269" s="356"/>
      <c r="DS269" s="356"/>
      <c r="DT269" s="356"/>
      <c r="DU269" s="356"/>
      <c r="DV269" s="356"/>
      <c r="DW269" s="356"/>
      <c r="DX269" s="356"/>
      <c r="DY269" s="356"/>
      <c r="DZ269" s="356"/>
      <c r="EA269" s="356"/>
      <c r="EB269" s="356"/>
      <c r="EC269" s="356"/>
      <c r="ED269" s="356"/>
      <c r="EE269" s="356"/>
      <c r="EF269" s="356"/>
      <c r="EG269" s="356"/>
      <c r="EH269" s="356"/>
      <c r="EI269" s="356"/>
      <c r="EJ269" s="356"/>
      <c r="EK269" s="356"/>
      <c r="EL269" s="356"/>
      <c r="EM269" s="356"/>
      <c r="EN269" s="356"/>
      <c r="EO269" s="356"/>
      <c r="EP269" s="356"/>
      <c r="EQ269" s="356"/>
    </row>
    <row r="270" spans="1:147" ht="15" customHeight="1">
      <c r="A270" s="473"/>
      <c r="BB270" s="356"/>
      <c r="BC270" s="356"/>
      <c r="BD270" s="356"/>
      <c r="BE270" s="356"/>
      <c r="BF270" s="356"/>
      <c r="BG270" s="356"/>
      <c r="BH270" s="356"/>
      <c r="BI270" s="356"/>
      <c r="BJ270" s="356"/>
      <c r="BK270" s="356"/>
      <c r="BL270" s="356"/>
      <c r="BM270" s="356"/>
      <c r="BN270" s="356"/>
      <c r="BO270" s="356"/>
      <c r="BP270" s="356"/>
      <c r="BQ270" s="356"/>
      <c r="BR270" s="356"/>
      <c r="BS270" s="356"/>
      <c r="BT270" s="356"/>
      <c r="BU270" s="356"/>
      <c r="BV270" s="356"/>
      <c r="BW270" s="356"/>
      <c r="BX270" s="356"/>
      <c r="BY270" s="356"/>
      <c r="BZ270" s="356"/>
      <c r="CA270" s="356"/>
      <c r="CB270" s="356"/>
      <c r="CC270" s="356"/>
      <c r="CD270" s="356"/>
      <c r="CE270" s="356"/>
      <c r="CF270" s="356"/>
      <c r="CG270" s="356"/>
      <c r="CH270" s="356"/>
      <c r="CI270" s="356"/>
      <c r="CJ270" s="356"/>
      <c r="CK270" s="356"/>
      <c r="CL270" s="356"/>
      <c r="CM270" s="356"/>
      <c r="CN270" s="356"/>
      <c r="CO270" s="356"/>
      <c r="CP270" s="356"/>
      <c r="CQ270" s="356"/>
      <c r="CR270" s="356"/>
      <c r="CS270" s="356"/>
      <c r="CT270" s="356"/>
      <c r="CU270" s="356"/>
      <c r="CV270" s="356"/>
      <c r="CW270" s="356"/>
      <c r="CX270" s="356"/>
      <c r="CY270" s="356"/>
      <c r="CZ270" s="356"/>
      <c r="DA270" s="356"/>
      <c r="DB270" s="356"/>
      <c r="DC270" s="356"/>
      <c r="DD270" s="356"/>
      <c r="DE270" s="356"/>
      <c r="DF270" s="356"/>
      <c r="DG270" s="356"/>
      <c r="DH270" s="356"/>
      <c r="DI270" s="356"/>
      <c r="DJ270" s="356"/>
      <c r="DK270" s="356"/>
      <c r="DL270" s="356"/>
      <c r="DM270" s="356"/>
      <c r="DN270" s="356"/>
      <c r="DO270" s="356"/>
      <c r="DP270" s="356"/>
      <c r="DQ270" s="356"/>
      <c r="DR270" s="356"/>
      <c r="DS270" s="356"/>
      <c r="DT270" s="356"/>
      <c r="DU270" s="356"/>
      <c r="DV270" s="356"/>
      <c r="DW270" s="356"/>
      <c r="DX270" s="356"/>
      <c r="DY270" s="356"/>
      <c r="DZ270" s="356"/>
      <c r="EA270" s="356"/>
      <c r="EB270" s="356"/>
      <c r="EC270" s="356"/>
      <c r="ED270" s="356"/>
      <c r="EE270" s="356"/>
      <c r="EF270" s="356"/>
      <c r="EG270" s="356"/>
      <c r="EH270" s="356"/>
      <c r="EI270" s="356"/>
      <c r="EJ270" s="356"/>
      <c r="EK270" s="356"/>
      <c r="EL270" s="356"/>
      <c r="EM270" s="356"/>
      <c r="EN270" s="356"/>
      <c r="EO270" s="356"/>
      <c r="EP270" s="356"/>
      <c r="EQ270" s="356"/>
    </row>
    <row r="271" spans="1:147" ht="15" customHeight="1">
      <c r="A271" s="473"/>
      <c r="BB271" s="356"/>
      <c r="BC271" s="356"/>
      <c r="BD271" s="356"/>
      <c r="BE271" s="356"/>
      <c r="BF271" s="356"/>
      <c r="BG271" s="356"/>
      <c r="BH271" s="356"/>
      <c r="BI271" s="356"/>
      <c r="BJ271" s="356"/>
      <c r="BK271" s="356"/>
      <c r="BL271" s="356"/>
      <c r="BM271" s="356"/>
      <c r="BN271" s="356"/>
      <c r="BO271" s="356"/>
      <c r="BP271" s="356"/>
      <c r="BQ271" s="356"/>
      <c r="BR271" s="356"/>
      <c r="BS271" s="356"/>
      <c r="BT271" s="356"/>
      <c r="BU271" s="356"/>
      <c r="BV271" s="356"/>
      <c r="BW271" s="356"/>
      <c r="BX271" s="356"/>
      <c r="BY271" s="356"/>
      <c r="BZ271" s="356"/>
      <c r="CA271" s="356"/>
      <c r="CB271" s="356"/>
      <c r="CC271" s="356"/>
      <c r="CD271" s="356"/>
      <c r="CE271" s="356"/>
      <c r="CF271" s="356"/>
      <c r="CG271" s="356"/>
      <c r="CH271" s="356"/>
      <c r="CI271" s="356"/>
      <c r="CJ271" s="356"/>
      <c r="CK271" s="356"/>
      <c r="CL271" s="356"/>
      <c r="CM271" s="356"/>
      <c r="CN271" s="356"/>
      <c r="CO271" s="356"/>
      <c r="CP271" s="356"/>
      <c r="CQ271" s="356"/>
      <c r="CR271" s="356"/>
      <c r="CS271" s="356"/>
      <c r="CT271" s="356"/>
      <c r="CU271" s="356"/>
      <c r="CV271" s="356"/>
      <c r="CW271" s="356"/>
      <c r="CX271" s="356"/>
      <c r="CY271" s="356"/>
      <c r="CZ271" s="356"/>
      <c r="DA271" s="356"/>
      <c r="DB271" s="356"/>
      <c r="DC271" s="356"/>
      <c r="DD271" s="356"/>
      <c r="DE271" s="356"/>
      <c r="DF271" s="356"/>
      <c r="DG271" s="356"/>
      <c r="DH271" s="356"/>
      <c r="DI271" s="356"/>
      <c r="DJ271" s="356"/>
      <c r="DK271" s="356"/>
      <c r="DL271" s="356"/>
      <c r="DM271" s="356"/>
      <c r="DN271" s="356"/>
      <c r="DO271" s="356"/>
      <c r="DP271" s="356"/>
      <c r="DQ271" s="356"/>
      <c r="DR271" s="356"/>
      <c r="DS271" s="356"/>
      <c r="DT271" s="356"/>
      <c r="DU271" s="356"/>
      <c r="DV271" s="356"/>
      <c r="DW271" s="356"/>
      <c r="DX271" s="356"/>
      <c r="DY271" s="356"/>
      <c r="DZ271" s="356"/>
      <c r="EA271" s="356"/>
      <c r="EB271" s="356"/>
      <c r="EC271" s="356"/>
      <c r="ED271" s="356"/>
      <c r="EE271" s="356"/>
      <c r="EF271" s="356"/>
      <c r="EG271" s="356"/>
      <c r="EH271" s="356"/>
      <c r="EI271" s="356"/>
      <c r="EJ271" s="356"/>
      <c r="EK271" s="356"/>
      <c r="EL271" s="356"/>
      <c r="EM271" s="356"/>
      <c r="EN271" s="356"/>
      <c r="EO271" s="356"/>
      <c r="EP271" s="356"/>
      <c r="EQ271" s="356"/>
    </row>
    <row r="272" spans="1:147" ht="15" customHeight="1">
      <c r="A272" s="473"/>
      <c r="BB272" s="356"/>
      <c r="BC272" s="356"/>
      <c r="BD272" s="356"/>
      <c r="BE272" s="356"/>
      <c r="BF272" s="356"/>
      <c r="BG272" s="356"/>
      <c r="BH272" s="356"/>
      <c r="BI272" s="356"/>
      <c r="BJ272" s="356"/>
      <c r="BK272" s="356"/>
      <c r="BL272" s="356"/>
      <c r="BM272" s="356"/>
      <c r="BN272" s="356"/>
      <c r="BO272" s="356"/>
      <c r="BP272" s="356"/>
      <c r="BQ272" s="356"/>
      <c r="BR272" s="356"/>
      <c r="BS272" s="356"/>
      <c r="BT272" s="356"/>
      <c r="BU272" s="356"/>
      <c r="BV272" s="356"/>
      <c r="BW272" s="356"/>
      <c r="BX272" s="356"/>
      <c r="BY272" s="356"/>
      <c r="BZ272" s="356"/>
      <c r="CA272" s="356"/>
      <c r="CB272" s="356"/>
      <c r="CC272" s="356"/>
      <c r="CD272" s="356"/>
      <c r="CE272" s="356"/>
      <c r="CF272" s="356"/>
      <c r="CG272" s="356"/>
      <c r="CH272" s="356"/>
      <c r="CI272" s="356"/>
      <c r="CJ272" s="356"/>
      <c r="CK272" s="356"/>
      <c r="CL272" s="356"/>
      <c r="CM272" s="356"/>
      <c r="CN272" s="356"/>
      <c r="CO272" s="356"/>
      <c r="CP272" s="356"/>
      <c r="CQ272" s="356"/>
      <c r="CR272" s="356"/>
      <c r="CS272" s="356"/>
      <c r="CT272" s="356"/>
      <c r="CU272" s="356"/>
      <c r="CV272" s="356"/>
      <c r="CW272" s="356"/>
      <c r="CX272" s="356"/>
      <c r="CY272" s="356"/>
      <c r="CZ272" s="356"/>
      <c r="DA272" s="356"/>
      <c r="DB272" s="356"/>
      <c r="DC272" s="356"/>
      <c r="DD272" s="356"/>
      <c r="DE272" s="356"/>
      <c r="DF272" s="356"/>
      <c r="DG272" s="356"/>
      <c r="DH272" s="356"/>
      <c r="DI272" s="356"/>
      <c r="DJ272" s="356"/>
      <c r="DK272" s="356"/>
      <c r="DL272" s="356"/>
      <c r="DM272" s="356"/>
      <c r="DN272" s="356"/>
      <c r="DO272" s="356"/>
      <c r="DP272" s="356"/>
      <c r="DQ272" s="356"/>
      <c r="DR272" s="356"/>
      <c r="DS272" s="356"/>
      <c r="DT272" s="356"/>
      <c r="DU272" s="356"/>
      <c r="DV272" s="356"/>
      <c r="DW272" s="356"/>
      <c r="DX272" s="356"/>
      <c r="DY272" s="356"/>
      <c r="DZ272" s="356"/>
      <c r="EA272" s="356"/>
      <c r="EB272" s="356"/>
      <c r="EC272" s="356"/>
      <c r="ED272" s="356"/>
      <c r="EE272" s="356"/>
      <c r="EF272" s="356"/>
      <c r="EG272" s="356"/>
      <c r="EH272" s="356"/>
      <c r="EI272" s="356"/>
      <c r="EJ272" s="356"/>
      <c r="EK272" s="356"/>
      <c r="EL272" s="356"/>
      <c r="EM272" s="356"/>
      <c r="EN272" s="356"/>
      <c r="EO272" s="356"/>
      <c r="EP272" s="356"/>
      <c r="EQ272" s="356"/>
    </row>
    <row r="273" spans="1:147" ht="15" customHeight="1">
      <c r="A273" s="473"/>
      <c r="BB273" s="356"/>
      <c r="BC273" s="356"/>
      <c r="BD273" s="356"/>
      <c r="BE273" s="356"/>
      <c r="BF273" s="356"/>
      <c r="BG273" s="356"/>
      <c r="BH273" s="356"/>
      <c r="BI273" s="356"/>
      <c r="BJ273" s="356"/>
      <c r="BK273" s="356"/>
      <c r="BL273" s="356"/>
      <c r="BM273" s="356"/>
      <c r="BN273" s="356"/>
      <c r="BO273" s="356"/>
      <c r="BP273" s="356"/>
      <c r="BQ273" s="356"/>
      <c r="BR273" s="356"/>
      <c r="BS273" s="356"/>
      <c r="BT273" s="356"/>
      <c r="BU273" s="356"/>
      <c r="BV273" s="356"/>
      <c r="BW273" s="356"/>
      <c r="BX273" s="356"/>
      <c r="BY273" s="356"/>
      <c r="BZ273" s="356"/>
      <c r="CA273" s="356"/>
      <c r="CB273" s="356"/>
      <c r="CC273" s="356"/>
      <c r="CD273" s="356"/>
      <c r="CE273" s="356"/>
      <c r="CF273" s="356"/>
      <c r="CG273" s="356"/>
      <c r="CH273" s="356"/>
      <c r="CI273" s="356"/>
      <c r="CJ273" s="356"/>
      <c r="CK273" s="356"/>
      <c r="CL273" s="356"/>
      <c r="CM273" s="356"/>
      <c r="CN273" s="356"/>
      <c r="CO273" s="356"/>
      <c r="CP273" s="356"/>
      <c r="CQ273" s="356"/>
      <c r="CR273" s="356"/>
      <c r="CS273" s="356"/>
      <c r="CT273" s="356"/>
      <c r="CU273" s="356"/>
      <c r="CV273" s="356"/>
      <c r="CW273" s="356"/>
      <c r="CX273" s="356"/>
      <c r="CY273" s="356"/>
      <c r="CZ273" s="356"/>
      <c r="DA273" s="356"/>
      <c r="DB273" s="356"/>
      <c r="DC273" s="356"/>
      <c r="DD273" s="356"/>
      <c r="DE273" s="356"/>
      <c r="DF273" s="356"/>
      <c r="DG273" s="356"/>
      <c r="DH273" s="356"/>
      <c r="DI273" s="356"/>
      <c r="DJ273" s="356"/>
      <c r="DK273" s="356"/>
      <c r="DL273" s="356"/>
      <c r="DM273" s="356"/>
      <c r="DN273" s="356"/>
      <c r="DO273" s="356"/>
      <c r="DP273" s="356"/>
      <c r="DQ273" s="356"/>
      <c r="DR273" s="356"/>
      <c r="DS273" s="356"/>
      <c r="DT273" s="356"/>
      <c r="DU273" s="356"/>
      <c r="DV273" s="356"/>
      <c r="DW273" s="356"/>
      <c r="DX273" s="356"/>
      <c r="DY273" s="356"/>
      <c r="DZ273" s="356"/>
      <c r="EA273" s="356"/>
      <c r="EB273" s="356"/>
      <c r="EC273" s="356"/>
      <c r="ED273" s="356"/>
      <c r="EE273" s="356"/>
      <c r="EF273" s="356"/>
      <c r="EG273" s="356"/>
      <c r="EH273" s="356"/>
      <c r="EI273" s="356"/>
      <c r="EJ273" s="356"/>
      <c r="EK273" s="356"/>
      <c r="EL273" s="356"/>
      <c r="EM273" s="356"/>
      <c r="EN273" s="356"/>
      <c r="EO273" s="356"/>
      <c r="EP273" s="356"/>
      <c r="EQ273" s="356"/>
    </row>
    <row r="274" spans="1:147" ht="15" customHeight="1">
      <c r="A274" s="473"/>
      <c r="BB274" s="356"/>
      <c r="BC274" s="356"/>
      <c r="BD274" s="356"/>
      <c r="BE274" s="356"/>
      <c r="BF274" s="356"/>
      <c r="BG274" s="356"/>
      <c r="BH274" s="356"/>
      <c r="BI274" s="356"/>
      <c r="BJ274" s="356"/>
      <c r="BK274" s="356"/>
      <c r="BL274" s="356"/>
      <c r="BM274" s="356"/>
      <c r="BN274" s="356"/>
      <c r="BO274" s="356"/>
      <c r="BP274" s="356"/>
      <c r="BQ274" s="356"/>
      <c r="BR274" s="356"/>
      <c r="BS274" s="356"/>
      <c r="BT274" s="356"/>
      <c r="BU274" s="356"/>
      <c r="BV274" s="356"/>
      <c r="BW274" s="356"/>
      <c r="BX274" s="356"/>
      <c r="BY274" s="356"/>
      <c r="BZ274" s="356"/>
      <c r="CA274" s="356"/>
      <c r="CB274" s="356"/>
      <c r="CC274" s="356"/>
      <c r="CD274" s="356"/>
      <c r="CE274" s="356"/>
      <c r="CF274" s="356"/>
      <c r="CG274" s="356"/>
      <c r="CH274" s="356"/>
      <c r="CI274" s="356"/>
      <c r="CJ274" s="356"/>
      <c r="CK274" s="356"/>
      <c r="CL274" s="356"/>
      <c r="CM274" s="356"/>
      <c r="CN274" s="356"/>
      <c r="CO274" s="356"/>
      <c r="CP274" s="356"/>
      <c r="CQ274" s="356"/>
      <c r="CR274" s="356"/>
      <c r="CS274" s="356"/>
      <c r="CT274" s="356"/>
      <c r="CU274" s="356"/>
      <c r="CV274" s="356"/>
      <c r="CW274" s="356"/>
      <c r="CX274" s="356"/>
      <c r="CY274" s="356"/>
      <c r="CZ274" s="356"/>
      <c r="DA274" s="356"/>
      <c r="DB274" s="356"/>
      <c r="DC274" s="356"/>
      <c r="DD274" s="356"/>
      <c r="DE274" s="356"/>
      <c r="DF274" s="356"/>
      <c r="DG274" s="356"/>
      <c r="DH274" s="356"/>
      <c r="DI274" s="356"/>
      <c r="DJ274" s="356"/>
      <c r="DK274" s="356"/>
      <c r="DL274" s="356"/>
      <c r="DM274" s="356"/>
      <c r="DN274" s="356"/>
      <c r="DO274" s="356"/>
      <c r="DP274" s="356"/>
      <c r="DQ274" s="356"/>
      <c r="DR274" s="356"/>
      <c r="DS274" s="356"/>
      <c r="DT274" s="356"/>
      <c r="DU274" s="356"/>
      <c r="DV274" s="356"/>
      <c r="DW274" s="356"/>
      <c r="DX274" s="356"/>
      <c r="DY274" s="356"/>
      <c r="DZ274" s="356"/>
      <c r="EA274" s="356"/>
      <c r="EB274" s="356"/>
      <c r="EC274" s="356"/>
      <c r="ED274" s="356"/>
      <c r="EE274" s="356"/>
      <c r="EF274" s="356"/>
      <c r="EG274" s="356"/>
      <c r="EH274" s="356"/>
      <c r="EI274" s="356"/>
      <c r="EJ274" s="356"/>
      <c r="EK274" s="356"/>
      <c r="EL274" s="356"/>
      <c r="EM274" s="356"/>
      <c r="EN274" s="356"/>
      <c r="EO274" s="356"/>
      <c r="EP274" s="356"/>
      <c r="EQ274" s="356"/>
    </row>
    <row r="275" spans="1:147" ht="15" customHeight="1">
      <c r="A275" s="473"/>
      <c r="BB275" s="356"/>
      <c r="BC275" s="356"/>
      <c r="BD275" s="356"/>
      <c r="BE275" s="356"/>
      <c r="BF275" s="356"/>
      <c r="BG275" s="356"/>
      <c r="BH275" s="356"/>
      <c r="BI275" s="356"/>
      <c r="BJ275" s="356"/>
      <c r="BK275" s="356"/>
      <c r="BL275" s="356"/>
      <c r="BM275" s="356"/>
      <c r="BN275" s="356"/>
      <c r="BO275" s="356"/>
      <c r="BP275" s="356"/>
      <c r="BQ275" s="356"/>
      <c r="BR275" s="356"/>
      <c r="BS275" s="356"/>
      <c r="BT275" s="356"/>
      <c r="BU275" s="356"/>
      <c r="BV275" s="356"/>
      <c r="BW275" s="356"/>
      <c r="BX275" s="356"/>
      <c r="BY275" s="356"/>
      <c r="BZ275" s="356"/>
      <c r="CA275" s="356"/>
      <c r="CB275" s="356"/>
      <c r="CC275" s="356"/>
      <c r="CD275" s="356"/>
      <c r="CE275" s="356"/>
      <c r="CF275" s="356"/>
      <c r="CG275" s="356"/>
      <c r="CH275" s="356"/>
      <c r="CI275" s="356"/>
      <c r="CJ275" s="356"/>
      <c r="CK275" s="356"/>
      <c r="CL275" s="356"/>
      <c r="CM275" s="356"/>
      <c r="CN275" s="356"/>
      <c r="CO275" s="356"/>
      <c r="CP275" s="356"/>
      <c r="CQ275" s="356"/>
      <c r="CR275" s="356"/>
      <c r="CS275" s="356"/>
      <c r="CT275" s="356"/>
      <c r="CU275" s="356"/>
      <c r="CV275" s="356"/>
      <c r="CW275" s="356"/>
      <c r="CX275" s="356"/>
      <c r="CY275" s="356"/>
      <c r="CZ275" s="356"/>
      <c r="DA275" s="356"/>
      <c r="DB275" s="356"/>
      <c r="DC275" s="356"/>
      <c r="DD275" s="356"/>
      <c r="DE275" s="356"/>
      <c r="DF275" s="356"/>
      <c r="DG275" s="356"/>
      <c r="DH275" s="356"/>
      <c r="DI275" s="356"/>
      <c r="DJ275" s="356"/>
      <c r="DK275" s="356"/>
      <c r="DL275" s="356"/>
      <c r="DM275" s="356"/>
      <c r="DN275" s="356"/>
      <c r="DO275" s="356"/>
      <c r="DP275" s="356"/>
      <c r="DQ275" s="356"/>
      <c r="DR275" s="356"/>
      <c r="DS275" s="356"/>
      <c r="DT275" s="356"/>
      <c r="DU275" s="356"/>
      <c r="DV275" s="356"/>
      <c r="DW275" s="356"/>
      <c r="DX275" s="356"/>
      <c r="DY275" s="356"/>
      <c r="DZ275" s="356"/>
      <c r="EA275" s="356"/>
      <c r="EB275" s="356"/>
      <c r="EC275" s="356"/>
      <c r="ED275" s="356"/>
      <c r="EE275" s="356"/>
      <c r="EF275" s="356"/>
      <c r="EG275" s="356"/>
      <c r="EH275" s="356"/>
      <c r="EI275" s="356"/>
      <c r="EJ275" s="356"/>
      <c r="EK275" s="356"/>
      <c r="EL275" s="356"/>
      <c r="EM275" s="356"/>
      <c r="EN275" s="356"/>
      <c r="EO275" s="356"/>
      <c r="EP275" s="356"/>
      <c r="EQ275" s="356"/>
    </row>
    <row r="276" spans="1:147" ht="15" customHeight="1">
      <c r="A276" s="473"/>
      <c r="BB276" s="356"/>
      <c r="BC276" s="356"/>
      <c r="BD276" s="356"/>
      <c r="BE276" s="356"/>
      <c r="BF276" s="356"/>
      <c r="BG276" s="356"/>
      <c r="BH276" s="356"/>
      <c r="BI276" s="356"/>
      <c r="BJ276" s="356"/>
      <c r="BK276" s="356"/>
      <c r="BL276" s="356"/>
      <c r="BM276" s="356"/>
      <c r="BN276" s="356"/>
      <c r="BO276" s="356"/>
      <c r="BP276" s="356"/>
      <c r="BQ276" s="356"/>
      <c r="BR276" s="356"/>
      <c r="BS276" s="356"/>
      <c r="BT276" s="356"/>
      <c r="BU276" s="356"/>
      <c r="BV276" s="356"/>
      <c r="BW276" s="356"/>
      <c r="BX276" s="356"/>
      <c r="BY276" s="356"/>
      <c r="BZ276" s="356"/>
      <c r="CA276" s="356"/>
      <c r="CB276" s="356"/>
      <c r="CC276" s="356"/>
      <c r="CD276" s="356"/>
      <c r="CE276" s="356"/>
      <c r="CF276" s="356"/>
      <c r="CG276" s="356"/>
      <c r="CH276" s="356"/>
      <c r="CI276" s="356"/>
      <c r="CJ276" s="356"/>
      <c r="CK276" s="356"/>
      <c r="CL276" s="356"/>
      <c r="CM276" s="356"/>
      <c r="CN276" s="356"/>
      <c r="CO276" s="356"/>
      <c r="CP276" s="356"/>
      <c r="CQ276" s="356"/>
      <c r="CR276" s="356"/>
      <c r="CS276" s="356"/>
      <c r="CT276" s="356"/>
      <c r="CU276" s="356"/>
      <c r="CV276" s="356"/>
      <c r="CW276" s="356"/>
      <c r="CX276" s="356"/>
      <c r="CY276" s="356"/>
      <c r="CZ276" s="356"/>
      <c r="DA276" s="356"/>
      <c r="DB276" s="356"/>
      <c r="DC276" s="356"/>
      <c r="DD276" s="356"/>
      <c r="DE276" s="356"/>
      <c r="DF276" s="356"/>
      <c r="DG276" s="356"/>
      <c r="DH276" s="356"/>
      <c r="DI276" s="356"/>
      <c r="DJ276" s="356"/>
      <c r="DK276" s="356"/>
      <c r="DL276" s="356"/>
      <c r="DM276" s="356"/>
      <c r="DN276" s="356"/>
      <c r="DO276" s="356"/>
      <c r="DP276" s="356"/>
      <c r="DQ276" s="356"/>
      <c r="DR276" s="356"/>
      <c r="DS276" s="356"/>
      <c r="DT276" s="356"/>
      <c r="DU276" s="356"/>
      <c r="DV276" s="356"/>
      <c r="DW276" s="356"/>
      <c r="DX276" s="356"/>
      <c r="DY276" s="356"/>
      <c r="DZ276" s="356"/>
      <c r="EA276" s="356"/>
      <c r="EB276" s="356"/>
      <c r="EC276" s="356"/>
      <c r="ED276" s="356"/>
      <c r="EE276" s="356"/>
      <c r="EF276" s="356"/>
      <c r="EG276" s="356"/>
      <c r="EH276" s="356"/>
      <c r="EI276" s="356"/>
      <c r="EJ276" s="356"/>
      <c r="EK276" s="356"/>
      <c r="EL276" s="356"/>
      <c r="EM276" s="356"/>
      <c r="EN276" s="356"/>
      <c r="EO276" s="356"/>
      <c r="EP276" s="356"/>
      <c r="EQ276" s="356"/>
    </row>
    <row r="277" spans="1:147" ht="15" customHeight="1">
      <c r="A277" s="473"/>
      <c r="BB277" s="356"/>
      <c r="BC277" s="356"/>
      <c r="BD277" s="356"/>
      <c r="BE277" s="356"/>
      <c r="BF277" s="356"/>
      <c r="BG277" s="356"/>
      <c r="BH277" s="356"/>
      <c r="BI277" s="356"/>
      <c r="BJ277" s="356"/>
      <c r="BK277" s="356"/>
      <c r="BL277" s="356"/>
      <c r="BM277" s="356"/>
      <c r="BN277" s="356"/>
      <c r="BO277" s="356"/>
      <c r="BP277" s="356"/>
      <c r="BQ277" s="356"/>
      <c r="BR277" s="356"/>
      <c r="BS277" s="356"/>
      <c r="BT277" s="356"/>
      <c r="BU277" s="356"/>
      <c r="BV277" s="356"/>
      <c r="BW277" s="356"/>
      <c r="BX277" s="356"/>
      <c r="BY277" s="356"/>
      <c r="BZ277" s="356"/>
      <c r="CA277" s="356"/>
      <c r="CB277" s="356"/>
      <c r="CC277" s="356"/>
      <c r="CD277" s="356"/>
      <c r="CE277" s="356"/>
      <c r="CF277" s="356"/>
      <c r="CG277" s="356"/>
      <c r="CH277" s="356"/>
      <c r="CI277" s="356"/>
      <c r="CJ277" s="356"/>
      <c r="CK277" s="356"/>
      <c r="CL277" s="356"/>
      <c r="CM277" s="356"/>
      <c r="CN277" s="356"/>
      <c r="CO277" s="356"/>
      <c r="CP277" s="356"/>
      <c r="CQ277" s="356"/>
      <c r="CR277" s="356"/>
      <c r="CS277" s="356"/>
      <c r="CT277" s="356"/>
      <c r="CU277" s="356"/>
      <c r="CV277" s="356"/>
      <c r="CW277" s="356"/>
      <c r="CX277" s="356"/>
      <c r="CY277" s="356"/>
      <c r="CZ277" s="356"/>
      <c r="DA277" s="356"/>
      <c r="DB277" s="356"/>
      <c r="DC277" s="356"/>
      <c r="DD277" s="356"/>
      <c r="DE277" s="356"/>
      <c r="DF277" s="356"/>
      <c r="DG277" s="356"/>
      <c r="DH277" s="356"/>
      <c r="DI277" s="356"/>
      <c r="DJ277" s="356"/>
      <c r="DK277" s="356"/>
      <c r="DL277" s="356"/>
      <c r="DM277" s="356"/>
      <c r="DN277" s="356"/>
      <c r="DO277" s="356"/>
      <c r="DP277" s="356"/>
      <c r="DQ277" s="356"/>
      <c r="DR277" s="356"/>
      <c r="DS277" s="356"/>
      <c r="DT277" s="356"/>
      <c r="DU277" s="356"/>
      <c r="DV277" s="356"/>
      <c r="DW277" s="356"/>
      <c r="DX277" s="356"/>
      <c r="DY277" s="356"/>
      <c r="DZ277" s="356"/>
      <c r="EA277" s="356"/>
      <c r="EB277" s="356"/>
      <c r="EC277" s="356"/>
      <c r="ED277" s="356"/>
      <c r="EE277" s="356"/>
      <c r="EF277" s="356"/>
      <c r="EG277" s="356"/>
      <c r="EH277" s="356"/>
      <c r="EI277" s="356"/>
      <c r="EJ277" s="356"/>
      <c r="EK277" s="356"/>
      <c r="EL277" s="356"/>
      <c r="EM277" s="356"/>
      <c r="EN277" s="356"/>
      <c r="EO277" s="356"/>
      <c r="EP277" s="356"/>
      <c r="EQ277" s="356"/>
    </row>
    <row r="278" spans="1:147" ht="15" customHeight="1">
      <c r="A278" s="473"/>
      <c r="BB278" s="356"/>
      <c r="BC278" s="356"/>
      <c r="BD278" s="356"/>
      <c r="BE278" s="356"/>
      <c r="BF278" s="356"/>
      <c r="BG278" s="356"/>
      <c r="BH278" s="356"/>
      <c r="BI278" s="356"/>
      <c r="BJ278" s="356"/>
      <c r="BK278" s="356"/>
      <c r="BL278" s="356"/>
      <c r="BM278" s="356"/>
      <c r="BN278" s="356"/>
      <c r="BO278" s="356"/>
      <c r="BP278" s="356"/>
      <c r="BQ278" s="356"/>
      <c r="BR278" s="356"/>
      <c r="BS278" s="356"/>
      <c r="BT278" s="356"/>
      <c r="BU278" s="356"/>
      <c r="BV278" s="356"/>
      <c r="BW278" s="356"/>
      <c r="BX278" s="356"/>
      <c r="BY278" s="356"/>
      <c r="BZ278" s="356"/>
      <c r="CA278" s="356"/>
      <c r="CB278" s="356"/>
      <c r="CC278" s="356"/>
      <c r="CD278" s="356"/>
      <c r="CE278" s="356"/>
      <c r="CF278" s="356"/>
      <c r="CG278" s="356"/>
      <c r="CH278" s="356"/>
      <c r="CI278" s="356"/>
      <c r="CJ278" s="356"/>
      <c r="CK278" s="356"/>
      <c r="CL278" s="356"/>
      <c r="CM278" s="356"/>
      <c r="CN278" s="356"/>
      <c r="CO278" s="356"/>
      <c r="CP278" s="356"/>
      <c r="CQ278" s="356"/>
      <c r="CR278" s="356"/>
      <c r="CS278" s="356"/>
      <c r="CT278" s="356"/>
      <c r="CU278" s="356"/>
      <c r="CV278" s="356"/>
      <c r="CW278" s="356"/>
      <c r="CX278" s="356"/>
      <c r="CY278" s="356"/>
      <c r="CZ278" s="356"/>
      <c r="DA278" s="356"/>
      <c r="DB278" s="356"/>
      <c r="DC278" s="356"/>
      <c r="DD278" s="356"/>
      <c r="DE278" s="356"/>
      <c r="DF278" s="356"/>
      <c r="DG278" s="356"/>
      <c r="DH278" s="356"/>
      <c r="DI278" s="356"/>
      <c r="DJ278" s="356"/>
      <c r="DK278" s="356"/>
      <c r="DL278" s="356"/>
      <c r="DM278" s="356"/>
      <c r="DN278" s="356"/>
      <c r="DO278" s="356"/>
      <c r="DP278" s="356"/>
      <c r="DQ278" s="356"/>
      <c r="DR278" s="356"/>
      <c r="DS278" s="356"/>
      <c r="DT278" s="356"/>
      <c r="DU278" s="356"/>
      <c r="DV278" s="356"/>
      <c r="DW278" s="356"/>
      <c r="DX278" s="356"/>
      <c r="DY278" s="356"/>
      <c r="DZ278" s="356"/>
      <c r="EA278" s="356"/>
      <c r="EB278" s="356"/>
      <c r="EC278" s="356"/>
      <c r="ED278" s="356"/>
      <c r="EE278" s="356"/>
      <c r="EF278" s="356"/>
      <c r="EG278" s="356"/>
      <c r="EH278" s="356"/>
      <c r="EI278" s="356"/>
      <c r="EJ278" s="356"/>
      <c r="EK278" s="356"/>
      <c r="EL278" s="356"/>
      <c r="EM278" s="356"/>
      <c r="EN278" s="356"/>
      <c r="EO278" s="356"/>
      <c r="EP278" s="356"/>
      <c r="EQ278" s="356"/>
    </row>
    <row r="279" spans="1:147" ht="15" customHeight="1">
      <c r="A279" s="473"/>
      <c r="BB279" s="356"/>
      <c r="BC279" s="356"/>
      <c r="BD279" s="356"/>
      <c r="BE279" s="356"/>
      <c r="BF279" s="356"/>
      <c r="BG279" s="356"/>
      <c r="BH279" s="356"/>
      <c r="BI279" s="356"/>
      <c r="BJ279" s="356"/>
      <c r="BK279" s="356"/>
      <c r="BL279" s="356"/>
      <c r="BM279" s="356"/>
      <c r="BN279" s="356"/>
      <c r="BO279" s="356"/>
      <c r="BP279" s="356"/>
      <c r="BQ279" s="356"/>
      <c r="BR279" s="356"/>
      <c r="BS279" s="356"/>
      <c r="BT279" s="356"/>
      <c r="BU279" s="356"/>
      <c r="BV279" s="356"/>
      <c r="BW279" s="356"/>
      <c r="BX279" s="356"/>
      <c r="BY279" s="356"/>
      <c r="BZ279" s="356"/>
      <c r="CA279" s="356"/>
      <c r="CB279" s="356"/>
      <c r="CC279" s="356"/>
      <c r="CD279" s="356"/>
      <c r="CE279" s="356"/>
      <c r="CF279" s="356"/>
      <c r="CG279" s="356"/>
      <c r="CH279" s="356"/>
      <c r="CI279" s="356"/>
      <c r="CJ279" s="356"/>
      <c r="CK279" s="356"/>
      <c r="CL279" s="356"/>
      <c r="CM279" s="356"/>
      <c r="CN279" s="356"/>
      <c r="CO279" s="356"/>
      <c r="CP279" s="356"/>
      <c r="CQ279" s="356"/>
      <c r="CR279" s="356"/>
      <c r="CS279" s="356"/>
      <c r="CT279" s="356"/>
      <c r="CU279" s="356"/>
      <c r="CV279" s="356"/>
      <c r="CW279" s="356"/>
      <c r="CX279" s="356"/>
      <c r="CY279" s="356"/>
      <c r="CZ279" s="356"/>
      <c r="DA279" s="356"/>
      <c r="DB279" s="356"/>
      <c r="DC279" s="356"/>
      <c r="DD279" s="356"/>
      <c r="DE279" s="356"/>
      <c r="DF279" s="356"/>
      <c r="DG279" s="356"/>
      <c r="DH279" s="356"/>
      <c r="DI279" s="356"/>
      <c r="DJ279" s="356"/>
      <c r="DK279" s="356"/>
      <c r="DL279" s="356"/>
      <c r="DM279" s="356"/>
      <c r="DN279" s="356"/>
      <c r="DO279" s="356"/>
      <c r="DP279" s="356"/>
      <c r="DQ279" s="356"/>
      <c r="DR279" s="356"/>
      <c r="DS279" s="356"/>
      <c r="DT279" s="356"/>
      <c r="DU279" s="356"/>
      <c r="DV279" s="356"/>
      <c r="DW279" s="356"/>
      <c r="DX279" s="356"/>
      <c r="DY279" s="356"/>
      <c r="DZ279" s="356"/>
      <c r="EA279" s="356"/>
      <c r="EB279" s="356"/>
      <c r="EC279" s="356"/>
      <c r="ED279" s="356"/>
      <c r="EE279" s="356"/>
      <c r="EF279" s="356"/>
      <c r="EG279" s="356"/>
      <c r="EH279" s="356"/>
      <c r="EI279" s="356"/>
      <c r="EJ279" s="356"/>
      <c r="EK279" s="356"/>
      <c r="EL279" s="356"/>
      <c r="EM279" s="356"/>
      <c r="EN279" s="356"/>
      <c r="EO279" s="356"/>
      <c r="EP279" s="356"/>
      <c r="EQ279" s="356"/>
    </row>
    <row r="280" spans="1:147" ht="15" customHeight="1">
      <c r="A280" s="473"/>
      <c r="BB280" s="356"/>
      <c r="BC280" s="356"/>
      <c r="BD280" s="356"/>
      <c r="BE280" s="356"/>
      <c r="BF280" s="356"/>
      <c r="BG280" s="356"/>
      <c r="BH280" s="356"/>
      <c r="BI280" s="356"/>
      <c r="BJ280" s="356"/>
      <c r="BK280" s="356"/>
      <c r="BL280" s="356"/>
      <c r="BM280" s="356"/>
      <c r="BN280" s="356"/>
      <c r="BO280" s="356"/>
      <c r="BP280" s="356"/>
      <c r="BQ280" s="356"/>
      <c r="BR280" s="356"/>
      <c r="BS280" s="356"/>
      <c r="BT280" s="356"/>
      <c r="BU280" s="356"/>
      <c r="BV280" s="356"/>
      <c r="BW280" s="356"/>
      <c r="BX280" s="356"/>
      <c r="BY280" s="356"/>
      <c r="BZ280" s="356"/>
      <c r="CA280" s="356"/>
      <c r="CB280" s="356"/>
      <c r="CC280" s="356"/>
      <c r="CD280" s="356"/>
      <c r="CE280" s="356"/>
      <c r="CF280" s="356"/>
      <c r="CG280" s="356"/>
      <c r="CH280" s="356"/>
      <c r="CI280" s="356"/>
      <c r="CJ280" s="356"/>
      <c r="CK280" s="356"/>
      <c r="CL280" s="356"/>
      <c r="CM280" s="356"/>
      <c r="CN280" s="356"/>
      <c r="CO280" s="356"/>
      <c r="CP280" s="356"/>
      <c r="CQ280" s="356"/>
      <c r="CR280" s="356"/>
      <c r="CS280" s="356"/>
      <c r="CT280" s="356"/>
      <c r="CU280" s="356"/>
      <c r="CV280" s="356"/>
      <c r="CW280" s="356"/>
      <c r="CX280" s="356"/>
      <c r="CY280" s="356"/>
      <c r="CZ280" s="356"/>
      <c r="DA280" s="356"/>
      <c r="DB280" s="356"/>
      <c r="DC280" s="356"/>
      <c r="DD280" s="356"/>
      <c r="DE280" s="356"/>
      <c r="DF280" s="356"/>
      <c r="DG280" s="356"/>
      <c r="DH280" s="356"/>
      <c r="DI280" s="356"/>
      <c r="DJ280" s="356"/>
      <c r="DK280" s="356"/>
      <c r="DL280" s="356"/>
      <c r="DM280" s="356"/>
      <c r="DN280" s="356"/>
      <c r="DO280" s="356"/>
      <c r="DP280" s="356"/>
      <c r="DQ280" s="356"/>
      <c r="DR280" s="356"/>
      <c r="DS280" s="356"/>
      <c r="DT280" s="356"/>
      <c r="DU280" s="356"/>
      <c r="DV280" s="356"/>
      <c r="DW280" s="356"/>
      <c r="DX280" s="356"/>
      <c r="DY280" s="356"/>
      <c r="DZ280" s="356"/>
      <c r="EA280" s="356"/>
      <c r="EB280" s="356"/>
      <c r="EC280" s="356"/>
      <c r="ED280" s="356"/>
      <c r="EE280" s="356"/>
      <c r="EF280" s="356"/>
      <c r="EG280" s="356"/>
      <c r="EH280" s="356"/>
      <c r="EI280" s="356"/>
      <c r="EJ280" s="356"/>
      <c r="EK280" s="356"/>
      <c r="EL280" s="356"/>
      <c r="EM280" s="356"/>
      <c r="EN280" s="356"/>
      <c r="EO280" s="356"/>
      <c r="EP280" s="356"/>
      <c r="EQ280" s="356"/>
    </row>
    <row r="281" spans="1:147" ht="15" customHeight="1">
      <c r="A281" s="473"/>
      <c r="BB281" s="356"/>
      <c r="BC281" s="356"/>
      <c r="BD281" s="356"/>
      <c r="BE281" s="356"/>
      <c r="BF281" s="356"/>
      <c r="BG281" s="356"/>
      <c r="BH281" s="356"/>
      <c r="BI281" s="356"/>
      <c r="BJ281" s="356"/>
      <c r="BK281" s="356"/>
      <c r="BL281" s="356"/>
      <c r="BM281" s="356"/>
      <c r="BN281" s="356"/>
      <c r="BO281" s="356"/>
      <c r="BP281" s="356"/>
      <c r="BQ281" s="356"/>
      <c r="BR281" s="356"/>
      <c r="BS281" s="356"/>
      <c r="BT281" s="356"/>
      <c r="BU281" s="356"/>
      <c r="BV281" s="356"/>
      <c r="BW281" s="356"/>
      <c r="BX281" s="356"/>
      <c r="BY281" s="356"/>
      <c r="BZ281" s="356"/>
      <c r="CA281" s="356"/>
      <c r="CB281" s="356"/>
      <c r="CC281" s="356"/>
      <c r="CD281" s="356"/>
      <c r="CE281" s="356"/>
      <c r="CF281" s="356"/>
      <c r="CG281" s="356"/>
      <c r="CH281" s="356"/>
      <c r="CI281" s="356"/>
      <c r="CJ281" s="356"/>
      <c r="CK281" s="356"/>
      <c r="CL281" s="356"/>
      <c r="CM281" s="356"/>
      <c r="CN281" s="356"/>
      <c r="CO281" s="356"/>
      <c r="CP281" s="356"/>
      <c r="CQ281" s="356"/>
      <c r="CR281" s="356"/>
      <c r="CS281" s="356"/>
      <c r="CT281" s="356"/>
      <c r="CU281" s="356"/>
      <c r="CV281" s="356"/>
      <c r="CW281" s="356"/>
      <c r="CX281" s="356"/>
      <c r="CY281" s="356"/>
      <c r="CZ281" s="356"/>
      <c r="DA281" s="356"/>
      <c r="DB281" s="356"/>
      <c r="DC281" s="356"/>
      <c r="DD281" s="356"/>
      <c r="DE281" s="356"/>
      <c r="DF281" s="356"/>
      <c r="DG281" s="356"/>
      <c r="DH281" s="356"/>
      <c r="DI281" s="356"/>
      <c r="DJ281" s="356"/>
      <c r="DK281" s="356"/>
      <c r="DL281" s="356"/>
      <c r="DM281" s="356"/>
      <c r="DN281" s="356"/>
      <c r="DO281" s="356"/>
      <c r="DP281" s="356"/>
      <c r="DQ281" s="356"/>
      <c r="DR281" s="356"/>
      <c r="DS281" s="356"/>
      <c r="DT281" s="356"/>
      <c r="DU281" s="356"/>
      <c r="DV281" s="356"/>
      <c r="DW281" s="356"/>
      <c r="DX281" s="356"/>
      <c r="DY281" s="356"/>
      <c r="DZ281" s="356"/>
      <c r="EA281" s="356"/>
      <c r="EB281" s="356"/>
      <c r="EC281" s="356"/>
      <c r="ED281" s="356"/>
      <c r="EE281" s="356"/>
      <c r="EF281" s="356"/>
      <c r="EG281" s="356"/>
      <c r="EH281" s="356"/>
      <c r="EI281" s="356"/>
      <c r="EJ281" s="356"/>
      <c r="EK281" s="356"/>
      <c r="EL281" s="356"/>
      <c r="EM281" s="356"/>
      <c r="EN281" s="356"/>
      <c r="EO281" s="356"/>
      <c r="EP281" s="356"/>
      <c r="EQ281" s="356"/>
    </row>
    <row r="282" spans="1:147" ht="15" customHeight="1">
      <c r="A282" s="473"/>
      <c r="BB282" s="356"/>
      <c r="BC282" s="356"/>
      <c r="BD282" s="356"/>
      <c r="BE282" s="356"/>
      <c r="BF282" s="356"/>
      <c r="BG282" s="356"/>
      <c r="BH282" s="356"/>
      <c r="BI282" s="356"/>
      <c r="BJ282" s="356"/>
      <c r="BK282" s="356"/>
      <c r="BL282" s="356"/>
      <c r="BM282" s="356"/>
      <c r="BN282" s="356"/>
      <c r="BO282" s="356"/>
      <c r="BP282" s="356"/>
      <c r="BQ282" s="356"/>
      <c r="BR282" s="356"/>
      <c r="BS282" s="356"/>
      <c r="BT282" s="356"/>
      <c r="BU282" s="356"/>
      <c r="BV282" s="356"/>
      <c r="BW282" s="356"/>
      <c r="BX282" s="356"/>
      <c r="BY282" s="356"/>
      <c r="BZ282" s="356"/>
      <c r="CA282" s="356"/>
      <c r="CB282" s="356"/>
      <c r="CC282" s="356"/>
      <c r="CD282" s="356"/>
      <c r="CE282" s="356"/>
      <c r="CF282" s="356"/>
      <c r="CG282" s="356"/>
      <c r="CH282" s="356"/>
      <c r="CI282" s="356"/>
      <c r="CJ282" s="356"/>
      <c r="CK282" s="356"/>
      <c r="CL282" s="356"/>
      <c r="CM282" s="356"/>
      <c r="CN282" s="356"/>
      <c r="CO282" s="356"/>
      <c r="CP282" s="356"/>
      <c r="CQ282" s="356"/>
      <c r="CR282" s="356"/>
      <c r="CS282" s="356"/>
      <c r="CT282" s="356"/>
      <c r="CU282" s="356"/>
      <c r="CV282" s="356"/>
      <c r="CW282" s="356"/>
      <c r="CX282" s="356"/>
      <c r="CY282" s="356"/>
      <c r="CZ282" s="356"/>
      <c r="DA282" s="356"/>
      <c r="DB282" s="356"/>
      <c r="DC282" s="356"/>
      <c r="DD282" s="356"/>
      <c r="DE282" s="356"/>
      <c r="DF282" s="356"/>
      <c r="DG282" s="356"/>
      <c r="DH282" s="356"/>
      <c r="DI282" s="356"/>
      <c r="DJ282" s="356"/>
      <c r="DK282" s="356"/>
      <c r="DL282" s="356"/>
      <c r="DM282" s="356"/>
      <c r="DN282" s="356"/>
      <c r="DO282" s="356"/>
      <c r="DP282" s="356"/>
      <c r="DQ282" s="356"/>
      <c r="DR282" s="356"/>
      <c r="DS282" s="356"/>
      <c r="DT282" s="356"/>
      <c r="DU282" s="356"/>
      <c r="DV282" s="356"/>
      <c r="DW282" s="356"/>
      <c r="DX282" s="356"/>
      <c r="DY282" s="356"/>
      <c r="DZ282" s="356"/>
      <c r="EA282" s="356"/>
      <c r="EB282" s="356"/>
      <c r="EC282" s="356"/>
      <c r="ED282" s="356"/>
      <c r="EE282" s="356"/>
      <c r="EF282" s="356"/>
      <c r="EG282" s="356"/>
      <c r="EH282" s="356"/>
      <c r="EI282" s="356"/>
      <c r="EJ282" s="356"/>
      <c r="EK282" s="356"/>
      <c r="EL282" s="356"/>
      <c r="EM282" s="356"/>
      <c r="EN282" s="356"/>
      <c r="EO282" s="356"/>
      <c r="EP282" s="356"/>
      <c r="EQ282" s="356"/>
    </row>
    <row r="283" spans="1:147" ht="15" customHeight="1">
      <c r="A283" s="473"/>
      <c r="BB283" s="356"/>
      <c r="BC283" s="356"/>
      <c r="BD283" s="356"/>
      <c r="BE283" s="356"/>
      <c r="BF283" s="356"/>
      <c r="BG283" s="356"/>
      <c r="BH283" s="356"/>
      <c r="BI283" s="356"/>
      <c r="BJ283" s="356"/>
      <c r="BK283" s="356"/>
      <c r="BL283" s="356"/>
      <c r="BM283" s="356"/>
      <c r="BN283" s="356"/>
      <c r="BO283" s="356"/>
      <c r="BP283" s="356"/>
      <c r="BQ283" s="356"/>
      <c r="BR283" s="356"/>
      <c r="BS283" s="356"/>
      <c r="BT283" s="356"/>
      <c r="BU283" s="356"/>
      <c r="BV283" s="356"/>
      <c r="BW283" s="356"/>
      <c r="BX283" s="356"/>
      <c r="BY283" s="356"/>
      <c r="BZ283" s="356"/>
      <c r="CA283" s="356"/>
      <c r="CB283" s="356"/>
      <c r="CC283" s="356"/>
      <c r="CD283" s="356"/>
      <c r="CE283" s="356"/>
      <c r="CF283" s="356"/>
      <c r="CG283" s="356"/>
      <c r="CH283" s="356"/>
      <c r="CI283" s="356"/>
      <c r="CJ283" s="356"/>
      <c r="CK283" s="356"/>
      <c r="CL283" s="356"/>
      <c r="CM283" s="356"/>
      <c r="CN283" s="356"/>
      <c r="CO283" s="356"/>
      <c r="CP283" s="356"/>
      <c r="CQ283" s="356"/>
      <c r="CR283" s="356"/>
      <c r="CS283" s="356"/>
      <c r="CT283" s="356"/>
      <c r="CU283" s="356"/>
      <c r="CV283" s="356"/>
      <c r="CW283" s="356"/>
      <c r="CX283" s="356"/>
      <c r="CY283" s="356"/>
      <c r="CZ283" s="356"/>
      <c r="DA283" s="356"/>
      <c r="DB283" s="356"/>
      <c r="DC283" s="356"/>
      <c r="DD283" s="356"/>
      <c r="DE283" s="356"/>
      <c r="DF283" s="356"/>
      <c r="DG283" s="356"/>
      <c r="DH283" s="356"/>
      <c r="DI283" s="356"/>
      <c r="DJ283" s="356"/>
      <c r="DK283" s="356"/>
      <c r="DL283" s="356"/>
      <c r="DM283" s="356"/>
      <c r="DN283" s="356"/>
      <c r="DO283" s="356"/>
      <c r="DP283" s="356"/>
      <c r="DQ283" s="356"/>
      <c r="DR283" s="356"/>
      <c r="DS283" s="356"/>
      <c r="DT283" s="356"/>
      <c r="DU283" s="356"/>
      <c r="DV283" s="356"/>
      <c r="DW283" s="356"/>
      <c r="DX283" s="356"/>
      <c r="DY283" s="356"/>
      <c r="DZ283" s="356"/>
      <c r="EA283" s="356"/>
      <c r="EB283" s="356"/>
      <c r="EC283" s="356"/>
      <c r="ED283" s="356"/>
      <c r="EE283" s="356"/>
      <c r="EF283" s="356"/>
      <c r="EG283" s="356"/>
      <c r="EH283" s="356"/>
      <c r="EI283" s="356"/>
      <c r="EJ283" s="356"/>
      <c r="EK283" s="356"/>
      <c r="EL283" s="356"/>
      <c r="EM283" s="356"/>
      <c r="EN283" s="356"/>
      <c r="EO283" s="356"/>
      <c r="EP283" s="356"/>
      <c r="EQ283" s="356"/>
    </row>
    <row r="284" spans="1:147" ht="15" customHeight="1">
      <c r="A284" s="473"/>
      <c r="BB284" s="356"/>
      <c r="BC284" s="356"/>
      <c r="BD284" s="356"/>
      <c r="BE284" s="356"/>
      <c r="BF284" s="356"/>
      <c r="BG284" s="356"/>
      <c r="BH284" s="356"/>
      <c r="BI284" s="356"/>
      <c r="BJ284" s="356"/>
      <c r="BK284" s="356"/>
      <c r="BL284" s="356"/>
      <c r="BM284" s="356"/>
      <c r="BN284" s="356"/>
      <c r="BO284" s="356"/>
      <c r="BP284" s="356"/>
      <c r="BQ284" s="356"/>
      <c r="BR284" s="356"/>
      <c r="BS284" s="356"/>
      <c r="BT284" s="356"/>
      <c r="BU284" s="356"/>
      <c r="BV284" s="356"/>
      <c r="BW284" s="356"/>
      <c r="BX284" s="356"/>
      <c r="BY284" s="356"/>
      <c r="BZ284" s="356"/>
      <c r="CA284" s="356"/>
      <c r="CB284" s="356"/>
      <c r="CC284" s="356"/>
      <c r="CD284" s="356"/>
      <c r="CE284" s="356"/>
      <c r="CF284" s="356"/>
      <c r="CG284" s="356"/>
      <c r="CH284" s="356"/>
      <c r="CI284" s="356"/>
      <c r="CJ284" s="356"/>
      <c r="CK284" s="356"/>
      <c r="CL284" s="356"/>
      <c r="CM284" s="356"/>
      <c r="CN284" s="356"/>
      <c r="CO284" s="356"/>
      <c r="CP284" s="356"/>
      <c r="CQ284" s="356"/>
      <c r="CR284" s="356"/>
      <c r="CS284" s="356"/>
      <c r="CT284" s="356"/>
      <c r="CU284" s="356"/>
      <c r="CV284" s="356"/>
      <c r="CW284" s="356"/>
      <c r="CX284" s="356"/>
      <c r="CY284" s="356"/>
      <c r="CZ284" s="356"/>
      <c r="DA284" s="356"/>
      <c r="DB284" s="356"/>
      <c r="DC284" s="356"/>
      <c r="DD284" s="356"/>
      <c r="DE284" s="356"/>
      <c r="DF284" s="356"/>
      <c r="DG284" s="356"/>
      <c r="DH284" s="356"/>
      <c r="DI284" s="356"/>
      <c r="DJ284" s="356"/>
      <c r="DK284" s="356"/>
      <c r="DL284" s="356"/>
      <c r="DM284" s="356"/>
      <c r="DN284" s="356"/>
      <c r="DO284" s="356"/>
      <c r="DP284" s="356"/>
      <c r="DQ284" s="356"/>
      <c r="DR284" s="356"/>
      <c r="DS284" s="356"/>
      <c r="DT284" s="356"/>
      <c r="DU284" s="356"/>
      <c r="DV284" s="356"/>
      <c r="DW284" s="356"/>
      <c r="DX284" s="356"/>
      <c r="DY284" s="356"/>
      <c r="DZ284" s="356"/>
      <c r="EA284" s="356"/>
      <c r="EB284" s="356"/>
      <c r="EC284" s="356"/>
      <c r="ED284" s="356"/>
      <c r="EE284" s="356"/>
      <c r="EF284" s="356"/>
      <c r="EG284" s="356"/>
      <c r="EH284" s="356"/>
      <c r="EI284" s="356"/>
      <c r="EJ284" s="356"/>
      <c r="EK284" s="356"/>
      <c r="EL284" s="356"/>
      <c r="EM284" s="356"/>
      <c r="EN284" s="356"/>
      <c r="EO284" s="356"/>
      <c r="EP284" s="356"/>
      <c r="EQ284" s="356"/>
    </row>
    <row r="285" spans="1:147" ht="15" customHeight="1">
      <c r="A285" s="473"/>
      <c r="BB285" s="356"/>
      <c r="BC285" s="356"/>
      <c r="BD285" s="356"/>
      <c r="BE285" s="356"/>
      <c r="BF285" s="356"/>
      <c r="BG285" s="356"/>
      <c r="BH285" s="356"/>
      <c r="BI285" s="356"/>
      <c r="BJ285" s="356"/>
      <c r="BK285" s="356"/>
      <c r="BL285" s="356"/>
      <c r="BM285" s="356"/>
      <c r="BN285" s="356"/>
      <c r="BO285" s="356"/>
      <c r="BP285" s="356"/>
      <c r="BQ285" s="356"/>
      <c r="BR285" s="356"/>
      <c r="BS285" s="356"/>
      <c r="BT285" s="356"/>
      <c r="BU285" s="356"/>
      <c r="BV285" s="356"/>
      <c r="BW285" s="356"/>
      <c r="BX285" s="356"/>
      <c r="BY285" s="356"/>
      <c r="BZ285" s="356"/>
      <c r="CA285" s="356"/>
      <c r="CB285" s="356"/>
      <c r="CC285" s="356"/>
      <c r="CD285" s="356"/>
      <c r="CE285" s="356"/>
      <c r="CF285" s="356"/>
      <c r="CG285" s="356"/>
      <c r="CH285" s="356"/>
      <c r="CI285" s="356"/>
      <c r="CJ285" s="356"/>
      <c r="CK285" s="356"/>
      <c r="CL285" s="356"/>
      <c r="CM285" s="356"/>
      <c r="CN285" s="356"/>
      <c r="CO285" s="356"/>
      <c r="CP285" s="356"/>
      <c r="CQ285" s="356"/>
      <c r="CR285" s="356"/>
      <c r="CS285" s="356"/>
      <c r="CT285" s="356"/>
      <c r="CU285" s="356"/>
      <c r="CV285" s="356"/>
      <c r="CW285" s="356"/>
      <c r="CX285" s="356"/>
      <c r="CY285" s="356"/>
      <c r="CZ285" s="356"/>
      <c r="DA285" s="356"/>
      <c r="DB285" s="356"/>
      <c r="DC285" s="356"/>
      <c r="DD285" s="356"/>
      <c r="DE285" s="356"/>
      <c r="DF285" s="356"/>
      <c r="DG285" s="356"/>
      <c r="DH285" s="356"/>
      <c r="DI285" s="356"/>
      <c r="DJ285" s="356"/>
      <c r="DK285" s="356"/>
      <c r="DL285" s="356"/>
      <c r="DM285" s="356"/>
      <c r="DN285" s="356"/>
      <c r="DO285" s="356"/>
      <c r="DP285" s="356"/>
      <c r="DQ285" s="356"/>
      <c r="DR285" s="356"/>
      <c r="DS285" s="356"/>
      <c r="DT285" s="356"/>
      <c r="DU285" s="356"/>
      <c r="DV285" s="356"/>
      <c r="DW285" s="356"/>
      <c r="DX285" s="356"/>
      <c r="DY285" s="356"/>
      <c r="DZ285" s="356"/>
      <c r="EA285" s="356"/>
      <c r="EB285" s="356"/>
      <c r="EC285" s="356"/>
      <c r="ED285" s="356"/>
      <c r="EE285" s="356"/>
      <c r="EF285" s="356"/>
      <c r="EG285" s="356"/>
      <c r="EH285" s="356"/>
      <c r="EI285" s="356"/>
      <c r="EJ285" s="356"/>
      <c r="EK285" s="356"/>
      <c r="EL285" s="356"/>
      <c r="EM285" s="356"/>
      <c r="EN285" s="356"/>
      <c r="EO285" s="356"/>
      <c r="EP285" s="356"/>
      <c r="EQ285" s="356"/>
    </row>
    <row r="286" spans="1:147" ht="15" customHeight="1">
      <c r="A286" s="473"/>
      <c r="BB286" s="356"/>
      <c r="BC286" s="356"/>
      <c r="BD286" s="356"/>
      <c r="BE286" s="356"/>
      <c r="BF286" s="356"/>
      <c r="BG286" s="356"/>
      <c r="BH286" s="356"/>
      <c r="BI286" s="356"/>
      <c r="BJ286" s="356"/>
      <c r="BK286" s="356"/>
      <c r="BL286" s="356"/>
      <c r="BM286" s="356"/>
      <c r="BN286" s="356"/>
      <c r="BO286" s="356"/>
      <c r="BP286" s="356"/>
      <c r="BQ286" s="356"/>
      <c r="BR286" s="356"/>
      <c r="BS286" s="356"/>
      <c r="BT286" s="356"/>
      <c r="BU286" s="356"/>
      <c r="BV286" s="356"/>
      <c r="BW286" s="356"/>
      <c r="BX286" s="356"/>
      <c r="BY286" s="356"/>
      <c r="BZ286" s="356"/>
      <c r="CA286" s="356"/>
      <c r="CB286" s="356"/>
      <c r="CC286" s="356"/>
      <c r="CD286" s="356"/>
      <c r="CE286" s="356"/>
      <c r="CF286" s="356"/>
      <c r="CG286" s="356"/>
      <c r="CH286" s="356"/>
      <c r="CI286" s="356"/>
      <c r="CJ286" s="356"/>
      <c r="CK286" s="356"/>
      <c r="CL286" s="356"/>
      <c r="CM286" s="356"/>
      <c r="CN286" s="356"/>
      <c r="CO286" s="356"/>
      <c r="CP286" s="356"/>
      <c r="CQ286" s="356"/>
      <c r="CR286" s="356"/>
      <c r="CS286" s="356"/>
      <c r="CT286" s="356"/>
      <c r="CU286" s="356"/>
      <c r="CV286" s="356"/>
      <c r="CW286" s="356"/>
      <c r="CX286" s="356"/>
      <c r="CY286" s="356"/>
      <c r="CZ286" s="356"/>
      <c r="DA286" s="356"/>
      <c r="DB286" s="356"/>
      <c r="DC286" s="356"/>
      <c r="DD286" s="356"/>
      <c r="DE286" s="356"/>
      <c r="DF286" s="356"/>
      <c r="DG286" s="356"/>
      <c r="DH286" s="356"/>
      <c r="DI286" s="356"/>
      <c r="DJ286" s="356"/>
      <c r="DK286" s="356"/>
      <c r="DL286" s="356"/>
      <c r="DM286" s="356"/>
      <c r="DN286" s="356"/>
      <c r="DO286" s="356"/>
      <c r="DP286" s="356"/>
      <c r="DQ286" s="356"/>
      <c r="DR286" s="356"/>
      <c r="DS286" s="356"/>
      <c r="DT286" s="356"/>
      <c r="DU286" s="356"/>
      <c r="DV286" s="356"/>
      <c r="DW286" s="356"/>
      <c r="DX286" s="356"/>
      <c r="DY286" s="356"/>
      <c r="DZ286" s="356"/>
      <c r="EA286" s="356"/>
      <c r="EB286" s="356"/>
      <c r="EC286" s="356"/>
      <c r="ED286" s="356"/>
      <c r="EE286" s="356"/>
      <c r="EF286" s="356"/>
      <c r="EG286" s="356"/>
      <c r="EH286" s="356"/>
      <c r="EI286" s="356"/>
      <c r="EJ286" s="356"/>
      <c r="EK286" s="356"/>
      <c r="EL286" s="356"/>
      <c r="EM286" s="356"/>
      <c r="EN286" s="356"/>
      <c r="EO286" s="356"/>
      <c r="EP286" s="356"/>
      <c r="EQ286" s="356"/>
    </row>
    <row r="287" spans="1:147" ht="15" customHeight="1">
      <c r="A287" s="473"/>
      <c r="BB287" s="356"/>
      <c r="BC287" s="356"/>
      <c r="BD287" s="356"/>
      <c r="BE287" s="356"/>
      <c r="BF287" s="356"/>
      <c r="BG287" s="356"/>
      <c r="BH287" s="356"/>
      <c r="BI287" s="356"/>
      <c r="BJ287" s="356"/>
      <c r="BK287" s="356"/>
      <c r="BL287" s="356"/>
      <c r="BM287" s="356"/>
      <c r="BN287" s="356"/>
      <c r="BO287" s="356"/>
      <c r="BP287" s="356"/>
      <c r="BQ287" s="356"/>
      <c r="BR287" s="356"/>
      <c r="BS287" s="356"/>
      <c r="BT287" s="356"/>
      <c r="BU287" s="356"/>
      <c r="BV287" s="356"/>
      <c r="BW287" s="356"/>
      <c r="BX287" s="356"/>
      <c r="BY287" s="356"/>
      <c r="BZ287" s="356"/>
      <c r="CA287" s="356"/>
      <c r="CB287" s="356"/>
      <c r="CC287" s="356"/>
      <c r="CD287" s="356"/>
      <c r="CE287" s="356"/>
      <c r="CF287" s="356"/>
      <c r="CG287" s="356"/>
      <c r="CH287" s="356"/>
      <c r="CI287" s="356"/>
      <c r="CJ287" s="356"/>
      <c r="CK287" s="356"/>
      <c r="CL287" s="356"/>
      <c r="CM287" s="356"/>
      <c r="CN287" s="356"/>
      <c r="CO287" s="356"/>
      <c r="CP287" s="356"/>
      <c r="CQ287" s="356"/>
      <c r="CR287" s="356"/>
      <c r="CS287" s="356"/>
      <c r="CT287" s="356"/>
      <c r="CU287" s="356"/>
      <c r="CV287" s="356"/>
      <c r="CW287" s="356"/>
      <c r="CX287" s="356"/>
      <c r="CY287" s="356"/>
      <c r="CZ287" s="356"/>
      <c r="DA287" s="356"/>
      <c r="DB287" s="356"/>
      <c r="DC287" s="356"/>
      <c r="DD287" s="356"/>
      <c r="DE287" s="356"/>
      <c r="DF287" s="356"/>
      <c r="DG287" s="356"/>
      <c r="DH287" s="356"/>
      <c r="DI287" s="356"/>
      <c r="DJ287" s="356"/>
      <c r="DK287" s="356"/>
      <c r="DL287" s="356"/>
      <c r="DM287" s="356"/>
      <c r="DN287" s="356"/>
      <c r="DO287" s="356"/>
      <c r="DP287" s="356"/>
      <c r="DQ287" s="356"/>
      <c r="DR287" s="356"/>
      <c r="DS287" s="356"/>
      <c r="DT287" s="356"/>
      <c r="DU287" s="356"/>
      <c r="DV287" s="356"/>
      <c r="DW287" s="356"/>
      <c r="DX287" s="356"/>
      <c r="DY287" s="356"/>
      <c r="DZ287" s="356"/>
      <c r="EA287" s="356"/>
      <c r="EB287" s="356"/>
      <c r="EC287" s="356"/>
      <c r="ED287" s="356"/>
      <c r="EE287" s="356"/>
      <c r="EF287" s="356"/>
      <c r="EG287" s="356"/>
      <c r="EH287" s="356"/>
      <c r="EI287" s="356"/>
      <c r="EJ287" s="356"/>
      <c r="EK287" s="356"/>
      <c r="EL287" s="356"/>
      <c r="EM287" s="356"/>
      <c r="EN287" s="356"/>
      <c r="EO287" s="356"/>
      <c r="EP287" s="356"/>
      <c r="EQ287" s="356"/>
    </row>
    <row r="288" spans="1:147" ht="15" customHeight="1">
      <c r="A288" s="473"/>
      <c r="BB288" s="356"/>
      <c r="BC288" s="356"/>
      <c r="BD288" s="356"/>
      <c r="BE288" s="356"/>
      <c r="BF288" s="356"/>
      <c r="BG288" s="356"/>
      <c r="BH288" s="356"/>
      <c r="BI288" s="356"/>
      <c r="BJ288" s="356"/>
      <c r="BK288" s="356"/>
      <c r="BL288" s="356"/>
      <c r="BM288" s="356"/>
      <c r="BN288" s="356"/>
      <c r="BO288" s="356"/>
      <c r="BP288" s="356"/>
      <c r="BQ288" s="356"/>
      <c r="BR288" s="356"/>
      <c r="BS288" s="356"/>
      <c r="BT288" s="356"/>
      <c r="BU288" s="356"/>
      <c r="BV288" s="356"/>
      <c r="BW288" s="356"/>
      <c r="BX288" s="356"/>
      <c r="BY288" s="356"/>
      <c r="BZ288" s="356"/>
      <c r="CA288" s="356"/>
      <c r="CB288" s="356"/>
      <c r="CC288" s="356"/>
      <c r="CD288" s="356"/>
      <c r="CE288" s="356"/>
      <c r="CF288" s="356"/>
      <c r="CG288" s="356"/>
      <c r="CH288" s="356"/>
      <c r="CI288" s="356"/>
      <c r="CJ288" s="356"/>
      <c r="CK288" s="356"/>
      <c r="CL288" s="356"/>
      <c r="CM288" s="356"/>
      <c r="CN288" s="356"/>
      <c r="CO288" s="356"/>
      <c r="CP288" s="356"/>
      <c r="CQ288" s="356"/>
      <c r="CR288" s="356"/>
      <c r="CS288" s="356"/>
      <c r="CT288" s="356"/>
      <c r="CU288" s="356"/>
      <c r="CV288" s="356"/>
      <c r="CW288" s="356"/>
      <c r="CX288" s="356"/>
      <c r="CY288" s="356"/>
      <c r="CZ288" s="356"/>
      <c r="DA288" s="356"/>
      <c r="DB288" s="356"/>
      <c r="DC288" s="356"/>
      <c r="DD288" s="356"/>
      <c r="DE288" s="356"/>
      <c r="DF288" s="356"/>
      <c r="DG288" s="356"/>
      <c r="DH288" s="356"/>
      <c r="DI288" s="356"/>
      <c r="DJ288" s="356"/>
      <c r="DK288" s="356"/>
      <c r="DL288" s="356"/>
      <c r="DM288" s="356"/>
      <c r="DN288" s="356"/>
      <c r="DO288" s="356"/>
      <c r="DP288" s="356"/>
      <c r="DQ288" s="356"/>
      <c r="DR288" s="356"/>
      <c r="DS288" s="356"/>
      <c r="DT288" s="356"/>
      <c r="DU288" s="356"/>
      <c r="DV288" s="356"/>
      <c r="DW288" s="356"/>
      <c r="DX288" s="356"/>
      <c r="DY288" s="356"/>
      <c r="DZ288" s="356"/>
      <c r="EA288" s="356"/>
      <c r="EB288" s="356"/>
      <c r="EC288" s="356"/>
      <c r="ED288" s="356"/>
      <c r="EE288" s="356"/>
      <c r="EF288" s="356"/>
      <c r="EG288" s="356"/>
      <c r="EH288" s="356"/>
      <c r="EI288" s="356"/>
      <c r="EJ288" s="356"/>
      <c r="EK288" s="356"/>
      <c r="EL288" s="356"/>
      <c r="EM288" s="356"/>
      <c r="EN288" s="356"/>
      <c r="EO288" s="356"/>
      <c r="EP288" s="356"/>
      <c r="EQ288" s="356"/>
    </row>
    <row r="289" spans="1:147" ht="15" customHeight="1">
      <c r="A289" s="473"/>
      <c r="BB289" s="356"/>
      <c r="BC289" s="356"/>
      <c r="BD289" s="356"/>
      <c r="BE289" s="356"/>
      <c r="BF289" s="356"/>
      <c r="BG289" s="356"/>
      <c r="BH289" s="356"/>
      <c r="BI289" s="356"/>
      <c r="BJ289" s="356"/>
      <c r="BK289" s="356"/>
      <c r="BL289" s="356"/>
      <c r="BM289" s="356"/>
      <c r="BN289" s="356"/>
      <c r="BO289" s="356"/>
      <c r="BP289" s="356"/>
      <c r="BQ289" s="356"/>
      <c r="BR289" s="356"/>
      <c r="BS289" s="356"/>
      <c r="BT289" s="356"/>
      <c r="BU289" s="356"/>
      <c r="BV289" s="356"/>
      <c r="BW289" s="356"/>
      <c r="BX289" s="356"/>
      <c r="BY289" s="356"/>
      <c r="BZ289" s="356"/>
      <c r="CA289" s="356"/>
      <c r="CB289" s="356"/>
      <c r="CC289" s="356"/>
      <c r="CD289" s="356"/>
      <c r="CE289" s="356"/>
      <c r="CF289" s="356"/>
      <c r="CG289" s="356"/>
      <c r="CH289" s="356"/>
      <c r="CI289" s="356"/>
      <c r="CJ289" s="356"/>
      <c r="CK289" s="356"/>
      <c r="CL289" s="356"/>
      <c r="CM289" s="356"/>
      <c r="CN289" s="356"/>
      <c r="CO289" s="356"/>
      <c r="CP289" s="356"/>
      <c r="CQ289" s="356"/>
      <c r="CR289" s="356"/>
      <c r="CS289" s="356"/>
      <c r="CT289" s="356"/>
      <c r="CU289" s="356"/>
      <c r="CV289" s="356"/>
      <c r="CW289" s="356"/>
      <c r="CX289" s="356"/>
      <c r="CY289" s="356"/>
      <c r="CZ289" s="356"/>
      <c r="DA289" s="356"/>
      <c r="DB289" s="356"/>
      <c r="DC289" s="356"/>
      <c r="DD289" s="356"/>
      <c r="DE289" s="356"/>
      <c r="DF289" s="356"/>
      <c r="DG289" s="356"/>
      <c r="DH289" s="356"/>
      <c r="DI289" s="356"/>
      <c r="DJ289" s="356"/>
      <c r="DK289" s="356"/>
      <c r="DL289" s="356"/>
      <c r="DM289" s="356"/>
      <c r="DN289" s="356"/>
      <c r="DO289" s="356"/>
      <c r="DP289" s="356"/>
      <c r="DQ289" s="356"/>
      <c r="DR289" s="356"/>
      <c r="DS289" s="356"/>
      <c r="DT289" s="356"/>
      <c r="DU289" s="356"/>
      <c r="DV289" s="356"/>
      <c r="DW289" s="356"/>
      <c r="DX289" s="356"/>
      <c r="DY289" s="356"/>
      <c r="DZ289" s="356"/>
      <c r="EA289" s="356"/>
      <c r="EB289" s="356"/>
      <c r="EC289" s="356"/>
      <c r="ED289" s="356"/>
      <c r="EE289" s="356"/>
      <c r="EF289" s="356"/>
      <c r="EG289" s="356"/>
      <c r="EH289" s="356"/>
      <c r="EI289" s="356"/>
      <c r="EJ289" s="356"/>
      <c r="EK289" s="356"/>
      <c r="EL289" s="356"/>
      <c r="EM289" s="356"/>
      <c r="EN289" s="356"/>
      <c r="EO289" s="356"/>
      <c r="EP289" s="356"/>
      <c r="EQ289" s="356"/>
    </row>
    <row r="290" spans="1:147" ht="15" customHeight="1">
      <c r="A290" s="473"/>
      <c r="BB290" s="356"/>
      <c r="BC290" s="356"/>
      <c r="BD290" s="356"/>
      <c r="BE290" s="356"/>
      <c r="BF290" s="356"/>
      <c r="BG290" s="356"/>
      <c r="BH290" s="356"/>
      <c r="BI290" s="356"/>
      <c r="BJ290" s="356"/>
      <c r="BK290" s="356"/>
      <c r="BL290" s="356"/>
      <c r="BM290" s="356"/>
      <c r="BN290" s="356"/>
      <c r="BO290" s="356"/>
      <c r="BP290" s="356"/>
      <c r="BQ290" s="356"/>
      <c r="BR290" s="356"/>
      <c r="BS290" s="356"/>
      <c r="BT290" s="356"/>
      <c r="BU290" s="356"/>
      <c r="BV290" s="356"/>
      <c r="BW290" s="356"/>
      <c r="BX290" s="356"/>
      <c r="BY290" s="356"/>
      <c r="BZ290" s="356"/>
      <c r="CA290" s="356"/>
      <c r="CB290" s="356"/>
      <c r="CC290" s="356"/>
      <c r="CD290" s="356"/>
      <c r="CE290" s="356"/>
      <c r="CF290" s="356"/>
      <c r="CG290" s="356"/>
      <c r="CH290" s="356"/>
      <c r="CI290" s="356"/>
      <c r="CJ290" s="356"/>
      <c r="CK290" s="356"/>
      <c r="CL290" s="356"/>
      <c r="CM290" s="356"/>
      <c r="CN290" s="356"/>
      <c r="CO290" s="356"/>
      <c r="CP290" s="356"/>
      <c r="CQ290" s="356"/>
      <c r="CR290" s="356"/>
      <c r="CS290" s="356"/>
      <c r="CT290" s="356"/>
      <c r="CU290" s="356"/>
      <c r="CV290" s="356"/>
      <c r="CW290" s="356"/>
      <c r="CX290" s="356"/>
      <c r="CY290" s="356"/>
      <c r="CZ290" s="356"/>
      <c r="DA290" s="356"/>
      <c r="DB290" s="356"/>
      <c r="DC290" s="356"/>
      <c r="DD290" s="356"/>
      <c r="DE290" s="356"/>
      <c r="DF290" s="356"/>
      <c r="DG290" s="356"/>
      <c r="DH290" s="356"/>
      <c r="DI290" s="356"/>
      <c r="DJ290" s="356"/>
      <c r="DK290" s="356"/>
      <c r="DL290" s="356"/>
      <c r="DM290" s="356"/>
      <c r="DN290" s="356"/>
      <c r="DO290" s="356"/>
      <c r="DP290" s="356"/>
      <c r="DQ290" s="356"/>
      <c r="DR290" s="356"/>
      <c r="DS290" s="356"/>
      <c r="DT290" s="356"/>
      <c r="DU290" s="356"/>
      <c r="DV290" s="356"/>
      <c r="DW290" s="356"/>
      <c r="DX290" s="356"/>
      <c r="DY290" s="356"/>
      <c r="DZ290" s="356"/>
      <c r="EA290" s="356"/>
      <c r="EB290" s="356"/>
      <c r="EC290" s="356"/>
      <c r="ED290" s="356"/>
      <c r="EE290" s="356"/>
      <c r="EF290" s="356"/>
      <c r="EG290" s="356"/>
      <c r="EH290" s="356"/>
      <c r="EI290" s="356"/>
      <c r="EJ290" s="356"/>
      <c r="EK290" s="356"/>
      <c r="EL290" s="356"/>
      <c r="EM290" s="356"/>
      <c r="EN290" s="356"/>
      <c r="EO290" s="356"/>
      <c r="EP290" s="356"/>
      <c r="EQ290" s="356"/>
    </row>
    <row r="291" spans="1:147" ht="15" customHeight="1">
      <c r="A291" s="473"/>
      <c r="BB291" s="356"/>
      <c r="BC291" s="356"/>
      <c r="BD291" s="356"/>
      <c r="BE291" s="356"/>
      <c r="BF291" s="356"/>
      <c r="BG291" s="356"/>
      <c r="BH291" s="356"/>
      <c r="BI291" s="356"/>
      <c r="BJ291" s="356"/>
      <c r="BK291" s="356"/>
      <c r="BL291" s="356"/>
      <c r="BM291" s="356"/>
      <c r="BN291" s="356"/>
      <c r="BO291" s="356"/>
      <c r="BP291" s="356"/>
      <c r="BQ291" s="356"/>
      <c r="BR291" s="356"/>
      <c r="BS291" s="356"/>
      <c r="BT291" s="356"/>
      <c r="BU291" s="356"/>
      <c r="BV291" s="356"/>
      <c r="BW291" s="356"/>
      <c r="BX291" s="356"/>
      <c r="BY291" s="356"/>
      <c r="BZ291" s="356"/>
      <c r="CA291" s="356"/>
      <c r="CB291" s="356"/>
      <c r="CC291" s="356"/>
      <c r="CD291" s="356"/>
      <c r="CE291" s="356"/>
      <c r="CF291" s="356"/>
      <c r="CG291" s="356"/>
      <c r="CH291" s="356"/>
      <c r="CI291" s="356"/>
      <c r="CJ291" s="356"/>
      <c r="CK291" s="356"/>
      <c r="CL291" s="356"/>
      <c r="CM291" s="356"/>
      <c r="CN291" s="356"/>
      <c r="CO291" s="356"/>
      <c r="CP291" s="356"/>
      <c r="CQ291" s="356"/>
      <c r="CR291" s="356"/>
      <c r="CS291" s="356"/>
      <c r="CT291" s="356"/>
      <c r="CU291" s="356"/>
      <c r="CV291" s="356"/>
      <c r="CW291" s="356"/>
      <c r="CX291" s="356"/>
      <c r="CY291" s="356"/>
      <c r="CZ291" s="356"/>
      <c r="DA291" s="356"/>
      <c r="DB291" s="356"/>
      <c r="DC291" s="356"/>
      <c r="DD291" s="356"/>
      <c r="DE291" s="356"/>
      <c r="DF291" s="356"/>
      <c r="DG291" s="356"/>
      <c r="DH291" s="356"/>
      <c r="DI291" s="356"/>
      <c r="DJ291" s="356"/>
      <c r="DK291" s="356"/>
      <c r="DL291" s="356"/>
      <c r="DM291" s="356"/>
      <c r="DN291" s="356"/>
      <c r="DO291" s="356"/>
      <c r="DP291" s="356"/>
      <c r="DQ291" s="356"/>
      <c r="DR291" s="356"/>
      <c r="DS291" s="356"/>
      <c r="DT291" s="356"/>
      <c r="DU291" s="356"/>
      <c r="DV291" s="356"/>
      <c r="DW291" s="356"/>
      <c r="DX291" s="356"/>
      <c r="DY291" s="356"/>
      <c r="DZ291" s="356"/>
      <c r="EA291" s="356"/>
      <c r="EB291" s="356"/>
      <c r="EC291" s="356"/>
      <c r="ED291" s="356"/>
      <c r="EE291" s="356"/>
      <c r="EF291" s="356"/>
      <c r="EG291" s="356"/>
      <c r="EH291" s="356"/>
      <c r="EI291" s="356"/>
      <c r="EJ291" s="356"/>
      <c r="EK291" s="356"/>
      <c r="EL291" s="356"/>
      <c r="EM291" s="356"/>
      <c r="EN291" s="356"/>
      <c r="EO291" s="356"/>
      <c r="EP291" s="356"/>
      <c r="EQ291" s="356"/>
    </row>
    <row r="292" spans="1:147" ht="15" customHeight="1">
      <c r="A292" s="473"/>
      <c r="BB292" s="356"/>
      <c r="BC292" s="356"/>
      <c r="BD292" s="356"/>
      <c r="BE292" s="356"/>
      <c r="BF292" s="356"/>
      <c r="BG292" s="356"/>
      <c r="BH292" s="356"/>
      <c r="BI292" s="356"/>
      <c r="BJ292" s="356"/>
      <c r="BK292" s="356"/>
      <c r="BL292" s="356"/>
      <c r="BM292" s="356"/>
      <c r="BN292" s="356"/>
      <c r="BO292" s="356"/>
      <c r="BP292" s="356"/>
      <c r="BQ292" s="356"/>
      <c r="BR292" s="356"/>
      <c r="BS292" s="356"/>
      <c r="BT292" s="356"/>
      <c r="BU292" s="356"/>
      <c r="BV292" s="356"/>
      <c r="BW292" s="356"/>
      <c r="BX292" s="356"/>
      <c r="BY292" s="356"/>
      <c r="BZ292" s="356"/>
      <c r="CA292" s="356"/>
      <c r="CB292" s="356"/>
      <c r="CC292" s="356"/>
      <c r="CD292" s="356"/>
      <c r="CE292" s="356"/>
      <c r="CF292" s="356"/>
      <c r="CG292" s="356"/>
      <c r="CH292" s="356"/>
      <c r="CI292" s="356"/>
      <c r="CJ292" s="356"/>
      <c r="CK292" s="356"/>
      <c r="CL292" s="356"/>
      <c r="CM292" s="356"/>
      <c r="CN292" s="356"/>
      <c r="CO292" s="356"/>
      <c r="CP292" s="356"/>
      <c r="CQ292" s="356"/>
      <c r="CR292" s="356"/>
      <c r="CS292" s="356"/>
      <c r="CT292" s="356"/>
      <c r="CU292" s="356"/>
      <c r="CV292" s="356"/>
      <c r="CW292" s="356"/>
      <c r="CX292" s="356"/>
      <c r="CY292" s="356"/>
      <c r="CZ292" s="356"/>
      <c r="DA292" s="356"/>
      <c r="DB292" s="356"/>
      <c r="DC292" s="356"/>
      <c r="DD292" s="356"/>
      <c r="DE292" s="356"/>
      <c r="DF292" s="356"/>
      <c r="DG292" s="356"/>
      <c r="DH292" s="356"/>
      <c r="DI292" s="356"/>
      <c r="DJ292" s="356"/>
      <c r="DK292" s="356"/>
      <c r="DL292" s="356"/>
      <c r="DM292" s="356"/>
      <c r="DN292" s="356"/>
      <c r="DO292" s="356"/>
      <c r="DP292" s="356"/>
      <c r="DQ292" s="356"/>
      <c r="DR292" s="356"/>
      <c r="DS292" s="356"/>
      <c r="DT292" s="356"/>
      <c r="DU292" s="356"/>
      <c r="DV292" s="356"/>
      <c r="DW292" s="356"/>
      <c r="DX292" s="356"/>
      <c r="DY292" s="356"/>
      <c r="DZ292" s="356"/>
      <c r="EA292" s="356"/>
      <c r="EB292" s="356"/>
      <c r="EC292" s="356"/>
      <c r="ED292" s="356"/>
      <c r="EE292" s="356"/>
      <c r="EF292" s="356"/>
      <c r="EG292" s="356"/>
      <c r="EH292" s="356"/>
      <c r="EI292" s="356"/>
      <c r="EJ292" s="356"/>
      <c r="EK292" s="356"/>
      <c r="EL292" s="356"/>
      <c r="EM292" s="356"/>
      <c r="EN292" s="356"/>
      <c r="EO292" s="356"/>
      <c r="EP292" s="356"/>
      <c r="EQ292" s="356"/>
    </row>
    <row r="293" spans="1:147" ht="15" customHeight="1">
      <c r="A293" s="473"/>
      <c r="BB293" s="356"/>
      <c r="BC293" s="356"/>
      <c r="BD293" s="356"/>
      <c r="BE293" s="356"/>
      <c r="BF293" s="356"/>
      <c r="BG293" s="356"/>
      <c r="BH293" s="356"/>
      <c r="BI293" s="356"/>
      <c r="BJ293" s="356"/>
      <c r="BK293" s="356"/>
      <c r="BL293" s="356"/>
      <c r="BM293" s="356"/>
      <c r="BN293" s="356"/>
      <c r="BO293" s="356"/>
      <c r="BP293" s="356"/>
      <c r="BQ293" s="356"/>
      <c r="BR293" s="356"/>
      <c r="BS293" s="356"/>
      <c r="BT293" s="356"/>
      <c r="BU293" s="356"/>
      <c r="BV293" s="356"/>
      <c r="BW293" s="356"/>
      <c r="BX293" s="356"/>
      <c r="BY293" s="356"/>
      <c r="BZ293" s="356"/>
      <c r="CA293" s="356"/>
      <c r="CB293" s="356"/>
      <c r="CC293" s="356"/>
      <c r="CD293" s="356"/>
      <c r="CE293" s="356"/>
      <c r="CF293" s="356"/>
      <c r="CG293" s="356"/>
      <c r="CH293" s="356"/>
      <c r="CI293" s="356"/>
      <c r="CJ293" s="356"/>
      <c r="CK293" s="356"/>
      <c r="CL293" s="356"/>
      <c r="CM293" s="356"/>
      <c r="CN293" s="356"/>
      <c r="CO293" s="356"/>
      <c r="CP293" s="356"/>
      <c r="CQ293" s="356"/>
      <c r="CR293" s="356"/>
      <c r="CS293" s="356"/>
      <c r="CT293" s="356"/>
      <c r="CU293" s="356"/>
      <c r="CV293" s="356"/>
      <c r="CW293" s="356"/>
      <c r="CX293" s="356"/>
      <c r="CY293" s="356"/>
      <c r="CZ293" s="356"/>
      <c r="DA293" s="356"/>
      <c r="DB293" s="356"/>
      <c r="DC293" s="356"/>
      <c r="DD293" s="356"/>
      <c r="DE293" s="356"/>
      <c r="DF293" s="356"/>
      <c r="DG293" s="356"/>
      <c r="DH293" s="356"/>
      <c r="DI293" s="356"/>
      <c r="DJ293" s="356"/>
      <c r="DK293" s="356"/>
      <c r="DL293" s="356"/>
      <c r="DM293" s="356"/>
      <c r="DN293" s="356"/>
      <c r="DO293" s="356"/>
      <c r="DP293" s="356"/>
      <c r="DQ293" s="356"/>
      <c r="DR293" s="356"/>
      <c r="DS293" s="356"/>
      <c r="DT293" s="356"/>
      <c r="DU293" s="356"/>
      <c r="DV293" s="356"/>
      <c r="DW293" s="356"/>
      <c r="DX293" s="356"/>
      <c r="DY293" s="356"/>
      <c r="DZ293" s="356"/>
      <c r="EA293" s="356"/>
      <c r="EB293" s="356"/>
      <c r="EC293" s="356"/>
      <c r="ED293" s="356"/>
      <c r="EE293" s="356"/>
      <c r="EF293" s="356"/>
      <c r="EG293" s="356"/>
      <c r="EH293" s="356"/>
      <c r="EI293" s="356"/>
      <c r="EJ293" s="356"/>
      <c r="EK293" s="356"/>
      <c r="EL293" s="356"/>
      <c r="EM293" s="356"/>
      <c r="EN293" s="356"/>
      <c r="EO293" s="356"/>
      <c r="EP293" s="356"/>
      <c r="EQ293" s="356"/>
    </row>
    <row r="294" spans="1:147" ht="15" customHeight="1">
      <c r="A294" s="473"/>
      <c r="BB294" s="356"/>
      <c r="BC294" s="356"/>
      <c r="BD294" s="356"/>
      <c r="BE294" s="356"/>
      <c r="BF294" s="356"/>
      <c r="BG294" s="356"/>
      <c r="BH294" s="356"/>
      <c r="BI294" s="356"/>
      <c r="BJ294" s="356"/>
      <c r="BK294" s="356"/>
      <c r="BL294" s="356"/>
      <c r="BM294" s="356"/>
      <c r="BN294" s="356"/>
      <c r="BO294" s="356"/>
      <c r="BP294" s="356"/>
      <c r="BQ294" s="356"/>
      <c r="BR294" s="356"/>
      <c r="BS294" s="356"/>
      <c r="BT294" s="356"/>
      <c r="BU294" s="356"/>
      <c r="BV294" s="356"/>
      <c r="BW294" s="356"/>
      <c r="BX294" s="356"/>
      <c r="BY294" s="356"/>
      <c r="BZ294" s="356"/>
      <c r="CA294" s="356"/>
      <c r="CB294" s="356"/>
      <c r="CC294" s="356"/>
      <c r="CD294" s="356"/>
      <c r="CE294" s="356"/>
      <c r="CF294" s="356"/>
      <c r="CG294" s="356"/>
      <c r="CH294" s="356"/>
      <c r="CI294" s="356"/>
      <c r="CJ294" s="356"/>
      <c r="CK294" s="356"/>
      <c r="CL294" s="356"/>
      <c r="CM294" s="356"/>
      <c r="CN294" s="356"/>
      <c r="CO294" s="356"/>
      <c r="CP294" s="356"/>
      <c r="CQ294" s="356"/>
      <c r="CR294" s="356"/>
      <c r="CS294" s="356"/>
      <c r="CT294" s="356"/>
      <c r="CU294" s="356"/>
      <c r="CV294" s="356"/>
      <c r="CW294" s="356"/>
      <c r="CX294" s="356"/>
      <c r="CY294" s="356"/>
      <c r="CZ294" s="356"/>
      <c r="DA294" s="356"/>
      <c r="DB294" s="356"/>
      <c r="DC294" s="356"/>
      <c r="DD294" s="356"/>
      <c r="DE294" s="356"/>
      <c r="DF294" s="356"/>
      <c r="DG294" s="356"/>
      <c r="DH294" s="356"/>
      <c r="DI294" s="356"/>
      <c r="DJ294" s="356"/>
      <c r="DK294" s="356"/>
      <c r="DL294" s="356"/>
      <c r="DM294" s="356"/>
      <c r="DN294" s="356"/>
      <c r="DO294" s="356"/>
      <c r="DP294" s="356"/>
      <c r="DQ294" s="356"/>
      <c r="DR294" s="356"/>
      <c r="DS294" s="356"/>
      <c r="DT294" s="356"/>
      <c r="DU294" s="356"/>
      <c r="DV294" s="356"/>
      <c r="DW294" s="356"/>
      <c r="DX294" s="356"/>
      <c r="DY294" s="356"/>
      <c r="DZ294" s="356"/>
      <c r="EA294" s="356"/>
      <c r="EB294" s="356"/>
      <c r="EC294" s="356"/>
      <c r="ED294" s="356"/>
      <c r="EE294" s="356"/>
      <c r="EF294" s="356"/>
      <c r="EG294" s="356"/>
      <c r="EH294" s="356"/>
      <c r="EI294" s="356"/>
      <c r="EJ294" s="356"/>
      <c r="EK294" s="356"/>
      <c r="EL294" s="356"/>
      <c r="EM294" s="356"/>
      <c r="EN294" s="356"/>
      <c r="EO294" s="356"/>
      <c r="EP294" s="356"/>
      <c r="EQ294" s="356"/>
    </row>
    <row r="295" spans="1:147" ht="15" customHeight="1">
      <c r="A295" s="473"/>
      <c r="BB295" s="356"/>
      <c r="BC295" s="356"/>
      <c r="BD295" s="356"/>
      <c r="BE295" s="356"/>
      <c r="BF295" s="356"/>
      <c r="BG295" s="356"/>
      <c r="BH295" s="356"/>
      <c r="BI295" s="356"/>
      <c r="BJ295" s="356"/>
      <c r="BK295" s="356"/>
      <c r="BL295" s="356"/>
      <c r="BM295" s="356"/>
      <c r="BN295" s="356"/>
      <c r="BO295" s="356"/>
      <c r="BP295" s="356"/>
      <c r="BQ295" s="356"/>
      <c r="BR295" s="356"/>
      <c r="BS295" s="356"/>
      <c r="BT295" s="356"/>
      <c r="BU295" s="356"/>
      <c r="BV295" s="356"/>
      <c r="BW295" s="356"/>
      <c r="BX295" s="356"/>
      <c r="BY295" s="356"/>
      <c r="BZ295" s="356"/>
      <c r="CA295" s="356"/>
      <c r="CB295" s="356"/>
      <c r="CC295" s="356"/>
      <c r="CD295" s="356"/>
      <c r="CE295" s="356"/>
      <c r="CF295" s="356"/>
      <c r="CG295" s="356"/>
      <c r="CH295" s="356"/>
      <c r="CI295" s="356"/>
      <c r="CJ295" s="356"/>
      <c r="CK295" s="356"/>
      <c r="CL295" s="356"/>
      <c r="CM295" s="356"/>
      <c r="CN295" s="356"/>
      <c r="CO295" s="356"/>
      <c r="CP295" s="356"/>
      <c r="CQ295" s="356"/>
      <c r="CR295" s="356"/>
      <c r="CS295" s="356"/>
      <c r="CT295" s="356"/>
      <c r="CU295" s="356"/>
      <c r="CV295" s="356"/>
      <c r="CW295" s="356"/>
      <c r="CX295" s="356"/>
      <c r="CY295" s="356"/>
      <c r="CZ295" s="356"/>
      <c r="DA295" s="356"/>
      <c r="DB295" s="356"/>
      <c r="DC295" s="356"/>
      <c r="DD295" s="356"/>
      <c r="DE295" s="356"/>
      <c r="DF295" s="356"/>
      <c r="DG295" s="356"/>
      <c r="DH295" s="356"/>
      <c r="DI295" s="356"/>
      <c r="DJ295" s="356"/>
      <c r="DK295" s="356"/>
      <c r="DL295" s="356"/>
      <c r="DM295" s="356"/>
      <c r="DN295" s="356"/>
      <c r="DO295" s="356"/>
      <c r="DP295" s="356"/>
      <c r="DQ295" s="356"/>
      <c r="DR295" s="356"/>
      <c r="DS295" s="356"/>
      <c r="DT295" s="356"/>
      <c r="DU295" s="356"/>
      <c r="DV295" s="356"/>
      <c r="DW295" s="356"/>
      <c r="DX295" s="356"/>
      <c r="DY295" s="356"/>
      <c r="DZ295" s="356"/>
      <c r="EA295" s="356"/>
      <c r="EB295" s="356"/>
      <c r="EC295" s="356"/>
      <c r="ED295" s="356"/>
      <c r="EE295" s="356"/>
      <c r="EF295" s="356"/>
      <c r="EG295" s="356"/>
      <c r="EH295" s="356"/>
      <c r="EI295" s="356"/>
      <c r="EJ295" s="356"/>
      <c r="EK295" s="356"/>
      <c r="EL295" s="356"/>
      <c r="EM295" s="356"/>
      <c r="EN295" s="356"/>
      <c r="EO295" s="356"/>
      <c r="EP295" s="356"/>
      <c r="EQ295" s="356"/>
    </row>
    <row r="296" spans="1:147" ht="15" customHeight="1">
      <c r="A296" s="473"/>
      <c r="BB296" s="356"/>
      <c r="BC296" s="356"/>
      <c r="BD296" s="356"/>
      <c r="BE296" s="356"/>
      <c r="BF296" s="356"/>
      <c r="BG296" s="356"/>
      <c r="BH296" s="356"/>
      <c r="BI296" s="356"/>
      <c r="BJ296" s="356"/>
      <c r="BK296" s="356"/>
      <c r="BL296" s="356"/>
      <c r="BM296" s="356"/>
      <c r="BN296" s="356"/>
      <c r="BO296" s="356"/>
      <c r="BP296" s="356"/>
      <c r="BQ296" s="356"/>
      <c r="BR296" s="356"/>
      <c r="BS296" s="356"/>
      <c r="BT296" s="356"/>
      <c r="BU296" s="356"/>
      <c r="BV296" s="356"/>
      <c r="BW296" s="356"/>
      <c r="BX296" s="356"/>
      <c r="BY296" s="356"/>
      <c r="BZ296" s="356"/>
      <c r="CA296" s="356"/>
      <c r="CB296" s="356"/>
      <c r="CC296" s="356"/>
      <c r="CD296" s="356"/>
      <c r="CE296" s="356"/>
      <c r="CF296" s="356"/>
      <c r="CG296" s="356"/>
      <c r="CH296" s="356"/>
      <c r="CI296" s="356"/>
      <c r="CJ296" s="356"/>
      <c r="CK296" s="356"/>
      <c r="CL296" s="356"/>
      <c r="CM296" s="356"/>
      <c r="CN296" s="356"/>
      <c r="CO296" s="356"/>
      <c r="CP296" s="356"/>
      <c r="CQ296" s="356"/>
      <c r="CR296" s="356"/>
      <c r="CS296" s="356"/>
      <c r="CT296" s="356"/>
      <c r="CU296" s="356"/>
      <c r="CV296" s="356"/>
      <c r="CW296" s="356"/>
      <c r="CX296" s="356"/>
      <c r="CY296" s="356"/>
      <c r="CZ296" s="356"/>
      <c r="DA296" s="356"/>
      <c r="DB296" s="356"/>
      <c r="DC296" s="356"/>
      <c r="DD296" s="356"/>
      <c r="DE296" s="356"/>
      <c r="DF296" s="356"/>
      <c r="DG296" s="356"/>
      <c r="DH296" s="356"/>
      <c r="DI296" s="356"/>
      <c r="DJ296" s="356"/>
      <c r="DK296" s="356"/>
      <c r="DL296" s="356"/>
      <c r="DM296" s="356"/>
      <c r="DN296" s="356"/>
      <c r="DO296" s="356"/>
      <c r="DP296" s="356"/>
      <c r="DQ296" s="356"/>
      <c r="DR296" s="356"/>
      <c r="DS296" s="356"/>
      <c r="DT296" s="356"/>
      <c r="DU296" s="356"/>
      <c r="DV296" s="356"/>
      <c r="DW296" s="356"/>
      <c r="DX296" s="356"/>
      <c r="DY296" s="356"/>
      <c r="DZ296" s="356"/>
      <c r="EA296" s="356"/>
      <c r="EB296" s="356"/>
      <c r="EC296" s="356"/>
      <c r="ED296" s="356"/>
      <c r="EE296" s="356"/>
      <c r="EF296" s="356"/>
      <c r="EG296" s="356"/>
      <c r="EH296" s="356"/>
      <c r="EI296" s="356"/>
      <c r="EJ296" s="356"/>
      <c r="EK296" s="356"/>
      <c r="EL296" s="356"/>
      <c r="EM296" s="356"/>
      <c r="EN296" s="356"/>
      <c r="EO296" s="356"/>
      <c r="EP296" s="356"/>
      <c r="EQ296" s="356"/>
    </row>
    <row r="297" spans="1:147" ht="15" customHeight="1">
      <c r="A297" s="473"/>
      <c r="BB297" s="356"/>
      <c r="BC297" s="356"/>
      <c r="BD297" s="356"/>
      <c r="BE297" s="356"/>
      <c r="BF297" s="356"/>
      <c r="BG297" s="356"/>
      <c r="BH297" s="356"/>
      <c r="BI297" s="356"/>
      <c r="BJ297" s="356"/>
      <c r="BK297" s="356"/>
      <c r="BL297" s="356"/>
      <c r="BM297" s="356"/>
      <c r="BN297" s="356"/>
      <c r="BO297" s="356"/>
      <c r="BP297" s="356"/>
      <c r="BQ297" s="356"/>
      <c r="BR297" s="356"/>
      <c r="BS297" s="356"/>
      <c r="BT297" s="356"/>
      <c r="BU297" s="356"/>
      <c r="BV297" s="356"/>
      <c r="BW297" s="356"/>
      <c r="BX297" s="356"/>
      <c r="BY297" s="356"/>
      <c r="BZ297" s="356"/>
      <c r="CA297" s="356"/>
      <c r="CB297" s="356"/>
      <c r="CC297" s="356"/>
      <c r="CD297" s="356"/>
      <c r="CE297" s="356"/>
      <c r="CF297" s="356"/>
      <c r="CG297" s="356"/>
      <c r="CH297" s="356"/>
      <c r="CI297" s="356"/>
      <c r="CJ297" s="356"/>
      <c r="CK297" s="356"/>
      <c r="CL297" s="356"/>
      <c r="CM297" s="356"/>
      <c r="CN297" s="356"/>
      <c r="CO297" s="356"/>
      <c r="CP297" s="356"/>
      <c r="CQ297" s="356"/>
      <c r="CR297" s="356"/>
      <c r="CS297" s="356"/>
      <c r="CT297" s="356"/>
      <c r="CU297" s="356"/>
      <c r="CV297" s="356"/>
      <c r="CW297" s="356"/>
      <c r="CX297" s="356"/>
      <c r="CY297" s="356"/>
      <c r="CZ297" s="356"/>
      <c r="DA297" s="356"/>
      <c r="DB297" s="356"/>
      <c r="DC297" s="356"/>
      <c r="DD297" s="356"/>
      <c r="DE297" s="356"/>
      <c r="DF297" s="356"/>
      <c r="DG297" s="356"/>
      <c r="DH297" s="356"/>
      <c r="DI297" s="356"/>
      <c r="DJ297" s="356"/>
      <c r="DK297" s="356"/>
      <c r="DL297" s="356"/>
      <c r="DM297" s="356"/>
      <c r="DN297" s="356"/>
      <c r="DO297" s="356"/>
      <c r="DP297" s="356"/>
      <c r="DQ297" s="356"/>
      <c r="DR297" s="356"/>
      <c r="DS297" s="356"/>
      <c r="DT297" s="356"/>
      <c r="DU297" s="356"/>
      <c r="DV297" s="356"/>
      <c r="DW297" s="356"/>
      <c r="DX297" s="356"/>
      <c r="DY297" s="356"/>
      <c r="DZ297" s="356"/>
      <c r="EA297" s="356"/>
      <c r="EB297" s="356"/>
      <c r="EC297" s="356"/>
      <c r="ED297" s="356"/>
      <c r="EE297" s="356"/>
      <c r="EF297" s="356"/>
      <c r="EG297" s="356"/>
      <c r="EH297" s="356"/>
      <c r="EI297" s="356"/>
      <c r="EJ297" s="356"/>
      <c r="EK297" s="356"/>
      <c r="EL297" s="356"/>
      <c r="EM297" s="356"/>
      <c r="EN297" s="356"/>
      <c r="EO297" s="356"/>
      <c r="EP297" s="356"/>
      <c r="EQ297" s="356"/>
    </row>
    <row r="298" spans="1:147" ht="15" customHeight="1">
      <c r="A298" s="473"/>
      <c r="BB298" s="356"/>
      <c r="BC298" s="356"/>
      <c r="BD298" s="356"/>
      <c r="BE298" s="356"/>
      <c r="BF298" s="356"/>
      <c r="BG298" s="356"/>
      <c r="BH298" s="356"/>
      <c r="BI298" s="356"/>
      <c r="BJ298" s="356"/>
      <c r="BK298" s="356"/>
      <c r="BL298" s="356"/>
      <c r="BM298" s="356"/>
      <c r="BN298" s="356"/>
      <c r="BO298" s="356"/>
      <c r="BP298" s="356"/>
      <c r="BQ298" s="356"/>
      <c r="BR298" s="356"/>
      <c r="BS298" s="356"/>
      <c r="BT298" s="356"/>
      <c r="BU298" s="356"/>
      <c r="BV298" s="356"/>
      <c r="BW298" s="356"/>
      <c r="BX298" s="356"/>
      <c r="BY298" s="356"/>
      <c r="BZ298" s="356"/>
      <c r="CA298" s="356"/>
      <c r="CB298" s="356"/>
      <c r="CC298" s="356"/>
      <c r="CD298" s="356"/>
      <c r="CE298" s="356"/>
      <c r="CF298" s="356"/>
      <c r="CG298" s="356"/>
      <c r="CH298" s="356"/>
      <c r="CI298" s="356"/>
      <c r="CJ298" s="356"/>
      <c r="CK298" s="356"/>
      <c r="CL298" s="356"/>
      <c r="CM298" s="356"/>
      <c r="CN298" s="356"/>
      <c r="CO298" s="356"/>
      <c r="CP298" s="356"/>
      <c r="CQ298" s="356"/>
      <c r="CR298" s="356"/>
      <c r="CS298" s="356"/>
      <c r="CT298" s="356"/>
      <c r="CU298" s="356"/>
      <c r="CV298" s="356"/>
      <c r="CW298" s="356"/>
      <c r="CX298" s="356"/>
      <c r="CY298" s="356"/>
      <c r="CZ298" s="356"/>
      <c r="DA298" s="356"/>
      <c r="DB298" s="356"/>
      <c r="DC298" s="356"/>
      <c r="DD298" s="356"/>
      <c r="DE298" s="356"/>
      <c r="DF298" s="356"/>
      <c r="DG298" s="356"/>
      <c r="DH298" s="356"/>
      <c r="DI298" s="356"/>
      <c r="DJ298" s="356"/>
      <c r="DK298" s="356"/>
      <c r="DL298" s="356"/>
      <c r="DM298" s="356"/>
      <c r="DN298" s="356"/>
      <c r="DO298" s="356"/>
      <c r="DP298" s="356"/>
      <c r="DQ298" s="356"/>
      <c r="DR298" s="356"/>
      <c r="DS298" s="356"/>
      <c r="DT298" s="356"/>
      <c r="DU298" s="356"/>
      <c r="DV298" s="356"/>
      <c r="DW298" s="356"/>
      <c r="DX298" s="356"/>
      <c r="DY298" s="356"/>
      <c r="DZ298" s="356"/>
      <c r="EA298" s="356"/>
      <c r="EB298" s="356"/>
      <c r="EC298" s="356"/>
      <c r="ED298" s="356"/>
      <c r="EE298" s="356"/>
      <c r="EF298" s="356"/>
      <c r="EG298" s="356"/>
      <c r="EH298" s="356"/>
      <c r="EI298" s="356"/>
      <c r="EJ298" s="356"/>
      <c r="EK298" s="356"/>
      <c r="EL298" s="356"/>
      <c r="EM298" s="356"/>
      <c r="EN298" s="356"/>
      <c r="EO298" s="356"/>
      <c r="EP298" s="356"/>
      <c r="EQ298" s="356"/>
    </row>
    <row r="299" spans="1:147" ht="15" customHeight="1">
      <c r="A299" s="473"/>
      <c r="BB299" s="356"/>
      <c r="BC299" s="356"/>
      <c r="BD299" s="356"/>
      <c r="BE299" s="356"/>
      <c r="BF299" s="356"/>
      <c r="BG299" s="356"/>
      <c r="BH299" s="356"/>
      <c r="BI299" s="356"/>
      <c r="BJ299" s="356"/>
      <c r="BK299" s="356"/>
      <c r="BL299" s="356"/>
      <c r="BM299" s="356"/>
      <c r="BN299" s="356"/>
      <c r="BO299" s="356"/>
      <c r="BP299" s="356"/>
      <c r="BQ299" s="356"/>
      <c r="BR299" s="356"/>
      <c r="BS299" s="356"/>
      <c r="BT299" s="356"/>
      <c r="BU299" s="356"/>
      <c r="BV299" s="356"/>
      <c r="BW299" s="356"/>
      <c r="BX299" s="356"/>
      <c r="BY299" s="356"/>
      <c r="BZ299" s="356"/>
      <c r="CA299" s="356"/>
      <c r="CB299" s="356"/>
      <c r="CC299" s="356"/>
      <c r="CD299" s="356"/>
      <c r="CE299" s="356"/>
      <c r="CF299" s="356"/>
      <c r="CG299" s="356"/>
      <c r="CH299" s="356"/>
      <c r="CI299" s="356"/>
      <c r="CJ299" s="356"/>
      <c r="CK299" s="356"/>
      <c r="CL299" s="356"/>
      <c r="CM299" s="356"/>
      <c r="CN299" s="356"/>
      <c r="CO299" s="356"/>
      <c r="CP299" s="356"/>
      <c r="CQ299" s="356"/>
      <c r="CR299" s="356"/>
      <c r="CS299" s="356"/>
      <c r="CT299" s="356"/>
      <c r="CU299" s="356"/>
      <c r="CV299" s="356"/>
      <c r="CW299" s="356"/>
      <c r="CX299" s="356"/>
      <c r="CY299" s="356"/>
      <c r="CZ299" s="356"/>
      <c r="DA299" s="356"/>
      <c r="DB299" s="356"/>
      <c r="DC299" s="356"/>
      <c r="DD299" s="356"/>
      <c r="DE299" s="356"/>
      <c r="DF299" s="356"/>
      <c r="DG299" s="356"/>
      <c r="DH299" s="356"/>
      <c r="DI299" s="356"/>
      <c r="DJ299" s="356"/>
      <c r="DK299" s="356"/>
      <c r="DL299" s="356"/>
      <c r="DM299" s="356"/>
      <c r="DN299" s="356"/>
      <c r="DO299" s="356"/>
      <c r="DP299" s="356"/>
      <c r="DQ299" s="356"/>
      <c r="DR299" s="356"/>
      <c r="DS299" s="356"/>
      <c r="DT299" s="356"/>
      <c r="DU299" s="356"/>
      <c r="DV299" s="356"/>
      <c r="DW299" s="356"/>
      <c r="DX299" s="356"/>
      <c r="DY299" s="356"/>
      <c r="DZ299" s="356"/>
      <c r="EA299" s="356"/>
      <c r="EB299" s="356"/>
      <c r="EC299" s="356"/>
      <c r="ED299" s="356"/>
      <c r="EE299" s="356"/>
      <c r="EF299" s="356"/>
      <c r="EG299" s="356"/>
      <c r="EH299" s="356"/>
      <c r="EI299" s="356"/>
      <c r="EJ299" s="356"/>
      <c r="EK299" s="356"/>
      <c r="EL299" s="356"/>
      <c r="EM299" s="356"/>
      <c r="EN299" s="356"/>
      <c r="EO299" s="356"/>
      <c r="EP299" s="356"/>
      <c r="EQ299" s="356"/>
    </row>
    <row r="300" spans="1:147" ht="15" customHeight="1">
      <c r="A300" s="473"/>
      <c r="BB300" s="356"/>
      <c r="BC300" s="356"/>
      <c r="BD300" s="356"/>
      <c r="BE300" s="356"/>
      <c r="BF300" s="356"/>
      <c r="BG300" s="356"/>
      <c r="BH300" s="356"/>
      <c r="BI300" s="356"/>
      <c r="BJ300" s="356"/>
      <c r="BK300" s="356"/>
      <c r="BL300" s="356"/>
      <c r="BM300" s="356"/>
      <c r="BN300" s="356"/>
      <c r="BO300" s="356"/>
      <c r="BP300" s="356"/>
      <c r="BQ300" s="356"/>
      <c r="BR300" s="356"/>
      <c r="BS300" s="356"/>
      <c r="BT300" s="356"/>
      <c r="BU300" s="356"/>
      <c r="BV300" s="356"/>
      <c r="BW300" s="356"/>
      <c r="BX300" s="356"/>
      <c r="BY300" s="356"/>
      <c r="BZ300" s="356"/>
      <c r="CA300" s="356"/>
      <c r="CB300" s="356"/>
      <c r="CC300" s="356"/>
      <c r="CD300" s="356"/>
      <c r="CE300" s="356"/>
      <c r="CF300" s="356"/>
      <c r="CG300" s="356"/>
      <c r="CH300" s="356"/>
      <c r="CI300" s="356"/>
      <c r="CJ300" s="356"/>
      <c r="CK300" s="356"/>
      <c r="CL300" s="356"/>
      <c r="CM300" s="356"/>
      <c r="CN300" s="356"/>
      <c r="CO300" s="356"/>
      <c r="CP300" s="356"/>
      <c r="CQ300" s="356"/>
      <c r="CR300" s="356"/>
      <c r="CS300" s="356"/>
      <c r="CT300" s="356"/>
      <c r="CU300" s="356"/>
      <c r="CV300" s="356"/>
      <c r="CW300" s="356"/>
      <c r="CX300" s="356"/>
      <c r="CY300" s="356"/>
      <c r="CZ300" s="356"/>
      <c r="DA300" s="356"/>
      <c r="DB300" s="356"/>
      <c r="DC300" s="356"/>
      <c r="DD300" s="356"/>
      <c r="DE300" s="356"/>
      <c r="DF300" s="356"/>
      <c r="DG300" s="356"/>
      <c r="DH300" s="356"/>
      <c r="DI300" s="356"/>
      <c r="DJ300" s="356"/>
      <c r="DK300" s="356"/>
      <c r="DL300" s="356"/>
      <c r="DM300" s="356"/>
      <c r="DN300" s="356"/>
      <c r="DO300" s="356"/>
      <c r="DP300" s="356"/>
      <c r="DQ300" s="356"/>
      <c r="DR300" s="356"/>
      <c r="DS300" s="356"/>
      <c r="DT300" s="356"/>
      <c r="DU300" s="356"/>
      <c r="DV300" s="356"/>
      <c r="DW300" s="356"/>
      <c r="DX300" s="356"/>
      <c r="DY300" s="356"/>
      <c r="DZ300" s="356"/>
      <c r="EA300" s="356"/>
      <c r="EB300" s="356"/>
      <c r="EC300" s="356"/>
      <c r="ED300" s="356"/>
      <c r="EE300" s="356"/>
      <c r="EF300" s="356"/>
      <c r="EG300" s="356"/>
      <c r="EH300" s="356"/>
      <c r="EI300" s="356"/>
      <c r="EJ300" s="356"/>
      <c r="EK300" s="356"/>
      <c r="EL300" s="356"/>
      <c r="EM300" s="356"/>
      <c r="EN300" s="356"/>
      <c r="EO300" s="356"/>
      <c r="EP300" s="356"/>
      <c r="EQ300" s="356"/>
    </row>
    <row r="301" spans="1:147" ht="15" customHeight="1">
      <c r="A301" s="473"/>
      <c r="BB301" s="356"/>
      <c r="BC301" s="356"/>
      <c r="BD301" s="356"/>
      <c r="BE301" s="356"/>
      <c r="BF301" s="356"/>
      <c r="BG301" s="356"/>
      <c r="BH301" s="356"/>
      <c r="BI301" s="356"/>
      <c r="BJ301" s="356"/>
      <c r="BK301" s="356"/>
      <c r="BL301" s="356"/>
      <c r="BM301" s="356"/>
      <c r="BN301" s="356"/>
      <c r="BO301" s="356"/>
      <c r="BP301" s="356"/>
      <c r="BQ301" s="356"/>
      <c r="BR301" s="356"/>
      <c r="BS301" s="356"/>
      <c r="BT301" s="356"/>
      <c r="BU301" s="356"/>
      <c r="BV301" s="356"/>
      <c r="BW301" s="356"/>
      <c r="BX301" s="356"/>
      <c r="BY301" s="356"/>
      <c r="BZ301" s="356"/>
      <c r="CA301" s="356"/>
      <c r="CB301" s="356"/>
      <c r="CC301" s="356"/>
      <c r="CD301" s="356"/>
      <c r="CE301" s="356"/>
      <c r="CF301" s="356"/>
      <c r="CG301" s="356"/>
      <c r="CH301" s="356"/>
      <c r="CI301" s="356"/>
      <c r="CJ301" s="356"/>
      <c r="CK301" s="356"/>
      <c r="CL301" s="356"/>
      <c r="CM301" s="356"/>
      <c r="CN301" s="356"/>
      <c r="CO301" s="356"/>
      <c r="CP301" s="356"/>
      <c r="CQ301" s="356"/>
      <c r="CR301" s="356"/>
      <c r="CS301" s="356"/>
      <c r="CT301" s="356"/>
      <c r="CU301" s="356"/>
      <c r="CV301" s="356"/>
      <c r="CW301" s="356"/>
      <c r="CX301" s="356"/>
      <c r="CY301" s="356"/>
      <c r="CZ301" s="356"/>
      <c r="DA301" s="356"/>
      <c r="DB301" s="356"/>
      <c r="DC301" s="356"/>
      <c r="DD301" s="356"/>
      <c r="DE301" s="356"/>
      <c r="DF301" s="356"/>
      <c r="DG301" s="356"/>
      <c r="DH301" s="356"/>
      <c r="DI301" s="356"/>
      <c r="DJ301" s="356"/>
      <c r="DK301" s="356"/>
      <c r="DL301" s="356"/>
      <c r="DM301" s="356"/>
      <c r="DN301" s="356"/>
      <c r="DO301" s="356"/>
      <c r="DP301" s="356"/>
      <c r="DQ301" s="356"/>
      <c r="DR301" s="356"/>
      <c r="DS301" s="356"/>
      <c r="DT301" s="356"/>
      <c r="DU301" s="356"/>
      <c r="DV301" s="356"/>
      <c r="DW301" s="356"/>
      <c r="DX301" s="356"/>
      <c r="DY301" s="356"/>
      <c r="DZ301" s="356"/>
      <c r="EA301" s="356"/>
      <c r="EB301" s="356"/>
      <c r="EC301" s="356"/>
      <c r="ED301" s="356"/>
      <c r="EE301" s="356"/>
      <c r="EF301" s="356"/>
      <c r="EG301" s="356"/>
      <c r="EH301" s="356"/>
      <c r="EI301" s="356"/>
      <c r="EJ301" s="356"/>
      <c r="EK301" s="356"/>
      <c r="EL301" s="356"/>
      <c r="EM301" s="356"/>
      <c r="EN301" s="356"/>
      <c r="EO301" s="356"/>
      <c r="EP301" s="356"/>
      <c r="EQ301" s="356"/>
    </row>
    <row r="302" spans="1:147" ht="15" customHeight="1">
      <c r="A302" s="473"/>
      <c r="BB302" s="356"/>
      <c r="BC302" s="356"/>
      <c r="BD302" s="356"/>
      <c r="BE302" s="356"/>
      <c r="BF302" s="356"/>
      <c r="BG302" s="356"/>
      <c r="BH302" s="356"/>
      <c r="BI302" s="356"/>
      <c r="BJ302" s="356"/>
      <c r="BK302" s="356"/>
      <c r="BL302" s="356"/>
      <c r="BM302" s="356"/>
      <c r="BN302" s="356"/>
      <c r="BO302" s="356"/>
      <c r="BP302" s="356"/>
      <c r="BQ302" s="356"/>
      <c r="BR302" s="356"/>
      <c r="BS302" s="356"/>
      <c r="BT302" s="356"/>
      <c r="BU302" s="356"/>
      <c r="BV302" s="356"/>
      <c r="BW302" s="356"/>
      <c r="BX302" s="356"/>
      <c r="BY302" s="356"/>
      <c r="BZ302" s="356"/>
      <c r="CA302" s="356"/>
      <c r="CB302" s="356"/>
      <c r="CC302" s="356"/>
      <c r="CD302" s="356"/>
      <c r="CE302" s="356"/>
      <c r="CF302" s="356"/>
      <c r="CG302" s="356"/>
      <c r="CH302" s="356"/>
      <c r="CI302" s="356"/>
      <c r="CJ302" s="356"/>
      <c r="CK302" s="356"/>
      <c r="CL302" s="356"/>
      <c r="CM302" s="356"/>
      <c r="CN302" s="356"/>
      <c r="CO302" s="356"/>
      <c r="CP302" s="356"/>
      <c r="CQ302" s="356"/>
      <c r="CR302" s="356"/>
      <c r="CS302" s="356"/>
      <c r="CT302" s="356"/>
      <c r="CU302" s="356"/>
      <c r="CV302" s="356"/>
      <c r="CW302" s="356"/>
      <c r="CX302" s="356"/>
      <c r="CY302" s="356"/>
      <c r="CZ302" s="356"/>
      <c r="DA302" s="356"/>
      <c r="DB302" s="356"/>
      <c r="DC302" s="356"/>
      <c r="DD302" s="356"/>
      <c r="DE302" s="356"/>
      <c r="DF302" s="356"/>
      <c r="DG302" s="356"/>
      <c r="DH302" s="356"/>
      <c r="DI302" s="356"/>
      <c r="DJ302" s="356"/>
      <c r="DK302" s="356"/>
      <c r="DL302" s="356"/>
      <c r="DM302" s="356"/>
      <c r="DN302" s="356"/>
      <c r="DO302" s="356"/>
      <c r="DP302" s="356"/>
      <c r="DQ302" s="356"/>
      <c r="DR302" s="356"/>
      <c r="DS302" s="356"/>
      <c r="DT302" s="356"/>
      <c r="DU302" s="356"/>
      <c r="DV302" s="356"/>
      <c r="DW302" s="356"/>
      <c r="DX302" s="356"/>
      <c r="DY302" s="356"/>
      <c r="DZ302" s="356"/>
      <c r="EA302" s="356"/>
      <c r="EB302" s="356"/>
      <c r="EC302" s="356"/>
      <c r="ED302" s="356"/>
      <c r="EE302" s="356"/>
      <c r="EF302" s="356"/>
      <c r="EG302" s="356"/>
      <c r="EH302" s="356"/>
      <c r="EI302" s="356"/>
      <c r="EJ302" s="356"/>
      <c r="EK302" s="356"/>
      <c r="EL302" s="356"/>
      <c r="EM302" s="356"/>
      <c r="EN302" s="356"/>
      <c r="EO302" s="356"/>
      <c r="EP302" s="356"/>
      <c r="EQ302" s="356"/>
    </row>
    <row r="303" spans="1:147" ht="15" customHeight="1">
      <c r="A303" s="473"/>
    </row>
    <row r="304" spans="1:147" ht="15" customHeight="1">
      <c r="A304" s="473"/>
    </row>
    <row r="305" spans="1:1" ht="15" customHeight="1">
      <c r="A305" s="473"/>
    </row>
    <row r="306" spans="1:1" ht="15" customHeight="1">
      <c r="A306" s="473"/>
    </row>
    <row r="307" spans="1:1" ht="15" customHeight="1">
      <c r="A307" s="473"/>
    </row>
    <row r="308" spans="1:1" ht="15" customHeight="1">
      <c r="A308" s="473"/>
    </row>
    <row r="309" spans="1:1" ht="15" customHeight="1">
      <c r="A309" s="473"/>
    </row>
    <row r="310" spans="1:1" ht="15" customHeight="1">
      <c r="A310" s="473"/>
    </row>
    <row r="311" spans="1:1" ht="15" customHeight="1">
      <c r="A311" s="473"/>
    </row>
    <row r="312" spans="1:1" ht="15" customHeight="1">
      <c r="A312" s="473"/>
    </row>
    <row r="313" spans="1:1" ht="15" customHeight="1">
      <c r="A313" s="473"/>
    </row>
    <row r="314" spans="1:1" ht="15" customHeight="1">
      <c r="A314" s="473"/>
    </row>
    <row r="315" spans="1:1" ht="15" customHeight="1">
      <c r="A315" s="473"/>
    </row>
    <row r="316" spans="1:1" ht="15" customHeight="1">
      <c r="A316" s="473"/>
    </row>
    <row r="317" spans="1:1" ht="15" customHeight="1">
      <c r="A317" s="473"/>
    </row>
    <row r="318" spans="1:1" ht="15" customHeight="1">
      <c r="A318" s="473"/>
    </row>
    <row r="319" spans="1:1" ht="15" customHeight="1">
      <c r="A319" s="473"/>
    </row>
    <row r="320" spans="1:1" ht="15" customHeight="1">
      <c r="A320" s="473"/>
    </row>
    <row r="321" spans="1:1" ht="15" customHeight="1">
      <c r="A321" s="473"/>
    </row>
    <row r="322" spans="1:1" ht="15" customHeight="1">
      <c r="A322" s="473"/>
    </row>
    <row r="323" spans="1:1" ht="15" customHeight="1">
      <c r="A323" s="473"/>
    </row>
    <row r="324" spans="1:1" ht="15" customHeight="1">
      <c r="A324" s="473"/>
    </row>
    <row r="325" spans="1:1" ht="15" customHeight="1">
      <c r="A325" s="473"/>
    </row>
    <row r="326" spans="1:1" ht="15" customHeight="1">
      <c r="A326" s="473"/>
    </row>
    <row r="327" spans="1:1" ht="13.15" customHeight="1">
      <c r="A327" s="473"/>
    </row>
    <row r="328" spans="1:1" ht="13.15" customHeight="1">
      <c r="A328" s="473"/>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57C75-CE7F-4FC1-A78E-9BC34FCA2E36}">
  <sheetPr>
    <pageSetUpPr fitToPage="1"/>
  </sheetPr>
  <dimension ref="A1:AB136"/>
  <sheetViews>
    <sheetView view="pageBreakPreview" zoomScale="60" zoomScaleNormal="85" workbookViewId="0">
      <pane xSplit="1" ySplit="5" topLeftCell="B6" activePane="bottomRight" state="frozen"/>
      <selection pane="bottomRight" activeCell="L3" sqref="L3"/>
      <selection pane="bottomLeft" activeCell="A6" sqref="A6"/>
      <selection pane="topRight" activeCell="B1" sqref="B1"/>
    </sheetView>
  </sheetViews>
  <sheetFormatPr defaultColWidth="4.5" defaultRowHeight="12" outlineLevelRow="1" outlineLevelCol="1"/>
  <cols>
    <col min="1" max="1" width="28.83203125" style="134" customWidth="1"/>
    <col min="2" max="2" width="4.1640625" style="134" customWidth="1"/>
    <col min="3" max="3" width="13.33203125" style="134" hidden="1" customWidth="1" outlineLevel="1"/>
    <col min="4" max="4" width="13.83203125" style="134" customWidth="1" collapsed="1"/>
    <col min="5" max="19" width="13.83203125" style="134" customWidth="1"/>
    <col min="20" max="20" width="10.6640625" style="134" customWidth="1"/>
    <col min="21" max="21" width="19.5" style="134" bestFit="1" customWidth="1"/>
    <col min="22" max="23" width="15.5" style="134" customWidth="1"/>
    <col min="24" max="24" width="23.1640625" style="134" bestFit="1" customWidth="1"/>
    <col min="25" max="28" width="11.1640625" style="134" customWidth="1"/>
    <col min="29" max="253" width="4.5" style="134"/>
    <col min="254" max="254" width="11.83203125" style="134" customWidth="1"/>
    <col min="255" max="255" width="2.1640625" style="134" customWidth="1"/>
    <col min="256" max="271" width="10.6640625" style="134" customWidth="1"/>
    <col min="272" max="273" width="14" style="134" customWidth="1"/>
    <col min="274" max="274" width="54" style="134" customWidth="1"/>
    <col min="275" max="277" width="10.6640625" style="134" customWidth="1"/>
    <col min="278" max="284" width="11.1640625" style="134" customWidth="1"/>
    <col min="285" max="509" width="4.5" style="134"/>
    <col min="510" max="510" width="11.83203125" style="134" customWidth="1"/>
    <col min="511" max="511" width="2.1640625" style="134" customWidth="1"/>
    <col min="512" max="527" width="10.6640625" style="134" customWidth="1"/>
    <col min="528" max="529" width="14" style="134" customWidth="1"/>
    <col min="530" max="530" width="54" style="134" customWidth="1"/>
    <col min="531" max="533" width="10.6640625" style="134" customWidth="1"/>
    <col min="534" max="540" width="11.1640625" style="134" customWidth="1"/>
    <col min="541" max="765" width="4.5" style="134"/>
    <col min="766" max="766" width="11.83203125" style="134" customWidth="1"/>
    <col min="767" max="767" width="2.1640625" style="134" customWidth="1"/>
    <col min="768" max="783" width="10.6640625" style="134" customWidth="1"/>
    <col min="784" max="785" width="14" style="134" customWidth="1"/>
    <col min="786" max="786" width="54" style="134" customWidth="1"/>
    <col min="787" max="789" width="10.6640625" style="134" customWidth="1"/>
    <col min="790" max="796" width="11.1640625" style="134" customWidth="1"/>
    <col min="797" max="1021" width="4.5" style="134"/>
    <col min="1022" max="1022" width="11.83203125" style="134" customWidth="1"/>
    <col min="1023" max="1023" width="2.1640625" style="134" customWidth="1"/>
    <col min="1024" max="1039" width="10.6640625" style="134" customWidth="1"/>
    <col min="1040" max="1041" width="14" style="134" customWidth="1"/>
    <col min="1042" max="1042" width="54" style="134" customWidth="1"/>
    <col min="1043" max="1045" width="10.6640625" style="134" customWidth="1"/>
    <col min="1046" max="1052" width="11.1640625" style="134" customWidth="1"/>
    <col min="1053" max="1277" width="4.5" style="134"/>
    <col min="1278" max="1278" width="11.83203125" style="134" customWidth="1"/>
    <col min="1279" max="1279" width="2.1640625" style="134" customWidth="1"/>
    <col min="1280" max="1295" width="10.6640625" style="134" customWidth="1"/>
    <col min="1296" max="1297" width="14" style="134" customWidth="1"/>
    <col min="1298" max="1298" width="54" style="134" customWidth="1"/>
    <col min="1299" max="1301" width="10.6640625" style="134" customWidth="1"/>
    <col min="1302" max="1308" width="11.1640625" style="134" customWidth="1"/>
    <col min="1309" max="1533" width="4.5" style="134"/>
    <col min="1534" max="1534" width="11.83203125" style="134" customWidth="1"/>
    <col min="1535" max="1535" width="2.1640625" style="134" customWidth="1"/>
    <col min="1536" max="1551" width="10.6640625" style="134" customWidth="1"/>
    <col min="1552" max="1553" width="14" style="134" customWidth="1"/>
    <col min="1554" max="1554" width="54" style="134" customWidth="1"/>
    <col min="1555" max="1557" width="10.6640625" style="134" customWidth="1"/>
    <col min="1558" max="1564" width="11.1640625" style="134" customWidth="1"/>
    <col min="1565" max="1789" width="4.5" style="134"/>
    <col min="1790" max="1790" width="11.83203125" style="134" customWidth="1"/>
    <col min="1791" max="1791" width="2.1640625" style="134" customWidth="1"/>
    <col min="1792" max="1807" width="10.6640625" style="134" customWidth="1"/>
    <col min="1808" max="1809" width="14" style="134" customWidth="1"/>
    <col min="1810" max="1810" width="54" style="134" customWidth="1"/>
    <col min="1811" max="1813" width="10.6640625" style="134" customWidth="1"/>
    <col min="1814" max="1820" width="11.1640625" style="134" customWidth="1"/>
    <col min="1821" max="2045" width="4.5" style="134"/>
    <col min="2046" max="2046" width="11.83203125" style="134" customWidth="1"/>
    <col min="2047" max="2047" width="2.1640625" style="134" customWidth="1"/>
    <col min="2048" max="2063" width="10.6640625" style="134" customWidth="1"/>
    <col min="2064" max="2065" width="14" style="134" customWidth="1"/>
    <col min="2066" max="2066" width="54" style="134" customWidth="1"/>
    <col min="2067" max="2069" width="10.6640625" style="134" customWidth="1"/>
    <col min="2070" max="2076" width="11.1640625" style="134" customWidth="1"/>
    <col min="2077" max="2301" width="4.5" style="134"/>
    <col min="2302" max="2302" width="11.83203125" style="134" customWidth="1"/>
    <col min="2303" max="2303" width="2.1640625" style="134" customWidth="1"/>
    <col min="2304" max="2319" width="10.6640625" style="134" customWidth="1"/>
    <col min="2320" max="2321" width="14" style="134" customWidth="1"/>
    <col min="2322" max="2322" width="54" style="134" customWidth="1"/>
    <col min="2323" max="2325" width="10.6640625" style="134" customWidth="1"/>
    <col min="2326" max="2332" width="11.1640625" style="134" customWidth="1"/>
    <col min="2333" max="2557" width="4.5" style="134"/>
    <col min="2558" max="2558" width="11.83203125" style="134" customWidth="1"/>
    <col min="2559" max="2559" width="2.1640625" style="134" customWidth="1"/>
    <col min="2560" max="2575" width="10.6640625" style="134" customWidth="1"/>
    <col min="2576" max="2577" width="14" style="134" customWidth="1"/>
    <col min="2578" max="2578" width="54" style="134" customWidth="1"/>
    <col min="2579" max="2581" width="10.6640625" style="134" customWidth="1"/>
    <col min="2582" max="2588" width="11.1640625" style="134" customWidth="1"/>
    <col min="2589" max="2813" width="4.5" style="134"/>
    <col min="2814" max="2814" width="11.83203125" style="134" customWidth="1"/>
    <col min="2815" max="2815" width="2.1640625" style="134" customWidth="1"/>
    <col min="2816" max="2831" width="10.6640625" style="134" customWidth="1"/>
    <col min="2832" max="2833" width="14" style="134" customWidth="1"/>
    <col min="2834" max="2834" width="54" style="134" customWidth="1"/>
    <col min="2835" max="2837" width="10.6640625" style="134" customWidth="1"/>
    <col min="2838" max="2844" width="11.1640625" style="134" customWidth="1"/>
    <col min="2845" max="3069" width="4.5" style="134"/>
    <col min="3070" max="3070" width="11.83203125" style="134" customWidth="1"/>
    <col min="3071" max="3071" width="2.1640625" style="134" customWidth="1"/>
    <col min="3072" max="3087" width="10.6640625" style="134" customWidth="1"/>
    <col min="3088" max="3089" width="14" style="134" customWidth="1"/>
    <col min="3090" max="3090" width="54" style="134" customWidth="1"/>
    <col min="3091" max="3093" width="10.6640625" style="134" customWidth="1"/>
    <col min="3094" max="3100" width="11.1640625" style="134" customWidth="1"/>
    <col min="3101" max="3325" width="4.5" style="134"/>
    <col min="3326" max="3326" width="11.83203125" style="134" customWidth="1"/>
    <col min="3327" max="3327" width="2.1640625" style="134" customWidth="1"/>
    <col min="3328" max="3343" width="10.6640625" style="134" customWidth="1"/>
    <col min="3344" max="3345" width="14" style="134" customWidth="1"/>
    <col min="3346" max="3346" width="54" style="134" customWidth="1"/>
    <col min="3347" max="3349" width="10.6640625" style="134" customWidth="1"/>
    <col min="3350" max="3356" width="11.1640625" style="134" customWidth="1"/>
    <col min="3357" max="3581" width="4.5" style="134"/>
    <col min="3582" max="3582" width="11.83203125" style="134" customWidth="1"/>
    <col min="3583" max="3583" width="2.1640625" style="134" customWidth="1"/>
    <col min="3584" max="3599" width="10.6640625" style="134" customWidth="1"/>
    <col min="3600" max="3601" width="14" style="134" customWidth="1"/>
    <col min="3602" max="3602" width="54" style="134" customWidth="1"/>
    <col min="3603" max="3605" width="10.6640625" style="134" customWidth="1"/>
    <col min="3606" max="3612" width="11.1640625" style="134" customWidth="1"/>
    <col min="3613" max="3837" width="4.5" style="134"/>
    <col min="3838" max="3838" width="11.83203125" style="134" customWidth="1"/>
    <col min="3839" max="3839" width="2.1640625" style="134" customWidth="1"/>
    <col min="3840" max="3855" width="10.6640625" style="134" customWidth="1"/>
    <col min="3856" max="3857" width="14" style="134" customWidth="1"/>
    <col min="3858" max="3858" width="54" style="134" customWidth="1"/>
    <col min="3859" max="3861" width="10.6640625" style="134" customWidth="1"/>
    <col min="3862" max="3868" width="11.1640625" style="134" customWidth="1"/>
    <col min="3869" max="4093" width="4.5" style="134"/>
    <col min="4094" max="4094" width="11.83203125" style="134" customWidth="1"/>
    <col min="4095" max="4095" width="2.1640625" style="134" customWidth="1"/>
    <col min="4096" max="4111" width="10.6640625" style="134" customWidth="1"/>
    <col min="4112" max="4113" width="14" style="134" customWidth="1"/>
    <col min="4114" max="4114" width="54" style="134" customWidth="1"/>
    <col min="4115" max="4117" width="10.6640625" style="134" customWidth="1"/>
    <col min="4118" max="4124" width="11.1640625" style="134" customWidth="1"/>
    <col min="4125" max="4349" width="4.5" style="134"/>
    <col min="4350" max="4350" width="11.83203125" style="134" customWidth="1"/>
    <col min="4351" max="4351" width="2.1640625" style="134" customWidth="1"/>
    <col min="4352" max="4367" width="10.6640625" style="134" customWidth="1"/>
    <col min="4368" max="4369" width="14" style="134" customWidth="1"/>
    <col min="4370" max="4370" width="54" style="134" customWidth="1"/>
    <col min="4371" max="4373" width="10.6640625" style="134" customWidth="1"/>
    <col min="4374" max="4380" width="11.1640625" style="134" customWidth="1"/>
    <col min="4381" max="4605" width="4.5" style="134"/>
    <col min="4606" max="4606" width="11.83203125" style="134" customWidth="1"/>
    <col min="4607" max="4607" width="2.1640625" style="134" customWidth="1"/>
    <col min="4608" max="4623" width="10.6640625" style="134" customWidth="1"/>
    <col min="4624" max="4625" width="14" style="134" customWidth="1"/>
    <col min="4626" max="4626" width="54" style="134" customWidth="1"/>
    <col min="4627" max="4629" width="10.6640625" style="134" customWidth="1"/>
    <col min="4630" max="4636" width="11.1640625" style="134" customWidth="1"/>
    <col min="4637" max="4861" width="4.5" style="134"/>
    <col min="4862" max="4862" width="11.83203125" style="134" customWidth="1"/>
    <col min="4863" max="4863" width="2.1640625" style="134" customWidth="1"/>
    <col min="4864" max="4879" width="10.6640625" style="134" customWidth="1"/>
    <col min="4880" max="4881" width="14" style="134" customWidth="1"/>
    <col min="4882" max="4882" width="54" style="134" customWidth="1"/>
    <col min="4883" max="4885" width="10.6640625" style="134" customWidth="1"/>
    <col min="4886" max="4892" width="11.1640625" style="134" customWidth="1"/>
    <col min="4893" max="5117" width="4.5" style="134"/>
    <col min="5118" max="5118" width="11.83203125" style="134" customWidth="1"/>
    <col min="5119" max="5119" width="2.1640625" style="134" customWidth="1"/>
    <col min="5120" max="5135" width="10.6640625" style="134" customWidth="1"/>
    <col min="5136" max="5137" width="14" style="134" customWidth="1"/>
    <col min="5138" max="5138" width="54" style="134" customWidth="1"/>
    <col min="5139" max="5141" width="10.6640625" style="134" customWidth="1"/>
    <col min="5142" max="5148" width="11.1640625" style="134" customWidth="1"/>
    <col min="5149" max="5373" width="4.5" style="134"/>
    <col min="5374" max="5374" width="11.83203125" style="134" customWidth="1"/>
    <col min="5375" max="5375" width="2.1640625" style="134" customWidth="1"/>
    <col min="5376" max="5391" width="10.6640625" style="134" customWidth="1"/>
    <col min="5392" max="5393" width="14" style="134" customWidth="1"/>
    <col min="5394" max="5394" width="54" style="134" customWidth="1"/>
    <col min="5395" max="5397" width="10.6640625" style="134" customWidth="1"/>
    <col min="5398" max="5404" width="11.1640625" style="134" customWidth="1"/>
    <col min="5405" max="5629" width="4.5" style="134"/>
    <col min="5630" max="5630" width="11.83203125" style="134" customWidth="1"/>
    <col min="5631" max="5631" width="2.1640625" style="134" customWidth="1"/>
    <col min="5632" max="5647" width="10.6640625" style="134" customWidth="1"/>
    <col min="5648" max="5649" width="14" style="134" customWidth="1"/>
    <col min="5650" max="5650" width="54" style="134" customWidth="1"/>
    <col min="5651" max="5653" width="10.6640625" style="134" customWidth="1"/>
    <col min="5654" max="5660" width="11.1640625" style="134" customWidth="1"/>
    <col min="5661" max="5885" width="4.5" style="134"/>
    <col min="5886" max="5886" width="11.83203125" style="134" customWidth="1"/>
    <col min="5887" max="5887" width="2.1640625" style="134" customWidth="1"/>
    <col min="5888" max="5903" width="10.6640625" style="134" customWidth="1"/>
    <col min="5904" max="5905" width="14" style="134" customWidth="1"/>
    <col min="5906" max="5906" width="54" style="134" customWidth="1"/>
    <col min="5907" max="5909" width="10.6640625" style="134" customWidth="1"/>
    <col min="5910" max="5916" width="11.1640625" style="134" customWidth="1"/>
    <col min="5917" max="6141" width="4.5" style="134"/>
    <col min="6142" max="6142" width="11.83203125" style="134" customWidth="1"/>
    <col min="6143" max="6143" width="2.1640625" style="134" customWidth="1"/>
    <col min="6144" max="6159" width="10.6640625" style="134" customWidth="1"/>
    <col min="6160" max="6161" width="14" style="134" customWidth="1"/>
    <col min="6162" max="6162" width="54" style="134" customWidth="1"/>
    <col min="6163" max="6165" width="10.6640625" style="134" customWidth="1"/>
    <col min="6166" max="6172" width="11.1640625" style="134" customWidth="1"/>
    <col min="6173" max="6397" width="4.5" style="134"/>
    <col min="6398" max="6398" width="11.83203125" style="134" customWidth="1"/>
    <col min="6399" max="6399" width="2.1640625" style="134" customWidth="1"/>
    <col min="6400" max="6415" width="10.6640625" style="134" customWidth="1"/>
    <col min="6416" max="6417" width="14" style="134" customWidth="1"/>
    <col min="6418" max="6418" width="54" style="134" customWidth="1"/>
    <col min="6419" max="6421" width="10.6640625" style="134" customWidth="1"/>
    <col min="6422" max="6428" width="11.1640625" style="134" customWidth="1"/>
    <col min="6429" max="6653" width="4.5" style="134"/>
    <col min="6654" max="6654" width="11.83203125" style="134" customWidth="1"/>
    <col min="6655" max="6655" width="2.1640625" style="134" customWidth="1"/>
    <col min="6656" max="6671" width="10.6640625" style="134" customWidth="1"/>
    <col min="6672" max="6673" width="14" style="134" customWidth="1"/>
    <col min="6674" max="6674" width="54" style="134" customWidth="1"/>
    <col min="6675" max="6677" width="10.6640625" style="134" customWidth="1"/>
    <col min="6678" max="6684" width="11.1640625" style="134" customWidth="1"/>
    <col min="6685" max="6909" width="4.5" style="134"/>
    <col min="6910" max="6910" width="11.83203125" style="134" customWidth="1"/>
    <col min="6911" max="6911" width="2.1640625" style="134" customWidth="1"/>
    <col min="6912" max="6927" width="10.6640625" style="134" customWidth="1"/>
    <col min="6928" max="6929" width="14" style="134" customWidth="1"/>
    <col min="6930" max="6930" width="54" style="134" customWidth="1"/>
    <col min="6931" max="6933" width="10.6640625" style="134" customWidth="1"/>
    <col min="6934" max="6940" width="11.1640625" style="134" customWidth="1"/>
    <col min="6941" max="7165" width="4.5" style="134"/>
    <col min="7166" max="7166" width="11.83203125" style="134" customWidth="1"/>
    <col min="7167" max="7167" width="2.1640625" style="134" customWidth="1"/>
    <col min="7168" max="7183" width="10.6640625" style="134" customWidth="1"/>
    <col min="7184" max="7185" width="14" style="134" customWidth="1"/>
    <col min="7186" max="7186" width="54" style="134" customWidth="1"/>
    <col min="7187" max="7189" width="10.6640625" style="134" customWidth="1"/>
    <col min="7190" max="7196" width="11.1640625" style="134" customWidth="1"/>
    <col min="7197" max="7421" width="4.5" style="134"/>
    <col min="7422" max="7422" width="11.83203125" style="134" customWidth="1"/>
    <col min="7423" max="7423" width="2.1640625" style="134" customWidth="1"/>
    <col min="7424" max="7439" width="10.6640625" style="134" customWidth="1"/>
    <col min="7440" max="7441" width="14" style="134" customWidth="1"/>
    <col min="7442" max="7442" width="54" style="134" customWidth="1"/>
    <col min="7443" max="7445" width="10.6640625" style="134" customWidth="1"/>
    <col min="7446" max="7452" width="11.1640625" style="134" customWidth="1"/>
    <col min="7453" max="7677" width="4.5" style="134"/>
    <col min="7678" max="7678" width="11.83203125" style="134" customWidth="1"/>
    <col min="7679" max="7679" width="2.1640625" style="134" customWidth="1"/>
    <col min="7680" max="7695" width="10.6640625" style="134" customWidth="1"/>
    <col min="7696" max="7697" width="14" style="134" customWidth="1"/>
    <col min="7698" max="7698" width="54" style="134" customWidth="1"/>
    <col min="7699" max="7701" width="10.6640625" style="134" customWidth="1"/>
    <col min="7702" max="7708" width="11.1640625" style="134" customWidth="1"/>
    <col min="7709" max="7933" width="4.5" style="134"/>
    <col min="7934" max="7934" width="11.83203125" style="134" customWidth="1"/>
    <col min="7935" max="7935" width="2.1640625" style="134" customWidth="1"/>
    <col min="7936" max="7951" width="10.6640625" style="134" customWidth="1"/>
    <col min="7952" max="7953" width="14" style="134" customWidth="1"/>
    <col min="7954" max="7954" width="54" style="134" customWidth="1"/>
    <col min="7955" max="7957" width="10.6640625" style="134" customWidth="1"/>
    <col min="7958" max="7964" width="11.1640625" style="134" customWidth="1"/>
    <col min="7965" max="8189" width="4.5" style="134"/>
    <col min="8190" max="8190" width="11.83203125" style="134" customWidth="1"/>
    <col min="8191" max="8191" width="2.1640625" style="134" customWidth="1"/>
    <col min="8192" max="8207" width="10.6640625" style="134" customWidth="1"/>
    <col min="8208" max="8209" width="14" style="134" customWidth="1"/>
    <col min="8210" max="8210" width="54" style="134" customWidth="1"/>
    <col min="8211" max="8213" width="10.6640625" style="134" customWidth="1"/>
    <col min="8214" max="8220" width="11.1640625" style="134" customWidth="1"/>
    <col min="8221" max="8445" width="4.5" style="134"/>
    <col min="8446" max="8446" width="11.83203125" style="134" customWidth="1"/>
    <col min="8447" max="8447" width="2.1640625" style="134" customWidth="1"/>
    <col min="8448" max="8463" width="10.6640625" style="134" customWidth="1"/>
    <col min="8464" max="8465" width="14" style="134" customWidth="1"/>
    <col min="8466" max="8466" width="54" style="134" customWidth="1"/>
    <col min="8467" max="8469" width="10.6640625" style="134" customWidth="1"/>
    <col min="8470" max="8476" width="11.1640625" style="134" customWidth="1"/>
    <col min="8477" max="8701" width="4.5" style="134"/>
    <col min="8702" max="8702" width="11.83203125" style="134" customWidth="1"/>
    <col min="8703" max="8703" width="2.1640625" style="134" customWidth="1"/>
    <col min="8704" max="8719" width="10.6640625" style="134" customWidth="1"/>
    <col min="8720" max="8721" width="14" style="134" customWidth="1"/>
    <col min="8722" max="8722" width="54" style="134" customWidth="1"/>
    <col min="8723" max="8725" width="10.6640625" style="134" customWidth="1"/>
    <col min="8726" max="8732" width="11.1640625" style="134" customWidth="1"/>
    <col min="8733" max="8957" width="4.5" style="134"/>
    <col min="8958" max="8958" width="11.83203125" style="134" customWidth="1"/>
    <col min="8959" max="8959" width="2.1640625" style="134" customWidth="1"/>
    <col min="8960" max="8975" width="10.6640625" style="134" customWidth="1"/>
    <col min="8976" max="8977" width="14" style="134" customWidth="1"/>
    <col min="8978" max="8978" width="54" style="134" customWidth="1"/>
    <col min="8979" max="8981" width="10.6640625" style="134" customWidth="1"/>
    <col min="8982" max="8988" width="11.1640625" style="134" customWidth="1"/>
    <col min="8989" max="9213" width="4.5" style="134"/>
    <col min="9214" max="9214" width="11.83203125" style="134" customWidth="1"/>
    <col min="9215" max="9215" width="2.1640625" style="134" customWidth="1"/>
    <col min="9216" max="9231" width="10.6640625" style="134" customWidth="1"/>
    <col min="9232" max="9233" width="14" style="134" customWidth="1"/>
    <col min="9234" max="9234" width="54" style="134" customWidth="1"/>
    <col min="9235" max="9237" width="10.6640625" style="134" customWidth="1"/>
    <col min="9238" max="9244" width="11.1640625" style="134" customWidth="1"/>
    <col min="9245" max="9469" width="4.5" style="134"/>
    <col min="9470" max="9470" width="11.83203125" style="134" customWidth="1"/>
    <col min="9471" max="9471" width="2.1640625" style="134" customWidth="1"/>
    <col min="9472" max="9487" width="10.6640625" style="134" customWidth="1"/>
    <col min="9488" max="9489" width="14" style="134" customWidth="1"/>
    <col min="9490" max="9490" width="54" style="134" customWidth="1"/>
    <col min="9491" max="9493" width="10.6640625" style="134" customWidth="1"/>
    <col min="9494" max="9500" width="11.1640625" style="134" customWidth="1"/>
    <col min="9501" max="9725" width="4.5" style="134"/>
    <col min="9726" max="9726" width="11.83203125" style="134" customWidth="1"/>
    <col min="9727" max="9727" width="2.1640625" style="134" customWidth="1"/>
    <col min="9728" max="9743" width="10.6640625" style="134" customWidth="1"/>
    <col min="9744" max="9745" width="14" style="134" customWidth="1"/>
    <col min="9746" max="9746" width="54" style="134" customWidth="1"/>
    <col min="9747" max="9749" width="10.6640625" style="134" customWidth="1"/>
    <col min="9750" max="9756" width="11.1640625" style="134" customWidth="1"/>
    <col min="9757" max="9981" width="4.5" style="134"/>
    <col min="9982" max="9982" width="11.83203125" style="134" customWidth="1"/>
    <col min="9983" max="9983" width="2.1640625" style="134" customWidth="1"/>
    <col min="9984" max="9999" width="10.6640625" style="134" customWidth="1"/>
    <col min="10000" max="10001" width="14" style="134" customWidth="1"/>
    <col min="10002" max="10002" width="54" style="134" customWidth="1"/>
    <col min="10003" max="10005" width="10.6640625" style="134" customWidth="1"/>
    <col min="10006" max="10012" width="11.1640625" style="134" customWidth="1"/>
    <col min="10013" max="10237" width="4.5" style="134"/>
    <col min="10238" max="10238" width="11.83203125" style="134" customWidth="1"/>
    <col min="10239" max="10239" width="2.1640625" style="134" customWidth="1"/>
    <col min="10240" max="10255" width="10.6640625" style="134" customWidth="1"/>
    <col min="10256" max="10257" width="14" style="134" customWidth="1"/>
    <col min="10258" max="10258" width="54" style="134" customWidth="1"/>
    <col min="10259" max="10261" width="10.6640625" style="134" customWidth="1"/>
    <col min="10262" max="10268" width="11.1640625" style="134" customWidth="1"/>
    <col min="10269" max="10493" width="4.5" style="134"/>
    <col min="10494" max="10494" width="11.83203125" style="134" customWidth="1"/>
    <col min="10495" max="10495" width="2.1640625" style="134" customWidth="1"/>
    <col min="10496" max="10511" width="10.6640625" style="134" customWidth="1"/>
    <col min="10512" max="10513" width="14" style="134" customWidth="1"/>
    <col min="10514" max="10514" width="54" style="134" customWidth="1"/>
    <col min="10515" max="10517" width="10.6640625" style="134" customWidth="1"/>
    <col min="10518" max="10524" width="11.1640625" style="134" customWidth="1"/>
    <col min="10525" max="10749" width="4.5" style="134"/>
    <col min="10750" max="10750" width="11.83203125" style="134" customWidth="1"/>
    <col min="10751" max="10751" width="2.1640625" style="134" customWidth="1"/>
    <col min="10752" max="10767" width="10.6640625" style="134" customWidth="1"/>
    <col min="10768" max="10769" width="14" style="134" customWidth="1"/>
    <col min="10770" max="10770" width="54" style="134" customWidth="1"/>
    <col min="10771" max="10773" width="10.6640625" style="134" customWidth="1"/>
    <col min="10774" max="10780" width="11.1640625" style="134" customWidth="1"/>
    <col min="10781" max="11005" width="4.5" style="134"/>
    <col min="11006" max="11006" width="11.83203125" style="134" customWidth="1"/>
    <col min="11007" max="11007" width="2.1640625" style="134" customWidth="1"/>
    <col min="11008" max="11023" width="10.6640625" style="134" customWidth="1"/>
    <col min="11024" max="11025" width="14" style="134" customWidth="1"/>
    <col min="11026" max="11026" width="54" style="134" customWidth="1"/>
    <col min="11027" max="11029" width="10.6640625" style="134" customWidth="1"/>
    <col min="11030" max="11036" width="11.1640625" style="134" customWidth="1"/>
    <col min="11037" max="11261" width="4.5" style="134"/>
    <col min="11262" max="11262" width="11.83203125" style="134" customWidth="1"/>
    <col min="11263" max="11263" width="2.1640625" style="134" customWidth="1"/>
    <col min="11264" max="11279" width="10.6640625" style="134" customWidth="1"/>
    <col min="11280" max="11281" width="14" style="134" customWidth="1"/>
    <col min="11282" max="11282" width="54" style="134" customWidth="1"/>
    <col min="11283" max="11285" width="10.6640625" style="134" customWidth="1"/>
    <col min="11286" max="11292" width="11.1640625" style="134" customWidth="1"/>
    <col min="11293" max="11517" width="4.5" style="134"/>
    <col min="11518" max="11518" width="11.83203125" style="134" customWidth="1"/>
    <col min="11519" max="11519" width="2.1640625" style="134" customWidth="1"/>
    <col min="11520" max="11535" width="10.6640625" style="134" customWidth="1"/>
    <col min="11536" max="11537" width="14" style="134" customWidth="1"/>
    <col min="11538" max="11538" width="54" style="134" customWidth="1"/>
    <col min="11539" max="11541" width="10.6640625" style="134" customWidth="1"/>
    <col min="11542" max="11548" width="11.1640625" style="134" customWidth="1"/>
    <col min="11549" max="11773" width="4.5" style="134"/>
    <col min="11774" max="11774" width="11.83203125" style="134" customWidth="1"/>
    <col min="11775" max="11775" width="2.1640625" style="134" customWidth="1"/>
    <col min="11776" max="11791" width="10.6640625" style="134" customWidth="1"/>
    <col min="11792" max="11793" width="14" style="134" customWidth="1"/>
    <col min="11794" max="11794" width="54" style="134" customWidth="1"/>
    <col min="11795" max="11797" width="10.6640625" style="134" customWidth="1"/>
    <col min="11798" max="11804" width="11.1640625" style="134" customWidth="1"/>
    <col min="11805" max="12029" width="4.5" style="134"/>
    <col min="12030" max="12030" width="11.83203125" style="134" customWidth="1"/>
    <col min="12031" max="12031" width="2.1640625" style="134" customWidth="1"/>
    <col min="12032" max="12047" width="10.6640625" style="134" customWidth="1"/>
    <col min="12048" max="12049" width="14" style="134" customWidth="1"/>
    <col min="12050" max="12050" width="54" style="134" customWidth="1"/>
    <col min="12051" max="12053" width="10.6640625" style="134" customWidth="1"/>
    <col min="12054" max="12060" width="11.1640625" style="134" customWidth="1"/>
    <col min="12061" max="12285" width="4.5" style="134"/>
    <col min="12286" max="12286" width="11.83203125" style="134" customWidth="1"/>
    <col min="12287" max="12287" width="2.1640625" style="134" customWidth="1"/>
    <col min="12288" max="12303" width="10.6640625" style="134" customWidth="1"/>
    <col min="12304" max="12305" width="14" style="134" customWidth="1"/>
    <col min="12306" max="12306" width="54" style="134" customWidth="1"/>
    <col min="12307" max="12309" width="10.6640625" style="134" customWidth="1"/>
    <col min="12310" max="12316" width="11.1640625" style="134" customWidth="1"/>
    <col min="12317" max="12541" width="4.5" style="134"/>
    <col min="12542" max="12542" width="11.83203125" style="134" customWidth="1"/>
    <col min="12543" max="12543" width="2.1640625" style="134" customWidth="1"/>
    <col min="12544" max="12559" width="10.6640625" style="134" customWidth="1"/>
    <col min="12560" max="12561" width="14" style="134" customWidth="1"/>
    <col min="12562" max="12562" width="54" style="134" customWidth="1"/>
    <col min="12563" max="12565" width="10.6640625" style="134" customWidth="1"/>
    <col min="12566" max="12572" width="11.1640625" style="134" customWidth="1"/>
    <col min="12573" max="12797" width="4.5" style="134"/>
    <col min="12798" max="12798" width="11.83203125" style="134" customWidth="1"/>
    <col min="12799" max="12799" width="2.1640625" style="134" customWidth="1"/>
    <col min="12800" max="12815" width="10.6640625" style="134" customWidth="1"/>
    <col min="12816" max="12817" width="14" style="134" customWidth="1"/>
    <col min="12818" max="12818" width="54" style="134" customWidth="1"/>
    <col min="12819" max="12821" width="10.6640625" style="134" customWidth="1"/>
    <col min="12822" max="12828" width="11.1640625" style="134" customWidth="1"/>
    <col min="12829" max="13053" width="4.5" style="134"/>
    <col min="13054" max="13054" width="11.83203125" style="134" customWidth="1"/>
    <col min="13055" max="13055" width="2.1640625" style="134" customWidth="1"/>
    <col min="13056" max="13071" width="10.6640625" style="134" customWidth="1"/>
    <col min="13072" max="13073" width="14" style="134" customWidth="1"/>
    <col min="13074" max="13074" width="54" style="134" customWidth="1"/>
    <col min="13075" max="13077" width="10.6640625" style="134" customWidth="1"/>
    <col min="13078" max="13084" width="11.1640625" style="134" customWidth="1"/>
    <col min="13085" max="13309" width="4.5" style="134"/>
    <col min="13310" max="13310" width="11.83203125" style="134" customWidth="1"/>
    <col min="13311" max="13311" width="2.1640625" style="134" customWidth="1"/>
    <col min="13312" max="13327" width="10.6640625" style="134" customWidth="1"/>
    <col min="13328" max="13329" width="14" style="134" customWidth="1"/>
    <col min="13330" max="13330" width="54" style="134" customWidth="1"/>
    <col min="13331" max="13333" width="10.6640625" style="134" customWidth="1"/>
    <col min="13334" max="13340" width="11.1640625" style="134" customWidth="1"/>
    <col min="13341" max="13565" width="4.5" style="134"/>
    <col min="13566" max="13566" width="11.83203125" style="134" customWidth="1"/>
    <col min="13567" max="13567" width="2.1640625" style="134" customWidth="1"/>
    <col min="13568" max="13583" width="10.6640625" style="134" customWidth="1"/>
    <col min="13584" max="13585" width="14" style="134" customWidth="1"/>
    <col min="13586" max="13586" width="54" style="134" customWidth="1"/>
    <col min="13587" max="13589" width="10.6640625" style="134" customWidth="1"/>
    <col min="13590" max="13596" width="11.1640625" style="134" customWidth="1"/>
    <col min="13597" max="13821" width="4.5" style="134"/>
    <col min="13822" max="13822" width="11.83203125" style="134" customWidth="1"/>
    <col min="13823" max="13823" width="2.1640625" style="134" customWidth="1"/>
    <col min="13824" max="13839" width="10.6640625" style="134" customWidth="1"/>
    <col min="13840" max="13841" width="14" style="134" customWidth="1"/>
    <col min="13842" max="13842" width="54" style="134" customWidth="1"/>
    <col min="13843" max="13845" width="10.6640625" style="134" customWidth="1"/>
    <col min="13846" max="13852" width="11.1640625" style="134" customWidth="1"/>
    <col min="13853" max="14077" width="4.5" style="134"/>
    <col min="14078" max="14078" width="11.83203125" style="134" customWidth="1"/>
    <col min="14079" max="14079" width="2.1640625" style="134" customWidth="1"/>
    <col min="14080" max="14095" width="10.6640625" style="134" customWidth="1"/>
    <col min="14096" max="14097" width="14" style="134" customWidth="1"/>
    <col min="14098" max="14098" width="54" style="134" customWidth="1"/>
    <col min="14099" max="14101" width="10.6640625" style="134" customWidth="1"/>
    <col min="14102" max="14108" width="11.1640625" style="134" customWidth="1"/>
    <col min="14109" max="14333" width="4.5" style="134"/>
    <col min="14334" max="14334" width="11.83203125" style="134" customWidth="1"/>
    <col min="14335" max="14335" width="2.1640625" style="134" customWidth="1"/>
    <col min="14336" max="14351" width="10.6640625" style="134" customWidth="1"/>
    <col min="14352" max="14353" width="14" style="134" customWidth="1"/>
    <col min="14354" max="14354" width="54" style="134" customWidth="1"/>
    <col min="14355" max="14357" width="10.6640625" style="134" customWidth="1"/>
    <col min="14358" max="14364" width="11.1640625" style="134" customWidth="1"/>
    <col min="14365" max="14589" width="4.5" style="134"/>
    <col min="14590" max="14590" width="11.83203125" style="134" customWidth="1"/>
    <col min="14591" max="14591" width="2.1640625" style="134" customWidth="1"/>
    <col min="14592" max="14607" width="10.6640625" style="134" customWidth="1"/>
    <col min="14608" max="14609" width="14" style="134" customWidth="1"/>
    <col min="14610" max="14610" width="54" style="134" customWidth="1"/>
    <col min="14611" max="14613" width="10.6640625" style="134" customWidth="1"/>
    <col min="14614" max="14620" width="11.1640625" style="134" customWidth="1"/>
    <col min="14621" max="14845" width="4.5" style="134"/>
    <col min="14846" max="14846" width="11.83203125" style="134" customWidth="1"/>
    <col min="14847" max="14847" width="2.1640625" style="134" customWidth="1"/>
    <col min="14848" max="14863" width="10.6640625" style="134" customWidth="1"/>
    <col min="14864" max="14865" width="14" style="134" customWidth="1"/>
    <col min="14866" max="14866" width="54" style="134" customWidth="1"/>
    <col min="14867" max="14869" width="10.6640625" style="134" customWidth="1"/>
    <col min="14870" max="14876" width="11.1640625" style="134" customWidth="1"/>
    <col min="14877" max="15101" width="4.5" style="134"/>
    <col min="15102" max="15102" width="11.83203125" style="134" customWidth="1"/>
    <col min="15103" max="15103" width="2.1640625" style="134" customWidth="1"/>
    <col min="15104" max="15119" width="10.6640625" style="134" customWidth="1"/>
    <col min="15120" max="15121" width="14" style="134" customWidth="1"/>
    <col min="15122" max="15122" width="54" style="134" customWidth="1"/>
    <col min="15123" max="15125" width="10.6640625" style="134" customWidth="1"/>
    <col min="15126" max="15132" width="11.1640625" style="134" customWidth="1"/>
    <col min="15133" max="15357" width="4.5" style="134"/>
    <col min="15358" max="15358" width="11.83203125" style="134" customWidth="1"/>
    <col min="15359" max="15359" width="2.1640625" style="134" customWidth="1"/>
    <col min="15360" max="15375" width="10.6640625" style="134" customWidth="1"/>
    <col min="15376" max="15377" width="14" style="134" customWidth="1"/>
    <col min="15378" max="15378" width="54" style="134" customWidth="1"/>
    <col min="15379" max="15381" width="10.6640625" style="134" customWidth="1"/>
    <col min="15382" max="15388" width="11.1640625" style="134" customWidth="1"/>
    <col min="15389" max="15613" width="4.5" style="134"/>
    <col min="15614" max="15614" width="11.83203125" style="134" customWidth="1"/>
    <col min="15615" max="15615" width="2.1640625" style="134" customWidth="1"/>
    <col min="15616" max="15631" width="10.6640625" style="134" customWidth="1"/>
    <col min="15632" max="15633" width="14" style="134" customWidth="1"/>
    <col min="15634" max="15634" width="54" style="134" customWidth="1"/>
    <col min="15635" max="15637" width="10.6640625" style="134" customWidth="1"/>
    <col min="15638" max="15644" width="11.1640625" style="134" customWidth="1"/>
    <col min="15645" max="15869" width="4.5" style="134"/>
    <col min="15870" max="15870" width="11.83203125" style="134" customWidth="1"/>
    <col min="15871" max="15871" width="2.1640625" style="134" customWidth="1"/>
    <col min="15872" max="15887" width="10.6640625" style="134" customWidth="1"/>
    <col min="15888" max="15889" width="14" style="134" customWidth="1"/>
    <col min="15890" max="15890" width="54" style="134" customWidth="1"/>
    <col min="15891" max="15893" width="10.6640625" style="134" customWidth="1"/>
    <col min="15894" max="15900" width="11.1640625" style="134" customWidth="1"/>
    <col min="15901" max="16125" width="4.5" style="134"/>
    <col min="16126" max="16126" width="11.83203125" style="134" customWidth="1"/>
    <col min="16127" max="16127" width="2.1640625" style="134" customWidth="1"/>
    <col min="16128" max="16143" width="10.6640625" style="134" customWidth="1"/>
    <col min="16144" max="16145" width="14" style="134" customWidth="1"/>
    <col min="16146" max="16146" width="54" style="134" customWidth="1"/>
    <col min="16147" max="16149" width="10.6640625" style="134" customWidth="1"/>
    <col min="16150" max="16156" width="11.1640625" style="134" customWidth="1"/>
    <col min="16157" max="16384" width="4.5" style="134"/>
  </cols>
  <sheetData>
    <row r="1" spans="1:28">
      <c r="A1" s="133" t="s">
        <v>60</v>
      </c>
      <c r="O1" s="135"/>
      <c r="P1" s="202"/>
      <c r="R1" s="202"/>
      <c r="S1" s="202">
        <f ca="1">TODAY()</f>
        <v>45797</v>
      </c>
    </row>
    <row r="2" spans="1:28">
      <c r="A2" s="136" t="s">
        <v>62</v>
      </c>
      <c r="B2" s="137"/>
      <c r="C2" s="137"/>
      <c r="D2" s="137"/>
      <c r="E2" s="137"/>
      <c r="F2" s="137"/>
      <c r="G2" s="137"/>
      <c r="H2" s="137"/>
      <c r="I2" s="137"/>
      <c r="J2" s="137"/>
      <c r="K2" s="137"/>
      <c r="L2" s="137"/>
      <c r="M2" s="137"/>
      <c r="N2" s="137"/>
      <c r="O2" s="137"/>
      <c r="P2" s="137"/>
      <c r="Q2" s="137"/>
      <c r="R2" s="137"/>
      <c r="S2" s="137"/>
      <c r="T2" s="137"/>
      <c r="U2" s="137"/>
      <c r="V2" s="137"/>
      <c r="W2" s="137"/>
      <c r="X2" s="137"/>
      <c r="Y2" s="137"/>
      <c r="Z2" s="137"/>
      <c r="AA2" s="137"/>
      <c r="AB2" s="137"/>
    </row>
    <row r="3" spans="1:28">
      <c r="A3" s="138" t="s">
        <v>63</v>
      </c>
      <c r="C3" s="139"/>
      <c r="D3" s="139"/>
      <c r="E3" s="139"/>
      <c r="F3" s="139"/>
      <c r="G3" s="139"/>
      <c r="H3" s="139">
        <f ca="1">TODAY()</f>
        <v>45797</v>
      </c>
      <c r="I3" s="132">
        <v>45107</v>
      </c>
      <c r="J3" s="132">
        <v>45473</v>
      </c>
      <c r="K3" s="132">
        <v>45838</v>
      </c>
      <c r="L3" s="132">
        <v>46203</v>
      </c>
      <c r="M3" s="132">
        <v>46568</v>
      </c>
      <c r="N3" s="132">
        <v>46934</v>
      </c>
      <c r="O3" s="132">
        <v>47299</v>
      </c>
      <c r="P3" s="132">
        <v>47664</v>
      </c>
      <c r="Q3" s="132">
        <v>48029</v>
      </c>
      <c r="R3" s="132">
        <v>48395</v>
      </c>
      <c r="S3" s="132">
        <v>48760</v>
      </c>
    </row>
    <row r="4" spans="1:28" ht="14.45">
      <c r="A4" s="140"/>
      <c r="C4" s="141"/>
      <c r="D4" s="242" t="str">
        <f>+'Historical Financials'!D5</f>
        <v>FYE June 30th</v>
      </c>
      <c r="E4" s="142"/>
      <c r="F4" s="142"/>
      <c r="G4" s="142"/>
      <c r="H4" s="142"/>
      <c r="I4" s="142"/>
      <c r="J4" s="142"/>
      <c r="K4" s="142"/>
      <c r="L4" s="142"/>
      <c r="M4" s="142"/>
      <c r="N4" s="142"/>
      <c r="O4" s="142"/>
      <c r="P4" s="142"/>
      <c r="Q4" s="142"/>
      <c r="R4" s="142"/>
      <c r="S4" s="142"/>
      <c r="U4" s="196" t="s">
        <v>1657</v>
      </c>
      <c r="X4"/>
      <c r="Y4"/>
      <c r="Z4"/>
      <c r="AA4"/>
    </row>
    <row r="5" spans="1:28" ht="13.5">
      <c r="C5" s="143" t="s">
        <v>64</v>
      </c>
      <c r="D5" s="143" t="s">
        <v>65</v>
      </c>
      <c r="E5" s="143" t="s">
        <v>66</v>
      </c>
      <c r="F5" s="143" t="s">
        <v>67</v>
      </c>
      <c r="G5" s="144" t="s">
        <v>68</v>
      </c>
      <c r="H5" s="245" t="s">
        <v>1331</v>
      </c>
      <c r="I5" s="143" t="s">
        <v>88</v>
      </c>
      <c r="J5" s="143" t="s">
        <v>191</v>
      </c>
      <c r="K5" s="143" t="s">
        <v>72</v>
      </c>
      <c r="L5" s="143" t="s">
        <v>73</v>
      </c>
      <c r="M5" s="143" t="s">
        <v>74</v>
      </c>
      <c r="N5" s="143" t="s">
        <v>75</v>
      </c>
      <c r="O5" s="143" t="s">
        <v>76</v>
      </c>
      <c r="P5" s="143" t="s">
        <v>77</v>
      </c>
      <c r="Q5" s="143" t="s">
        <v>78</v>
      </c>
      <c r="R5" s="143" t="s">
        <v>79</v>
      </c>
      <c r="S5" s="143" t="s">
        <v>80</v>
      </c>
      <c r="V5" s="143" t="s">
        <v>60</v>
      </c>
      <c r="W5" s="143" t="s">
        <v>1658</v>
      </c>
      <c r="X5"/>
      <c r="Y5"/>
      <c r="Z5"/>
      <c r="AA5"/>
    </row>
    <row r="6" spans="1:28" ht="13.5">
      <c r="A6" s="179" t="s">
        <v>86</v>
      </c>
      <c r="C6" s="143"/>
      <c r="D6" s="143"/>
      <c r="E6" s="143"/>
      <c r="F6" s="143"/>
      <c r="G6" s="144"/>
      <c r="H6" s="245"/>
      <c r="I6" s="143"/>
      <c r="J6" s="143"/>
      <c r="K6" s="143"/>
      <c r="L6" s="143"/>
      <c r="M6" s="143"/>
      <c r="N6" s="143"/>
      <c r="O6" s="143"/>
      <c r="P6" s="143"/>
      <c r="Q6" s="143"/>
      <c r="R6" s="143"/>
      <c r="S6" s="143"/>
      <c r="X6"/>
      <c r="Y6"/>
      <c r="Z6"/>
      <c r="AA6"/>
    </row>
    <row r="7" spans="1:28" ht="13.5">
      <c r="A7" s="134" t="s">
        <v>419</v>
      </c>
      <c r="C7" s="146">
        <f>SUM(ATVI!BX12:CA12)</f>
        <v>6939</v>
      </c>
      <c r="D7" s="146">
        <f>SUM(ATVI!CB12:CE12)</f>
        <v>7267</v>
      </c>
      <c r="E7" s="146">
        <f>SUM(ATVI!CF12:CI12)</f>
        <v>7114</v>
      </c>
      <c r="F7" s="146">
        <f>SUM(ATVI!CJ12:CM12)</f>
        <v>6988</v>
      </c>
      <c r="G7" s="154">
        <f>SUM(ATVI!CN12:CQ12)</f>
        <v>8938</v>
      </c>
      <c r="H7" s="247">
        <f>SUM(ATVI!CR12:CU12)</f>
        <v>8091.7446766261464</v>
      </c>
      <c r="I7" s="146"/>
      <c r="J7" s="282"/>
      <c r="K7" s="146"/>
      <c r="L7" s="146"/>
      <c r="M7" s="143"/>
      <c r="N7" s="143"/>
      <c r="O7" s="143"/>
      <c r="P7" s="143"/>
      <c r="Q7" s="143"/>
      <c r="R7" s="143"/>
      <c r="S7" s="143"/>
      <c r="U7" s="134" t="s">
        <v>1659</v>
      </c>
      <c r="V7" s="789">
        <f>Base!H85</f>
        <v>0</v>
      </c>
      <c r="W7" s="789">
        <f>H106</f>
        <v>15.763392506311577</v>
      </c>
      <c r="Y7"/>
      <c r="Z7"/>
      <c r="AA7"/>
    </row>
    <row r="8" spans="1:28" s="271" customFormat="1" ht="13.5">
      <c r="A8" s="134" t="s">
        <v>60</v>
      </c>
      <c r="C8" s="193">
        <f>+'Historical Financials'!BH12</f>
        <v>96571</v>
      </c>
      <c r="D8" s="193">
        <f>+'Historical Financials'!BI12</f>
        <v>110360</v>
      </c>
      <c r="E8" s="193">
        <f>+'Historical Financials'!BJ12</f>
        <v>125843</v>
      </c>
      <c r="F8" s="193">
        <f>+'Historical Financials'!BK12</f>
        <v>143015</v>
      </c>
      <c r="G8" s="273">
        <f>+'Historical Financials'!BL12</f>
        <v>168088</v>
      </c>
      <c r="H8" s="274">
        <f>+'Historical Financials'!BM12</f>
        <v>198270</v>
      </c>
      <c r="I8" s="147"/>
      <c r="J8" s="282"/>
      <c r="K8" s="213"/>
      <c r="L8" s="213"/>
      <c r="M8" s="213"/>
      <c r="N8" s="213"/>
      <c r="O8" s="213"/>
      <c r="P8" s="213"/>
      <c r="Q8" s="213"/>
      <c r="R8" s="213"/>
      <c r="S8" s="213"/>
      <c r="U8" s="134" t="s">
        <v>1660</v>
      </c>
      <c r="V8" s="789">
        <f>Base!H86</f>
        <v>62.557866776247948</v>
      </c>
      <c r="W8" s="789">
        <f t="shared" ref="W8:W9" si="0">H107</f>
        <v>59.832603157293775</v>
      </c>
      <c r="Y8"/>
      <c r="Z8"/>
      <c r="AA8"/>
    </row>
    <row r="9" spans="1:28" s="289" customFormat="1">
      <c r="A9" s="284" t="s">
        <v>86</v>
      </c>
      <c r="B9" s="285"/>
      <c r="C9" s="285">
        <f>SUM(C7:C8)</f>
        <v>103510</v>
      </c>
      <c r="D9" s="285">
        <f t="shared" ref="D9:H9" si="1">SUM(D7:D8)</f>
        <v>117627</v>
      </c>
      <c r="E9" s="285">
        <f t="shared" si="1"/>
        <v>132957</v>
      </c>
      <c r="F9" s="286">
        <f t="shared" si="1"/>
        <v>150003</v>
      </c>
      <c r="G9" s="287">
        <f t="shared" si="1"/>
        <v>177026</v>
      </c>
      <c r="H9" s="288">
        <f t="shared" si="1"/>
        <v>206361.74467662614</v>
      </c>
      <c r="I9" s="285">
        <f>H9*(1+I14)</f>
        <v>220563.62093683978</v>
      </c>
      <c r="J9" s="285">
        <f t="shared" ref="J9:S9" si="2">I9*(1+J14)</f>
        <v>235742.87451873909</v>
      </c>
      <c r="K9" s="285">
        <f t="shared" si="2"/>
        <v>251966.76881847274</v>
      </c>
      <c r="L9" s="285">
        <f t="shared" si="2"/>
        <v>269307.19631899253</v>
      </c>
      <c r="M9" s="285">
        <f t="shared" si="2"/>
        <v>287840.99716517527</v>
      </c>
      <c r="N9" s="285">
        <f t="shared" si="2"/>
        <v>307650.2996633788</v>
      </c>
      <c r="O9" s="285">
        <f t="shared" si="2"/>
        <v>328822.88421427808</v>
      </c>
      <c r="P9" s="285">
        <f t="shared" si="2"/>
        <v>351452.57229166658</v>
      </c>
      <c r="Q9" s="285">
        <f t="shared" si="2"/>
        <v>375639.64219089382</v>
      </c>
      <c r="R9" s="285">
        <f t="shared" si="2"/>
        <v>401491.27338923316</v>
      </c>
      <c r="S9" s="285">
        <f t="shared" si="2"/>
        <v>429122.02148726152</v>
      </c>
      <c r="U9" s="134" t="s">
        <v>1661</v>
      </c>
      <c r="V9" s="789">
        <f>Base!H87</f>
        <v>48.615264024057225</v>
      </c>
      <c r="W9" s="789">
        <f t="shared" si="0"/>
        <v>46.961103031373142</v>
      </c>
      <c r="Y9"/>
      <c r="Z9"/>
      <c r="AA9"/>
    </row>
    <row r="10" spans="1:28">
      <c r="A10" s="170"/>
      <c r="B10" s="145"/>
      <c r="C10" s="146"/>
      <c r="D10" s="146"/>
      <c r="E10" s="146"/>
      <c r="F10" s="217"/>
      <c r="G10" s="154"/>
      <c r="H10" s="247"/>
      <c r="I10" s="147"/>
      <c r="J10" s="147"/>
      <c r="K10" s="147"/>
      <c r="L10" s="147"/>
      <c r="M10" s="147"/>
      <c r="N10" s="147"/>
      <c r="O10" s="147"/>
      <c r="P10" s="147"/>
      <c r="Q10" s="147"/>
      <c r="R10" s="147"/>
      <c r="S10" s="147"/>
      <c r="X10"/>
      <c r="Y10"/>
      <c r="Z10"/>
      <c r="AA10"/>
    </row>
    <row r="11" spans="1:28">
      <c r="A11" s="203" t="s">
        <v>87</v>
      </c>
      <c r="G11" s="156"/>
      <c r="H11" s="248"/>
      <c r="I11" s="262"/>
      <c r="U11" s="134" t="s">
        <v>1662</v>
      </c>
      <c r="V11" s="789">
        <f>Base!I85</f>
        <v>0</v>
      </c>
      <c r="W11" s="789">
        <f>I106</f>
        <v>14.65296332774836</v>
      </c>
      <c r="X11"/>
      <c r="Y11"/>
      <c r="Z11"/>
      <c r="AA11"/>
    </row>
    <row r="12" spans="1:28">
      <c r="A12" s="148" t="str">
        <f>+A7</f>
        <v>ATVI</v>
      </c>
      <c r="C12" s="149"/>
      <c r="D12" s="150">
        <f t="shared" ref="D12:H12" si="3">D7/C7-1</f>
        <v>4.7269058942210673E-2</v>
      </c>
      <c r="E12" s="150">
        <f t="shared" si="3"/>
        <v>-2.1054080088069305E-2</v>
      </c>
      <c r="F12" s="150">
        <f t="shared" si="3"/>
        <v>-1.7711554680910901E-2</v>
      </c>
      <c r="G12" s="156">
        <f t="shared" si="3"/>
        <v>0.27904979965655419</v>
      </c>
      <c r="H12" s="248">
        <f t="shared" si="3"/>
        <v>-9.46806134900261E-2</v>
      </c>
      <c r="I12" s="262"/>
      <c r="J12" s="151"/>
      <c r="K12" s="151"/>
      <c r="L12" s="151"/>
      <c r="M12" s="151"/>
      <c r="N12" s="151"/>
      <c r="O12" s="151"/>
      <c r="P12" s="151"/>
      <c r="Q12" s="151"/>
      <c r="R12" s="151"/>
      <c r="S12" s="151"/>
      <c r="U12" s="134" t="s">
        <v>1663</v>
      </c>
      <c r="V12" s="789">
        <f>Base!I86</f>
        <v>60.162696676645133</v>
      </c>
      <c r="W12" s="789">
        <f>I107</f>
        <v>54.674653767356226</v>
      </c>
      <c r="X12"/>
      <c r="Y12"/>
      <c r="Z12"/>
      <c r="AA12"/>
    </row>
    <row r="13" spans="1:28" s="271" customFormat="1" ht="13.5">
      <c r="A13" s="148" t="str">
        <f t="shared" ref="A13:A14" si="4">+A8</f>
        <v>MSFT</v>
      </c>
      <c r="C13" s="276"/>
      <c r="D13" s="277">
        <f t="shared" ref="D13:H13" si="5">D8/C8-1</f>
        <v>0.14278613662486661</v>
      </c>
      <c r="E13" s="277">
        <f t="shared" si="5"/>
        <v>0.14029539688292858</v>
      </c>
      <c r="F13" s="277">
        <f t="shared" si="5"/>
        <v>0.13645574247276371</v>
      </c>
      <c r="G13" s="278">
        <f t="shared" si="5"/>
        <v>0.17531727441177503</v>
      </c>
      <c r="H13" s="279">
        <f t="shared" si="5"/>
        <v>0.17956070629670173</v>
      </c>
      <c r="I13" s="280"/>
      <c r="J13" s="281"/>
      <c r="K13" s="281"/>
      <c r="L13" s="281"/>
      <c r="M13" s="281"/>
      <c r="N13" s="281"/>
      <c r="O13" s="281"/>
      <c r="P13" s="281"/>
      <c r="Q13" s="281"/>
      <c r="R13" s="281"/>
      <c r="S13" s="281"/>
      <c r="U13" s="134" t="s">
        <v>1664</v>
      </c>
      <c r="V13" s="789">
        <f>Base!I87</f>
        <v>44.979945658119568</v>
      </c>
      <c r="W13" s="789">
        <f>I108</f>
        <v>43.522202660115937</v>
      </c>
      <c r="X13"/>
      <c r="Y13"/>
      <c r="Z13"/>
      <c r="AA13"/>
    </row>
    <row r="14" spans="1:28" s="196" customFormat="1">
      <c r="A14" s="300" t="str">
        <f t="shared" si="4"/>
        <v>Revenue</v>
      </c>
      <c r="C14" s="290"/>
      <c r="D14" s="291">
        <f>D9/C9-1</f>
        <v>0.13638295816829293</v>
      </c>
      <c r="E14" s="291">
        <f>E9/D9-1</f>
        <v>0.13032722079114478</v>
      </c>
      <c r="F14" s="291">
        <f>F9/E9-1</f>
        <v>0.12820686387328228</v>
      </c>
      <c r="G14" s="292">
        <f>G9/F9-1</f>
        <v>0.1801497303387265</v>
      </c>
      <c r="H14" s="293">
        <f>H9/G9-1</f>
        <v>0.16571432827170107</v>
      </c>
      <c r="I14" s="294">
        <f>+Base!I9</f>
        <v>6.8820295556564215E-2</v>
      </c>
      <c r="J14" s="294">
        <f t="shared" ref="J14:S14" si="6">+I14</f>
        <v>6.8820295556564215E-2</v>
      </c>
      <c r="K14" s="294">
        <f t="shared" si="6"/>
        <v>6.8820295556564215E-2</v>
      </c>
      <c r="L14" s="294">
        <f t="shared" si="6"/>
        <v>6.8820295556564215E-2</v>
      </c>
      <c r="M14" s="294">
        <f t="shared" si="6"/>
        <v>6.8820295556564215E-2</v>
      </c>
      <c r="N14" s="294">
        <f t="shared" si="6"/>
        <v>6.8820295556564215E-2</v>
      </c>
      <c r="O14" s="294">
        <f t="shared" si="6"/>
        <v>6.8820295556564215E-2</v>
      </c>
      <c r="P14" s="294">
        <f t="shared" si="6"/>
        <v>6.8820295556564215E-2</v>
      </c>
      <c r="Q14" s="294">
        <f t="shared" si="6"/>
        <v>6.8820295556564215E-2</v>
      </c>
      <c r="R14" s="294">
        <f t="shared" si="6"/>
        <v>6.8820295556564215E-2</v>
      </c>
      <c r="S14" s="294">
        <f t="shared" si="6"/>
        <v>6.8820295556564215E-2</v>
      </c>
      <c r="X14"/>
      <c r="Y14"/>
      <c r="Z14"/>
      <c r="AA14"/>
    </row>
    <row r="15" spans="1:28">
      <c r="A15" s="148"/>
      <c r="C15" s="149"/>
      <c r="D15" s="150"/>
      <c r="E15" s="150"/>
      <c r="F15" s="243"/>
      <c r="G15" s="223"/>
      <c r="H15" s="246"/>
      <c r="I15" s="243"/>
      <c r="J15" s="215"/>
      <c r="K15" s="151"/>
      <c r="L15" s="151"/>
      <c r="M15" s="151"/>
      <c r="N15" s="151"/>
      <c r="O15" s="151"/>
      <c r="P15" s="151"/>
      <c r="Q15" s="151"/>
      <c r="R15" s="151"/>
      <c r="S15" s="151"/>
      <c r="U15" s="134" t="s">
        <v>1365</v>
      </c>
      <c r="V15" s="788">
        <f>Base!H96</f>
        <v>0</v>
      </c>
      <c r="W15" s="788">
        <f ca="1">H118</f>
        <v>-1.771526634693146E-2</v>
      </c>
    </row>
    <row r="16" spans="1:28">
      <c r="A16" s="179" t="s">
        <v>95</v>
      </c>
      <c r="C16" s="149"/>
      <c r="D16" s="150"/>
      <c r="E16" s="150"/>
      <c r="F16" s="243"/>
      <c r="G16" s="223"/>
      <c r="H16" s="246"/>
      <c r="I16" s="243"/>
      <c r="J16" s="215"/>
      <c r="K16" s="151"/>
      <c r="L16" s="151"/>
      <c r="M16" s="151"/>
      <c r="N16" s="151"/>
      <c r="O16" s="151"/>
      <c r="P16" s="151"/>
      <c r="Q16" s="151"/>
      <c r="R16" s="151"/>
      <c r="S16" s="151"/>
    </row>
    <row r="17" spans="1:19">
      <c r="A17" s="134" t="s">
        <v>419</v>
      </c>
      <c r="C17" s="146">
        <f>SUM(ATVI!BX84:CA84)</f>
        <v>2401</v>
      </c>
      <c r="D17" s="146">
        <f>SUM(ATVI!CB84:CE84)</f>
        <v>2085</v>
      </c>
      <c r="E17" s="146">
        <f>SUM(ATVI!CF84:CI84)</f>
        <v>2229</v>
      </c>
      <c r="F17" s="146">
        <f>SUM(ATVI!CJ84:CM84)</f>
        <v>2267</v>
      </c>
      <c r="G17" s="154">
        <f>SUM(ATVI!CN84:CQ84)</f>
        <v>3231</v>
      </c>
      <c r="H17" s="247">
        <f>SUM(ATVI!CR84:CU84)</f>
        <v>2948.8179093882763</v>
      </c>
      <c r="I17" s="147"/>
      <c r="J17" s="282"/>
      <c r="K17" s="283"/>
      <c r="L17" s="283"/>
      <c r="M17" s="283"/>
      <c r="N17" s="283"/>
      <c r="O17" s="283"/>
      <c r="P17" s="283"/>
      <c r="Q17" s="283"/>
      <c r="R17" s="283"/>
      <c r="S17" s="283"/>
    </row>
    <row r="18" spans="1:19" ht="13.5">
      <c r="A18" s="134" t="s">
        <v>60</v>
      </c>
      <c r="C18" s="193">
        <f>+'Historical Financials'!BH48</f>
        <v>29331</v>
      </c>
      <c r="D18" s="193">
        <f>+'Historical Financials'!BI48</f>
        <v>35058</v>
      </c>
      <c r="E18" s="193">
        <f>+'Historical Financials'!BJ48</f>
        <v>42959</v>
      </c>
      <c r="F18" s="193">
        <f>+'Historical Financials'!BK48</f>
        <v>52959</v>
      </c>
      <c r="G18" s="273">
        <f>+'Historical Financials'!BL48</f>
        <v>69916</v>
      </c>
      <c r="H18" s="274">
        <f>+'Historical Financials'!BM48</f>
        <v>83383</v>
      </c>
      <c r="I18" s="147"/>
      <c r="J18" s="282"/>
      <c r="K18" s="283"/>
      <c r="L18" s="283"/>
      <c r="M18" s="283"/>
      <c r="N18" s="283"/>
      <c r="O18" s="283"/>
      <c r="P18" s="283"/>
      <c r="Q18" s="283"/>
      <c r="R18" s="283"/>
      <c r="S18" s="283"/>
    </row>
    <row r="19" spans="1:19" s="196" customFormat="1">
      <c r="A19" s="195" t="s">
        <v>95</v>
      </c>
      <c r="B19" s="295"/>
      <c r="C19" s="285">
        <f>SUM(C17:C18)</f>
        <v>31732</v>
      </c>
      <c r="D19" s="285">
        <f t="shared" ref="D19" si="7">SUM(D17:D18)</f>
        <v>37143</v>
      </c>
      <c r="E19" s="285">
        <f t="shared" ref="E19" si="8">SUM(E17:E18)</f>
        <v>45188</v>
      </c>
      <c r="F19" s="286">
        <f t="shared" ref="F19" si="9">SUM(F17:F18)</f>
        <v>55226</v>
      </c>
      <c r="G19" s="287">
        <f t="shared" ref="G19" si="10">SUM(G17:G18)</f>
        <v>73147</v>
      </c>
      <c r="H19" s="288">
        <f t="shared" ref="H19" si="11">SUM(H17:H18)</f>
        <v>86331.817909388279</v>
      </c>
      <c r="I19" s="285">
        <f>+H19+(I9-H9)*I34</f>
        <v>92900.38083193927</v>
      </c>
      <c r="J19" s="285">
        <f t="shared" ref="J19:S19" si="12">+I19+(J9-I9)*J34</f>
        <v>99920.994196202111</v>
      </c>
      <c r="K19" s="285">
        <f t="shared" si="12"/>
        <v>107424.7682471819</v>
      </c>
      <c r="L19" s="285">
        <f t="shared" si="12"/>
        <v>115444.95424613978</v>
      </c>
      <c r="M19" s="285">
        <f t="shared" si="12"/>
        <v>124017.09181596457</v>
      </c>
      <c r="N19" s="285">
        <f t="shared" si="12"/>
        <v>133179.16642689623</v>
      </c>
      <c r="O19" s="285">
        <f t="shared" si="12"/>
        <v>142971.77772046349</v>
      </c>
      <c r="P19" s="285">
        <f t="shared" si="12"/>
        <v>153438.31941752462</v>
      </c>
      <c r="Q19" s="285">
        <f t="shared" si="12"/>
        <v>164625.17160763257</v>
      </c>
      <c r="R19" s="285">
        <f t="shared" si="12"/>
        <v>176581.90627181134</v>
      </c>
      <c r="S19" s="285">
        <f t="shared" si="12"/>
        <v>189361.50694947032</v>
      </c>
    </row>
    <row r="20" spans="1:19">
      <c r="A20" s="170"/>
      <c r="B20" s="145"/>
      <c r="C20" s="146"/>
      <c r="D20" s="146"/>
      <c r="E20" s="217"/>
      <c r="F20" s="217"/>
      <c r="G20" s="206"/>
      <c r="H20" s="250"/>
      <c r="I20" s="147"/>
      <c r="J20" s="147"/>
      <c r="K20" s="147"/>
      <c r="L20" s="147"/>
      <c r="M20" s="147"/>
      <c r="N20" s="147"/>
      <c r="O20" s="147"/>
      <c r="P20" s="147"/>
      <c r="Q20" s="147"/>
      <c r="R20" s="147"/>
      <c r="S20" s="147"/>
    </row>
    <row r="21" spans="1:19">
      <c r="A21" s="203" t="s">
        <v>87</v>
      </c>
      <c r="G21" s="156"/>
      <c r="H21" s="248"/>
      <c r="I21" s="262"/>
    </row>
    <row r="22" spans="1:19">
      <c r="A22" s="148" t="str">
        <f>+A17</f>
        <v>ATVI</v>
      </c>
      <c r="C22" s="149"/>
      <c r="D22" s="150">
        <f t="shared" ref="D22:H22" si="13">D17/C17-1</f>
        <v>-0.13161182840483132</v>
      </c>
      <c r="E22" s="150">
        <f t="shared" si="13"/>
        <v>6.9064748201438819E-2</v>
      </c>
      <c r="F22" s="150">
        <f t="shared" si="13"/>
        <v>1.7048003589053451E-2</v>
      </c>
      <c r="G22" s="156">
        <f t="shared" si="13"/>
        <v>0.42523158359064839</v>
      </c>
      <c r="H22" s="248">
        <f t="shared" si="13"/>
        <v>-8.7335837391434135E-2</v>
      </c>
      <c r="I22" s="262"/>
      <c r="J22" s="151"/>
      <c r="K22" s="151"/>
      <c r="L22" s="151"/>
      <c r="M22" s="151"/>
      <c r="N22" s="151"/>
      <c r="O22" s="151"/>
      <c r="P22" s="151"/>
      <c r="Q22" s="151"/>
      <c r="R22" s="151"/>
      <c r="S22" s="151"/>
    </row>
    <row r="23" spans="1:19" s="271" customFormat="1" ht="13.5">
      <c r="A23" s="148" t="str">
        <f t="shared" ref="A23:A24" si="14">+A18</f>
        <v>MSFT</v>
      </c>
      <c r="C23" s="276"/>
      <c r="D23" s="277">
        <f t="shared" ref="D23:H23" si="15">D18/C18-1</f>
        <v>0.19525416794517736</v>
      </c>
      <c r="E23" s="277">
        <f t="shared" si="15"/>
        <v>0.22536938787152727</v>
      </c>
      <c r="F23" s="277">
        <f t="shared" si="15"/>
        <v>0.23278009264647692</v>
      </c>
      <c r="G23" s="278">
        <f t="shared" si="15"/>
        <v>0.3201910912215109</v>
      </c>
      <c r="H23" s="279">
        <f t="shared" si="15"/>
        <v>0.19261685451112753</v>
      </c>
      <c r="I23" s="280"/>
      <c r="J23" s="281"/>
      <c r="K23" s="281"/>
      <c r="L23" s="281"/>
      <c r="M23" s="281"/>
      <c r="N23" s="281"/>
      <c r="O23" s="281"/>
      <c r="P23" s="281"/>
      <c r="Q23" s="281"/>
      <c r="R23" s="281"/>
      <c r="S23" s="281"/>
    </row>
    <row r="24" spans="1:19" s="196" customFormat="1">
      <c r="A24" s="300" t="str">
        <f t="shared" si="14"/>
        <v>EBIT</v>
      </c>
      <c r="C24" s="290"/>
      <c r="D24" s="291">
        <f t="shared" ref="D24:S24" si="16">D19/C19-1</f>
        <v>0.17052187066683477</v>
      </c>
      <c r="E24" s="291">
        <f t="shared" si="16"/>
        <v>0.21659532078722776</v>
      </c>
      <c r="F24" s="291">
        <f t="shared" si="16"/>
        <v>0.22213862087279801</v>
      </c>
      <c r="G24" s="292">
        <f t="shared" si="16"/>
        <v>0.32450295150834751</v>
      </c>
      <c r="H24" s="293">
        <f>H19/G19-1</f>
        <v>0.18025097282716018</v>
      </c>
      <c r="I24" s="291">
        <f>I19/H19-1</f>
        <v>7.6085075950157677E-2</v>
      </c>
      <c r="J24" s="291">
        <f t="shared" si="16"/>
        <v>7.5571416407467895E-2</v>
      </c>
      <c r="K24" s="291">
        <f t="shared" si="16"/>
        <v>7.5097071554808492E-2</v>
      </c>
      <c r="L24" s="291">
        <f t="shared" si="16"/>
        <v>7.4658629753834971E-2</v>
      </c>
      <c r="M24" s="291">
        <f t="shared" si="16"/>
        <v>7.4253029296959649E-2</v>
      </c>
      <c r="N24" s="291">
        <f t="shared" si="16"/>
        <v>7.3877515403503846E-2</v>
      </c>
      <c r="O24" s="291">
        <f t="shared" si="16"/>
        <v>7.3529603437956226E-2</v>
      </c>
      <c r="P24" s="291">
        <f t="shared" si="16"/>
        <v>7.3207047320382079E-2</v>
      </c>
      <c r="Q24" s="291">
        <f t="shared" si="16"/>
        <v>7.2907812289491725E-2</v>
      </c>
      <c r="R24" s="291">
        <f t="shared" si="16"/>
        <v>7.263005133064615E-2</v>
      </c>
      <c r="S24" s="291">
        <f t="shared" si="16"/>
        <v>7.237208470265033E-2</v>
      </c>
    </row>
    <row r="25" spans="1:19">
      <c r="A25" s="210"/>
      <c r="C25" s="149"/>
      <c r="D25" s="150"/>
      <c r="E25" s="150"/>
      <c r="F25" s="150"/>
      <c r="G25" s="155"/>
      <c r="H25" s="251"/>
      <c r="I25" s="150"/>
      <c r="J25" s="150"/>
      <c r="K25" s="150"/>
      <c r="L25" s="150"/>
      <c r="M25" s="150"/>
      <c r="N25" s="150"/>
      <c r="O25" s="150"/>
      <c r="P25" s="150"/>
      <c r="Q25" s="150"/>
      <c r="R25" s="150"/>
      <c r="S25" s="150"/>
    </row>
    <row r="26" spans="1:19">
      <c r="A26" s="203" t="s">
        <v>99</v>
      </c>
      <c r="C26" s="149"/>
      <c r="D26" s="150"/>
      <c r="E26" s="150"/>
      <c r="F26" s="150"/>
      <c r="G26" s="155"/>
      <c r="H26" s="251"/>
    </row>
    <row r="27" spans="1:19">
      <c r="A27" s="148" t="str">
        <f>+A22</f>
        <v>ATVI</v>
      </c>
      <c r="C27" s="149"/>
      <c r="D27" s="150">
        <f t="shared" ref="D27:H27" si="17">+D17/D7</f>
        <v>0.28691344433741572</v>
      </c>
      <c r="E27" s="150">
        <f t="shared" si="17"/>
        <v>0.31332583637897105</v>
      </c>
      <c r="F27" s="150">
        <f t="shared" si="17"/>
        <v>0.3244132799084144</v>
      </c>
      <c r="G27" s="155">
        <f t="shared" si="17"/>
        <v>0.36149026627880959</v>
      </c>
      <c r="H27" s="251">
        <f t="shared" si="17"/>
        <v>0.36442300483185613</v>
      </c>
      <c r="I27" s="149"/>
      <c r="J27" s="149"/>
      <c r="K27" s="149"/>
      <c r="L27" s="149"/>
      <c r="M27" s="149"/>
      <c r="N27" s="149"/>
      <c r="O27" s="149"/>
      <c r="P27" s="149"/>
      <c r="Q27" s="149"/>
      <c r="R27" s="149"/>
      <c r="S27" s="149"/>
    </row>
    <row r="28" spans="1:19" s="271" customFormat="1" ht="13.5">
      <c r="A28" s="148" t="str">
        <f t="shared" ref="A28:A29" si="18">+A23</f>
        <v>MSFT</v>
      </c>
      <c r="C28" s="276"/>
      <c r="D28" s="277">
        <f t="shared" ref="D28:H28" si="19">+D18/D8</f>
        <v>0.31766944545125048</v>
      </c>
      <c r="E28" s="277">
        <f t="shared" si="19"/>
        <v>0.3413698020549415</v>
      </c>
      <c r="F28" s="277">
        <f t="shared" si="19"/>
        <v>0.37030381428521486</v>
      </c>
      <c r="G28" s="298">
        <f t="shared" si="19"/>
        <v>0.41594878872971303</v>
      </c>
      <c r="H28" s="299">
        <f t="shared" si="19"/>
        <v>0.4205527815604983</v>
      </c>
      <c r="I28" s="276"/>
      <c r="J28" s="276"/>
      <c r="K28" s="276"/>
      <c r="L28" s="276"/>
      <c r="M28" s="276"/>
      <c r="N28" s="276"/>
      <c r="O28" s="276"/>
      <c r="P28" s="276"/>
      <c r="Q28" s="276"/>
      <c r="R28" s="276"/>
      <c r="S28" s="276"/>
    </row>
    <row r="29" spans="1:19">
      <c r="A29" s="300" t="str">
        <f t="shared" si="18"/>
        <v>EBIT</v>
      </c>
      <c r="C29" s="149"/>
      <c r="D29" s="291">
        <f t="shared" ref="D29:S29" si="20">+D19/D9</f>
        <v>0.3157693386722436</v>
      </c>
      <c r="E29" s="291">
        <f t="shared" si="20"/>
        <v>0.33986928104575165</v>
      </c>
      <c r="F29" s="291">
        <f t="shared" si="20"/>
        <v>0.36816597001393303</v>
      </c>
      <c r="G29" s="296">
        <f t="shared" si="20"/>
        <v>0.4131991910792765</v>
      </c>
      <c r="H29" s="297">
        <f t="shared" si="20"/>
        <v>0.4183518512342117</v>
      </c>
      <c r="I29" s="290">
        <f t="shared" si="20"/>
        <v>0.42119539222899349</v>
      </c>
      <c r="J29" s="290">
        <f t="shared" si="20"/>
        <v>0.42385584039469848</v>
      </c>
      <c r="K29" s="290">
        <f t="shared" si="20"/>
        <v>0.42634498489987438</v>
      </c>
      <c r="L29" s="290">
        <f t="shared" si="20"/>
        <v>0.42867385582001316</v>
      </c>
      <c r="M29" s="290">
        <f t="shared" si="20"/>
        <v>0.43085277301481256</v>
      </c>
      <c r="N29" s="290">
        <f t="shared" si="20"/>
        <v>0.43289139185827757</v>
      </c>
      <c r="O29" s="290">
        <f t="shared" si="20"/>
        <v>0.43479874602430546</v>
      </c>
      <c r="P29" s="290">
        <f t="shared" si="20"/>
        <v>0.43658328751734915</v>
      </c>
      <c r="Q29" s="290">
        <f t="shared" si="20"/>
        <v>0.43825292412554473</v>
      </c>
      <c r="R29" s="290">
        <f t="shared" si="20"/>
        <v>0.43981505446226909</v>
      </c>
      <c r="S29" s="290">
        <f t="shared" si="20"/>
        <v>0.4412766007514054</v>
      </c>
    </row>
    <row r="30" spans="1:19">
      <c r="A30" s="210"/>
      <c r="C30" s="149"/>
      <c r="D30" s="150"/>
      <c r="E30" s="150"/>
      <c r="F30" s="150"/>
      <c r="G30" s="155"/>
      <c r="H30" s="251"/>
      <c r="I30" s="149"/>
      <c r="J30" s="149"/>
      <c r="K30" s="149"/>
      <c r="L30" s="149"/>
      <c r="M30" s="149"/>
      <c r="N30" s="149"/>
      <c r="O30" s="149"/>
      <c r="P30" s="149"/>
      <c r="Q30" s="149"/>
      <c r="R30" s="149"/>
      <c r="S30" s="149"/>
    </row>
    <row r="31" spans="1:19">
      <c r="A31" s="203" t="s">
        <v>101</v>
      </c>
      <c r="G31" s="155"/>
      <c r="H31" s="251"/>
      <c r="I31" s="262"/>
    </row>
    <row r="32" spans="1:19">
      <c r="A32" s="148" t="str">
        <f>+A27</f>
        <v>ATVI</v>
      </c>
      <c r="C32" s="150"/>
      <c r="D32" s="150">
        <f t="shared" ref="D32:H32" si="21">(D17-C17)/(D7-C7)</f>
        <v>-0.96341463414634143</v>
      </c>
      <c r="E32" s="150">
        <f t="shared" si="21"/>
        <v>-0.94117647058823528</v>
      </c>
      <c r="F32" s="150">
        <f t="shared" si="21"/>
        <v>-0.30158730158730157</v>
      </c>
      <c r="G32" s="155">
        <f t="shared" si="21"/>
        <v>0.49435897435897436</v>
      </c>
      <c r="H32" s="251">
        <f t="shared" si="21"/>
        <v>0.3334479356498688</v>
      </c>
      <c r="I32" s="262"/>
      <c r="J32" s="262"/>
      <c r="K32" s="262"/>
      <c r="L32" s="262"/>
      <c r="M32" s="262"/>
      <c r="N32" s="262"/>
      <c r="O32" s="262"/>
      <c r="P32" s="262"/>
      <c r="Q32" s="262"/>
      <c r="R32" s="262"/>
      <c r="S32" s="262"/>
    </row>
    <row r="33" spans="1:19" s="271" customFormat="1" ht="13.5">
      <c r="A33" s="148" t="str">
        <f t="shared" ref="A33:A34" si="22">+A28</f>
        <v>MSFT</v>
      </c>
      <c r="C33" s="277"/>
      <c r="D33" s="277">
        <f t="shared" ref="D33:H33" si="23">(D18-C18)/(D8-C8)</f>
        <v>0.41533106099064471</v>
      </c>
      <c r="E33" s="277">
        <f t="shared" si="23"/>
        <v>0.51030162113285538</v>
      </c>
      <c r="F33" s="277">
        <f t="shared" si="23"/>
        <v>0.58234334963894707</v>
      </c>
      <c r="G33" s="298">
        <f t="shared" si="23"/>
        <v>0.67630518884856217</v>
      </c>
      <c r="H33" s="299">
        <f t="shared" si="23"/>
        <v>0.44619309522231793</v>
      </c>
      <c r="I33" s="280"/>
      <c r="J33" s="280"/>
      <c r="K33" s="280"/>
      <c r="L33" s="280"/>
      <c r="M33" s="280"/>
      <c r="N33" s="280"/>
      <c r="O33" s="280"/>
      <c r="P33" s="280"/>
      <c r="Q33" s="280"/>
      <c r="R33" s="280"/>
      <c r="S33" s="280"/>
    </row>
    <row r="34" spans="1:19" s="196" customFormat="1">
      <c r="A34" s="300" t="str">
        <f t="shared" si="22"/>
        <v>EBIT</v>
      </c>
      <c r="C34" s="291"/>
      <c r="D34" s="291">
        <f>(D19-C19)/(D9-C9)</f>
        <v>0.38329673443366152</v>
      </c>
      <c r="E34" s="291">
        <f>(E19-D19)/(E9-D9)</f>
        <v>0.52478799739073712</v>
      </c>
      <c r="F34" s="291">
        <f>(F19-E19)/(F9-E9)</f>
        <v>0.5888771559310102</v>
      </c>
      <c r="G34" s="296">
        <f>(G19-F19)/(G9-F9)</f>
        <v>0.66317581319616625</v>
      </c>
      <c r="H34" s="297">
        <f>(H19-G19)/(H9-G9)</f>
        <v>0.44944548211498286</v>
      </c>
      <c r="I34" s="294">
        <f>+Base!I18</f>
        <v>0.46251374129717843</v>
      </c>
      <c r="J34" s="294">
        <f>+I34</f>
        <v>0.46251374129717843</v>
      </c>
      <c r="K34" s="294">
        <f t="shared" ref="K34:S34" si="24">+J34</f>
        <v>0.46251374129717843</v>
      </c>
      <c r="L34" s="294">
        <f t="shared" si="24"/>
        <v>0.46251374129717843</v>
      </c>
      <c r="M34" s="294">
        <f t="shared" si="24"/>
        <v>0.46251374129717843</v>
      </c>
      <c r="N34" s="294">
        <f t="shared" si="24"/>
        <v>0.46251374129717843</v>
      </c>
      <c r="O34" s="294">
        <f t="shared" si="24"/>
        <v>0.46251374129717843</v>
      </c>
      <c r="P34" s="294">
        <f t="shared" si="24"/>
        <v>0.46251374129717843</v>
      </c>
      <c r="Q34" s="294">
        <f t="shared" si="24"/>
        <v>0.46251374129717843</v>
      </c>
      <c r="R34" s="294">
        <f t="shared" si="24"/>
        <v>0.46251374129717843</v>
      </c>
      <c r="S34" s="294">
        <f t="shared" si="24"/>
        <v>0.46251374129717843</v>
      </c>
    </row>
    <row r="35" spans="1:19">
      <c r="A35" s="148"/>
      <c r="C35" s="149"/>
      <c r="D35" s="150"/>
      <c r="E35" s="150"/>
      <c r="F35" s="150"/>
      <c r="G35" s="244"/>
      <c r="H35" s="249"/>
      <c r="I35" s="151"/>
      <c r="J35" s="151"/>
      <c r="K35" s="151"/>
      <c r="L35" s="151"/>
      <c r="M35" s="151"/>
      <c r="N35" s="151"/>
      <c r="O35" s="151"/>
      <c r="P35" s="151"/>
      <c r="Q35" s="151"/>
      <c r="R35" s="151"/>
      <c r="S35" s="151"/>
    </row>
    <row r="36" spans="1:19">
      <c r="A36" s="203" t="s">
        <v>123</v>
      </c>
      <c r="C36" s="149"/>
      <c r="D36" s="150"/>
      <c r="E36" s="150"/>
      <c r="F36" s="150"/>
      <c r="G36" s="244"/>
      <c r="H36" s="249"/>
      <c r="I36" s="151"/>
      <c r="J36" s="151"/>
      <c r="K36" s="151"/>
      <c r="L36" s="151"/>
      <c r="M36" s="151"/>
      <c r="N36" s="151"/>
      <c r="O36" s="151"/>
      <c r="P36" s="151"/>
      <c r="Q36" s="151"/>
      <c r="R36" s="151"/>
      <c r="S36" s="151"/>
    </row>
    <row r="37" spans="1:19">
      <c r="A37" s="148"/>
      <c r="C37" s="149"/>
      <c r="D37" s="150"/>
      <c r="E37" s="150"/>
      <c r="F37" s="150"/>
      <c r="G37" s="244"/>
      <c r="H37" s="249"/>
      <c r="I37" s="151"/>
      <c r="J37" s="151"/>
      <c r="K37" s="151"/>
      <c r="L37" s="151"/>
      <c r="M37" s="151"/>
      <c r="N37" s="151"/>
      <c r="O37" s="151"/>
      <c r="P37" s="151"/>
      <c r="Q37" s="151"/>
      <c r="R37" s="151"/>
      <c r="S37" s="151"/>
    </row>
    <row r="38" spans="1:19">
      <c r="A38" s="203" t="s">
        <v>187</v>
      </c>
      <c r="C38" s="133"/>
      <c r="D38" s="133"/>
      <c r="E38" s="133"/>
      <c r="F38" s="243"/>
      <c r="G38" s="223"/>
      <c r="H38" s="246"/>
      <c r="I38" s="216"/>
      <c r="J38" s="216"/>
      <c r="K38" s="133"/>
      <c r="L38" s="133"/>
      <c r="M38" s="133"/>
      <c r="N38" s="133"/>
      <c r="O38" s="133"/>
      <c r="P38" s="133"/>
      <c r="Q38" s="133"/>
      <c r="R38" s="133"/>
      <c r="S38" s="133"/>
    </row>
    <row r="39" spans="1:19" s="140" customFormat="1">
      <c r="A39" s="148" t="s">
        <v>419</v>
      </c>
      <c r="C39" s="205">
        <f t="shared" ref="C39:H39" si="25">+C49-C17</f>
        <v>196</v>
      </c>
      <c r="D39" s="205">
        <f t="shared" si="25"/>
        <v>158</v>
      </c>
      <c r="E39" s="218">
        <f t="shared" si="25"/>
        <v>133</v>
      </c>
      <c r="F39" s="218">
        <f t="shared" si="25"/>
        <v>165</v>
      </c>
      <c r="G39" s="206">
        <f t="shared" si="25"/>
        <v>154</v>
      </c>
      <c r="H39" s="250">
        <f t="shared" si="25"/>
        <v>114.76072687137412</v>
      </c>
      <c r="I39" s="205"/>
      <c r="J39" s="205"/>
      <c r="K39" s="205"/>
      <c r="L39" s="205"/>
      <c r="M39" s="780"/>
      <c r="N39" s="780"/>
      <c r="O39" s="780"/>
      <c r="P39" s="780"/>
      <c r="Q39" s="780"/>
      <c r="R39" s="780"/>
      <c r="S39" s="780"/>
    </row>
    <row r="40" spans="1:19" s="301" customFormat="1" ht="13.5">
      <c r="A40" s="148" t="s">
        <v>60</v>
      </c>
      <c r="C40" s="302">
        <f>+'Historical Financials'!BH85</f>
        <v>8778</v>
      </c>
      <c r="D40" s="302">
        <f>+'Historical Financials'!BI85</f>
        <v>10261</v>
      </c>
      <c r="E40" s="303">
        <f>+'Historical Financials'!BJ85</f>
        <v>11682</v>
      </c>
      <c r="F40" s="303">
        <f>+'Historical Financials'!BK85</f>
        <v>12796</v>
      </c>
      <c r="G40" s="304">
        <f>+'Historical Financials'!BL85</f>
        <v>11686</v>
      </c>
      <c r="H40" s="305">
        <f>+'Historical Financials'!BM85</f>
        <v>14460</v>
      </c>
      <c r="I40" s="306"/>
      <c r="J40" s="306"/>
      <c r="K40" s="307"/>
      <c r="L40" s="307"/>
      <c r="M40" s="307"/>
      <c r="N40" s="307"/>
      <c r="O40" s="307"/>
      <c r="P40" s="307"/>
      <c r="Q40" s="307"/>
      <c r="R40" s="307"/>
      <c r="S40" s="307"/>
    </row>
    <row r="41" spans="1:19" s="138" customFormat="1">
      <c r="A41" s="308" t="s">
        <v>187</v>
      </c>
      <c r="B41" s="209"/>
      <c r="C41" s="209">
        <f t="shared" ref="C41:G41" si="26">SUM(C39:C40)</f>
        <v>8974</v>
      </c>
      <c r="D41" s="209">
        <f t="shared" si="26"/>
        <v>10419</v>
      </c>
      <c r="E41" s="219">
        <f t="shared" si="26"/>
        <v>11815</v>
      </c>
      <c r="F41" s="219">
        <f t="shared" si="26"/>
        <v>12961</v>
      </c>
      <c r="G41" s="211">
        <f t="shared" si="26"/>
        <v>11840</v>
      </c>
      <c r="H41" s="254">
        <f>SUM(H39:H40)</f>
        <v>14574.760726871375</v>
      </c>
      <c r="I41" s="209">
        <f>+I46*I9</f>
        <v>15798.363688697707</v>
      </c>
      <c r="J41" s="209">
        <f t="shared" ref="J41:S41" si="27">+J46*J9</f>
        <v>17121.354621582715</v>
      </c>
      <c r="K41" s="209">
        <f t="shared" si="27"/>
        <v>18551.618075787257</v>
      </c>
      <c r="L41" s="209">
        <f t="shared" si="27"/>
        <v>20097.653111134427</v>
      </c>
      <c r="M41" s="209">
        <f t="shared" si="27"/>
        <v>21768.62053540118</v>
      </c>
      <c r="N41" s="209">
        <f t="shared" si="27"/>
        <v>23574.39373416956</v>
      </c>
      <c r="O41" s="209">
        <f t="shared" si="27"/>
        <v>25525.613362736203</v>
      </c>
      <c r="P41" s="209">
        <f t="shared" si="27"/>
        <v>27633.74619091396</v>
      </c>
      <c r="Q41" s="209">
        <f t="shared" si="27"/>
        <v>29911.148413298633</v>
      </c>
      <c r="R41" s="209">
        <f t="shared" si="27"/>
        <v>32371.133760927336</v>
      </c>
      <c r="S41" s="209">
        <f t="shared" si="27"/>
        <v>35028.046775342693</v>
      </c>
    </row>
    <row r="42" spans="1:19" s="140" customFormat="1">
      <c r="A42" s="170"/>
      <c r="B42" s="204"/>
      <c r="C42" s="205"/>
      <c r="D42" s="205"/>
      <c r="E42" s="218"/>
      <c r="F42" s="218"/>
      <c r="G42" s="206"/>
      <c r="H42" s="250"/>
      <c r="I42" s="209"/>
      <c r="J42" s="209"/>
      <c r="K42" s="209"/>
      <c r="L42" s="209"/>
      <c r="M42" s="209"/>
      <c r="N42" s="209"/>
      <c r="O42" s="209"/>
      <c r="P42" s="209"/>
      <c r="Q42" s="209"/>
      <c r="R42" s="209"/>
      <c r="S42" s="209"/>
    </row>
    <row r="43" spans="1:19" s="140" customFormat="1">
      <c r="A43" s="268" t="s">
        <v>118</v>
      </c>
      <c r="G43" s="155"/>
      <c r="H43" s="251"/>
      <c r="I43" s="262"/>
    </row>
    <row r="44" spans="1:19" s="140" customFormat="1">
      <c r="A44" s="171" t="s">
        <v>419</v>
      </c>
      <c r="C44" s="149">
        <f t="shared" ref="C44:H46" si="28">+C39/C7</f>
        <v>2.8246144977662486E-2</v>
      </c>
      <c r="D44" s="149">
        <f t="shared" si="28"/>
        <v>2.1742121921012797E-2</v>
      </c>
      <c r="E44" s="149">
        <f t="shared" si="28"/>
        <v>1.8695529940961485E-2</v>
      </c>
      <c r="F44" s="149">
        <f t="shared" si="28"/>
        <v>2.3611906124785347E-2</v>
      </c>
      <c r="G44" s="155">
        <f t="shared" si="28"/>
        <v>1.7229805325576192E-2</v>
      </c>
      <c r="H44" s="251">
        <f t="shared" si="28"/>
        <v>1.4182445375825132E-2</v>
      </c>
      <c r="I44" s="262"/>
      <c r="J44" s="138"/>
      <c r="K44" s="138"/>
      <c r="L44" s="138"/>
      <c r="M44" s="138"/>
      <c r="N44" s="138"/>
      <c r="O44" s="138"/>
      <c r="P44" s="138"/>
      <c r="Q44" s="138"/>
      <c r="R44" s="138"/>
      <c r="S44" s="138"/>
    </row>
    <row r="45" spans="1:19" s="301" customFormat="1" ht="13.5">
      <c r="A45" s="171" t="s">
        <v>60</v>
      </c>
      <c r="C45" s="276">
        <f t="shared" si="28"/>
        <v>9.0896853092543306E-2</v>
      </c>
      <c r="D45" s="276">
        <f t="shared" si="28"/>
        <v>9.2977528089887643E-2</v>
      </c>
      <c r="E45" s="276">
        <f t="shared" si="28"/>
        <v>9.2829954784930432E-2</v>
      </c>
      <c r="F45" s="276">
        <f t="shared" si="28"/>
        <v>8.9473132188931229E-2</v>
      </c>
      <c r="G45" s="298">
        <f t="shared" si="28"/>
        <v>6.9523106943981727E-2</v>
      </c>
      <c r="H45" s="299">
        <f t="shared" si="28"/>
        <v>7.2930851868663937E-2</v>
      </c>
      <c r="I45" s="280"/>
      <c r="J45" s="307"/>
      <c r="K45" s="307"/>
      <c r="L45" s="307"/>
      <c r="M45" s="307"/>
      <c r="N45" s="307"/>
      <c r="O45" s="307"/>
      <c r="P45" s="307"/>
      <c r="Q45" s="307"/>
      <c r="R45" s="307"/>
      <c r="S45" s="307"/>
    </row>
    <row r="46" spans="1:19" s="140" customFormat="1">
      <c r="A46" s="269" t="s">
        <v>187</v>
      </c>
      <c r="C46" s="149">
        <f t="shared" si="28"/>
        <v>8.6696937493961942E-2</v>
      </c>
      <c r="D46" s="149">
        <f t="shared" si="28"/>
        <v>8.8576602310693975E-2</v>
      </c>
      <c r="E46" s="149">
        <f t="shared" si="28"/>
        <v>8.8863316711417978E-2</v>
      </c>
      <c r="F46" s="149">
        <f t="shared" si="28"/>
        <v>8.6404938567895315E-2</v>
      </c>
      <c r="G46" s="155">
        <f t="shared" si="28"/>
        <v>6.6882830770621265E-2</v>
      </c>
      <c r="H46" s="251">
        <f>+H41/H9</f>
        <v>7.0627241253994916E-2</v>
      </c>
      <c r="I46" s="262">
        <f>+H46+0.1%</f>
        <v>7.1627241253994917E-2</v>
      </c>
      <c r="J46" s="262">
        <f t="shared" ref="J46:S46" si="29">+I46+0.1%</f>
        <v>7.2627241253994917E-2</v>
      </c>
      <c r="K46" s="262">
        <f t="shared" si="29"/>
        <v>7.3627241253994918E-2</v>
      </c>
      <c r="L46" s="262">
        <f t="shared" si="29"/>
        <v>7.4627241253994919E-2</v>
      </c>
      <c r="M46" s="262">
        <f t="shared" si="29"/>
        <v>7.562724125399492E-2</v>
      </c>
      <c r="N46" s="262">
        <f t="shared" si="29"/>
        <v>7.6627241253994921E-2</v>
      </c>
      <c r="O46" s="262">
        <f t="shared" si="29"/>
        <v>7.7627241253994922E-2</v>
      </c>
      <c r="P46" s="262">
        <f t="shared" si="29"/>
        <v>7.8627241253994923E-2</v>
      </c>
      <c r="Q46" s="262">
        <f t="shared" si="29"/>
        <v>7.9627241253994924E-2</v>
      </c>
      <c r="R46" s="262">
        <f t="shared" si="29"/>
        <v>8.0627241253994925E-2</v>
      </c>
      <c r="S46" s="262">
        <f t="shared" si="29"/>
        <v>8.1627241253994925E-2</v>
      </c>
    </row>
    <row r="47" spans="1:19" s="140" customFormat="1">
      <c r="A47" s="269"/>
      <c r="C47" s="149"/>
      <c r="D47" s="149"/>
      <c r="E47" s="149"/>
      <c r="F47" s="149"/>
      <c r="G47" s="155"/>
      <c r="H47" s="251"/>
      <c r="I47" s="262"/>
      <c r="J47" s="262"/>
      <c r="K47" s="262"/>
      <c r="L47" s="262"/>
      <c r="M47" s="262"/>
      <c r="N47" s="262"/>
      <c r="O47" s="262"/>
      <c r="P47" s="262"/>
      <c r="Q47" s="262"/>
      <c r="R47" s="262"/>
      <c r="S47" s="262"/>
    </row>
    <row r="48" spans="1:19" s="140" customFormat="1">
      <c r="A48" s="203" t="s">
        <v>121</v>
      </c>
      <c r="C48" s="152"/>
      <c r="D48" s="153"/>
      <c r="E48" s="153"/>
      <c r="F48" s="243"/>
      <c r="G48" s="223"/>
      <c r="H48" s="246"/>
      <c r="I48" s="243"/>
      <c r="J48" s="151"/>
      <c r="K48" s="151"/>
      <c r="L48" s="151"/>
      <c r="M48" s="151"/>
      <c r="N48" s="151"/>
      <c r="O48" s="151"/>
      <c r="P48" s="151"/>
      <c r="Q48" s="151"/>
      <c r="R48" s="151"/>
      <c r="S48" s="151"/>
    </row>
    <row r="49" spans="1:19" s="140" customFormat="1" ht="13.5">
      <c r="A49" s="148" t="s">
        <v>419</v>
      </c>
      <c r="C49" s="782">
        <f>SUM(ATVI!BX83:CA83)</f>
        <v>2597</v>
      </c>
      <c r="D49" s="782">
        <f>SUM(ATVI!CB83:CE83)</f>
        <v>2243</v>
      </c>
      <c r="E49" s="782">
        <f>SUM(ATVI!CF83:CI83)</f>
        <v>2362</v>
      </c>
      <c r="F49" s="782">
        <f>SUM(ATVI!CJ83:CM83)</f>
        <v>2432</v>
      </c>
      <c r="G49" s="783">
        <f>SUM(ATVI!CN83:CQ83)</f>
        <v>3385</v>
      </c>
      <c r="H49" s="784">
        <f>SUM(ATVI!CR83:CU83)</f>
        <v>3063.5786362596505</v>
      </c>
      <c r="I49" s="782"/>
      <c r="J49" s="215"/>
      <c r="K49" s="782"/>
      <c r="L49" s="782"/>
      <c r="M49" s="779"/>
      <c r="N49" s="779"/>
      <c r="O49" s="779"/>
      <c r="P49" s="779"/>
      <c r="Q49" s="779"/>
      <c r="R49" s="779"/>
      <c r="S49" s="779"/>
    </row>
    <row r="50" spans="1:19" s="301" customFormat="1" ht="13.5">
      <c r="A50" s="208" t="s">
        <v>60</v>
      </c>
      <c r="C50" s="302">
        <f>+'Historical Financials'!BH86</f>
        <v>38109</v>
      </c>
      <c r="D50" s="302">
        <f>+'Historical Financials'!BI86</f>
        <v>45319</v>
      </c>
      <c r="E50" s="303">
        <f>+'Historical Financials'!BJ86</f>
        <v>54641</v>
      </c>
      <c r="F50" s="303">
        <f>+'Historical Financials'!BK86</f>
        <v>65755</v>
      </c>
      <c r="G50" s="304">
        <f>+'Historical Financials'!BL86</f>
        <v>81602</v>
      </c>
      <c r="H50" s="305">
        <f>+'Historical Financials'!BM86</f>
        <v>97843</v>
      </c>
      <c r="I50" s="309"/>
      <c r="J50" s="281"/>
      <c r="K50" s="281"/>
      <c r="L50" s="281"/>
      <c r="M50" s="281"/>
      <c r="N50" s="281"/>
      <c r="O50" s="281"/>
      <c r="P50" s="281"/>
      <c r="Q50" s="281"/>
      <c r="R50" s="281"/>
      <c r="S50" s="281"/>
    </row>
    <row r="51" spans="1:19" s="140" customFormat="1">
      <c r="A51" s="270" t="s">
        <v>121</v>
      </c>
      <c r="B51" s="204"/>
      <c r="C51" s="209">
        <f t="shared" ref="C51" si="30">SUM(C49:C50)</f>
        <v>40706</v>
      </c>
      <c r="D51" s="209">
        <f t="shared" ref="D51" si="31">SUM(D49:D50)</f>
        <v>47562</v>
      </c>
      <c r="E51" s="209">
        <f t="shared" ref="E51" si="32">SUM(E49:E50)</f>
        <v>57003</v>
      </c>
      <c r="F51" s="209">
        <f t="shared" ref="F51" si="33">SUM(F49:F50)</f>
        <v>68187</v>
      </c>
      <c r="G51" s="211">
        <f t="shared" ref="G51" si="34">SUM(G49:G50)</f>
        <v>84987</v>
      </c>
      <c r="H51" s="254">
        <f t="shared" ref="H51" si="35">SUM(H49:H50)</f>
        <v>100906.57863625966</v>
      </c>
      <c r="I51" s="209">
        <f t="shared" ref="I51:S51" si="36">+I19+I41</f>
        <v>108698.74452063697</v>
      </c>
      <c r="J51" s="209">
        <f t="shared" si="36"/>
        <v>117042.34881778483</v>
      </c>
      <c r="K51" s="209">
        <f t="shared" si="36"/>
        <v>125976.38632296916</v>
      </c>
      <c r="L51" s="209">
        <f t="shared" si="36"/>
        <v>135542.60735727422</v>
      </c>
      <c r="M51" s="209">
        <f t="shared" si="36"/>
        <v>145785.71235136574</v>
      </c>
      <c r="N51" s="209">
        <f t="shared" si="36"/>
        <v>156753.56016106581</v>
      </c>
      <c r="O51" s="209">
        <f t="shared" si="36"/>
        <v>168497.39108319971</v>
      </c>
      <c r="P51" s="209">
        <f t="shared" si="36"/>
        <v>181072.06560843857</v>
      </c>
      <c r="Q51" s="209">
        <f t="shared" si="36"/>
        <v>194536.32002093119</v>
      </c>
      <c r="R51" s="209">
        <f t="shared" si="36"/>
        <v>208953.04003273867</v>
      </c>
      <c r="S51" s="209">
        <f t="shared" si="36"/>
        <v>224389.55372481301</v>
      </c>
    </row>
    <row r="52" spans="1:19" s="140" customFormat="1">
      <c r="A52" s="269" t="s">
        <v>87</v>
      </c>
      <c r="C52" s="149"/>
      <c r="D52" s="149">
        <f>+D51/C51-1</f>
        <v>0.16842725888075472</v>
      </c>
      <c r="E52" s="149">
        <f t="shared" ref="E52:S52" si="37">+E51/D51-1</f>
        <v>0.19849880156427391</v>
      </c>
      <c r="F52" s="149">
        <f t="shared" si="37"/>
        <v>0.19620019998947424</v>
      </c>
      <c r="G52" s="155">
        <f t="shared" si="37"/>
        <v>0.24638127502309826</v>
      </c>
      <c r="H52" s="251">
        <f t="shared" si="37"/>
        <v>0.18731780903267148</v>
      </c>
      <c r="I52" s="149">
        <f t="shared" si="37"/>
        <v>7.7221584456509174E-2</v>
      </c>
      <c r="J52" s="149">
        <f t="shared" si="37"/>
        <v>7.6758975772381444E-2</v>
      </c>
      <c r="K52" s="149">
        <f t="shared" si="37"/>
        <v>7.6331666233844242E-2</v>
      </c>
      <c r="L52" s="149">
        <f t="shared" si="37"/>
        <v>7.5936620453454395E-2</v>
      </c>
      <c r="M52" s="149">
        <f t="shared" si="37"/>
        <v>7.5571107814769389E-2</v>
      </c>
      <c r="N52" s="149">
        <f t="shared" si="37"/>
        <v>7.5232666032909234E-2</v>
      </c>
      <c r="O52" s="149">
        <f t="shared" si="37"/>
        <v>7.4919069844837871E-2</v>
      </c>
      <c r="P52" s="149">
        <f t="shared" si="37"/>
        <v>7.4628304001631784E-2</v>
      </c>
      <c r="Q52" s="149">
        <f t="shared" si="37"/>
        <v>7.4358539884382679E-2</v>
      </c>
      <c r="R52" s="149">
        <f t="shared" si="37"/>
        <v>7.4108115185155699E-2</v>
      </c>
      <c r="S52" s="149">
        <f t="shared" si="37"/>
        <v>7.3875516190890389E-2</v>
      </c>
    </row>
    <row r="53" spans="1:19" s="140" customFormat="1">
      <c r="A53" s="269" t="s">
        <v>99</v>
      </c>
      <c r="C53" s="149">
        <f t="shared" ref="C53:S53" si="38">+C51/C9</f>
        <v>0.39325669017486231</v>
      </c>
      <c r="D53" s="150">
        <f t="shared" si="38"/>
        <v>0.40434594098293758</v>
      </c>
      <c r="E53" s="150">
        <f t="shared" si="38"/>
        <v>0.4287325977571696</v>
      </c>
      <c r="F53" s="150">
        <f t="shared" si="38"/>
        <v>0.45457090858182836</v>
      </c>
      <c r="G53" s="155">
        <f t="shared" si="38"/>
        <v>0.48008202184989773</v>
      </c>
      <c r="H53" s="251">
        <f t="shared" si="38"/>
        <v>0.48897909248820665</v>
      </c>
      <c r="I53" s="149">
        <f t="shared" si="38"/>
        <v>0.49282263348298838</v>
      </c>
      <c r="J53" s="149">
        <f t="shared" si="38"/>
        <v>0.49648308164869343</v>
      </c>
      <c r="K53" s="149">
        <f t="shared" si="38"/>
        <v>0.49997222615386933</v>
      </c>
      <c r="L53" s="149">
        <f t="shared" si="38"/>
        <v>0.50330109707400805</v>
      </c>
      <c r="M53" s="149">
        <f t="shared" si="38"/>
        <v>0.50648001426880751</v>
      </c>
      <c r="N53" s="149">
        <f t="shared" si="38"/>
        <v>0.50951863311227252</v>
      </c>
      <c r="O53" s="149">
        <f t="shared" si="38"/>
        <v>0.51242598727830035</v>
      </c>
      <c r="P53" s="149">
        <f t="shared" si="38"/>
        <v>0.5152105287713441</v>
      </c>
      <c r="Q53" s="149">
        <f t="shared" si="38"/>
        <v>0.51788016537953963</v>
      </c>
      <c r="R53" s="149">
        <f t="shared" si="38"/>
        <v>0.52044229571626399</v>
      </c>
      <c r="S53" s="149">
        <f t="shared" si="38"/>
        <v>0.52290384200540041</v>
      </c>
    </row>
    <row r="54" spans="1:19" s="140" customFormat="1">
      <c r="A54" s="269" t="s">
        <v>101</v>
      </c>
      <c r="C54" s="150"/>
      <c r="D54" s="150">
        <f t="shared" ref="D54:S54" si="39">(D51-C51)/(D9-C9)</f>
        <v>0.48565559254799179</v>
      </c>
      <c r="E54" s="150">
        <f t="shared" si="39"/>
        <v>0.61585127201565559</v>
      </c>
      <c r="F54" s="150">
        <f t="shared" si="39"/>
        <v>0.65610700457585358</v>
      </c>
      <c r="G54" s="156">
        <f t="shared" si="39"/>
        <v>0.62169263220219817</v>
      </c>
      <c r="H54" s="248">
        <f t="shared" si="39"/>
        <v>0.54266829806928019</v>
      </c>
      <c r="I54" s="150">
        <f t="shared" si="39"/>
        <v>0.54867157983955706</v>
      </c>
      <c r="J54" s="150">
        <f t="shared" si="39"/>
        <v>0.54967157983955794</v>
      </c>
      <c r="K54" s="150">
        <f t="shared" si="39"/>
        <v>0.55067157983955783</v>
      </c>
      <c r="L54" s="150">
        <f t="shared" si="39"/>
        <v>0.55167157983955717</v>
      </c>
      <c r="M54" s="150">
        <f t="shared" si="39"/>
        <v>0.5526715798395565</v>
      </c>
      <c r="N54" s="150">
        <f t="shared" si="39"/>
        <v>0.55367157983955861</v>
      </c>
      <c r="O54" s="150">
        <f t="shared" si="39"/>
        <v>0.55467157983955695</v>
      </c>
      <c r="P54" s="150">
        <f t="shared" si="39"/>
        <v>0.55567157983955728</v>
      </c>
      <c r="Q54" s="150">
        <f t="shared" si="39"/>
        <v>0.55667157983955695</v>
      </c>
      <c r="R54" s="150">
        <f t="shared" si="39"/>
        <v>0.55767157983955717</v>
      </c>
      <c r="S54" s="150">
        <f t="shared" si="39"/>
        <v>0.55867157983955706</v>
      </c>
    </row>
    <row r="55" spans="1:19" s="140" customFormat="1">
      <c r="A55" s="269"/>
      <c r="C55" s="150"/>
      <c r="D55" s="150"/>
      <c r="E55" s="150"/>
      <c r="F55" s="150"/>
      <c r="G55" s="156"/>
      <c r="H55" s="248"/>
      <c r="I55" s="150"/>
      <c r="J55" s="150"/>
      <c r="K55" s="150"/>
      <c r="L55" s="150"/>
      <c r="M55" s="150"/>
      <c r="N55" s="150"/>
      <c r="O55" s="150"/>
      <c r="P55" s="150"/>
      <c r="Q55" s="150"/>
      <c r="R55" s="150"/>
      <c r="S55" s="150"/>
    </row>
    <row r="56" spans="1:19">
      <c r="A56" s="203" t="s">
        <v>131</v>
      </c>
      <c r="C56" s="133"/>
      <c r="D56" s="133"/>
      <c r="E56" s="133"/>
      <c r="F56" s="133"/>
      <c r="G56" s="157"/>
      <c r="H56" s="253"/>
      <c r="I56" s="133"/>
      <c r="J56" s="133"/>
      <c r="K56" s="133"/>
      <c r="L56" s="133"/>
      <c r="M56" s="133"/>
      <c r="N56" s="133"/>
      <c r="O56" s="133"/>
      <c r="P56" s="133"/>
      <c r="Q56" s="133"/>
      <c r="R56" s="133"/>
      <c r="S56" s="133"/>
    </row>
    <row r="57" spans="1:19" s="140" customFormat="1" ht="13.5">
      <c r="A57" s="148" t="s">
        <v>419</v>
      </c>
      <c r="C57" s="205">
        <f>+SUM(ATVI!BX158:CA158)</f>
        <v>117</v>
      </c>
      <c r="D57" s="205">
        <f>+SUM(ATVI!CB158:CE158)</f>
        <v>164</v>
      </c>
      <c r="E57" s="205">
        <f>+SUM(ATVI!CF158:CI158)</f>
        <v>115</v>
      </c>
      <c r="F57" s="205">
        <f>+SUM(ATVI!CJ158:CM158)</f>
        <v>103</v>
      </c>
      <c r="G57" s="206">
        <f>+SUM(ATVI!CN158:CQ158)</f>
        <v>82</v>
      </c>
      <c r="H57" s="250">
        <f>+SUM(ATVI!CR158:CU158)</f>
        <v>103.3512119587912</v>
      </c>
      <c r="I57" s="205"/>
      <c r="J57" s="215"/>
      <c r="K57" s="205"/>
      <c r="L57" s="205"/>
      <c r="M57" s="779"/>
      <c r="N57" s="779"/>
      <c r="O57" s="779"/>
      <c r="P57" s="779"/>
      <c r="Q57" s="779"/>
      <c r="R57" s="779"/>
      <c r="S57" s="779"/>
    </row>
    <row r="58" spans="1:19" s="271" customFormat="1" ht="13.5">
      <c r="A58" s="208" t="s">
        <v>60</v>
      </c>
      <c r="C58" s="302">
        <f>+'Historical Financials'!BH111*-1</f>
        <v>10200</v>
      </c>
      <c r="D58" s="302">
        <f>+'Historical Financials'!BI111*-1</f>
        <v>13600</v>
      </c>
      <c r="E58" s="303">
        <f>+'Historical Financials'!BJ111*-1</f>
        <v>16900</v>
      </c>
      <c r="F58" s="303">
        <f>+'Historical Financials'!BK111*-1</f>
        <v>19000</v>
      </c>
      <c r="G58" s="304">
        <f>+'Historical Financials'!BL111*-1</f>
        <v>24200</v>
      </c>
      <c r="H58" s="305">
        <f>+'Historical Financials'!BM111*-1</f>
        <v>29200</v>
      </c>
      <c r="I58" s="212"/>
      <c r="J58" s="212"/>
      <c r="K58" s="212"/>
      <c r="L58" s="212"/>
      <c r="M58" s="212"/>
      <c r="N58" s="212"/>
      <c r="O58" s="212"/>
      <c r="P58" s="212"/>
      <c r="Q58" s="212"/>
      <c r="R58" s="212"/>
      <c r="S58" s="212"/>
    </row>
    <row r="59" spans="1:19" s="140" customFormat="1">
      <c r="A59" s="171" t="s">
        <v>131</v>
      </c>
      <c r="B59" s="204"/>
      <c r="C59" s="209">
        <f t="shared" ref="C59" si="40">SUM(C57:C58)</f>
        <v>10317</v>
      </c>
      <c r="D59" s="209">
        <f t="shared" ref="D59" si="41">SUM(D57:D58)</f>
        <v>13764</v>
      </c>
      <c r="E59" s="209">
        <f t="shared" ref="E59" si="42">SUM(E57:E58)</f>
        <v>17015</v>
      </c>
      <c r="F59" s="209">
        <f t="shared" ref="F59" si="43">SUM(F57:F58)</f>
        <v>19103</v>
      </c>
      <c r="G59" s="211">
        <f t="shared" ref="G59" si="44">SUM(G57:G58)</f>
        <v>24282</v>
      </c>
      <c r="H59" s="254">
        <f t="shared" ref="H59" si="45">SUM(H57:H58)</f>
        <v>29303.35121195879</v>
      </c>
      <c r="I59" s="209">
        <f t="shared" ref="I59:S59" si="46">+I64*I9</f>
        <v>30768.607450821499</v>
      </c>
      <c r="J59" s="209">
        <f t="shared" si="46"/>
        <v>32296.754923154091</v>
      </c>
      <c r="K59" s="209">
        <f t="shared" si="46"/>
        <v>33889.510220437289</v>
      </c>
      <c r="L59" s="209">
        <f t="shared" si="46"/>
        <v>35548.528339277509</v>
      </c>
      <c r="M59" s="209">
        <f t="shared" si="46"/>
        <v>37275.386073274545</v>
      </c>
      <c r="N59" s="209">
        <f t="shared" si="46"/>
        <v>39071.56341066389</v>
      </c>
      <c r="O59" s="209">
        <f t="shared" si="46"/>
        <v>40938.422741907125</v>
      </c>
      <c r="P59" s="209">
        <f t="shared" si="46"/>
        <v>42877.18566389558</v>
      </c>
      <c r="Q59" s="209">
        <f t="shared" si="46"/>
        <v>44888.907148441314</v>
      </c>
      <c r="R59" s="209">
        <f t="shared" si="46"/>
        <v>46974.446822135127</v>
      </c>
      <c r="S59" s="209">
        <f t="shared" si="46"/>
        <v>49134.437082322424</v>
      </c>
    </row>
    <row r="60" spans="1:19" s="140" customFormat="1">
      <c r="A60" s="171"/>
      <c r="B60" s="204"/>
      <c r="C60" s="205"/>
      <c r="D60" s="205"/>
      <c r="E60" s="218"/>
      <c r="F60" s="218"/>
      <c r="G60" s="206"/>
      <c r="H60" s="250"/>
      <c r="I60" s="209"/>
      <c r="J60" s="209"/>
      <c r="K60" s="209"/>
      <c r="L60" s="209"/>
      <c r="M60" s="209"/>
      <c r="N60" s="209"/>
      <c r="O60" s="209"/>
      <c r="P60" s="209"/>
      <c r="Q60" s="209"/>
      <c r="R60" s="209"/>
      <c r="S60" s="209"/>
    </row>
    <row r="61" spans="1:19" s="140" customFormat="1">
      <c r="A61" s="268" t="s">
        <v>118</v>
      </c>
      <c r="C61" s="150"/>
      <c r="D61" s="150"/>
      <c r="E61" s="150"/>
      <c r="F61" s="149"/>
      <c r="G61" s="155"/>
      <c r="H61" s="251"/>
    </row>
    <row r="62" spans="1:19" s="140" customFormat="1">
      <c r="A62" s="270" t="s">
        <v>419</v>
      </c>
      <c r="C62" s="150">
        <f t="shared" ref="C62:H64" si="47">+C57/C7</f>
        <v>1.6861219195849545E-2</v>
      </c>
      <c r="D62" s="150">
        <f t="shared" si="47"/>
        <v>2.2567772120544928E-2</v>
      </c>
      <c r="E62" s="150">
        <f t="shared" si="47"/>
        <v>1.6165307843688501E-2</v>
      </c>
      <c r="F62" s="149">
        <f t="shared" si="47"/>
        <v>1.473955352032055E-2</v>
      </c>
      <c r="G62" s="155">
        <f t="shared" si="47"/>
        <v>9.1743119266055051E-3</v>
      </c>
      <c r="H62" s="251">
        <f t="shared" si="47"/>
        <v>1.2772426230567064E-2</v>
      </c>
      <c r="I62" s="138"/>
      <c r="J62" s="138"/>
      <c r="K62" s="138"/>
      <c r="L62" s="138"/>
      <c r="M62" s="138"/>
      <c r="N62" s="138"/>
      <c r="O62" s="138"/>
      <c r="P62" s="138"/>
      <c r="Q62" s="138"/>
      <c r="R62" s="138"/>
      <c r="S62" s="138"/>
    </row>
    <row r="63" spans="1:19" s="301" customFormat="1" ht="13.5">
      <c r="A63" s="270" t="s">
        <v>60</v>
      </c>
      <c r="C63" s="277">
        <f t="shared" si="47"/>
        <v>0.10562177051081588</v>
      </c>
      <c r="D63" s="277">
        <f t="shared" si="47"/>
        <v>0.12323305545487495</v>
      </c>
      <c r="E63" s="277">
        <f t="shared" si="47"/>
        <v>0.13429431911190928</v>
      </c>
      <c r="F63" s="276">
        <f t="shared" si="47"/>
        <v>0.13285319721707514</v>
      </c>
      <c r="G63" s="298">
        <f t="shared" si="47"/>
        <v>0.14397220503545763</v>
      </c>
      <c r="H63" s="299">
        <f t="shared" si="47"/>
        <v>0.14727391940283452</v>
      </c>
      <c r="I63" s="307"/>
      <c r="J63" s="307"/>
      <c r="K63" s="307"/>
      <c r="L63" s="307"/>
      <c r="M63" s="307"/>
      <c r="N63" s="307"/>
      <c r="O63" s="307"/>
      <c r="P63" s="307"/>
      <c r="Q63" s="307"/>
      <c r="R63" s="307"/>
      <c r="S63" s="307"/>
    </row>
    <row r="64" spans="1:19" s="140" customFormat="1">
      <c r="A64" s="269" t="s">
        <v>131</v>
      </c>
      <c r="C64" s="150">
        <f t="shared" si="47"/>
        <v>9.9671529320838573E-2</v>
      </c>
      <c r="D64" s="150">
        <f t="shared" si="47"/>
        <v>0.1170139508786248</v>
      </c>
      <c r="E64" s="150">
        <f t="shared" si="47"/>
        <v>0.12797370578457698</v>
      </c>
      <c r="F64" s="149">
        <f t="shared" si="47"/>
        <v>0.12735078631760699</v>
      </c>
      <c r="G64" s="155">
        <f t="shared" si="47"/>
        <v>0.13716629195711363</v>
      </c>
      <c r="H64" s="251">
        <f t="shared" si="47"/>
        <v>0.14199991988766064</v>
      </c>
      <c r="I64" s="262">
        <f t="shared" ref="I64:S64" si="48">+H64-0.25%</f>
        <v>0.13949991988766064</v>
      </c>
      <c r="J64" s="262">
        <f t="shared" si="48"/>
        <v>0.13699991988766064</v>
      </c>
      <c r="K64" s="262">
        <f t="shared" si="48"/>
        <v>0.13449991988766063</v>
      </c>
      <c r="L64" s="262">
        <f t="shared" si="48"/>
        <v>0.13199991988766063</v>
      </c>
      <c r="M64" s="262">
        <f t="shared" si="48"/>
        <v>0.12949991988766063</v>
      </c>
      <c r="N64" s="262">
        <f t="shared" si="48"/>
        <v>0.12699991988766063</v>
      </c>
      <c r="O64" s="262">
        <f t="shared" si="48"/>
        <v>0.12449991988766063</v>
      </c>
      <c r="P64" s="262">
        <f t="shared" si="48"/>
        <v>0.12199991988766062</v>
      </c>
      <c r="Q64" s="262">
        <f t="shared" si="48"/>
        <v>0.11949991988766062</v>
      </c>
      <c r="R64" s="262">
        <f t="shared" si="48"/>
        <v>0.11699991988766062</v>
      </c>
      <c r="S64" s="262">
        <f t="shared" si="48"/>
        <v>0.11449991988766062</v>
      </c>
    </row>
    <row r="65" spans="1:28" s="140" customFormat="1">
      <c r="A65" s="269"/>
      <c r="C65" s="150"/>
      <c r="D65" s="150"/>
      <c r="E65" s="150"/>
      <c r="F65" s="149"/>
      <c r="G65" s="155"/>
      <c r="H65" s="251"/>
      <c r="I65" s="262"/>
      <c r="J65" s="262"/>
      <c r="K65" s="262"/>
      <c r="L65" s="262"/>
      <c r="M65" s="262"/>
      <c r="N65" s="262"/>
      <c r="O65" s="262"/>
      <c r="P65" s="262"/>
      <c r="Q65" s="262"/>
      <c r="R65" s="262"/>
      <c r="S65" s="262"/>
    </row>
    <row r="66" spans="1:28" s="140" customFormat="1">
      <c r="A66" s="203" t="s">
        <v>307</v>
      </c>
      <c r="C66" s="138"/>
      <c r="D66" s="138"/>
      <c r="E66" s="138"/>
      <c r="F66" s="138"/>
      <c r="G66" s="207"/>
      <c r="H66" s="252"/>
      <c r="I66" s="138"/>
      <c r="J66" s="138"/>
      <c r="K66" s="138"/>
      <c r="L66" s="138"/>
      <c r="M66" s="138"/>
      <c r="N66" s="138"/>
      <c r="O66" s="138"/>
      <c r="P66" s="138"/>
      <c r="Q66" s="138"/>
      <c r="R66" s="138"/>
      <c r="S66" s="138"/>
    </row>
    <row r="67" spans="1:28" s="140" customFormat="1">
      <c r="A67" s="208" t="s">
        <v>419</v>
      </c>
      <c r="C67" s="209">
        <f t="shared" ref="C67:S67" si="49">+C49-C57</f>
        <v>2480</v>
      </c>
      <c r="D67" s="209">
        <f t="shared" si="49"/>
        <v>2079</v>
      </c>
      <c r="E67" s="219">
        <f t="shared" si="49"/>
        <v>2247</v>
      </c>
      <c r="F67" s="219">
        <f t="shared" si="49"/>
        <v>2329</v>
      </c>
      <c r="G67" s="211">
        <f t="shared" si="49"/>
        <v>3303</v>
      </c>
      <c r="H67" s="254">
        <f t="shared" si="49"/>
        <v>2960.2274243008592</v>
      </c>
      <c r="I67" s="209">
        <f t="shared" si="49"/>
        <v>0</v>
      </c>
      <c r="J67" s="209">
        <f t="shared" si="49"/>
        <v>0</v>
      </c>
      <c r="K67" s="209">
        <f t="shared" si="49"/>
        <v>0</v>
      </c>
      <c r="L67" s="209">
        <f t="shared" si="49"/>
        <v>0</v>
      </c>
      <c r="M67" s="209">
        <f t="shared" si="49"/>
        <v>0</v>
      </c>
      <c r="N67" s="209">
        <f t="shared" si="49"/>
        <v>0</v>
      </c>
      <c r="O67" s="209">
        <f t="shared" si="49"/>
        <v>0</v>
      </c>
      <c r="P67" s="209">
        <f t="shared" si="49"/>
        <v>0</v>
      </c>
      <c r="Q67" s="209">
        <f t="shared" si="49"/>
        <v>0</v>
      </c>
      <c r="R67" s="209">
        <f t="shared" si="49"/>
        <v>0</v>
      </c>
      <c r="S67" s="209">
        <f t="shared" si="49"/>
        <v>0</v>
      </c>
    </row>
    <row r="68" spans="1:28" s="301" customFormat="1" ht="13.5">
      <c r="A68" s="208" t="s">
        <v>60</v>
      </c>
      <c r="C68" s="310">
        <f t="shared" ref="C68:S68" si="50">+C50-C58</f>
        <v>27909</v>
      </c>
      <c r="D68" s="310">
        <f t="shared" si="50"/>
        <v>31719</v>
      </c>
      <c r="E68" s="311">
        <f t="shared" si="50"/>
        <v>37741</v>
      </c>
      <c r="F68" s="311">
        <f t="shared" si="50"/>
        <v>46755</v>
      </c>
      <c r="G68" s="312">
        <f t="shared" si="50"/>
        <v>57402</v>
      </c>
      <c r="H68" s="313">
        <f t="shared" si="50"/>
        <v>68643</v>
      </c>
      <c r="I68" s="310">
        <f t="shared" si="50"/>
        <v>0</v>
      </c>
      <c r="J68" s="310">
        <f t="shared" si="50"/>
        <v>0</v>
      </c>
      <c r="K68" s="310">
        <f t="shared" si="50"/>
        <v>0</v>
      </c>
      <c r="L68" s="310">
        <f t="shared" si="50"/>
        <v>0</v>
      </c>
      <c r="M68" s="310">
        <f t="shared" si="50"/>
        <v>0</v>
      </c>
      <c r="N68" s="310">
        <f t="shared" si="50"/>
        <v>0</v>
      </c>
      <c r="O68" s="310">
        <f t="shared" si="50"/>
        <v>0</v>
      </c>
      <c r="P68" s="310">
        <f t="shared" si="50"/>
        <v>0</v>
      </c>
      <c r="Q68" s="310">
        <f t="shared" si="50"/>
        <v>0</v>
      </c>
      <c r="R68" s="310">
        <f t="shared" si="50"/>
        <v>0</v>
      </c>
      <c r="S68" s="310">
        <f t="shared" si="50"/>
        <v>0</v>
      </c>
    </row>
    <row r="69" spans="1:28" s="140" customFormat="1">
      <c r="A69" s="171" t="s">
        <v>307</v>
      </c>
      <c r="B69" s="204"/>
      <c r="C69" s="209">
        <f t="shared" ref="C69:S69" si="51">+C51-C59</f>
        <v>30389</v>
      </c>
      <c r="D69" s="209">
        <f t="shared" si="51"/>
        <v>33798</v>
      </c>
      <c r="E69" s="219">
        <f t="shared" si="51"/>
        <v>39988</v>
      </c>
      <c r="F69" s="219">
        <f t="shared" si="51"/>
        <v>49084</v>
      </c>
      <c r="G69" s="211">
        <f t="shared" si="51"/>
        <v>60705</v>
      </c>
      <c r="H69" s="254">
        <f t="shared" si="51"/>
        <v>71603.227424300858</v>
      </c>
      <c r="I69" s="209">
        <f t="shared" si="51"/>
        <v>77930.137069815479</v>
      </c>
      <c r="J69" s="209">
        <f t="shared" si="51"/>
        <v>84745.593894630743</v>
      </c>
      <c r="K69" s="209">
        <f t="shared" si="51"/>
        <v>92086.876102531882</v>
      </c>
      <c r="L69" s="209">
        <f t="shared" si="51"/>
        <v>99994.079017996701</v>
      </c>
      <c r="M69" s="209">
        <f t="shared" si="51"/>
        <v>108510.3262780912</v>
      </c>
      <c r="N69" s="209">
        <f t="shared" si="51"/>
        <v>117681.99675040192</v>
      </c>
      <c r="O69" s="209">
        <f t="shared" si="51"/>
        <v>127558.96834129258</v>
      </c>
      <c r="P69" s="209">
        <f t="shared" si="51"/>
        <v>138194.879944543</v>
      </c>
      <c r="Q69" s="209">
        <f t="shared" si="51"/>
        <v>149647.41287248989</v>
      </c>
      <c r="R69" s="209">
        <f t="shared" si="51"/>
        <v>161978.59321060355</v>
      </c>
      <c r="S69" s="209">
        <f t="shared" si="51"/>
        <v>175255.11664249058</v>
      </c>
    </row>
    <row r="70" spans="1:28" s="140" customFormat="1">
      <c r="A70" s="269" t="s">
        <v>87</v>
      </c>
      <c r="C70" s="149"/>
      <c r="D70" s="149">
        <f>+D69/C69-1</f>
        <v>0.11217874888940083</v>
      </c>
      <c r="E70" s="149">
        <f t="shared" ref="E70:N70" si="52">+E69/D69-1</f>
        <v>0.18314693177111074</v>
      </c>
      <c r="F70" s="149">
        <f t="shared" si="52"/>
        <v>0.22746824047214154</v>
      </c>
      <c r="G70" s="155">
        <f t="shared" si="52"/>
        <v>0.23675739548529062</v>
      </c>
      <c r="H70" s="251">
        <f t="shared" si="52"/>
        <v>0.17952767357385491</v>
      </c>
      <c r="I70" s="149">
        <f t="shared" si="52"/>
        <v>8.836067692903149E-2</v>
      </c>
      <c r="J70" s="149">
        <f t="shared" si="52"/>
        <v>8.74559840528637E-2</v>
      </c>
      <c r="K70" s="149">
        <f t="shared" si="52"/>
        <v>8.6627302618576207E-2</v>
      </c>
      <c r="L70" s="149">
        <f t="shared" si="52"/>
        <v>8.5866773313721056E-2</v>
      </c>
      <c r="M70" s="149">
        <f t="shared" si="52"/>
        <v>8.516751535420175E-2</v>
      </c>
      <c r="N70" s="149">
        <f t="shared" si="52"/>
        <v>8.4523480731276024E-2</v>
      </c>
      <c r="O70" s="149">
        <f>+O69/N69-1</f>
        <v>8.3929333828684616E-2</v>
      </c>
      <c r="P70" s="149">
        <f>+P69/O69-1</f>
        <v>8.3380351390059282E-2</v>
      </c>
      <c r="Q70" s="149">
        <f>+Q69/P69-1</f>
        <v>8.2872338921259114E-2</v>
      </c>
      <c r="R70" s="149">
        <f>+R69/Q69-1</f>
        <v>8.2401560450768851E-2</v>
      </c>
      <c r="S70" s="149">
        <f>+S69/R69-1</f>
        <v>8.1964679213042624E-2</v>
      </c>
      <c r="Z70" s="204"/>
    </row>
    <row r="71" spans="1:28" s="140" customFormat="1">
      <c r="A71" s="269" t="s">
        <v>99</v>
      </c>
      <c r="C71" s="149">
        <f t="shared" ref="C71:S71" si="53">+C69/C9</f>
        <v>0.29358516085402375</v>
      </c>
      <c r="D71" s="149">
        <f t="shared" si="53"/>
        <v>0.28733199010431276</v>
      </c>
      <c r="E71" s="149">
        <f t="shared" si="53"/>
        <v>0.30075889197259265</v>
      </c>
      <c r="F71" s="149">
        <f t="shared" si="53"/>
        <v>0.32722012226422137</v>
      </c>
      <c r="G71" s="155">
        <f t="shared" si="53"/>
        <v>0.34291572989278413</v>
      </c>
      <c r="H71" s="251">
        <f t="shared" si="53"/>
        <v>0.34697917260054595</v>
      </c>
      <c r="I71" s="149">
        <f t="shared" si="53"/>
        <v>0.35332271359532774</v>
      </c>
      <c r="J71" s="149">
        <f t="shared" si="53"/>
        <v>0.35948316176103279</v>
      </c>
      <c r="K71" s="149">
        <f t="shared" si="53"/>
        <v>0.36547230626620875</v>
      </c>
      <c r="L71" s="149">
        <f t="shared" si="53"/>
        <v>0.37130117718634742</v>
      </c>
      <c r="M71" s="149">
        <f t="shared" si="53"/>
        <v>0.37698009438114688</v>
      </c>
      <c r="N71" s="149">
        <f t="shared" si="53"/>
        <v>0.38251871322461189</v>
      </c>
      <c r="O71" s="149">
        <f t="shared" si="53"/>
        <v>0.38792606739063978</v>
      </c>
      <c r="P71" s="149">
        <f t="shared" si="53"/>
        <v>0.39321060888368348</v>
      </c>
      <c r="Q71" s="149">
        <f t="shared" si="53"/>
        <v>0.39838024549187906</v>
      </c>
      <c r="R71" s="149">
        <f t="shared" si="53"/>
        <v>0.40344237582860337</v>
      </c>
      <c r="S71" s="159">
        <f t="shared" si="53"/>
        <v>0.40840392211773974</v>
      </c>
    </row>
    <row r="72" spans="1:28">
      <c r="A72" s="148"/>
      <c r="C72" s="150"/>
      <c r="D72" s="150"/>
      <c r="E72" s="150"/>
      <c r="F72" s="150"/>
      <c r="G72" s="156"/>
      <c r="H72" s="248"/>
      <c r="I72" s="150"/>
      <c r="J72" s="150"/>
      <c r="K72" s="150"/>
      <c r="L72" s="150"/>
      <c r="M72" s="150"/>
      <c r="N72" s="150"/>
      <c r="O72" s="150"/>
      <c r="P72" s="150"/>
      <c r="Q72" s="150"/>
      <c r="R72" s="150"/>
      <c r="S72" s="150"/>
    </row>
    <row r="73" spans="1:28">
      <c r="A73" s="134" t="s">
        <v>1665</v>
      </c>
      <c r="B73" s="145"/>
      <c r="C73" s="146">
        <f>+'Historical Financials'!BH68*-1</f>
        <v>-876</v>
      </c>
      <c r="D73" s="146">
        <f>+'Historical Financials'!BI68*-1</f>
        <v>-1416</v>
      </c>
      <c r="E73" s="217">
        <f>+'Historical Financials'!BJ68*-1</f>
        <v>-729</v>
      </c>
      <c r="F73" s="217">
        <f>+'Historical Financials'!BK68*-1</f>
        <v>-77</v>
      </c>
      <c r="G73" s="154">
        <f>+'Historical Financials'!BL68*-1</f>
        <v>-1186</v>
      </c>
      <c r="H73" s="247">
        <f>+'Historical Financials'!BM68*-1</f>
        <v>-333</v>
      </c>
      <c r="I73" s="147">
        <v>0</v>
      </c>
      <c r="J73" s="147">
        <v>0</v>
      </c>
      <c r="K73" s="147">
        <v>0</v>
      </c>
      <c r="L73" s="147">
        <v>0</v>
      </c>
      <c r="M73" s="147">
        <v>0</v>
      </c>
      <c r="N73" s="147">
        <v>0</v>
      </c>
      <c r="O73" s="147">
        <v>0</v>
      </c>
      <c r="P73" s="147">
        <v>0</v>
      </c>
      <c r="Q73" s="147">
        <v>0</v>
      </c>
      <c r="R73" s="147">
        <v>0</v>
      </c>
      <c r="S73" s="147">
        <v>0</v>
      </c>
    </row>
    <row r="74" spans="1:28">
      <c r="A74" s="148" t="s">
        <v>138</v>
      </c>
      <c r="C74" s="201">
        <v>0.05</v>
      </c>
      <c r="D74" s="262">
        <f>C74+0.25%</f>
        <v>5.2500000000000005E-2</v>
      </c>
      <c r="E74" s="262">
        <f>D74+0.25%</f>
        <v>5.5000000000000007E-2</v>
      </c>
      <c r="F74" s="262">
        <f>E74+0.25%</f>
        <v>5.7500000000000009E-2</v>
      </c>
      <c r="G74" s="263">
        <f>F74+0.25%</f>
        <v>6.0000000000000012E-2</v>
      </c>
      <c r="H74" s="264">
        <f>G74</f>
        <v>6.0000000000000012E-2</v>
      </c>
      <c r="I74" s="262">
        <f t="shared" ref="I74:N74" si="54">H74</f>
        <v>6.0000000000000012E-2</v>
      </c>
      <c r="J74" s="262">
        <f t="shared" si="54"/>
        <v>6.0000000000000012E-2</v>
      </c>
      <c r="K74" s="262">
        <f t="shared" si="54"/>
        <v>6.0000000000000012E-2</v>
      </c>
      <c r="L74" s="262">
        <f t="shared" si="54"/>
        <v>6.0000000000000012E-2</v>
      </c>
      <c r="M74" s="262">
        <f t="shared" si="54"/>
        <v>6.0000000000000012E-2</v>
      </c>
      <c r="N74" s="262">
        <f t="shared" si="54"/>
        <v>6.0000000000000012E-2</v>
      </c>
      <c r="O74" s="262">
        <f>N74</f>
        <v>6.0000000000000012E-2</v>
      </c>
      <c r="P74" s="262">
        <f>O74</f>
        <v>6.0000000000000012E-2</v>
      </c>
      <c r="Q74" s="262">
        <f>P74</f>
        <v>6.0000000000000012E-2</v>
      </c>
      <c r="R74" s="262">
        <f>Q74</f>
        <v>6.0000000000000012E-2</v>
      </c>
      <c r="S74" s="262">
        <f>R74</f>
        <v>6.0000000000000012E-2</v>
      </c>
    </row>
    <row r="75" spans="1:28">
      <c r="C75" s="133"/>
      <c r="D75" s="133"/>
      <c r="E75" s="133"/>
      <c r="F75" s="133"/>
      <c r="G75" s="157"/>
      <c r="H75" s="253"/>
      <c r="I75" s="133"/>
      <c r="J75" s="133"/>
      <c r="K75" s="133"/>
      <c r="L75" s="133"/>
      <c r="M75" s="133"/>
      <c r="N75" s="133"/>
      <c r="O75" s="133"/>
      <c r="P75" s="133"/>
      <c r="Q75" s="133"/>
      <c r="R75" s="133"/>
      <c r="S75" s="133"/>
    </row>
    <row r="76" spans="1:28">
      <c r="A76" s="133" t="s">
        <v>139</v>
      </c>
      <c r="B76" s="147"/>
      <c r="C76" s="147">
        <f>+MAX((C51-C41-C73)*C77,0)</f>
        <v>11412.8</v>
      </c>
      <c r="D76" s="147">
        <f>+MAX((D51-D41-D73)*D77,0)</f>
        <v>10796.519999999999</v>
      </c>
      <c r="E76" s="220">
        <f>+MAX((E51-E41-E73)*E77,0)</f>
        <v>9642.57</v>
      </c>
      <c r="F76" s="217">
        <f>+'Historical Financials'!BK113*-1</f>
        <v>11137.559999999998</v>
      </c>
      <c r="G76" s="154">
        <f>+'Historical Financials'!BL113*-1</f>
        <v>14931.419999999998</v>
      </c>
      <c r="H76" s="255">
        <f t="shared" ref="H76:S76" si="55">+MAX((H51-H41-H73)*H77,0)</f>
        <v>18199.611760971537</v>
      </c>
      <c r="I76" s="147">
        <f t="shared" si="55"/>
        <v>19509.079974707245</v>
      </c>
      <c r="J76" s="147">
        <f t="shared" si="55"/>
        <v>20983.408781202441</v>
      </c>
      <c r="K76" s="147">
        <f t="shared" si="55"/>
        <v>22559.201331908196</v>
      </c>
      <c r="L76" s="147">
        <f t="shared" si="55"/>
        <v>24243.440391689357</v>
      </c>
      <c r="M76" s="147">
        <f t="shared" si="55"/>
        <v>26043.589281352557</v>
      </c>
      <c r="N76" s="147">
        <f t="shared" si="55"/>
        <v>27967.624949648209</v>
      </c>
      <c r="O76" s="147">
        <f t="shared" si="55"/>
        <v>30024.073321297332</v>
      </c>
      <c r="P76" s="147">
        <f t="shared" si="55"/>
        <v>32222.047077680167</v>
      </c>
      <c r="Q76" s="147">
        <f t="shared" si="55"/>
        <v>34571.28603760284</v>
      </c>
      <c r="R76" s="147">
        <f t="shared" si="55"/>
        <v>37082.20031708038</v>
      </c>
      <c r="S76" s="147">
        <f t="shared" si="55"/>
        <v>39765.916459388769</v>
      </c>
      <c r="T76" s="133"/>
      <c r="U76" s="133"/>
      <c r="V76" s="133"/>
      <c r="W76" s="133"/>
      <c r="X76" s="133"/>
      <c r="Y76" s="133"/>
      <c r="Z76" s="133"/>
      <c r="AA76" s="133"/>
      <c r="AB76" s="133"/>
    </row>
    <row r="77" spans="1:28">
      <c r="A77" s="148" t="s">
        <v>138</v>
      </c>
      <c r="C77" s="201">
        <v>0.35</v>
      </c>
      <c r="D77" s="262">
        <f>+(0.35+0.21)/2</f>
        <v>0.27999999999999997</v>
      </c>
      <c r="E77" s="262">
        <v>0.21</v>
      </c>
      <c r="F77" s="262">
        <f t="shared" ref="F77:S77" si="56">E77</f>
        <v>0.21</v>
      </c>
      <c r="G77" s="263">
        <f t="shared" si="56"/>
        <v>0.21</v>
      </c>
      <c r="H77" s="264">
        <f t="shared" si="56"/>
        <v>0.21</v>
      </c>
      <c r="I77" s="262">
        <f t="shared" si="56"/>
        <v>0.21</v>
      </c>
      <c r="J77" s="262">
        <f t="shared" si="56"/>
        <v>0.21</v>
      </c>
      <c r="K77" s="262">
        <f t="shared" si="56"/>
        <v>0.21</v>
      </c>
      <c r="L77" s="262">
        <f t="shared" si="56"/>
        <v>0.21</v>
      </c>
      <c r="M77" s="262">
        <f t="shared" si="56"/>
        <v>0.21</v>
      </c>
      <c r="N77" s="262">
        <f t="shared" si="56"/>
        <v>0.21</v>
      </c>
      <c r="O77" s="262">
        <f t="shared" si="56"/>
        <v>0.21</v>
      </c>
      <c r="P77" s="262">
        <f t="shared" si="56"/>
        <v>0.21</v>
      </c>
      <c r="Q77" s="262">
        <f t="shared" si="56"/>
        <v>0.21</v>
      </c>
      <c r="R77" s="262">
        <f t="shared" si="56"/>
        <v>0.21</v>
      </c>
      <c r="S77" s="262">
        <f t="shared" si="56"/>
        <v>0.21</v>
      </c>
      <c r="W77" s="161"/>
      <c r="X77" s="145"/>
    </row>
    <row r="78" spans="1:28">
      <c r="C78" s="133"/>
      <c r="D78" s="133"/>
      <c r="E78" s="221"/>
      <c r="F78" s="133"/>
      <c r="G78" s="157"/>
      <c r="H78" s="253"/>
      <c r="I78" s="133"/>
      <c r="J78" s="133"/>
      <c r="K78" s="133"/>
      <c r="L78" s="133"/>
      <c r="M78" s="133"/>
      <c r="N78" s="133"/>
      <c r="O78" s="133"/>
      <c r="P78" s="133"/>
      <c r="Q78" s="133"/>
      <c r="R78" s="133"/>
      <c r="S78" s="133"/>
    </row>
    <row r="79" spans="1:28" s="133" customFormat="1">
      <c r="A79" s="133" t="s">
        <v>140</v>
      </c>
      <c r="B79" s="147"/>
      <c r="C79" s="147">
        <f t="shared" ref="C79:S79" si="57">+C19-C73-C76</f>
        <v>21195.200000000001</v>
      </c>
      <c r="D79" s="147">
        <f t="shared" si="57"/>
        <v>27762.480000000003</v>
      </c>
      <c r="E79" s="220">
        <f t="shared" si="57"/>
        <v>36274.43</v>
      </c>
      <c r="F79" s="220">
        <f t="shared" si="57"/>
        <v>44165.440000000002</v>
      </c>
      <c r="G79" s="158">
        <f t="shared" si="57"/>
        <v>59401.58</v>
      </c>
      <c r="H79" s="255">
        <f t="shared" si="57"/>
        <v>68465.206148416735</v>
      </c>
      <c r="I79" s="147">
        <f>+I19-I73-I76</f>
        <v>73391.300857232025</v>
      </c>
      <c r="J79" s="147">
        <f t="shared" si="57"/>
        <v>78937.585414999674</v>
      </c>
      <c r="K79" s="147">
        <f t="shared" si="57"/>
        <v>84865.566915273695</v>
      </c>
      <c r="L79" s="147">
        <f t="shared" si="57"/>
        <v>91201.51385445043</v>
      </c>
      <c r="M79" s="147">
        <f t="shared" si="57"/>
        <v>97973.502534612009</v>
      </c>
      <c r="N79" s="147">
        <f t="shared" si="57"/>
        <v>105211.54147724803</v>
      </c>
      <c r="O79" s="147">
        <f t="shared" si="57"/>
        <v>112947.70439916616</v>
      </c>
      <c r="P79" s="147">
        <f t="shared" si="57"/>
        <v>121216.27233984445</v>
      </c>
      <c r="Q79" s="147">
        <f t="shared" si="57"/>
        <v>130053.88557002973</v>
      </c>
      <c r="R79" s="147">
        <f t="shared" si="57"/>
        <v>139499.70595473098</v>
      </c>
      <c r="S79" s="147">
        <f t="shared" si="57"/>
        <v>149595.59049008155</v>
      </c>
    </row>
    <row r="80" spans="1:28">
      <c r="A80" s="148" t="s">
        <v>87</v>
      </c>
      <c r="C80" s="149"/>
      <c r="D80" s="150">
        <f>D79/C79-1</f>
        <v>0.30984751264437249</v>
      </c>
      <c r="E80" s="150">
        <f t="shared" ref="E80:S80" si="58">E79/D79-1</f>
        <v>0.30659905022894196</v>
      </c>
      <c r="F80" s="149">
        <f t="shared" si="58"/>
        <v>0.21753642993149724</v>
      </c>
      <c r="G80" s="155">
        <f t="shared" si="58"/>
        <v>0.34497878884485234</v>
      </c>
      <c r="H80" s="251">
        <f t="shared" si="58"/>
        <v>0.15258224021005384</v>
      </c>
      <c r="I80" s="149">
        <f t="shared" si="58"/>
        <v>7.1950337783788454E-2</v>
      </c>
      <c r="J80" s="149">
        <f t="shared" si="58"/>
        <v>7.5571416407468117E-2</v>
      </c>
      <c r="K80" s="149">
        <f t="shared" si="58"/>
        <v>7.509707155480827E-2</v>
      </c>
      <c r="L80" s="149">
        <f t="shared" si="58"/>
        <v>7.4658629753834971E-2</v>
      </c>
      <c r="M80" s="149">
        <f t="shared" si="58"/>
        <v>7.4253029296959649E-2</v>
      </c>
      <c r="N80" s="149">
        <f t="shared" si="58"/>
        <v>7.3877515403503846E-2</v>
      </c>
      <c r="O80" s="149">
        <f t="shared" si="58"/>
        <v>7.3529603437956226E-2</v>
      </c>
      <c r="P80" s="149">
        <f t="shared" si="58"/>
        <v>7.3207047320382079E-2</v>
      </c>
      <c r="Q80" s="149">
        <f t="shared" si="58"/>
        <v>7.2907812289491725E-2</v>
      </c>
      <c r="R80" s="149">
        <f t="shared" si="58"/>
        <v>7.263005133064615E-2</v>
      </c>
      <c r="S80" s="149">
        <f t="shared" si="58"/>
        <v>7.2372084702650108E-2</v>
      </c>
    </row>
    <row r="81" spans="1:28">
      <c r="C81" s="133"/>
      <c r="D81" s="133"/>
      <c r="E81" s="221"/>
      <c r="F81" s="133"/>
      <c r="G81" s="157"/>
      <c r="H81" s="253"/>
      <c r="I81" s="133"/>
      <c r="J81" s="133"/>
      <c r="K81" s="133"/>
      <c r="L81" s="133"/>
      <c r="M81" s="133"/>
      <c r="N81" s="133"/>
      <c r="O81" s="133"/>
      <c r="P81" s="133"/>
      <c r="Q81" s="133"/>
      <c r="R81" s="133"/>
      <c r="S81" s="133"/>
    </row>
    <row r="82" spans="1:28" s="133" customFormat="1">
      <c r="A82" s="133" t="str">
        <f>+A41</f>
        <v>D&amp;A</v>
      </c>
      <c r="B82" s="147"/>
      <c r="C82" s="147">
        <f t="shared" ref="C82:S82" si="59">+C41</f>
        <v>8974</v>
      </c>
      <c r="D82" s="147">
        <f t="shared" si="59"/>
        <v>10419</v>
      </c>
      <c r="E82" s="220">
        <f t="shared" si="59"/>
        <v>11815</v>
      </c>
      <c r="F82" s="220">
        <f t="shared" si="59"/>
        <v>12961</v>
      </c>
      <c r="G82" s="158">
        <f t="shared" si="59"/>
        <v>11840</v>
      </c>
      <c r="H82" s="255">
        <f t="shared" si="59"/>
        <v>14574.760726871375</v>
      </c>
      <c r="I82" s="147">
        <f t="shared" si="59"/>
        <v>15798.363688697707</v>
      </c>
      <c r="J82" s="147">
        <f t="shared" si="59"/>
        <v>17121.354621582715</v>
      </c>
      <c r="K82" s="147">
        <f t="shared" si="59"/>
        <v>18551.618075787257</v>
      </c>
      <c r="L82" s="147">
        <f t="shared" si="59"/>
        <v>20097.653111134427</v>
      </c>
      <c r="M82" s="147">
        <f t="shared" si="59"/>
        <v>21768.62053540118</v>
      </c>
      <c r="N82" s="147">
        <f t="shared" si="59"/>
        <v>23574.39373416956</v>
      </c>
      <c r="O82" s="147">
        <f t="shared" si="59"/>
        <v>25525.613362736203</v>
      </c>
      <c r="P82" s="147">
        <f t="shared" si="59"/>
        <v>27633.74619091396</v>
      </c>
      <c r="Q82" s="147">
        <f t="shared" si="59"/>
        <v>29911.148413298633</v>
      </c>
      <c r="R82" s="147">
        <f t="shared" si="59"/>
        <v>32371.133760927336</v>
      </c>
      <c r="S82" s="147">
        <f t="shared" si="59"/>
        <v>35028.046775342693</v>
      </c>
    </row>
    <row r="83" spans="1:28" s="212" customFormat="1" ht="13.5">
      <c r="A83" s="133" t="str">
        <f>+A59</f>
        <v>Capex</v>
      </c>
      <c r="B83" s="213"/>
      <c r="C83" s="213">
        <f t="shared" ref="C83:S83" si="60">+C59*-1</f>
        <v>-10317</v>
      </c>
      <c r="D83" s="213">
        <f t="shared" si="60"/>
        <v>-13764</v>
      </c>
      <c r="E83" s="222">
        <f t="shared" si="60"/>
        <v>-17015</v>
      </c>
      <c r="F83" s="222">
        <f t="shared" si="60"/>
        <v>-19103</v>
      </c>
      <c r="G83" s="214">
        <f t="shared" si="60"/>
        <v>-24282</v>
      </c>
      <c r="H83" s="256">
        <f t="shared" si="60"/>
        <v>-29303.35121195879</v>
      </c>
      <c r="I83" s="213">
        <f t="shared" si="60"/>
        <v>-30768.607450821499</v>
      </c>
      <c r="J83" s="213">
        <f t="shared" si="60"/>
        <v>-32296.754923154091</v>
      </c>
      <c r="K83" s="213">
        <f t="shared" si="60"/>
        <v>-33889.510220437289</v>
      </c>
      <c r="L83" s="213">
        <f t="shared" si="60"/>
        <v>-35548.528339277509</v>
      </c>
      <c r="M83" s="213">
        <f t="shared" si="60"/>
        <v>-37275.386073274545</v>
      </c>
      <c r="N83" s="213">
        <f t="shared" si="60"/>
        <v>-39071.56341066389</v>
      </c>
      <c r="O83" s="213">
        <f t="shared" si="60"/>
        <v>-40938.422741907125</v>
      </c>
      <c r="P83" s="213">
        <f t="shared" si="60"/>
        <v>-42877.18566389558</v>
      </c>
      <c r="Q83" s="213">
        <f t="shared" si="60"/>
        <v>-44888.907148441314</v>
      </c>
      <c r="R83" s="213">
        <f t="shared" si="60"/>
        <v>-46974.446822135127</v>
      </c>
      <c r="S83" s="213">
        <f t="shared" si="60"/>
        <v>-49134.437082322424</v>
      </c>
    </row>
    <row r="84" spans="1:28">
      <c r="A84" s="170" t="s">
        <v>141</v>
      </c>
      <c r="B84" s="145"/>
      <c r="C84" s="147">
        <f t="shared" ref="C84" si="61">+C83+C82+C79</f>
        <v>19852.2</v>
      </c>
      <c r="D84" s="147">
        <f>+D83+D82+D79</f>
        <v>24417.480000000003</v>
      </c>
      <c r="E84" s="220">
        <f t="shared" ref="E84:S84" si="62">+E83+E82+E79</f>
        <v>31074.43</v>
      </c>
      <c r="F84" s="220">
        <f t="shared" si="62"/>
        <v>38023.440000000002</v>
      </c>
      <c r="G84" s="158">
        <f t="shared" si="62"/>
        <v>46959.58</v>
      </c>
      <c r="H84" s="255">
        <f t="shared" si="62"/>
        <v>53736.615663329321</v>
      </c>
      <c r="I84" s="147">
        <f t="shared" si="62"/>
        <v>58421.057095108234</v>
      </c>
      <c r="J84" s="147">
        <f t="shared" si="62"/>
        <v>63762.185113428299</v>
      </c>
      <c r="K84" s="147">
        <f t="shared" si="62"/>
        <v>69527.674770623664</v>
      </c>
      <c r="L84" s="147">
        <f t="shared" si="62"/>
        <v>75750.638626307351</v>
      </c>
      <c r="M84" s="147">
        <f t="shared" si="62"/>
        <v>82466.736996738648</v>
      </c>
      <c r="N84" s="147">
        <f t="shared" si="62"/>
        <v>89714.371800753695</v>
      </c>
      <c r="O84" s="147">
        <f t="shared" si="62"/>
        <v>97534.895019995238</v>
      </c>
      <c r="P84" s="147">
        <f t="shared" si="62"/>
        <v>105972.83286686282</v>
      </c>
      <c r="Q84" s="147">
        <f t="shared" si="62"/>
        <v>115076.12683488705</v>
      </c>
      <c r="R84" s="147">
        <f t="shared" si="62"/>
        <v>124896.39289352318</v>
      </c>
      <c r="S84" s="147">
        <f t="shared" si="62"/>
        <v>135489.20018310181</v>
      </c>
    </row>
    <row r="85" spans="1:28">
      <c r="A85" s="171" t="s">
        <v>87</v>
      </c>
      <c r="C85" s="149"/>
      <c r="D85" s="149">
        <f>+D84/C84-1</f>
        <v>0.22996342974582173</v>
      </c>
      <c r="E85" s="149">
        <f t="shared" ref="E85:S85" si="63">+E84/D84-1</f>
        <v>0.27263050896325081</v>
      </c>
      <c r="F85" s="149">
        <f t="shared" si="63"/>
        <v>0.2236246972189031</v>
      </c>
      <c r="G85" s="155">
        <f t="shared" si="63"/>
        <v>0.23501661080638669</v>
      </c>
      <c r="H85" s="251">
        <f t="shared" si="63"/>
        <v>0.14431636022573713</v>
      </c>
      <c r="I85" s="149">
        <f t="shared" si="63"/>
        <v>8.7174106034661358E-2</v>
      </c>
      <c r="J85" s="149">
        <f t="shared" si="63"/>
        <v>9.142470684200088E-2</v>
      </c>
      <c r="K85" s="149">
        <f t="shared" si="63"/>
        <v>9.0421770316355676E-2</v>
      </c>
      <c r="L85" s="149">
        <f t="shared" si="63"/>
        <v>8.9503408192689538E-2</v>
      </c>
      <c r="M85" s="149">
        <f t="shared" si="63"/>
        <v>8.8660617154175059E-2</v>
      </c>
      <c r="N85" s="149">
        <f t="shared" si="63"/>
        <v>8.7885553229803071E-2</v>
      </c>
      <c r="O85" s="149">
        <f t="shared" si="63"/>
        <v>8.7171353510785421E-2</v>
      </c>
      <c r="P85" s="149">
        <f t="shared" si="63"/>
        <v>8.6511989838485626E-2</v>
      </c>
      <c r="Q85" s="149">
        <f t="shared" si="63"/>
        <v>8.5902147953909935E-2</v>
      </c>
      <c r="R85" s="149">
        <f t="shared" si="63"/>
        <v>8.5337127071772212E-2</v>
      </c>
      <c r="S85" s="149">
        <f t="shared" si="63"/>
        <v>8.4812755950519847E-2</v>
      </c>
    </row>
    <row r="86" spans="1:28">
      <c r="A86" s="133"/>
      <c r="B86" s="145"/>
      <c r="C86" s="160"/>
      <c r="D86" s="147"/>
      <c r="E86" s="220"/>
      <c r="F86" s="220"/>
      <c r="G86" s="158"/>
      <c r="H86" s="255"/>
      <c r="I86" s="147"/>
      <c r="J86" s="147"/>
      <c r="K86" s="147"/>
      <c r="L86" s="147"/>
      <c r="M86" s="147"/>
      <c r="N86" s="147"/>
      <c r="O86" s="147"/>
      <c r="P86" s="147"/>
      <c r="Q86" s="147"/>
      <c r="R86" s="147"/>
      <c r="S86" s="147"/>
      <c r="T86" s="145"/>
      <c r="U86" s="145"/>
      <c r="V86" s="145"/>
      <c r="W86" s="145"/>
      <c r="X86" s="145"/>
      <c r="Y86" s="145"/>
      <c r="Z86" s="145"/>
      <c r="AA86" s="145"/>
      <c r="AB86" s="145"/>
    </row>
    <row r="87" spans="1:28" hidden="1" outlineLevel="1">
      <c r="A87" s="275" t="s">
        <v>1666</v>
      </c>
      <c r="B87" s="145"/>
      <c r="C87" s="146">
        <f>SUM(ATVI!BX74:CA74)</f>
        <v>143</v>
      </c>
      <c r="D87" s="146">
        <f>SUM(ATVI!CB74:CE74)</f>
        <v>215</v>
      </c>
      <c r="E87" s="217">
        <f>SUM(ATVI!CF74:CI74)</f>
        <v>199</v>
      </c>
      <c r="F87" s="217">
        <f>SUM(ATVI!CJ74:CM74)</f>
        <v>151</v>
      </c>
      <c r="G87" s="154">
        <f>SUM(ATVI!CN74:CQ74)</f>
        <v>327</v>
      </c>
      <c r="H87" s="247">
        <f>SUM(ATVI!CR74:CU74)</f>
        <v>352.7</v>
      </c>
      <c r="I87" s="260"/>
      <c r="J87" s="260"/>
      <c r="K87" s="260"/>
      <c r="L87" s="260"/>
      <c r="M87" s="260"/>
      <c r="N87" s="260"/>
      <c r="O87" s="260"/>
      <c r="P87" s="260"/>
      <c r="Q87" s="260"/>
      <c r="R87" s="260"/>
      <c r="S87" s="260"/>
      <c r="T87" s="145"/>
      <c r="U87" s="145"/>
      <c r="V87" s="145"/>
      <c r="W87" s="145"/>
      <c r="X87" s="145"/>
      <c r="Y87" s="145"/>
      <c r="Z87" s="145"/>
      <c r="AA87" s="145"/>
      <c r="AB87" s="145"/>
    </row>
    <row r="88" spans="1:28" s="271" customFormat="1" ht="13.5" hidden="1" outlineLevel="1">
      <c r="A88" s="275" t="s">
        <v>1667</v>
      </c>
      <c r="B88" s="314"/>
      <c r="C88" s="193">
        <f>+'Historical Financials'!BH118</f>
        <v>3266</v>
      </c>
      <c r="D88" s="193">
        <f>+'Historical Financials'!BI118</f>
        <v>3940</v>
      </c>
      <c r="E88" s="272">
        <f>+'Historical Financials'!BJ118</f>
        <v>4652</v>
      </c>
      <c r="F88" s="272">
        <f>+'Historical Financials'!BK118</f>
        <v>5289</v>
      </c>
      <c r="G88" s="273">
        <f>+'Historical Financials'!BL118</f>
        <v>6118</v>
      </c>
      <c r="H88" s="274">
        <f>+'Historical Financials'!BM118</f>
        <v>7502</v>
      </c>
      <c r="I88" s="261"/>
      <c r="J88" s="261"/>
      <c r="K88" s="261"/>
      <c r="L88" s="261"/>
      <c r="M88" s="261"/>
      <c r="N88" s="261"/>
      <c r="O88" s="261"/>
      <c r="P88" s="261"/>
      <c r="Q88" s="261"/>
      <c r="R88" s="261"/>
      <c r="S88" s="261"/>
      <c r="T88" s="314"/>
      <c r="U88" s="314"/>
      <c r="V88" s="314"/>
      <c r="W88" s="314"/>
      <c r="X88" s="314"/>
      <c r="Y88" s="314"/>
      <c r="Z88" s="314"/>
      <c r="AA88" s="314"/>
      <c r="AB88" s="314"/>
    </row>
    <row r="89" spans="1:28" collapsed="1">
      <c r="A89" s="133" t="s">
        <v>1668</v>
      </c>
      <c r="C89" s="147">
        <f>SUM(C87:C88)</f>
        <v>3409</v>
      </c>
      <c r="D89" s="147">
        <f t="shared" ref="D89:H89" si="64">SUM(D87:D88)</f>
        <v>4155</v>
      </c>
      <c r="E89" s="220">
        <f t="shared" si="64"/>
        <v>4851</v>
      </c>
      <c r="F89" s="220">
        <f t="shared" si="64"/>
        <v>5440</v>
      </c>
      <c r="G89" s="158">
        <f t="shared" si="64"/>
        <v>6445</v>
      </c>
      <c r="H89" s="255">
        <f t="shared" si="64"/>
        <v>7854.7</v>
      </c>
      <c r="I89" s="260">
        <v>0</v>
      </c>
      <c r="J89" s="260">
        <v>0</v>
      </c>
      <c r="K89" s="260">
        <v>0</v>
      </c>
      <c r="L89" s="260">
        <v>0</v>
      </c>
      <c r="M89" s="260">
        <v>0</v>
      </c>
      <c r="N89" s="260">
        <v>0</v>
      </c>
      <c r="O89" s="260">
        <v>0</v>
      </c>
      <c r="P89" s="260">
        <v>0</v>
      </c>
      <c r="Q89" s="260">
        <v>0</v>
      </c>
      <c r="R89" s="260">
        <v>0</v>
      </c>
      <c r="S89" s="260">
        <v>0</v>
      </c>
      <c r="T89" s="145"/>
      <c r="V89" s="162"/>
    </row>
    <row r="90" spans="1:28">
      <c r="A90" s="133" t="s">
        <v>1669</v>
      </c>
      <c r="C90" s="146">
        <f>SUM(ATVI!BX22:CA22)*-1</f>
        <v>-274</v>
      </c>
      <c r="D90" s="146">
        <f>SUM(ATVI!CB22:CE22)*-1</f>
        <v>-127</v>
      </c>
      <c r="E90" s="217">
        <f>SUM(ATVI!CF22:CI22)*-1</f>
        <v>-83</v>
      </c>
      <c r="F90" s="217">
        <f>SUM(ATVI!CJ22:CM22)*-1</f>
        <v>-35</v>
      </c>
      <c r="G90" s="154">
        <f>SUM(ATVI!CN22:CQ22)*-1</f>
        <v>-74</v>
      </c>
      <c r="H90" s="247">
        <f>SUM(ATVI!CR22:CU22)*-1</f>
        <v>-133.53299999999999</v>
      </c>
      <c r="I90" s="260">
        <v>0</v>
      </c>
      <c r="J90" s="260">
        <v>0</v>
      </c>
      <c r="K90" s="260">
        <v>0</v>
      </c>
      <c r="L90" s="260">
        <v>0</v>
      </c>
      <c r="M90" s="260">
        <v>0</v>
      </c>
      <c r="N90" s="260">
        <v>0</v>
      </c>
      <c r="O90" s="260">
        <v>0</v>
      </c>
      <c r="P90" s="260">
        <v>0</v>
      </c>
      <c r="Q90" s="260">
        <v>0</v>
      </c>
      <c r="R90" s="260">
        <v>0</v>
      </c>
      <c r="S90" s="260">
        <v>0</v>
      </c>
      <c r="T90" s="145"/>
      <c r="V90" s="162"/>
    </row>
    <row r="91" spans="1:28" ht="13.5">
      <c r="A91" s="133" t="s">
        <v>198</v>
      </c>
      <c r="C91" s="163">
        <f>C92-C84-SUM(C89:C90)</f>
        <v>8245.7999999999993</v>
      </c>
      <c r="D91" s="163">
        <f t="shared" ref="D91:H91" si="65">D92-D84-SUM(D89:D90)</f>
        <v>3749.5199999999968</v>
      </c>
      <c r="E91" s="163">
        <f t="shared" si="65"/>
        <v>1125.5699999999997</v>
      </c>
      <c r="F91" s="163">
        <f t="shared" si="65"/>
        <v>287.55999999999767</v>
      </c>
      <c r="G91" s="164">
        <f t="shared" si="65"/>
        <v>1695.4199999999983</v>
      </c>
      <c r="H91" s="258">
        <f t="shared" si="65"/>
        <v>803.63771175930924</v>
      </c>
      <c r="I91" s="261">
        <f t="shared" ref="I91:S91" si="66">+$H$91/($H$9-$G$9)*(I9-H9)</f>
        <v>389.05313181092077</v>
      </c>
      <c r="J91" s="261">
        <f t="shared" si="66"/>
        <v>415.82788332935547</v>
      </c>
      <c r="K91" s="261">
        <f t="shared" si="66"/>
        <v>444.44528116074235</v>
      </c>
      <c r="L91" s="261">
        <f t="shared" si="66"/>
        <v>475.03213676894495</v>
      </c>
      <c r="M91" s="261">
        <f t="shared" si="66"/>
        <v>507.72398882025027</v>
      </c>
      <c r="N91" s="261">
        <f t="shared" si="66"/>
        <v>542.66570379201733</v>
      </c>
      <c r="O91" s="261">
        <f t="shared" si="66"/>
        <v>580.01211791539481</v>
      </c>
      <c r="P91" s="261">
        <f t="shared" si="66"/>
        <v>619.92872329672093</v>
      </c>
      <c r="Q91" s="261">
        <f t="shared" si="66"/>
        <v>662.59240125800466</v>
      </c>
      <c r="R91" s="261">
        <f t="shared" si="66"/>
        <v>708.19220614611436</v>
      </c>
      <c r="S91" s="261">
        <f t="shared" si="66"/>
        <v>756.93020308394546</v>
      </c>
    </row>
    <row r="92" spans="1:28">
      <c r="A92" s="165" t="s">
        <v>1670</v>
      </c>
      <c r="B92" s="146"/>
      <c r="C92" s="147">
        <f>+SUM(C94:C95)</f>
        <v>31233</v>
      </c>
      <c r="D92" s="147">
        <f t="shared" ref="D92:H92" si="67">+SUM(D94:D95)</f>
        <v>32195</v>
      </c>
      <c r="E92" s="220">
        <f t="shared" si="67"/>
        <v>36968</v>
      </c>
      <c r="F92" s="220">
        <f t="shared" si="67"/>
        <v>43716</v>
      </c>
      <c r="G92" s="158">
        <f t="shared" si="67"/>
        <v>55026</v>
      </c>
      <c r="H92" s="255">
        <f t="shared" si="67"/>
        <v>62261.42037508863</v>
      </c>
      <c r="I92" s="147">
        <f>+I84+I91+I89+I86</f>
        <v>58810.110226919154</v>
      </c>
      <c r="J92" s="147">
        <f t="shared" ref="J92:S92" si="68">+J84+J91+J89+J86</f>
        <v>64178.012996757658</v>
      </c>
      <c r="K92" s="147">
        <f t="shared" si="68"/>
        <v>69972.120051784412</v>
      </c>
      <c r="L92" s="147">
        <f t="shared" si="68"/>
        <v>76225.670763076298</v>
      </c>
      <c r="M92" s="147">
        <f t="shared" si="68"/>
        <v>82974.460985558893</v>
      </c>
      <c r="N92" s="147">
        <f t="shared" si="68"/>
        <v>90257.037504545719</v>
      </c>
      <c r="O92" s="147">
        <f t="shared" si="68"/>
        <v>98114.907137910632</v>
      </c>
      <c r="P92" s="147">
        <f t="shared" si="68"/>
        <v>106592.76159015954</v>
      </c>
      <c r="Q92" s="147">
        <f t="shared" si="68"/>
        <v>115738.71923614506</v>
      </c>
      <c r="R92" s="147">
        <f t="shared" si="68"/>
        <v>125604.58509966929</v>
      </c>
      <c r="S92" s="147">
        <f t="shared" si="68"/>
        <v>136246.13038618575</v>
      </c>
      <c r="T92" s="166"/>
      <c r="U92" s="166"/>
      <c r="V92" s="166"/>
      <c r="W92" s="166"/>
      <c r="X92" s="166"/>
      <c r="Y92" s="166"/>
      <c r="Z92" s="166"/>
      <c r="AA92" s="166"/>
      <c r="AB92" s="166"/>
    </row>
    <row r="93" spans="1:28">
      <c r="C93" s="133"/>
      <c r="D93" s="133"/>
      <c r="E93" s="133"/>
      <c r="F93" s="133"/>
      <c r="G93" s="157"/>
      <c r="H93" s="253"/>
      <c r="I93" s="133"/>
      <c r="J93" s="133"/>
      <c r="K93" s="133"/>
      <c r="L93" s="133"/>
      <c r="M93" s="133"/>
      <c r="N93" s="133"/>
      <c r="O93" s="133"/>
      <c r="P93" s="133"/>
      <c r="Q93" s="133"/>
      <c r="R93" s="133"/>
      <c r="S93" s="133"/>
    </row>
    <row r="94" spans="1:28" hidden="1" outlineLevel="1">
      <c r="A94" s="134" t="s">
        <v>1671</v>
      </c>
      <c r="C94" s="146">
        <f>SUM(ATVI!BX206:CA206,ATVI!BX212:CA212)</f>
        <v>1926</v>
      </c>
      <c r="D94" s="146">
        <f>SUM(ATVI!CB206:CE206,ATVI!CB212:CE212)</f>
        <v>1911</v>
      </c>
      <c r="E94" s="217">
        <f>SUM(ATVI!CF206:CI206,ATVI!CF212:CI212)</f>
        <v>1683</v>
      </c>
      <c r="F94" s="217">
        <f>SUM(ATVI!CJ206:CM206,ATVI!CJ212:CM212)</f>
        <v>2041</v>
      </c>
      <c r="G94" s="154">
        <f>SUM(ATVI!CN206:CQ206,ATVI!CN212:CQ212)</f>
        <v>2486</v>
      </c>
      <c r="H94" s="247">
        <f>SUM(ATVI!CR206:CU206,ATVI!CR212:CU212)</f>
        <v>2426.4203750886313</v>
      </c>
      <c r="I94" s="147"/>
      <c r="J94" s="147"/>
      <c r="K94" s="147"/>
      <c r="L94" s="147"/>
      <c r="M94" s="147"/>
      <c r="N94" s="147"/>
      <c r="O94" s="147"/>
      <c r="P94" s="147"/>
      <c r="Q94" s="147"/>
      <c r="R94" s="147"/>
      <c r="S94" s="147"/>
    </row>
    <row r="95" spans="1:28" hidden="1" outlineLevel="1">
      <c r="A95" s="134" t="s">
        <v>1672</v>
      </c>
      <c r="C95" s="146">
        <f>+'Historical Financials'!BH122</f>
        <v>29307</v>
      </c>
      <c r="D95" s="146">
        <f>+'Historical Financials'!BI122</f>
        <v>30284</v>
      </c>
      <c r="E95" s="217">
        <f>+'Historical Financials'!BJ122</f>
        <v>35285</v>
      </c>
      <c r="F95" s="217">
        <f>+'Historical Financials'!BK122</f>
        <v>41675</v>
      </c>
      <c r="G95" s="154">
        <f>+'Historical Financials'!BL122</f>
        <v>52540</v>
      </c>
      <c r="H95" s="247">
        <f>+'Historical Financials'!BM122</f>
        <v>59835</v>
      </c>
      <c r="I95" s="147"/>
      <c r="J95" s="147"/>
      <c r="K95" s="147"/>
      <c r="L95" s="147"/>
      <c r="M95" s="147"/>
      <c r="N95" s="147"/>
      <c r="O95" s="147"/>
      <c r="P95" s="147"/>
      <c r="Q95" s="147"/>
      <c r="R95" s="147"/>
      <c r="S95" s="147"/>
    </row>
    <row r="96" spans="1:28" hidden="1" outlineLevel="1">
      <c r="C96" s="133"/>
      <c r="D96" s="133"/>
      <c r="E96" s="133"/>
      <c r="F96" s="133"/>
      <c r="G96" s="157"/>
      <c r="H96" s="253"/>
      <c r="I96" s="133"/>
      <c r="J96" s="133"/>
      <c r="K96" s="133"/>
      <c r="L96" s="133"/>
      <c r="M96" s="133"/>
      <c r="N96" s="133"/>
      <c r="O96" s="133"/>
      <c r="P96" s="133"/>
      <c r="Q96" s="133"/>
      <c r="R96" s="133"/>
      <c r="S96" s="133"/>
    </row>
    <row r="97" spans="1:23" collapsed="1">
      <c r="A97" s="134" t="s">
        <v>1673</v>
      </c>
      <c r="B97" s="145"/>
      <c r="C97" s="146"/>
      <c r="D97" s="146"/>
      <c r="E97" s="217"/>
      <c r="F97" s="217"/>
      <c r="G97" s="154"/>
      <c r="H97" s="247">
        <f>+'Historical Financials'!BM136+L125</f>
        <v>37759.579624911363</v>
      </c>
      <c r="I97" s="147">
        <f t="shared" ref="I97:S97" si="69">I98*I51</f>
        <v>0</v>
      </c>
      <c r="J97" s="147">
        <f t="shared" si="69"/>
        <v>0</v>
      </c>
      <c r="K97" s="147">
        <f t="shared" si="69"/>
        <v>0</v>
      </c>
      <c r="L97" s="147">
        <f t="shared" si="69"/>
        <v>0</v>
      </c>
      <c r="M97" s="147">
        <f t="shared" si="69"/>
        <v>0</v>
      </c>
      <c r="N97" s="147">
        <f t="shared" si="69"/>
        <v>0</v>
      </c>
      <c r="O97" s="147">
        <f t="shared" si="69"/>
        <v>0</v>
      </c>
      <c r="P97" s="147">
        <f t="shared" si="69"/>
        <v>0</v>
      </c>
      <c r="Q97" s="147">
        <f t="shared" si="69"/>
        <v>0</v>
      </c>
      <c r="R97" s="147">
        <f t="shared" si="69"/>
        <v>0</v>
      </c>
      <c r="S97" s="147">
        <f t="shared" si="69"/>
        <v>0</v>
      </c>
    </row>
    <row r="98" spans="1:23">
      <c r="A98" s="148" t="s">
        <v>147</v>
      </c>
      <c r="B98" s="140"/>
      <c r="C98" s="167"/>
      <c r="D98" s="167"/>
      <c r="E98" s="167"/>
      <c r="F98" s="167"/>
      <c r="G98" s="168"/>
      <c r="H98" s="259">
        <f>+H97/H51</f>
        <v>0.3742033486342275</v>
      </c>
      <c r="I98" s="169">
        <v>0</v>
      </c>
      <c r="J98" s="169">
        <f t="shared" ref="J98:S98" si="70">I98</f>
        <v>0</v>
      </c>
      <c r="K98" s="169">
        <f t="shared" si="70"/>
        <v>0</v>
      </c>
      <c r="L98" s="169">
        <f t="shared" si="70"/>
        <v>0</v>
      </c>
      <c r="M98" s="169">
        <f t="shared" si="70"/>
        <v>0</v>
      </c>
      <c r="N98" s="169">
        <f t="shared" si="70"/>
        <v>0</v>
      </c>
      <c r="O98" s="169">
        <f t="shared" si="70"/>
        <v>0</v>
      </c>
      <c r="P98" s="169">
        <f t="shared" si="70"/>
        <v>0</v>
      </c>
      <c r="Q98" s="169">
        <f t="shared" si="70"/>
        <v>0</v>
      </c>
      <c r="R98" s="169">
        <f t="shared" si="70"/>
        <v>0</v>
      </c>
      <c r="S98" s="169">
        <f t="shared" si="70"/>
        <v>0</v>
      </c>
    </row>
    <row r="99" spans="1:23">
      <c r="C99" s="133"/>
      <c r="D99" s="133"/>
      <c r="E99" s="133"/>
      <c r="F99" s="133"/>
      <c r="G99" s="157"/>
      <c r="H99" s="253"/>
      <c r="I99" s="133"/>
      <c r="J99" s="133"/>
      <c r="K99" s="133"/>
      <c r="L99" s="133"/>
      <c r="M99" s="133"/>
      <c r="N99" s="133"/>
      <c r="O99" s="133"/>
      <c r="P99" s="133"/>
      <c r="Q99" s="133"/>
      <c r="R99" s="133"/>
      <c r="S99" s="133"/>
    </row>
    <row r="100" spans="1:23">
      <c r="A100" s="170" t="s">
        <v>148</v>
      </c>
      <c r="B100" s="145"/>
      <c r="C100" s="147"/>
      <c r="D100" s="147"/>
      <c r="E100" s="220"/>
      <c r="F100" s="220"/>
      <c r="G100" s="158"/>
      <c r="H100" s="255"/>
      <c r="I100" s="147">
        <f t="shared" ref="I100:N100" si="71">+I92+(I97-H97)</f>
        <v>21050.530602007791</v>
      </c>
      <c r="J100" s="147">
        <f t="shared" si="71"/>
        <v>64178.012996757658</v>
      </c>
      <c r="K100" s="147">
        <f t="shared" si="71"/>
        <v>69972.120051784412</v>
      </c>
      <c r="L100" s="147">
        <f t="shared" si="71"/>
        <v>76225.670763076298</v>
      </c>
      <c r="M100" s="147">
        <f t="shared" si="71"/>
        <v>82974.460985558893</v>
      </c>
      <c r="N100" s="147">
        <f t="shared" si="71"/>
        <v>90257.037504545719</v>
      </c>
      <c r="O100" s="147">
        <f>+O92+(O97-N97)</f>
        <v>98114.907137910632</v>
      </c>
      <c r="P100" s="147">
        <f>+P92+(P97-O97)</f>
        <v>106592.76159015954</v>
      </c>
      <c r="Q100" s="147">
        <f>+Q92+(Q97-P97)</f>
        <v>115738.71923614506</v>
      </c>
      <c r="R100" s="147">
        <f>+R92+(R97-Q97)</f>
        <v>125604.58509966929</v>
      </c>
      <c r="S100" s="147">
        <f>+S92+(S97-R97)</f>
        <v>136246.13038618575</v>
      </c>
    </row>
    <row r="101" spans="1:23">
      <c r="A101" s="171" t="s">
        <v>149</v>
      </c>
      <c r="C101" s="149"/>
      <c r="D101" s="149"/>
      <c r="E101" s="149"/>
      <c r="F101" s="149"/>
      <c r="G101" s="155"/>
      <c r="H101" s="251"/>
      <c r="I101" s="149">
        <f t="shared" ref="I101:S101" si="72">+I100/$D$122</f>
        <v>6.5471883946586085E-3</v>
      </c>
      <c r="J101" s="149">
        <f t="shared" si="72"/>
        <v>1.996080525611758E-2</v>
      </c>
      <c r="K101" s="149">
        <f t="shared" si="72"/>
        <v>2.1762902846211699E-2</v>
      </c>
      <c r="L101" s="149">
        <f t="shared" si="72"/>
        <v>2.3707897745222663E-2</v>
      </c>
      <c r="M101" s="149">
        <f t="shared" si="72"/>
        <v>2.5806923268997778E-2</v>
      </c>
      <c r="N101" s="149">
        <f t="shared" si="72"/>
        <v>2.8071968334597033E-2</v>
      </c>
      <c r="O101" s="149">
        <f t="shared" si="72"/>
        <v>3.0515942495770911E-2</v>
      </c>
      <c r="P101" s="149">
        <f t="shared" si="72"/>
        <v>3.3152745877633158E-2</v>
      </c>
      <c r="Q101" s="149">
        <f t="shared" si="72"/>
        <v>3.5997344376833183E-2</v>
      </c>
      <c r="R101" s="149">
        <f t="shared" si="72"/>
        <v>3.906585052074784E-2</v>
      </c>
      <c r="S101" s="149">
        <f t="shared" si="72"/>
        <v>4.2375610408437764E-2</v>
      </c>
    </row>
    <row r="102" spans="1:23">
      <c r="C102" s="133"/>
      <c r="D102" s="133"/>
      <c r="E102" s="133"/>
      <c r="F102" s="133"/>
      <c r="G102" s="157"/>
      <c r="H102" s="253"/>
      <c r="I102" s="133"/>
      <c r="J102" s="133"/>
      <c r="K102" s="133"/>
      <c r="L102" s="133"/>
      <c r="M102" s="133"/>
      <c r="N102" s="133"/>
      <c r="O102" s="133"/>
      <c r="P102" s="133"/>
      <c r="Q102" s="133"/>
      <c r="R102" s="133"/>
      <c r="S102" s="133"/>
    </row>
    <row r="103" spans="1:23">
      <c r="A103" s="170" t="s">
        <v>150</v>
      </c>
      <c r="B103" s="145"/>
      <c r="C103" s="147"/>
      <c r="D103" s="147"/>
      <c r="E103" s="220"/>
      <c r="F103" s="220"/>
      <c r="G103" s="158"/>
      <c r="H103" s="255"/>
      <c r="I103" s="147">
        <f t="shared" ref="I103:N103" si="73">I100+H103</f>
        <v>21050.530602007791</v>
      </c>
      <c r="J103" s="147">
        <f t="shared" si="73"/>
        <v>85228.543598765449</v>
      </c>
      <c r="K103" s="147">
        <f t="shared" si="73"/>
        <v>155200.66365054986</v>
      </c>
      <c r="L103" s="147">
        <f t="shared" si="73"/>
        <v>231426.33441362617</v>
      </c>
      <c r="M103" s="147">
        <f t="shared" si="73"/>
        <v>314400.79539918504</v>
      </c>
      <c r="N103" s="147">
        <f t="shared" si="73"/>
        <v>404657.83290373074</v>
      </c>
      <c r="O103" s="147">
        <f>O100+N103</f>
        <v>502772.7400416414</v>
      </c>
      <c r="P103" s="147">
        <f>P100+O103</f>
        <v>609365.5016318009</v>
      </c>
      <c r="Q103" s="147">
        <f>Q100+P103</f>
        <v>725104.22086794593</v>
      </c>
      <c r="R103" s="147">
        <f>R100+Q103</f>
        <v>850708.80596761522</v>
      </c>
      <c r="S103" s="147">
        <f>S100+R103</f>
        <v>986954.93635380093</v>
      </c>
    </row>
    <row r="104" spans="1:23">
      <c r="A104" s="171" t="s">
        <v>149</v>
      </c>
      <c r="C104" s="149"/>
      <c r="D104" s="149"/>
      <c r="E104" s="149"/>
      <c r="F104" s="149"/>
      <c r="G104" s="155"/>
      <c r="H104" s="251"/>
      <c r="I104" s="149">
        <f t="shared" ref="I104:S104" si="74">I103/$D$122</f>
        <v>6.5471883946586085E-3</v>
      </c>
      <c r="J104" s="149">
        <f t="shared" si="74"/>
        <v>2.650799365077619E-2</v>
      </c>
      <c r="K104" s="149">
        <f t="shared" si="74"/>
        <v>4.8270896496987889E-2</v>
      </c>
      <c r="L104" s="172">
        <f t="shared" si="74"/>
        <v>7.1978794242210556E-2</v>
      </c>
      <c r="M104" s="149">
        <f t="shared" si="74"/>
        <v>9.778571751120832E-2</v>
      </c>
      <c r="N104" s="149">
        <f t="shared" si="74"/>
        <v>0.12585768584580537</v>
      </c>
      <c r="O104" s="149">
        <f t="shared" si="74"/>
        <v>0.15637362834157628</v>
      </c>
      <c r="P104" s="149">
        <f t="shared" si="74"/>
        <v>0.18952637421920943</v>
      </c>
      <c r="Q104" s="149">
        <f t="shared" si="74"/>
        <v>0.22552371859604259</v>
      </c>
      <c r="R104" s="149">
        <f t="shared" si="74"/>
        <v>0.26458956911679044</v>
      </c>
      <c r="S104" s="149">
        <f t="shared" si="74"/>
        <v>0.30696517952522817</v>
      </c>
    </row>
    <row r="105" spans="1:23">
      <c r="C105" s="133"/>
      <c r="D105" s="133"/>
      <c r="E105" s="133"/>
      <c r="F105" s="133"/>
      <c r="G105" s="157"/>
      <c r="H105" s="253"/>
      <c r="I105" s="133"/>
      <c r="J105" s="133"/>
      <c r="K105" s="133"/>
      <c r="L105" s="133"/>
      <c r="M105" s="133"/>
      <c r="N105" s="133"/>
      <c r="O105" s="133"/>
      <c r="P105" s="133"/>
      <c r="Q105" s="133"/>
      <c r="R105" s="133"/>
      <c r="S105" s="133"/>
    </row>
    <row r="106" spans="1:23">
      <c r="A106" s="133" t="s">
        <v>152</v>
      </c>
      <c r="B106" s="133"/>
      <c r="C106" s="175"/>
      <c r="D106" s="175"/>
      <c r="E106" s="175"/>
      <c r="F106" s="175"/>
      <c r="G106" s="176"/>
      <c r="H106" s="257">
        <f>+($D$124-H103)/(H9)</f>
        <v>15.763392506311577</v>
      </c>
      <c r="I106" s="175">
        <f>+($D$124-I103)/(I9)</f>
        <v>14.65296332774836</v>
      </c>
      <c r="J106" s="175">
        <f t="shared" ref="J106:S106" si="75">+($D$124-J103)/(J9)</f>
        <v>13.437235982181699</v>
      </c>
      <c r="K106" s="175">
        <f t="shared" si="75"/>
        <v>12.294321709566852</v>
      </c>
      <c r="L106" s="175">
        <f t="shared" si="75"/>
        <v>11.219658763341393</v>
      </c>
      <c r="M106" s="175">
        <f t="shared" si="75"/>
        <v>10.20897097066217</v>
      </c>
      <c r="N106" s="175">
        <f t="shared" si="75"/>
        <v>9.2582498695359767</v>
      </c>
      <c r="O106" s="175">
        <f t="shared" si="75"/>
        <v>8.3637379623223058</v>
      </c>
      <c r="P106" s="175">
        <f t="shared" si="75"/>
        <v>7.521913015902526</v>
      </c>
      <c r="Q106" s="175">
        <f t="shared" si="75"/>
        <v>6.7294733431578306</v>
      </c>
      <c r="R106" s="175">
        <f t="shared" si="75"/>
        <v>5.983324004475655</v>
      </c>
      <c r="S106" s="175">
        <f t="shared" si="75"/>
        <v>5.2805638718272512</v>
      </c>
    </row>
    <row r="107" spans="1:23">
      <c r="A107" s="133" t="s">
        <v>153</v>
      </c>
      <c r="B107" s="133"/>
      <c r="C107" s="173">
        <f t="shared" ref="C107:S107" si="76">($D$122-C103)/C84</f>
        <v>161.95694179990127</v>
      </c>
      <c r="D107" s="173">
        <f t="shared" si="76"/>
        <v>131.67622539262854</v>
      </c>
      <c r="E107" s="173">
        <f t="shared" si="76"/>
        <v>103.46775789612231</v>
      </c>
      <c r="F107" s="173">
        <f t="shared" si="76"/>
        <v>84.558409233883097</v>
      </c>
      <c r="G107" s="174">
        <f t="shared" si="76"/>
        <v>68.467426667785361</v>
      </c>
      <c r="H107" s="257">
        <f>($D$122-H103)/H84</f>
        <v>59.832603157293775</v>
      </c>
      <c r="I107" s="175">
        <f>($D$122-I103)/I84</f>
        <v>54.674653767356226</v>
      </c>
      <c r="J107" s="175">
        <f t="shared" si="76"/>
        <v>49.088233893384299</v>
      </c>
      <c r="K107" s="175">
        <f t="shared" si="76"/>
        <v>44.011265247178088</v>
      </c>
      <c r="L107" s="175">
        <f t="shared" si="76"/>
        <v>39.389440402026423</v>
      </c>
      <c r="M107" s="175">
        <f t="shared" si="76"/>
        <v>35.175404171933401</v>
      </c>
      <c r="N107" s="175">
        <f t="shared" si="76"/>
        <v>31.327687088287206</v>
      </c>
      <c r="O107" s="175">
        <f t="shared" si="76"/>
        <v>27.809830106469018</v>
      </c>
      <c r="P107" s="175">
        <f t="shared" si="76"/>
        <v>24.589661594137031</v>
      </c>
      <c r="Q107" s="175">
        <f t="shared" si="76"/>
        <v>21.638696466599743</v>
      </c>
      <c r="R107" s="175">
        <f t="shared" si="76"/>
        <v>18.931633966788496</v>
      </c>
      <c r="S107" s="175">
        <f t="shared" si="76"/>
        <v>16.445935621694709</v>
      </c>
    </row>
    <row r="108" spans="1:23">
      <c r="A108" s="133" t="s">
        <v>154</v>
      </c>
      <c r="B108" s="133"/>
      <c r="C108" s="173"/>
      <c r="D108" s="173">
        <f t="shared" ref="D108:S108" si="77">($D$122-D103)/D79</f>
        <v>115.81103705432655</v>
      </c>
      <c r="E108" s="173">
        <f t="shared" si="77"/>
        <v>88.635482349412527</v>
      </c>
      <c r="F108" s="173">
        <f t="shared" si="77"/>
        <v>72.799039248788191</v>
      </c>
      <c r="G108" s="174">
        <f t="shared" si="77"/>
        <v>54.126533334635205</v>
      </c>
      <c r="H108" s="257">
        <f>($D$122-H103)/H79</f>
        <v>46.961103031373142</v>
      </c>
      <c r="I108" s="175">
        <f>($D$122-I103)/I79</f>
        <v>43.522202660115937</v>
      </c>
      <c r="J108" s="175">
        <f t="shared" si="77"/>
        <v>39.651238886342718</v>
      </c>
      <c r="K108" s="175">
        <f t="shared" si="77"/>
        <v>36.057037589867626</v>
      </c>
      <c r="L108" s="175">
        <f t="shared" si="77"/>
        <v>32.716290985566488</v>
      </c>
      <c r="M108" s="175">
        <f t="shared" si="77"/>
        <v>29.608013693049532</v>
      </c>
      <c r="N108" s="175">
        <f t="shared" si="77"/>
        <v>26.713264796182546</v>
      </c>
      <c r="O108" s="175">
        <f t="shared" si="77"/>
        <v>24.014909150985659</v>
      </c>
      <c r="P108" s="175">
        <f t="shared" si="77"/>
        <v>21.497411593902367</v>
      </c>
      <c r="Q108" s="175">
        <f t="shared" si="77"/>
        <v>19.146658850044268</v>
      </c>
      <c r="R108" s="175">
        <f t="shared" si="77"/>
        <v>16.949804860518384</v>
      </c>
      <c r="S108" s="175">
        <f t="shared" si="77"/>
        <v>14.895135988610145</v>
      </c>
    </row>
    <row r="109" spans="1:23" hidden="1" outlineLevel="1">
      <c r="A109" s="133" t="s">
        <v>155</v>
      </c>
      <c r="C109" s="133"/>
      <c r="D109" s="175"/>
      <c r="E109" s="175"/>
      <c r="F109" s="175"/>
      <c r="G109" s="176"/>
      <c r="H109" s="257">
        <f>+$E$122/8.81</f>
        <v>48.842224744608401</v>
      </c>
      <c r="I109" s="175">
        <f>+$E$122/10.11</f>
        <v>42.561819980217606</v>
      </c>
      <c r="J109" s="175">
        <f>+$E$122/11.45</f>
        <v>37.580786026200876</v>
      </c>
      <c r="K109" s="175"/>
    </row>
    <row r="110" spans="1:23" collapsed="1">
      <c r="A110" s="134" t="s">
        <v>151</v>
      </c>
      <c r="C110" s="133"/>
      <c r="D110" s="133"/>
      <c r="E110" s="133"/>
      <c r="F110" s="133"/>
      <c r="G110" s="176">
        <f>+D122/SUM('Historical Financials'!Y122:AB122)</f>
        <v>57.573669979407292</v>
      </c>
      <c r="H110" s="267"/>
      <c r="I110" s="133"/>
      <c r="J110" s="133"/>
      <c r="K110" s="133"/>
      <c r="L110" s="133"/>
      <c r="M110" s="133"/>
      <c r="N110" s="133"/>
      <c r="O110" s="133"/>
      <c r="P110" s="133"/>
      <c r="Q110" s="133"/>
      <c r="R110" s="133"/>
      <c r="S110" s="133"/>
      <c r="W110" s="241"/>
    </row>
    <row r="111" spans="1:23">
      <c r="C111" s="133"/>
      <c r="D111" s="133"/>
      <c r="E111" s="133"/>
      <c r="F111" s="133"/>
      <c r="G111" s="133"/>
      <c r="H111" s="133"/>
      <c r="I111" s="133"/>
      <c r="J111" s="133"/>
      <c r="K111" s="133"/>
    </row>
    <row r="112" spans="1:23">
      <c r="A112" s="177" t="s">
        <v>156</v>
      </c>
      <c r="B112" s="226"/>
      <c r="C112" s="178"/>
      <c r="D112" s="133"/>
      <c r="E112" s="133"/>
      <c r="F112" s="133"/>
      <c r="G112" s="133"/>
      <c r="H112" s="133"/>
      <c r="I112" s="133"/>
      <c r="J112" s="133"/>
      <c r="K112" s="133"/>
    </row>
    <row r="113" spans="1:19">
      <c r="C113" s="133"/>
      <c r="D113" s="133"/>
      <c r="E113" s="133"/>
      <c r="F113" s="133"/>
      <c r="G113" s="133"/>
      <c r="H113" s="133"/>
      <c r="I113" s="133"/>
      <c r="J113" s="133"/>
      <c r="K113" s="133"/>
    </row>
    <row r="114" spans="1:19">
      <c r="A114" s="179" t="s">
        <v>157</v>
      </c>
      <c r="C114" s="133"/>
      <c r="D114" s="133"/>
      <c r="E114" s="133"/>
      <c r="F114" s="133"/>
      <c r="G114" s="133"/>
      <c r="H114" s="133"/>
      <c r="I114" s="133"/>
      <c r="J114" s="133"/>
      <c r="K114" s="133"/>
      <c r="L114" s="133"/>
      <c r="M114" s="133"/>
    </row>
    <row r="115" spans="1:19" ht="13.5">
      <c r="A115" s="134" t="s">
        <v>158</v>
      </c>
      <c r="C115" s="133"/>
      <c r="D115" s="133"/>
      <c r="E115" s="133"/>
      <c r="F115" s="133"/>
      <c r="G115" s="133"/>
      <c r="H115" s="133"/>
      <c r="I115" s="133"/>
      <c r="J115" s="133"/>
      <c r="K115" s="133"/>
      <c r="L115" s="133"/>
      <c r="M115" s="133"/>
      <c r="N115" s="133"/>
      <c r="O115" s="133"/>
      <c r="P115" s="133"/>
      <c r="Q115" s="133"/>
      <c r="R115" s="265">
        <v>15</v>
      </c>
      <c r="S115" s="180"/>
    </row>
    <row r="116" spans="1:19">
      <c r="A116" s="170" t="s">
        <v>159</v>
      </c>
      <c r="C116" s="147"/>
      <c r="D116" s="147"/>
      <c r="E116" s="147"/>
      <c r="F116" s="147"/>
      <c r="G116" s="147"/>
      <c r="H116" s="147"/>
      <c r="I116" s="147"/>
      <c r="J116" s="147"/>
      <c r="K116" s="147"/>
      <c r="L116" s="147"/>
      <c r="M116" s="147"/>
      <c r="N116" s="147"/>
      <c r="O116" s="147"/>
      <c r="P116" s="147"/>
      <c r="Q116" s="147"/>
      <c r="R116" s="147">
        <f>+R115*S84</f>
        <v>2032338.0027465271</v>
      </c>
      <c r="S116" s="147"/>
    </row>
    <row r="117" spans="1:19">
      <c r="A117" s="170" t="s">
        <v>160</v>
      </c>
      <c r="C117" s="147"/>
      <c r="D117" s="147"/>
      <c r="E117" s="147"/>
      <c r="F117" s="147"/>
      <c r="G117" s="147"/>
      <c r="H117" s="147">
        <f>-$D$122+H103</f>
        <v>-3215201.6</v>
      </c>
      <c r="I117" s="147">
        <f t="shared" ref="I117:R117" si="78">+I100+I116</f>
        <v>21050.530602007791</v>
      </c>
      <c r="J117" s="147">
        <f t="shared" si="78"/>
        <v>64178.012996757658</v>
      </c>
      <c r="K117" s="147">
        <f t="shared" si="78"/>
        <v>69972.120051784412</v>
      </c>
      <c r="L117" s="147">
        <f t="shared" si="78"/>
        <v>76225.670763076298</v>
      </c>
      <c r="M117" s="147">
        <f t="shared" si="78"/>
        <v>82974.460985558893</v>
      </c>
      <c r="N117" s="147">
        <f t="shared" si="78"/>
        <v>90257.037504545719</v>
      </c>
      <c r="O117" s="147">
        <f t="shared" si="78"/>
        <v>98114.907137910632</v>
      </c>
      <c r="P117" s="147">
        <f t="shared" si="78"/>
        <v>106592.76159015954</v>
      </c>
      <c r="Q117" s="147">
        <f t="shared" si="78"/>
        <v>115738.71923614506</v>
      </c>
      <c r="R117" s="147">
        <f t="shared" si="78"/>
        <v>2157942.5878461963</v>
      </c>
      <c r="S117" s="147"/>
    </row>
    <row r="118" spans="1:19">
      <c r="A118" s="181" t="s">
        <v>161</v>
      </c>
      <c r="B118" s="182"/>
      <c r="C118" s="183"/>
      <c r="D118" s="183"/>
      <c r="E118" s="183"/>
      <c r="F118" s="183"/>
      <c r="G118" s="183"/>
      <c r="H118" s="184">
        <f ca="1">XIRR(H117:R117,H3:R3)</f>
        <v>-1.771526634693146E-2</v>
      </c>
      <c r="I118" s="185"/>
      <c r="J118" s="186"/>
      <c r="K118" s="186"/>
      <c r="L118" s="186"/>
      <c r="M118" s="186"/>
      <c r="N118" s="186"/>
      <c r="O118" s="186"/>
      <c r="P118" s="186"/>
      <c r="Q118" s="186"/>
      <c r="R118" s="186"/>
      <c r="S118" s="186"/>
    </row>
    <row r="120" spans="1:19">
      <c r="A120" s="187" t="s">
        <v>162</v>
      </c>
      <c r="B120" s="188"/>
      <c r="C120" s="189"/>
      <c r="D120" s="189"/>
      <c r="E120" s="190"/>
      <c r="F120" s="133"/>
      <c r="I120" s="133"/>
      <c r="J120" s="785" t="s">
        <v>1674</v>
      </c>
      <c r="K120" s="133"/>
    </row>
    <row r="121" spans="1:19">
      <c r="D121" s="191" t="s">
        <v>163</v>
      </c>
      <c r="E121" s="191" t="s">
        <v>164</v>
      </c>
      <c r="F121" s="133"/>
      <c r="I121" s="133"/>
      <c r="J121" s="133" t="s">
        <v>167</v>
      </c>
      <c r="L121" s="147">
        <v>783</v>
      </c>
    </row>
    <row r="122" spans="1:19" ht="13.5">
      <c r="A122" s="134" t="s">
        <v>165</v>
      </c>
      <c r="D122" s="192">
        <f>+E122*E125</f>
        <v>3215201.6</v>
      </c>
      <c r="E122" s="266">
        <f>Base!E100</f>
        <v>430.3</v>
      </c>
      <c r="F122" s="133"/>
      <c r="I122" s="133"/>
      <c r="J122" s="133" t="s">
        <v>1675</v>
      </c>
      <c r="L122" s="786">
        <v>95</v>
      </c>
    </row>
    <row r="123" spans="1:19" ht="13.5">
      <c r="A123" s="134" t="s">
        <v>146</v>
      </c>
      <c r="D123" s="193">
        <f>+'Historical Financials'!AE136+L125</f>
        <v>37759.579624911363</v>
      </c>
      <c r="E123" s="194">
        <f>+D123/E125</f>
        <v>5.0534769305288227</v>
      </c>
      <c r="F123" s="138" t="s">
        <v>1676</v>
      </c>
      <c r="I123" s="133"/>
      <c r="J123" s="170" t="s">
        <v>1677</v>
      </c>
      <c r="L123" s="147">
        <f>L122*L121</f>
        <v>74385</v>
      </c>
    </row>
    <row r="124" spans="1:19" ht="13.5">
      <c r="A124" s="195" t="s">
        <v>166</v>
      </c>
      <c r="B124" s="196"/>
      <c r="D124" s="192">
        <f>+D123+D122</f>
        <v>3252961.1796249114</v>
      </c>
      <c r="E124" s="197">
        <f>+D124/E125</f>
        <v>435.35347693052881</v>
      </c>
      <c r="F124" s="133"/>
      <c r="J124" s="133" t="s">
        <v>1678</v>
      </c>
      <c r="L124" s="213">
        <f>ATVI!CU105*-1+ATVI!CU131</f>
        <v>-8040.42037508863</v>
      </c>
      <c r="M124" s="213"/>
      <c r="N124" s="213"/>
      <c r="O124" s="213"/>
    </row>
    <row r="125" spans="1:19">
      <c r="A125" s="148" t="s">
        <v>167</v>
      </c>
      <c r="D125" s="133"/>
      <c r="E125" s="205">
        <f>+Base!E103</f>
        <v>7472</v>
      </c>
      <c r="F125" s="133"/>
      <c r="I125" s="133"/>
      <c r="J125" s="170" t="s">
        <v>1679</v>
      </c>
      <c r="K125" s="147"/>
      <c r="L125" s="787">
        <f>L123+L124</f>
        <v>66344.579624911363</v>
      </c>
    </row>
    <row r="127" spans="1:19">
      <c r="C127" s="198"/>
      <c r="D127" s="198"/>
      <c r="E127" s="198"/>
      <c r="H127" s="198">
        <f ca="1">H118</f>
        <v>-1.771526634693146E-2</v>
      </c>
    </row>
    <row r="130" spans="1:11">
      <c r="A130" s="134" t="s">
        <v>187</v>
      </c>
      <c r="C130" s="199">
        <f>+$E$122/C107</f>
        <v>2.6568790149892934</v>
      </c>
      <c r="D130" s="199">
        <f t="shared" ref="D130:K130" si="79">+$E$122/D108</f>
        <v>3.715535331905782</v>
      </c>
      <c r="E130" s="199">
        <f t="shared" si="79"/>
        <v>4.8547149357601711</v>
      </c>
      <c r="F130" s="199">
        <f t="shared" si="79"/>
        <v>5.9107922912205568</v>
      </c>
      <c r="G130" s="199">
        <f t="shared" si="79"/>
        <v>7.9498902569593151</v>
      </c>
      <c r="H130" s="199">
        <f t="shared" si="79"/>
        <v>9.1629023217902485</v>
      </c>
      <c r="I130" s="199">
        <f t="shared" si="79"/>
        <v>9.8869076861849656</v>
      </c>
      <c r="J130" s="199">
        <f t="shared" si="79"/>
        <v>10.852119935859317</v>
      </c>
      <c r="K130" s="199">
        <f t="shared" si="79"/>
        <v>11.933870022669817</v>
      </c>
    </row>
    <row r="131" spans="1:11">
      <c r="A131" s="134" t="s">
        <v>188</v>
      </c>
      <c r="C131" s="199"/>
      <c r="D131" s="199">
        <f t="shared" ref="D131:F131" si="80">AVERAGE(D130:E130)</f>
        <v>4.2851251338329766</v>
      </c>
      <c r="E131" s="199">
        <f t="shared" si="80"/>
        <v>5.3827536134903635</v>
      </c>
      <c r="F131" s="199">
        <f t="shared" si="80"/>
        <v>6.9303412740899359</v>
      </c>
      <c r="G131" s="199">
        <f>AVERAGE(G130:H130)</f>
        <v>8.5563962893747814</v>
      </c>
      <c r="H131" s="199">
        <f>AVERAGE(H130:I130)</f>
        <v>9.5249050039876071</v>
      </c>
      <c r="I131" s="199">
        <f>AVERAGE(I130:J130)</f>
        <v>10.369513811022141</v>
      </c>
      <c r="J131" s="199">
        <f t="shared" ref="J131" si="81">AVERAGE(J130:K130)</f>
        <v>11.392994979264568</v>
      </c>
      <c r="K131" s="199"/>
    </row>
    <row r="132" spans="1:11">
      <c r="C132" s="200"/>
    </row>
    <row r="133" spans="1:11">
      <c r="F133" s="241"/>
    </row>
    <row r="136" spans="1:11">
      <c r="G136" s="241"/>
    </row>
  </sheetData>
  <printOptions horizontalCentered="1"/>
  <pageMargins left="0.3" right="0.3" top="0.3" bottom="0.3" header="0.3" footer="0.3"/>
  <pageSetup scale="50" fitToHeight="0" orientation="portrait" r:id="rId1"/>
  <rowBreaks count="1" manualBreakCount="1">
    <brk id="125" max="18"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B2:L98"/>
  <sheetViews>
    <sheetView view="pageBreakPreview" zoomScaleNormal="100" zoomScaleSheetLayoutView="100" workbookViewId="0">
      <pane xSplit="3" ySplit="5" topLeftCell="D6" activePane="bottomRight" state="frozen"/>
      <selection pane="bottomRight" activeCell="D6" sqref="D6"/>
      <selection pane="bottomLeft" activeCell="H25" sqref="H25"/>
      <selection pane="topRight" activeCell="H25" sqref="H25"/>
    </sheetView>
  </sheetViews>
  <sheetFormatPr defaultRowHeight="9.9499999999999993"/>
  <cols>
    <col min="1" max="1" width="2.83203125" customWidth="1"/>
    <col min="2" max="2" width="35.83203125" customWidth="1"/>
    <col min="3" max="3" width="2.83203125" customWidth="1"/>
    <col min="12" max="12" width="170.83203125" customWidth="1"/>
  </cols>
  <sheetData>
    <row r="2" spans="2:12" s="1" customFormat="1" ht="10.5">
      <c r="B2" s="1" t="s">
        <v>60</v>
      </c>
      <c r="L2" s="53">
        <f ca="1">+TODAY()</f>
        <v>45797</v>
      </c>
    </row>
    <row r="3" spans="2:12" s="2" customFormat="1" ht="10.5">
      <c r="B3" s="2" t="s">
        <v>1680</v>
      </c>
    </row>
    <row r="4" spans="2:12">
      <c r="B4" s="3" t="s">
        <v>63</v>
      </c>
    </row>
    <row r="5" spans="2:12" ht="13.5">
      <c r="D5" s="6" t="s">
        <v>251</v>
      </c>
      <c r="E5" s="6" t="s">
        <v>252</v>
      </c>
      <c r="F5" s="6" t="s">
        <v>253</v>
      </c>
      <c r="G5" s="6" t="s">
        <v>254</v>
      </c>
      <c r="H5" s="6" t="s">
        <v>255</v>
      </c>
      <c r="I5" s="6" t="s">
        <v>256</v>
      </c>
      <c r="J5" s="6" t="s">
        <v>257</v>
      </c>
      <c r="L5" s="95" t="s">
        <v>1681</v>
      </c>
    </row>
    <row r="7" spans="2:12">
      <c r="B7" t="s">
        <v>436</v>
      </c>
      <c r="D7" s="8">
        <f>+E7/(1+E8)</f>
        <v>14216.236438458662</v>
      </c>
      <c r="E7" s="8">
        <f>+F7/(1+F8)</f>
        <v>12794.612794612796</v>
      </c>
      <c r="F7" s="8">
        <f>+G9/G8</f>
        <v>12666.666666666668</v>
      </c>
      <c r="G7" s="8">
        <f>+F7*(1+G8)</f>
        <v>10766.666666666668</v>
      </c>
      <c r="H7" s="8">
        <f>+G7*(1+H8)</f>
        <v>10659.000000000002</v>
      </c>
      <c r="I7" s="8">
        <f>+H7*(1+I8)</f>
        <v>10978.770000000002</v>
      </c>
      <c r="J7" s="8">
        <f>+I7*(1+J8)</f>
        <v>11527.708500000002</v>
      </c>
    </row>
    <row r="8" spans="2:12" s="3" customFormat="1">
      <c r="B8" s="13" t="s">
        <v>1333</v>
      </c>
      <c r="E8" s="22">
        <v>-0.1</v>
      </c>
      <c r="F8" s="22">
        <v>-0.01</v>
      </c>
      <c r="G8" s="22">
        <v>-0.15</v>
      </c>
      <c r="H8" s="22">
        <v>-0.01</v>
      </c>
      <c r="I8" s="22">
        <v>0.03</v>
      </c>
      <c r="J8" s="22">
        <v>0.05</v>
      </c>
      <c r="L8" t="s">
        <v>1682</v>
      </c>
    </row>
    <row r="9" spans="2:12">
      <c r="B9" s="13" t="s">
        <v>1683</v>
      </c>
      <c r="E9" s="92">
        <f>+E7-D7</f>
        <v>-1421.6236438458654</v>
      </c>
      <c r="F9" s="40">
        <v>-136</v>
      </c>
      <c r="G9" s="40">
        <v>-1900</v>
      </c>
      <c r="H9" s="92">
        <f>+H7-G7</f>
        <v>-107.66666666666606</v>
      </c>
      <c r="I9" s="92">
        <f>+I7-H7</f>
        <v>319.77000000000044</v>
      </c>
      <c r="J9" s="92">
        <f>+J7-I7</f>
        <v>548.9385000000002</v>
      </c>
    </row>
    <row r="10" spans="2:12">
      <c r="B10" s="13" t="s">
        <v>1684</v>
      </c>
      <c r="D10" s="23">
        <f t="shared" ref="D10:J10" si="0">+D7/D93</f>
        <v>0.19143094728813354</v>
      </c>
      <c r="E10" s="23">
        <f t="shared" si="0"/>
        <v>0.16549965456302365</v>
      </c>
      <c r="F10" s="23">
        <f t="shared" si="0"/>
        <v>0.14587388051393674</v>
      </c>
      <c r="G10" s="23">
        <f t="shared" si="0"/>
        <v>0.11505307401866496</v>
      </c>
      <c r="H10" s="23">
        <f t="shared" si="0"/>
        <v>0.11693397985826186</v>
      </c>
      <c r="I10" s="23">
        <f t="shared" si="0"/>
        <v>0.11368599268931669</v>
      </c>
      <c r="J10" s="23">
        <f t="shared" si="0"/>
        <v>0.10445549565059807</v>
      </c>
    </row>
    <row r="12" spans="2:12">
      <c r="B12" s="24" t="s">
        <v>126</v>
      </c>
    </row>
    <row r="13" spans="2:12">
      <c r="B13" s="17" t="s">
        <v>1685</v>
      </c>
      <c r="D13" s="29">
        <v>365.97740877593503</v>
      </c>
      <c r="E13" s="29">
        <v>327.77787757205283</v>
      </c>
      <c r="F13" s="29">
        <v>311.05719850000003</v>
      </c>
      <c r="G13" s="29">
        <v>293.76033121181308</v>
      </c>
      <c r="H13" s="29">
        <v>264.55775841420387</v>
      </c>
      <c r="I13" s="29">
        <v>255.27140371077772</v>
      </c>
      <c r="J13" s="29">
        <v>255.46654055257827</v>
      </c>
    </row>
    <row r="14" spans="2:12">
      <c r="B14" s="19" t="s">
        <v>1333</v>
      </c>
      <c r="E14" s="23">
        <f t="shared" ref="E14:J14" si="1">+E13/D13-1</f>
        <v>-0.10437674645450412</v>
      </c>
      <c r="F14" s="23">
        <f t="shared" si="1"/>
        <v>-5.101222570573638E-2</v>
      </c>
      <c r="G14" s="23">
        <f t="shared" si="1"/>
        <v>-5.5606709542801114E-2</v>
      </c>
      <c r="H14" s="23">
        <f t="shared" si="1"/>
        <v>-9.9409517538135428E-2</v>
      </c>
      <c r="I14" s="23">
        <f t="shared" si="1"/>
        <v>-3.5101426467663899E-2</v>
      </c>
      <c r="J14" s="23">
        <f t="shared" si="1"/>
        <v>7.644289135559923E-4</v>
      </c>
    </row>
    <row r="15" spans="2:12">
      <c r="B15" s="24"/>
    </row>
    <row r="16" spans="2:12">
      <c r="B16" t="s">
        <v>1200</v>
      </c>
      <c r="D16" s="8" t="e">
        <f>+'Historical Financials'!#REF!</f>
        <v>#REF!</v>
      </c>
      <c r="E16" s="8" t="e">
        <f>+'Historical Financials'!#REF!</f>
        <v>#REF!</v>
      </c>
      <c r="F16" s="8" t="e">
        <f>+'Historical Financials'!#REF!</f>
        <v>#REF!</v>
      </c>
      <c r="G16" s="8" t="e">
        <f>+'Historical Financials'!#REF!</f>
        <v>#REF!</v>
      </c>
      <c r="H16" s="8" t="e">
        <f>+G16+H18</f>
        <v>#REF!</v>
      </c>
      <c r="I16" s="8">
        <f>+J16-J18</f>
        <v>525</v>
      </c>
      <c r="J16" s="40">
        <v>0</v>
      </c>
    </row>
    <row r="17" spans="2:12">
      <c r="B17" s="13" t="s">
        <v>1333</v>
      </c>
      <c r="E17" s="23" t="e">
        <f>+E16/D16-1</f>
        <v>#REF!</v>
      </c>
      <c r="F17" s="23" t="e">
        <f t="shared" ref="F17:J17" si="2">+F16/E16-1</f>
        <v>#REF!</v>
      </c>
      <c r="G17" s="23" t="e">
        <f t="shared" si="2"/>
        <v>#REF!</v>
      </c>
      <c r="H17" s="23" t="e">
        <f t="shared" si="2"/>
        <v>#REF!</v>
      </c>
      <c r="I17" s="23" t="e">
        <f t="shared" si="2"/>
        <v>#REF!</v>
      </c>
      <c r="J17" s="23">
        <f t="shared" si="2"/>
        <v>-1</v>
      </c>
      <c r="L17" t="s">
        <v>1686</v>
      </c>
    </row>
    <row r="18" spans="2:12">
      <c r="B18" s="13" t="s">
        <v>1683</v>
      </c>
      <c r="E18" s="92" t="e">
        <f>+E16-D16</f>
        <v>#REF!</v>
      </c>
      <c r="F18" s="92" t="e">
        <f t="shared" ref="F18:G18" si="3">+F16-E16</f>
        <v>#REF!</v>
      </c>
      <c r="G18" s="92" t="e">
        <f t="shared" si="3"/>
        <v>#REF!</v>
      </c>
      <c r="H18" s="40">
        <v>-4200</v>
      </c>
      <c r="I18" s="92" t="e">
        <f>+I16-H16</f>
        <v>#REF!</v>
      </c>
      <c r="J18" s="40">
        <v>-525</v>
      </c>
    </row>
    <row r="19" spans="2:12">
      <c r="B19" s="13" t="s">
        <v>1684</v>
      </c>
      <c r="D19" s="23" t="e">
        <f t="shared" ref="D19:J19" si="4">+D16/D93</f>
        <v>#REF!</v>
      </c>
      <c r="E19" s="23" t="e">
        <f t="shared" si="4"/>
        <v>#REF!</v>
      </c>
      <c r="F19" s="23" t="e">
        <f t="shared" si="4"/>
        <v>#REF!</v>
      </c>
      <c r="G19" s="23" t="e">
        <f t="shared" si="4"/>
        <v>#REF!</v>
      </c>
      <c r="H19" s="23" t="e">
        <f t="shared" si="4"/>
        <v>#REF!</v>
      </c>
      <c r="I19" s="23">
        <f t="shared" si="4"/>
        <v>5.4364146586449351E-3</v>
      </c>
      <c r="J19" s="23">
        <f t="shared" si="4"/>
        <v>0</v>
      </c>
    </row>
    <row r="20" spans="2:12">
      <c r="B20" s="13"/>
    </row>
    <row r="21" spans="2:12">
      <c r="B21" t="s">
        <v>385</v>
      </c>
      <c r="D21" s="8">
        <f>+'Historical Financials'!AZ311</f>
        <v>0</v>
      </c>
      <c r="E21" s="8">
        <f>+'Historical Financials'!BA311</f>
        <v>0</v>
      </c>
      <c r="F21" s="8">
        <f>+'Historical Financials'!BB311</f>
        <v>0</v>
      </c>
      <c r="G21" s="8">
        <f>+'Historical Financials'!BC311</f>
        <v>0</v>
      </c>
      <c r="H21" s="8">
        <f>+'Historical Financials'!BD311</f>
        <v>0</v>
      </c>
      <c r="I21" s="8">
        <f>+'Historical Financials'!BH311</f>
        <v>2271</v>
      </c>
      <c r="J21" s="8">
        <f>+'Historical Financials'!BI311</f>
        <v>5259</v>
      </c>
      <c r="L21" t="s">
        <v>1687</v>
      </c>
    </row>
    <row r="22" spans="2:12">
      <c r="B22" s="13" t="s">
        <v>1333</v>
      </c>
      <c r="E22" s="23" t="e">
        <f>+E21/D21-1</f>
        <v>#DIV/0!</v>
      </c>
      <c r="F22" s="23" t="e">
        <f t="shared" ref="F22" si="5">+F21/E21-1</f>
        <v>#DIV/0!</v>
      </c>
      <c r="G22" s="23" t="e">
        <f t="shared" ref="G22" si="6">+G21/F21-1</f>
        <v>#DIV/0!</v>
      </c>
      <c r="H22" s="23" t="e">
        <f t="shared" ref="H22" si="7">+H21/G21-1</f>
        <v>#DIV/0!</v>
      </c>
      <c r="I22" s="23" t="e">
        <f t="shared" ref="I22" si="8">+I21/H21-1</f>
        <v>#DIV/0!</v>
      </c>
      <c r="J22" s="23">
        <f t="shared" ref="J22" si="9">+J21/I21-1</f>
        <v>1.3157199471598413</v>
      </c>
    </row>
    <row r="23" spans="2:12">
      <c r="B23" s="13" t="s">
        <v>1683</v>
      </c>
      <c r="E23" s="92">
        <f>+E21-D21</f>
        <v>0</v>
      </c>
      <c r="F23" s="92">
        <f t="shared" ref="F23:J23" si="10">+F21-E21</f>
        <v>0</v>
      </c>
      <c r="G23" s="92">
        <f t="shared" si="10"/>
        <v>0</v>
      </c>
      <c r="H23" s="92">
        <f t="shared" si="10"/>
        <v>0</v>
      </c>
      <c r="I23" s="92">
        <f t="shared" si="10"/>
        <v>2271</v>
      </c>
      <c r="J23" s="92">
        <f t="shared" si="10"/>
        <v>2988</v>
      </c>
    </row>
    <row r="24" spans="2:12">
      <c r="B24" s="13" t="s">
        <v>1684</v>
      </c>
      <c r="D24" s="23">
        <f t="shared" ref="D24:J24" si="11">+D21/D93</f>
        <v>0</v>
      </c>
      <c r="E24" s="23">
        <f t="shared" si="11"/>
        <v>0</v>
      </c>
      <c r="F24" s="23">
        <f t="shared" si="11"/>
        <v>0</v>
      </c>
      <c r="G24" s="23">
        <f t="shared" si="11"/>
        <v>0</v>
      </c>
      <c r="H24" s="23">
        <f t="shared" si="11"/>
        <v>0</v>
      </c>
      <c r="I24" s="23">
        <f t="shared" si="11"/>
        <v>2.3516376551966946E-2</v>
      </c>
      <c r="J24" s="23">
        <f t="shared" si="11"/>
        <v>4.7653135193910838E-2</v>
      </c>
    </row>
    <row r="25" spans="2:12">
      <c r="B25" s="13"/>
    </row>
    <row r="26" spans="2:12">
      <c r="B26" s="12" t="s">
        <v>1688</v>
      </c>
      <c r="D26" s="8">
        <f>+E26/(1+E27)</f>
        <v>4126.5894566948027</v>
      </c>
      <c r="E26" s="8">
        <f>+F26/(1+F27)</f>
        <v>3507.6010381905826</v>
      </c>
      <c r="F26" s="8">
        <f>+G28/G27</f>
        <v>3262.0689655172414</v>
      </c>
      <c r="G26" s="8">
        <f>+F26*(1+G27)</f>
        <v>2316.0689655172414</v>
      </c>
      <c r="H26" s="8">
        <f>+H34-H30</f>
        <v>1747.2689655172414</v>
      </c>
      <c r="I26" s="8">
        <f t="shared" ref="I26:J26" si="12">+I34-I30</f>
        <v>1604.2428080369266</v>
      </c>
      <c r="J26" s="8">
        <f t="shared" si="12"/>
        <v>1563.9563721314148</v>
      </c>
    </row>
    <row r="27" spans="2:12">
      <c r="B27" s="15" t="s">
        <v>1333</v>
      </c>
      <c r="E27" s="22">
        <v>-0.15</v>
      </c>
      <c r="F27" s="22">
        <v>-7.0000000000000007E-2</v>
      </c>
      <c r="G27" s="22">
        <v>-0.28999999999999998</v>
      </c>
      <c r="H27" s="23">
        <f t="shared" ref="H27" si="13">+H26/G26-1</f>
        <v>-0.24558854182175505</v>
      </c>
      <c r="I27" s="23">
        <f t="shared" ref="I27" si="14">+I26/H26-1</f>
        <v>-8.1856978120123047E-2</v>
      </c>
      <c r="J27" s="23">
        <f t="shared" ref="J27" si="15">+J26/I26-1</f>
        <v>-2.5112430427417287E-2</v>
      </c>
    </row>
    <row r="28" spans="2:12">
      <c r="B28" s="15" t="s">
        <v>1683</v>
      </c>
      <c r="E28" s="40">
        <v>-618</v>
      </c>
      <c r="F28" s="40">
        <v>-249</v>
      </c>
      <c r="G28" s="40">
        <v>-946</v>
      </c>
      <c r="H28" s="8">
        <f>+H26-G26</f>
        <v>-568.79999999999995</v>
      </c>
      <c r="I28" s="8">
        <f t="shared" ref="I28:J28" si="16">+I26-H26</f>
        <v>-143.02615748031485</v>
      </c>
      <c r="J28" s="8">
        <f t="shared" si="16"/>
        <v>-40.28643590551178</v>
      </c>
    </row>
    <row r="29" spans="2:12">
      <c r="B29" s="15" t="s">
        <v>1684</v>
      </c>
      <c r="D29" s="23">
        <f>+D26/D93</f>
        <v>5.5567233436500045E-2</v>
      </c>
      <c r="E29" s="23">
        <f>+E26/E93</f>
        <v>4.5371186255036056E-2</v>
      </c>
      <c r="F29" s="23">
        <f>+F26/F93</f>
        <v>3.7567157250322357E-2</v>
      </c>
      <c r="G29" s="23">
        <f>+G26/G93</f>
        <v>2.4749614933930769E-2</v>
      </c>
      <c r="H29" s="23">
        <f t="shared" ref="H29:J29" si="17">+H26/H93</f>
        <v>1.9168319168848778E-2</v>
      </c>
      <c r="I29" s="23">
        <f t="shared" si="17"/>
        <v>1.6612055462166972E-2</v>
      </c>
      <c r="J29" s="23">
        <f t="shared" si="17"/>
        <v>1.4171406054108507E-2</v>
      </c>
    </row>
    <row r="30" spans="2:12">
      <c r="B30" s="12" t="s">
        <v>1148</v>
      </c>
      <c r="D30" s="61">
        <v>10</v>
      </c>
      <c r="E30" s="61">
        <v>75</v>
      </c>
      <c r="F30" s="8">
        <f>+E30+F32</f>
        <v>391</v>
      </c>
      <c r="G30" s="8">
        <f>+F30+G32</f>
        <v>714</v>
      </c>
      <c r="H30" s="8">
        <f>+G30*(1+H31)</f>
        <v>1213.8</v>
      </c>
      <c r="I30" s="8">
        <f t="shared" ref="I30:J30" si="18">+H30*(1+I31)</f>
        <v>1707.8261574803148</v>
      </c>
      <c r="J30" s="8">
        <f t="shared" si="18"/>
        <v>2130.1125933858266</v>
      </c>
    </row>
    <row r="31" spans="2:12">
      <c r="B31" s="15" t="s">
        <v>1333</v>
      </c>
      <c r="E31" s="23">
        <f>+E30/D30-1</f>
        <v>6.5</v>
      </c>
      <c r="F31" s="23">
        <f t="shared" ref="F31:G31" si="19">+F30/E30-1</f>
        <v>4.2133333333333329</v>
      </c>
      <c r="G31" s="23">
        <f t="shared" si="19"/>
        <v>0.82608695652173902</v>
      </c>
      <c r="H31" s="93">
        <v>0.7</v>
      </c>
      <c r="I31" s="93">
        <f>+AVERAGE(H40:I40)/AVERAGE(G40:H40)*1.07-1</f>
        <v>0.40700787401574789</v>
      </c>
      <c r="J31" s="93">
        <f>+AVERAGE(I40:J40)/AVERAGE(H40:I40)*1.07-1</f>
        <v>0.2472654690618763</v>
      </c>
    </row>
    <row r="32" spans="2:12">
      <c r="B32" s="15" t="s">
        <v>1683</v>
      </c>
      <c r="E32" s="92">
        <f>+E30-D30</f>
        <v>65</v>
      </c>
      <c r="F32" s="40">
        <v>316</v>
      </c>
      <c r="G32" s="40">
        <v>323</v>
      </c>
      <c r="H32" s="8">
        <f>+H30-G30</f>
        <v>499.79999999999995</v>
      </c>
      <c r="I32" s="8">
        <f t="shared" ref="I32:J32" si="20">+I30-H30</f>
        <v>494.02615748031485</v>
      </c>
      <c r="J32" s="8">
        <f t="shared" si="20"/>
        <v>422.28643590551178</v>
      </c>
    </row>
    <row r="33" spans="2:10">
      <c r="B33" s="15" t="s">
        <v>1684</v>
      </c>
      <c r="D33" s="23">
        <f>+D30/D93</f>
        <v>1.3465655844767919E-4</v>
      </c>
      <c r="E33" s="23">
        <f>+E30/E93</f>
        <v>9.7013284352403986E-4</v>
      </c>
      <c r="F33" s="23">
        <f>+F30/F93</f>
        <v>4.5028963642854674E-3</v>
      </c>
      <c r="G33" s="23">
        <f>+G30/G93</f>
        <v>7.6298354349219923E-3</v>
      </c>
      <c r="H33" s="23">
        <f t="shared" ref="H33:J33" si="21">+H30/H93</f>
        <v>1.3315926892950391E-2</v>
      </c>
      <c r="I33" s="23">
        <f t="shared" si="21"/>
        <v>1.768466887036807E-2</v>
      </c>
      <c r="J33" s="23">
        <f t="shared" si="21"/>
        <v>1.9301491422488461E-2</v>
      </c>
    </row>
    <row r="34" spans="2:10">
      <c r="B34" t="s">
        <v>1689</v>
      </c>
      <c r="D34" s="8">
        <f>+D26+D30</f>
        <v>4136.5894566948027</v>
      </c>
      <c r="E34" s="8">
        <f>+E26+E30</f>
        <v>3582.6010381905826</v>
      </c>
      <c r="F34" s="8">
        <f>+F26+F30</f>
        <v>3653.0689655172414</v>
      </c>
      <c r="G34" s="8">
        <f>+G26+G30</f>
        <v>3030.0689655172414</v>
      </c>
      <c r="H34" s="8">
        <f>+G34+H36</f>
        <v>2961.0689655172414</v>
      </c>
      <c r="I34" s="8">
        <f>+H34+I36</f>
        <v>3312.0689655172414</v>
      </c>
      <c r="J34" s="8">
        <f>+I34+J36</f>
        <v>3694.0689655172414</v>
      </c>
    </row>
    <row r="35" spans="2:10">
      <c r="B35" s="15" t="s">
        <v>1333</v>
      </c>
      <c r="E35" s="23">
        <f>+E34/D34-1</f>
        <v>-0.13392395457751449</v>
      </c>
      <c r="F35" s="23">
        <f>+F34/E34-1</f>
        <v>1.966948777591182E-2</v>
      </c>
      <c r="G35" s="22">
        <v>-0.17</v>
      </c>
      <c r="H35" s="22">
        <v>-0.02</v>
      </c>
      <c r="I35" s="23">
        <f>+I34/H34-1</f>
        <v>0.11853827252506677</v>
      </c>
      <c r="J35" s="23">
        <f>+J34/I34-1</f>
        <v>0.11533576262363354</v>
      </c>
    </row>
    <row r="36" spans="2:10">
      <c r="B36" s="15" t="s">
        <v>1683</v>
      </c>
      <c r="E36" s="92">
        <f>+E34-D34</f>
        <v>-553.98841850422014</v>
      </c>
      <c r="F36" s="92">
        <f t="shared" ref="F36:G36" si="22">+F34-E34</f>
        <v>70.46792732665881</v>
      </c>
      <c r="G36" s="92">
        <f t="shared" si="22"/>
        <v>-623</v>
      </c>
      <c r="H36" s="40">
        <v>-69</v>
      </c>
      <c r="I36" s="40">
        <v>351</v>
      </c>
      <c r="J36" s="40">
        <v>382</v>
      </c>
    </row>
    <row r="37" spans="2:10">
      <c r="B37" s="15" t="s">
        <v>1684</v>
      </c>
      <c r="D37" s="23">
        <f t="shared" ref="D37:J37" si="23">+D34/D93</f>
        <v>5.5701889994947726E-2</v>
      </c>
      <c r="E37" s="23">
        <f t="shared" si="23"/>
        <v>4.6341319098560096E-2</v>
      </c>
      <c r="F37" s="23">
        <f t="shared" si="23"/>
        <v>4.2070053614607826E-2</v>
      </c>
      <c r="G37" s="23">
        <f t="shared" si="23"/>
        <v>3.2379450368852758E-2</v>
      </c>
      <c r="H37" s="23">
        <f t="shared" si="23"/>
        <v>3.2484246061799171E-2</v>
      </c>
      <c r="I37" s="23">
        <f t="shared" si="23"/>
        <v>3.4296724332535042E-2</v>
      </c>
      <c r="J37" s="23">
        <f t="shared" si="23"/>
        <v>3.3472897476596965E-2</v>
      </c>
    </row>
    <row r="38" spans="2:10">
      <c r="B38" s="15"/>
    </row>
    <row r="39" spans="2:10">
      <c r="B39" s="16" t="s">
        <v>126</v>
      </c>
    </row>
    <row r="40" spans="2:10">
      <c r="B40" s="18" t="s">
        <v>1690</v>
      </c>
      <c r="D40" s="61">
        <v>0.1</v>
      </c>
      <c r="E40" s="61">
        <v>1</v>
      </c>
      <c r="F40" s="61">
        <v>5</v>
      </c>
      <c r="G40" s="61">
        <v>15</v>
      </c>
      <c r="H40" s="29">
        <f>+'Historical Financials'!G301</f>
        <v>23.1</v>
      </c>
      <c r="I40" s="29">
        <f>+'Historical Financials'!K301</f>
        <v>27</v>
      </c>
      <c r="J40" s="29">
        <f>+'Historical Financials'!O301</f>
        <v>31.4</v>
      </c>
    </row>
    <row r="41" spans="2:10">
      <c r="B41" s="20" t="s">
        <v>1333</v>
      </c>
      <c r="E41" s="23">
        <f>+E40/D40-1</f>
        <v>9</v>
      </c>
      <c r="F41" s="23">
        <f>+F40/E40-1</f>
        <v>4</v>
      </c>
      <c r="G41" s="23">
        <f>+G40/F40-1</f>
        <v>2</v>
      </c>
      <c r="H41" s="23">
        <f t="shared" ref="H41:J41" si="24">+H40/G40-1</f>
        <v>0.54</v>
      </c>
      <c r="I41" s="23">
        <f t="shared" si="24"/>
        <v>0.16883116883116878</v>
      </c>
      <c r="J41" s="23">
        <f t="shared" si="24"/>
        <v>0.16296296296296298</v>
      </c>
    </row>
    <row r="42" spans="2:10">
      <c r="B42" s="15"/>
    </row>
    <row r="43" spans="2:10">
      <c r="B43" s="12" t="s">
        <v>1691</v>
      </c>
      <c r="D43" s="8">
        <f>+E43-E45</f>
        <v>18389.76923076923</v>
      </c>
      <c r="E43" s="8">
        <f>+F43-F45</f>
        <v>19011.76923076923</v>
      </c>
      <c r="F43" s="8">
        <f>+G45/G44</f>
        <v>19230.76923076923</v>
      </c>
      <c r="G43" s="8">
        <f>+F43+G45</f>
        <v>16730.76923076923</v>
      </c>
      <c r="H43" s="8">
        <f>+G43*(1+H44)</f>
        <v>14388.461538461537</v>
      </c>
      <c r="I43" s="8">
        <f t="shared" ref="I43:J43" si="25">+H43*(1+I44)</f>
        <v>12374.076923076922</v>
      </c>
      <c r="J43" s="8">
        <f t="shared" si="25"/>
        <v>10270.483846153844</v>
      </c>
    </row>
    <row r="44" spans="2:10">
      <c r="B44" s="15" t="s">
        <v>1333</v>
      </c>
      <c r="E44" s="22">
        <v>0.04</v>
      </c>
      <c r="F44" s="22">
        <v>0.01</v>
      </c>
      <c r="G44" s="23">
        <v>-0.13</v>
      </c>
      <c r="H44" s="93">
        <v>-0.14000000000000001</v>
      </c>
      <c r="I44" s="93">
        <v>-0.14000000000000001</v>
      </c>
      <c r="J44" s="93">
        <v>-0.17</v>
      </c>
    </row>
    <row r="45" spans="2:10">
      <c r="B45" s="15" t="s">
        <v>1683</v>
      </c>
      <c r="E45" s="40">
        <v>622</v>
      </c>
      <c r="F45" s="40">
        <v>219</v>
      </c>
      <c r="G45" s="40">
        <v>-2500</v>
      </c>
      <c r="H45" s="94">
        <f>+H43-G43</f>
        <v>-2342.3076923076933</v>
      </c>
      <c r="I45" s="94">
        <f t="shared" ref="I45:J45" si="26">+I43-H43</f>
        <v>-2014.3846153846152</v>
      </c>
      <c r="J45" s="94">
        <f t="shared" si="26"/>
        <v>-2103.5930769230781</v>
      </c>
    </row>
    <row r="46" spans="2:10">
      <c r="B46" s="15" t="s">
        <v>1684</v>
      </c>
      <c r="D46" s="23">
        <f t="shared" ref="D46:J46" si="27">+D43/D93</f>
        <v>0.24763030352624094</v>
      </c>
      <c r="E46" s="23">
        <f t="shared" si="27"/>
        <v>0.24591922325692003</v>
      </c>
      <c r="F46" s="23">
        <f t="shared" si="27"/>
        <v>0.22146844207581484</v>
      </c>
      <c r="G46" s="23">
        <f t="shared" si="27"/>
        <v>0.17878573659723479</v>
      </c>
      <c r="H46" s="23">
        <f t="shared" si="27"/>
        <v>0.15784783485597492</v>
      </c>
      <c r="I46" s="23">
        <f t="shared" si="27"/>
        <v>0.12813450127964837</v>
      </c>
      <c r="J46" s="23">
        <f t="shared" si="27"/>
        <v>9.3063463629520157E-2</v>
      </c>
    </row>
    <row r="47" spans="2:10">
      <c r="B47" s="12" t="s">
        <v>1692</v>
      </c>
      <c r="D47" s="61">
        <v>50</v>
      </c>
      <c r="E47" s="61">
        <v>300</v>
      </c>
      <c r="F47" s="8">
        <f>+F51-F43</f>
        <v>900.41258741258935</v>
      </c>
      <c r="G47" s="8">
        <f>+G51-G43</f>
        <v>3552.4125874125893</v>
      </c>
      <c r="H47" s="8">
        <f>+H51-H43</f>
        <v>6029.7202797202826</v>
      </c>
      <c r="I47" s="8">
        <f>+I51-I43</f>
        <v>9444.1048951048979</v>
      </c>
      <c r="J47" s="8">
        <f>+J51-J43</f>
        <v>13947.697972027976</v>
      </c>
    </row>
    <row r="48" spans="2:10">
      <c r="B48" s="15" t="s">
        <v>1333</v>
      </c>
      <c r="E48" s="23">
        <f>+E47/D47-1</f>
        <v>5</v>
      </c>
      <c r="F48" s="23">
        <f>+F47/E47-1</f>
        <v>2.001375291375298</v>
      </c>
      <c r="G48" s="23">
        <f>+G47/F47-1</f>
        <v>2.9453164438990611</v>
      </c>
      <c r="H48" s="23">
        <f t="shared" ref="H48:J48" si="28">+H47/G47-1</f>
        <v>0.69735922597663347</v>
      </c>
      <c r="I48" s="23">
        <f t="shared" si="28"/>
        <v>0.56625920556683074</v>
      </c>
      <c r="J48" s="23">
        <f t="shared" si="28"/>
        <v>0.47686817617383692</v>
      </c>
    </row>
    <row r="49" spans="2:12">
      <c r="B49" s="15" t="s">
        <v>1683</v>
      </c>
      <c r="E49" s="92">
        <f>+E47-D47</f>
        <v>250</v>
      </c>
      <c r="F49" s="92">
        <f t="shared" ref="F49:G49" si="29">+F47-E47</f>
        <v>600.41258741258935</v>
      </c>
      <c r="G49" s="92">
        <f t="shared" si="29"/>
        <v>2652</v>
      </c>
      <c r="H49" s="92">
        <f t="shared" ref="H49:J49" si="30">+H47-G47</f>
        <v>2477.3076923076933</v>
      </c>
      <c r="I49" s="92">
        <f t="shared" si="30"/>
        <v>3414.3846153846152</v>
      </c>
      <c r="J49" s="92">
        <f t="shared" si="30"/>
        <v>4503.5930769230781</v>
      </c>
    </row>
    <row r="50" spans="2:12">
      <c r="B50" s="15" t="s">
        <v>1684</v>
      </c>
      <c r="D50" s="23">
        <f>+D47/D93</f>
        <v>6.7328279223839596E-4</v>
      </c>
      <c r="E50" s="23">
        <f t="shared" ref="E50:J50" si="31">+E47/E93</f>
        <v>3.8805313740961594E-3</v>
      </c>
      <c r="F50" s="23">
        <f t="shared" si="31"/>
        <v>1.036947459390542E-2</v>
      </c>
      <c r="G50" s="23">
        <f t="shared" si="31"/>
        <v>3.7961237309388642E-2</v>
      </c>
      <c r="H50" s="23">
        <f t="shared" si="31"/>
        <v>6.6148718429474104E-2</v>
      </c>
      <c r="I50" s="23">
        <f t="shared" si="31"/>
        <v>9.7794419599102192E-2</v>
      </c>
      <c r="J50" s="23">
        <f t="shared" si="31"/>
        <v>0.1263836351216743</v>
      </c>
    </row>
    <row r="51" spans="2:12">
      <c r="B51" t="s">
        <v>1693</v>
      </c>
      <c r="D51" s="8">
        <f>+D43+D47</f>
        <v>18439.76923076923</v>
      </c>
      <c r="E51" s="8">
        <f>+E43+E47</f>
        <v>19311.76923076923</v>
      </c>
      <c r="F51" s="8">
        <f>+G51-G53</f>
        <v>20131.18181818182</v>
      </c>
      <c r="G51" s="8">
        <f>+H51-H53</f>
        <v>20283.18181818182</v>
      </c>
      <c r="H51" s="8">
        <f>+I51-I53</f>
        <v>20418.18181818182</v>
      </c>
      <c r="I51" s="8">
        <f>+J53/J52</f>
        <v>21818.18181818182</v>
      </c>
      <c r="J51" s="8">
        <f>+I51+J53</f>
        <v>24218.18181818182</v>
      </c>
    </row>
    <row r="52" spans="2:12">
      <c r="B52" s="15" t="s">
        <v>1333</v>
      </c>
      <c r="E52" s="23">
        <f>+E51/D51-1</f>
        <v>4.7289095057922559E-2</v>
      </c>
      <c r="F52" s="23">
        <f>+F51/E51-1</f>
        <v>4.2430736284225556E-2</v>
      </c>
      <c r="G52" s="22">
        <v>0.01</v>
      </c>
      <c r="H52" s="22">
        <v>0.01</v>
      </c>
      <c r="I52" s="22">
        <v>7.0000000000000007E-2</v>
      </c>
      <c r="J52" s="22">
        <v>0.11</v>
      </c>
    </row>
    <row r="53" spans="2:12">
      <c r="B53" s="15" t="s">
        <v>1683</v>
      </c>
      <c r="E53" s="8">
        <f>+E51-D51</f>
        <v>872</v>
      </c>
      <c r="F53" s="8">
        <f>+F51-E51</f>
        <v>819.41258741258935</v>
      </c>
      <c r="G53" s="40">
        <v>152</v>
      </c>
      <c r="H53" s="40">
        <v>135</v>
      </c>
      <c r="I53" s="40">
        <v>1400</v>
      </c>
      <c r="J53" s="40">
        <v>2400</v>
      </c>
    </row>
    <row r="54" spans="2:12">
      <c r="B54" s="15" t="s">
        <v>1684</v>
      </c>
      <c r="D54" s="23">
        <f>+D51/D93</f>
        <v>0.24830358631847932</v>
      </c>
      <c r="E54" s="23">
        <f t="shared" ref="E54:J54" si="32">+E51/E93</f>
        <v>0.2497997546310162</v>
      </c>
      <c r="F54" s="23">
        <f t="shared" si="32"/>
        <v>0.23183791666972026</v>
      </c>
      <c r="G54" s="23">
        <f t="shared" si="32"/>
        <v>0.21674697390662342</v>
      </c>
      <c r="H54" s="23">
        <f t="shared" si="32"/>
        <v>0.22399655328544901</v>
      </c>
      <c r="I54" s="23">
        <f t="shared" si="32"/>
        <v>0.22592892087875055</v>
      </c>
      <c r="J54" s="23">
        <f t="shared" si="32"/>
        <v>0.21944709875119445</v>
      </c>
    </row>
    <row r="55" spans="2:12">
      <c r="B55" s="15"/>
    </row>
    <row r="56" spans="2:12">
      <c r="B56" t="s">
        <v>1694</v>
      </c>
      <c r="D56" s="8">
        <f>+D62-D47</f>
        <v>668</v>
      </c>
      <c r="E56" s="8">
        <f t="shared" ref="E56:J56" si="33">+E62-E47</f>
        <v>1000</v>
      </c>
      <c r="F56" s="8">
        <f t="shared" si="33"/>
        <v>1899.5874125874107</v>
      </c>
      <c r="G56" s="8">
        <f t="shared" si="33"/>
        <v>2247.5874125874107</v>
      </c>
      <c r="H56" s="8">
        <f t="shared" si="33"/>
        <v>-6029.7202797202826</v>
      </c>
      <c r="I56" s="8">
        <f t="shared" si="33"/>
        <v>-9444.1048951048979</v>
      </c>
      <c r="J56" s="8">
        <f t="shared" si="33"/>
        <v>12652.302027972024</v>
      </c>
    </row>
    <row r="57" spans="2:12">
      <c r="B57" s="13" t="s">
        <v>1333</v>
      </c>
      <c r="E57" s="23">
        <f t="shared" ref="E57" si="34">+E56/D56-1</f>
        <v>0.49700598802395213</v>
      </c>
      <c r="F57" s="23">
        <f t="shared" ref="F57" si="35">+F56/E56-1</f>
        <v>0.8995874125874106</v>
      </c>
      <c r="G57" s="23">
        <f t="shared" ref="G57" si="36">+G56/F56-1</f>
        <v>0.18319767634488193</v>
      </c>
      <c r="H57" s="23">
        <f t="shared" ref="H57" si="37">+H56/G56-1</f>
        <v>-3.6827522907235455</v>
      </c>
      <c r="I57" s="23">
        <f t="shared" ref="I57" si="38">+I56/H56-1</f>
        <v>0.56625920556683074</v>
      </c>
      <c r="J57" s="23">
        <f t="shared" ref="J57" si="39">+J56/I56-1</f>
        <v>-2.3397036742497441</v>
      </c>
      <c r="L57" t="s">
        <v>1695</v>
      </c>
    </row>
    <row r="58" spans="2:12">
      <c r="B58" s="13" t="s">
        <v>1683</v>
      </c>
      <c r="E58" s="92">
        <f t="shared" ref="E58:J58" si="40">+E56-D56</f>
        <v>332</v>
      </c>
      <c r="F58" s="92">
        <f t="shared" si="40"/>
        <v>899.58741258741065</v>
      </c>
      <c r="G58" s="92">
        <f t="shared" si="40"/>
        <v>348</v>
      </c>
      <c r="H58" s="92">
        <f t="shared" si="40"/>
        <v>-8277.3076923076933</v>
      </c>
      <c r="I58" s="92">
        <f t="shared" si="40"/>
        <v>-3414.3846153846152</v>
      </c>
      <c r="J58" s="92">
        <f t="shared" si="40"/>
        <v>22096.406923076924</v>
      </c>
    </row>
    <row r="59" spans="2:12">
      <c r="B59" s="13" t="s">
        <v>1684</v>
      </c>
      <c r="D59" s="23">
        <f>+D56/D93</f>
        <v>8.9950581043049694E-3</v>
      </c>
      <c r="E59" s="23">
        <f t="shared" ref="E59:J59" si="41">+E56/E93</f>
        <v>1.2935104580320532E-2</v>
      </c>
      <c r="F59" s="23">
        <f t="shared" si="41"/>
        <v>2.1876330572333222E-2</v>
      </c>
      <c r="G59" s="23">
        <f t="shared" si="41"/>
        <v>2.4017818044319413E-2</v>
      </c>
      <c r="H59" s="23">
        <f t="shared" si="41"/>
        <v>-6.6148718429474104E-2</v>
      </c>
      <c r="I59" s="23">
        <f t="shared" si="41"/>
        <v>-9.7794419599102192E-2</v>
      </c>
      <c r="J59" s="23">
        <f t="shared" si="41"/>
        <v>0.11464572334153701</v>
      </c>
    </row>
    <row r="60" spans="2:12">
      <c r="B60" s="15"/>
    </row>
    <row r="61" spans="2:12">
      <c r="B61" s="24" t="s">
        <v>126</v>
      </c>
    </row>
    <row r="62" spans="2:12">
      <c r="B62" s="17" t="s">
        <v>1696</v>
      </c>
      <c r="D62" s="8">
        <f>+E62-E64</f>
        <v>718</v>
      </c>
      <c r="E62" s="8">
        <f>+F62-F64</f>
        <v>1300</v>
      </c>
      <c r="F62" s="8">
        <f>+'Historical Financials'!BB213</f>
        <v>2800</v>
      </c>
      <c r="G62" s="8">
        <f>+'Historical Financials'!BC213</f>
        <v>5800</v>
      </c>
      <c r="H62" s="8">
        <f>+'Historical Financials'!BG213</f>
        <v>0</v>
      </c>
      <c r="I62" s="8">
        <f>+'Historical Financials'!BH213</f>
        <v>0</v>
      </c>
      <c r="J62" s="8">
        <f>+'Historical Financials'!BI213</f>
        <v>26600</v>
      </c>
    </row>
    <row r="63" spans="2:12">
      <c r="B63" s="19" t="s">
        <v>1333</v>
      </c>
      <c r="E63" s="23">
        <f t="shared" ref="E63:G63" si="42">+E62/D62-1</f>
        <v>0.81058495821727017</v>
      </c>
      <c r="F63" s="23">
        <f t="shared" si="42"/>
        <v>1.1538461538461537</v>
      </c>
      <c r="G63" s="23">
        <f t="shared" si="42"/>
        <v>1.0714285714285716</v>
      </c>
      <c r="H63" s="23">
        <f t="shared" ref="H63" si="43">+H62/G62-1</f>
        <v>-1</v>
      </c>
      <c r="I63" s="23" t="e">
        <f t="shared" ref="I63" si="44">+I62/H62-1</f>
        <v>#DIV/0!</v>
      </c>
      <c r="J63" s="23" t="e">
        <f t="shared" ref="J63" si="45">+J62/I62-1</f>
        <v>#DIV/0!</v>
      </c>
    </row>
    <row r="64" spans="2:12">
      <c r="B64" s="19" t="s">
        <v>1683</v>
      </c>
      <c r="E64" s="40">
        <v>582</v>
      </c>
      <c r="F64" s="40">
        <v>1500</v>
      </c>
      <c r="G64" s="92">
        <f>+G62-F62</f>
        <v>3000</v>
      </c>
      <c r="H64" s="92">
        <f t="shared" ref="H64:J64" si="46">+H62-G62</f>
        <v>-5800</v>
      </c>
      <c r="I64" s="92">
        <f t="shared" si="46"/>
        <v>0</v>
      </c>
      <c r="J64" s="92">
        <f t="shared" si="46"/>
        <v>26600</v>
      </c>
    </row>
    <row r="65" spans="2:12">
      <c r="B65" s="19" t="s">
        <v>1684</v>
      </c>
      <c r="D65" s="23">
        <f>+D62/D93</f>
        <v>9.6683408965433665E-3</v>
      </c>
      <c r="E65" s="23">
        <f t="shared" ref="E65:J65" si="47">+E62/E93</f>
        <v>1.681563595441669E-2</v>
      </c>
      <c r="F65" s="23">
        <f t="shared" si="47"/>
        <v>3.2245805166238643E-2</v>
      </c>
      <c r="G65" s="23">
        <f t="shared" si="47"/>
        <v>6.1979055353708054E-2</v>
      </c>
      <c r="H65" s="23">
        <f t="shared" si="47"/>
        <v>0</v>
      </c>
      <c r="I65" s="23">
        <f t="shared" si="47"/>
        <v>0</v>
      </c>
      <c r="J65" s="23">
        <f t="shared" si="47"/>
        <v>0.2410293584632113</v>
      </c>
    </row>
    <row r="66" spans="2:12">
      <c r="B66" s="19"/>
      <c r="D66" s="23"/>
      <c r="E66" s="23"/>
      <c r="F66" s="23"/>
      <c r="G66" s="23"/>
      <c r="H66" s="23"/>
      <c r="I66" s="23"/>
      <c r="J66" s="23"/>
    </row>
    <row r="67" spans="2:12">
      <c r="B67" s="15" t="s">
        <v>1697</v>
      </c>
    </row>
    <row r="68" spans="2:12">
      <c r="B68" s="3"/>
    </row>
    <row r="69" spans="2:12">
      <c r="B69" t="s">
        <v>1698</v>
      </c>
      <c r="D69" s="8">
        <f>+'Historical Financials'!AZ671</f>
        <v>8045</v>
      </c>
      <c r="E69" s="8">
        <f>+'Historical Financials'!BA671</f>
        <v>7100</v>
      </c>
      <c r="F69" s="8">
        <f>+'Historical Financials'!BB671</f>
        <v>8643</v>
      </c>
      <c r="G69" s="8">
        <f>+'Historical Financials'!BC671</f>
        <v>9121</v>
      </c>
      <c r="H69" s="8">
        <f>+'Historical Financials'!BG671</f>
        <v>9202</v>
      </c>
      <c r="I69" s="8">
        <f>+'Historical Financials'!BH671</f>
        <v>9051</v>
      </c>
      <c r="J69" s="8">
        <f>+'Historical Financials'!BI671</f>
        <v>10353</v>
      </c>
    </row>
    <row r="70" spans="2:12">
      <c r="B70" s="13" t="s">
        <v>1333</v>
      </c>
      <c r="E70" s="23">
        <f t="shared" ref="E70" si="48">+E69/D69-1</f>
        <v>-0.11746426351771289</v>
      </c>
      <c r="F70" s="23">
        <f t="shared" ref="F70" si="49">+F69/E69-1</f>
        <v>0.21732394366197183</v>
      </c>
      <c r="G70" s="23">
        <f t="shared" ref="G70" si="50">+G69/F69-1</f>
        <v>5.5304870993867938E-2</v>
      </c>
      <c r="H70" s="23">
        <f t="shared" ref="H70" si="51">+H69/G69-1</f>
        <v>8.8806051967986743E-3</v>
      </c>
      <c r="I70" s="23">
        <f t="shared" ref="I70" si="52">+I69/H69-1</f>
        <v>-1.640947620082589E-2</v>
      </c>
      <c r="J70" s="23">
        <f t="shared" ref="J70" si="53">+J69/I69-1</f>
        <v>0.14385150812064973</v>
      </c>
      <c r="L70" t="s">
        <v>1699</v>
      </c>
    </row>
    <row r="71" spans="2:12">
      <c r="B71" s="13" t="s">
        <v>1683</v>
      </c>
      <c r="E71" s="92">
        <f t="shared" ref="E71:J71" si="54">+E69-D69</f>
        <v>-945</v>
      </c>
      <c r="F71" s="92">
        <f t="shared" si="54"/>
        <v>1543</v>
      </c>
      <c r="G71" s="92">
        <f t="shared" si="54"/>
        <v>478</v>
      </c>
      <c r="H71" s="92">
        <f t="shared" si="54"/>
        <v>81</v>
      </c>
      <c r="I71" s="92">
        <f t="shared" si="54"/>
        <v>-151</v>
      </c>
      <c r="J71" s="92">
        <f t="shared" si="54"/>
        <v>1302</v>
      </c>
    </row>
    <row r="72" spans="2:12">
      <c r="B72" s="13" t="s">
        <v>1684</v>
      </c>
      <c r="D72" s="23">
        <f>+D69/D93</f>
        <v>0.10833120127115792</v>
      </c>
      <c r="E72" s="23">
        <f t="shared" ref="E72:J72" si="55">+E69/E93</f>
        <v>9.1839242520275782E-2</v>
      </c>
      <c r="F72" s="23">
        <f t="shared" si="55"/>
        <v>9.9535890732785917E-2</v>
      </c>
      <c r="G72" s="23">
        <f t="shared" si="55"/>
        <v>9.7467407565719172E-2</v>
      </c>
      <c r="H72" s="23">
        <f t="shared" si="55"/>
        <v>0.1009500405906488</v>
      </c>
      <c r="I72" s="23">
        <f t="shared" si="55"/>
        <v>9.3723788715038669E-2</v>
      </c>
      <c r="J72" s="23">
        <f t="shared" si="55"/>
        <v>9.3811163465023564E-2</v>
      </c>
    </row>
    <row r="73" spans="2:12">
      <c r="B73" s="13"/>
    </row>
    <row r="74" spans="2:12">
      <c r="B74" t="s">
        <v>1700</v>
      </c>
      <c r="D74" s="8">
        <f>+E74/(1+E75)</f>
        <v>1581.1921891058582</v>
      </c>
      <c r="E74" s="8">
        <f>+F74/(1+F75)</f>
        <v>2213.6690647482014</v>
      </c>
      <c r="F74" s="8">
        <f>+G74-G76</f>
        <v>3077</v>
      </c>
      <c r="G74" s="8">
        <f>+H74-H76</f>
        <v>3728</v>
      </c>
      <c r="H74" s="8">
        <f>+'Historical Financials'!BG673</f>
        <v>5428</v>
      </c>
      <c r="I74" s="8">
        <f>+'Historical Financials'!BH673</f>
        <v>6219</v>
      </c>
      <c r="J74" s="8">
        <f>+'Historical Financials'!BI673</f>
        <v>7012</v>
      </c>
    </row>
    <row r="75" spans="2:12">
      <c r="B75" s="13" t="s">
        <v>1333</v>
      </c>
      <c r="E75" s="93">
        <v>0.4</v>
      </c>
      <c r="F75" s="22">
        <v>0.39</v>
      </c>
      <c r="G75" s="23">
        <f t="shared" ref="G75" si="56">+G74/F74-1</f>
        <v>0.21156971075723097</v>
      </c>
      <c r="H75" s="23">
        <f t="shared" ref="H75" si="57">+H74/G74-1</f>
        <v>0.45600858369098707</v>
      </c>
      <c r="I75" s="23">
        <f t="shared" ref="I75" si="58">+I74/H74-1</f>
        <v>0.14572586588061909</v>
      </c>
      <c r="J75" s="23">
        <f t="shared" ref="J75" si="59">+J74/I74-1</f>
        <v>0.12751246181058051</v>
      </c>
      <c r="L75" t="s">
        <v>1701</v>
      </c>
    </row>
    <row r="76" spans="2:12">
      <c r="B76" s="13" t="s">
        <v>1683</v>
      </c>
      <c r="E76" s="92">
        <f>+E74-D74</f>
        <v>632.4768756423432</v>
      </c>
      <c r="F76" s="92">
        <f>+F74-E74</f>
        <v>863.33093525179856</v>
      </c>
      <c r="G76" s="40">
        <v>651</v>
      </c>
      <c r="H76" s="40">
        <v>1700</v>
      </c>
      <c r="I76" s="92">
        <f>+I74-H74</f>
        <v>791</v>
      </c>
      <c r="J76" s="92">
        <f>+J74-I74</f>
        <v>793</v>
      </c>
    </row>
    <row r="77" spans="2:12">
      <c r="B77" s="13" t="s">
        <v>1684</v>
      </c>
      <c r="D77" s="23">
        <f>+D74/D93</f>
        <v>2.1291789842934682E-2</v>
      </c>
      <c r="E77" s="23">
        <f t="shared" ref="E77:J77" si="60">+E74/E93</f>
        <v>2.863404085873833E-2</v>
      </c>
      <c r="F77" s="23">
        <f t="shared" si="60"/>
        <v>3.5435836605898677E-2</v>
      </c>
      <c r="G77" s="23">
        <f t="shared" si="60"/>
        <v>3.983757213079718E-2</v>
      </c>
      <c r="H77" s="23">
        <f t="shared" si="60"/>
        <v>5.9547578822651777E-2</v>
      </c>
      <c r="I77" s="23">
        <f t="shared" si="60"/>
        <v>6.4398214784976857E-2</v>
      </c>
      <c r="J77" s="23">
        <f t="shared" si="60"/>
        <v>6.3537513591881117E-2</v>
      </c>
    </row>
    <row r="78" spans="2:12">
      <c r="B78" s="13"/>
    </row>
    <row r="79" spans="2:12">
      <c r="B79" t="s">
        <v>1702</v>
      </c>
      <c r="D79" s="40">
        <v>162</v>
      </c>
      <c r="E79" s="40">
        <v>853</v>
      </c>
      <c r="F79" s="8">
        <f>+G79/(1+G80)</f>
        <v>2291.666666666667</v>
      </c>
      <c r="G79" s="8">
        <f>+H79-H81</f>
        <v>3781.25</v>
      </c>
      <c r="H79" s="8">
        <f>+I79-I81</f>
        <v>3988.25</v>
      </c>
      <c r="I79" s="8">
        <f>+J81/J80</f>
        <v>3906.25</v>
      </c>
      <c r="J79" s="8">
        <f>+I79+J81</f>
        <v>4531.25</v>
      </c>
    </row>
    <row r="80" spans="2:12">
      <c r="B80" s="13" t="s">
        <v>1333</v>
      </c>
      <c r="E80" s="23">
        <f>+E79/D79-1</f>
        <v>4.2654320987654319</v>
      </c>
      <c r="F80" s="23">
        <f>+F79/E79-1</f>
        <v>1.6865963266901138</v>
      </c>
      <c r="G80" s="22">
        <v>0.65</v>
      </c>
      <c r="H80" s="23">
        <f>+H79/G79-1</f>
        <v>5.4743801652892499E-2</v>
      </c>
      <c r="I80" s="23">
        <f>+I79/H79-1</f>
        <v>-2.0560396163730954E-2</v>
      </c>
      <c r="J80" s="22">
        <v>0.16</v>
      </c>
      <c r="L80" t="s">
        <v>1703</v>
      </c>
    </row>
    <row r="81" spans="2:10">
      <c r="B81" s="13" t="s">
        <v>1683</v>
      </c>
      <c r="E81" s="92">
        <f>+E79-D79</f>
        <v>691</v>
      </c>
      <c r="F81" s="92">
        <f>+F79-E79</f>
        <v>1438.666666666667</v>
      </c>
      <c r="G81" s="92">
        <f>+G79-F79</f>
        <v>1489.583333333333</v>
      </c>
      <c r="H81" s="40">
        <v>207</v>
      </c>
      <c r="I81" s="40">
        <v>-82</v>
      </c>
      <c r="J81" s="40">
        <v>625</v>
      </c>
    </row>
    <row r="82" spans="2:10">
      <c r="B82" s="13" t="s">
        <v>1684</v>
      </c>
      <c r="D82" s="23">
        <f t="shared" ref="D82:J82" si="61">+D79/D93</f>
        <v>2.1814362468524028E-3</v>
      </c>
      <c r="E82" s="23">
        <f t="shared" si="61"/>
        <v>1.1033644207013414E-2</v>
      </c>
      <c r="F82" s="23">
        <f t="shared" si="61"/>
        <v>2.6391656014034606E-2</v>
      </c>
      <c r="G82" s="23">
        <f t="shared" si="61"/>
        <v>4.0406603975208379E-2</v>
      </c>
      <c r="H82" s="23">
        <f t="shared" si="61"/>
        <v>4.3752879741975122E-2</v>
      </c>
      <c r="I82" s="23">
        <f t="shared" si="61"/>
        <v>4.0449513829203386E-2</v>
      </c>
      <c r="J82" s="23">
        <f t="shared" si="61"/>
        <v>4.1058807538963391E-2</v>
      </c>
    </row>
    <row r="83" spans="2:10">
      <c r="B83" s="13"/>
    </row>
    <row r="84" spans="2:10">
      <c r="B84" t="s">
        <v>198</v>
      </c>
      <c r="D84" s="8" t="e">
        <f>+D93-D7-D16-D21-D34-D51-D56-D69-D74-D91-D79</f>
        <v>#REF!</v>
      </c>
      <c r="E84" s="8" t="e">
        <f t="shared" ref="E84:J84" si="62">+E93-E7-E16-E21-E34-E51-E56-E69-E74-E91-E79</f>
        <v>#REF!</v>
      </c>
      <c r="F84" s="8" t="e">
        <f t="shared" si="62"/>
        <v>#REF!</v>
      </c>
      <c r="G84" s="8" t="e">
        <f t="shared" si="62"/>
        <v>#REF!</v>
      </c>
      <c r="H84" s="8" t="e">
        <f t="shared" si="62"/>
        <v>#REF!</v>
      </c>
      <c r="I84" s="8">
        <f t="shared" si="62"/>
        <v>47933.834111405828</v>
      </c>
      <c r="J84" s="8">
        <f t="shared" si="62"/>
        <v>31112.4886883289</v>
      </c>
    </row>
    <row r="85" spans="2:10">
      <c r="B85" s="13" t="s">
        <v>1333</v>
      </c>
      <c r="E85" s="23" t="e">
        <f>+E84/D84-1</f>
        <v>#REF!</v>
      </c>
      <c r="F85" s="23" t="e">
        <f t="shared" ref="F85" si="63">+F84/E84-1</f>
        <v>#REF!</v>
      </c>
      <c r="G85" s="23" t="e">
        <f t="shared" ref="G85" si="64">+G84/F84-1</f>
        <v>#REF!</v>
      </c>
      <c r="H85" s="23" t="e">
        <f t="shared" ref="H85" si="65">+H84/G84-1</f>
        <v>#REF!</v>
      </c>
      <c r="I85" s="23" t="e">
        <f t="shared" ref="I85" si="66">+I84/H84-1</f>
        <v>#REF!</v>
      </c>
      <c r="J85" s="23">
        <f t="shared" ref="J85" si="67">+J84/I84-1</f>
        <v>-0.3509284357262441</v>
      </c>
    </row>
    <row r="86" spans="2:10">
      <c r="B86" s="13" t="s">
        <v>1683</v>
      </c>
      <c r="E86" s="92" t="e">
        <f>+E84-D84</f>
        <v>#REF!</v>
      </c>
      <c r="F86" s="92" t="e">
        <f t="shared" ref="F86:J86" si="68">+F84-E84</f>
        <v>#REF!</v>
      </c>
      <c r="G86" s="92" t="e">
        <f t="shared" si="68"/>
        <v>#REF!</v>
      </c>
      <c r="H86" s="92" t="e">
        <f t="shared" si="68"/>
        <v>#REF!</v>
      </c>
      <c r="I86" s="92" t="e">
        <f t="shared" si="68"/>
        <v>#REF!</v>
      </c>
      <c r="J86" s="92">
        <f t="shared" si="68"/>
        <v>-16821.345423076928</v>
      </c>
    </row>
    <row r="87" spans="2:10">
      <c r="B87" s="13" t="s">
        <v>1684</v>
      </c>
      <c r="D87" s="23" t="e">
        <f>+D84/D93</f>
        <v>#REF!</v>
      </c>
      <c r="E87" s="23" t="e">
        <f t="shared" ref="E87:J87" si="69">+E84/E93</f>
        <v>#REF!</v>
      </c>
      <c r="F87" s="23" t="e">
        <f t="shared" si="69"/>
        <v>#REF!</v>
      </c>
      <c r="G87" s="23" t="e">
        <f t="shared" si="69"/>
        <v>#REF!</v>
      </c>
      <c r="H87" s="23" t="e">
        <f t="shared" si="69"/>
        <v>#REF!</v>
      </c>
      <c r="I87" s="23">
        <f t="shared" si="69"/>
        <v>0.49635847315866904</v>
      </c>
      <c r="J87" s="23">
        <f t="shared" si="69"/>
        <v>0.28191816499029448</v>
      </c>
    </row>
    <row r="88" spans="2:10">
      <c r="B88" s="13"/>
    </row>
    <row r="89" spans="2:10">
      <c r="B89" s="3" t="s">
        <v>1704</v>
      </c>
    </row>
    <row r="90" spans="2:10">
      <c r="B90" s="13"/>
    </row>
    <row r="91" spans="2:10">
      <c r="B91" t="s">
        <v>1705</v>
      </c>
      <c r="D91" s="61">
        <v>0</v>
      </c>
      <c r="E91" s="61">
        <v>0</v>
      </c>
      <c r="F91" s="61">
        <v>0</v>
      </c>
      <c r="G91" s="61">
        <v>0</v>
      </c>
      <c r="H91" s="8">
        <f>+'Historical Financials'!BG12-'Historical Financials'!BD19</f>
        <v>-809</v>
      </c>
      <c r="I91" s="61">
        <v>0</v>
      </c>
      <c r="J91" s="61">
        <v>0</v>
      </c>
    </row>
    <row r="92" spans="2:10">
      <c r="B92" s="13"/>
    </row>
    <row r="93" spans="2:10" s="37" customFormat="1" ht="10.5">
      <c r="B93" s="37" t="s">
        <v>1706</v>
      </c>
      <c r="D93" s="96">
        <f>+'Historical Financials'!AZ19</f>
        <v>74263</v>
      </c>
      <c r="E93" s="96">
        <f>+'Historical Financials'!BA19</f>
        <v>77309</v>
      </c>
      <c r="F93" s="96">
        <f>+'Historical Financials'!BB19</f>
        <v>86833</v>
      </c>
      <c r="G93" s="96">
        <f>+'Historical Financials'!BC19</f>
        <v>93580</v>
      </c>
      <c r="H93" s="96">
        <f>+'Historical Financials'!BG19</f>
        <v>91154</v>
      </c>
      <c r="I93" s="96">
        <f>+'Historical Financials'!BH19</f>
        <v>96571</v>
      </c>
      <c r="J93" s="96">
        <f>+'Historical Financials'!BI19</f>
        <v>110360</v>
      </c>
    </row>
    <row r="94" spans="2:10">
      <c r="B94" s="13" t="s">
        <v>1333</v>
      </c>
      <c r="E94" s="23">
        <f>+E93/D93-1</f>
        <v>4.1016387703163071E-2</v>
      </c>
      <c r="F94" s="23">
        <f t="shared" ref="F94:J94" si="70">+F93/E93-1</f>
        <v>0.12319393602297279</v>
      </c>
      <c r="G94" s="23">
        <f t="shared" si="70"/>
        <v>7.7700874091647165E-2</v>
      </c>
      <c r="H94" s="23">
        <f t="shared" si="70"/>
        <v>-2.5924342808292367E-2</v>
      </c>
      <c r="I94" s="23">
        <f t="shared" si="70"/>
        <v>5.9426903920837271E-2</v>
      </c>
      <c r="J94" s="23">
        <f t="shared" si="70"/>
        <v>0.14278613662486661</v>
      </c>
    </row>
    <row r="95" spans="2:10">
      <c r="B95" s="13" t="s">
        <v>1683</v>
      </c>
      <c r="E95" s="92">
        <f>+E93-D93</f>
        <v>3046</v>
      </c>
      <c r="F95" s="92">
        <f t="shared" ref="F95:I95" si="71">+F93-E93</f>
        <v>9524</v>
      </c>
      <c r="G95" s="92">
        <f t="shared" si="71"/>
        <v>6747</v>
      </c>
      <c r="H95" s="92">
        <f t="shared" si="71"/>
        <v>-2426</v>
      </c>
      <c r="I95" s="92">
        <f t="shared" si="71"/>
        <v>5417</v>
      </c>
      <c r="J95" s="92">
        <f t="shared" ref="J95" si="72">+J93-I93</f>
        <v>13789</v>
      </c>
    </row>
    <row r="97" spans="2:10">
      <c r="B97" s="24" t="s">
        <v>126</v>
      </c>
    </row>
    <row r="98" spans="2:10">
      <c r="B98" s="17" t="s">
        <v>1707</v>
      </c>
      <c r="G98" s="23">
        <f>+-ROUND('Historical Financials'!BC167-'Historical Financials'!BC159,2)</f>
        <v>-0.02</v>
      </c>
      <c r="H98" s="23">
        <f>+-ROUND('Historical Financials'!BD167-'Historical Financials'!BD159,2)</f>
        <v>-0.04</v>
      </c>
      <c r="I98" s="23">
        <f>+-ROUND('Historical Financials'!BE167-'Historical Financials'!BE159,2)</f>
        <v>-0.02</v>
      </c>
      <c r="J98" s="23">
        <f>+-ROUND('Historical Financials'!BI167-'Historical Financials'!BI159,2)</f>
        <v>0.01</v>
      </c>
    </row>
  </sheetData>
  <pageMargins left="0.5" right="0.5" top="0.5" bottom="0.5" header="0.3" footer="0.3"/>
  <pageSetup scale="54"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B2:BE108"/>
  <sheetViews>
    <sheetView view="pageBreakPreview" zoomScale="85" zoomScaleNormal="100" zoomScaleSheetLayoutView="85" workbookViewId="0">
      <pane xSplit="3" ySplit="7" topLeftCell="D8" activePane="bottomRight" state="frozen"/>
      <selection pane="bottomRight" activeCell="T23" sqref="T23"/>
      <selection pane="bottomLeft" activeCell="H25" sqref="H25"/>
      <selection pane="topRight" activeCell="H25" sqref="H25"/>
    </sheetView>
  </sheetViews>
  <sheetFormatPr defaultRowHeight="9.9499999999999993" outlineLevelRow="1"/>
  <cols>
    <col min="1" max="1" width="2.83203125" customWidth="1"/>
    <col min="2" max="2" width="20.83203125" customWidth="1"/>
    <col min="3" max="3" width="2.83203125" customWidth="1"/>
    <col min="4" max="31" width="8.6640625" customWidth="1"/>
    <col min="32" max="34" width="9.1640625" customWidth="1"/>
    <col min="35" max="35" width="2.83203125" customWidth="1"/>
    <col min="37" max="38" width="9.33203125" customWidth="1"/>
    <col min="40" max="40" width="9.33203125" customWidth="1"/>
  </cols>
  <sheetData>
    <row r="2" spans="2:48" ht="10.5">
      <c r="B2" s="1" t="s">
        <v>60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N2" s="53">
        <f ca="1">+TODAY()</f>
        <v>45797</v>
      </c>
    </row>
    <row r="3" spans="2:48" s="73" customFormat="1" ht="10.5">
      <c r="B3" s="2" t="s">
        <v>200</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row>
    <row r="4" spans="2:48">
      <c r="B4" s="3" t="s">
        <v>1708</v>
      </c>
    </row>
    <row r="5" spans="2:48" ht="10.5">
      <c r="B5" s="3"/>
      <c r="D5" s="89" t="s">
        <v>1709</v>
      </c>
      <c r="E5" s="90"/>
      <c r="F5" s="90"/>
      <c r="G5" s="90"/>
      <c r="H5" s="90"/>
      <c r="I5" s="90"/>
      <c r="J5" s="90"/>
      <c r="K5" s="90"/>
      <c r="L5" s="90"/>
      <c r="M5" s="90"/>
      <c r="N5" s="89" t="s">
        <v>1710</v>
      </c>
      <c r="O5" s="90"/>
      <c r="P5" s="91"/>
      <c r="Q5" s="91"/>
      <c r="R5" s="90"/>
      <c r="S5" s="90"/>
      <c r="T5" s="90"/>
      <c r="U5" s="90"/>
      <c r="V5" s="90"/>
      <c r="W5" s="90"/>
      <c r="X5" s="90"/>
      <c r="Y5" s="90"/>
      <c r="Z5" s="90"/>
      <c r="AA5" s="90"/>
      <c r="AB5" s="90"/>
      <c r="AC5" s="89" t="s">
        <v>1711</v>
      </c>
      <c r="AD5" s="90"/>
      <c r="AE5" s="90"/>
      <c r="AF5" s="90"/>
      <c r="AG5" s="90"/>
      <c r="AH5" s="90"/>
      <c r="AJ5" s="74" t="s">
        <v>1712</v>
      </c>
      <c r="AK5" s="75"/>
      <c r="AL5" s="75"/>
      <c r="AM5" s="75"/>
      <c r="AN5" s="76"/>
    </row>
    <row r="6" spans="2:48" ht="13.5">
      <c r="B6" s="7"/>
      <c r="D6" s="77" t="s">
        <v>1713</v>
      </c>
      <c r="E6" s="77" t="s">
        <v>1714</v>
      </c>
      <c r="F6" s="77" t="s">
        <v>1715</v>
      </c>
      <c r="G6" s="77" t="s">
        <v>1716</v>
      </c>
      <c r="H6" s="77" t="s">
        <v>1717</v>
      </c>
      <c r="I6" s="77" t="s">
        <v>1718</v>
      </c>
      <c r="J6" s="77" t="s">
        <v>1719</v>
      </c>
      <c r="K6" s="77" t="s">
        <v>1720</v>
      </c>
      <c r="L6" s="77" t="s">
        <v>1721</v>
      </c>
      <c r="M6" s="77" t="s">
        <v>1722</v>
      </c>
      <c r="N6" s="77" t="s">
        <v>1723</v>
      </c>
      <c r="O6" s="77" t="s">
        <v>1724</v>
      </c>
      <c r="P6" s="77" t="s">
        <v>1725</v>
      </c>
      <c r="Q6" s="77" t="s">
        <v>1726</v>
      </c>
      <c r="R6" s="77" t="s">
        <v>1727</v>
      </c>
      <c r="S6" s="77" t="s">
        <v>244</v>
      </c>
      <c r="T6" s="77" t="s">
        <v>245</v>
      </c>
      <c r="U6" s="77" t="s">
        <v>246</v>
      </c>
      <c r="V6" s="77" t="s">
        <v>247</v>
      </c>
      <c r="W6" s="77" t="s">
        <v>248</v>
      </c>
      <c r="X6" s="77" t="s">
        <v>249</v>
      </c>
      <c r="Y6" s="77" t="s">
        <v>250</v>
      </c>
      <c r="Z6" s="77" t="s">
        <v>251</v>
      </c>
      <c r="AA6" s="77" t="s">
        <v>252</v>
      </c>
      <c r="AB6" s="77" t="s">
        <v>253</v>
      </c>
      <c r="AC6" s="77" t="s">
        <v>254</v>
      </c>
      <c r="AD6" s="77" t="s">
        <v>255</v>
      </c>
      <c r="AE6" s="77" t="s">
        <v>256</v>
      </c>
      <c r="AF6" s="77" t="s">
        <v>257</v>
      </c>
      <c r="AG6" s="77" t="s">
        <v>258</v>
      </c>
      <c r="AH6" s="77" t="s">
        <v>259</v>
      </c>
      <c r="AJ6" s="78" t="s">
        <v>1728</v>
      </c>
      <c r="AK6" s="78" t="s">
        <v>1729</v>
      </c>
      <c r="AL6" s="78" t="s">
        <v>1730</v>
      </c>
      <c r="AM6" s="78" t="s">
        <v>1731</v>
      </c>
      <c r="AN6" s="78" t="s">
        <v>1732</v>
      </c>
      <c r="AR6" s="77" t="s">
        <v>208</v>
      </c>
      <c r="AS6" s="77" t="s">
        <v>209</v>
      </c>
      <c r="AT6" s="77" t="s">
        <v>210</v>
      </c>
      <c r="AU6" s="77" t="s">
        <v>211</v>
      </c>
      <c r="AV6" s="77" t="s">
        <v>212</v>
      </c>
    </row>
    <row r="7" spans="2:48" s="1" customFormat="1" ht="10.5" outlineLevel="1">
      <c r="B7" s="1" t="s">
        <v>1733</v>
      </c>
      <c r="D7" s="225">
        <v>33054</v>
      </c>
      <c r="E7" s="225">
        <v>33419</v>
      </c>
      <c r="F7" s="225">
        <v>33785</v>
      </c>
      <c r="G7" s="225">
        <v>34150</v>
      </c>
      <c r="H7" s="225">
        <v>34515</v>
      </c>
      <c r="I7" s="225">
        <v>34880</v>
      </c>
      <c r="J7" s="225">
        <v>35246</v>
      </c>
      <c r="K7" s="225">
        <v>35611</v>
      </c>
      <c r="L7" s="225">
        <v>35976</v>
      </c>
      <c r="M7" s="225">
        <v>36341</v>
      </c>
      <c r="N7" s="225">
        <v>36707</v>
      </c>
      <c r="O7" s="225">
        <v>37072</v>
      </c>
      <c r="P7" s="225">
        <v>37437</v>
      </c>
      <c r="Q7" s="225">
        <v>37802</v>
      </c>
      <c r="R7" s="225">
        <v>38168</v>
      </c>
      <c r="S7" s="225">
        <v>38533</v>
      </c>
      <c r="T7" s="225">
        <v>38898</v>
      </c>
      <c r="U7" s="225">
        <v>39263</v>
      </c>
      <c r="V7" s="225">
        <v>39629</v>
      </c>
      <c r="W7" s="225">
        <v>39994</v>
      </c>
      <c r="X7" s="225">
        <v>40359</v>
      </c>
      <c r="Y7" s="225">
        <v>40724</v>
      </c>
      <c r="Z7" s="225">
        <v>41090</v>
      </c>
      <c r="AA7" s="225">
        <v>41455</v>
      </c>
      <c r="AB7" s="225">
        <v>41820</v>
      </c>
      <c r="AC7" s="225">
        <v>42185</v>
      </c>
      <c r="AD7" s="225">
        <v>42551</v>
      </c>
      <c r="AE7" s="225">
        <v>42916</v>
      </c>
      <c r="AF7" s="225">
        <v>43281</v>
      </c>
      <c r="AG7" s="225">
        <v>43646</v>
      </c>
      <c r="AH7" s="225">
        <v>44012</v>
      </c>
      <c r="AJ7" s="28" t="s">
        <v>1734</v>
      </c>
    </row>
    <row r="9" spans="2:48" ht="10.5">
      <c r="B9" s="5" t="s">
        <v>84</v>
      </c>
      <c r="C9" s="4"/>
      <c r="AD9" s="1438" t="s">
        <v>1735</v>
      </c>
      <c r="AE9" s="1438"/>
      <c r="AF9" s="1438"/>
      <c r="AG9" s="224"/>
      <c r="AH9" s="224"/>
      <c r="AJ9" s="42"/>
      <c r="AK9" s="42"/>
      <c r="AL9" s="42"/>
      <c r="AM9" s="42"/>
      <c r="AN9" s="42"/>
    </row>
    <row r="10" spans="2:48">
      <c r="B10" s="3"/>
      <c r="AC10" s="79"/>
      <c r="AD10" s="1439"/>
      <c r="AE10" s="1439"/>
      <c r="AF10" s="1439"/>
      <c r="AG10" s="224"/>
      <c r="AH10" s="224"/>
      <c r="AJ10" s="42"/>
      <c r="AK10" s="42"/>
      <c r="AL10" s="42"/>
      <c r="AM10" s="42"/>
      <c r="AN10" s="42"/>
    </row>
    <row r="11" spans="2:48" ht="10.5">
      <c r="B11" s="45" t="s">
        <v>1736</v>
      </c>
      <c r="AC11" s="31"/>
      <c r="AD11" s="31"/>
      <c r="AE11" s="31"/>
      <c r="AJ11" s="42"/>
      <c r="AK11" s="42"/>
      <c r="AL11" s="42"/>
      <c r="AM11" s="42"/>
      <c r="AN11" s="42"/>
    </row>
    <row r="12" spans="2:48" s="37" customFormat="1" ht="10.5">
      <c r="B12" s="37" t="s">
        <v>86</v>
      </c>
      <c r="D12" s="80">
        <v>1183.4459999999999</v>
      </c>
      <c r="E12" s="80">
        <v>1843</v>
      </c>
      <c r="F12" s="80">
        <v>2759</v>
      </c>
      <c r="G12" s="80">
        <v>3753</v>
      </c>
      <c r="H12" s="80">
        <v>4649</v>
      </c>
      <c r="I12" s="80">
        <v>5937</v>
      </c>
      <c r="J12" s="80">
        <v>8671</v>
      </c>
      <c r="K12" s="80">
        <v>11936</v>
      </c>
      <c r="L12" s="80">
        <v>15262</v>
      </c>
      <c r="M12" s="80">
        <v>19747</v>
      </c>
      <c r="N12" s="80">
        <v>22956</v>
      </c>
      <c r="O12" s="80">
        <v>25296</v>
      </c>
      <c r="P12" s="80">
        <v>28365</v>
      </c>
      <c r="Q12" s="80">
        <v>32187</v>
      </c>
      <c r="R12" s="80">
        <v>36835</v>
      </c>
      <c r="S12" s="80">
        <v>39788</v>
      </c>
      <c r="T12" s="80">
        <v>44282</v>
      </c>
      <c r="U12" s="80">
        <v>51122</v>
      </c>
      <c r="V12" s="80">
        <v>60420</v>
      </c>
      <c r="W12" s="80">
        <v>58437</v>
      </c>
      <c r="X12" s="80">
        <v>62484</v>
      </c>
      <c r="Y12" s="80">
        <v>69943</v>
      </c>
      <c r="Z12" s="80">
        <v>73723</v>
      </c>
      <c r="AA12" s="80">
        <v>77849</v>
      </c>
      <c r="AB12" s="80">
        <v>86833</v>
      </c>
      <c r="AC12" s="80">
        <v>93580</v>
      </c>
      <c r="AD12" s="80">
        <v>91154</v>
      </c>
      <c r="AE12" s="80">
        <v>96571</v>
      </c>
      <c r="AF12" s="80">
        <f>+'Historical Financials'!BI12</f>
        <v>110360</v>
      </c>
      <c r="AG12" s="80">
        <f>+'Historical Financials'!BJ12</f>
        <v>125843</v>
      </c>
      <c r="AH12" s="80">
        <f>+'Historical Financials'!BK12</f>
        <v>143015</v>
      </c>
      <c r="AJ12" s="81">
        <f>IFERROR((AH12/AC12)^(1/5)-1,"n/a ")</f>
        <v>8.8528263479142222E-2</v>
      </c>
      <c r="AK12" s="81">
        <f>IFERROR((AH12/X12)^(1/10)-1,"n/a ")</f>
        <v>8.6328758143867645E-2</v>
      </c>
      <c r="AL12" s="81">
        <f>IFERROR((AH12/S12)^(1/15)-1,"n/a ")</f>
        <v>8.9035320567971699E-2</v>
      </c>
      <c r="AM12" s="81">
        <f>IFERROR((AH12/N12)^(1/20)-1,"n/a ")</f>
        <v>9.5782268848819685E-2</v>
      </c>
      <c r="AN12" s="81">
        <f>IFERROR(IF(AH12/I12&lt;1,"n/m ",(AH12/I12)^(1/25)-1),"n/a ")</f>
        <v>0.13572342026930984</v>
      </c>
      <c r="AR12" s="80">
        <v>530.29700000000003</v>
      </c>
      <c r="AS12" s="80">
        <v>579.34299999999996</v>
      </c>
      <c r="AT12" s="80">
        <v>593.04300000000001</v>
      </c>
      <c r="AU12" s="80">
        <v>632.85900000000004</v>
      </c>
      <c r="AV12" s="80">
        <v>584.79999999999995</v>
      </c>
    </row>
    <row r="13" spans="2:48" s="3" customFormat="1">
      <c r="B13" s="13" t="s">
        <v>1333</v>
      </c>
      <c r="D13" s="14"/>
      <c r="E13" s="14">
        <f t="shared" ref="E13:AF13" si="0">+IF(E12/D12&lt;0,"n/m ",E12/D12-1)</f>
        <v>0.55731651465297127</v>
      </c>
      <c r="F13" s="14">
        <f t="shared" si="0"/>
        <v>0.49701573521432452</v>
      </c>
      <c r="G13" s="14">
        <f t="shared" si="0"/>
        <v>0.36027546212395789</v>
      </c>
      <c r="H13" s="14">
        <f t="shared" si="0"/>
        <v>0.23874233946176382</v>
      </c>
      <c r="I13" s="14">
        <f t="shared" si="0"/>
        <v>0.27704882770488282</v>
      </c>
      <c r="J13" s="14">
        <f t="shared" si="0"/>
        <v>0.46050193700522146</v>
      </c>
      <c r="K13" s="14">
        <f t="shared" si="0"/>
        <v>0.37654249798177841</v>
      </c>
      <c r="L13" s="14">
        <f t="shared" si="0"/>
        <v>0.27865281501340489</v>
      </c>
      <c r="M13" s="14">
        <f t="shared" si="0"/>
        <v>0.29386712095400336</v>
      </c>
      <c r="N13" s="14">
        <f t="shared" si="0"/>
        <v>0.16250569706790907</v>
      </c>
      <c r="O13" s="14">
        <f t="shared" si="0"/>
        <v>0.10193413486670155</v>
      </c>
      <c r="P13" s="14">
        <f t="shared" si="0"/>
        <v>0.12132352941176472</v>
      </c>
      <c r="Q13" s="14">
        <f t="shared" si="0"/>
        <v>0.13474352194606021</v>
      </c>
      <c r="R13" s="14">
        <f t="shared" si="0"/>
        <v>0.14440612669711372</v>
      </c>
      <c r="S13" s="14">
        <f t="shared" si="0"/>
        <v>8.0168318175648068E-2</v>
      </c>
      <c r="T13" s="14">
        <f t="shared" si="0"/>
        <v>0.11294862772695291</v>
      </c>
      <c r="U13" s="14">
        <f t="shared" si="0"/>
        <v>0.15446456799602548</v>
      </c>
      <c r="V13" s="14">
        <f t="shared" si="0"/>
        <v>0.18187864324556946</v>
      </c>
      <c r="W13" s="14">
        <f t="shared" si="0"/>
        <v>-3.2820258192651441E-2</v>
      </c>
      <c r="X13" s="14">
        <f t="shared" si="0"/>
        <v>6.9254068484008391E-2</v>
      </c>
      <c r="Y13" s="14">
        <f t="shared" si="0"/>
        <v>0.11937455988733126</v>
      </c>
      <c r="Z13" s="14">
        <f t="shared" si="0"/>
        <v>5.4044007263057026E-2</v>
      </c>
      <c r="AA13" s="14">
        <f t="shared" si="0"/>
        <v>5.5966252051598442E-2</v>
      </c>
      <c r="AB13" s="14">
        <f t="shared" si="0"/>
        <v>0.11540289534868786</v>
      </c>
      <c r="AC13" s="14">
        <f t="shared" si="0"/>
        <v>7.7700874091647165E-2</v>
      </c>
      <c r="AD13" s="14">
        <f t="shared" si="0"/>
        <v>-2.5924342808292367E-2</v>
      </c>
      <c r="AE13" s="14">
        <f t="shared" si="0"/>
        <v>5.9426903920837271E-2</v>
      </c>
      <c r="AF13" s="14">
        <f t="shared" si="0"/>
        <v>0.14278613662486661</v>
      </c>
      <c r="AG13" s="14">
        <f t="shared" ref="AG13" si="1">+IF(AG12/AF12&lt;0,"n/m ",AG12/AF12-1)</f>
        <v>0.14029539688292858</v>
      </c>
      <c r="AH13" s="14">
        <f t="shared" ref="AH13" si="2">+IF(AH12/AG12&lt;0,"n/m ",AH12/AG12-1)</f>
        <v>0.13645574247276371</v>
      </c>
      <c r="AJ13" s="44"/>
      <c r="AK13" s="44"/>
      <c r="AL13" s="44"/>
      <c r="AM13" s="44"/>
      <c r="AN13" s="44"/>
      <c r="AV13" s="33">
        <f>+AV12/AR12-1</f>
        <v>0.10277825444986477</v>
      </c>
    </row>
    <row r="14" spans="2:48">
      <c r="B14" t="s">
        <v>276</v>
      </c>
      <c r="D14" s="29">
        <v>930.77799999999991</v>
      </c>
      <c r="E14" s="29">
        <v>1481</v>
      </c>
      <c r="F14" s="29">
        <v>2292</v>
      </c>
      <c r="G14" s="29">
        <v>3120</v>
      </c>
      <c r="H14" s="29">
        <v>3886</v>
      </c>
      <c r="I14" s="29">
        <v>5060</v>
      </c>
      <c r="J14" s="29">
        <v>7483</v>
      </c>
      <c r="K14" s="29">
        <v>9766</v>
      </c>
      <c r="L14" s="29">
        <v>12802</v>
      </c>
      <c r="M14" s="29">
        <v>16933</v>
      </c>
      <c r="N14" s="29">
        <v>19954</v>
      </c>
      <c r="O14" s="29">
        <v>21841</v>
      </c>
      <c r="P14" s="29">
        <v>22666</v>
      </c>
      <c r="Q14" s="29">
        <v>26128</v>
      </c>
      <c r="R14" s="29">
        <v>30239</v>
      </c>
      <c r="S14" s="29">
        <v>33757</v>
      </c>
      <c r="T14" s="29">
        <v>36632</v>
      </c>
      <c r="U14" s="29">
        <v>40429</v>
      </c>
      <c r="V14" s="29">
        <v>48822</v>
      </c>
      <c r="W14" s="29">
        <v>46282</v>
      </c>
      <c r="X14" s="29">
        <v>50089</v>
      </c>
      <c r="Y14" s="29">
        <v>54366</v>
      </c>
      <c r="Z14" s="29">
        <v>56193</v>
      </c>
      <c r="AA14" s="29">
        <v>57464</v>
      </c>
      <c r="AB14" s="29">
        <v>59755</v>
      </c>
      <c r="AC14" s="29">
        <v>60542</v>
      </c>
      <c r="AD14" s="29">
        <v>58374</v>
      </c>
      <c r="AE14" s="29">
        <v>62310</v>
      </c>
      <c r="AF14" s="29">
        <f>+'Historical Financials'!BI22</f>
        <v>72007</v>
      </c>
      <c r="AG14" s="29">
        <f>+'Historical Financials'!BJ22</f>
        <v>82933</v>
      </c>
      <c r="AH14" s="29">
        <f>+'Historical Financials'!BK22</f>
        <v>96937</v>
      </c>
      <c r="AJ14" s="25">
        <f>IFERROR((AH14/AC14)^(1/5)-1,"n/a ")</f>
        <v>9.8718816558900357E-2</v>
      </c>
      <c r="AK14" s="25">
        <f>IFERROR((AH14/X14)^(1/10)-1,"n/a ")</f>
        <v>6.8254476450682278E-2</v>
      </c>
      <c r="AL14" s="25">
        <f>IFERROR((AH14/S14)^(1/15)-1,"n/a ")</f>
        <v>7.2856694326413063E-2</v>
      </c>
      <c r="AM14" s="25">
        <f>IFERROR((AH14/N14)^(1/20)-1,"n/a ")</f>
        <v>8.2238501786349616E-2</v>
      </c>
      <c r="AN14" s="25">
        <f>IFERROR(IF(AH14/I14&lt;1,"n/m ",(AH14/I14)^(1/25)-1),"n/a ")</f>
        <v>0.12536541020276171</v>
      </c>
      <c r="AR14" s="29">
        <v>209.45000000000005</v>
      </c>
      <c r="AS14" s="29">
        <v>234.60799999999995</v>
      </c>
      <c r="AT14" s="29">
        <v>228.51900000000001</v>
      </c>
      <c r="AU14" s="29">
        <v>240.16400000000004</v>
      </c>
      <c r="AV14" s="29">
        <v>211.63299999999998</v>
      </c>
    </row>
    <row r="15" spans="2:48">
      <c r="B15" s="13" t="s">
        <v>305</v>
      </c>
      <c r="D15" s="33">
        <f t="shared" ref="D15:AF15" si="3">+D14/D12</f>
        <v>0.78649807426785845</v>
      </c>
      <c r="E15" s="33">
        <f t="shared" si="3"/>
        <v>0.8035811177428106</v>
      </c>
      <c r="F15" s="33">
        <f t="shared" si="3"/>
        <v>0.8307357738310982</v>
      </c>
      <c r="G15" s="33">
        <f t="shared" si="3"/>
        <v>0.83133493205435649</v>
      </c>
      <c r="H15" s="33">
        <f t="shared" si="3"/>
        <v>0.83587868358786832</v>
      </c>
      <c r="I15" s="33">
        <f t="shared" si="3"/>
        <v>0.85228229745662798</v>
      </c>
      <c r="J15" s="33">
        <f t="shared" si="3"/>
        <v>0.86299158113251062</v>
      </c>
      <c r="K15" s="33">
        <f t="shared" si="3"/>
        <v>0.81819705093833783</v>
      </c>
      <c r="L15" s="33">
        <f t="shared" si="3"/>
        <v>0.83881535840649979</v>
      </c>
      <c r="M15" s="33">
        <f t="shared" si="3"/>
        <v>0.85749734136830913</v>
      </c>
      <c r="N15" s="33">
        <f t="shared" si="3"/>
        <v>0.86922808851716327</v>
      </c>
      <c r="O15" s="33">
        <f t="shared" si="3"/>
        <v>0.86341714104996836</v>
      </c>
      <c r="P15" s="33">
        <f t="shared" si="3"/>
        <v>0.79908337740172752</v>
      </c>
      <c r="Q15" s="33">
        <f t="shared" si="3"/>
        <v>0.81175629912697678</v>
      </c>
      <c r="R15" s="33">
        <f t="shared" si="3"/>
        <v>0.82093117958463413</v>
      </c>
      <c r="S15" s="33">
        <f t="shared" si="3"/>
        <v>0.84842163466371767</v>
      </c>
      <c r="T15" s="33">
        <f t="shared" si="3"/>
        <v>0.82724357526760306</v>
      </c>
      <c r="U15" s="33">
        <f t="shared" si="3"/>
        <v>0.79083369195258402</v>
      </c>
      <c r="V15" s="33">
        <f t="shared" si="3"/>
        <v>0.80804369414101296</v>
      </c>
      <c r="W15" s="33">
        <f t="shared" si="3"/>
        <v>0.79199822030562828</v>
      </c>
      <c r="X15" s="33">
        <f t="shared" si="3"/>
        <v>0.80162921707957235</v>
      </c>
      <c r="Y15" s="33">
        <f t="shared" si="3"/>
        <v>0.77729007906438097</v>
      </c>
      <c r="Z15" s="33">
        <f t="shared" si="3"/>
        <v>0.76221803236439101</v>
      </c>
      <c r="AA15" s="33">
        <f t="shared" si="3"/>
        <v>0.73814692545825888</v>
      </c>
      <c r="AB15" s="33">
        <f t="shared" si="3"/>
        <v>0.68816003132449644</v>
      </c>
      <c r="AC15" s="33">
        <f t="shared" si="3"/>
        <v>0.64695447745244705</v>
      </c>
      <c r="AD15" s="33">
        <f t="shared" si="3"/>
        <v>0.64038879259275516</v>
      </c>
      <c r="AE15" s="33">
        <f t="shared" si="3"/>
        <v>0.64522475691460168</v>
      </c>
      <c r="AF15" s="33">
        <f t="shared" si="3"/>
        <v>0.65247372236317502</v>
      </c>
      <c r="AG15" s="33">
        <f t="shared" ref="AG15:AH15" si="4">+AG14/AG12</f>
        <v>0.65901957200638894</v>
      </c>
      <c r="AH15" s="33">
        <f t="shared" si="4"/>
        <v>0.67781001992797962</v>
      </c>
      <c r="AJ15" s="43"/>
      <c r="AK15" s="43"/>
      <c r="AL15" s="43"/>
      <c r="AM15" s="43"/>
      <c r="AN15" s="43"/>
      <c r="AR15" s="33">
        <f>_xll.ciqfunctions.udf.CIQ("MIDD", "IQ_GROSS_MARGIN_EST", "FY2019")/100</f>
        <v>0.3714286</v>
      </c>
      <c r="AS15" s="33">
        <f>_xll.ciqfunctions.udf.CIQ("MIDD", "IQ_GROSS_MARGIN_EST", "FY2019")/100</f>
        <v>0.3714286</v>
      </c>
      <c r="AT15" s="33">
        <f>_xll.ciqfunctions.udf.CIQ("MIDD", "IQ_GROSS_MARGIN_EST", "FY2019")/100</f>
        <v>0.3714286</v>
      </c>
      <c r="AU15" s="33">
        <f>_xll.ciqfunctions.udf.CIQ("MIDD", "IQ_GROSS_MARGIN_EST", "FY2019")/100</f>
        <v>0.3714286</v>
      </c>
      <c r="AV15" s="33">
        <f>_xll.ciqfunctions.udf.CIQ("MIDD", "IQ_GROSS_MARGIN_EST", "FY2019")/100</f>
        <v>0.3714286</v>
      </c>
    </row>
    <row r="16" spans="2:48">
      <c r="B16" t="s">
        <v>1737</v>
      </c>
      <c r="D16" s="29">
        <v>537.54</v>
      </c>
      <c r="E16" s="29">
        <v>831</v>
      </c>
      <c r="F16" s="29">
        <v>1296</v>
      </c>
      <c r="G16" s="29">
        <v>1794</v>
      </c>
      <c r="H16" s="29">
        <v>2160</v>
      </c>
      <c r="I16" s="29">
        <v>3022</v>
      </c>
      <c r="J16" s="29">
        <v>4405</v>
      </c>
      <c r="K16" s="29">
        <v>4636</v>
      </c>
      <c r="L16" s="29">
        <v>5862</v>
      </c>
      <c r="M16" s="29">
        <v>6923</v>
      </c>
      <c r="N16" s="29">
        <v>8948</v>
      </c>
      <c r="O16" s="29">
        <v>10121</v>
      </c>
      <c r="P16" s="29">
        <v>14394</v>
      </c>
      <c r="Q16" s="29">
        <v>16583</v>
      </c>
      <c r="R16" s="29">
        <v>21205</v>
      </c>
      <c r="S16" s="29">
        <v>19196</v>
      </c>
      <c r="T16" s="29">
        <v>20160</v>
      </c>
      <c r="U16" s="29">
        <v>21991</v>
      </c>
      <c r="V16" s="29">
        <v>26551</v>
      </c>
      <c r="W16" s="29">
        <v>25919</v>
      </c>
      <c r="X16" s="29">
        <v>25991</v>
      </c>
      <c r="Y16" s="29">
        <v>27205</v>
      </c>
      <c r="Z16" s="29">
        <v>28237</v>
      </c>
      <c r="AA16" s="29">
        <v>30700</v>
      </c>
      <c r="AB16" s="29">
        <v>31869</v>
      </c>
      <c r="AC16" s="29">
        <v>32370</v>
      </c>
      <c r="AD16" s="29">
        <v>31186</v>
      </c>
      <c r="AE16" s="29">
        <v>32979</v>
      </c>
      <c r="AF16" s="29">
        <f>+AF14-AF18</f>
        <v>36949</v>
      </c>
      <c r="AG16" s="29">
        <f t="shared" ref="AG16:AH16" si="5">+AG14-AG18</f>
        <v>39974</v>
      </c>
      <c r="AH16" s="29">
        <f t="shared" si="5"/>
        <v>43978</v>
      </c>
      <c r="AJ16" s="25">
        <f>IFERROR((AH16/AC16)^(1/5)-1,"n/a ")</f>
        <v>6.320878182456835E-2</v>
      </c>
      <c r="AK16" s="25">
        <f>IFERROR((AH16/X16)^(1/10)-1,"n/a ")</f>
        <v>5.4001547635144753E-2</v>
      </c>
      <c r="AL16" s="25">
        <f>IFERROR((AH16/S16)^(1/15)-1,"n/a ")</f>
        <v>5.6821521703913858E-2</v>
      </c>
      <c r="AM16" s="25">
        <f>IFERROR((AH16/N16)^(1/20)-1,"n/a ")</f>
        <v>8.2867887737464008E-2</v>
      </c>
      <c r="AN16" s="25">
        <f>IFERROR(IF(AH16/I16&lt;1,"n/m ",(AH16/I16)^(1/25)-1),"n/a ")</f>
        <v>0.11305760314456559</v>
      </c>
      <c r="AR16" s="29">
        <v>114.98399999999999</v>
      </c>
      <c r="AS16" s="29">
        <v>113.02</v>
      </c>
      <c r="AT16" s="29">
        <v>106.044</v>
      </c>
      <c r="AU16" s="29">
        <v>110.78100000000001</v>
      </c>
      <c r="AV16" s="29">
        <v>122.94799999999999</v>
      </c>
    </row>
    <row r="17" spans="2:49">
      <c r="B17" s="13" t="s">
        <v>172</v>
      </c>
      <c r="D17" s="33">
        <f t="shared" ref="D17:AF17" si="6">+D16/D12</f>
        <v>0.45421590845716664</v>
      </c>
      <c r="E17" s="33">
        <f t="shared" si="6"/>
        <v>0.45089527943570268</v>
      </c>
      <c r="F17" s="33">
        <f t="shared" si="6"/>
        <v>0.46973541138093511</v>
      </c>
      <c r="G17" s="33">
        <f t="shared" si="6"/>
        <v>0.47801758593125498</v>
      </c>
      <c r="H17" s="33">
        <f t="shared" si="6"/>
        <v>0.46461604646160465</v>
      </c>
      <c r="I17" s="33">
        <f t="shared" si="6"/>
        <v>0.5090112851608557</v>
      </c>
      <c r="J17" s="33">
        <f t="shared" si="6"/>
        <v>0.50801522315765191</v>
      </c>
      <c r="K17" s="33">
        <f t="shared" si="6"/>
        <v>0.38840482573726542</v>
      </c>
      <c r="L17" s="33">
        <f t="shared" si="6"/>
        <v>0.38409120691914561</v>
      </c>
      <c r="M17" s="33">
        <f t="shared" si="6"/>
        <v>0.35058489897199574</v>
      </c>
      <c r="N17" s="33">
        <f t="shared" si="6"/>
        <v>0.3897891618748911</v>
      </c>
      <c r="O17" s="33">
        <f t="shared" si="6"/>
        <v>0.40010278304870334</v>
      </c>
      <c r="P17" s="33">
        <f t="shared" si="6"/>
        <v>0.50745637228979379</v>
      </c>
      <c r="Q17" s="33">
        <f t="shared" si="6"/>
        <v>0.51520800323111815</v>
      </c>
      <c r="R17" s="33">
        <f t="shared" si="6"/>
        <v>0.57567530880955609</v>
      </c>
      <c r="S17" s="33">
        <f t="shared" si="6"/>
        <v>0.48245702221775411</v>
      </c>
      <c r="T17" s="33">
        <f t="shared" si="6"/>
        <v>0.45526398988302247</v>
      </c>
      <c r="U17" s="33">
        <f t="shared" si="6"/>
        <v>0.43016705136731742</v>
      </c>
      <c r="V17" s="33">
        <f t="shared" si="6"/>
        <v>0.43944058258854685</v>
      </c>
      <c r="W17" s="33">
        <f t="shared" si="6"/>
        <v>0.44353748481270427</v>
      </c>
      <c r="X17" s="33">
        <f t="shared" si="6"/>
        <v>0.41596248639651751</v>
      </c>
      <c r="Y17" s="33">
        <f t="shared" si="6"/>
        <v>0.38895958137340408</v>
      </c>
      <c r="Z17" s="33">
        <f t="shared" si="6"/>
        <v>0.38301479863814547</v>
      </c>
      <c r="AA17" s="33">
        <f t="shared" si="6"/>
        <v>0.39435317088209226</v>
      </c>
      <c r="AB17" s="33">
        <f t="shared" si="6"/>
        <v>0.36701484458673544</v>
      </c>
      <c r="AC17" s="33">
        <f t="shared" si="6"/>
        <v>0.34590724513784998</v>
      </c>
      <c r="AD17" s="33">
        <f t="shared" si="6"/>
        <v>0.34212431708976021</v>
      </c>
      <c r="AE17" s="33">
        <f t="shared" si="6"/>
        <v>0.34150003624276437</v>
      </c>
      <c r="AF17" s="33">
        <f t="shared" si="6"/>
        <v>0.3348042769119246</v>
      </c>
      <c r="AG17" s="33">
        <f t="shared" ref="AG17:AH17" si="7">+AG16/AG12</f>
        <v>0.31764976995144745</v>
      </c>
      <c r="AH17" s="33">
        <f t="shared" si="7"/>
        <v>0.30750620564276476</v>
      </c>
      <c r="AJ17" s="43"/>
      <c r="AK17" s="43"/>
      <c r="AL17" s="43"/>
      <c r="AM17" s="43"/>
      <c r="AN17" s="43"/>
      <c r="AR17" s="33">
        <f>+AR16/AR12</f>
        <v>0.21682943708902744</v>
      </c>
      <c r="AS17" s="33">
        <f>+AS16/AS12</f>
        <v>0.19508305097325765</v>
      </c>
      <c r="AT17" s="33">
        <f>+AT16/AT12</f>
        <v>0.1788133406852454</v>
      </c>
      <c r="AU17" s="33">
        <f>+AU16/AU12</f>
        <v>0.175048470512389</v>
      </c>
      <c r="AV17" s="33">
        <f>+AV16/AV12</f>
        <v>0.21023939808481532</v>
      </c>
    </row>
    <row r="18" spans="2:49" s="37" customFormat="1" ht="10.5">
      <c r="B18" s="37" t="s">
        <v>95</v>
      </c>
      <c r="D18" s="82">
        <f t="shared" ref="D18:AE18" si="8">+D14-D16</f>
        <v>393.23799999999994</v>
      </c>
      <c r="E18" s="82">
        <f t="shared" si="8"/>
        <v>650</v>
      </c>
      <c r="F18" s="82">
        <f t="shared" si="8"/>
        <v>996</v>
      </c>
      <c r="G18" s="82">
        <f t="shared" si="8"/>
        <v>1326</v>
      </c>
      <c r="H18" s="82">
        <f t="shared" si="8"/>
        <v>1726</v>
      </c>
      <c r="I18" s="82">
        <f t="shared" si="8"/>
        <v>2038</v>
      </c>
      <c r="J18" s="82">
        <f t="shared" si="8"/>
        <v>3078</v>
      </c>
      <c r="K18" s="82">
        <f t="shared" si="8"/>
        <v>5130</v>
      </c>
      <c r="L18" s="82">
        <f t="shared" si="8"/>
        <v>6940</v>
      </c>
      <c r="M18" s="82">
        <f t="shared" si="8"/>
        <v>10010</v>
      </c>
      <c r="N18" s="82">
        <f t="shared" si="8"/>
        <v>11006</v>
      </c>
      <c r="O18" s="82">
        <f t="shared" si="8"/>
        <v>11720</v>
      </c>
      <c r="P18" s="82">
        <f t="shared" si="8"/>
        <v>8272</v>
      </c>
      <c r="Q18" s="82">
        <f t="shared" si="8"/>
        <v>9545</v>
      </c>
      <c r="R18" s="82">
        <f t="shared" si="8"/>
        <v>9034</v>
      </c>
      <c r="S18" s="82">
        <f t="shared" si="8"/>
        <v>14561</v>
      </c>
      <c r="T18" s="82">
        <f t="shared" si="8"/>
        <v>16472</v>
      </c>
      <c r="U18" s="82">
        <f t="shared" si="8"/>
        <v>18438</v>
      </c>
      <c r="V18" s="82">
        <f t="shared" si="8"/>
        <v>22271</v>
      </c>
      <c r="W18" s="82">
        <f t="shared" si="8"/>
        <v>20363</v>
      </c>
      <c r="X18" s="82">
        <f t="shared" si="8"/>
        <v>24098</v>
      </c>
      <c r="Y18" s="82">
        <f t="shared" si="8"/>
        <v>27161</v>
      </c>
      <c r="Z18" s="82">
        <f t="shared" si="8"/>
        <v>27956</v>
      </c>
      <c r="AA18" s="82">
        <f t="shared" si="8"/>
        <v>26764</v>
      </c>
      <c r="AB18" s="82">
        <f t="shared" si="8"/>
        <v>27886</v>
      </c>
      <c r="AC18" s="82">
        <f t="shared" si="8"/>
        <v>28172</v>
      </c>
      <c r="AD18" s="82">
        <f t="shared" si="8"/>
        <v>27188</v>
      </c>
      <c r="AE18" s="82">
        <f t="shared" si="8"/>
        <v>29331</v>
      </c>
      <c r="AF18" s="82">
        <f>+'Historical Financials'!BI48</f>
        <v>35058</v>
      </c>
      <c r="AG18" s="82">
        <f>+'Historical Financials'!BJ48</f>
        <v>42959</v>
      </c>
      <c r="AH18" s="82">
        <f>+'Historical Financials'!BK48</f>
        <v>52959</v>
      </c>
      <c r="AJ18" s="81">
        <f>IFERROR((AH18/AC18)^(1/5)-1,"n/a ")</f>
        <v>0.13455203530882454</v>
      </c>
      <c r="AK18" s="81">
        <f>IFERROR((AH18/X18)^(1/10)-1,"n/a ")</f>
        <v>8.1921814857442543E-2</v>
      </c>
      <c r="AL18" s="81">
        <f>IFERROR((AH18/S18)^(1/15)-1,"n/a ")</f>
        <v>8.9891431519590226E-2</v>
      </c>
      <c r="AM18" s="81">
        <f>IFERROR((AH18/N18)^(1/20)-1,"n/a ")</f>
        <v>8.1721628675522684E-2</v>
      </c>
      <c r="AN18" s="81">
        <f>IFERROR(IF(AH18/I18&lt;1,"n/m ",(AH18/I18)^(1/25)-1),"n/a ")</f>
        <v>0.13917232017249215</v>
      </c>
      <c r="AR18" s="82">
        <f>+AR14-AR16</f>
        <v>94.466000000000051</v>
      </c>
      <c r="AS18" s="82">
        <f t="shared" ref="AS18:AV18" si="9">+AS14-AS16</f>
        <v>121.58799999999995</v>
      </c>
      <c r="AT18" s="82">
        <f t="shared" si="9"/>
        <v>122.47500000000001</v>
      </c>
      <c r="AU18" s="82">
        <f t="shared" si="9"/>
        <v>129.38300000000004</v>
      </c>
      <c r="AV18" s="82">
        <f t="shared" si="9"/>
        <v>88.684999999999988</v>
      </c>
      <c r="AW18" s="82"/>
    </row>
    <row r="19" spans="2:49">
      <c r="B19" s="13" t="s">
        <v>1333</v>
      </c>
      <c r="C19" s="3"/>
      <c r="D19" s="14"/>
      <c r="E19" s="14">
        <f t="shared" ref="E19:AF19" si="10">+IF(E18/D18&lt;0,"n/m ",E18/D18-1)</f>
        <v>0.65294300143933204</v>
      </c>
      <c r="F19" s="14">
        <f t="shared" si="10"/>
        <v>0.53230769230769237</v>
      </c>
      <c r="G19" s="14">
        <f t="shared" si="10"/>
        <v>0.33132530120481918</v>
      </c>
      <c r="H19" s="14">
        <f t="shared" si="10"/>
        <v>0.30165912518853699</v>
      </c>
      <c r="I19" s="14">
        <f t="shared" si="10"/>
        <v>0.18076477404403235</v>
      </c>
      <c r="J19" s="14">
        <f t="shared" si="10"/>
        <v>0.51030421982335628</v>
      </c>
      <c r="K19" s="14">
        <f t="shared" si="10"/>
        <v>0.66666666666666674</v>
      </c>
      <c r="L19" s="14">
        <f t="shared" si="10"/>
        <v>0.3528265107212476</v>
      </c>
      <c r="M19" s="14">
        <f t="shared" si="10"/>
        <v>0.44236311239193093</v>
      </c>
      <c r="N19" s="14">
        <f t="shared" si="10"/>
        <v>9.9500499500499551E-2</v>
      </c>
      <c r="O19" s="14">
        <f t="shared" si="10"/>
        <v>6.4873705251680791E-2</v>
      </c>
      <c r="P19" s="14">
        <f t="shared" si="10"/>
        <v>-0.29419795221843004</v>
      </c>
      <c r="Q19" s="14">
        <f t="shared" si="10"/>
        <v>0.15389264990328821</v>
      </c>
      <c r="R19" s="14">
        <f t="shared" si="10"/>
        <v>-5.3535882661079115E-2</v>
      </c>
      <c r="S19" s="14">
        <f t="shared" si="10"/>
        <v>0.61179986716847456</v>
      </c>
      <c r="T19" s="14">
        <f t="shared" si="10"/>
        <v>0.13124098619600311</v>
      </c>
      <c r="U19" s="14">
        <f t="shared" si="10"/>
        <v>0.11935405536668275</v>
      </c>
      <c r="V19" s="14">
        <f t="shared" si="10"/>
        <v>0.2078858878403298</v>
      </c>
      <c r="W19" s="14">
        <f t="shared" si="10"/>
        <v>-8.5671950069597269E-2</v>
      </c>
      <c r="X19" s="14">
        <f t="shared" si="10"/>
        <v>0.18342091047488096</v>
      </c>
      <c r="Y19" s="14">
        <f t="shared" si="10"/>
        <v>0.12710598389907868</v>
      </c>
      <c r="Z19" s="14">
        <f t="shared" si="10"/>
        <v>2.9269909060785748E-2</v>
      </c>
      <c r="AA19" s="14">
        <f t="shared" si="10"/>
        <v>-4.2638431821433675E-2</v>
      </c>
      <c r="AB19" s="14">
        <f t="shared" si="10"/>
        <v>4.1921984755642017E-2</v>
      </c>
      <c r="AC19" s="14">
        <f t="shared" si="10"/>
        <v>1.025604245858136E-2</v>
      </c>
      <c r="AD19" s="14">
        <f t="shared" si="10"/>
        <v>-3.492829760045435E-2</v>
      </c>
      <c r="AE19" s="14">
        <f t="shared" si="10"/>
        <v>7.882153891422683E-2</v>
      </c>
      <c r="AF19" s="14">
        <f t="shared" si="10"/>
        <v>0.19525416794517736</v>
      </c>
      <c r="AG19" s="14">
        <f t="shared" ref="AG19" si="11">+IF(AG18/AF18&lt;0,"n/m ",AG18/AF18-1)</f>
        <v>0.22536938787152727</v>
      </c>
      <c r="AH19" s="14">
        <f t="shared" ref="AH19" si="12">+IF(AH18/AG18&lt;0,"n/m ",AH18/AG18-1)</f>
        <v>0.23278009264647692</v>
      </c>
      <c r="AJ19" s="43"/>
      <c r="AK19" s="43"/>
      <c r="AL19" s="43"/>
      <c r="AM19" s="43"/>
      <c r="AN19" s="43"/>
      <c r="AV19" s="33">
        <f>+AV18/AR18-1</f>
        <v>-6.1196621006500362E-2</v>
      </c>
    </row>
    <row r="20" spans="2:49">
      <c r="B20" s="13" t="s">
        <v>305</v>
      </c>
      <c r="D20" s="33">
        <f t="shared" ref="D20:AF20" si="13">+D18/D12</f>
        <v>0.33228216581069181</v>
      </c>
      <c r="E20" s="33">
        <f t="shared" si="13"/>
        <v>0.35268583830710798</v>
      </c>
      <c r="F20" s="33">
        <f t="shared" si="13"/>
        <v>0.36100036245016309</v>
      </c>
      <c r="G20" s="33">
        <f t="shared" si="13"/>
        <v>0.35331734612310151</v>
      </c>
      <c r="H20" s="33">
        <f t="shared" si="13"/>
        <v>0.37126263712626373</v>
      </c>
      <c r="I20" s="33">
        <f t="shared" si="13"/>
        <v>0.34327101229577228</v>
      </c>
      <c r="J20" s="33">
        <f t="shared" si="13"/>
        <v>0.35497635797485871</v>
      </c>
      <c r="K20" s="33">
        <f t="shared" si="13"/>
        <v>0.42979222520107241</v>
      </c>
      <c r="L20" s="33">
        <f t="shared" si="13"/>
        <v>0.45472415148735423</v>
      </c>
      <c r="M20" s="33">
        <f t="shared" si="13"/>
        <v>0.50691244239631339</v>
      </c>
      <c r="N20" s="33">
        <f t="shared" si="13"/>
        <v>0.47943892664227217</v>
      </c>
      <c r="O20" s="33">
        <f t="shared" si="13"/>
        <v>0.46331435800126503</v>
      </c>
      <c r="P20" s="33">
        <f t="shared" si="13"/>
        <v>0.29162700511193373</v>
      </c>
      <c r="Q20" s="33">
        <f t="shared" si="13"/>
        <v>0.29654829589585857</v>
      </c>
      <c r="R20" s="33">
        <f t="shared" si="13"/>
        <v>0.24525587077507804</v>
      </c>
      <c r="S20" s="33">
        <f t="shared" si="13"/>
        <v>0.36596461244596362</v>
      </c>
      <c r="T20" s="33">
        <f t="shared" si="13"/>
        <v>0.37197958538458065</v>
      </c>
      <c r="U20" s="33">
        <f t="shared" si="13"/>
        <v>0.3606666405852666</v>
      </c>
      <c r="V20" s="33">
        <f t="shared" si="13"/>
        <v>0.36860311155246606</v>
      </c>
      <c r="W20" s="33">
        <f t="shared" si="13"/>
        <v>0.348460735492924</v>
      </c>
      <c r="X20" s="33">
        <f t="shared" si="13"/>
        <v>0.38566673068305485</v>
      </c>
      <c r="Y20" s="33">
        <f t="shared" si="13"/>
        <v>0.38833049769097694</v>
      </c>
      <c r="Z20" s="33">
        <f t="shared" si="13"/>
        <v>0.37920323372624554</v>
      </c>
      <c r="AA20" s="33">
        <f t="shared" si="13"/>
        <v>0.34379375457616668</v>
      </c>
      <c r="AB20" s="33">
        <f t="shared" si="13"/>
        <v>0.32114518673776099</v>
      </c>
      <c r="AC20" s="33">
        <f t="shared" si="13"/>
        <v>0.30104723231459712</v>
      </c>
      <c r="AD20" s="33">
        <f t="shared" si="13"/>
        <v>0.29826447550299495</v>
      </c>
      <c r="AE20" s="33">
        <f t="shared" si="13"/>
        <v>0.30372472067183731</v>
      </c>
      <c r="AF20" s="33">
        <f t="shared" si="13"/>
        <v>0.31766944545125048</v>
      </c>
      <c r="AG20" s="33">
        <f t="shared" ref="AG20:AH20" si="14">+AG18/AG12</f>
        <v>0.3413698020549415</v>
      </c>
      <c r="AH20" s="33">
        <f t="shared" si="14"/>
        <v>0.37030381428521486</v>
      </c>
      <c r="AJ20" s="43"/>
      <c r="AK20" s="43"/>
      <c r="AL20" s="43"/>
      <c r="AM20" s="43"/>
      <c r="AN20" s="43"/>
      <c r="AR20" s="33">
        <f>+AR18/AR12</f>
        <v>0.17813791139682111</v>
      </c>
      <c r="AS20" s="33">
        <f>+AS18/AS12</f>
        <v>0.2098722173220354</v>
      </c>
      <c r="AT20" s="33">
        <f>+AT18/AT12</f>
        <v>0.20651959470055292</v>
      </c>
      <c r="AU20" s="33">
        <f>+AU18/AU12</f>
        <v>0.20444206371403428</v>
      </c>
      <c r="AV20" s="33">
        <f>+AV18/AV12</f>
        <v>0.1516501367989056</v>
      </c>
    </row>
    <row r="21" spans="2:49" ht="11.45">
      <c r="B21" s="12" t="s">
        <v>198</v>
      </c>
      <c r="D21" s="30">
        <v>-17.326000000000001</v>
      </c>
      <c r="E21" s="30">
        <v>-21</v>
      </c>
      <c r="F21" s="30">
        <v>-45</v>
      </c>
      <c r="G21" s="30">
        <v>-75</v>
      </c>
      <c r="H21" s="30">
        <v>-86</v>
      </c>
      <c r="I21" s="30">
        <v>-129</v>
      </c>
      <c r="J21" s="30">
        <v>-301</v>
      </c>
      <c r="K21" s="30">
        <v>-184</v>
      </c>
      <c r="L21" s="30">
        <v>-473</v>
      </c>
      <c r="M21" s="30">
        <v>-1881</v>
      </c>
      <c r="N21" s="30">
        <v>-3269</v>
      </c>
      <c r="O21" s="30">
        <v>195</v>
      </c>
      <c r="P21" s="30">
        <v>397</v>
      </c>
      <c r="Q21" s="30">
        <v>-1509</v>
      </c>
      <c r="R21" s="30">
        <v>-3162</v>
      </c>
      <c r="S21" s="30">
        <v>-2067</v>
      </c>
      <c r="T21" s="30">
        <v>-1790</v>
      </c>
      <c r="U21" s="30">
        <v>-1663</v>
      </c>
      <c r="V21" s="30">
        <v>-1543</v>
      </c>
      <c r="W21" s="30">
        <v>542</v>
      </c>
      <c r="X21" s="30">
        <v>-915</v>
      </c>
      <c r="Y21" s="30">
        <f>+'Historical Financials'!AY758*-1</f>
        <v>-910</v>
      </c>
      <c r="Z21" s="30">
        <f>+'Historical Financials'!AZ758*-1</f>
        <v>-504</v>
      </c>
      <c r="AA21" s="30">
        <f>+'Historical Financials'!BA758*-1</f>
        <v>-288</v>
      </c>
      <c r="AB21" s="30">
        <f>+'Historical Financials'!BB758*-1</f>
        <v>-61</v>
      </c>
      <c r="AC21" s="30">
        <f>+'Historical Financials'!BC758*-1</f>
        <v>-346</v>
      </c>
      <c r="AD21" s="30">
        <f>+'Historical Financials'!BG758*-1</f>
        <v>439</v>
      </c>
      <c r="AE21" s="30">
        <f>+'Historical Financials'!BH758*-1</f>
        <v>-876</v>
      </c>
      <c r="AF21" s="30">
        <f>+'Historical Financials'!BI758*-1</f>
        <v>-1416</v>
      </c>
      <c r="AG21" s="30">
        <f>+'Historical Financials'!BJ758*-1</f>
        <v>-729</v>
      </c>
      <c r="AH21" s="30">
        <f>+'Historical Financials'!BK758*-1</f>
        <v>-77</v>
      </c>
      <c r="AJ21" s="43"/>
      <c r="AK21" s="43"/>
      <c r="AL21" s="43"/>
      <c r="AM21" s="43"/>
      <c r="AN21" s="43"/>
    </row>
    <row r="22" spans="2:49">
      <c r="B22" t="s">
        <v>1738</v>
      </c>
      <c r="D22" s="65">
        <f t="shared" ref="D22:AF22" si="15">+D18-D21</f>
        <v>410.56399999999996</v>
      </c>
      <c r="E22" s="65">
        <f t="shared" si="15"/>
        <v>671</v>
      </c>
      <c r="F22" s="65">
        <f t="shared" si="15"/>
        <v>1041</v>
      </c>
      <c r="G22" s="65">
        <f t="shared" si="15"/>
        <v>1401</v>
      </c>
      <c r="H22" s="65">
        <f t="shared" si="15"/>
        <v>1812</v>
      </c>
      <c r="I22" s="65">
        <f t="shared" si="15"/>
        <v>2167</v>
      </c>
      <c r="J22" s="65">
        <f t="shared" si="15"/>
        <v>3379</v>
      </c>
      <c r="K22" s="65">
        <f t="shared" si="15"/>
        <v>5314</v>
      </c>
      <c r="L22" s="65">
        <f t="shared" si="15"/>
        <v>7413</v>
      </c>
      <c r="M22" s="65">
        <f t="shared" si="15"/>
        <v>11891</v>
      </c>
      <c r="N22" s="65">
        <f t="shared" si="15"/>
        <v>14275</v>
      </c>
      <c r="O22" s="65">
        <f t="shared" si="15"/>
        <v>11525</v>
      </c>
      <c r="P22" s="65">
        <f t="shared" si="15"/>
        <v>7875</v>
      </c>
      <c r="Q22" s="65">
        <f t="shared" si="15"/>
        <v>11054</v>
      </c>
      <c r="R22" s="65">
        <f t="shared" si="15"/>
        <v>12196</v>
      </c>
      <c r="S22" s="65">
        <f t="shared" si="15"/>
        <v>16628</v>
      </c>
      <c r="T22" s="65">
        <f t="shared" si="15"/>
        <v>18262</v>
      </c>
      <c r="U22" s="65">
        <f t="shared" si="15"/>
        <v>20101</v>
      </c>
      <c r="V22" s="65">
        <f t="shared" si="15"/>
        <v>23814</v>
      </c>
      <c r="W22" s="65">
        <f t="shared" si="15"/>
        <v>19821</v>
      </c>
      <c r="X22" s="65">
        <f t="shared" si="15"/>
        <v>25013</v>
      </c>
      <c r="Y22" s="65">
        <f t="shared" si="15"/>
        <v>28071</v>
      </c>
      <c r="Z22" s="65">
        <f t="shared" si="15"/>
        <v>28460</v>
      </c>
      <c r="AA22" s="65">
        <f t="shared" si="15"/>
        <v>27052</v>
      </c>
      <c r="AB22" s="65">
        <f t="shared" si="15"/>
        <v>27947</v>
      </c>
      <c r="AC22" s="65">
        <f t="shared" si="15"/>
        <v>28518</v>
      </c>
      <c r="AD22" s="65">
        <f t="shared" si="15"/>
        <v>26749</v>
      </c>
      <c r="AE22" s="65">
        <f t="shared" si="15"/>
        <v>30207</v>
      </c>
      <c r="AF22" s="65">
        <f t="shared" si="15"/>
        <v>36474</v>
      </c>
      <c r="AG22" s="65">
        <f t="shared" ref="AG22:AH22" si="16">+AG18-AG21</f>
        <v>43688</v>
      </c>
      <c r="AH22" s="65">
        <f t="shared" si="16"/>
        <v>53036</v>
      </c>
      <c r="AJ22" s="25">
        <f>IFERROR((AH22/AC22)^(1/5)-1,"n/a ")</f>
        <v>0.13211446513402048</v>
      </c>
      <c r="AK22" s="25">
        <f>IFERROR((AH22/X22)^(1/10)-1,"n/a ")</f>
        <v>7.8053956723850293E-2</v>
      </c>
      <c r="AL22" s="25">
        <f>IFERROR((AH22/S22)^(1/15)-1,"n/a ")</f>
        <v>8.0393716614787225E-2</v>
      </c>
      <c r="AM22" s="25">
        <f>IFERROR((AH22/N22)^(1/20)-1,"n/a ")</f>
        <v>6.7824134209501841E-2</v>
      </c>
      <c r="AN22" s="25">
        <f>IFERROR(IF(AH22/I22&lt;1,"n/m ",(AH22/I22)^(1/25)-1),"n/a ")</f>
        <v>0.13644513555653459</v>
      </c>
    </row>
    <row r="23" spans="2:49" ht="11.45">
      <c r="B23" s="12" t="s">
        <v>1739</v>
      </c>
      <c r="D23" s="10">
        <f t="shared" ref="D23:AE23" si="17">+MAX(0.35*D22,0)</f>
        <v>143.69739999999999</v>
      </c>
      <c r="E23" s="10">
        <f t="shared" si="17"/>
        <v>234.85</v>
      </c>
      <c r="F23" s="10">
        <f t="shared" si="17"/>
        <v>364.34999999999997</v>
      </c>
      <c r="G23" s="10">
        <f t="shared" si="17"/>
        <v>490.34999999999997</v>
      </c>
      <c r="H23" s="10">
        <f t="shared" si="17"/>
        <v>634.19999999999993</v>
      </c>
      <c r="I23" s="10">
        <f t="shared" si="17"/>
        <v>758.44999999999993</v>
      </c>
      <c r="J23" s="10">
        <f t="shared" si="17"/>
        <v>1182.6499999999999</v>
      </c>
      <c r="K23" s="10">
        <f t="shared" si="17"/>
        <v>1859.8999999999999</v>
      </c>
      <c r="L23" s="10">
        <f t="shared" si="17"/>
        <v>2594.5499999999997</v>
      </c>
      <c r="M23" s="10">
        <f t="shared" si="17"/>
        <v>4161.8499999999995</v>
      </c>
      <c r="N23" s="10">
        <f t="shared" si="17"/>
        <v>4996.25</v>
      </c>
      <c r="O23" s="10">
        <f t="shared" si="17"/>
        <v>4033.7499999999995</v>
      </c>
      <c r="P23" s="10">
        <f t="shared" si="17"/>
        <v>2756.25</v>
      </c>
      <c r="Q23" s="10">
        <f t="shared" si="17"/>
        <v>3868.8999999999996</v>
      </c>
      <c r="R23" s="10">
        <f t="shared" si="17"/>
        <v>4268.5999999999995</v>
      </c>
      <c r="S23" s="10">
        <f t="shared" si="17"/>
        <v>5819.7999999999993</v>
      </c>
      <c r="T23" s="10">
        <f t="shared" si="17"/>
        <v>6391.7</v>
      </c>
      <c r="U23" s="10">
        <f t="shared" si="17"/>
        <v>7035.3499999999995</v>
      </c>
      <c r="V23" s="10">
        <f t="shared" si="17"/>
        <v>8334.9</v>
      </c>
      <c r="W23" s="10">
        <f t="shared" si="17"/>
        <v>6937.3499999999995</v>
      </c>
      <c r="X23" s="10">
        <f t="shared" si="17"/>
        <v>8754.5499999999993</v>
      </c>
      <c r="Y23" s="10">
        <f t="shared" si="17"/>
        <v>9824.8499999999985</v>
      </c>
      <c r="Z23" s="10">
        <f t="shared" si="17"/>
        <v>9961</v>
      </c>
      <c r="AA23" s="10">
        <f t="shared" si="17"/>
        <v>9468.1999999999989</v>
      </c>
      <c r="AB23" s="10">
        <f t="shared" si="17"/>
        <v>9781.4499999999989</v>
      </c>
      <c r="AC23" s="10">
        <f t="shared" si="17"/>
        <v>9981.2999999999993</v>
      </c>
      <c r="AD23" s="10">
        <f t="shared" si="17"/>
        <v>9362.15</v>
      </c>
      <c r="AE23" s="10">
        <f t="shared" si="17"/>
        <v>10572.449999999999</v>
      </c>
      <c r="AF23" s="10">
        <f>+MAX(0.3*AF22,0)</f>
        <v>10942.199999999999</v>
      </c>
      <c r="AG23" s="10">
        <f>+MAX(0.21*AG22,0)</f>
        <v>9174.48</v>
      </c>
      <c r="AH23" s="10">
        <f t="shared" ref="AH23" si="18">+MAX(0.21*AH22,0)</f>
        <v>11137.56</v>
      </c>
      <c r="AJ23" s="43"/>
      <c r="AK23" s="43"/>
      <c r="AL23" s="43"/>
      <c r="AM23" s="43"/>
      <c r="AN23" s="43"/>
    </row>
    <row r="24" spans="2:49" s="37" customFormat="1" ht="10.5">
      <c r="B24" s="37" t="s">
        <v>1740</v>
      </c>
      <c r="D24" s="82">
        <f t="shared" ref="D24:AF24" si="19">+D22-D23</f>
        <v>266.86659999999995</v>
      </c>
      <c r="E24" s="82">
        <f t="shared" si="19"/>
        <v>436.15</v>
      </c>
      <c r="F24" s="82">
        <f t="shared" si="19"/>
        <v>676.65000000000009</v>
      </c>
      <c r="G24" s="82">
        <f t="shared" si="19"/>
        <v>910.65000000000009</v>
      </c>
      <c r="H24" s="82">
        <f t="shared" si="19"/>
        <v>1177.8000000000002</v>
      </c>
      <c r="I24" s="82">
        <f t="shared" si="19"/>
        <v>1408.5500000000002</v>
      </c>
      <c r="J24" s="82">
        <f t="shared" si="19"/>
        <v>2196.3500000000004</v>
      </c>
      <c r="K24" s="82">
        <f t="shared" si="19"/>
        <v>3454.1000000000004</v>
      </c>
      <c r="L24" s="82">
        <f t="shared" si="19"/>
        <v>4818.4500000000007</v>
      </c>
      <c r="M24" s="82">
        <f t="shared" si="19"/>
        <v>7729.1500000000005</v>
      </c>
      <c r="N24" s="82">
        <f t="shared" si="19"/>
        <v>9278.75</v>
      </c>
      <c r="O24" s="82">
        <f t="shared" si="19"/>
        <v>7491.25</v>
      </c>
      <c r="P24" s="82">
        <f t="shared" si="19"/>
        <v>5118.75</v>
      </c>
      <c r="Q24" s="82">
        <f t="shared" si="19"/>
        <v>7185.1</v>
      </c>
      <c r="R24" s="82">
        <f t="shared" si="19"/>
        <v>7927.4000000000005</v>
      </c>
      <c r="S24" s="82">
        <f t="shared" si="19"/>
        <v>10808.2</v>
      </c>
      <c r="T24" s="82">
        <f t="shared" si="19"/>
        <v>11870.3</v>
      </c>
      <c r="U24" s="82">
        <f t="shared" si="19"/>
        <v>13065.650000000001</v>
      </c>
      <c r="V24" s="82">
        <f t="shared" si="19"/>
        <v>15479.1</v>
      </c>
      <c r="W24" s="82">
        <f t="shared" si="19"/>
        <v>12883.650000000001</v>
      </c>
      <c r="X24" s="82">
        <f t="shared" si="19"/>
        <v>16258.45</v>
      </c>
      <c r="Y24" s="82">
        <f t="shared" si="19"/>
        <v>18246.150000000001</v>
      </c>
      <c r="Z24" s="82">
        <f t="shared" si="19"/>
        <v>18499</v>
      </c>
      <c r="AA24" s="82">
        <f t="shared" si="19"/>
        <v>17583.800000000003</v>
      </c>
      <c r="AB24" s="82">
        <f t="shared" si="19"/>
        <v>18165.550000000003</v>
      </c>
      <c r="AC24" s="82">
        <f t="shared" si="19"/>
        <v>18536.7</v>
      </c>
      <c r="AD24" s="82">
        <f t="shared" si="19"/>
        <v>17386.849999999999</v>
      </c>
      <c r="AE24" s="82">
        <f t="shared" si="19"/>
        <v>19634.550000000003</v>
      </c>
      <c r="AF24" s="82">
        <f t="shared" si="19"/>
        <v>25531.800000000003</v>
      </c>
      <c r="AG24" s="82">
        <f t="shared" ref="AG24:AH24" si="20">+AG22-AG23</f>
        <v>34513.520000000004</v>
      </c>
      <c r="AH24" s="82">
        <f t="shared" si="20"/>
        <v>41898.44</v>
      </c>
      <c r="AJ24" s="81">
        <f>IFERROR((AH24/AC24)^(1/5)-1,"n/a ")</f>
        <v>0.1771534678701312</v>
      </c>
      <c r="AK24" s="81">
        <f>IFERROR((AH24/X24)^(1/10)-1,"n/a ")</f>
        <v>9.9288972436375245E-2</v>
      </c>
      <c r="AL24" s="81">
        <f>IFERROR((AH24/S24)^(1/15)-1,"n/a ")</f>
        <v>9.4534945733568021E-2</v>
      </c>
      <c r="AM24" s="81">
        <f>IFERROR((AH24/N24)^(1/20)-1,"n/a ")</f>
        <v>7.8289606163490566E-2</v>
      </c>
      <c r="AN24" s="81">
        <f>IFERROR(IF(AH24/I24&lt;1,"n/m ",(AH24/I24)^(1/25)-1),"n/a ")</f>
        <v>0.14534684385307894</v>
      </c>
    </row>
    <row r="25" spans="2:49">
      <c r="B25" s="13" t="s">
        <v>1333</v>
      </c>
      <c r="D25" s="14"/>
      <c r="E25" s="14">
        <f t="shared" ref="E25:AF25" si="21">+IF(E24/D24&lt;0,"n/m ",E24/D24-1)</f>
        <v>0.63433715571750104</v>
      </c>
      <c r="F25" s="14">
        <f t="shared" si="21"/>
        <v>0.55141579731743695</v>
      </c>
      <c r="G25" s="14">
        <f t="shared" si="21"/>
        <v>0.34582132564841483</v>
      </c>
      <c r="H25" s="14">
        <f t="shared" si="21"/>
        <v>0.29336188436830835</v>
      </c>
      <c r="I25" s="14">
        <f t="shared" si="21"/>
        <v>0.19591611479028703</v>
      </c>
      <c r="J25" s="14">
        <f t="shared" si="21"/>
        <v>0.55929856945085388</v>
      </c>
      <c r="K25" s="14">
        <f t="shared" si="21"/>
        <v>0.57265463154779517</v>
      </c>
      <c r="L25" s="14">
        <f t="shared" si="21"/>
        <v>0.39499435453519016</v>
      </c>
      <c r="M25" s="14">
        <f t="shared" si="21"/>
        <v>0.6040739241872386</v>
      </c>
      <c r="N25" s="14">
        <f t="shared" si="21"/>
        <v>0.20048776385501621</v>
      </c>
      <c r="O25" s="14">
        <f t="shared" si="21"/>
        <v>-0.19264448336252193</v>
      </c>
      <c r="P25" s="14">
        <f t="shared" si="21"/>
        <v>-0.31670281995661609</v>
      </c>
      <c r="Q25" s="14">
        <f t="shared" si="21"/>
        <v>0.40368253968253964</v>
      </c>
      <c r="R25" s="14">
        <f t="shared" si="21"/>
        <v>0.10331101863578795</v>
      </c>
      <c r="S25" s="14">
        <f t="shared" si="21"/>
        <v>0.36339783535585446</v>
      </c>
      <c r="T25" s="14">
        <f t="shared" si="21"/>
        <v>9.8267981717584663E-2</v>
      </c>
      <c r="U25" s="14">
        <f t="shared" si="21"/>
        <v>0.10070090899134843</v>
      </c>
      <c r="V25" s="14">
        <f t="shared" si="21"/>
        <v>0.18471717824983824</v>
      </c>
      <c r="W25" s="14">
        <f t="shared" si="21"/>
        <v>-0.16767447719828665</v>
      </c>
      <c r="X25" s="14">
        <f t="shared" si="21"/>
        <v>0.26194440240149319</v>
      </c>
      <c r="Y25" s="14">
        <f t="shared" si="21"/>
        <v>0.12225642665813785</v>
      </c>
      <c r="Z25" s="14">
        <f t="shared" si="21"/>
        <v>1.3857717929535829E-2</v>
      </c>
      <c r="AA25" s="14">
        <f t="shared" si="21"/>
        <v>-4.9472944483485382E-2</v>
      </c>
      <c r="AB25" s="14">
        <f t="shared" si="21"/>
        <v>3.3084429986692365E-2</v>
      </c>
      <c r="AC25" s="14">
        <f t="shared" si="21"/>
        <v>2.0431531112462764E-2</v>
      </c>
      <c r="AD25" s="14">
        <f t="shared" si="21"/>
        <v>-6.2030997966196932E-2</v>
      </c>
      <c r="AE25" s="14">
        <f t="shared" si="21"/>
        <v>0.12927586077984254</v>
      </c>
      <c r="AF25" s="14">
        <f t="shared" si="21"/>
        <v>0.30035065738710576</v>
      </c>
      <c r="AG25" s="14">
        <f t="shared" ref="AG25" si="22">+IF(AG24/AF24&lt;0,"n/m ",AG24/AF24-1)</f>
        <v>0.35178561636860706</v>
      </c>
      <c r="AH25" s="14">
        <f t="shared" ref="AH25" si="23">+IF(AH24/AG24&lt;0,"n/m ",AH24/AG24-1)</f>
        <v>0.21397180003662331</v>
      </c>
      <c r="AJ25" s="43"/>
      <c r="AK25" s="43"/>
      <c r="AL25" s="43"/>
      <c r="AM25" s="43"/>
      <c r="AN25" s="43"/>
    </row>
    <row r="26" spans="2:49" ht="11.45">
      <c r="B26" t="s">
        <v>1368</v>
      </c>
      <c r="D26" s="30">
        <v>8597.6640000000007</v>
      </c>
      <c r="E26" s="30">
        <v>9024</v>
      </c>
      <c r="F26" s="30">
        <v>9408</v>
      </c>
      <c r="G26" s="30">
        <v>9696</v>
      </c>
      <c r="H26" s="30">
        <v>9760</v>
      </c>
      <c r="I26" s="30">
        <v>10032</v>
      </c>
      <c r="J26" s="30">
        <v>10244</v>
      </c>
      <c r="K26" s="30">
        <v>10488</v>
      </c>
      <c r="L26" s="30">
        <v>10724</v>
      </c>
      <c r="M26" s="30">
        <v>10964</v>
      </c>
      <c r="N26" s="30">
        <v>11072</v>
      </c>
      <c r="O26" s="30">
        <v>11148</v>
      </c>
      <c r="P26" s="30">
        <v>11106</v>
      </c>
      <c r="Q26" s="30">
        <v>10882</v>
      </c>
      <c r="R26" s="30">
        <v>10894</v>
      </c>
      <c r="S26" s="30">
        <v>10906</v>
      </c>
      <c r="T26" s="30">
        <v>10531</v>
      </c>
      <c r="U26" s="30">
        <v>9886</v>
      </c>
      <c r="V26" s="30">
        <v>9470</v>
      </c>
      <c r="W26" s="30">
        <v>8996</v>
      </c>
      <c r="X26" s="30">
        <v>8927</v>
      </c>
      <c r="Y26" s="30">
        <v>8593</v>
      </c>
      <c r="Z26" s="30">
        <v>8506</v>
      </c>
      <c r="AA26" s="30">
        <v>8470</v>
      </c>
      <c r="AB26" s="30">
        <v>8399</v>
      </c>
      <c r="AC26" s="30">
        <v>8254</v>
      </c>
      <c r="AD26" s="30">
        <v>8013</v>
      </c>
      <c r="AE26" s="30">
        <v>7832</v>
      </c>
      <c r="AF26" s="30">
        <f>+'Historical Financials'!BI765</f>
        <v>7769.5</v>
      </c>
      <c r="AG26" s="30">
        <f>+'Historical Financials'!BJ765</f>
        <v>7753</v>
      </c>
      <c r="AH26" s="30">
        <f>+'Historical Financials'!BK765</f>
        <v>7683</v>
      </c>
      <c r="AI26" s="29"/>
      <c r="AJ26" s="25">
        <f>IFERROR((AH26/AC26)^(1/5)-1,"n/a ")</f>
        <v>-1.4235273637258405E-2</v>
      </c>
      <c r="AK26" s="25">
        <f>IFERROR((AH26/X26)^(1/10)-1,"n/a ")</f>
        <v>-1.4894985346196599E-2</v>
      </c>
      <c r="AL26" s="25">
        <f>IFERROR((AH26/S26)^(1/15)-1,"n/a ")</f>
        <v>-2.308295006564709E-2</v>
      </c>
      <c r="AM26" s="25">
        <f>IFERROR((AH26/N26)^(1/20)-1,"n/a ")</f>
        <v>-1.8104572052152657E-2</v>
      </c>
      <c r="AN26" s="25" t="str">
        <f>IFERROR(IF(AH26/I26&lt;1,"n/m ",(AH26/I26)^(1/25)-1),"n/a ")</f>
        <v xml:space="preserve">n/m </v>
      </c>
    </row>
    <row r="27" spans="2:49" s="37" customFormat="1" ht="10.5">
      <c r="B27" s="37" t="s">
        <v>297</v>
      </c>
      <c r="D27" s="38">
        <f t="shared" ref="D27:AF27" si="24">+D24/D26</f>
        <v>3.1039431175724001E-2</v>
      </c>
      <c r="E27" s="38">
        <f t="shared" si="24"/>
        <v>4.8332225177304962E-2</v>
      </c>
      <c r="F27" s="38">
        <f t="shared" si="24"/>
        <v>7.1922831632653075E-2</v>
      </c>
      <c r="G27" s="38">
        <f t="shared" si="24"/>
        <v>9.392017326732674E-2</v>
      </c>
      <c r="H27" s="38">
        <f t="shared" si="24"/>
        <v>0.12067622950819674</v>
      </c>
      <c r="I27" s="38">
        <f t="shared" si="24"/>
        <v>0.14040570175438599</v>
      </c>
      <c r="J27" s="38">
        <f t="shared" si="24"/>
        <v>0.21440355329949243</v>
      </c>
      <c r="K27" s="38">
        <f t="shared" si="24"/>
        <v>0.32933829138062554</v>
      </c>
      <c r="L27" s="38">
        <f t="shared" si="24"/>
        <v>0.44931462140992173</v>
      </c>
      <c r="M27" s="38">
        <f t="shared" si="24"/>
        <v>0.70495713243341851</v>
      </c>
      <c r="N27" s="38">
        <f t="shared" si="24"/>
        <v>0.83803739161849711</v>
      </c>
      <c r="O27" s="38">
        <f t="shared" si="24"/>
        <v>0.67198152134912092</v>
      </c>
      <c r="P27" s="38">
        <f t="shared" si="24"/>
        <v>0.46089951377633709</v>
      </c>
      <c r="Q27" s="38">
        <f t="shared" si="24"/>
        <v>0.66027384671935307</v>
      </c>
      <c r="R27" s="38">
        <f t="shared" si="24"/>
        <v>0.72768496420047735</v>
      </c>
      <c r="S27" s="38">
        <f t="shared" si="24"/>
        <v>0.99103245919677252</v>
      </c>
      <c r="T27" s="38">
        <f t="shared" si="24"/>
        <v>1.1271769062767067</v>
      </c>
      <c r="U27" s="38">
        <f t="shared" si="24"/>
        <v>1.3216316002427677</v>
      </c>
      <c r="V27" s="38">
        <f t="shared" si="24"/>
        <v>1.6345406546990497</v>
      </c>
      <c r="W27" s="38">
        <f t="shared" si="24"/>
        <v>1.4321531791907516</v>
      </c>
      <c r="X27" s="38">
        <f t="shared" si="24"/>
        <v>1.821266942981965</v>
      </c>
      <c r="Y27" s="38">
        <f t="shared" si="24"/>
        <v>2.123373676248109</v>
      </c>
      <c r="Z27" s="38">
        <f t="shared" si="24"/>
        <v>2.17481777568775</v>
      </c>
      <c r="AA27" s="38">
        <f t="shared" si="24"/>
        <v>2.0760094451003543</v>
      </c>
      <c r="AB27" s="38">
        <f t="shared" si="24"/>
        <v>2.1628229551137044</v>
      </c>
      <c r="AC27" s="38">
        <f t="shared" si="24"/>
        <v>2.2457838623697604</v>
      </c>
      <c r="AD27" s="38">
        <f t="shared" si="24"/>
        <v>2.169830275801822</v>
      </c>
      <c r="AE27" s="38">
        <f t="shared" si="24"/>
        <v>2.5069650153217573</v>
      </c>
      <c r="AF27" s="38">
        <f t="shared" si="24"/>
        <v>3.2861574103867692</v>
      </c>
      <c r="AG27" s="38">
        <f t="shared" ref="AG27:AH27" si="25">+AG24/AG26</f>
        <v>4.4516342061137628</v>
      </c>
      <c r="AH27" s="38">
        <f t="shared" si="25"/>
        <v>5.4533958089288044</v>
      </c>
      <c r="AJ27" s="81">
        <f>IFERROR((AH27/AC27)^(1/5)-1,"n/a ")</f>
        <v>0.19415255627331329</v>
      </c>
      <c r="AK27" s="81">
        <f>IFERROR((AH27/X27)^(1/10)-1,"n/a ")</f>
        <v>0.11591044211941171</v>
      </c>
      <c r="AL27" s="81">
        <f>IFERROR((AH27/S27)^(1/15)-1,"n/a ")</f>
        <v>0.12039701406288161</v>
      </c>
      <c r="AM27" s="81">
        <f>IFERROR((AH27/N27)^(1/20)-1,"n/a ")</f>
        <v>9.8171531786339195E-2</v>
      </c>
      <c r="AN27" s="81">
        <f>IFERROR(IF(AH27/I27&lt;1,"n/m ",(AH27/I27)^(1/25)-1),"n/a ")</f>
        <v>0.15763404634533029</v>
      </c>
    </row>
    <row r="28" spans="2:49">
      <c r="B28" s="13" t="s">
        <v>1333</v>
      </c>
      <c r="D28" s="14"/>
      <c r="E28" s="14">
        <f t="shared" ref="E28:AF28" si="26">+IF(E27/D27&lt;0,"n/m ",E27/D27-1)</f>
        <v>0.55712341839259238</v>
      </c>
      <c r="F28" s="14">
        <f t="shared" si="26"/>
        <v>0.4880927035493785</v>
      </c>
      <c r="G28" s="14">
        <f t="shared" si="26"/>
        <v>0.3058464347875709</v>
      </c>
      <c r="H28" s="14">
        <f t="shared" si="26"/>
        <v>0.28488082283146721</v>
      </c>
      <c r="I28" s="14">
        <f t="shared" si="26"/>
        <v>0.16349095697300653</v>
      </c>
      <c r="J28" s="14">
        <f t="shared" si="26"/>
        <v>0.52702882162543574</v>
      </c>
      <c r="K28" s="14">
        <f t="shared" si="26"/>
        <v>0.53606731937219809</v>
      </c>
      <c r="L28" s="14">
        <f t="shared" si="26"/>
        <v>0.36429511286507577</v>
      </c>
      <c r="M28" s="14">
        <f t="shared" si="26"/>
        <v>0.56896103274206</v>
      </c>
      <c r="N28" s="14">
        <f t="shared" si="26"/>
        <v>0.18877780373070796</v>
      </c>
      <c r="O28" s="14">
        <f t="shared" si="26"/>
        <v>-0.19814852168907804</v>
      </c>
      <c r="P28" s="14">
        <f t="shared" si="26"/>
        <v>-0.31411876795213001</v>
      </c>
      <c r="Q28" s="14">
        <f t="shared" si="26"/>
        <v>0.43257657468427557</v>
      </c>
      <c r="R28" s="14">
        <f t="shared" si="26"/>
        <v>0.10209569531803231</v>
      </c>
      <c r="S28" s="14">
        <f t="shared" si="26"/>
        <v>0.36189767269087469</v>
      </c>
      <c r="T28" s="14">
        <f t="shared" si="26"/>
        <v>0.13737637533111546</v>
      </c>
      <c r="U28" s="14">
        <f t="shared" si="26"/>
        <v>0.17251479593241847</v>
      </c>
      <c r="V28" s="14">
        <f t="shared" si="26"/>
        <v>0.23675966464391784</v>
      </c>
      <c r="W28" s="14">
        <f t="shared" si="26"/>
        <v>-0.12381917508534623</v>
      </c>
      <c r="X28" s="14">
        <f t="shared" si="26"/>
        <v>0.27169842545130884</v>
      </c>
      <c r="Y28" s="14">
        <f t="shared" si="26"/>
        <v>0.16587723970408419</v>
      </c>
      <c r="Z28" s="14">
        <f t="shared" si="26"/>
        <v>2.4227529998648301E-2</v>
      </c>
      <c r="AA28" s="14">
        <f t="shared" si="26"/>
        <v>-4.5432923940558312E-2</v>
      </c>
      <c r="AB28" s="14">
        <f t="shared" si="26"/>
        <v>4.1817492795247491E-2</v>
      </c>
      <c r="AC28" s="14">
        <f t="shared" si="26"/>
        <v>3.8357696851656797E-2</v>
      </c>
      <c r="AD28" s="14">
        <f t="shared" si="26"/>
        <v>-3.3820523800447977E-2</v>
      </c>
      <c r="AE28" s="14">
        <f t="shared" si="26"/>
        <v>0.15537378350726216</v>
      </c>
      <c r="AF28" s="14">
        <f t="shared" si="26"/>
        <v>0.31081103657324327</v>
      </c>
      <c r="AG28" s="14">
        <f t="shared" ref="AG28" si="27">+IF(AG27/AF27&lt;0,"n/m ",AG27/AF27-1)</f>
        <v>0.35466249792027482</v>
      </c>
      <c r="AH28" s="14">
        <f t="shared" ref="AH28" si="28">+IF(AH27/AG27&lt;0,"n/m ",AH27/AG27-1)</f>
        <v>0.22503232665416384</v>
      </c>
      <c r="AJ28" s="43"/>
      <c r="AK28" s="43"/>
      <c r="AL28" s="43"/>
      <c r="AM28" s="43"/>
      <c r="AN28" s="43"/>
    </row>
    <row r="29" spans="2:49">
      <c r="B29" s="13"/>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J29" s="43"/>
      <c r="AK29" s="43"/>
      <c r="AL29" s="43"/>
      <c r="AM29" s="43"/>
      <c r="AN29" s="43"/>
    </row>
    <row r="30" spans="2:49">
      <c r="B30" s="24" t="s">
        <v>126</v>
      </c>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J30" s="43"/>
      <c r="AK30" s="43"/>
      <c r="AL30" s="43"/>
      <c r="AM30" s="43"/>
      <c r="AN30" s="43"/>
    </row>
    <row r="31" spans="2:49" s="37" customFormat="1" ht="10.5">
      <c r="B31" s="39" t="s">
        <v>121</v>
      </c>
      <c r="D31" s="82">
        <f t="shared" ref="D31:AF31" si="29">+D18+D37</f>
        <v>439.55599999999993</v>
      </c>
      <c r="E31" s="82">
        <f t="shared" si="29"/>
        <v>726</v>
      </c>
      <c r="F31" s="82">
        <f t="shared" si="29"/>
        <v>1108</v>
      </c>
      <c r="G31" s="82">
        <f t="shared" si="29"/>
        <v>1477</v>
      </c>
      <c r="H31" s="82">
        <f t="shared" si="29"/>
        <v>1963</v>
      </c>
      <c r="I31" s="82">
        <f t="shared" si="29"/>
        <v>2307</v>
      </c>
      <c r="J31" s="82">
        <f t="shared" si="29"/>
        <v>3558</v>
      </c>
      <c r="K31" s="82">
        <f t="shared" si="29"/>
        <v>5687</v>
      </c>
      <c r="L31" s="82">
        <f t="shared" si="29"/>
        <v>7964</v>
      </c>
      <c r="M31" s="82">
        <f t="shared" si="29"/>
        <v>10936</v>
      </c>
      <c r="N31" s="82">
        <f t="shared" si="29"/>
        <v>12256</v>
      </c>
      <c r="O31" s="82">
        <f t="shared" si="29"/>
        <v>13256</v>
      </c>
      <c r="P31" s="82">
        <f t="shared" si="29"/>
        <v>9210</v>
      </c>
      <c r="Q31" s="82">
        <f t="shared" si="29"/>
        <v>10938</v>
      </c>
      <c r="R31" s="82">
        <f t="shared" si="29"/>
        <v>10220</v>
      </c>
      <c r="S31" s="82">
        <f t="shared" si="29"/>
        <v>15416</v>
      </c>
      <c r="T31" s="82">
        <f t="shared" si="29"/>
        <v>17375</v>
      </c>
      <c r="U31" s="82">
        <f t="shared" si="29"/>
        <v>19878</v>
      </c>
      <c r="V31" s="82">
        <f t="shared" si="29"/>
        <v>24327</v>
      </c>
      <c r="W31" s="82">
        <f t="shared" si="29"/>
        <v>22925</v>
      </c>
      <c r="X31" s="82">
        <f t="shared" si="29"/>
        <v>26771</v>
      </c>
      <c r="Y31" s="82">
        <f t="shared" si="29"/>
        <v>29927</v>
      </c>
      <c r="Z31" s="82">
        <f t="shared" si="29"/>
        <v>30923</v>
      </c>
      <c r="AA31" s="82">
        <f t="shared" si="29"/>
        <v>30519</v>
      </c>
      <c r="AB31" s="82">
        <f t="shared" si="29"/>
        <v>33098</v>
      </c>
      <c r="AC31" s="82">
        <f t="shared" si="29"/>
        <v>34129</v>
      </c>
      <c r="AD31" s="82">
        <f t="shared" si="29"/>
        <v>33810</v>
      </c>
      <c r="AE31" s="82">
        <f t="shared" si="29"/>
        <v>38109</v>
      </c>
      <c r="AF31" s="82">
        <f t="shared" si="29"/>
        <v>45319</v>
      </c>
      <c r="AG31" s="82">
        <f t="shared" ref="AG31:AH31" si="30">+AG18+AG37</f>
        <v>54641</v>
      </c>
      <c r="AH31" s="82">
        <f t="shared" si="30"/>
        <v>65755</v>
      </c>
      <c r="AJ31" s="81">
        <f>IFERROR((AH31/AC31)^(1/5)-1,"n/a ")</f>
        <v>0.14014751163691308</v>
      </c>
      <c r="AK31" s="81">
        <f>IFERROR((AH31/X31)^(1/10)-1,"n/a ")</f>
        <v>9.4022915351401171E-2</v>
      </c>
      <c r="AL31" s="81">
        <f>IFERROR((AH31/S31)^(1/15)-1,"n/a ")</f>
        <v>0.10153205219075678</v>
      </c>
      <c r="AM31" s="81">
        <f>IFERROR((AH31/N31)^(1/20)-1,"n/a ")</f>
        <v>8.7624548783345357E-2</v>
      </c>
      <c r="AN31" s="81">
        <f>IFERROR((AH31/I31)^(1/25)-1,"n/a ")</f>
        <v>0.1433922586780787</v>
      </c>
    </row>
    <row r="32" spans="2:49">
      <c r="B32" s="19" t="s">
        <v>1333</v>
      </c>
      <c r="D32" s="14"/>
      <c r="E32" s="14">
        <f t="shared" ref="E32:AF32" si="31">+IF(E31/D31&lt;0,"n/m ",E31/D31-1)</f>
        <v>0.65166668183348686</v>
      </c>
      <c r="F32" s="14">
        <f t="shared" si="31"/>
        <v>0.52617079889807172</v>
      </c>
      <c r="G32" s="14">
        <f t="shared" si="31"/>
        <v>0.33303249097472931</v>
      </c>
      <c r="H32" s="14">
        <f t="shared" si="31"/>
        <v>0.32904536222071767</v>
      </c>
      <c r="I32" s="14">
        <f t="shared" si="31"/>
        <v>0.17524197656647988</v>
      </c>
      <c r="J32" s="14">
        <f t="shared" si="31"/>
        <v>0.5422626788036411</v>
      </c>
      <c r="K32" s="14">
        <f t="shared" si="31"/>
        <v>0.59836987071388426</v>
      </c>
      <c r="L32" s="14">
        <f t="shared" si="31"/>
        <v>0.40038684719535778</v>
      </c>
      <c r="M32" s="14">
        <f t="shared" si="31"/>
        <v>0.37317930688096435</v>
      </c>
      <c r="N32" s="14">
        <f t="shared" si="31"/>
        <v>0.12070226773957571</v>
      </c>
      <c r="O32" s="14">
        <f t="shared" si="31"/>
        <v>8.1592689295039156E-2</v>
      </c>
      <c r="P32" s="14">
        <f t="shared" si="31"/>
        <v>-0.30522027761013881</v>
      </c>
      <c r="Q32" s="14">
        <f t="shared" si="31"/>
        <v>0.18762214983713354</v>
      </c>
      <c r="R32" s="14">
        <f t="shared" si="31"/>
        <v>-6.5642713475955405E-2</v>
      </c>
      <c r="S32" s="14">
        <f t="shared" si="31"/>
        <v>0.50841487279843434</v>
      </c>
      <c r="T32" s="14">
        <f t="shared" si="31"/>
        <v>0.12707576543850552</v>
      </c>
      <c r="U32" s="14">
        <f t="shared" si="31"/>
        <v>0.14405755395683451</v>
      </c>
      <c r="V32" s="14">
        <f t="shared" si="31"/>
        <v>0.22381527316631455</v>
      </c>
      <c r="W32" s="14">
        <f t="shared" si="31"/>
        <v>-5.7631438319562633E-2</v>
      </c>
      <c r="X32" s="14">
        <f t="shared" si="31"/>
        <v>0.16776444929116674</v>
      </c>
      <c r="Y32" s="14">
        <f t="shared" si="31"/>
        <v>0.11788876022561734</v>
      </c>
      <c r="Z32" s="14">
        <f t="shared" si="31"/>
        <v>3.3280983727069113E-2</v>
      </c>
      <c r="AA32" s="14">
        <f t="shared" si="31"/>
        <v>-1.3064709116191842E-2</v>
      </c>
      <c r="AB32" s="14">
        <f t="shared" si="31"/>
        <v>8.4504734755398214E-2</v>
      </c>
      <c r="AC32" s="14">
        <f t="shared" si="31"/>
        <v>3.1149918424073997E-2</v>
      </c>
      <c r="AD32" s="14">
        <f t="shared" si="31"/>
        <v>-9.3468897418617081E-3</v>
      </c>
      <c r="AE32" s="14">
        <f t="shared" si="31"/>
        <v>0.12715173025732041</v>
      </c>
      <c r="AF32" s="14">
        <f t="shared" si="31"/>
        <v>0.18919415361200764</v>
      </c>
      <c r="AG32" s="14">
        <f t="shared" ref="AG32" si="32">+IF(AG31/AF31&lt;0,"n/m ",AG31/AF31-1)</f>
        <v>0.2056973896158345</v>
      </c>
      <c r="AH32" s="14">
        <f t="shared" ref="AH32" si="33">+IF(AH31/AG31&lt;0,"n/m ",AH31/AG31-1)</f>
        <v>0.20340037700627733</v>
      </c>
      <c r="AJ32" s="43"/>
      <c r="AK32" s="43"/>
      <c r="AL32" s="43"/>
      <c r="AM32" s="43"/>
      <c r="AN32" s="43"/>
    </row>
    <row r="33" spans="2:40">
      <c r="B33" s="19" t="s">
        <v>305</v>
      </c>
      <c r="D33" s="14">
        <f t="shared" ref="D33:AF33" si="34">+D31/D12</f>
        <v>0.37142041123971853</v>
      </c>
      <c r="E33" s="14">
        <f t="shared" si="34"/>
        <v>0.39392295170916986</v>
      </c>
      <c r="F33" s="14">
        <f t="shared" si="34"/>
        <v>0.40159478071765131</v>
      </c>
      <c r="G33" s="14">
        <f t="shared" si="34"/>
        <v>0.39355182520650145</v>
      </c>
      <c r="H33" s="14">
        <f t="shared" si="34"/>
        <v>0.42224134222413423</v>
      </c>
      <c r="I33" s="14">
        <f t="shared" si="34"/>
        <v>0.38858009095502777</v>
      </c>
      <c r="J33" s="14">
        <f t="shared" si="34"/>
        <v>0.41033329489101605</v>
      </c>
      <c r="K33" s="14">
        <f t="shared" si="34"/>
        <v>0.47645777479892759</v>
      </c>
      <c r="L33" s="14">
        <f t="shared" si="34"/>
        <v>0.52181889660594938</v>
      </c>
      <c r="M33" s="14">
        <f t="shared" si="34"/>
        <v>0.55380564136324506</v>
      </c>
      <c r="N33" s="14">
        <f t="shared" si="34"/>
        <v>0.53389092176337338</v>
      </c>
      <c r="O33" s="14">
        <f t="shared" si="34"/>
        <v>0.52403542061986086</v>
      </c>
      <c r="P33" s="14">
        <f t="shared" si="34"/>
        <v>0.32469592808038072</v>
      </c>
      <c r="Q33" s="14">
        <f t="shared" si="34"/>
        <v>0.3398266380836984</v>
      </c>
      <c r="R33" s="14">
        <f t="shared" si="34"/>
        <v>0.2774535088910004</v>
      </c>
      <c r="S33" s="14">
        <f t="shared" si="34"/>
        <v>0.38745350356891523</v>
      </c>
      <c r="T33" s="14">
        <f t="shared" si="34"/>
        <v>0.39237161826475769</v>
      </c>
      <c r="U33" s="14">
        <f t="shared" si="34"/>
        <v>0.38883455263878564</v>
      </c>
      <c r="V33" s="14">
        <f t="shared" si="34"/>
        <v>0.4026315789473684</v>
      </c>
      <c r="W33" s="14">
        <f t="shared" si="34"/>
        <v>0.3923028218423259</v>
      </c>
      <c r="X33" s="14">
        <f t="shared" si="34"/>
        <v>0.4284456820946162</v>
      </c>
      <c r="Y33" s="14">
        <f t="shared" si="34"/>
        <v>0.42787698554537268</v>
      </c>
      <c r="Z33" s="14">
        <f t="shared" si="34"/>
        <v>0.41944847605224966</v>
      </c>
      <c r="AA33" s="14">
        <f t="shared" si="34"/>
        <v>0.39202815707330857</v>
      </c>
      <c r="AB33" s="14">
        <f t="shared" si="34"/>
        <v>0.38116844978291664</v>
      </c>
      <c r="AC33" s="14">
        <f t="shared" si="34"/>
        <v>0.36470399658046593</v>
      </c>
      <c r="AD33" s="14">
        <f t="shared" si="34"/>
        <v>0.37091076639533099</v>
      </c>
      <c r="AE33" s="14">
        <f t="shared" si="34"/>
        <v>0.39462157376438062</v>
      </c>
      <c r="AF33" s="14">
        <f t="shared" si="34"/>
        <v>0.41064697354113811</v>
      </c>
      <c r="AG33" s="14">
        <f t="shared" ref="AG33:AH33" si="35">+AG31/AG12</f>
        <v>0.43419975683987189</v>
      </c>
      <c r="AH33" s="14">
        <f t="shared" si="35"/>
        <v>0.45977694647414608</v>
      </c>
      <c r="AJ33" s="43"/>
      <c r="AK33" s="43"/>
      <c r="AL33" s="43"/>
      <c r="AM33" s="43"/>
      <c r="AN33" s="43"/>
    </row>
    <row r="34" spans="2:40">
      <c r="B34" s="19"/>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J34" s="43"/>
      <c r="AK34" s="43"/>
      <c r="AL34" s="43"/>
      <c r="AM34" s="43"/>
      <c r="AN34" s="43"/>
    </row>
    <row r="35" spans="2:40" ht="10.5">
      <c r="B35" s="45" t="s">
        <v>1741</v>
      </c>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J35" s="43"/>
      <c r="AK35" s="43"/>
      <c r="AL35" s="43"/>
      <c r="AM35" s="43"/>
      <c r="AN35" s="43"/>
    </row>
    <row r="36" spans="2:40">
      <c r="B36" t="s">
        <v>1740</v>
      </c>
      <c r="D36" s="65">
        <f t="shared" ref="D36:AG36" si="36">+D24</f>
        <v>266.86659999999995</v>
      </c>
      <c r="E36" s="65">
        <f t="shared" si="36"/>
        <v>436.15</v>
      </c>
      <c r="F36" s="65">
        <f t="shared" si="36"/>
        <v>676.65000000000009</v>
      </c>
      <c r="G36" s="65">
        <f t="shared" si="36"/>
        <v>910.65000000000009</v>
      </c>
      <c r="H36" s="65">
        <f t="shared" si="36"/>
        <v>1177.8000000000002</v>
      </c>
      <c r="I36" s="65">
        <f t="shared" si="36"/>
        <v>1408.5500000000002</v>
      </c>
      <c r="J36" s="65">
        <f t="shared" si="36"/>
        <v>2196.3500000000004</v>
      </c>
      <c r="K36" s="65">
        <f t="shared" si="36"/>
        <v>3454.1000000000004</v>
      </c>
      <c r="L36" s="65">
        <f t="shared" si="36"/>
        <v>4818.4500000000007</v>
      </c>
      <c r="M36" s="65">
        <f t="shared" si="36"/>
        <v>7729.1500000000005</v>
      </c>
      <c r="N36" s="65">
        <f t="shared" si="36"/>
        <v>9278.75</v>
      </c>
      <c r="O36" s="65">
        <f t="shared" si="36"/>
        <v>7491.25</v>
      </c>
      <c r="P36" s="65">
        <f t="shared" si="36"/>
        <v>5118.75</v>
      </c>
      <c r="Q36" s="65">
        <f t="shared" si="36"/>
        <v>7185.1</v>
      </c>
      <c r="R36" s="65">
        <f t="shared" si="36"/>
        <v>7927.4000000000005</v>
      </c>
      <c r="S36" s="65">
        <f t="shared" si="36"/>
        <v>10808.2</v>
      </c>
      <c r="T36" s="65">
        <f t="shared" si="36"/>
        <v>11870.3</v>
      </c>
      <c r="U36" s="65">
        <f t="shared" si="36"/>
        <v>13065.650000000001</v>
      </c>
      <c r="V36" s="65">
        <f t="shared" si="36"/>
        <v>15479.1</v>
      </c>
      <c r="W36" s="65">
        <f t="shared" si="36"/>
        <v>12883.650000000001</v>
      </c>
      <c r="X36" s="65">
        <f t="shared" si="36"/>
        <v>16258.45</v>
      </c>
      <c r="Y36" s="65">
        <f t="shared" si="36"/>
        <v>18246.150000000001</v>
      </c>
      <c r="Z36" s="65">
        <f t="shared" si="36"/>
        <v>18499</v>
      </c>
      <c r="AA36" s="65">
        <f t="shared" si="36"/>
        <v>17583.800000000003</v>
      </c>
      <c r="AB36" s="65">
        <f t="shared" si="36"/>
        <v>18165.550000000003</v>
      </c>
      <c r="AC36" s="65">
        <f t="shared" si="36"/>
        <v>18536.7</v>
      </c>
      <c r="AD36" s="65">
        <f t="shared" si="36"/>
        <v>17386.849999999999</v>
      </c>
      <c r="AE36" s="65">
        <f t="shared" si="36"/>
        <v>19634.550000000003</v>
      </c>
      <c r="AF36" s="65">
        <f t="shared" si="36"/>
        <v>25531.800000000003</v>
      </c>
      <c r="AG36" s="65">
        <f t="shared" si="36"/>
        <v>34513.520000000004</v>
      </c>
      <c r="AH36" s="65">
        <f t="shared" ref="AH36" si="37">+AH24</f>
        <v>41898.44</v>
      </c>
      <c r="AJ36" s="25">
        <f>IFERROR((AH36/AC36)^(1/5)-1,"n/a ")</f>
        <v>0.1771534678701312</v>
      </c>
      <c r="AK36" s="25">
        <f>IFERROR((AH36/X36)^(1/10)-1,"n/a ")</f>
        <v>9.9288972436375245E-2</v>
      </c>
      <c r="AL36" s="25">
        <f>IFERROR((AH36/S36)^(1/15)-1,"n/a ")</f>
        <v>9.4534945733568021E-2</v>
      </c>
      <c r="AM36" s="25">
        <f>IFERROR((AH36/N36)^(1/20)-1,"n/a ")</f>
        <v>7.8289606163490566E-2</v>
      </c>
      <c r="AN36" s="25">
        <f>IFERROR(IF(AH36/I36&lt;1,"n/m ",(AH36/I36)^(1/25)-1),"n/a ")</f>
        <v>0.14534684385307894</v>
      </c>
    </row>
    <row r="37" spans="2:40">
      <c r="B37" t="s">
        <v>187</v>
      </c>
      <c r="D37" s="29">
        <v>46.317999999999998</v>
      </c>
      <c r="E37" s="29">
        <v>76</v>
      </c>
      <c r="F37" s="29">
        <v>112</v>
      </c>
      <c r="G37" s="29">
        <v>151</v>
      </c>
      <c r="H37" s="29">
        <v>237</v>
      </c>
      <c r="I37" s="29">
        <v>269</v>
      </c>
      <c r="J37" s="29">
        <v>480</v>
      </c>
      <c r="K37" s="29">
        <v>557</v>
      </c>
      <c r="L37" s="29">
        <v>1024</v>
      </c>
      <c r="M37" s="29">
        <v>926</v>
      </c>
      <c r="N37" s="29">
        <v>1250</v>
      </c>
      <c r="O37" s="29">
        <v>1536</v>
      </c>
      <c r="P37" s="29">
        <v>938</v>
      </c>
      <c r="Q37" s="29">
        <v>1393</v>
      </c>
      <c r="R37" s="29">
        <v>1186</v>
      </c>
      <c r="S37" s="29">
        <v>855</v>
      </c>
      <c r="T37" s="29">
        <v>903</v>
      </c>
      <c r="U37" s="29">
        <v>1440</v>
      </c>
      <c r="V37" s="29">
        <v>2056</v>
      </c>
      <c r="W37" s="29">
        <v>2562</v>
      </c>
      <c r="X37" s="29">
        <v>2673</v>
      </c>
      <c r="Y37" s="29">
        <v>2766</v>
      </c>
      <c r="Z37" s="29">
        <v>2967</v>
      </c>
      <c r="AA37" s="29">
        <v>3755</v>
      </c>
      <c r="AB37" s="29">
        <v>5212</v>
      </c>
      <c r="AC37" s="29">
        <v>5957</v>
      </c>
      <c r="AD37" s="29">
        <v>6622</v>
      </c>
      <c r="AE37" s="29">
        <f>+'Historical Financials'!BH85</f>
        <v>8778</v>
      </c>
      <c r="AF37" s="29">
        <f>+'Historical Financials'!BI85</f>
        <v>10261</v>
      </c>
      <c r="AG37" s="29">
        <f>+'Historical Financials'!BJ85</f>
        <v>11682</v>
      </c>
      <c r="AH37" s="29">
        <f>+'Historical Financials'!BK85</f>
        <v>12796</v>
      </c>
      <c r="AJ37" s="25">
        <f>IFERROR((AH37/AC37)^(1/5)-1,"n/a ")</f>
        <v>0.16522374536919182</v>
      </c>
      <c r="AK37" s="25">
        <f>IFERROR((AH37/X37)^(1/10)-1,"n/a ")</f>
        <v>0.16951966115715456</v>
      </c>
      <c r="AL37" s="25">
        <f>IFERROR((AH37/S37)^(1/15)-1,"n/a ")</f>
        <v>0.19767929334832757</v>
      </c>
      <c r="AM37" s="25">
        <f>IFERROR((AH37/N37)^(1/20)-1,"n/a ")</f>
        <v>0.12333220757696384</v>
      </c>
      <c r="AN37" s="25">
        <f>IFERROR(IF(AH37/I37&lt;1,"n/m ",(AH37/I37)^(1/25)-1),"n/a ")</f>
        <v>0.16705917721620245</v>
      </c>
    </row>
    <row r="38" spans="2:40">
      <c r="B38" s="13" t="s">
        <v>172</v>
      </c>
      <c r="D38" s="33">
        <f t="shared" ref="D38:AF38" si="38">+D37/D12</f>
        <v>3.9138245429026761E-2</v>
      </c>
      <c r="E38" s="33">
        <f t="shared" si="38"/>
        <v>4.1237113402061855E-2</v>
      </c>
      <c r="F38" s="33">
        <f t="shared" si="38"/>
        <v>4.0594418267488219E-2</v>
      </c>
      <c r="G38" s="33">
        <f t="shared" si="38"/>
        <v>4.0234479083399943E-2</v>
      </c>
      <c r="H38" s="33">
        <f t="shared" si="38"/>
        <v>5.0978705097870509E-2</v>
      </c>
      <c r="I38" s="33">
        <f t="shared" si="38"/>
        <v>4.5309078659255514E-2</v>
      </c>
      <c r="J38" s="33">
        <f t="shared" si="38"/>
        <v>5.5356936916157305E-2</v>
      </c>
      <c r="K38" s="33">
        <f t="shared" si="38"/>
        <v>4.6665549597855231E-2</v>
      </c>
      <c r="L38" s="33">
        <f t="shared" si="38"/>
        <v>6.70947451185952E-2</v>
      </c>
      <c r="M38" s="33">
        <f t="shared" si="38"/>
        <v>4.6893198966931685E-2</v>
      </c>
      <c r="N38" s="33">
        <f t="shared" si="38"/>
        <v>5.4451995121101236E-2</v>
      </c>
      <c r="O38" s="33">
        <f t="shared" si="38"/>
        <v>6.0721062618595827E-2</v>
      </c>
      <c r="P38" s="33">
        <f t="shared" si="38"/>
        <v>3.3068922968447031E-2</v>
      </c>
      <c r="Q38" s="33">
        <f t="shared" si="38"/>
        <v>4.3278342187839811E-2</v>
      </c>
      <c r="R38" s="33">
        <f t="shared" si="38"/>
        <v>3.2197638115922356E-2</v>
      </c>
      <c r="S38" s="33">
        <f t="shared" si="38"/>
        <v>2.1488891122951645E-2</v>
      </c>
      <c r="T38" s="33">
        <f t="shared" si="38"/>
        <v>2.0392032880177047E-2</v>
      </c>
      <c r="U38" s="33">
        <f t="shared" si="38"/>
        <v>2.8167912053519033E-2</v>
      </c>
      <c r="V38" s="33">
        <f t="shared" si="38"/>
        <v>3.4028467394902354E-2</v>
      </c>
      <c r="W38" s="33">
        <f t="shared" si="38"/>
        <v>4.3842086349401919E-2</v>
      </c>
      <c r="X38" s="33">
        <f t="shared" si="38"/>
        <v>4.2778951411561357E-2</v>
      </c>
      <c r="Y38" s="33">
        <f t="shared" si="38"/>
        <v>3.9546487854395719E-2</v>
      </c>
      <c r="Z38" s="33">
        <f t="shared" si="38"/>
        <v>4.0245242326004099E-2</v>
      </c>
      <c r="AA38" s="33">
        <f t="shared" si="38"/>
        <v>4.82344024971419E-2</v>
      </c>
      <c r="AB38" s="33">
        <f t="shared" si="38"/>
        <v>6.0023263045155643E-2</v>
      </c>
      <c r="AC38" s="33">
        <f t="shared" si="38"/>
        <v>6.3656764265868776E-2</v>
      </c>
      <c r="AD38" s="33">
        <f t="shared" si="38"/>
        <v>7.2646290892336041E-2</v>
      </c>
      <c r="AE38" s="33">
        <f t="shared" si="38"/>
        <v>9.0896853092543306E-2</v>
      </c>
      <c r="AF38" s="33">
        <f t="shared" si="38"/>
        <v>9.2977528089887643E-2</v>
      </c>
      <c r="AG38" s="33">
        <f t="shared" ref="AG38:AH38" si="39">+AG37/AG12</f>
        <v>9.2829954784930432E-2</v>
      </c>
      <c r="AH38" s="33">
        <f t="shared" si="39"/>
        <v>8.9473132188931229E-2</v>
      </c>
      <c r="AJ38" s="43"/>
      <c r="AK38" s="43"/>
      <c r="AL38" s="43"/>
      <c r="AM38" s="43"/>
      <c r="AN38" s="43"/>
    </row>
    <row r="39" spans="2:40">
      <c r="B39" t="s">
        <v>131</v>
      </c>
      <c r="D39" s="29">
        <v>158.09</v>
      </c>
      <c r="E39" s="29">
        <v>264</v>
      </c>
      <c r="F39" s="29">
        <v>317</v>
      </c>
      <c r="G39" s="29">
        <v>236</v>
      </c>
      <c r="H39" s="29">
        <v>278</v>
      </c>
      <c r="I39" s="29">
        <v>495</v>
      </c>
      <c r="J39" s="29">
        <v>494</v>
      </c>
      <c r="K39" s="29">
        <v>499</v>
      </c>
      <c r="L39" s="29">
        <v>656</v>
      </c>
      <c r="M39" s="29">
        <v>583</v>
      </c>
      <c r="N39" s="29">
        <v>879</v>
      </c>
      <c r="O39" s="29">
        <v>1103</v>
      </c>
      <c r="P39" s="29">
        <v>770</v>
      </c>
      <c r="Q39" s="29">
        <v>891</v>
      </c>
      <c r="R39" s="29">
        <v>1109</v>
      </c>
      <c r="S39" s="29">
        <v>812</v>
      </c>
      <c r="T39" s="29">
        <v>1578</v>
      </c>
      <c r="U39" s="29">
        <v>2264</v>
      </c>
      <c r="V39" s="29">
        <v>3182</v>
      </c>
      <c r="W39" s="29">
        <v>3119</v>
      </c>
      <c r="X39" s="29">
        <v>1977</v>
      </c>
      <c r="Y39" s="29">
        <v>2355</v>
      </c>
      <c r="Z39" s="29">
        <v>2305</v>
      </c>
      <c r="AA39" s="29">
        <v>4257</v>
      </c>
      <c r="AB39" s="29">
        <v>5485</v>
      </c>
      <c r="AC39" s="29">
        <v>5944</v>
      </c>
      <c r="AD39" s="29">
        <v>8900</v>
      </c>
      <c r="AE39" s="29">
        <v>10200</v>
      </c>
      <c r="AF39" s="29">
        <f>+'Historical Financials'!BI111*-1</f>
        <v>13600</v>
      </c>
      <c r="AG39" s="29">
        <f>+'Historical Financials'!BJ111*-1</f>
        <v>16900</v>
      </c>
      <c r="AH39" s="29">
        <f>+'Historical Financials'!BK111*-1</f>
        <v>19000</v>
      </c>
      <c r="AI39" s="29"/>
      <c r="AJ39" s="25">
        <f>IFERROR((AH39/AC39)^(1/5)-1,"n/a ")</f>
        <v>0.26163857739531049</v>
      </c>
      <c r="AK39" s="25">
        <f>IFERROR((AH39/X39)^(1/10)-1,"n/a ")</f>
        <v>0.25393404294862543</v>
      </c>
      <c r="AL39" s="25">
        <f>IFERROR((AH39/S39)^(1/15)-1,"n/a ")</f>
        <v>0.23389964168796551</v>
      </c>
      <c r="AM39" s="25">
        <f>IFERROR((AH39/N39)^(1/20)-1,"n/a ")</f>
        <v>0.16610655405900365</v>
      </c>
      <c r="AN39" s="25">
        <f>IFERROR(IF(AH39/I39&lt;1,"n/m ",(AH39/I39)^(1/25)-1),"n/a ")</f>
        <v>0.15708679168983752</v>
      </c>
    </row>
    <row r="40" spans="2:40">
      <c r="B40" s="13" t="s">
        <v>172</v>
      </c>
      <c r="D40" s="33">
        <f t="shared" ref="D40:AF40" si="40">+D39/D12</f>
        <v>0.13358446435240814</v>
      </c>
      <c r="E40" s="33">
        <f t="shared" si="40"/>
        <v>0.14324470971242539</v>
      </c>
      <c r="F40" s="33">
        <f t="shared" si="40"/>
        <v>0.11489670170351576</v>
      </c>
      <c r="G40" s="33">
        <f t="shared" si="40"/>
        <v>6.2883026911803891E-2</v>
      </c>
      <c r="H40" s="33">
        <f t="shared" si="40"/>
        <v>5.9797805979780599E-2</v>
      </c>
      <c r="I40" s="33">
        <f t="shared" si="40"/>
        <v>8.3375442142496203E-2</v>
      </c>
      <c r="J40" s="33">
        <f t="shared" si="40"/>
        <v>5.6971514242878558E-2</v>
      </c>
      <c r="K40" s="33">
        <f t="shared" si="40"/>
        <v>4.1806300268096515E-2</v>
      </c>
      <c r="L40" s="33">
        <f t="shared" si="40"/>
        <v>4.2982571091600051E-2</v>
      </c>
      <c r="M40" s="33">
        <f t="shared" si="40"/>
        <v>2.9523471919785285E-2</v>
      </c>
      <c r="N40" s="33">
        <f t="shared" si="40"/>
        <v>3.8290642969158392E-2</v>
      </c>
      <c r="O40" s="33">
        <f t="shared" si="40"/>
        <v>4.3603731815306766E-2</v>
      </c>
      <c r="P40" s="33">
        <f t="shared" si="40"/>
        <v>2.7146130794993832E-2</v>
      </c>
      <c r="Q40" s="33">
        <f t="shared" si="40"/>
        <v>2.7681983409451022E-2</v>
      </c>
      <c r="R40" s="33">
        <f t="shared" si="40"/>
        <v>3.0107234966743585E-2</v>
      </c>
      <c r="S40" s="33">
        <f t="shared" si="40"/>
        <v>2.0408163265306121E-2</v>
      </c>
      <c r="T40" s="33">
        <f t="shared" si="40"/>
        <v>3.5635246827153244E-2</v>
      </c>
      <c r="U40" s="33">
        <f t="shared" si="40"/>
        <v>4.4286217284143815E-2</v>
      </c>
      <c r="V40" s="33">
        <f t="shared" si="40"/>
        <v>5.2664680569347901E-2</v>
      </c>
      <c r="W40" s="33">
        <f t="shared" si="40"/>
        <v>5.3373718705614595E-2</v>
      </c>
      <c r="X40" s="33">
        <f t="shared" si="40"/>
        <v>3.1640099865565582E-2</v>
      </c>
      <c r="Y40" s="33">
        <f t="shared" si="40"/>
        <v>3.3670274366269674E-2</v>
      </c>
      <c r="Z40" s="33">
        <f t="shared" si="40"/>
        <v>3.1265683707933749E-2</v>
      </c>
      <c r="AA40" s="33">
        <f t="shared" si="40"/>
        <v>5.4682783336972858E-2</v>
      </c>
      <c r="AB40" s="33">
        <f t="shared" si="40"/>
        <v>6.3167229048863904E-2</v>
      </c>
      <c r="AC40" s="33">
        <f t="shared" si="40"/>
        <v>6.3517845693524255E-2</v>
      </c>
      <c r="AD40" s="33">
        <f t="shared" si="40"/>
        <v>9.7636966013559465E-2</v>
      </c>
      <c r="AE40" s="33">
        <f t="shared" si="40"/>
        <v>0.10562177051081588</v>
      </c>
      <c r="AF40" s="33">
        <f t="shared" si="40"/>
        <v>0.12323305545487495</v>
      </c>
      <c r="AG40" s="33">
        <f t="shared" ref="AG40:AH40" si="41">+AG39/AG12</f>
        <v>0.13429431911190928</v>
      </c>
      <c r="AH40" s="33">
        <f t="shared" si="41"/>
        <v>0.13285319721707514</v>
      </c>
      <c r="AJ40" s="43"/>
      <c r="AK40" s="43"/>
      <c r="AL40" s="43"/>
      <c r="AM40" s="43"/>
      <c r="AN40" s="43"/>
    </row>
    <row r="41" spans="2:40" s="37" customFormat="1" ht="10.5">
      <c r="B41" s="37" t="s">
        <v>141</v>
      </c>
      <c r="D41" s="82">
        <f t="shared" ref="D41:AF41" si="42">+D36+D37-D39</f>
        <v>155.09459999999993</v>
      </c>
      <c r="E41" s="82">
        <f t="shared" si="42"/>
        <v>248.14999999999998</v>
      </c>
      <c r="F41" s="82">
        <f t="shared" si="42"/>
        <v>471.65000000000009</v>
      </c>
      <c r="G41" s="82">
        <f t="shared" si="42"/>
        <v>825.65000000000009</v>
      </c>
      <c r="H41" s="82">
        <f t="shared" si="42"/>
        <v>1136.8000000000002</v>
      </c>
      <c r="I41" s="82">
        <f t="shared" si="42"/>
        <v>1182.5500000000002</v>
      </c>
      <c r="J41" s="82">
        <f t="shared" si="42"/>
        <v>2182.3500000000004</v>
      </c>
      <c r="K41" s="82">
        <f t="shared" si="42"/>
        <v>3512.1000000000004</v>
      </c>
      <c r="L41" s="82">
        <f t="shared" si="42"/>
        <v>5186.4500000000007</v>
      </c>
      <c r="M41" s="82">
        <f t="shared" si="42"/>
        <v>8072.1500000000015</v>
      </c>
      <c r="N41" s="82">
        <f t="shared" si="42"/>
        <v>9649.75</v>
      </c>
      <c r="O41" s="82">
        <f t="shared" si="42"/>
        <v>7924.25</v>
      </c>
      <c r="P41" s="82">
        <f t="shared" si="42"/>
        <v>5286.75</v>
      </c>
      <c r="Q41" s="82">
        <f t="shared" si="42"/>
        <v>7687.1</v>
      </c>
      <c r="R41" s="82">
        <f t="shared" si="42"/>
        <v>8004.4000000000015</v>
      </c>
      <c r="S41" s="82">
        <f t="shared" si="42"/>
        <v>10851.2</v>
      </c>
      <c r="T41" s="82">
        <f t="shared" si="42"/>
        <v>11195.3</v>
      </c>
      <c r="U41" s="82">
        <f t="shared" si="42"/>
        <v>12241.650000000001</v>
      </c>
      <c r="V41" s="82">
        <f t="shared" si="42"/>
        <v>14353.099999999999</v>
      </c>
      <c r="W41" s="82">
        <f t="shared" si="42"/>
        <v>12326.650000000001</v>
      </c>
      <c r="X41" s="82">
        <f t="shared" si="42"/>
        <v>16954.45</v>
      </c>
      <c r="Y41" s="82">
        <f t="shared" si="42"/>
        <v>18657.150000000001</v>
      </c>
      <c r="Z41" s="82">
        <f t="shared" si="42"/>
        <v>19161</v>
      </c>
      <c r="AA41" s="82">
        <f t="shared" si="42"/>
        <v>17081.800000000003</v>
      </c>
      <c r="AB41" s="82">
        <f t="shared" si="42"/>
        <v>17892.550000000003</v>
      </c>
      <c r="AC41" s="82">
        <f t="shared" si="42"/>
        <v>18549.7</v>
      </c>
      <c r="AD41" s="82">
        <f t="shared" si="42"/>
        <v>15108.849999999999</v>
      </c>
      <c r="AE41" s="82">
        <f t="shared" si="42"/>
        <v>18212.550000000003</v>
      </c>
      <c r="AF41" s="82">
        <f t="shared" si="42"/>
        <v>22192.800000000003</v>
      </c>
      <c r="AG41" s="82">
        <f t="shared" ref="AG41:AH41" si="43">+AG36+AG37-AG39</f>
        <v>29295.520000000004</v>
      </c>
      <c r="AH41" s="82">
        <f t="shared" si="43"/>
        <v>35694.44</v>
      </c>
      <c r="AJ41" s="81">
        <f>IFERROR((AH41/AC41)^(1/5)-1,"n/a ")</f>
        <v>0.13986320955536247</v>
      </c>
      <c r="AK41" s="81">
        <f>IFERROR((AH41/X41)^(1/10)-1,"n/a ")</f>
        <v>7.7287663793776495E-2</v>
      </c>
      <c r="AL41" s="81">
        <f>IFERROR((AH41/S41)^(1/15)-1,"n/a ")</f>
        <v>8.2617028038918017E-2</v>
      </c>
      <c r="AM41" s="81">
        <f>IFERROR((AH41/N41)^(1/20)-1,"n/a ")</f>
        <v>6.7589332333356289E-2</v>
      </c>
      <c r="AN41" s="81">
        <f>IFERROR(IF(AH41/I41&lt;1,"n/m ",(AH41/I41)^(1/25)-1),"n/a ")</f>
        <v>0.14601748136666659</v>
      </c>
    </row>
    <row r="42" spans="2:40">
      <c r="B42" s="13" t="s">
        <v>1333</v>
      </c>
      <c r="D42" s="14"/>
      <c r="E42" s="14">
        <f t="shared" ref="E42:AF42" si="44">+IF(E41/D41&lt;0,"n/m ",E41/D41-1)</f>
        <v>0.59999123115827424</v>
      </c>
      <c r="F42" s="14">
        <f t="shared" si="44"/>
        <v>0.90066492041104218</v>
      </c>
      <c r="G42" s="14">
        <f t="shared" si="44"/>
        <v>0.75055655676879018</v>
      </c>
      <c r="H42" s="14">
        <f t="shared" si="44"/>
        <v>0.37685459940652821</v>
      </c>
      <c r="I42" s="14">
        <f t="shared" si="44"/>
        <v>4.0244546094299727E-2</v>
      </c>
      <c r="J42" s="14">
        <f t="shared" si="44"/>
        <v>0.84546107986977304</v>
      </c>
      <c r="K42" s="14">
        <f t="shared" si="44"/>
        <v>0.60932022819437748</v>
      </c>
      <c r="L42" s="14">
        <f t="shared" si="44"/>
        <v>0.47673756442014747</v>
      </c>
      <c r="M42" s="14">
        <f t="shared" si="44"/>
        <v>0.55639213720367509</v>
      </c>
      <c r="N42" s="14">
        <f t="shared" si="44"/>
        <v>0.19543739895814594</v>
      </c>
      <c r="O42" s="14">
        <f t="shared" si="44"/>
        <v>-0.17881292261457549</v>
      </c>
      <c r="P42" s="14">
        <f t="shared" si="44"/>
        <v>-0.33283906994352774</v>
      </c>
      <c r="Q42" s="14">
        <f t="shared" si="44"/>
        <v>0.45403130467678632</v>
      </c>
      <c r="R42" s="14">
        <f t="shared" si="44"/>
        <v>4.1276944491420942E-2</v>
      </c>
      <c r="S42" s="14">
        <f t="shared" si="44"/>
        <v>0.35565439008545274</v>
      </c>
      <c r="T42" s="14">
        <f t="shared" si="44"/>
        <v>3.171077853140658E-2</v>
      </c>
      <c r="U42" s="14">
        <f t="shared" si="44"/>
        <v>9.3463328361008902E-2</v>
      </c>
      <c r="V42" s="14">
        <f t="shared" si="44"/>
        <v>0.17248083387451829</v>
      </c>
      <c r="W42" s="14">
        <f t="shared" si="44"/>
        <v>-0.14118552786506033</v>
      </c>
      <c r="X42" s="14">
        <f t="shared" si="44"/>
        <v>0.37543046975455607</v>
      </c>
      <c r="Y42" s="14">
        <f t="shared" si="44"/>
        <v>0.10042791125633688</v>
      </c>
      <c r="Z42" s="14">
        <f t="shared" si="44"/>
        <v>2.7005732386779169E-2</v>
      </c>
      <c r="AA42" s="14">
        <f t="shared" si="44"/>
        <v>-0.10851208183288952</v>
      </c>
      <c r="AB42" s="14">
        <f t="shared" si="44"/>
        <v>4.7462796660773465E-2</v>
      </c>
      <c r="AC42" s="14">
        <f t="shared" si="44"/>
        <v>3.6727576561194297E-2</v>
      </c>
      <c r="AD42" s="14">
        <f t="shared" si="44"/>
        <v>-0.18549356593368094</v>
      </c>
      <c r="AE42" s="14">
        <f t="shared" si="44"/>
        <v>0.20542264963911916</v>
      </c>
      <c r="AF42" s="14">
        <f t="shared" si="44"/>
        <v>0.21854435540327954</v>
      </c>
      <c r="AG42" s="14">
        <f t="shared" ref="AG42" si="45">+IF(AG41/AF41&lt;0,"n/m ",AG41/AF41-1)</f>
        <v>0.3200461410908042</v>
      </c>
      <c r="AH42" s="14">
        <f t="shared" ref="AH42" si="46">+IF(AH41/AG41&lt;0,"n/m ",AH41/AG41-1)</f>
        <v>0.21842657170789237</v>
      </c>
      <c r="AJ42" s="43"/>
      <c r="AK42" s="43"/>
      <c r="AL42" s="43"/>
      <c r="AM42" s="43"/>
      <c r="AN42" s="43"/>
    </row>
    <row r="43" spans="2:40" s="37" customFormat="1" ht="10.5">
      <c r="B43" s="37" t="s">
        <v>311</v>
      </c>
      <c r="D43" s="38">
        <f t="shared" ref="D43:AF43" si="47">+D41/D26</f>
        <v>1.8039155752074043E-2</v>
      </c>
      <c r="E43" s="38">
        <f t="shared" si="47"/>
        <v>2.749889184397163E-2</v>
      </c>
      <c r="F43" s="38">
        <f t="shared" si="47"/>
        <v>5.0132865646258511E-2</v>
      </c>
      <c r="G43" s="38">
        <f t="shared" si="47"/>
        <v>8.5153671617161725E-2</v>
      </c>
      <c r="H43" s="38">
        <f t="shared" si="47"/>
        <v>0.11647540983606559</v>
      </c>
      <c r="I43" s="38">
        <f t="shared" si="47"/>
        <v>0.11787779106858055</v>
      </c>
      <c r="J43" s="38">
        <f t="shared" si="47"/>
        <v>0.21303689964857481</v>
      </c>
      <c r="K43" s="38">
        <f t="shared" si="47"/>
        <v>0.33486842105263159</v>
      </c>
      <c r="L43" s="38">
        <f t="shared" si="47"/>
        <v>0.48363017530772107</v>
      </c>
      <c r="M43" s="38">
        <f t="shared" si="47"/>
        <v>0.7362413352790953</v>
      </c>
      <c r="N43" s="38">
        <f t="shared" si="47"/>
        <v>0.87154533959537572</v>
      </c>
      <c r="O43" s="38">
        <f t="shared" si="47"/>
        <v>0.71082256907068531</v>
      </c>
      <c r="P43" s="38">
        <f t="shared" si="47"/>
        <v>0.47602647217720151</v>
      </c>
      <c r="Q43" s="38">
        <f t="shared" si="47"/>
        <v>0.70640507259694907</v>
      </c>
      <c r="R43" s="38">
        <f t="shared" si="47"/>
        <v>0.73475307508720411</v>
      </c>
      <c r="S43" s="38">
        <f t="shared" si="47"/>
        <v>0.99497524298551265</v>
      </c>
      <c r="T43" s="38">
        <f t="shared" si="47"/>
        <v>1.0630804292090019</v>
      </c>
      <c r="U43" s="38">
        <f t="shared" si="47"/>
        <v>1.2382814080517905</v>
      </c>
      <c r="V43" s="38">
        <f t="shared" si="47"/>
        <v>1.515638859556494</v>
      </c>
      <c r="W43" s="38">
        <f t="shared" si="47"/>
        <v>1.3702367718986217</v>
      </c>
      <c r="X43" s="38">
        <f t="shared" si="47"/>
        <v>1.8992326649490312</v>
      </c>
      <c r="Y43" s="38">
        <f t="shared" si="47"/>
        <v>2.1712033050157107</v>
      </c>
      <c r="Z43" s="38">
        <f t="shared" si="47"/>
        <v>2.2526451916294379</v>
      </c>
      <c r="AA43" s="38">
        <f t="shared" si="47"/>
        <v>2.0167414403778046</v>
      </c>
      <c r="AB43" s="38">
        <f t="shared" si="47"/>
        <v>2.1303190856054295</v>
      </c>
      <c r="AC43" s="38">
        <f t="shared" si="47"/>
        <v>2.2473588563120912</v>
      </c>
      <c r="AD43" s="38">
        <f t="shared" si="47"/>
        <v>1.8855422438537375</v>
      </c>
      <c r="AE43" s="38">
        <f t="shared" si="47"/>
        <v>2.3254021961184885</v>
      </c>
      <c r="AF43" s="38">
        <f t="shared" si="47"/>
        <v>2.8564000257416824</v>
      </c>
      <c r="AG43" s="38">
        <f t="shared" ref="AG43:AH43" si="48">+AG41/AG26</f>
        <v>3.7786044111956669</v>
      </c>
      <c r="AH43" s="38">
        <f t="shared" si="48"/>
        <v>4.6458987374723417</v>
      </c>
      <c r="AJ43" s="81">
        <f>IFERROR((AH43/AC43)^(1/5)-1,"n/a ")</f>
        <v>0.15632379519321105</v>
      </c>
      <c r="AK43" s="81">
        <f>IFERROR((AH43/X43)^(1/10)-1,"n/a ")</f>
        <v>9.357646927862695E-2</v>
      </c>
      <c r="AL43" s="81">
        <f>IFERROR((AH43/S43)^(1/15)-1,"n/a ")</f>
        <v>0.1081974954901932</v>
      </c>
      <c r="AM43" s="81">
        <f>IFERROR((AH43/N43)^(1/20)-1,"n/a ")</f>
        <v>8.7273962121005688E-2</v>
      </c>
      <c r="AN43" s="81">
        <f>IFERROR(IF(AH43/I43&lt;1,"n/m ",(AH43/I43)^(1/25)-1),"n/a ")</f>
        <v>0.15831187841222949</v>
      </c>
    </row>
    <row r="44" spans="2:40">
      <c r="B44" s="13" t="s">
        <v>1333</v>
      </c>
      <c r="D44" s="14"/>
      <c r="E44" s="14">
        <f t="shared" ref="E44:AF44" si="49">+IF(E43/D43&lt;0,"n/m ",E43/D43-1)</f>
        <v>0.52440015607770096</v>
      </c>
      <c r="F44" s="14">
        <f t="shared" si="49"/>
        <v>0.82308676039426487</v>
      </c>
      <c r="G44" s="14">
        <f t="shared" si="49"/>
        <v>0.69855982735981637</v>
      </c>
      <c r="H44" s="14">
        <f t="shared" si="49"/>
        <v>0.36782604465632152</v>
      </c>
      <c r="I44" s="14">
        <f t="shared" si="49"/>
        <v>1.2040148512795668E-2</v>
      </c>
      <c r="J44" s="14">
        <f t="shared" si="49"/>
        <v>0.80726918715868434</v>
      </c>
      <c r="K44" s="14">
        <f t="shared" si="49"/>
        <v>0.57187990251937482</v>
      </c>
      <c r="L44" s="14">
        <f t="shared" si="49"/>
        <v>0.44423942331578781</v>
      </c>
      <c r="M44" s="14">
        <f t="shared" si="49"/>
        <v>0.52232299155164252</v>
      </c>
      <c r="N44" s="14">
        <f t="shared" si="49"/>
        <v>0.18377670178622774</v>
      </c>
      <c r="O44" s="14">
        <f t="shared" si="49"/>
        <v>-0.18441125575785611</v>
      </c>
      <c r="P44" s="14">
        <f t="shared" si="49"/>
        <v>-0.3303160410346162</v>
      </c>
      <c r="Q44" s="14">
        <f t="shared" si="49"/>
        <v>0.48396174138397252</v>
      </c>
      <c r="R44" s="14">
        <f t="shared" si="49"/>
        <v>4.0129953181167854E-2</v>
      </c>
      <c r="S44" s="14">
        <f t="shared" si="49"/>
        <v>0.35416274762432831</v>
      </c>
      <c r="T44" s="14">
        <f t="shared" si="49"/>
        <v>6.8449126451763265E-2</v>
      </c>
      <c r="U44" s="14">
        <f t="shared" si="49"/>
        <v>0.16480500819034827</v>
      </c>
      <c r="V44" s="14">
        <f t="shared" si="49"/>
        <v>0.22398579975538424</v>
      </c>
      <c r="W44" s="14">
        <f t="shared" si="49"/>
        <v>-9.5934520773913068E-2</v>
      </c>
      <c r="X44" s="14">
        <f t="shared" si="49"/>
        <v>0.38606166751562543</v>
      </c>
      <c r="Y44" s="14">
        <f t="shared" si="49"/>
        <v>0.14320027508266242</v>
      </c>
      <c r="Z44" s="14">
        <f t="shared" si="49"/>
        <v>3.7510023324664132E-2</v>
      </c>
      <c r="AA44" s="14">
        <f t="shared" si="49"/>
        <v>-0.10472299504965255</v>
      </c>
      <c r="AB44" s="14">
        <f t="shared" si="49"/>
        <v>5.6317405371681062E-2</v>
      </c>
      <c r="AC44" s="14">
        <f t="shared" si="49"/>
        <v>5.4940018843890437E-2</v>
      </c>
      <c r="AD44" s="14">
        <f t="shared" si="49"/>
        <v>-0.16099636755479885</v>
      </c>
      <c r="AE44" s="14">
        <f t="shared" si="49"/>
        <v>0.23328034876893011</v>
      </c>
      <c r="AF44" s="14">
        <f t="shared" si="49"/>
        <v>0.22834666214280008</v>
      </c>
      <c r="AG44" s="14">
        <f t="shared" ref="AG44" si="50">+IF(AG43/AF43&lt;0,"n/m ",AG43/AF43-1)</f>
        <v>0.32285547442344953</v>
      </c>
      <c r="AH44" s="14">
        <f t="shared" ref="AH44" si="51">+IF(AH43/AG43&lt;0,"n/m ",AH43/AG43-1)</f>
        <v>0.22952768585855643</v>
      </c>
      <c r="AJ44" s="43"/>
      <c r="AK44" s="43"/>
      <c r="AL44" s="43"/>
      <c r="AM44" s="43"/>
      <c r="AN44" s="43"/>
    </row>
    <row r="45" spans="2:40">
      <c r="AJ45" s="43"/>
      <c r="AK45" s="43"/>
      <c r="AL45" s="43"/>
      <c r="AM45" s="43"/>
      <c r="AN45" s="43"/>
    </row>
    <row r="46" spans="2:40" ht="11.45">
      <c r="B46" s="12" t="s">
        <v>198</v>
      </c>
      <c r="D46" s="83">
        <f t="shared" ref="D46:AF46" si="52">+D47-D41</f>
        <v>-34.910599999999931</v>
      </c>
      <c r="E46" s="83">
        <f t="shared" si="52"/>
        <v>58.850000000000023</v>
      </c>
      <c r="F46" s="83">
        <f t="shared" si="52"/>
        <v>107.34999999999991</v>
      </c>
      <c r="G46" s="83">
        <f t="shared" si="52"/>
        <v>12.349999999999909</v>
      </c>
      <c r="H46" s="83">
        <f t="shared" si="52"/>
        <v>178.19999999999982</v>
      </c>
      <c r="I46" s="83">
        <f t="shared" si="52"/>
        <v>312.44999999999982</v>
      </c>
      <c r="J46" s="83">
        <f t="shared" si="52"/>
        <v>1042.6499999999996</v>
      </c>
      <c r="K46" s="83">
        <f t="shared" si="52"/>
        <v>677.89999999999964</v>
      </c>
      <c r="L46" s="83">
        <f t="shared" si="52"/>
        <v>2590.5499999999993</v>
      </c>
      <c r="M46" s="83">
        <f t="shared" si="52"/>
        <v>3490.8499999999985</v>
      </c>
      <c r="N46" s="83">
        <f t="shared" si="52"/>
        <v>897.25</v>
      </c>
      <c r="O46" s="83">
        <f t="shared" si="52"/>
        <v>4394.75</v>
      </c>
      <c r="P46" s="83">
        <f t="shared" si="52"/>
        <v>8452.25</v>
      </c>
      <c r="Q46" s="83">
        <f t="shared" si="52"/>
        <v>7218.9</v>
      </c>
      <c r="R46" s="83">
        <f t="shared" si="52"/>
        <v>5512.5999999999985</v>
      </c>
      <c r="S46" s="83">
        <f t="shared" si="52"/>
        <v>4941.7999999999993</v>
      </c>
      <c r="T46" s="83">
        <f t="shared" si="52"/>
        <v>1630.7000000000007</v>
      </c>
      <c r="U46" s="83">
        <f t="shared" si="52"/>
        <v>3290.3499999999985</v>
      </c>
      <c r="V46" s="83">
        <f t="shared" si="52"/>
        <v>4076.9000000000015</v>
      </c>
      <c r="W46" s="83">
        <f t="shared" si="52"/>
        <v>3591.3499999999985</v>
      </c>
      <c r="X46" s="83">
        <f t="shared" si="52"/>
        <v>5141.5499999999993</v>
      </c>
      <c r="Y46" s="83">
        <f t="shared" si="52"/>
        <v>5981.8499999999985</v>
      </c>
      <c r="Z46" s="83">
        <f t="shared" si="52"/>
        <v>10160</v>
      </c>
      <c r="AA46" s="83">
        <f t="shared" si="52"/>
        <v>7494.1999999999971</v>
      </c>
      <c r="AB46" s="83">
        <f t="shared" si="52"/>
        <v>9124.4499999999971</v>
      </c>
      <c r="AC46" s="83">
        <f t="shared" si="52"/>
        <v>5174.2999999999993</v>
      </c>
      <c r="AD46" s="83">
        <f t="shared" si="52"/>
        <v>9316.1500000000015</v>
      </c>
      <c r="AE46" s="83">
        <f t="shared" si="52"/>
        <v>11094.449999999997</v>
      </c>
      <c r="AF46" s="83">
        <f t="shared" si="52"/>
        <v>8091.1999999999971</v>
      </c>
      <c r="AG46" s="83">
        <f t="shared" ref="AG46:AH46" si="53">+AG47-AG41</f>
        <v>5989.4799999999959</v>
      </c>
      <c r="AH46" s="83">
        <f t="shared" si="53"/>
        <v>5980.5599999999977</v>
      </c>
      <c r="AJ46" s="43"/>
      <c r="AK46" s="43"/>
      <c r="AL46" s="43"/>
      <c r="AM46" s="43"/>
      <c r="AN46" s="43"/>
    </row>
    <row r="47" spans="2:40">
      <c r="B47" t="s">
        <v>145</v>
      </c>
      <c r="D47" s="29">
        <v>120.184</v>
      </c>
      <c r="E47" s="29">
        <v>307</v>
      </c>
      <c r="F47" s="29">
        <v>579</v>
      </c>
      <c r="G47" s="29">
        <v>838</v>
      </c>
      <c r="H47" s="29">
        <v>1315</v>
      </c>
      <c r="I47" s="29">
        <v>1495</v>
      </c>
      <c r="J47" s="29">
        <v>3225</v>
      </c>
      <c r="K47" s="29">
        <v>4190</v>
      </c>
      <c r="L47" s="29">
        <v>7777</v>
      </c>
      <c r="M47" s="29">
        <v>11563</v>
      </c>
      <c r="N47" s="29">
        <v>10547</v>
      </c>
      <c r="O47" s="29">
        <v>12319</v>
      </c>
      <c r="P47" s="29">
        <v>13739</v>
      </c>
      <c r="Q47" s="29">
        <v>14906</v>
      </c>
      <c r="R47" s="29">
        <v>13517</v>
      </c>
      <c r="S47" s="29">
        <v>15793</v>
      </c>
      <c r="T47" s="29">
        <v>12826</v>
      </c>
      <c r="U47" s="29">
        <v>15532</v>
      </c>
      <c r="V47" s="29">
        <v>18430</v>
      </c>
      <c r="W47" s="29">
        <v>15918</v>
      </c>
      <c r="X47" s="29">
        <v>22096</v>
      </c>
      <c r="Y47" s="29">
        <v>24639</v>
      </c>
      <c r="Z47" s="29">
        <v>29321</v>
      </c>
      <c r="AA47" s="29">
        <v>24576</v>
      </c>
      <c r="AB47" s="29">
        <v>27017</v>
      </c>
      <c r="AC47" s="29">
        <v>23724</v>
      </c>
      <c r="AD47" s="29">
        <v>24425</v>
      </c>
      <c r="AE47" s="29">
        <v>29307</v>
      </c>
      <c r="AF47" s="29">
        <f>+'Historical Financials'!BI122</f>
        <v>30284</v>
      </c>
      <c r="AG47" s="29">
        <f>+'Historical Financials'!BJ122</f>
        <v>35285</v>
      </c>
      <c r="AH47" s="29">
        <f>+'Historical Financials'!BK122</f>
        <v>41675</v>
      </c>
      <c r="AJ47" s="43"/>
      <c r="AK47" s="43"/>
      <c r="AL47" s="43"/>
      <c r="AM47" s="43"/>
      <c r="AN47" s="43"/>
    </row>
    <row r="48" spans="2:40">
      <c r="AJ48" s="43"/>
      <c r="AK48" s="43"/>
      <c r="AL48" s="43"/>
      <c r="AM48" s="43"/>
      <c r="AN48" s="43"/>
    </row>
    <row r="49" spans="2:40">
      <c r="B49" s="24" t="s">
        <v>126</v>
      </c>
      <c r="V49" s="28" t="s">
        <v>1742</v>
      </c>
      <c r="Z49" s="28" t="s">
        <v>1743</v>
      </c>
      <c r="AB49" s="28" t="s">
        <v>1744</v>
      </c>
      <c r="AE49" s="28" t="s">
        <v>385</v>
      </c>
      <c r="AJ49" s="43"/>
      <c r="AK49" s="43"/>
      <c r="AL49" s="43"/>
      <c r="AM49" s="43"/>
      <c r="AN49" s="43"/>
    </row>
    <row r="50" spans="2:40">
      <c r="B50" s="17" t="s">
        <v>316</v>
      </c>
      <c r="D50" s="29">
        <v>0</v>
      </c>
      <c r="E50" s="29">
        <v>0</v>
      </c>
      <c r="F50" s="29">
        <v>0</v>
      </c>
      <c r="G50" s="29">
        <v>0</v>
      </c>
      <c r="H50" s="29">
        <v>0</v>
      </c>
      <c r="I50" s="29">
        <v>0</v>
      </c>
      <c r="J50" s="29">
        <v>0</v>
      </c>
      <c r="K50" s="29">
        <v>0</v>
      </c>
      <c r="L50" s="29">
        <v>-190</v>
      </c>
      <c r="M50" s="29">
        <v>0</v>
      </c>
      <c r="N50" s="29">
        <v>0</v>
      </c>
      <c r="O50" s="29">
        <v>0</v>
      </c>
      <c r="P50" s="29">
        <v>0</v>
      </c>
      <c r="Q50" s="29">
        <v>-1063</v>
      </c>
      <c r="R50" s="29">
        <v>-4</v>
      </c>
      <c r="S50" s="29">
        <v>-207</v>
      </c>
      <c r="T50" s="29">
        <v>-649</v>
      </c>
      <c r="U50" s="29">
        <v>-1150</v>
      </c>
      <c r="V50" s="29">
        <v>-8053</v>
      </c>
      <c r="W50" s="29">
        <v>-868</v>
      </c>
      <c r="X50" s="29">
        <v>-245</v>
      </c>
      <c r="Y50" s="29">
        <v>-71</v>
      </c>
      <c r="Z50" s="29">
        <v>-10112</v>
      </c>
      <c r="AA50" s="29">
        <v>-1584</v>
      </c>
      <c r="AB50" s="29">
        <v>-5937</v>
      </c>
      <c r="AC50" s="29">
        <v>-3723</v>
      </c>
      <c r="AD50" s="29">
        <v>-1393</v>
      </c>
      <c r="AE50" s="29">
        <v>-25944</v>
      </c>
      <c r="AF50" s="29">
        <f>+'Historical Financials'!BI126</f>
        <v>-888</v>
      </c>
      <c r="AG50" s="29">
        <f>+'Historical Financials'!BJ126</f>
        <v>-2388</v>
      </c>
      <c r="AH50" s="29">
        <f>+'Historical Financials'!BK126</f>
        <v>-2521</v>
      </c>
      <c r="AJ50" s="43"/>
      <c r="AK50" s="43"/>
      <c r="AL50" s="43"/>
      <c r="AM50" s="43"/>
      <c r="AN50" s="43"/>
    </row>
    <row r="51" spans="2:40">
      <c r="B51" s="17" t="s">
        <v>321</v>
      </c>
      <c r="D51" s="29">
        <v>0</v>
      </c>
      <c r="E51" s="29">
        <v>0</v>
      </c>
      <c r="F51" s="29">
        <v>0</v>
      </c>
      <c r="G51" s="29">
        <v>0</v>
      </c>
      <c r="H51" s="29">
        <v>0</v>
      </c>
      <c r="I51" s="29">
        <v>0</v>
      </c>
      <c r="J51" s="29">
        <v>0</v>
      </c>
      <c r="K51" s="29">
        <v>0</v>
      </c>
      <c r="L51" s="29">
        <v>0</v>
      </c>
      <c r="M51" s="29">
        <v>0</v>
      </c>
      <c r="N51" s="29">
        <v>0</v>
      </c>
      <c r="O51" s="29">
        <v>0</v>
      </c>
      <c r="P51" s="29">
        <v>0</v>
      </c>
      <c r="Q51" s="29">
        <v>-857</v>
      </c>
      <c r="R51" s="29">
        <v>-1729</v>
      </c>
      <c r="S51" s="29">
        <v>-36112</v>
      </c>
      <c r="T51" s="29">
        <v>-3545</v>
      </c>
      <c r="U51" s="29">
        <v>-3805</v>
      </c>
      <c r="V51" s="29">
        <v>-4015</v>
      </c>
      <c r="W51" s="29">
        <v>-4468</v>
      </c>
      <c r="X51" s="29">
        <v>-4578</v>
      </c>
      <c r="Y51" s="29">
        <v>-5180</v>
      </c>
      <c r="Z51" s="29">
        <v>-6385</v>
      </c>
      <c r="AA51" s="29">
        <v>-7455</v>
      </c>
      <c r="AB51" s="29">
        <v>-8879</v>
      </c>
      <c r="AC51" s="29">
        <v>-9882</v>
      </c>
      <c r="AD51" s="29">
        <v>-11006</v>
      </c>
      <c r="AE51" s="29">
        <v>-11845</v>
      </c>
      <c r="AF51" s="29">
        <f>+'Historical Financials'!BI131</f>
        <v>-12699</v>
      </c>
      <c r="AG51" s="29">
        <f>+'Historical Financials'!BJ131</f>
        <v>-13811</v>
      </c>
      <c r="AH51" s="29">
        <f>+'Historical Financials'!BK131</f>
        <v>-15137</v>
      </c>
      <c r="AJ51" s="43"/>
      <c r="AK51" s="43"/>
      <c r="AL51" s="43"/>
      <c r="AM51" s="43"/>
      <c r="AN51" s="43"/>
    </row>
    <row r="52" spans="2:40">
      <c r="B52" s="17" t="s">
        <v>1745</v>
      </c>
      <c r="D52" s="29">
        <v>72.738</v>
      </c>
      <c r="E52" s="29">
        <v>95</v>
      </c>
      <c r="F52" s="29">
        <v>135</v>
      </c>
      <c r="G52" s="29">
        <v>229</v>
      </c>
      <c r="H52" s="29">
        <v>280</v>
      </c>
      <c r="I52" s="29">
        <v>332</v>
      </c>
      <c r="J52" s="29">
        <v>504</v>
      </c>
      <c r="K52" s="29">
        <v>744</v>
      </c>
      <c r="L52" s="29">
        <v>959</v>
      </c>
      <c r="M52" s="29">
        <v>1350</v>
      </c>
      <c r="N52" s="29">
        <v>2245</v>
      </c>
      <c r="O52" s="29">
        <v>1620</v>
      </c>
      <c r="P52" s="29">
        <v>1497</v>
      </c>
      <c r="Q52" s="29">
        <v>2120</v>
      </c>
      <c r="R52" s="29">
        <v>2748</v>
      </c>
      <c r="S52" s="29">
        <v>3109</v>
      </c>
      <c r="T52" s="29">
        <v>2101</v>
      </c>
      <c r="U52" s="29">
        <v>6782</v>
      </c>
      <c r="V52" s="29">
        <v>3494</v>
      </c>
      <c r="W52" s="29">
        <v>579</v>
      </c>
      <c r="X52" s="29">
        <v>2311</v>
      </c>
      <c r="Y52" s="29">
        <v>2422</v>
      </c>
      <c r="Z52" s="29">
        <v>1913</v>
      </c>
      <c r="AA52" s="29">
        <v>931</v>
      </c>
      <c r="AB52" s="29">
        <v>607</v>
      </c>
      <c r="AC52" s="29">
        <v>634</v>
      </c>
      <c r="AD52" s="29">
        <v>668</v>
      </c>
      <c r="AE52" s="29">
        <v>772</v>
      </c>
      <c r="AF52" s="29">
        <f>+'Historical Financials'!BI129</f>
        <v>1002</v>
      </c>
      <c r="AG52" s="29">
        <f>+'Historical Financials'!BJ129</f>
        <v>1142</v>
      </c>
      <c r="AH52" s="29">
        <f>+'Historical Financials'!BK129</f>
        <v>1343</v>
      </c>
      <c r="AJ52" s="43"/>
      <c r="AK52" s="43"/>
      <c r="AL52" s="43"/>
      <c r="AM52" s="43"/>
      <c r="AN52" s="43"/>
    </row>
    <row r="53" spans="2:40">
      <c r="B53" s="17" t="s">
        <v>1746</v>
      </c>
      <c r="D53" s="29">
        <v>-46.664999999999999</v>
      </c>
      <c r="E53" s="29">
        <v>-197</v>
      </c>
      <c r="F53" s="29">
        <v>-135</v>
      </c>
      <c r="G53" s="29">
        <v>-250</v>
      </c>
      <c r="H53" s="29">
        <v>-348</v>
      </c>
      <c r="I53" s="29">
        <v>-698</v>
      </c>
      <c r="J53" s="29">
        <v>-1385</v>
      </c>
      <c r="K53" s="29">
        <v>-3101</v>
      </c>
      <c r="L53" s="29">
        <v>-2468</v>
      </c>
      <c r="M53" s="29">
        <v>-2950</v>
      </c>
      <c r="N53" s="29">
        <v>-4896</v>
      </c>
      <c r="O53" s="29">
        <v>-6074</v>
      </c>
      <c r="P53" s="29">
        <v>-6069</v>
      </c>
      <c r="Q53" s="29">
        <v>-6486</v>
      </c>
      <c r="R53" s="29">
        <v>-3383</v>
      </c>
      <c r="S53" s="29">
        <v>-8057</v>
      </c>
      <c r="T53" s="29">
        <v>-19207</v>
      </c>
      <c r="U53" s="29">
        <v>-27575</v>
      </c>
      <c r="V53" s="29">
        <v>-12533</v>
      </c>
      <c r="W53" s="29">
        <v>-9353</v>
      </c>
      <c r="X53" s="29">
        <v>-11269</v>
      </c>
      <c r="Y53" s="29">
        <v>-11555</v>
      </c>
      <c r="Z53" s="29">
        <v>-5029</v>
      </c>
      <c r="AA53" s="29">
        <v>-5360</v>
      </c>
      <c r="AB53" s="29">
        <v>-7316</v>
      </c>
      <c r="AC53" s="29">
        <v>-14443</v>
      </c>
      <c r="AD53" s="29">
        <v>-15969</v>
      </c>
      <c r="AE53" s="29">
        <v>-11788</v>
      </c>
      <c r="AF53" s="29">
        <f>+'Historical Financials'!BI130</f>
        <v>-10721</v>
      </c>
      <c r="AG53" s="29">
        <f>+'Historical Financials'!BJ130</f>
        <v>-19543</v>
      </c>
      <c r="AH53" s="29">
        <f>+'Historical Financials'!BK130</f>
        <v>-22968</v>
      </c>
      <c r="AJ53" s="43"/>
      <c r="AK53" s="43"/>
      <c r="AL53" s="43"/>
      <c r="AM53" s="43"/>
      <c r="AN53" s="43"/>
    </row>
    <row r="54" spans="2:40">
      <c r="B54" s="17"/>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J54" s="43"/>
      <c r="AK54" s="43"/>
      <c r="AL54" s="43"/>
      <c r="AM54" s="43"/>
      <c r="AN54" s="43"/>
    </row>
    <row r="55" spans="2:40" ht="10.5">
      <c r="B55" s="45" t="s">
        <v>1747</v>
      </c>
      <c r="AJ55" s="43"/>
      <c r="AK55" s="43"/>
      <c r="AL55" s="43"/>
      <c r="AM55" s="43"/>
      <c r="AN55" s="43"/>
    </row>
    <row r="56" spans="2:40">
      <c r="B56" s="12" t="s">
        <v>1190</v>
      </c>
      <c r="D56" s="29"/>
      <c r="E56" s="29">
        <v>19.456</v>
      </c>
      <c r="F56" s="29">
        <v>0</v>
      </c>
      <c r="G56" s="29">
        <v>0</v>
      </c>
      <c r="H56" s="29">
        <v>0</v>
      </c>
      <c r="I56" s="29">
        <v>0</v>
      </c>
      <c r="J56" s="29">
        <v>0</v>
      </c>
      <c r="K56" s="29">
        <v>0</v>
      </c>
      <c r="L56" s="29">
        <v>0</v>
      </c>
      <c r="M56" s="29">
        <v>0</v>
      </c>
      <c r="N56" s="29">
        <v>0</v>
      </c>
      <c r="O56" s="29">
        <v>0</v>
      </c>
      <c r="P56" s="29">
        <v>0</v>
      </c>
      <c r="Q56" s="29">
        <v>0</v>
      </c>
      <c r="R56" s="29">
        <v>0</v>
      </c>
      <c r="S56" s="29">
        <v>0</v>
      </c>
      <c r="T56" s="29">
        <v>0</v>
      </c>
      <c r="U56" s="29">
        <v>0</v>
      </c>
      <c r="V56" s="29">
        <v>0</v>
      </c>
      <c r="W56" s="29">
        <v>5746</v>
      </c>
      <c r="X56" s="29">
        <v>5939</v>
      </c>
      <c r="Y56" s="29">
        <v>11921</v>
      </c>
      <c r="Z56" s="29">
        <v>11944</v>
      </c>
      <c r="AA56" s="29">
        <v>15600</v>
      </c>
      <c r="AB56" s="29">
        <v>22645</v>
      </c>
      <c r="AC56" s="29">
        <v>35292</v>
      </c>
      <c r="AD56" s="29">
        <v>53461</v>
      </c>
      <c r="AE56" s="29">
        <v>91566</v>
      </c>
      <c r="AF56" s="29">
        <f>+'Historical Financials'!BI134</f>
        <v>86109</v>
      </c>
      <c r="AG56" s="29">
        <f>+'Historical Financials'!BJ134</f>
        <v>84940</v>
      </c>
      <c r="AH56" s="29">
        <f>+'Historical Financials'!BK134</f>
        <v>80494</v>
      </c>
      <c r="AJ56" s="43"/>
      <c r="AK56" s="43"/>
      <c r="AL56" s="43"/>
      <c r="AM56" s="43"/>
      <c r="AN56" s="43"/>
    </row>
    <row r="57" spans="2:40" ht="11.45">
      <c r="B57" s="12" t="s">
        <v>323</v>
      </c>
      <c r="D57" s="30"/>
      <c r="E57" s="30">
        <v>686.31399999999996</v>
      </c>
      <c r="F57" s="30">
        <v>1345</v>
      </c>
      <c r="G57" s="30">
        <v>2290</v>
      </c>
      <c r="H57" s="30">
        <v>3614</v>
      </c>
      <c r="I57" s="30">
        <v>4750</v>
      </c>
      <c r="J57" s="30">
        <v>6940</v>
      </c>
      <c r="K57" s="30">
        <v>8966</v>
      </c>
      <c r="L57" s="30">
        <v>13927</v>
      </c>
      <c r="M57" s="30">
        <v>17236</v>
      </c>
      <c r="N57" s="30">
        <v>23798</v>
      </c>
      <c r="O57" s="30">
        <v>31600</v>
      </c>
      <c r="P57" s="30">
        <v>38652</v>
      </c>
      <c r="Q57" s="30">
        <v>49048</v>
      </c>
      <c r="R57" s="30">
        <v>60592</v>
      </c>
      <c r="S57" s="30">
        <v>37751</v>
      </c>
      <c r="T57" s="30">
        <v>34161</v>
      </c>
      <c r="U57" s="30">
        <v>23411</v>
      </c>
      <c r="V57" s="30">
        <v>23662</v>
      </c>
      <c r="W57" s="30">
        <v>31447</v>
      </c>
      <c r="X57" s="30">
        <v>36788</v>
      </c>
      <c r="Y57" s="30">
        <v>52772</v>
      </c>
      <c r="Z57" s="30">
        <v>63040</v>
      </c>
      <c r="AA57" s="30">
        <v>77022</v>
      </c>
      <c r="AB57" s="30">
        <v>85709</v>
      </c>
      <c r="AC57" s="30">
        <v>96526</v>
      </c>
      <c r="AD57" s="30">
        <v>113240</v>
      </c>
      <c r="AE57" s="30">
        <v>132981</v>
      </c>
      <c r="AF57" s="30">
        <f>+'Historical Financials'!BI135</f>
        <v>133768</v>
      </c>
      <c r="AG57" s="30">
        <f>+'Historical Financials'!BJ135</f>
        <v>133819</v>
      </c>
      <c r="AH57" s="30">
        <f>+'Historical Financials'!BK135</f>
        <v>136527</v>
      </c>
      <c r="AJ57" s="43"/>
      <c r="AK57" s="43"/>
      <c r="AL57" s="43"/>
      <c r="AM57" s="43"/>
      <c r="AN57" s="43"/>
    </row>
    <row r="58" spans="2:40">
      <c r="B58" t="s">
        <v>146</v>
      </c>
      <c r="D58" s="65"/>
      <c r="E58" s="65">
        <f t="shared" ref="E58:AF58" si="54">+E56-E57</f>
        <v>-666.85799999999995</v>
      </c>
      <c r="F58" s="65">
        <f t="shared" si="54"/>
        <v>-1345</v>
      </c>
      <c r="G58" s="65">
        <f t="shared" si="54"/>
        <v>-2290</v>
      </c>
      <c r="H58" s="65">
        <f t="shared" si="54"/>
        <v>-3614</v>
      </c>
      <c r="I58" s="65">
        <f t="shared" si="54"/>
        <v>-4750</v>
      </c>
      <c r="J58" s="65">
        <f t="shared" si="54"/>
        <v>-6940</v>
      </c>
      <c r="K58" s="65">
        <f t="shared" si="54"/>
        <v>-8966</v>
      </c>
      <c r="L58" s="65">
        <f t="shared" si="54"/>
        <v>-13927</v>
      </c>
      <c r="M58" s="65">
        <f t="shared" si="54"/>
        <v>-17236</v>
      </c>
      <c r="N58" s="65">
        <f t="shared" si="54"/>
        <v>-23798</v>
      </c>
      <c r="O58" s="65">
        <f t="shared" si="54"/>
        <v>-31600</v>
      </c>
      <c r="P58" s="65">
        <f t="shared" si="54"/>
        <v>-38652</v>
      </c>
      <c r="Q58" s="65">
        <f t="shared" si="54"/>
        <v>-49048</v>
      </c>
      <c r="R58" s="65">
        <f t="shared" si="54"/>
        <v>-60592</v>
      </c>
      <c r="S58" s="65">
        <f t="shared" si="54"/>
        <v>-37751</v>
      </c>
      <c r="T58" s="65">
        <f t="shared" si="54"/>
        <v>-34161</v>
      </c>
      <c r="U58" s="65">
        <f t="shared" si="54"/>
        <v>-23411</v>
      </c>
      <c r="V58" s="65">
        <f t="shared" si="54"/>
        <v>-23662</v>
      </c>
      <c r="W58" s="65">
        <f t="shared" si="54"/>
        <v>-25701</v>
      </c>
      <c r="X58" s="65">
        <f t="shared" si="54"/>
        <v>-30849</v>
      </c>
      <c r="Y58" s="65">
        <f t="shared" si="54"/>
        <v>-40851</v>
      </c>
      <c r="Z58" s="65">
        <f t="shared" si="54"/>
        <v>-51096</v>
      </c>
      <c r="AA58" s="65">
        <f t="shared" si="54"/>
        <v>-61422</v>
      </c>
      <c r="AB58" s="65">
        <f t="shared" si="54"/>
        <v>-63064</v>
      </c>
      <c r="AC58" s="65">
        <f t="shared" si="54"/>
        <v>-61234</v>
      </c>
      <c r="AD58" s="65">
        <f t="shared" si="54"/>
        <v>-59779</v>
      </c>
      <c r="AE58" s="65">
        <f t="shared" si="54"/>
        <v>-41415</v>
      </c>
      <c r="AF58" s="65">
        <f t="shared" si="54"/>
        <v>-47659</v>
      </c>
      <c r="AG58" s="65">
        <f t="shared" ref="AG58:AH58" si="55">+AG56-AG57</f>
        <v>-48879</v>
      </c>
      <c r="AH58" s="65">
        <f t="shared" si="55"/>
        <v>-56033</v>
      </c>
      <c r="AJ58" s="25">
        <f>IFERROR((AH58/AC58)^(1/5)-1,"n/a ")</f>
        <v>-1.7595712792112805E-2</v>
      </c>
      <c r="AK58" s="25">
        <f>IFERROR((AH58/X58)^(1/10)-1,"n/a ")</f>
        <v>6.1500684281535101E-2</v>
      </c>
      <c r="AL58" s="25">
        <f>IFERROR((AH58/S58)^(1/15)-1,"n/a ")</f>
        <v>2.6678248402454141E-2</v>
      </c>
      <c r="AM58" s="25">
        <f>IFERROR((AH58/N58)^(1/20)-1,"n/a ")</f>
        <v>4.3746833042755506E-2</v>
      </c>
      <c r="AN58" s="25">
        <f>IFERROR(IF(AH58/I58&lt;1,"n/m ",(AH58/I58)^(1/25)-1),"n/a ")</f>
        <v>0.10374820580909705</v>
      </c>
    </row>
    <row r="59" spans="2:40" s="3" customFormat="1">
      <c r="B59" s="36" t="s">
        <v>1349</v>
      </c>
      <c r="D59" s="59"/>
      <c r="E59" s="59">
        <f t="shared" ref="E59:AF59" si="56">+E58/E31</f>
        <v>-0.91853719008264456</v>
      </c>
      <c r="F59" s="59">
        <f t="shared" si="56"/>
        <v>-1.213898916967509</v>
      </c>
      <c r="G59" s="59">
        <f t="shared" si="56"/>
        <v>-1.5504400812457684</v>
      </c>
      <c r="H59" s="59">
        <f t="shared" si="56"/>
        <v>-1.8410596026490067</v>
      </c>
      <c r="I59" s="59">
        <f t="shared" si="56"/>
        <v>-2.058951018638925</v>
      </c>
      <c r="J59" s="59">
        <f t="shared" si="56"/>
        <v>-1.9505340078695896</v>
      </c>
      <c r="K59" s="59">
        <f t="shared" si="56"/>
        <v>-1.5765781607174256</v>
      </c>
      <c r="L59" s="59">
        <f t="shared" si="56"/>
        <v>-1.7487443495730788</v>
      </c>
      <c r="M59" s="59">
        <f t="shared" si="56"/>
        <v>-1.5760790051207023</v>
      </c>
      <c r="N59" s="59">
        <f t="shared" si="56"/>
        <v>-1.941742819843342</v>
      </c>
      <c r="O59" s="59">
        <f t="shared" si="56"/>
        <v>-2.3838261919130961</v>
      </c>
      <c r="P59" s="59">
        <f t="shared" si="56"/>
        <v>-4.1967426710097717</v>
      </c>
      <c r="Q59" s="59">
        <f t="shared" si="56"/>
        <v>-4.4841835801791916</v>
      </c>
      <c r="R59" s="59">
        <f t="shared" si="56"/>
        <v>-5.9287671232876713</v>
      </c>
      <c r="S59" s="59">
        <f t="shared" si="56"/>
        <v>-2.44881940840685</v>
      </c>
      <c r="T59" s="59">
        <f t="shared" si="56"/>
        <v>-1.9661007194244604</v>
      </c>
      <c r="U59" s="59">
        <f t="shared" si="56"/>
        <v>-1.1777341784887816</v>
      </c>
      <c r="V59" s="59">
        <f t="shared" si="56"/>
        <v>-0.97266411805812469</v>
      </c>
      <c r="W59" s="59">
        <f t="shared" si="56"/>
        <v>-1.1210905125408943</v>
      </c>
      <c r="X59" s="59">
        <f t="shared" si="56"/>
        <v>-1.152329012737664</v>
      </c>
      <c r="Y59" s="59">
        <f t="shared" si="56"/>
        <v>-1.365021552444281</v>
      </c>
      <c r="Z59" s="59">
        <f t="shared" si="56"/>
        <v>-1.652362319309252</v>
      </c>
      <c r="AA59" s="59">
        <f t="shared" si="56"/>
        <v>-2.0125823257642779</v>
      </c>
      <c r="AB59" s="59">
        <f t="shared" si="56"/>
        <v>-1.9053719257961206</v>
      </c>
      <c r="AC59" s="59">
        <f t="shared" si="56"/>
        <v>-1.7941926221102289</v>
      </c>
      <c r="AD59" s="59">
        <f t="shared" si="56"/>
        <v>-1.768086364980775</v>
      </c>
      <c r="AE59" s="59">
        <f t="shared" si="56"/>
        <v>-1.0867511611430372</v>
      </c>
      <c r="AF59" s="59">
        <f t="shared" si="56"/>
        <v>-1.0516339725060129</v>
      </c>
      <c r="AG59" s="59">
        <f t="shared" ref="AG59:AH59" si="57">+AG58/AG31</f>
        <v>-0.89454804999908488</v>
      </c>
      <c r="AH59" s="59">
        <f t="shared" si="57"/>
        <v>-0.85214812561782372</v>
      </c>
      <c r="AJ59" s="44"/>
      <c r="AK59" s="44"/>
      <c r="AL59" s="44"/>
      <c r="AM59" s="44"/>
      <c r="AN59" s="44"/>
    </row>
    <row r="60" spans="2:40">
      <c r="AE60" s="84"/>
      <c r="AF60" s="85"/>
      <c r="AG60" s="85"/>
      <c r="AH60" s="85"/>
      <c r="AJ60" s="43"/>
      <c r="AK60" s="43"/>
      <c r="AL60" s="43"/>
      <c r="AM60" s="43"/>
      <c r="AN60" s="43"/>
    </row>
    <row r="61" spans="2:40">
      <c r="B61" s="24" t="s">
        <v>126</v>
      </c>
      <c r="AJ61" s="43"/>
      <c r="AK61" s="43"/>
      <c r="AL61" s="43"/>
      <c r="AM61" s="43"/>
      <c r="AN61" s="43"/>
    </row>
    <row r="62" spans="2:40">
      <c r="B62" s="17" t="s">
        <v>165</v>
      </c>
      <c r="D62" s="29"/>
      <c r="E62" s="29">
        <v>1350.8309999999999</v>
      </c>
      <c r="F62" s="29">
        <v>2193</v>
      </c>
      <c r="G62" s="29">
        <v>3242</v>
      </c>
      <c r="H62" s="29">
        <v>4450</v>
      </c>
      <c r="I62" s="29">
        <v>5333</v>
      </c>
      <c r="J62" s="29">
        <v>6908</v>
      </c>
      <c r="K62" s="29">
        <v>10777</v>
      </c>
      <c r="L62" s="29">
        <v>16627</v>
      </c>
      <c r="M62" s="29">
        <v>28438</v>
      </c>
      <c r="N62" s="29">
        <v>41368</v>
      </c>
      <c r="O62" s="29">
        <v>47289</v>
      </c>
      <c r="P62" s="29">
        <v>52180</v>
      </c>
      <c r="Q62" s="29">
        <v>64912</v>
      </c>
      <c r="R62" s="29">
        <v>74825</v>
      </c>
      <c r="S62" s="29">
        <v>48115</v>
      </c>
      <c r="T62" s="29">
        <v>40104</v>
      </c>
      <c r="U62" s="29">
        <v>31097</v>
      </c>
      <c r="V62" s="29">
        <v>36286</v>
      </c>
      <c r="W62" s="29">
        <v>39558</v>
      </c>
      <c r="X62" s="29">
        <v>46175</v>
      </c>
      <c r="Y62" s="29">
        <v>57083</v>
      </c>
      <c r="Z62" s="29">
        <v>66363</v>
      </c>
      <c r="AA62" s="29">
        <v>78944</v>
      </c>
      <c r="AB62" s="29">
        <v>89784</v>
      </c>
      <c r="AC62" s="29">
        <v>80083</v>
      </c>
      <c r="AD62" s="29">
        <v>71997</v>
      </c>
      <c r="AE62" s="29">
        <v>87711</v>
      </c>
      <c r="AF62" s="29">
        <f>+'Historical Financials'!BI921</f>
        <v>82718</v>
      </c>
      <c r="AG62" s="29">
        <f>+'Historical Financials'!BJ921</f>
        <v>102330</v>
      </c>
      <c r="AH62" s="29">
        <f>+'Historical Financials'!BK921</f>
        <v>118304</v>
      </c>
      <c r="AJ62" s="25">
        <f>IFERROR((AH62/AC62)^(1/5)-1,"n/a ")</f>
        <v>8.1164603996634499E-2</v>
      </c>
      <c r="AK62" s="25">
        <f>IFERROR((AH62/X62)^(1/10)-1,"n/a ")</f>
        <v>9.8649727870749215E-2</v>
      </c>
      <c r="AL62" s="25">
        <f>IFERROR((AH62/S62)^(1/15)-1,"n/a ")</f>
        <v>6.1812733637419459E-2</v>
      </c>
      <c r="AM62" s="25">
        <f>IFERROR((AH62/N62)^(1/20)-1,"n/a ")</f>
        <v>5.3942081407499121E-2</v>
      </c>
      <c r="AN62" s="25">
        <f>IFERROR(IF(AH62/I62&lt;1,"n/m ",(AH62/I62)^(1/25)-1),"n/a ")</f>
        <v>0.13198615149605475</v>
      </c>
    </row>
    <row r="63" spans="2:40" s="3" customFormat="1">
      <c r="B63" s="19" t="s">
        <v>1748</v>
      </c>
      <c r="D63" s="23"/>
      <c r="E63" s="23"/>
      <c r="F63" s="23">
        <f t="shared" ref="F63:AF63" si="58">+IFERROR(IF(AVERAGE(E62:F62)/F24&lt;0,"n/a ",F24/AVERAGE(E62:F62)),"n/a ")</f>
        <v>0.38187486931515641</v>
      </c>
      <c r="G63" s="23">
        <f t="shared" si="58"/>
        <v>0.33510579576816929</v>
      </c>
      <c r="H63" s="23">
        <f t="shared" si="58"/>
        <v>0.30624024960998447</v>
      </c>
      <c r="I63" s="23">
        <f t="shared" si="58"/>
        <v>0.2879587038740673</v>
      </c>
      <c r="J63" s="23">
        <f t="shared" si="58"/>
        <v>0.35885140102932772</v>
      </c>
      <c r="K63" s="23">
        <f t="shared" si="58"/>
        <v>0.39062482329657905</v>
      </c>
      <c r="L63" s="23">
        <f t="shared" si="58"/>
        <v>0.35166034155597731</v>
      </c>
      <c r="M63" s="23">
        <f t="shared" si="58"/>
        <v>0.34302230112060361</v>
      </c>
      <c r="N63" s="23">
        <f t="shared" si="58"/>
        <v>0.26584391026559323</v>
      </c>
      <c r="O63" s="23">
        <f t="shared" si="58"/>
        <v>0.16899398806636814</v>
      </c>
      <c r="P63" s="23">
        <f t="shared" si="58"/>
        <v>0.10292151323527933</v>
      </c>
      <c r="Q63" s="23">
        <f t="shared" si="58"/>
        <v>0.12272571994670858</v>
      </c>
      <c r="R63" s="23">
        <f t="shared" si="58"/>
        <v>0.11346171736905759</v>
      </c>
      <c r="S63" s="23">
        <f t="shared" si="58"/>
        <v>0.17582885960631203</v>
      </c>
      <c r="T63" s="23">
        <f t="shared" si="58"/>
        <v>0.26910982894841246</v>
      </c>
      <c r="U63" s="23">
        <f t="shared" si="58"/>
        <v>0.36700748584991788</v>
      </c>
      <c r="V63" s="23">
        <f t="shared" si="58"/>
        <v>0.45943635635100843</v>
      </c>
      <c r="W63" s="23">
        <f t="shared" si="58"/>
        <v>0.33974078371393918</v>
      </c>
      <c r="X63" s="23">
        <f t="shared" si="58"/>
        <v>0.37928102364317123</v>
      </c>
      <c r="Y63" s="23">
        <f t="shared" si="58"/>
        <v>0.35340893683782371</v>
      </c>
      <c r="Z63" s="23">
        <f t="shared" si="58"/>
        <v>0.29970999465353271</v>
      </c>
      <c r="AA63" s="23">
        <f t="shared" si="58"/>
        <v>0.24202275182888647</v>
      </c>
      <c r="AB63" s="23">
        <f t="shared" si="58"/>
        <v>0.21532347920914138</v>
      </c>
      <c r="AC63" s="23">
        <f t="shared" si="58"/>
        <v>0.21824957172376036</v>
      </c>
      <c r="AD63" s="23">
        <f t="shared" si="58"/>
        <v>0.22865399789584429</v>
      </c>
      <c r="AE63" s="23">
        <f t="shared" si="58"/>
        <v>0.24588060710797208</v>
      </c>
      <c r="AF63" s="23">
        <f t="shared" si="58"/>
        <v>0.29961802275434346</v>
      </c>
      <c r="AG63" s="23">
        <f t="shared" ref="AG63" si="59">+IFERROR(IF(AVERAGE(AF62:AG62)/AG24&lt;0,"n/a ",AG24/AVERAGE(AF62:AG62)),"n/a ")</f>
        <v>0.3730223509575894</v>
      </c>
      <c r="AH63" s="23">
        <f t="shared" ref="AH63" si="60">+IFERROR(IF(AVERAGE(AG62:AH62)/AH24&lt;0,"n/a ",AH24/AVERAGE(AG62:AH62)),"n/a ")</f>
        <v>0.37980039341171351</v>
      </c>
      <c r="AJ63" s="44"/>
      <c r="AK63" s="44"/>
      <c r="AL63" s="44"/>
      <c r="AM63" s="44"/>
      <c r="AN63" s="44"/>
    </row>
    <row r="64" spans="2:40">
      <c r="B64" s="17" t="s">
        <v>1749</v>
      </c>
      <c r="D64" s="8"/>
      <c r="E64" s="8">
        <f t="shared" ref="E64:AF64" si="61">+(E62+E58)</f>
        <v>683.97299999999996</v>
      </c>
      <c r="F64" s="8">
        <f t="shared" si="61"/>
        <v>848</v>
      </c>
      <c r="G64" s="8">
        <f t="shared" si="61"/>
        <v>952</v>
      </c>
      <c r="H64" s="8">
        <f t="shared" si="61"/>
        <v>836</v>
      </c>
      <c r="I64" s="8">
        <f t="shared" si="61"/>
        <v>583</v>
      </c>
      <c r="J64" s="8">
        <f t="shared" si="61"/>
        <v>-32</v>
      </c>
      <c r="K64" s="8">
        <f t="shared" si="61"/>
        <v>1811</v>
      </c>
      <c r="L64" s="8">
        <f t="shared" si="61"/>
        <v>2700</v>
      </c>
      <c r="M64" s="8">
        <f t="shared" si="61"/>
        <v>11202</v>
      </c>
      <c r="N64" s="8">
        <f t="shared" si="61"/>
        <v>17570</v>
      </c>
      <c r="O64" s="8">
        <f t="shared" si="61"/>
        <v>15689</v>
      </c>
      <c r="P64" s="8">
        <f t="shared" si="61"/>
        <v>13528</v>
      </c>
      <c r="Q64" s="8">
        <f t="shared" si="61"/>
        <v>15864</v>
      </c>
      <c r="R64" s="8">
        <f t="shared" si="61"/>
        <v>14233</v>
      </c>
      <c r="S64" s="8">
        <f t="shared" si="61"/>
        <v>10364</v>
      </c>
      <c r="T64" s="8">
        <f t="shared" si="61"/>
        <v>5943</v>
      </c>
      <c r="U64" s="8">
        <f t="shared" si="61"/>
        <v>7686</v>
      </c>
      <c r="V64" s="8">
        <f t="shared" si="61"/>
        <v>12624</v>
      </c>
      <c r="W64" s="8">
        <f t="shared" si="61"/>
        <v>13857</v>
      </c>
      <c r="X64" s="8">
        <f t="shared" si="61"/>
        <v>15326</v>
      </c>
      <c r="Y64" s="8">
        <f t="shared" si="61"/>
        <v>16232</v>
      </c>
      <c r="Z64" s="8">
        <f t="shared" si="61"/>
        <v>15267</v>
      </c>
      <c r="AA64" s="8">
        <f t="shared" si="61"/>
        <v>17522</v>
      </c>
      <c r="AB64" s="8">
        <f t="shared" si="61"/>
        <v>26720</v>
      </c>
      <c r="AC64" s="8">
        <f t="shared" si="61"/>
        <v>18849</v>
      </c>
      <c r="AD64" s="8">
        <f t="shared" si="61"/>
        <v>12218</v>
      </c>
      <c r="AE64" s="8">
        <f t="shared" si="61"/>
        <v>46296</v>
      </c>
      <c r="AF64" s="8">
        <f t="shared" si="61"/>
        <v>35059</v>
      </c>
      <c r="AG64" s="8">
        <f t="shared" ref="AG64:AH64" si="62">+(AG62+AG58)</f>
        <v>53451</v>
      </c>
      <c r="AH64" s="8">
        <f t="shared" si="62"/>
        <v>62271</v>
      </c>
      <c r="AJ64" s="25">
        <f>IFERROR((AH64/AC64)^(1/5)-1,"n/a ")</f>
        <v>0.26998767176635163</v>
      </c>
      <c r="AK64" s="25">
        <f>IFERROR((AH64/X64)^(1/10)-1,"n/a ")</f>
        <v>0.15049755983486857</v>
      </c>
      <c r="AL64" s="25">
        <f>IFERROR((AH64/S64)^(1/15)-1,"n/a ")</f>
        <v>0.12698264728546516</v>
      </c>
      <c r="AM64" s="25">
        <f>IFERROR((AH64/N64)^(1/20)-1,"n/a ")</f>
        <v>6.5309264579058279E-2</v>
      </c>
      <c r="AN64" s="25">
        <f>IFERROR(IF(AH64/I64&lt;1,"n/m ",(AH64/I64)^(1/25)-1),"n/a ")</f>
        <v>0.20543748219750047</v>
      </c>
    </row>
    <row r="65" spans="2:40">
      <c r="B65" s="19" t="s">
        <v>1750</v>
      </c>
      <c r="D65" s="23"/>
      <c r="E65" s="23"/>
      <c r="F65" s="23">
        <f t="shared" ref="F65:AF65" si="63">+IFERROR(IF(AVERAGE(E64:F64)*0.65/F18&lt;0,"n/a ",F18*0.65/AVERAGE(E64:F64)),"n/a ")</f>
        <v>0.84518460834492515</v>
      </c>
      <c r="G65" s="23">
        <f t="shared" si="63"/>
        <v>0.95766666666666667</v>
      </c>
      <c r="H65" s="23">
        <f t="shared" si="63"/>
        <v>1.2549217002237139</v>
      </c>
      <c r="I65" s="23">
        <f t="shared" si="63"/>
        <v>1.8670894996476393</v>
      </c>
      <c r="J65" s="23">
        <f t="shared" si="63"/>
        <v>7.2620689655172415</v>
      </c>
      <c r="K65" s="23">
        <f t="shared" si="63"/>
        <v>3.7487352445193931</v>
      </c>
      <c r="L65" s="23">
        <f t="shared" si="63"/>
        <v>2</v>
      </c>
      <c r="M65" s="23">
        <f t="shared" si="63"/>
        <v>0.93605236656596169</v>
      </c>
      <c r="N65" s="23">
        <f t="shared" si="63"/>
        <v>0.49728207979980538</v>
      </c>
      <c r="O65" s="23">
        <f t="shared" si="63"/>
        <v>0.45810156649327999</v>
      </c>
      <c r="P65" s="23">
        <f t="shared" si="63"/>
        <v>0.36805969127562721</v>
      </c>
      <c r="Q65" s="23">
        <f t="shared" si="63"/>
        <v>0.42217270005443658</v>
      </c>
      <c r="R65" s="23">
        <f t="shared" si="63"/>
        <v>0.39021164900156163</v>
      </c>
      <c r="S65" s="23">
        <f t="shared" si="63"/>
        <v>0.76957759076310117</v>
      </c>
      <c r="T65" s="23">
        <f t="shared" si="63"/>
        <v>1.3131538603053905</v>
      </c>
      <c r="U65" s="23">
        <f t="shared" si="63"/>
        <v>1.7587057010785825</v>
      </c>
      <c r="V65" s="23">
        <f t="shared" si="63"/>
        <v>1.4255194485475136</v>
      </c>
      <c r="W65" s="23">
        <f t="shared" si="63"/>
        <v>0.99965635738831615</v>
      </c>
      <c r="X65" s="23">
        <f t="shared" si="63"/>
        <v>1.0734811362779701</v>
      </c>
      <c r="Y65" s="23">
        <f t="shared" si="63"/>
        <v>1.1188700171113506</v>
      </c>
      <c r="Z65" s="23">
        <f t="shared" si="63"/>
        <v>1.153776310359059</v>
      </c>
      <c r="AA65" s="23">
        <f t="shared" si="63"/>
        <v>1.061124157491842</v>
      </c>
      <c r="AB65" s="23">
        <f t="shared" si="63"/>
        <v>0.81939785723972702</v>
      </c>
      <c r="AC65" s="23">
        <f t="shared" si="63"/>
        <v>0.80369549474423396</v>
      </c>
      <c r="AD65" s="23">
        <f t="shared" si="63"/>
        <v>1.1376830720700422</v>
      </c>
      <c r="AE65" s="23">
        <f t="shared" si="63"/>
        <v>0.65164405099634282</v>
      </c>
      <c r="AF65" s="23">
        <f t="shared" si="63"/>
        <v>0.56020404400467094</v>
      </c>
      <c r="AG65" s="23">
        <f t="shared" ref="AG65" si="64">+IFERROR(IF(AVERAGE(AF64:AG64)*0.65/AG18&lt;0,"n/a ",AG18*0.65/AVERAGE(AF64:AG64)),"n/a ")</f>
        <v>0.63096486272737551</v>
      </c>
      <c r="AH65" s="23">
        <f t="shared" ref="AH65" si="65">+IFERROR(IF(AVERAGE(AG64:AH64)*0.65/AH18&lt;0,"n/a ",AH18*0.65/AVERAGE(AG64:AH64)),"n/a ")</f>
        <v>0.59493181936019079</v>
      </c>
      <c r="AJ65" s="43"/>
      <c r="AK65" s="43"/>
      <c r="AL65" s="43"/>
      <c r="AM65" s="43"/>
      <c r="AN65" s="43"/>
    </row>
    <row r="66" spans="2:40">
      <c r="B66" s="19" t="s">
        <v>1751</v>
      </c>
      <c r="D66" s="23"/>
      <c r="E66" s="23"/>
      <c r="F66" s="23"/>
      <c r="G66" s="23"/>
      <c r="H66" s="23"/>
      <c r="I66" s="23">
        <f>+(I18-D18)*0.65/AVERAGE(D64:I64)</f>
        <v>1.3695909502832841</v>
      </c>
      <c r="J66" s="23">
        <f>+(J18-E18)*0.65/AVERAGE(E64:J64)</f>
        <v>2.4462066772359305</v>
      </c>
      <c r="K66" s="23">
        <f t="shared" ref="K66:N66" si="66">+(K18-F18)*0.65/AVERAGE(F64:K64)</f>
        <v>3.2258103241296516</v>
      </c>
      <c r="L66" s="23">
        <f t="shared" si="66"/>
        <v>3.1962919708029194</v>
      </c>
      <c r="M66" s="23">
        <f t="shared" si="66"/>
        <v>1.8893333333333335</v>
      </c>
      <c r="N66" s="23">
        <f t="shared" si="66"/>
        <v>1.0337293846426672</v>
      </c>
      <c r="O66" s="23">
        <f t="shared" ref="O66" si="67">+(O18-J18)*0.65/AVERAGE(J64:O64)</f>
        <v>0.68867592970984881</v>
      </c>
      <c r="P66" s="23">
        <f t="shared" ref="P66" si="68">+(P18-K18)*0.65/AVERAGE(K64:P64)</f>
        <v>0.19606080000000004</v>
      </c>
      <c r="Q66" s="23">
        <f t="shared" ref="Q66" si="69">+(Q18-L18)*0.65/AVERAGE(L64:Q64)</f>
        <v>0.13271197732290047</v>
      </c>
      <c r="R66" s="23">
        <f t="shared" ref="R66" si="70">+(R18-M18)*0.65/AVERAGE(M64:R64)</f>
        <v>-4.321231523738165E-2</v>
      </c>
      <c r="S66" s="23">
        <f t="shared" ref="S66" si="71">+(S18-N18)*0.65/AVERAGE(N64:S64)</f>
        <v>0.15890908674124335</v>
      </c>
      <c r="T66" s="23">
        <f t="shared" ref="T66" si="72">+(T18-O18)*0.65/AVERAGE(O64:T64)</f>
        <v>0.24507478081485304</v>
      </c>
      <c r="U66" s="23">
        <f t="shared" ref="U66" si="73">+(U18-P18)*0.65/AVERAGE(P64:U64)</f>
        <v>0.58634387293324275</v>
      </c>
      <c r="V66" s="23">
        <f t="shared" ref="V66" si="74">+(V18-Q18)*0.65/AVERAGE(Q64:V64)</f>
        <v>0.7439428006115657</v>
      </c>
      <c r="W66" s="23">
        <f t="shared" ref="W66" si="75">+(W18-R18)*0.65/AVERAGE(R64:W64)</f>
        <v>0.68281793314479122</v>
      </c>
      <c r="X66" s="23">
        <f t="shared" ref="X66" si="76">+(X18-S18)*0.65/AVERAGE(S64:X64)</f>
        <v>0.56526291793313077</v>
      </c>
      <c r="Y66" s="23">
        <f t="shared" ref="Y66" si="77">+(Y18-T18)*0.65/AVERAGE(T64:Y64)</f>
        <v>0.58166964335547255</v>
      </c>
      <c r="Z66" s="23">
        <f t="shared" ref="Z66" si="78">+(Z18-U18)*0.65/AVERAGE(U64:Z64)</f>
        <v>0.45831934018174636</v>
      </c>
      <c r="AA66" s="23">
        <f t="shared" ref="AA66" si="79">+(AA18-V18)*0.65/AVERAGE(V64:AA64)</f>
        <v>0.19292178623332015</v>
      </c>
      <c r="AB66" s="23">
        <f t="shared" ref="AB66" si="80">+(AB18-W18)*0.65/AVERAGE(W64:AB64)</f>
        <v>0.27962811177614272</v>
      </c>
      <c r="AC66" s="23">
        <f t="shared" ref="AC66" si="81">+(AC18-X18)*0.65/AVERAGE(X64:AC64)</f>
        <v>0.14455220350085521</v>
      </c>
      <c r="AD66" s="23">
        <f t="shared" ref="AD66" si="82">+(AD18-Y18)*0.65/AVERAGE(Y64:AD64)</f>
        <v>9.8588120740019476E-4</v>
      </c>
      <c r="AE66" s="23">
        <f t="shared" ref="AE66" si="83">+(AE18-Z18)*0.65/AVERAGE(Z64:AE64)</f>
        <v>3.917894090829388E-2</v>
      </c>
      <c r="AF66" s="23">
        <f t="shared" ref="AF66" si="84">+(AF18-AA18)*0.65/AVERAGE(AA64:AF64)</f>
        <v>0.2064711739774294</v>
      </c>
      <c r="AG66" s="23">
        <f t="shared" ref="AG66" si="85">+(AG18-AB18)*0.65/AVERAGE(AB64:AG64)</f>
        <v>0.30522760432622165</v>
      </c>
      <c r="AH66" s="23">
        <f t="shared" ref="AH66" si="86">+(AH18-AC18)*0.65/AVERAGE(AC64:AH64)</f>
        <v>0.42372054491899858</v>
      </c>
      <c r="AJ66" s="43"/>
      <c r="AK66" s="43"/>
      <c r="AL66" s="43"/>
      <c r="AM66" s="43"/>
      <c r="AN66" s="43"/>
    </row>
    <row r="67" spans="2:40">
      <c r="AJ67" s="43"/>
      <c r="AK67" s="43"/>
      <c r="AL67" s="43"/>
      <c r="AM67" s="43"/>
      <c r="AN67" s="43"/>
    </row>
    <row r="68" spans="2:40" ht="10.5">
      <c r="B68" s="5" t="s">
        <v>1752</v>
      </c>
      <c r="C68" s="4"/>
      <c r="AJ68" s="43"/>
      <c r="AK68" s="43"/>
      <c r="AL68" s="43"/>
      <c r="AM68" s="43"/>
      <c r="AN68" s="43"/>
    </row>
    <row r="69" spans="2:40">
      <c r="B69" s="3" t="s">
        <v>1753</v>
      </c>
      <c r="AJ69" s="43"/>
      <c r="AK69" s="43"/>
      <c r="AL69" s="43"/>
      <c r="AM69" s="43"/>
      <c r="AN69" s="43"/>
    </row>
    <row r="70" spans="2:40">
      <c r="B70" s="3"/>
      <c r="AJ70" s="43"/>
      <c r="AK70" s="43"/>
      <c r="AL70" s="43"/>
      <c r="AM70" s="43"/>
      <c r="AN70" s="43"/>
    </row>
    <row r="71" spans="2:40">
      <c r="B71" t="s">
        <v>1754</v>
      </c>
      <c r="D71" s="86">
        <f>_xll.ciqfunctions.udf.CIQ("MSFT", "IQ_LASTSALEPRICE", D7)</f>
        <v>1.0555559999999999</v>
      </c>
      <c r="E71" s="86">
        <f>_xll.ciqfunctions.udf.CIQ("MSFT", "IQ_LASTSALEPRICE", E7)</f>
        <v>1.4192709999999999</v>
      </c>
      <c r="F71" s="86">
        <f>_xll.ciqfunctions.udf.CIQ("MSFT", "IQ_LASTSALEPRICE", F7)</f>
        <v>2.1875</v>
      </c>
      <c r="G71" s="86">
        <f>_xll.ciqfunctions.udf.CIQ("MSFT", "IQ_LASTSALEPRICE", G7)</f>
        <v>2.75</v>
      </c>
      <c r="H71" s="86">
        <f>_xll.ciqfunctions.udf.CIQ("MSFT", "IQ_LASTSALEPRICE", H7)</f>
        <v>3.2265600000000001</v>
      </c>
      <c r="I71" s="86">
        <f>_xll.ciqfunctions.udf.CIQ("MSFT", "IQ_LASTSALEPRICE", I7)</f>
        <v>5.6484399999999999</v>
      </c>
      <c r="J71" s="86">
        <f>_xll.ciqfunctions.udf.CIQ("MSFT", "IQ_LASTSALEPRICE", J7)</f>
        <v>7.5078100000000001</v>
      </c>
      <c r="K71" s="86">
        <f>_xll.ciqfunctions.udf.CIQ("MSFT", "IQ_LASTSALEPRICE", K7)</f>
        <v>15.79688</v>
      </c>
      <c r="L71" s="86">
        <f>_xll.ciqfunctions.udf.CIQ("MSFT", "IQ_LASTSALEPRICE", L7)</f>
        <v>27.09375</v>
      </c>
      <c r="M71" s="86">
        <f>_xll.ciqfunctions.udf.CIQ("MSFT", "IQ_LASTSALEPRICE", M7)</f>
        <v>45.09375</v>
      </c>
      <c r="N71" s="86">
        <f>_xll.ciqfunctions.udf.CIQ("MSFT", "IQ_LASTSALEPRICE", N7)</f>
        <v>40</v>
      </c>
      <c r="O71" s="86">
        <f>_xll.ciqfunctions.udf.CIQ("MSFT", "IQ_LASTSALEPRICE", O7)</f>
        <v>36.5</v>
      </c>
      <c r="P71" s="86">
        <f>_xll.ciqfunctions.udf.CIQ("MSFT", "IQ_LASTSALEPRICE", P7)</f>
        <v>27.35</v>
      </c>
      <c r="Q71" s="86">
        <f>_xll.ciqfunctions.udf.CIQ("MSFT", "IQ_LASTSALEPRICE", Q7)</f>
        <v>25.64</v>
      </c>
      <c r="R71" s="86">
        <f>_xll.ciqfunctions.udf.CIQ("MSFT", "IQ_LASTSALEPRICE", R7)</f>
        <v>28.56</v>
      </c>
      <c r="S71" s="86">
        <f>_xll.ciqfunctions.udf.CIQ("MSFT", "IQ_LASTSALEPRICE", S7)</f>
        <v>24.84</v>
      </c>
      <c r="T71" s="86">
        <f>_xll.ciqfunctions.udf.CIQ("MSFT", "IQ_LASTSALEPRICE", T7)</f>
        <v>23.3</v>
      </c>
      <c r="U71" s="86">
        <f>_xll.ciqfunctions.udf.CIQ("MSFT", "IQ_LASTSALEPRICE", U7)</f>
        <v>29.47</v>
      </c>
      <c r="V71" s="86">
        <f>_xll.ciqfunctions.udf.CIQ("MSFT", "IQ_LASTSALEPRICE", V7)</f>
        <v>27.51</v>
      </c>
      <c r="W71" s="86">
        <f>_xll.ciqfunctions.udf.CIQ("MSFT", "IQ_LASTSALEPRICE", W7)</f>
        <v>23.77</v>
      </c>
      <c r="X71" s="86">
        <f>_xll.ciqfunctions.udf.CIQ("MSFT", "IQ_LASTSALEPRICE", X7)</f>
        <v>23.01</v>
      </c>
      <c r="Y71" s="86">
        <f>_xll.ciqfunctions.udf.CIQ("MSFT", "IQ_LASTSALEPRICE", Y7)</f>
        <v>26</v>
      </c>
      <c r="Z71" s="86">
        <f>_xll.ciqfunctions.udf.CIQ("MSFT", "IQ_LASTSALEPRICE", Z7)</f>
        <v>30.59</v>
      </c>
      <c r="AA71" s="86">
        <f>_xll.ciqfunctions.udf.CIQ("MSFT", "IQ_LASTSALEPRICE", AA7)</f>
        <v>34.545000000000002</v>
      </c>
      <c r="AB71" s="86">
        <f>_xll.ciqfunctions.udf.CIQ("MSFT", "IQ_LASTSALEPRICE", AB7)</f>
        <v>41.7</v>
      </c>
      <c r="AC71" s="86">
        <f>_xll.ciqfunctions.udf.CIQ("MSFT", "IQ_LASTSALEPRICE", AC7)</f>
        <v>44.15</v>
      </c>
      <c r="AD71" s="86">
        <f>_xll.ciqfunctions.udf.CIQ("MSFT", "IQ_LASTSALEPRICE", AD7)</f>
        <v>51.17</v>
      </c>
      <c r="AE71" s="86">
        <f>_xll.ciqfunctions.udf.CIQ("MSFT", "IQ_LASTSALEPRICE", AE7)</f>
        <v>68.930000000000007</v>
      </c>
      <c r="AF71" s="86">
        <f>_xll.ciqfunctions.udf.CIQ("MSFT", "IQ_LASTSALEPRICE", AF7)</f>
        <v>98.61</v>
      </c>
      <c r="AG71" s="86">
        <f>_xll.ciqfunctions.udf.CIQ("MSFT", "IQ_LASTSALEPRICE", AG7)</f>
        <v>133.96</v>
      </c>
      <c r="AH71" s="86">
        <f>_xll.ciqfunctions.udf.CIQ("MSFT", "IQ_LASTSALEPRICE", AH7)</f>
        <v>203.51</v>
      </c>
      <c r="AJ71" s="25">
        <f>IFERROR((AH71/AC71)^(1/5)-1,"n/a ")</f>
        <v>0.35747240299640914</v>
      </c>
      <c r="AK71" s="25">
        <f>IFERROR((AH71/X71)^(1/10)-1,"n/a ")</f>
        <v>0.24356048494587657</v>
      </c>
      <c r="AL71" s="25">
        <f>IFERROR((AH71/S71)^(1/15)-1,"n/a ")</f>
        <v>0.15052381017061456</v>
      </c>
      <c r="AM71" s="25">
        <f>IFERROR((AH71/N71)^(1/20)-1,"n/a ")</f>
        <v>8.474158105383478E-2</v>
      </c>
      <c r="AN71" s="25">
        <f>IFERROR(IF(AH71/I71&lt;1,"n/m ",(AH71/I71)^(1/25)-1),"n/a ")</f>
        <v>0.1541607191111829</v>
      </c>
    </row>
    <row r="72" spans="2:40" ht="11.45">
      <c r="B72" s="12" t="s">
        <v>1755</v>
      </c>
      <c r="D72" s="30">
        <f t="shared" ref="D72:AE72" si="87">+D26</f>
        <v>8597.6640000000007</v>
      </c>
      <c r="E72" s="30">
        <f t="shared" si="87"/>
        <v>9024</v>
      </c>
      <c r="F72" s="30">
        <f t="shared" si="87"/>
        <v>9408</v>
      </c>
      <c r="G72" s="30">
        <f t="shared" si="87"/>
        <v>9696</v>
      </c>
      <c r="H72" s="30">
        <f t="shared" si="87"/>
        <v>9760</v>
      </c>
      <c r="I72" s="30">
        <f t="shared" si="87"/>
        <v>10032</v>
      </c>
      <c r="J72" s="30">
        <f t="shared" si="87"/>
        <v>10244</v>
      </c>
      <c r="K72" s="30">
        <f t="shared" si="87"/>
        <v>10488</v>
      </c>
      <c r="L72" s="30">
        <f t="shared" si="87"/>
        <v>10724</v>
      </c>
      <c r="M72" s="30">
        <f t="shared" si="87"/>
        <v>10964</v>
      </c>
      <c r="N72" s="30">
        <f t="shared" si="87"/>
        <v>11072</v>
      </c>
      <c r="O72" s="30">
        <f t="shared" si="87"/>
        <v>11148</v>
      </c>
      <c r="P72" s="30">
        <f t="shared" si="87"/>
        <v>11106</v>
      </c>
      <c r="Q72" s="30">
        <f t="shared" si="87"/>
        <v>10882</v>
      </c>
      <c r="R72" s="30">
        <f t="shared" si="87"/>
        <v>10894</v>
      </c>
      <c r="S72" s="30">
        <f t="shared" si="87"/>
        <v>10906</v>
      </c>
      <c r="T72" s="30">
        <f t="shared" si="87"/>
        <v>10531</v>
      </c>
      <c r="U72" s="30">
        <f t="shared" si="87"/>
        <v>9886</v>
      </c>
      <c r="V72" s="30">
        <f t="shared" si="87"/>
        <v>9470</v>
      </c>
      <c r="W72" s="30">
        <f t="shared" si="87"/>
        <v>8996</v>
      </c>
      <c r="X72" s="30">
        <f t="shared" si="87"/>
        <v>8927</v>
      </c>
      <c r="Y72" s="30">
        <f t="shared" si="87"/>
        <v>8593</v>
      </c>
      <c r="Z72" s="30">
        <f t="shared" si="87"/>
        <v>8506</v>
      </c>
      <c r="AA72" s="30">
        <f t="shared" si="87"/>
        <v>8470</v>
      </c>
      <c r="AB72" s="30">
        <f t="shared" si="87"/>
        <v>8399</v>
      </c>
      <c r="AC72" s="30">
        <f t="shared" si="87"/>
        <v>8254</v>
      </c>
      <c r="AD72" s="30">
        <f t="shared" si="87"/>
        <v>8013</v>
      </c>
      <c r="AE72" s="30">
        <f t="shared" si="87"/>
        <v>7832</v>
      </c>
      <c r="AF72" s="30">
        <f>+AF26</f>
        <v>7769.5</v>
      </c>
      <c r="AG72" s="30">
        <f t="shared" ref="AG72:AH72" si="88">+AG26</f>
        <v>7753</v>
      </c>
      <c r="AH72" s="30">
        <f t="shared" si="88"/>
        <v>7683</v>
      </c>
      <c r="AJ72" s="25">
        <f>IFERROR((AH72/AC72)^(1/5)-1,"n/a ")</f>
        <v>-1.4235273637258405E-2</v>
      </c>
      <c r="AK72" s="25">
        <f>IFERROR((AH72/X72)^(1/10)-1,"n/a ")</f>
        <v>-1.4894985346196599E-2</v>
      </c>
      <c r="AL72" s="25">
        <f>IFERROR((AH72/S72)^(1/15)-1,"n/a ")</f>
        <v>-2.308295006564709E-2</v>
      </c>
      <c r="AM72" s="25">
        <f>IFERROR((AH72/N72)^(1/20)-1,"n/a ")</f>
        <v>-1.8104572052152657E-2</v>
      </c>
      <c r="AN72" s="25" t="str">
        <f>IFERROR(IF(AH72/I72&lt;1,"n/m ",(AH72/I72)^(1/25)-1),"n/a ")</f>
        <v xml:space="preserve">n/m </v>
      </c>
    </row>
    <row r="73" spans="2:40">
      <c r="B73" t="s">
        <v>1756</v>
      </c>
      <c r="D73" s="87">
        <f t="shared" ref="D73:AF73" si="89">IFERROR(D71*D72,"n/a")</f>
        <v>9075.315821184</v>
      </c>
      <c r="E73" s="87">
        <f t="shared" si="89"/>
        <v>12807.501504</v>
      </c>
      <c r="F73" s="87">
        <f t="shared" si="89"/>
        <v>20580</v>
      </c>
      <c r="G73" s="87">
        <f t="shared" si="89"/>
        <v>26664</v>
      </c>
      <c r="H73" s="87">
        <f t="shared" si="89"/>
        <v>31491.225600000002</v>
      </c>
      <c r="I73" s="87">
        <f t="shared" si="89"/>
        <v>56665.150079999999</v>
      </c>
      <c r="J73" s="87">
        <f t="shared" si="89"/>
        <v>76910.005640000003</v>
      </c>
      <c r="K73" s="87">
        <f t="shared" si="89"/>
        <v>165677.67744</v>
      </c>
      <c r="L73" s="87">
        <f t="shared" si="89"/>
        <v>290553.375</v>
      </c>
      <c r="M73" s="87">
        <f t="shared" si="89"/>
        <v>494407.875</v>
      </c>
      <c r="N73" s="87">
        <f t="shared" si="89"/>
        <v>442880</v>
      </c>
      <c r="O73" s="87">
        <f t="shared" si="89"/>
        <v>406902</v>
      </c>
      <c r="P73" s="87">
        <f t="shared" si="89"/>
        <v>303749.10000000003</v>
      </c>
      <c r="Q73" s="87">
        <f t="shared" si="89"/>
        <v>279014.48</v>
      </c>
      <c r="R73" s="87">
        <f t="shared" si="89"/>
        <v>311132.64</v>
      </c>
      <c r="S73" s="87">
        <f t="shared" si="89"/>
        <v>270905.03999999998</v>
      </c>
      <c r="T73" s="87">
        <f t="shared" si="89"/>
        <v>245372.30000000002</v>
      </c>
      <c r="U73" s="87">
        <f t="shared" si="89"/>
        <v>291340.42</v>
      </c>
      <c r="V73" s="87">
        <f t="shared" si="89"/>
        <v>260519.7</v>
      </c>
      <c r="W73" s="87">
        <f t="shared" si="89"/>
        <v>213834.91999999998</v>
      </c>
      <c r="X73" s="87">
        <f t="shared" si="89"/>
        <v>205410.27000000002</v>
      </c>
      <c r="Y73" s="87">
        <f t="shared" si="89"/>
        <v>223418</v>
      </c>
      <c r="Z73" s="87">
        <f t="shared" si="89"/>
        <v>260198.54</v>
      </c>
      <c r="AA73" s="87">
        <f t="shared" si="89"/>
        <v>292596.15000000002</v>
      </c>
      <c r="AB73" s="87">
        <f t="shared" si="89"/>
        <v>350238.30000000005</v>
      </c>
      <c r="AC73" s="87">
        <f t="shared" si="89"/>
        <v>364414.1</v>
      </c>
      <c r="AD73" s="87">
        <f t="shared" si="89"/>
        <v>410025.21</v>
      </c>
      <c r="AE73" s="87">
        <f t="shared" si="89"/>
        <v>539859.76</v>
      </c>
      <c r="AF73" s="87">
        <f t="shared" si="89"/>
        <v>766150.39500000002</v>
      </c>
      <c r="AG73" s="87">
        <f t="shared" ref="AG73:AH73" si="90">IFERROR(AG71*AG72,"n/a")</f>
        <v>1038591.88</v>
      </c>
      <c r="AH73" s="87">
        <f t="shared" si="90"/>
        <v>1563567.3299999998</v>
      </c>
      <c r="AJ73" s="25">
        <f>IFERROR((AH73/AC73)^(1/5)-1,"n/a ")</f>
        <v>0.33814841188472844</v>
      </c>
      <c r="AK73" s="25">
        <f>IFERROR((AH73/X73)^(1/10)-1,"n/a ")</f>
        <v>0.22503766974549833</v>
      </c>
      <c r="AL73" s="25">
        <f>IFERROR((AH73/S73)^(1/15)-1,"n/a ")</f>
        <v>0.12396632651110817</v>
      </c>
      <c r="AM73" s="25">
        <f>IFERROR((AH73/N73)^(1/20)-1,"n/a ")</f>
        <v>6.5102798941679696E-2</v>
      </c>
      <c r="AN73" s="25">
        <f>IFERROR(IF(AH73/I73&lt;1,"n/m ",(AH73/I73)^(1/25)-1),"n/a ")</f>
        <v>0.14191038273839518</v>
      </c>
    </row>
    <row r="74" spans="2:40" ht="11.45">
      <c r="B74" s="12" t="s">
        <v>146</v>
      </c>
      <c r="D74" s="26">
        <f t="shared" ref="D74:AF74" si="91">+D58</f>
        <v>0</v>
      </c>
      <c r="E74" s="26">
        <f t="shared" si="91"/>
        <v>-666.85799999999995</v>
      </c>
      <c r="F74" s="26">
        <f t="shared" si="91"/>
        <v>-1345</v>
      </c>
      <c r="G74" s="26">
        <f t="shared" si="91"/>
        <v>-2290</v>
      </c>
      <c r="H74" s="26">
        <f t="shared" si="91"/>
        <v>-3614</v>
      </c>
      <c r="I74" s="26">
        <f t="shared" si="91"/>
        <v>-4750</v>
      </c>
      <c r="J74" s="26">
        <f t="shared" si="91"/>
        <v>-6940</v>
      </c>
      <c r="K74" s="26">
        <f t="shared" si="91"/>
        <v>-8966</v>
      </c>
      <c r="L74" s="26">
        <f t="shared" si="91"/>
        <v>-13927</v>
      </c>
      <c r="M74" s="26">
        <f t="shared" si="91"/>
        <v>-17236</v>
      </c>
      <c r="N74" s="26">
        <f t="shared" si="91"/>
        <v>-23798</v>
      </c>
      <c r="O74" s="26">
        <f t="shared" si="91"/>
        <v>-31600</v>
      </c>
      <c r="P74" s="26">
        <f t="shared" si="91"/>
        <v>-38652</v>
      </c>
      <c r="Q74" s="26">
        <f t="shared" si="91"/>
        <v>-49048</v>
      </c>
      <c r="R74" s="26">
        <f t="shared" si="91"/>
        <v>-60592</v>
      </c>
      <c r="S74" s="26">
        <f t="shared" si="91"/>
        <v>-37751</v>
      </c>
      <c r="T74" s="26">
        <f t="shared" si="91"/>
        <v>-34161</v>
      </c>
      <c r="U74" s="26">
        <f t="shared" si="91"/>
        <v>-23411</v>
      </c>
      <c r="V74" s="26">
        <f t="shared" si="91"/>
        <v>-23662</v>
      </c>
      <c r="W74" s="26">
        <f t="shared" si="91"/>
        <v>-25701</v>
      </c>
      <c r="X74" s="26">
        <f t="shared" si="91"/>
        <v>-30849</v>
      </c>
      <c r="Y74" s="26">
        <f t="shared" si="91"/>
        <v>-40851</v>
      </c>
      <c r="Z74" s="26">
        <f t="shared" si="91"/>
        <v>-51096</v>
      </c>
      <c r="AA74" s="26">
        <f t="shared" si="91"/>
        <v>-61422</v>
      </c>
      <c r="AB74" s="26">
        <f t="shared" si="91"/>
        <v>-63064</v>
      </c>
      <c r="AC74" s="26">
        <f t="shared" si="91"/>
        <v>-61234</v>
      </c>
      <c r="AD74" s="26">
        <f t="shared" si="91"/>
        <v>-59779</v>
      </c>
      <c r="AE74" s="26">
        <f t="shared" si="91"/>
        <v>-41415</v>
      </c>
      <c r="AF74" s="26">
        <f t="shared" si="91"/>
        <v>-47659</v>
      </c>
      <c r="AG74" s="26">
        <f t="shared" ref="AG74:AH74" si="92">+AG58</f>
        <v>-48879</v>
      </c>
      <c r="AH74" s="26">
        <f t="shared" si="92"/>
        <v>-56033</v>
      </c>
      <c r="AJ74" s="43"/>
      <c r="AK74" s="43"/>
      <c r="AL74" s="43"/>
      <c r="AM74" s="43"/>
      <c r="AN74" s="43"/>
    </row>
    <row r="75" spans="2:40">
      <c r="B75" t="s">
        <v>166</v>
      </c>
      <c r="D75" s="87">
        <f t="shared" ref="D75:AF75" si="93">+IFERROR(D73+D74,"n/a")</f>
        <v>9075.315821184</v>
      </c>
      <c r="E75" s="87">
        <f t="shared" si="93"/>
        <v>12140.643504</v>
      </c>
      <c r="F75" s="87">
        <f t="shared" si="93"/>
        <v>19235</v>
      </c>
      <c r="G75" s="87">
        <f t="shared" si="93"/>
        <v>24374</v>
      </c>
      <c r="H75" s="87">
        <f t="shared" si="93"/>
        <v>27877.225600000002</v>
      </c>
      <c r="I75" s="87">
        <f t="shared" si="93"/>
        <v>51915.150079999999</v>
      </c>
      <c r="J75" s="87">
        <f t="shared" si="93"/>
        <v>69970.005640000003</v>
      </c>
      <c r="K75" s="87">
        <f t="shared" si="93"/>
        <v>156711.67744</v>
      </c>
      <c r="L75" s="87">
        <f t="shared" si="93"/>
        <v>276626.375</v>
      </c>
      <c r="M75" s="87">
        <f t="shared" si="93"/>
        <v>477171.875</v>
      </c>
      <c r="N75" s="87">
        <f t="shared" si="93"/>
        <v>419082</v>
      </c>
      <c r="O75" s="87">
        <f t="shared" si="93"/>
        <v>375302</v>
      </c>
      <c r="P75" s="87">
        <f t="shared" si="93"/>
        <v>265097.10000000003</v>
      </c>
      <c r="Q75" s="87">
        <f t="shared" si="93"/>
        <v>229966.47999999998</v>
      </c>
      <c r="R75" s="87">
        <f t="shared" si="93"/>
        <v>250540.64</v>
      </c>
      <c r="S75" s="87">
        <f t="shared" si="93"/>
        <v>233154.03999999998</v>
      </c>
      <c r="T75" s="87">
        <f t="shared" si="93"/>
        <v>211211.30000000002</v>
      </c>
      <c r="U75" s="87">
        <f t="shared" si="93"/>
        <v>267929.42</v>
      </c>
      <c r="V75" s="87">
        <f t="shared" si="93"/>
        <v>236857.7</v>
      </c>
      <c r="W75" s="87">
        <f t="shared" si="93"/>
        <v>188133.91999999998</v>
      </c>
      <c r="X75" s="87">
        <f t="shared" si="93"/>
        <v>174561.27000000002</v>
      </c>
      <c r="Y75" s="87">
        <f t="shared" si="93"/>
        <v>182567</v>
      </c>
      <c r="Z75" s="87">
        <f t="shared" si="93"/>
        <v>209102.54</v>
      </c>
      <c r="AA75" s="87">
        <f t="shared" si="93"/>
        <v>231174.15000000002</v>
      </c>
      <c r="AB75" s="87">
        <f t="shared" si="93"/>
        <v>287174.30000000005</v>
      </c>
      <c r="AC75" s="87">
        <f t="shared" si="93"/>
        <v>303180.09999999998</v>
      </c>
      <c r="AD75" s="87">
        <f t="shared" si="93"/>
        <v>350246.21</v>
      </c>
      <c r="AE75" s="87">
        <f t="shared" si="93"/>
        <v>498444.76</v>
      </c>
      <c r="AF75" s="87">
        <f t="shared" si="93"/>
        <v>718491.39500000002</v>
      </c>
      <c r="AG75" s="87">
        <f t="shared" ref="AG75:AH75" si="94">+IFERROR(AG73+AG74,"n/a")</f>
        <v>989712.88</v>
      </c>
      <c r="AH75" s="87">
        <f t="shared" si="94"/>
        <v>1507534.3299999998</v>
      </c>
      <c r="AJ75" s="25">
        <f>IFERROR((AH75/AC75)^(1/5)-1,"n/a ")</f>
        <v>0.37820335814577244</v>
      </c>
      <c r="AK75" s="25">
        <f>IFERROR((AH75/X75)^(1/10)-1,"n/a ")</f>
        <v>0.24060044265635927</v>
      </c>
      <c r="AL75" s="25">
        <f>IFERROR((AH75/S75)^(1/15)-1,"n/a ")</f>
        <v>0.13250888446067277</v>
      </c>
      <c r="AM75" s="25">
        <f>IFERROR((AH75/N75)^(1/20)-1,"n/a ")</f>
        <v>6.6101145888977753E-2</v>
      </c>
      <c r="AN75" s="25">
        <f>IFERROR(IF(AH75/I75&lt;1,"n/m ",(AH75/I75)^(1/25)-1),"n/a ")</f>
        <v>0.14424473786832692</v>
      </c>
    </row>
    <row r="76" spans="2:40">
      <c r="AJ76" s="43"/>
      <c r="AK76" s="43"/>
      <c r="AL76" s="43"/>
      <c r="AM76" s="43"/>
      <c r="AN76" s="43"/>
    </row>
    <row r="77" spans="2:40">
      <c r="B77" t="s">
        <v>1757</v>
      </c>
      <c r="AJ77" s="43"/>
      <c r="AK77" s="43"/>
      <c r="AL77" s="43"/>
      <c r="AM77" s="43"/>
      <c r="AN77" s="43"/>
    </row>
    <row r="78" spans="2:40">
      <c r="B78" s="12" t="s">
        <v>1356</v>
      </c>
      <c r="D78" s="88">
        <f t="shared" ref="D78:AE78" si="95">+IFERROR(D75/D31,"n/a ")</f>
        <v>20.64655202336904</v>
      </c>
      <c r="E78" s="88">
        <f t="shared" si="95"/>
        <v>16.722649454545454</v>
      </c>
      <c r="F78" s="88">
        <f t="shared" si="95"/>
        <v>17.360108303249099</v>
      </c>
      <c r="G78" s="88">
        <f t="shared" si="95"/>
        <v>16.502369668246445</v>
      </c>
      <c r="H78" s="88">
        <f t="shared" si="95"/>
        <v>14.201337544574631</v>
      </c>
      <c r="I78" s="88">
        <f t="shared" si="95"/>
        <v>22.50331602947551</v>
      </c>
      <c r="J78" s="88">
        <f t="shared" si="95"/>
        <v>19.665544024732998</v>
      </c>
      <c r="K78" s="88">
        <f t="shared" si="95"/>
        <v>27.556124044311588</v>
      </c>
      <c r="L78" s="88">
        <f t="shared" si="95"/>
        <v>34.73460258663988</v>
      </c>
      <c r="M78" s="88">
        <f t="shared" si="95"/>
        <v>43.633126828822242</v>
      </c>
      <c r="N78" s="88">
        <f t="shared" si="95"/>
        <v>34.194027415143601</v>
      </c>
      <c r="O78" s="88">
        <f t="shared" si="95"/>
        <v>28.311858780929391</v>
      </c>
      <c r="P78" s="88">
        <f t="shared" si="95"/>
        <v>28.783615635179157</v>
      </c>
      <c r="Q78" s="88">
        <f t="shared" si="95"/>
        <v>21.024545620771619</v>
      </c>
      <c r="R78" s="88">
        <f t="shared" si="95"/>
        <v>24.514739726027397</v>
      </c>
      <c r="S78" s="88">
        <f t="shared" si="95"/>
        <v>15.124159314997405</v>
      </c>
      <c r="T78" s="88">
        <f t="shared" si="95"/>
        <v>12.156046043165469</v>
      </c>
      <c r="U78" s="88">
        <f t="shared" si="95"/>
        <v>13.478691015192675</v>
      </c>
      <c r="V78" s="88">
        <f t="shared" si="95"/>
        <v>9.7364122168783656</v>
      </c>
      <c r="W78" s="88">
        <f t="shared" si="95"/>
        <v>8.2064959651035974</v>
      </c>
      <c r="X78" s="88">
        <f t="shared" si="95"/>
        <v>6.520536027791267</v>
      </c>
      <c r="Y78" s="88">
        <f t="shared" si="95"/>
        <v>6.1004110001002436</v>
      </c>
      <c r="Z78" s="88">
        <f t="shared" si="95"/>
        <v>6.7620392588041263</v>
      </c>
      <c r="AA78" s="88">
        <f t="shared" si="95"/>
        <v>7.5747616239064195</v>
      </c>
      <c r="AB78" s="88">
        <f t="shared" si="95"/>
        <v>8.6764849839869491</v>
      </c>
      <c r="AC78" s="88">
        <f t="shared" si="95"/>
        <v>8.8833572621524208</v>
      </c>
      <c r="AD78" s="88">
        <f t="shared" si="95"/>
        <v>10.359249038745935</v>
      </c>
      <c r="AE78" s="88">
        <f t="shared" si="95"/>
        <v>13.079449998687974</v>
      </c>
      <c r="AF78" s="88">
        <f t="shared" ref="AF78:AH78" si="96">+IFERROR(AF75/AF31,"n/a ")</f>
        <v>15.854087579161058</v>
      </c>
      <c r="AG78" s="88">
        <f t="shared" si="96"/>
        <v>18.113008180670192</v>
      </c>
      <c r="AH78" s="88">
        <f t="shared" si="96"/>
        <v>22.926535320507945</v>
      </c>
      <c r="AJ78" s="25">
        <f>IFERROR((AH78/AC78)^(1/5)-1,"n/a ")</f>
        <v>0.20879390085856708</v>
      </c>
      <c r="AK78" s="25">
        <f>IFERROR((AH78/X78)^(1/10)-1,"n/a ")</f>
        <v>0.1339803081344757</v>
      </c>
      <c r="AL78" s="25">
        <f>IFERROR((AH78/S78)^(1/15)-1,"n/a ")</f>
        <v>2.8121589570007099E-2</v>
      </c>
      <c r="AM78" s="25">
        <f>IFERROR((AH78/N78)^(1/20)-1,"n/a ")</f>
        <v>-1.9789368416191611E-2</v>
      </c>
      <c r="AN78" s="25">
        <f t="shared" ref="AN78" si="97">IFERROR(IF(AH78/I78&lt;0,"n/m ",(AH78/I78)^(1/25)-1),"n/a ")</f>
        <v>7.4557019586074524E-4</v>
      </c>
    </row>
    <row r="79" spans="2:40">
      <c r="B79" s="12" t="s">
        <v>1358</v>
      </c>
      <c r="D79" s="88">
        <f t="shared" ref="D79:AE79" si="98">+IFERROR(IF(D73/D24&lt;0,"n/a ",D73/D24),"n/a ")</f>
        <v>34.006937627953448</v>
      </c>
      <c r="E79" s="88">
        <f t="shared" si="98"/>
        <v>29.364900846039209</v>
      </c>
      <c r="F79" s="88">
        <f t="shared" si="98"/>
        <v>30.414542230104185</v>
      </c>
      <c r="G79" s="88">
        <f t="shared" si="98"/>
        <v>29.280184483610604</v>
      </c>
      <c r="H79" s="88">
        <f t="shared" si="98"/>
        <v>26.737328578706059</v>
      </c>
      <c r="I79" s="88">
        <f t="shared" si="98"/>
        <v>40.229420382663015</v>
      </c>
      <c r="J79" s="88">
        <f t="shared" si="98"/>
        <v>35.017190174607869</v>
      </c>
      <c r="K79" s="88">
        <f t="shared" si="98"/>
        <v>47.965512706638485</v>
      </c>
      <c r="L79" s="88">
        <f t="shared" si="98"/>
        <v>60.300174329919365</v>
      </c>
      <c r="M79" s="88">
        <f t="shared" si="98"/>
        <v>63.966655453704476</v>
      </c>
      <c r="N79" s="88">
        <f t="shared" si="98"/>
        <v>47.730567156136331</v>
      </c>
      <c r="O79" s="88">
        <f t="shared" si="98"/>
        <v>54.31696979809778</v>
      </c>
      <c r="P79" s="88">
        <f t="shared" si="98"/>
        <v>59.340483516483523</v>
      </c>
      <c r="Q79" s="88">
        <f t="shared" si="98"/>
        <v>38.832372548746704</v>
      </c>
      <c r="R79" s="88">
        <f t="shared" si="98"/>
        <v>39.247753361757951</v>
      </c>
      <c r="S79" s="88">
        <f t="shared" si="98"/>
        <v>25.06476934179604</v>
      </c>
      <c r="T79" s="88">
        <f t="shared" si="98"/>
        <v>20.671111934828946</v>
      </c>
      <c r="U79" s="88">
        <f t="shared" si="98"/>
        <v>22.29819565042688</v>
      </c>
      <c r="V79" s="88">
        <f t="shared" si="98"/>
        <v>16.830416497083164</v>
      </c>
      <c r="W79" s="88">
        <f t="shared" si="98"/>
        <v>16.597386610160939</v>
      </c>
      <c r="X79" s="88">
        <f t="shared" si="98"/>
        <v>12.634062287610444</v>
      </c>
      <c r="Y79" s="88">
        <f t="shared" si="98"/>
        <v>12.244665312956432</v>
      </c>
      <c r="Z79" s="88">
        <f t="shared" si="98"/>
        <v>14.065546245743013</v>
      </c>
      <c r="AA79" s="88">
        <f t="shared" si="98"/>
        <v>16.640097703568056</v>
      </c>
      <c r="AB79" s="88">
        <f t="shared" si="98"/>
        <v>19.280357599962567</v>
      </c>
      <c r="AC79" s="88">
        <f t="shared" si="98"/>
        <v>19.659060134759692</v>
      </c>
      <c r="AD79" s="88">
        <f t="shared" si="98"/>
        <v>23.582489640159089</v>
      </c>
      <c r="AE79" s="88">
        <f t="shared" si="98"/>
        <v>27.495397653625876</v>
      </c>
      <c r="AF79" s="88">
        <f t="shared" ref="AF79:AH79" si="99">+IFERROR(IF(AF73/AF24&lt;0,"n/a ",AF73/AF24),"n/a ")</f>
        <v>30.007692172114773</v>
      </c>
      <c r="AG79" s="88">
        <f t="shared" si="99"/>
        <v>30.092319763385476</v>
      </c>
      <c r="AH79" s="88">
        <f t="shared" si="99"/>
        <v>37.318032127210458</v>
      </c>
      <c r="AJ79" s="25">
        <f>IFERROR((AH79/AC79)^(1/5)-1,"n/a ")</f>
        <v>0.13676631671985118</v>
      </c>
      <c r="AK79" s="25">
        <f>IFERROR((AH79/X79)^(1/10)-1,"n/a ")</f>
        <v>0.11439093856315496</v>
      </c>
      <c r="AL79" s="25">
        <f>IFERROR((AH79/S79)^(1/15)-1,"n/a ")</f>
        <v>2.6889393428928043E-2</v>
      </c>
      <c r="AM79" s="25">
        <f>IFERROR((AH79/N79)^(1/20)-1,"n/a ")</f>
        <v>-1.2229374322478059E-2</v>
      </c>
      <c r="AN79" s="25">
        <f>IFERROR(IF(AH79/I79&lt;0,"n/m ",(AH79/I79)^(1/25)-1),"n/a ")</f>
        <v>-3.000367210270638E-3</v>
      </c>
    </row>
    <row r="80" spans="2:40">
      <c r="B80" s="12" t="s">
        <v>1758</v>
      </c>
      <c r="D80" s="88">
        <f t="shared" ref="D80:AE80" si="100">+IFERROR(IF(D73/D41&lt;0,"n/a ",D73/D41),"n/a ")</f>
        <v>58.514711802886779</v>
      </c>
      <c r="E80" s="88">
        <f t="shared" si="100"/>
        <v>51.611934330042317</v>
      </c>
      <c r="F80" s="88">
        <f t="shared" si="100"/>
        <v>43.634050673168652</v>
      </c>
      <c r="G80" s="88">
        <f t="shared" si="100"/>
        <v>32.29455580451765</v>
      </c>
      <c r="H80" s="88">
        <f t="shared" si="100"/>
        <v>27.701641097818435</v>
      </c>
      <c r="I80" s="88">
        <f t="shared" si="100"/>
        <v>47.917762530125572</v>
      </c>
      <c r="J80" s="88">
        <f t="shared" si="100"/>
        <v>35.241829055834302</v>
      </c>
      <c r="K80" s="88">
        <f t="shared" si="100"/>
        <v>47.17339410609037</v>
      </c>
      <c r="L80" s="88">
        <f t="shared" si="100"/>
        <v>56.021628474197179</v>
      </c>
      <c r="M80" s="88">
        <f t="shared" si="100"/>
        <v>61.248598576587391</v>
      </c>
      <c r="N80" s="88">
        <f t="shared" si="100"/>
        <v>45.8954895204539</v>
      </c>
      <c r="O80" s="88">
        <f t="shared" si="100"/>
        <v>51.348960469445061</v>
      </c>
      <c r="P80" s="88">
        <f t="shared" si="100"/>
        <v>57.454787913179182</v>
      </c>
      <c r="Q80" s="88">
        <f t="shared" si="100"/>
        <v>36.296455100102769</v>
      </c>
      <c r="R80" s="88">
        <f t="shared" si="100"/>
        <v>38.870201389235916</v>
      </c>
      <c r="S80" s="88">
        <f t="shared" si="100"/>
        <v>24.965445296372749</v>
      </c>
      <c r="T80" s="88">
        <f t="shared" si="100"/>
        <v>21.917438567970489</v>
      </c>
      <c r="U80" s="88">
        <f t="shared" si="100"/>
        <v>23.799113681570699</v>
      </c>
      <c r="V80" s="88">
        <f t="shared" si="100"/>
        <v>18.150761856323722</v>
      </c>
      <c r="W80" s="88">
        <f t="shared" si="100"/>
        <v>17.347366883946567</v>
      </c>
      <c r="X80" s="88">
        <f t="shared" si="100"/>
        <v>12.115419255711627</v>
      </c>
      <c r="Y80" s="88">
        <f t="shared" si="100"/>
        <v>11.974926502708076</v>
      </c>
      <c r="Z80" s="88">
        <f t="shared" si="100"/>
        <v>13.579590835551381</v>
      </c>
      <c r="AA80" s="88">
        <f t="shared" si="100"/>
        <v>17.129116954887657</v>
      </c>
      <c r="AB80" s="88">
        <f t="shared" si="100"/>
        <v>19.574532417123326</v>
      </c>
      <c r="AC80" s="88">
        <f t="shared" si="100"/>
        <v>19.64528267303514</v>
      </c>
      <c r="AD80" s="88">
        <f t="shared" si="100"/>
        <v>27.138081985061739</v>
      </c>
      <c r="AE80" s="88">
        <f t="shared" si="100"/>
        <v>29.642184098327796</v>
      </c>
      <c r="AF80" s="88">
        <f t="shared" ref="AF80:AH80" si="101">+IFERROR(IF(AF73/AF41&lt;0,"n/a ",AF73/AF41),"n/a ")</f>
        <v>34.522475532605164</v>
      </c>
      <c r="AG80" s="88">
        <f t="shared" si="101"/>
        <v>35.452242527185042</v>
      </c>
      <c r="AH80" s="88">
        <f t="shared" si="101"/>
        <v>43.804226372510669</v>
      </c>
      <c r="AJ80" s="25">
        <f>IFERROR((AH80/AC80)^(1/5)-1,"n/a ")</f>
        <v>0.17395526118148252</v>
      </c>
      <c r="AK80" s="25">
        <f>IFERROR((AH80/X80)^(1/10)-1,"n/a ")</f>
        <v>0.13715000265704846</v>
      </c>
      <c r="AL80" s="25">
        <f>IFERROR((AH80/S80)^(1/15)-1,"n/a ")</f>
        <v>3.8193837156885957E-2</v>
      </c>
      <c r="AM80" s="25">
        <f>IFERROR((AH80/N80)^(1/20)-1,"n/a ")</f>
        <v>-2.3291103764047083E-3</v>
      </c>
      <c r="AN80" s="25">
        <f t="shared" ref="AN80:AN81" si="102">IFERROR(IF(AH80/I80&lt;0,"n/m ",(AH80/I80)^(1/25)-1),"n/a ")</f>
        <v>-3.583801028386957E-3</v>
      </c>
    </row>
    <row r="81" spans="2:57">
      <c r="B81" s="12" t="s">
        <v>1759</v>
      </c>
      <c r="D81" s="88">
        <f t="shared" ref="D81:AE81" si="103">+IFERROR(IF(D73/D47&lt;0,"n/a ",D73/D47),"n/a ")</f>
        <v>75.511847011116288</v>
      </c>
      <c r="E81" s="88">
        <f t="shared" si="103"/>
        <v>41.718245941368075</v>
      </c>
      <c r="F81" s="88">
        <f t="shared" si="103"/>
        <v>35.5440414507772</v>
      </c>
      <c r="G81" s="88">
        <f t="shared" si="103"/>
        <v>31.818615751789977</v>
      </c>
      <c r="H81" s="88">
        <f t="shared" si="103"/>
        <v>23.947700076045628</v>
      </c>
      <c r="I81" s="88">
        <f t="shared" si="103"/>
        <v>37.903110421404683</v>
      </c>
      <c r="J81" s="88">
        <f t="shared" si="103"/>
        <v>23.848063764341088</v>
      </c>
      <c r="K81" s="88">
        <f t="shared" si="103"/>
        <v>39.541211799522671</v>
      </c>
      <c r="L81" s="88">
        <f t="shared" si="103"/>
        <v>37.360598559855987</v>
      </c>
      <c r="M81" s="88">
        <f t="shared" si="103"/>
        <v>42.757751016172271</v>
      </c>
      <c r="N81" s="88">
        <f t="shared" si="103"/>
        <v>41.991087513036881</v>
      </c>
      <c r="O81" s="88">
        <f t="shared" si="103"/>
        <v>33.030440782531052</v>
      </c>
      <c r="P81" s="88">
        <f t="shared" si="103"/>
        <v>22.108530460732226</v>
      </c>
      <c r="Q81" s="88">
        <f t="shared" si="103"/>
        <v>18.7182664698779</v>
      </c>
      <c r="R81" s="88">
        <f t="shared" si="103"/>
        <v>23.017876747799068</v>
      </c>
      <c r="S81" s="88">
        <f t="shared" si="103"/>
        <v>17.153488254289876</v>
      </c>
      <c r="T81" s="88">
        <f t="shared" si="103"/>
        <v>19.130851395602683</v>
      </c>
      <c r="U81" s="88">
        <f t="shared" si="103"/>
        <v>18.757431109966518</v>
      </c>
      <c r="V81" s="88">
        <f t="shared" si="103"/>
        <v>14.135632121540967</v>
      </c>
      <c r="W81" s="88">
        <f t="shared" si="103"/>
        <v>13.433529337856514</v>
      </c>
      <c r="X81" s="88">
        <f t="shared" si="103"/>
        <v>9.2962649348298338</v>
      </c>
      <c r="Y81" s="88">
        <f t="shared" si="103"/>
        <v>9.0676569665976707</v>
      </c>
      <c r="Z81" s="88">
        <f t="shared" si="103"/>
        <v>8.8741359435217078</v>
      </c>
      <c r="AA81" s="88">
        <f t="shared" si="103"/>
        <v>11.905767822265625</v>
      </c>
      <c r="AB81" s="88">
        <f t="shared" si="103"/>
        <v>12.963626605470632</v>
      </c>
      <c r="AC81" s="88">
        <f t="shared" si="103"/>
        <v>15.360567357949755</v>
      </c>
      <c r="AD81" s="88">
        <f t="shared" si="103"/>
        <v>16.787111975435007</v>
      </c>
      <c r="AE81" s="88">
        <f t="shared" si="103"/>
        <v>18.420846896645852</v>
      </c>
      <c r="AF81" s="88">
        <f t="shared" ref="AF81:AH81" si="104">+IFERROR(IF(AF73/AF47&lt;0,"n/a ",AF73/AF47),"n/a ")</f>
        <v>25.298850713247919</v>
      </c>
      <c r="AG81" s="88">
        <f t="shared" si="104"/>
        <v>29.434373813235087</v>
      </c>
      <c r="AH81" s="88">
        <f t="shared" si="104"/>
        <v>37.51811229754049</v>
      </c>
      <c r="AJ81" s="25">
        <f>IFERROR((AH81/AC81)^(1/5)-1,"n/a ")</f>
        <v>0.19554724876449492</v>
      </c>
      <c r="AK81" s="25">
        <f>IFERROR((AH81/X81)^(1/10)-1,"n/a ")</f>
        <v>0.14972307742619506</v>
      </c>
      <c r="AL81" s="25">
        <f>IFERROR((AH81/S81)^(1/15)-1,"n/a ")</f>
        <v>5.3559907039504973E-2</v>
      </c>
      <c r="AM81" s="25">
        <f>IFERROR((AH81/N81)^(1/20)-1,"n/a ")</f>
        <v>-5.6158509581503147E-3</v>
      </c>
      <c r="AN81" s="25">
        <f t="shared" si="102"/>
        <v>-4.0829130297714844E-4</v>
      </c>
    </row>
    <row r="82" spans="2:57">
      <c r="B82" t="s">
        <v>1760</v>
      </c>
      <c r="AJ82" s="43"/>
      <c r="AK82" s="43"/>
      <c r="AL82" s="43"/>
      <c r="AM82" s="43"/>
      <c r="AN82" s="43"/>
    </row>
    <row r="83" spans="2:57">
      <c r="B83" s="12" t="s">
        <v>1356</v>
      </c>
      <c r="D83" s="88">
        <f t="shared" ref="D83:AE83" si="105">+IFERROR(D75/E31,"n/a ")</f>
        <v>12.500435015404959</v>
      </c>
      <c r="E83" s="88">
        <f t="shared" si="105"/>
        <v>10.957259480144405</v>
      </c>
      <c r="F83" s="88">
        <f t="shared" si="105"/>
        <v>13.023019634394043</v>
      </c>
      <c r="G83" s="88">
        <f t="shared" si="105"/>
        <v>12.416709118695874</v>
      </c>
      <c r="H83" s="88">
        <f t="shared" si="105"/>
        <v>12.083756220199394</v>
      </c>
      <c r="I83" s="88">
        <f t="shared" si="105"/>
        <v>14.591104575604271</v>
      </c>
      <c r="J83" s="88">
        <f t="shared" si="105"/>
        <v>12.303500200457183</v>
      </c>
      <c r="K83" s="88">
        <f t="shared" si="105"/>
        <v>19.677508468106478</v>
      </c>
      <c r="L83" s="88">
        <f t="shared" si="105"/>
        <v>25.29502331748354</v>
      </c>
      <c r="M83" s="88">
        <f t="shared" si="105"/>
        <v>38.933736537206265</v>
      </c>
      <c r="N83" s="88">
        <f t="shared" si="105"/>
        <v>31.614514182257093</v>
      </c>
      <c r="O83" s="88">
        <f t="shared" si="105"/>
        <v>40.749402823018457</v>
      </c>
      <c r="P83" s="88">
        <f t="shared" si="105"/>
        <v>24.236341195831052</v>
      </c>
      <c r="Q83" s="88">
        <f t="shared" si="105"/>
        <v>22.501612524461837</v>
      </c>
      <c r="R83" s="88">
        <f t="shared" si="105"/>
        <v>16.251987545407371</v>
      </c>
      <c r="S83" s="88">
        <f t="shared" si="105"/>
        <v>13.418937553956834</v>
      </c>
      <c r="T83" s="88">
        <f t="shared" si="105"/>
        <v>10.625379816882987</v>
      </c>
      <c r="U83" s="88">
        <f t="shared" si="105"/>
        <v>11.013664652443786</v>
      </c>
      <c r="V83" s="88">
        <f t="shared" si="105"/>
        <v>10.331851690294439</v>
      </c>
      <c r="W83" s="88">
        <f t="shared" si="105"/>
        <v>7.0275268013895626</v>
      </c>
      <c r="X83" s="88">
        <f t="shared" si="105"/>
        <v>5.8329023958298531</v>
      </c>
      <c r="Y83" s="88">
        <f t="shared" si="105"/>
        <v>5.903922646573748</v>
      </c>
      <c r="Z83" s="88">
        <f t="shared" si="105"/>
        <v>6.8515528031717947</v>
      </c>
      <c r="AA83" s="88">
        <f t="shared" si="105"/>
        <v>6.9845353193546442</v>
      </c>
      <c r="AB83" s="88">
        <f t="shared" si="105"/>
        <v>8.4143778018693798</v>
      </c>
      <c r="AC83" s="88">
        <f t="shared" si="105"/>
        <v>8.9671724341910668</v>
      </c>
      <c r="AD83" s="88">
        <f t="shared" si="105"/>
        <v>9.1906428927549921</v>
      </c>
      <c r="AE83" s="88">
        <f t="shared" si="105"/>
        <v>10.998582492994109</v>
      </c>
      <c r="AF83" s="88">
        <f t="shared" ref="AF83" si="106">+IFERROR(AF75/AG31,"n/a ")</f>
        <v>13.149309035339764</v>
      </c>
      <c r="AG83" s="88">
        <f t="shared" ref="AG83" si="107">+IFERROR(AG75/AH31,"n/a ")</f>
        <v>15.051522773933542</v>
      </c>
      <c r="AH83" s="88" t="str">
        <f t="shared" ref="AH83" si="108">+IFERROR(AH75/AI31,"n/a ")</f>
        <v xml:space="preserve">n/a </v>
      </c>
      <c r="AJ83" s="25" t="str">
        <f>IFERROR((AH83/AC83)^(1/5)-1,"n/a ")</f>
        <v xml:space="preserve">n/a </v>
      </c>
      <c r="AK83" s="25" t="str">
        <f>IFERROR((AH83/X83)^(1/10)-1,"n/a ")</f>
        <v xml:space="preserve">n/a </v>
      </c>
      <c r="AL83" s="25" t="str">
        <f>IFERROR((AH83/S83)^(1/15)-1,"n/a ")</f>
        <v xml:space="preserve">n/a </v>
      </c>
      <c r="AM83" s="25" t="str">
        <f>IFERROR((AH83/N83)^(1/20)-1,"n/a ")</f>
        <v xml:space="preserve">n/a </v>
      </c>
      <c r="AN83" s="25" t="str">
        <f>IFERROR(IF(AH83/I83&lt;1,"n/m ",(AH83/I83)^(1/25)-1),"n/a ")</f>
        <v xml:space="preserve">n/a </v>
      </c>
    </row>
    <row r="84" spans="2:57">
      <c r="B84" s="12" t="s">
        <v>1358</v>
      </c>
      <c r="D84" s="88">
        <f t="shared" ref="D84:AE84" si="109">+IFERROR(IF(D73/E24&lt;0,"n/a ",D73/E24),"n/a ")</f>
        <v>20.807785902061219</v>
      </c>
      <c r="E84" s="88">
        <f t="shared" si="109"/>
        <v>18.927808326313453</v>
      </c>
      <c r="F84" s="88">
        <f t="shared" si="109"/>
        <v>22.599242299456431</v>
      </c>
      <c r="G84" s="88">
        <f t="shared" si="109"/>
        <v>22.638818135506874</v>
      </c>
      <c r="H84" s="88">
        <f t="shared" si="109"/>
        <v>22.357193993823433</v>
      </c>
      <c r="I84" s="88">
        <f t="shared" si="109"/>
        <v>25.799690431852841</v>
      </c>
      <c r="J84" s="88">
        <f t="shared" si="109"/>
        <v>22.26629386526157</v>
      </c>
      <c r="K84" s="88">
        <f t="shared" si="109"/>
        <v>34.384019226099674</v>
      </c>
      <c r="L84" s="88">
        <f t="shared" si="109"/>
        <v>37.591892381439095</v>
      </c>
      <c r="M84" s="88">
        <f t="shared" si="109"/>
        <v>53.283887915936951</v>
      </c>
      <c r="N84" s="88">
        <f t="shared" si="109"/>
        <v>59.119639579509425</v>
      </c>
      <c r="O84" s="88">
        <f t="shared" si="109"/>
        <v>79.492454212454206</v>
      </c>
      <c r="P84" s="88">
        <f t="shared" si="109"/>
        <v>42.274860475149964</v>
      </c>
      <c r="Q84" s="88">
        <f t="shared" si="109"/>
        <v>35.196215657088068</v>
      </c>
      <c r="R84" s="88">
        <f t="shared" si="109"/>
        <v>28.786721193168148</v>
      </c>
      <c r="S84" s="88">
        <f t="shared" si="109"/>
        <v>22.822088742491765</v>
      </c>
      <c r="T84" s="88">
        <f t="shared" si="109"/>
        <v>18.779953542303673</v>
      </c>
      <c r="U84" s="88">
        <f t="shared" si="109"/>
        <v>18.821534843757064</v>
      </c>
      <c r="V84" s="88">
        <f t="shared" si="109"/>
        <v>20.220954465543535</v>
      </c>
      <c r="W84" s="88">
        <f t="shared" si="109"/>
        <v>13.152232838923759</v>
      </c>
      <c r="X84" s="88">
        <f t="shared" si="109"/>
        <v>11.257732179117239</v>
      </c>
      <c r="Y84" s="88">
        <f t="shared" si="109"/>
        <v>12.077301475755446</v>
      </c>
      <c r="Z84" s="88">
        <f t="shared" si="109"/>
        <v>14.797628498959268</v>
      </c>
      <c r="AA84" s="88">
        <f t="shared" si="109"/>
        <v>16.107200167349735</v>
      </c>
      <c r="AB84" s="88">
        <f t="shared" si="109"/>
        <v>18.894317758824389</v>
      </c>
      <c r="AC84" s="88">
        <f t="shared" si="109"/>
        <v>20.959178919700808</v>
      </c>
      <c r="AD84" s="88">
        <f t="shared" si="109"/>
        <v>20.882842234734177</v>
      </c>
      <c r="AE84" s="88">
        <f t="shared" si="109"/>
        <v>21.144602417377541</v>
      </c>
      <c r="AF84" s="88">
        <f t="shared" ref="AF84" si="110">+IFERROR(IF(AF73/AG24&lt;0,"n/a ",AF73/AG24),"n/a ")</f>
        <v>22.198558564875444</v>
      </c>
      <c r="AG84" s="88">
        <f t="shared" ref="AG84" si="111">+IFERROR(IF(AG73/AH24&lt;0,"n/a ",AG73/AH24),"n/a ")</f>
        <v>24.788318610430363</v>
      </c>
      <c r="AH84" s="88" t="str">
        <f t="shared" ref="AH84" si="112">+IFERROR(IF(AH73/AI24&lt;0,"n/a ",AH73/AI24),"n/a ")</f>
        <v xml:space="preserve">n/a </v>
      </c>
      <c r="AJ84" s="25" t="str">
        <f>IFERROR((AH84/AC84)^(1/5)-1,"n/a ")</f>
        <v xml:space="preserve">n/a </v>
      </c>
      <c r="AK84" s="25" t="str">
        <f>IFERROR((AH84/X84)^(1/10)-1,"n/a ")</f>
        <v xml:space="preserve">n/a </v>
      </c>
      <c r="AL84" s="25" t="str">
        <f>IFERROR((AH84/S84)^(1/15)-1,"n/a ")</f>
        <v xml:space="preserve">n/a </v>
      </c>
      <c r="AM84" s="25" t="str">
        <f>IFERROR((AH84/N84)^(1/20)-1,"n/a ")</f>
        <v xml:space="preserve">n/a </v>
      </c>
      <c r="AN84" s="25" t="str">
        <f>IFERROR(IF(AH84/I84&lt;1,"n/m ",(AH84/I84)^(1/25)-1),"n/a ")</f>
        <v xml:space="preserve">n/a </v>
      </c>
    </row>
    <row r="85" spans="2:57">
      <c r="B85" s="12" t="s">
        <v>1758</v>
      </c>
      <c r="D85" s="88">
        <f t="shared" ref="D85:AE85" si="113">+IFERROR(IF(D73/E41&lt;0,"n/a ",D73/E41),"n/a ")</f>
        <v>36.571895310030229</v>
      </c>
      <c r="E85" s="88">
        <f t="shared" si="113"/>
        <v>27.154672965122437</v>
      </c>
      <c r="F85" s="88">
        <f t="shared" si="113"/>
        <v>24.925816023738868</v>
      </c>
      <c r="G85" s="88">
        <f t="shared" si="113"/>
        <v>23.455313159746652</v>
      </c>
      <c r="H85" s="88">
        <f t="shared" si="113"/>
        <v>26.629931588516339</v>
      </c>
      <c r="I85" s="88">
        <f t="shared" si="113"/>
        <v>25.965198102962397</v>
      </c>
      <c r="J85" s="88">
        <f t="shared" si="113"/>
        <v>21.898580803507873</v>
      </c>
      <c r="K85" s="88">
        <f t="shared" si="113"/>
        <v>31.944331371169099</v>
      </c>
      <c r="L85" s="88">
        <f t="shared" si="113"/>
        <v>35.994546062697047</v>
      </c>
      <c r="M85" s="88">
        <f t="shared" si="113"/>
        <v>51.235304023420298</v>
      </c>
      <c r="N85" s="88">
        <f t="shared" si="113"/>
        <v>55.889200870744865</v>
      </c>
      <c r="O85" s="88">
        <f t="shared" si="113"/>
        <v>76.966378209675128</v>
      </c>
      <c r="P85" s="88">
        <f t="shared" si="113"/>
        <v>39.514134068764555</v>
      </c>
      <c r="Q85" s="88">
        <f t="shared" si="113"/>
        <v>34.857638298935576</v>
      </c>
      <c r="R85" s="88">
        <f t="shared" si="113"/>
        <v>28.672648186375699</v>
      </c>
      <c r="S85" s="88">
        <f t="shared" si="113"/>
        <v>24.198104561735729</v>
      </c>
      <c r="T85" s="88">
        <f t="shared" si="113"/>
        <v>20.044054518794443</v>
      </c>
      <c r="U85" s="88">
        <f t="shared" si="113"/>
        <v>20.298083340881064</v>
      </c>
      <c r="V85" s="88">
        <f t="shared" si="113"/>
        <v>21.134671626110904</v>
      </c>
      <c r="W85" s="88">
        <f t="shared" si="113"/>
        <v>12.61231829991536</v>
      </c>
      <c r="X85" s="88">
        <f t="shared" si="113"/>
        <v>11.009734605767763</v>
      </c>
      <c r="Y85" s="88">
        <f t="shared" si="113"/>
        <v>11.660038620113772</v>
      </c>
      <c r="Z85" s="88">
        <f t="shared" si="113"/>
        <v>15.232501258649554</v>
      </c>
      <c r="AA85" s="88">
        <f t="shared" si="113"/>
        <v>16.352959751404914</v>
      </c>
      <c r="AB85" s="88">
        <f t="shared" si="113"/>
        <v>18.881076243820658</v>
      </c>
      <c r="AC85" s="88">
        <f t="shared" si="113"/>
        <v>24.119247990416213</v>
      </c>
      <c r="AD85" s="88">
        <f t="shared" si="113"/>
        <v>22.513333388240525</v>
      </c>
      <c r="AE85" s="88">
        <f t="shared" si="113"/>
        <v>24.32589668721387</v>
      </c>
      <c r="AF85" s="88">
        <f t="shared" ref="AF85" si="114">+IFERROR(IF(AF73/AG41&lt;0,"n/a ",AF73/AG41),"n/a ")</f>
        <v>26.152476385467811</v>
      </c>
      <c r="AG85" s="88">
        <f t="shared" ref="AG85" si="115">+IFERROR(IF(AG73/AH41&lt;0,"n/a ",AG73/AH41),"n/a ")</f>
        <v>29.096741117103949</v>
      </c>
      <c r="AH85" s="88" t="str">
        <f t="shared" ref="AH85" si="116">+IFERROR(IF(AH73/AI41&lt;0,"n/a ",AH73/AI41),"n/a ")</f>
        <v xml:space="preserve">n/a </v>
      </c>
      <c r="AJ85" s="25" t="str">
        <f>IFERROR((AH85/AC85)^(1/5)-1,"n/a ")</f>
        <v xml:space="preserve">n/a </v>
      </c>
      <c r="AK85" s="25" t="str">
        <f>IFERROR((AH85/X85)^(1/10)-1,"n/a ")</f>
        <v xml:space="preserve">n/a </v>
      </c>
      <c r="AL85" s="25" t="str">
        <f>IFERROR((AH85/S85)^(1/15)-1,"n/a ")</f>
        <v xml:space="preserve">n/a </v>
      </c>
      <c r="AM85" s="25" t="str">
        <f>IFERROR((AH85/N85)^(1/20)-1,"n/a ")</f>
        <v xml:space="preserve">n/a </v>
      </c>
      <c r="AN85" s="25" t="str">
        <f>IFERROR(IF(AH85/I85&lt;1,"n/m ",(AH85/I85)^(1/25)-1),"n/a ")</f>
        <v xml:space="preserve">n/a </v>
      </c>
    </row>
    <row r="86" spans="2:57">
      <c r="B86" s="12" t="s">
        <v>1759</v>
      </c>
      <c r="D86" s="88">
        <f t="shared" ref="D86:AE86" si="117">+IFERROR(IF(D73/E47&lt;0,"n/a ",D73/E47),"n/a ")</f>
        <v>29.56128931981759</v>
      </c>
      <c r="E86" s="88">
        <f t="shared" si="117"/>
        <v>22.120037139896372</v>
      </c>
      <c r="F86" s="88">
        <f t="shared" si="117"/>
        <v>24.558472553699286</v>
      </c>
      <c r="G86" s="88">
        <f t="shared" si="117"/>
        <v>20.27680608365019</v>
      </c>
      <c r="H86" s="88">
        <f t="shared" si="117"/>
        <v>21.064364949832775</v>
      </c>
      <c r="I86" s="88">
        <f t="shared" si="117"/>
        <v>17.570589172093023</v>
      </c>
      <c r="J86" s="88">
        <f t="shared" si="117"/>
        <v>18.355609937947495</v>
      </c>
      <c r="K86" s="88">
        <f t="shared" si="117"/>
        <v>21.303546025459688</v>
      </c>
      <c r="L86" s="88">
        <f t="shared" si="117"/>
        <v>25.127853930640836</v>
      </c>
      <c r="M86" s="88">
        <f t="shared" si="117"/>
        <v>46.87663553617142</v>
      </c>
      <c r="N86" s="88">
        <f t="shared" si="117"/>
        <v>35.950970046269987</v>
      </c>
      <c r="O86" s="88">
        <f t="shared" si="117"/>
        <v>29.616565980056773</v>
      </c>
      <c r="P86" s="88">
        <f t="shared" si="117"/>
        <v>20.377639876559776</v>
      </c>
      <c r="Q86" s="88">
        <f t="shared" si="117"/>
        <v>20.641745949545015</v>
      </c>
      <c r="R86" s="88">
        <f t="shared" si="117"/>
        <v>19.700667384284177</v>
      </c>
      <c r="S86" s="88">
        <f t="shared" si="117"/>
        <v>21.121553095275221</v>
      </c>
      <c r="T86" s="88">
        <f t="shared" si="117"/>
        <v>15.797856039144992</v>
      </c>
      <c r="U86" s="88">
        <f t="shared" si="117"/>
        <v>15.807944655453065</v>
      </c>
      <c r="V86" s="88">
        <f t="shared" si="117"/>
        <v>16.366358839050132</v>
      </c>
      <c r="W86" s="88">
        <f t="shared" si="117"/>
        <v>9.6775398262128878</v>
      </c>
      <c r="X86" s="88">
        <f t="shared" si="117"/>
        <v>8.3367941069036906</v>
      </c>
      <c r="Y86" s="88">
        <f t="shared" si="117"/>
        <v>7.6197264759046419</v>
      </c>
      <c r="Z86" s="88">
        <f t="shared" si="117"/>
        <v>10.587505696614583</v>
      </c>
      <c r="AA86" s="88">
        <f t="shared" si="117"/>
        <v>10.830075508013474</v>
      </c>
      <c r="AB86" s="88">
        <f t="shared" si="117"/>
        <v>14.763037430450179</v>
      </c>
      <c r="AC86" s="88">
        <f t="shared" si="117"/>
        <v>14.919717502558854</v>
      </c>
      <c r="AD86" s="88">
        <f t="shared" si="117"/>
        <v>13.990691984850036</v>
      </c>
      <c r="AE86" s="88">
        <f t="shared" si="117"/>
        <v>17.826567164179103</v>
      </c>
      <c r="AF86" s="88">
        <f t="shared" ref="AF86" si="118">+IFERROR(IF(AF73/AG47&lt;0,"n/a ",AF73/AG47),"n/a ")</f>
        <v>21.713203769307071</v>
      </c>
      <c r="AG86" s="88">
        <f t="shared" ref="AG86" si="119">+IFERROR(IF(AG73/AH47&lt;0,"n/a ",AG73/AH47),"n/a ")</f>
        <v>24.921220875824837</v>
      </c>
      <c r="AH86" s="88" t="str">
        <f t="shared" ref="AH86" si="120">+IFERROR(IF(AH73/AI47&lt;0,"n/a ",AH73/AI47),"n/a ")</f>
        <v xml:space="preserve">n/a </v>
      </c>
      <c r="AJ86" s="25" t="str">
        <f>IFERROR((AH86/AC86)^(1/5)-1,"n/a ")</f>
        <v xml:space="preserve">n/a </v>
      </c>
      <c r="AK86" s="25" t="str">
        <f>IFERROR((AH86/X86)^(1/10)-1,"n/a ")</f>
        <v xml:space="preserve">n/a </v>
      </c>
      <c r="AL86" s="25" t="str">
        <f>IFERROR((AH86/S86)^(1/15)-1,"n/a ")</f>
        <v xml:space="preserve">n/a </v>
      </c>
      <c r="AM86" s="25" t="str">
        <f>IFERROR((AH86/N86)^(1/20)-1,"n/a ")</f>
        <v xml:space="preserve">n/a </v>
      </c>
      <c r="AN86" s="25" t="str">
        <f>IFERROR(IF(AH86/I86&lt;1,"n/m ",(AH86/I86)^(1/25)-1),"n/a ")</f>
        <v xml:space="preserve">n/a </v>
      </c>
    </row>
    <row r="87" spans="2:57">
      <c r="AJ87" s="43"/>
      <c r="AK87" s="43"/>
      <c r="AL87" s="43"/>
      <c r="AM87" s="43"/>
      <c r="AN87" s="43"/>
    </row>
    <row r="88" spans="2:57">
      <c r="B88" s="24" t="s">
        <v>126</v>
      </c>
      <c r="AJ88" s="43"/>
      <c r="AK88" s="43"/>
      <c r="AL88" s="43"/>
      <c r="AM88" s="43"/>
      <c r="AN88" s="43"/>
      <c r="BC88">
        <v>9</v>
      </c>
      <c r="BD88">
        <v>8</v>
      </c>
      <c r="BE88">
        <v>7</v>
      </c>
    </row>
    <row r="89" spans="2:57">
      <c r="B89" s="17" t="s">
        <v>1761</v>
      </c>
      <c r="N89" s="88"/>
      <c r="O89" s="88" t="str">
        <f>_xll.ciqfunctions.udf.CIQ("^SPX", "IQ_PE_EXCL_FWD", IQ_NTM, O7)</f>
        <v>(Capability Needed)</v>
      </c>
      <c r="P89" s="88" t="str">
        <f>_xll.ciqfunctions.udf.CIQ("^SPX", "IQ_PE_EXCL_FWD", IQ_NTM, P7)</f>
        <v>(Capability Needed)</v>
      </c>
      <c r="Q89" s="88" t="str">
        <f>_xll.ciqfunctions.udf.CIQ("^SPX", "IQ_PE_EXCL_FWD", IQ_NTM, Q7)</f>
        <v>(Capability Needed)</v>
      </c>
      <c r="R89" s="88" t="str">
        <f>_xll.ciqfunctions.udf.CIQ("^SPX", "IQ_PE_EXCL_FWD", IQ_NTM, R7)</f>
        <v>(Capability Needed)</v>
      </c>
      <c r="S89" s="88">
        <f>_xll.ciqfunctions.udf.CIQ("^SPX", "IQ_PE_EXCL_FWD", IQ_NTM, S7)</f>
        <v>15.482108</v>
      </c>
      <c r="T89" s="88">
        <f>_xll.ciqfunctions.udf.CIQ("^SPX", "IQ_PE_EXCL_FWD", IQ_NTM, T7)</f>
        <v>14.315324</v>
      </c>
      <c r="U89" s="88">
        <f>_xll.ciqfunctions.udf.CIQ("^SPX", "IQ_PE_EXCL_FWD", IQ_NTM, U7)</f>
        <v>15.326283</v>
      </c>
      <c r="V89" s="88">
        <f>_xll.ciqfunctions.udf.CIQ("^SPX", "IQ_PE_EXCL_FWD", IQ_NTM, V7)</f>
        <v>12.732426999999999</v>
      </c>
      <c r="W89" s="88">
        <f>_xll.ciqfunctions.udf.CIQ("^SPX", "IQ_PE_EXCL_FWD", IQ_NTM, W7)</f>
        <v>14.753977000000001</v>
      </c>
      <c r="X89" s="88">
        <f>_xll.ciqfunctions.udf.CIQ("^SPX", "IQ_PE_EXCL_FWD", IQ_NTM, X7)</f>
        <v>12.182325000000001</v>
      </c>
      <c r="Y89" s="88">
        <f>_xll.ciqfunctions.udf.CIQ("^SPX", "IQ_PE_EXCL_FWD", IQ_NTM, Y7)</f>
        <v>12.868239000000001</v>
      </c>
      <c r="Z89" s="88">
        <f>_xll.ciqfunctions.udf.CIQ("^SPX", "IQ_PE_EXCL_FWD", IQ_NTM, Z7)</f>
        <v>12.732051999999999</v>
      </c>
      <c r="AA89" s="88">
        <f>_xll.ciqfunctions.udf.CIQ("^SPX", "IQ_PE_EXCL_FWD", IQ_NTM, AA7)</f>
        <v>14.251597</v>
      </c>
      <c r="AB89" s="88">
        <f>_xll.ciqfunctions.udf.CIQ("^SPX", "IQ_PE_EXCL_FWD", IQ_NTM, AB7)</f>
        <v>16.144013000000001</v>
      </c>
      <c r="AC89" s="88">
        <f>_xll.ciqfunctions.udf.CIQ("^SPX", "IQ_PE_EXCL_FWD", IQ_NTM, AC7)</f>
        <v>17.141635999999998</v>
      </c>
      <c r="AD89" s="88">
        <f>_xll.ciqfunctions.udf.CIQ("^SPX", "IQ_PE_EXCL_FWD", IQ_NTM, AD7)</f>
        <v>17.330649000000001</v>
      </c>
      <c r="AE89" s="88">
        <f>_xll.ciqfunctions.udf.CIQ("^SPX", "IQ_PE_EXCL_FWD", IQ_NTM, AE7)</f>
        <v>18.187384000000002</v>
      </c>
      <c r="AF89" s="88">
        <f>_xll.ciqfunctions.udf.CIQ("^SPX", "IQ_PE_EXCL_FWD", IQ_NTM, AF7)</f>
        <v>16.766096999999998</v>
      </c>
      <c r="AG89" s="88">
        <f>_xll.ciqfunctions.udf.CIQ("^SPX", "IQ_PE_EXCL_FWD", IQ_NTM, AG7)</f>
        <v>17.464153</v>
      </c>
      <c r="AH89" s="88">
        <f>_xll.ciqfunctions.udf.CIQ("^SPX", "IQ_PE_EXCL_FWD", IQ_NTM, AH7)</f>
        <v>24.080055000000002</v>
      </c>
      <c r="AJ89" s="25">
        <f>IFERROR((AH89/AC89)^(1/5)-1,"n/a ")</f>
        <v>7.0338238562073219E-2</v>
      </c>
      <c r="AK89" s="25">
        <f>IFERROR((AH89/X89)^(1/10)-1,"n/a ")</f>
        <v>7.0514931786097579E-2</v>
      </c>
      <c r="AL89" s="25">
        <f>IFERROR((AH89/S89)^(1/15)-1,"n/a ")</f>
        <v>2.988442924126522E-2</v>
      </c>
      <c r="AM89" s="25" t="str">
        <f>IFERROR((AH89/N89)^(1/20)-1,"n/a ")</f>
        <v xml:space="preserve">n/a </v>
      </c>
      <c r="AN89" s="25" t="str">
        <f>IFERROR((AH89/I89)^(1/25)-1,"n/a ")</f>
        <v xml:space="preserve">n/a </v>
      </c>
      <c r="BC89" t="s">
        <v>1762</v>
      </c>
      <c r="BD89" t="s">
        <v>1763</v>
      </c>
      <c r="BE89" t="s">
        <v>1764</v>
      </c>
    </row>
    <row r="90" spans="2:57">
      <c r="B90" s="19" t="s">
        <v>1765</v>
      </c>
      <c r="N90" s="23"/>
      <c r="O90" s="23" t="e">
        <f t="shared" ref="O90:AE90" si="121">+O84/O89-1</f>
        <v>#VALUE!</v>
      </c>
      <c r="P90" s="23" t="e">
        <f t="shared" si="121"/>
        <v>#VALUE!</v>
      </c>
      <c r="Q90" s="23" t="e">
        <f t="shared" si="121"/>
        <v>#VALUE!</v>
      </c>
      <c r="R90" s="23" t="e">
        <f t="shared" si="121"/>
        <v>#VALUE!</v>
      </c>
      <c r="S90" s="23">
        <f t="shared" si="121"/>
        <v>0.47409440255111024</v>
      </c>
      <c r="T90" s="23">
        <f t="shared" si="121"/>
        <v>0.31187764540318286</v>
      </c>
      <c r="U90" s="23">
        <f t="shared" si="121"/>
        <v>0.22805606837333392</v>
      </c>
      <c r="V90" s="23">
        <f t="shared" si="121"/>
        <v>0.58814611429097807</v>
      </c>
      <c r="W90" s="23">
        <f t="shared" si="121"/>
        <v>-0.10856355280181351</v>
      </c>
      <c r="X90" s="23">
        <f t="shared" si="121"/>
        <v>-7.5896253045519724E-2</v>
      </c>
      <c r="Y90" s="23">
        <f t="shared" si="121"/>
        <v>-6.1464317242208133E-2</v>
      </c>
      <c r="Z90" s="23">
        <f t="shared" si="121"/>
        <v>0.1622343750213453</v>
      </c>
      <c r="AA90" s="23">
        <f t="shared" si="121"/>
        <v>0.13020317423722649</v>
      </c>
      <c r="AB90" s="23">
        <f t="shared" si="121"/>
        <v>0.17036066304111541</v>
      </c>
      <c r="AC90" s="23">
        <f t="shared" si="121"/>
        <v>0.22270586773052514</v>
      </c>
      <c r="AD90" s="23">
        <f t="shared" si="121"/>
        <v>0.20496596721416349</v>
      </c>
      <c r="AE90" s="23">
        <f t="shared" si="121"/>
        <v>0.16259723868905729</v>
      </c>
      <c r="AF90" s="23">
        <f t="shared" ref="AF90:AG90" si="122">+AF84/AF89-1</f>
        <v>0.32401468063052752</v>
      </c>
      <c r="AG90" s="23">
        <f t="shared" si="122"/>
        <v>0.41938281292143764</v>
      </c>
      <c r="AH90" s="23" t="s">
        <v>1212</v>
      </c>
      <c r="AJ90" s="25"/>
      <c r="AK90" s="25"/>
      <c r="AL90" s="25"/>
      <c r="AM90" s="25"/>
      <c r="AN90" s="25"/>
    </row>
    <row r="91" spans="2:57">
      <c r="AJ91" s="43"/>
      <c r="AK91" s="43"/>
      <c r="AL91" s="43"/>
      <c r="AM91" s="43"/>
      <c r="AN91" s="43"/>
    </row>
    <row r="92" spans="2:57" ht="10.5">
      <c r="B92" s="5" t="s">
        <v>1766</v>
      </c>
      <c r="C92" s="4"/>
      <c r="AJ92" s="43"/>
      <c r="AK92" s="43"/>
      <c r="AL92" s="43"/>
      <c r="AM92" s="43"/>
      <c r="AN92" s="43"/>
    </row>
    <row r="93" spans="2:57">
      <c r="B93" s="3" t="s">
        <v>1753</v>
      </c>
      <c r="AJ93" s="43"/>
      <c r="AK93" s="43"/>
      <c r="AL93" s="43"/>
      <c r="AM93" s="43"/>
      <c r="AN93" s="43"/>
    </row>
    <row r="94" spans="2:57">
      <c r="AJ94" s="43"/>
      <c r="AK94" s="43"/>
      <c r="AL94" s="43"/>
      <c r="AM94" s="43"/>
      <c r="AN94" s="43"/>
    </row>
    <row r="95" spans="2:57">
      <c r="B95" t="s">
        <v>1754</v>
      </c>
      <c r="D95" s="86">
        <f t="shared" ref="D95:AF95" si="123">+D71</f>
        <v>1.0555559999999999</v>
      </c>
      <c r="E95" s="86">
        <f t="shared" si="123"/>
        <v>1.4192709999999999</v>
      </c>
      <c r="F95" s="86">
        <f t="shared" si="123"/>
        <v>2.1875</v>
      </c>
      <c r="G95" s="86">
        <f t="shared" si="123"/>
        <v>2.75</v>
      </c>
      <c r="H95" s="86">
        <f t="shared" si="123"/>
        <v>3.2265600000000001</v>
      </c>
      <c r="I95" s="86">
        <f t="shared" si="123"/>
        <v>5.6484399999999999</v>
      </c>
      <c r="J95" s="86">
        <f t="shared" si="123"/>
        <v>7.5078100000000001</v>
      </c>
      <c r="K95" s="86">
        <f t="shared" si="123"/>
        <v>15.79688</v>
      </c>
      <c r="L95" s="86">
        <f t="shared" si="123"/>
        <v>27.09375</v>
      </c>
      <c r="M95" s="86">
        <f t="shared" si="123"/>
        <v>45.09375</v>
      </c>
      <c r="N95" s="86">
        <f t="shared" si="123"/>
        <v>40</v>
      </c>
      <c r="O95" s="86">
        <f t="shared" si="123"/>
        <v>36.5</v>
      </c>
      <c r="P95" s="86">
        <f t="shared" si="123"/>
        <v>27.35</v>
      </c>
      <c r="Q95" s="86">
        <f t="shared" si="123"/>
        <v>25.64</v>
      </c>
      <c r="R95" s="86">
        <f t="shared" si="123"/>
        <v>28.56</v>
      </c>
      <c r="S95" s="86">
        <f t="shared" si="123"/>
        <v>24.84</v>
      </c>
      <c r="T95" s="86">
        <f t="shared" si="123"/>
        <v>23.3</v>
      </c>
      <c r="U95" s="86">
        <f t="shared" si="123"/>
        <v>29.47</v>
      </c>
      <c r="V95" s="86">
        <f t="shared" si="123"/>
        <v>27.51</v>
      </c>
      <c r="W95" s="86">
        <f t="shared" si="123"/>
        <v>23.77</v>
      </c>
      <c r="X95" s="86">
        <f t="shared" si="123"/>
        <v>23.01</v>
      </c>
      <c r="Y95" s="86">
        <f t="shared" si="123"/>
        <v>26</v>
      </c>
      <c r="Z95" s="86">
        <f t="shared" si="123"/>
        <v>30.59</v>
      </c>
      <c r="AA95" s="86">
        <f t="shared" si="123"/>
        <v>34.545000000000002</v>
      </c>
      <c r="AB95" s="86">
        <f t="shared" si="123"/>
        <v>41.7</v>
      </c>
      <c r="AC95" s="86">
        <f t="shared" si="123"/>
        <v>44.15</v>
      </c>
      <c r="AD95" s="86">
        <f t="shared" si="123"/>
        <v>51.17</v>
      </c>
      <c r="AE95" s="86">
        <f t="shared" si="123"/>
        <v>68.930000000000007</v>
      </c>
      <c r="AF95" s="86">
        <f t="shared" si="123"/>
        <v>98.61</v>
      </c>
      <c r="AG95" s="86">
        <f t="shared" ref="AG95:AH95" si="124">+AG71</f>
        <v>133.96</v>
      </c>
      <c r="AH95" s="86">
        <f t="shared" si="124"/>
        <v>203.51</v>
      </c>
      <c r="AJ95" s="25">
        <f>IFERROR((AH95/AC95)^(1/5)-1,"n/a ")</f>
        <v>0.35747240299640914</v>
      </c>
      <c r="AK95" s="25">
        <f>IFERROR((AH95/X95)^(1/10)-1,"n/a ")</f>
        <v>0.24356048494587657</v>
      </c>
      <c r="AL95" s="25">
        <f>IFERROR((AH95/S95)^(1/15)-1,"n/a ")</f>
        <v>0.15052381017061456</v>
      </c>
      <c r="AM95" s="25">
        <f>IFERROR((AH95/N95)^(1/20)-1,"n/a ")</f>
        <v>8.474158105383478E-2</v>
      </c>
      <c r="AN95" s="25">
        <f>IFERROR((AH95/I95)^(1/25)-1,"n/a ")</f>
        <v>0.1541607191111829</v>
      </c>
    </row>
    <row r="96" spans="2:57">
      <c r="B96" s="13" t="s">
        <v>1333</v>
      </c>
      <c r="D96" s="14"/>
      <c r="E96" s="14">
        <f t="shared" ref="E96:AF96" si="125">+IFERROR(IF(E95/D95&lt;0,"n/m ",E95/D95-1),"n/a ")</f>
        <v>0.34457196018022729</v>
      </c>
      <c r="F96" s="14">
        <f t="shared" si="125"/>
        <v>0.54128422267488041</v>
      </c>
      <c r="G96" s="14">
        <f t="shared" si="125"/>
        <v>0.25714285714285712</v>
      </c>
      <c r="H96" s="14">
        <f t="shared" si="125"/>
        <v>0.17329454545454559</v>
      </c>
      <c r="I96" s="14">
        <f t="shared" si="125"/>
        <v>0.75060745809778817</v>
      </c>
      <c r="J96" s="14">
        <f t="shared" si="125"/>
        <v>0.32918292484296563</v>
      </c>
      <c r="K96" s="14">
        <f t="shared" si="125"/>
        <v>1.1040596392290163</v>
      </c>
      <c r="L96" s="14">
        <f t="shared" si="125"/>
        <v>0.71513298828629446</v>
      </c>
      <c r="M96" s="14">
        <f t="shared" si="125"/>
        <v>0.66435986159169547</v>
      </c>
      <c r="N96" s="14">
        <f t="shared" si="125"/>
        <v>-0.11295911295911298</v>
      </c>
      <c r="O96" s="14">
        <f t="shared" si="125"/>
        <v>-8.7500000000000022E-2</v>
      </c>
      <c r="P96" s="14">
        <f t="shared" si="125"/>
        <v>-0.25068493150684923</v>
      </c>
      <c r="Q96" s="14">
        <f t="shared" si="125"/>
        <v>-6.2522851919561306E-2</v>
      </c>
      <c r="R96" s="14">
        <f t="shared" si="125"/>
        <v>0.1138845553822152</v>
      </c>
      <c r="S96" s="14">
        <f t="shared" si="125"/>
        <v>-0.13025210084033612</v>
      </c>
      <c r="T96" s="14">
        <f t="shared" si="125"/>
        <v>-6.1996779388083678E-2</v>
      </c>
      <c r="U96" s="14">
        <f t="shared" si="125"/>
        <v>0.26480686695278965</v>
      </c>
      <c r="V96" s="14">
        <f t="shared" si="125"/>
        <v>-6.6508313539192288E-2</v>
      </c>
      <c r="W96" s="14">
        <f t="shared" si="125"/>
        <v>-0.13595056343147949</v>
      </c>
      <c r="X96" s="14">
        <f t="shared" si="125"/>
        <v>-3.197307530500626E-2</v>
      </c>
      <c r="Y96" s="14">
        <f t="shared" si="125"/>
        <v>0.12994350282485878</v>
      </c>
      <c r="Z96" s="14">
        <f t="shared" si="125"/>
        <v>0.17653846153846153</v>
      </c>
      <c r="AA96" s="14">
        <f t="shared" si="125"/>
        <v>0.12929061784897034</v>
      </c>
      <c r="AB96" s="14">
        <f t="shared" si="125"/>
        <v>0.20712114633087286</v>
      </c>
      <c r="AC96" s="14">
        <f t="shared" si="125"/>
        <v>5.8752997601918322E-2</v>
      </c>
      <c r="AD96" s="14">
        <f t="shared" si="125"/>
        <v>0.1590033975084939</v>
      </c>
      <c r="AE96" s="14">
        <f t="shared" si="125"/>
        <v>0.34707836623021304</v>
      </c>
      <c r="AF96" s="14">
        <f t="shared" si="125"/>
        <v>0.43058174960104445</v>
      </c>
      <c r="AG96" s="14">
        <f t="shared" ref="AG96" si="126">+IFERROR(IF(AG95/AF95&lt;0,"n/m ",AG95/AF95-1),"n/a ")</f>
        <v>0.35848291248352093</v>
      </c>
      <c r="AH96" s="14">
        <f t="shared" ref="AH96" si="127">+IFERROR(IF(AH95/AG95&lt;0,"n/m ",AH95/AG95-1),"n/a ")</f>
        <v>0.51918483129292303</v>
      </c>
      <c r="AJ96" s="43"/>
      <c r="AK96" s="43"/>
      <c r="AL96" s="43"/>
      <c r="AM96" s="43"/>
      <c r="AN96" s="43"/>
    </row>
    <row r="97" spans="2:40">
      <c r="B97" t="s">
        <v>1767</v>
      </c>
      <c r="D97" s="86">
        <f>_xll.ciqfunctions.udf.CIQ("MSFT", "IQ_CLOSEPRICE_ADJ", D7)</f>
        <v>0.64705999999999997</v>
      </c>
      <c r="E97" s="86">
        <f>_xll.ciqfunctions.udf.CIQ("MSFT", "IQ_CLOSEPRICE_ADJ", E7)</f>
        <v>0.87001799999999996</v>
      </c>
      <c r="F97" s="86">
        <f>_xll.ciqfunctions.udf.CIQ("MSFT", "IQ_CLOSEPRICE_ADJ", F7)</f>
        <v>1.3409450000000001</v>
      </c>
      <c r="G97" s="86">
        <f>_xll.ciqfunctions.udf.CIQ("MSFT", "IQ_CLOSEPRICE_ADJ", G7)</f>
        <v>1.6857599999999999</v>
      </c>
      <c r="H97" s="86">
        <f>_xll.ciqfunctions.udf.CIQ("MSFT", "IQ_CLOSEPRICE_ADJ", H7)</f>
        <v>1.9778929999999999</v>
      </c>
      <c r="I97" s="86">
        <f>_xll.ciqfunctions.udf.CIQ("MSFT", "IQ_CLOSEPRICE_ADJ", I7)</f>
        <v>3.4625140000000001</v>
      </c>
      <c r="J97" s="86">
        <f>_xll.ciqfunctions.udf.CIQ("MSFT", "IQ_CLOSEPRICE_ADJ", J7)</f>
        <v>4.6023149999999999</v>
      </c>
      <c r="K97" s="86">
        <f>_xll.ciqfunctions.udf.CIQ("MSFT", "IQ_CLOSEPRICE_ADJ", K7)</f>
        <v>9.6835450000000005</v>
      </c>
      <c r="L97" s="86">
        <f>_xll.ciqfunctions.udf.CIQ("MSFT", "IQ_CLOSEPRICE_ADJ", L7)</f>
        <v>16.608567000000001</v>
      </c>
      <c r="M97" s="86">
        <f>_xll.ciqfunctions.udf.CIQ("MSFT", "IQ_CLOSEPRICE_ADJ", M7)</f>
        <v>27.642631999999999</v>
      </c>
      <c r="N97" s="86">
        <f>_xll.ciqfunctions.udf.CIQ("MSFT", "IQ_CLOSEPRICE_ADJ", N7)</f>
        <v>24.520144999999999</v>
      </c>
      <c r="O97" s="86">
        <f>_xll.ciqfunctions.udf.CIQ("MSFT", "IQ_CLOSEPRICE_ADJ", O7)</f>
        <v>22.374631999999998</v>
      </c>
      <c r="P97" s="86">
        <f>_xll.ciqfunctions.udf.CIQ("MSFT", "IQ_CLOSEPRICE_ADJ", P7)</f>
        <v>16.765649</v>
      </c>
      <c r="Q97" s="86">
        <f>_xll.ciqfunctions.udf.CIQ("MSFT", "IQ_CLOSEPRICE_ADJ", Q7)</f>
        <v>15.767951</v>
      </c>
      <c r="R97" s="86">
        <f>_xll.ciqfunctions.udf.CIQ("MSFT", "IQ_CLOSEPRICE_ADJ", R7)</f>
        <v>17.662210999999999</v>
      </c>
      <c r="S97" s="86">
        <f>_xll.ciqfunctions.udf.CIQ("MSFT", "IQ_CLOSEPRICE_ADJ", S7)</f>
        <v>17.279330000000002</v>
      </c>
      <c r="T97" s="86">
        <f>_xll.ciqfunctions.udf.CIQ("MSFT", "IQ_CLOSEPRICE_ADJ", T7)</f>
        <v>16.422872000000002</v>
      </c>
      <c r="U97" s="86">
        <f>_xll.ciqfunctions.udf.CIQ("MSFT", "IQ_CLOSEPRICE_ADJ", U7)</f>
        <v>21.060067</v>
      </c>
      <c r="V97" s="86">
        <f>_xll.ciqfunctions.udf.CIQ("MSFT", "IQ_CLOSEPRICE_ADJ", V7)</f>
        <v>19.943593</v>
      </c>
      <c r="W97" s="86">
        <f>_xll.ciqfunctions.udf.CIQ("MSFT", "IQ_CLOSEPRICE_ADJ", W7)</f>
        <v>17.648987999999999</v>
      </c>
      <c r="X97" s="86">
        <f>_xll.ciqfunctions.udf.CIQ("MSFT", "IQ_CLOSEPRICE_ADJ", X7)</f>
        <v>17.415631999999999</v>
      </c>
      <c r="Y97" s="86">
        <f>_xll.ciqfunctions.udf.CIQ("MSFT", "IQ_CLOSEPRICE_ADJ", Y7)</f>
        <v>20.154108999999998</v>
      </c>
      <c r="Z97" s="86">
        <f>_xll.ciqfunctions.udf.CIQ("MSFT", "IQ_CLOSEPRICE_ADJ", Z7)</f>
        <v>24.35849</v>
      </c>
      <c r="AA97" s="86">
        <f>_xll.ciqfunctions.udf.CIQ("MSFT", "IQ_CLOSEPRICE_ADJ", AA7)</f>
        <v>28.346104</v>
      </c>
      <c r="AB97" s="86">
        <f>_xll.ciqfunctions.udf.CIQ("MSFT", "IQ_CLOSEPRICE_ADJ", AB7)</f>
        <v>35.226748999999998</v>
      </c>
      <c r="AC97" s="86">
        <f>_xll.ciqfunctions.udf.CIQ("MSFT", "IQ_CLOSEPRICE_ADJ", AC7)</f>
        <v>38.282032000000001</v>
      </c>
      <c r="AD97" s="86">
        <f>_xll.ciqfunctions.udf.CIQ("MSFT", "IQ_CLOSEPRICE_ADJ", AD7)</f>
        <v>45.602221</v>
      </c>
      <c r="AE97" s="86">
        <f>_xll.ciqfunctions.udf.CIQ("MSFT", "IQ_CLOSEPRICE_ADJ", AE7)</f>
        <v>62.966349999999998</v>
      </c>
      <c r="AF97" s="86">
        <f>_xll.ciqfunctions.udf.CIQ("MSFT", "IQ_CLOSEPRICE_ADJ", AF7)</f>
        <v>91.837102999999999</v>
      </c>
      <c r="AG97" s="86">
        <f>_xll.ciqfunctions.udf.CIQ("MSFT", "IQ_CLOSEPRICE_ADJ", AG7)</f>
        <v>126.785034</v>
      </c>
      <c r="AH97" s="86">
        <f>_xll.ciqfunctions.udf.CIQ("MSFT", "IQ_CLOSEPRICE_ADJ", AH7)</f>
        <v>194.98002199999999</v>
      </c>
      <c r="AJ97" s="25">
        <f>IFERROR((AH97/AC97)^(1/5)-1,"n/a ")</f>
        <v>0.38483817389755992</v>
      </c>
      <c r="AK97" s="25">
        <f>IFERROR((AH97/X97)^(1/10)-1,"n/a ")</f>
        <v>0.27322479505535657</v>
      </c>
      <c r="AL97" s="25">
        <f>IFERROR((AH97/S97)^(1/15)-1,"n/a ")</f>
        <v>0.17534188845467269</v>
      </c>
      <c r="AM97" s="25">
        <f>IFERROR((AH97/N97)^(1/20)-1,"n/a ")</f>
        <v>0.10923446239510626</v>
      </c>
      <c r="AN97" s="25">
        <f>IFERROR((AH97/I97)^(1/25)-1,"n/a ")</f>
        <v>0.17496232997712324</v>
      </c>
    </row>
    <row r="98" spans="2:40">
      <c r="B98" s="13" t="s">
        <v>1333</v>
      </c>
      <c r="D98" s="14"/>
      <c r="E98" s="14">
        <f t="shared" ref="E98:AF98" si="128">+IFERROR(IF(E97/D97&lt;0,"n/m ",E97/D97-1),"n/a ")</f>
        <v>0.34457082805303996</v>
      </c>
      <c r="F98" s="14">
        <f t="shared" si="128"/>
        <v>0.54128420331533378</v>
      </c>
      <c r="G98" s="14">
        <f t="shared" si="128"/>
        <v>0.25714328328156633</v>
      </c>
      <c r="H98" s="14">
        <f t="shared" si="128"/>
        <v>0.17329453777524684</v>
      </c>
      <c r="I98" s="14">
        <f t="shared" si="128"/>
        <v>0.75060733821293679</v>
      </c>
      <c r="J98" s="14">
        <f t="shared" si="128"/>
        <v>0.32918307333919805</v>
      </c>
      <c r="K98" s="14">
        <f t="shared" si="128"/>
        <v>1.1040595874032961</v>
      </c>
      <c r="L98" s="14">
        <f t="shared" si="128"/>
        <v>0.71513293943488665</v>
      </c>
      <c r="M98" s="14">
        <f t="shared" si="128"/>
        <v>0.66435984513293644</v>
      </c>
      <c r="N98" s="14">
        <f t="shared" si="128"/>
        <v>-0.11295910606486381</v>
      </c>
      <c r="O98" s="14">
        <f t="shared" si="128"/>
        <v>-8.7500012744622935E-2</v>
      </c>
      <c r="P98" s="14">
        <f t="shared" si="128"/>
        <v>-0.25068492746606952</v>
      </c>
      <c r="Q98" s="14">
        <f t="shared" si="128"/>
        <v>-5.950846280987987E-2</v>
      </c>
      <c r="R98" s="14">
        <f t="shared" si="128"/>
        <v>0.12013355444851381</v>
      </c>
      <c r="S98" s="14">
        <f t="shared" si="128"/>
        <v>-2.167797678331429E-2</v>
      </c>
      <c r="T98" s="14">
        <f t="shared" si="128"/>
        <v>-4.9565463475724991E-2</v>
      </c>
      <c r="U98" s="14">
        <f t="shared" si="128"/>
        <v>0.28236200099471009</v>
      </c>
      <c r="V98" s="14">
        <f t="shared" si="128"/>
        <v>-5.3013791456598902E-2</v>
      </c>
      <c r="W98" s="14">
        <f t="shared" si="128"/>
        <v>-0.11505474464907106</v>
      </c>
      <c r="X98" s="14">
        <f t="shared" si="128"/>
        <v>-1.3222061230932947E-2</v>
      </c>
      <c r="Y98" s="14">
        <f t="shared" si="128"/>
        <v>0.15724247044264605</v>
      </c>
      <c r="Z98" s="14">
        <f t="shared" si="128"/>
        <v>0.20861160371813026</v>
      </c>
      <c r="AA98" s="14">
        <f t="shared" si="128"/>
        <v>0.16370530357177326</v>
      </c>
      <c r="AB98" s="14">
        <f t="shared" si="128"/>
        <v>0.24273688546404815</v>
      </c>
      <c r="AC98" s="14">
        <f t="shared" si="128"/>
        <v>8.6731903645153485E-2</v>
      </c>
      <c r="AD98" s="14">
        <f t="shared" si="128"/>
        <v>0.19121735753211833</v>
      </c>
      <c r="AE98" s="14">
        <f t="shared" si="128"/>
        <v>0.38077375661154744</v>
      </c>
      <c r="AF98" s="14">
        <f t="shared" si="128"/>
        <v>0.45851082363834017</v>
      </c>
      <c r="AG98" s="14">
        <f t="shared" ref="AG98" si="129">+IFERROR(IF(AG97/AF97&lt;0,"n/m ",AG97/AF97-1),"n/a ")</f>
        <v>0.38054261141055368</v>
      </c>
      <c r="AH98" s="14">
        <f t="shared" ref="AH98" si="130">+IFERROR(IF(AH97/AG97&lt;0,"n/m ",AH97/AG97-1),"n/a ")</f>
        <v>0.53787884775106809</v>
      </c>
      <c r="AJ98" s="43"/>
      <c r="AK98" s="43"/>
      <c r="AL98" s="43"/>
      <c r="AM98" s="43"/>
      <c r="AN98" s="43"/>
    </row>
    <row r="99" spans="2:40">
      <c r="AJ99" s="43"/>
      <c r="AK99" s="43"/>
      <c r="AL99" s="43"/>
      <c r="AM99" s="43"/>
      <c r="AN99" s="43"/>
    </row>
    <row r="100" spans="2:40">
      <c r="B100" s="24" t="s">
        <v>126</v>
      </c>
      <c r="AJ100" s="43"/>
      <c r="AK100" s="43"/>
      <c r="AL100" s="43"/>
      <c r="AM100" s="43"/>
      <c r="AN100" s="43"/>
    </row>
    <row r="101" spans="2:40">
      <c r="B101" s="17" t="s">
        <v>1768</v>
      </c>
      <c r="D101" s="8">
        <f>_xll.ciqfunctions.udf.CIQ("IQT46156517", "IQ_LASTSALEPRICE", D7)</f>
        <v>391.14432014020599</v>
      </c>
      <c r="E101" s="8">
        <f>_xll.ciqfunctions.udf.CIQ("IQT46156517", "IQ_LASTSALEPRICE", E7)</f>
        <v>420.06658847747599</v>
      </c>
      <c r="F101" s="8">
        <f>_xll.ciqfunctions.udf.CIQ("IQT46156517", "IQ_LASTSALEPRICE", F7)</f>
        <v>476.40939969461698</v>
      </c>
      <c r="G101" s="8">
        <f>_xll.ciqfunctions.udf.CIQ("IQT46156517", "IQ_LASTSALEPRICE", G7)</f>
        <v>541.34130902814104</v>
      </c>
      <c r="H101" s="8">
        <f>_xll.ciqfunctions.udf.CIQ("IQT46156517", "IQ_LASTSALEPRICE", H7)</f>
        <v>548.95612905434996</v>
      </c>
      <c r="I101" s="8">
        <f>_xll.ciqfunctions.udf.CIQ("IQT46156517", "IQ_LASTSALEPRICE", I7)</f>
        <v>692.06681721820905</v>
      </c>
      <c r="J101" s="8">
        <f>_xll.ciqfunctions.udf.CIQ("IQT46156517", "IQ_LASTSALEPRICE", J7)</f>
        <v>872.007824487005</v>
      </c>
      <c r="K101" s="8">
        <f>_xll.ciqfunctions.udf.CIQ("IQT46156517", "IQ_LASTSALEPRICE", K7)</f>
        <v>1174.5862771171901</v>
      </c>
      <c r="L101" s="8">
        <f>_xll.ciqfunctions.udf.CIQ("IQT46156517", "IQ_LASTSALEPRICE", L7)</f>
        <v>1528.8703993541001</v>
      </c>
      <c r="M101" s="8">
        <f>_xll.ciqfunctions.udf.CIQ("IQT46156517", "IQ_LASTSALEPRICE", M7)</f>
        <v>1876.78349798759</v>
      </c>
      <c r="N101" s="8">
        <f>_xll.ciqfunctions.udf.CIQ("IQT46156517", "IQ_LASTSALEPRICE", N7)</f>
        <v>2012.8297692600599</v>
      </c>
      <c r="O101" s="8">
        <f>_xll.ciqfunctions.udf.CIQ("IQT46156517", "IQ_LASTSALEPRICE", O7)</f>
        <v>1714.3207962174499</v>
      </c>
      <c r="P101" s="8">
        <f>_xll.ciqfunctions.udf.CIQ("IQT46156517", "IQ_LASTSALEPRICE", P7)</f>
        <v>1405.9435348581401</v>
      </c>
      <c r="Q101" s="8">
        <f>_xll.ciqfunctions.udf.CIQ("IQT46156517", "IQ_LASTSALEPRICE", Q7)</f>
        <v>1409.4777722854501</v>
      </c>
      <c r="R101" s="8">
        <f>_xll.ciqfunctions.udf.CIQ("IQT46156517", "IQ_LASTSALEPRICE", R7)</f>
        <v>1678.8255786427301</v>
      </c>
      <c r="S101" s="8">
        <f>_xll.ciqfunctions.udf.CIQ("IQT46156517", "IQ_LASTSALEPRICE", S7)</f>
        <v>1784.9872510919899</v>
      </c>
      <c r="T101" s="8">
        <f>_xll.ciqfunctions.udf.CIQ("IQT46156517", "IQ_LASTSALEPRICE", T7)</f>
        <v>1939.03405334177</v>
      </c>
      <c r="U101" s="8">
        <f>_xll.ciqfunctions.udf.CIQ("IQT46156517", "IQ_LASTSALEPRICE", U7)</f>
        <v>2338.24671469641</v>
      </c>
      <c r="V101" s="8">
        <f>_xll.ciqfunctions.udf.CIQ("IQT46156517", "IQ_LASTSALEPRICE", V7)</f>
        <v>2031.47126520334</v>
      </c>
      <c r="W101" s="8">
        <f>_xll.ciqfunctions.udf.CIQ("IQT46156517", "IQ_LASTSALEPRICE", W7)</f>
        <v>1498.93647750693</v>
      </c>
      <c r="X101" s="8">
        <f>_xll.ciqfunctions.udf.CIQ("IQT46156517", "IQ_LASTSALEPRICE", X7)</f>
        <v>1715.2295386216399</v>
      </c>
      <c r="Y101" s="8">
        <f>_xll.ciqfunctions.udf.CIQ("IQT46156517", "IQ_LASTSALEPRICE", Y7)</f>
        <v>2241.66286481517</v>
      </c>
      <c r="Z101" s="8">
        <f>_xll.ciqfunctions.udf.CIQ("IQT46156517", "IQ_LASTSALEPRICE", Z7)</f>
        <v>2363.7888348018701</v>
      </c>
      <c r="AA101" s="8">
        <f>_xll.ciqfunctions.udf.CIQ("IQT46156517", "IQ_LASTSALEPRICE", AA7)</f>
        <v>2850.6622995815501</v>
      </c>
      <c r="AB101" s="8">
        <f>_xll.ciqfunctions.udf.CIQ("IQT46156517", "IQ_LASTSALEPRICE", AB7)</f>
        <v>3552.1817485756001</v>
      </c>
      <c r="AC101" s="8">
        <f>_xll.ciqfunctions.udf.CIQ("IQT46156517", "IQ_LASTSALEPRICE", AC7)</f>
        <v>3815.8528883666299</v>
      </c>
      <c r="AD101" s="8">
        <f>_xll.ciqfunctions.udf.CIQ("IQT46156517", "IQ_LASTSALEPRICE", AD7)</f>
        <v>3968.2057004609001</v>
      </c>
      <c r="AE101" s="8">
        <f>_xll.ciqfunctions.udf.CIQ("IQT46156517", "IQ_LASTSALEPRICE", AE7)</f>
        <v>4678.3601107934801</v>
      </c>
      <c r="AF101" s="8">
        <f>_xll.ciqfunctions.udf.CIQ("IQT46156517", "IQ_LASTSALEPRICE", AF7)</f>
        <v>5350.8319891308702</v>
      </c>
      <c r="AG101" s="8">
        <f>_xll.ciqfunctions.udf.CIQ("IQT46156517", "IQ_LASTSALEPRICE", AG7)</f>
        <v>5908.2514828205503</v>
      </c>
      <c r="AH101" s="8">
        <f>_xll.ciqfunctions.udf.CIQ("IQT46156517", "IQ_LASTSALEPRICE", AH7)</f>
        <v>6351.6668724943602</v>
      </c>
      <c r="AJ101" s="25">
        <f>IFERROR((AH101/AC101)^(1/5)-1,"n/a ")</f>
        <v>0.1072844930092407</v>
      </c>
      <c r="AK101" s="25">
        <f>IFERROR((AH101/X101)^(1/10)-1,"n/a ")</f>
        <v>0.13987320947690063</v>
      </c>
      <c r="AL101" s="25">
        <f>IFERROR((AH101/S101)^(1/15)-1,"n/a ")</f>
        <v>8.8303868500120508E-2</v>
      </c>
      <c r="AM101" s="25">
        <f>IFERROR((AH101/N101)^(1/20)-1,"n/a ")</f>
        <v>5.9141617269100388E-2</v>
      </c>
      <c r="AN101" s="25">
        <f>IFERROR((AH101/I101)^(1/25)-1,"n/a ")</f>
        <v>9.2721749734711922E-2</v>
      </c>
    </row>
    <row r="102" spans="2:40">
      <c r="B102" s="19" t="s">
        <v>1333</v>
      </c>
      <c r="D102" s="14" t="str">
        <f>+IFERROR(IF(D101/#REF!&lt;0,"n/m ",D101/#REF!-1),"n/a ")</f>
        <v xml:space="preserve">n/a </v>
      </c>
      <c r="E102" s="14">
        <f t="shared" ref="E102:AE102" si="131">+IFERROR(IF(E101/D101&lt;0,"n/m ",E101/D101-1),"n/a ")</f>
        <v>7.394270310994866E-2</v>
      </c>
      <c r="F102" s="14">
        <f t="shared" si="131"/>
        <v>0.1341282852829464</v>
      </c>
      <c r="G102" s="14">
        <f t="shared" si="131"/>
        <v>0.13629434972346477</v>
      </c>
      <c r="H102" s="14">
        <f t="shared" si="131"/>
        <v>1.406657851380233E-2</v>
      </c>
      <c r="I102" s="14">
        <f t="shared" si="131"/>
        <v>0.26069603851656842</v>
      </c>
      <c r="J102" s="14">
        <f t="shared" si="131"/>
        <v>0.26000525208256065</v>
      </c>
      <c r="K102" s="14">
        <f t="shared" si="131"/>
        <v>0.34699052477905168</v>
      </c>
      <c r="L102" s="14">
        <f t="shared" si="131"/>
        <v>0.30162460530905943</v>
      </c>
      <c r="M102" s="14">
        <f t="shared" si="131"/>
        <v>0.22756219152419477</v>
      </c>
      <c r="N102" s="14">
        <f t="shared" si="131"/>
        <v>7.2489059829409008E-2</v>
      </c>
      <c r="O102" s="14">
        <f t="shared" si="131"/>
        <v>-0.14830313899438474</v>
      </c>
      <c r="P102" s="14">
        <f t="shared" si="131"/>
        <v>-0.17988305458332332</v>
      </c>
      <c r="Q102" s="14">
        <f t="shared" si="131"/>
        <v>2.5137833345965088E-3</v>
      </c>
      <c r="R102" s="14">
        <f t="shared" si="131"/>
        <v>0.19109759064914944</v>
      </c>
      <c r="S102" s="14">
        <f t="shared" si="131"/>
        <v>6.3235677249501743E-2</v>
      </c>
      <c r="T102" s="14">
        <f t="shared" si="131"/>
        <v>8.6301345937087159E-2</v>
      </c>
      <c r="U102" s="14">
        <f t="shared" si="131"/>
        <v>0.20588223330406641</v>
      </c>
      <c r="V102" s="14">
        <f t="shared" si="131"/>
        <v>-0.13119892249389975</v>
      </c>
      <c r="W102" s="14">
        <f t="shared" si="131"/>
        <v>-0.2621424170836627</v>
      </c>
      <c r="X102" s="14">
        <f t="shared" si="131"/>
        <v>0.14429768329772985</v>
      </c>
      <c r="Y102" s="14">
        <f t="shared" si="131"/>
        <v>0.30691712936367255</v>
      </c>
      <c r="Z102" s="14">
        <f t="shared" si="131"/>
        <v>5.4480079009012528E-2</v>
      </c>
      <c r="AA102" s="14">
        <f t="shared" si="131"/>
        <v>0.20597164078765484</v>
      </c>
      <c r="AB102" s="14">
        <f t="shared" si="131"/>
        <v>0.24608998726261833</v>
      </c>
      <c r="AC102" s="14">
        <f t="shared" si="131"/>
        <v>7.4227941714063439E-2</v>
      </c>
      <c r="AD102" s="14">
        <f t="shared" si="131"/>
        <v>3.9926280323528074E-2</v>
      </c>
      <c r="AE102" s="14">
        <f t="shared" si="131"/>
        <v>0.17896108819411682</v>
      </c>
      <c r="AF102" s="14">
        <f t="shared" ref="AF102" si="132">+IFERROR(IF(AF101/AE101&lt;0,"n/m ",AF101/AE101-1),"n/a ")</f>
        <v>0.1437409396480458</v>
      </c>
      <c r="AG102" s="14">
        <f t="shared" ref="AG102" si="133">+IFERROR(IF(AG101/AF101&lt;0,"n/m ",AG101/AF101-1),"n/a ")</f>
        <v>0.1041743592065616</v>
      </c>
      <c r="AH102" s="14">
        <f t="shared" ref="AH102" si="134">+IFERROR(IF(AH101/AG101&lt;0,"n/m ",AH101/AG101-1),"n/a ")</f>
        <v>7.5050188869436374E-2</v>
      </c>
      <c r="AJ102" s="42"/>
      <c r="AK102" s="42"/>
      <c r="AL102" s="42"/>
      <c r="AM102" s="42"/>
      <c r="AN102" s="42"/>
    </row>
    <row r="103" spans="2:40">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J103" s="42"/>
      <c r="AK103" s="42"/>
      <c r="AL103" s="42"/>
      <c r="AM103" s="42"/>
      <c r="AN103" s="42"/>
    </row>
    <row r="104" spans="2:40">
      <c r="B104" t="s">
        <v>1769</v>
      </c>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J104" s="42"/>
      <c r="AK104" s="42"/>
      <c r="AL104" s="42"/>
      <c r="AM104" s="42"/>
      <c r="AN104" s="42"/>
    </row>
    <row r="105" spans="2:40">
      <c r="B105" s="12" t="s">
        <v>1770</v>
      </c>
      <c r="D105" s="35">
        <f t="shared" ref="D105:AE105" si="135">+IFERROR((E97/D97)^(1/1)-1,"n/a ")</f>
        <v>0.34457082805303996</v>
      </c>
      <c r="E105" s="35">
        <f t="shared" si="135"/>
        <v>0.54128420331533378</v>
      </c>
      <c r="F105" s="35">
        <f t="shared" si="135"/>
        <v>0.25714328328156633</v>
      </c>
      <c r="G105" s="35">
        <f t="shared" si="135"/>
        <v>0.17329453777524684</v>
      </c>
      <c r="H105" s="35">
        <f t="shared" si="135"/>
        <v>0.75060733821293679</v>
      </c>
      <c r="I105" s="35">
        <f t="shared" si="135"/>
        <v>0.32918307333919805</v>
      </c>
      <c r="J105" s="35">
        <f t="shared" si="135"/>
        <v>1.1040595874032961</v>
      </c>
      <c r="K105" s="35">
        <f t="shared" si="135"/>
        <v>0.71513293943488665</v>
      </c>
      <c r="L105" s="35">
        <f t="shared" si="135"/>
        <v>0.66435984513293644</v>
      </c>
      <c r="M105" s="35">
        <f t="shared" si="135"/>
        <v>-0.11295910606486381</v>
      </c>
      <c r="N105" s="35">
        <f t="shared" si="135"/>
        <v>-8.7500012744622935E-2</v>
      </c>
      <c r="O105" s="35">
        <f t="shared" si="135"/>
        <v>-0.25068492746606952</v>
      </c>
      <c r="P105" s="35">
        <f t="shared" si="135"/>
        <v>-5.950846280987987E-2</v>
      </c>
      <c r="Q105" s="35">
        <f t="shared" si="135"/>
        <v>0.12013355444851381</v>
      </c>
      <c r="R105" s="35">
        <f t="shared" si="135"/>
        <v>-2.167797678331429E-2</v>
      </c>
      <c r="S105" s="35">
        <f t="shared" si="135"/>
        <v>-4.9565463475724991E-2</v>
      </c>
      <c r="T105" s="35">
        <f t="shared" si="135"/>
        <v>0.28236200099471009</v>
      </c>
      <c r="U105" s="35">
        <f t="shared" si="135"/>
        <v>-5.3013791456598902E-2</v>
      </c>
      <c r="V105" s="35">
        <f t="shared" si="135"/>
        <v>-0.11505474464907106</v>
      </c>
      <c r="W105" s="35">
        <f t="shared" si="135"/>
        <v>-1.3222061230932947E-2</v>
      </c>
      <c r="X105" s="35">
        <f t="shared" si="135"/>
        <v>0.15724247044264605</v>
      </c>
      <c r="Y105" s="35">
        <f t="shared" si="135"/>
        <v>0.20861160371813026</v>
      </c>
      <c r="Z105" s="35">
        <f t="shared" si="135"/>
        <v>0.16370530357177326</v>
      </c>
      <c r="AA105" s="35">
        <f t="shared" si="135"/>
        <v>0.24273688546404815</v>
      </c>
      <c r="AB105" s="35">
        <f t="shared" si="135"/>
        <v>8.6731903645153485E-2</v>
      </c>
      <c r="AC105" s="35">
        <f t="shared" si="135"/>
        <v>0.19121735753211833</v>
      </c>
      <c r="AD105" s="35">
        <f t="shared" si="135"/>
        <v>0.38077375661154744</v>
      </c>
      <c r="AE105" s="35">
        <f t="shared" si="135"/>
        <v>0.45851082363834017</v>
      </c>
      <c r="AF105" s="35">
        <f t="shared" ref="AF105" si="136">+IFERROR((AG97/AF97)^(1/1)-1,"n/a ")</f>
        <v>0.38054261141055368</v>
      </c>
      <c r="AG105" s="35">
        <f t="shared" ref="AG105" si="137">+IFERROR((AH97/AG97)^(1/1)-1,"n/a ")</f>
        <v>0.53787884775106809</v>
      </c>
      <c r="AH105" s="35" t="s">
        <v>1212</v>
      </c>
      <c r="AJ105" s="42"/>
      <c r="AK105" s="42"/>
      <c r="AL105" s="42"/>
      <c r="AM105" s="42"/>
      <c r="AN105" s="42"/>
    </row>
    <row r="106" spans="2:40">
      <c r="B106" s="12" t="s">
        <v>1771</v>
      </c>
      <c r="D106" s="35">
        <f t="shared" ref="D106:AC106" si="138">+IFERROR((G97/D97)^(1/3)-1,"n/a ")</f>
        <v>0.37599565883550357</v>
      </c>
      <c r="E106" s="35">
        <f t="shared" si="138"/>
        <v>0.31489634600842198</v>
      </c>
      <c r="F106" s="35">
        <f t="shared" si="138"/>
        <v>0.37191390404223879</v>
      </c>
      <c r="G106" s="35">
        <f t="shared" si="138"/>
        <v>0.39763424048529439</v>
      </c>
      <c r="H106" s="35">
        <f t="shared" si="138"/>
        <v>0.69802414171055061</v>
      </c>
      <c r="I106" s="35">
        <f t="shared" si="138"/>
        <v>0.68647616721872429</v>
      </c>
      <c r="J106" s="35">
        <f t="shared" si="138"/>
        <v>0.81775082602401539</v>
      </c>
      <c r="K106" s="35">
        <f t="shared" si="138"/>
        <v>0.36300114182754495</v>
      </c>
      <c r="L106" s="35">
        <f t="shared" si="138"/>
        <v>0.10443775908846065</v>
      </c>
      <c r="M106" s="35">
        <f t="shared" si="138"/>
        <v>-0.15352592950090937</v>
      </c>
      <c r="N106" s="35">
        <f t="shared" si="138"/>
        <v>-0.13685437044704518</v>
      </c>
      <c r="O106" s="35">
        <f t="shared" si="138"/>
        <v>-7.5806189018034376E-2</v>
      </c>
      <c r="P106" s="35">
        <f t="shared" si="138"/>
        <v>1.0110401102607636E-2</v>
      </c>
      <c r="Q106" s="35">
        <f t="shared" si="138"/>
        <v>1.3657602841194327E-2</v>
      </c>
      <c r="R106" s="35">
        <f t="shared" si="138"/>
        <v>6.0404494784237039E-2</v>
      </c>
      <c r="S106" s="35">
        <f t="shared" si="138"/>
        <v>4.89597755215887E-2</v>
      </c>
      <c r="T106" s="35">
        <f t="shared" si="138"/>
        <v>2.4291494885360088E-2</v>
      </c>
      <c r="U106" s="35">
        <f t="shared" si="138"/>
        <v>-6.1372738751852118E-2</v>
      </c>
      <c r="V106" s="35">
        <f t="shared" si="138"/>
        <v>3.5062155522209704E-3</v>
      </c>
      <c r="W106" s="35">
        <f t="shared" si="138"/>
        <v>0.11338026298135673</v>
      </c>
      <c r="X106" s="35">
        <f t="shared" si="138"/>
        <v>0.17629986081219684</v>
      </c>
      <c r="Y106" s="35">
        <f t="shared" si="138"/>
        <v>0.20458186516700771</v>
      </c>
      <c r="Z106" s="35">
        <f t="shared" si="138"/>
        <v>0.16264788647023187</v>
      </c>
      <c r="AA106" s="35">
        <f t="shared" si="138"/>
        <v>0.17173896698149482</v>
      </c>
      <c r="AB106" s="35">
        <f t="shared" si="138"/>
        <v>0.21360861690065658</v>
      </c>
      <c r="AC106" s="35">
        <f t="shared" si="138"/>
        <v>0.33867267247189514</v>
      </c>
      <c r="AD106" s="35" t="str">
        <f>+IFERROR(($AF$97/AD$97)^(1/((#REF!-#REF!)/365))-1,"n/a ")</f>
        <v xml:space="preserve">n/a </v>
      </c>
      <c r="AE106" s="35" t="str">
        <f>+IFERROR(($AF$97/AE$97)^(1/((#REF!-#REF!)/365))-1,"n/a ")</f>
        <v xml:space="preserve">n/a </v>
      </c>
      <c r="AF106" s="35" t="str">
        <f>+IFERROR(($AF$97/AF$97)^(1/((#REF!-#REF!)/365))-1,"n/a ")</f>
        <v xml:space="preserve">n/a </v>
      </c>
      <c r="AG106" s="35" t="str">
        <f>+IFERROR(($AF$97/AG$97)^(1/((#REF!-#REF!)/365))-1,"n/a ")</f>
        <v xml:space="preserve">n/a </v>
      </c>
      <c r="AH106" s="35" t="str">
        <f>+IFERROR(($AF$97/AH$97)^(1/((#REF!-#REF!)/365))-1,"n/a ")</f>
        <v xml:space="preserve">n/a </v>
      </c>
      <c r="AJ106" s="42"/>
      <c r="AK106" s="42"/>
      <c r="AL106" s="42"/>
      <c r="AM106" s="42"/>
      <c r="AN106" s="42"/>
    </row>
    <row r="107" spans="2:40">
      <c r="B107" s="12" t="s">
        <v>1772</v>
      </c>
      <c r="D107" s="35">
        <f t="shared" ref="D107:AA107" si="139">+IFERROR((I97/D97)^(1/5)-1,"n/a ")</f>
        <v>0.39858670957744957</v>
      </c>
      <c r="E107" s="35">
        <f t="shared" si="139"/>
        <v>0.39537076752703415</v>
      </c>
      <c r="F107" s="35">
        <f t="shared" si="139"/>
        <v>0.48499394201179613</v>
      </c>
      <c r="G107" s="35">
        <f t="shared" si="139"/>
        <v>0.58018263033131579</v>
      </c>
      <c r="H107" s="35">
        <f t="shared" si="139"/>
        <v>0.69463167510699364</v>
      </c>
      <c r="I107" s="35">
        <f t="shared" si="139"/>
        <v>0.47919795998048342</v>
      </c>
      <c r="J107" s="35">
        <f t="shared" si="139"/>
        <v>0.37200568909444498</v>
      </c>
      <c r="K107" s="35">
        <f t="shared" si="139"/>
        <v>0.1160334174954063</v>
      </c>
      <c r="L107" s="35">
        <f t="shared" si="139"/>
        <v>-1.0334069616500741E-2</v>
      </c>
      <c r="M107" s="35">
        <f t="shared" si="139"/>
        <v>-8.5690704098709269E-2</v>
      </c>
      <c r="N107" s="35">
        <f t="shared" si="139"/>
        <v>-6.7603202977170596E-2</v>
      </c>
      <c r="O107" s="35">
        <f t="shared" si="139"/>
        <v>-5.9976650322500435E-2</v>
      </c>
      <c r="P107" s="35">
        <f t="shared" si="139"/>
        <v>4.6665419261915364E-2</v>
      </c>
      <c r="Q107" s="35">
        <f t="shared" si="139"/>
        <v>4.8107016134237179E-2</v>
      </c>
      <c r="R107" s="35">
        <f t="shared" si="139"/>
        <v>-1.4977696274687258E-4</v>
      </c>
      <c r="S107" s="35">
        <f t="shared" si="139"/>
        <v>1.5726762076893053E-3</v>
      </c>
      <c r="T107" s="35">
        <f t="shared" si="139"/>
        <v>4.1796511887946197E-2</v>
      </c>
      <c r="U107" s="35">
        <f t="shared" si="139"/>
        <v>2.9527905704771706E-2</v>
      </c>
      <c r="V107" s="35">
        <f t="shared" si="139"/>
        <v>7.2847502894789695E-2</v>
      </c>
      <c r="W107" s="35">
        <f t="shared" si="139"/>
        <v>0.14823439379109216</v>
      </c>
      <c r="X107" s="35">
        <f t="shared" si="139"/>
        <v>0.17060708557826887</v>
      </c>
      <c r="Y107" s="35">
        <f t="shared" si="139"/>
        <v>0.17740121159590316</v>
      </c>
      <c r="Z107" s="35">
        <f t="shared" si="139"/>
        <v>0.2091818822176974</v>
      </c>
      <c r="AA107" s="35">
        <f t="shared" si="139"/>
        <v>0.26504204461839898</v>
      </c>
      <c r="AB107" s="35" t="str">
        <f>+IFERROR(($AF$97/AB$97)^(1/((#REF!-#REF!)/365))-1,"n/a ")</f>
        <v xml:space="preserve">n/a </v>
      </c>
      <c r="AC107" s="35" t="str">
        <f>+IFERROR(($AF$97/AC$97)^(1/((#REF!-#REF!)/365))-1,"n/a ")</f>
        <v xml:space="preserve">n/a </v>
      </c>
      <c r="AD107" s="35" t="str">
        <f>+IFERROR(($AF$97/AD$97)^(1/((#REF!-#REF!)/365))-1,"n/a ")</f>
        <v xml:space="preserve">n/a </v>
      </c>
      <c r="AE107" s="35" t="str">
        <f>+IFERROR(($AF$97/AE$97)^(1/((#REF!-#REF!)/365))-1,"n/a ")</f>
        <v xml:space="preserve">n/a </v>
      </c>
      <c r="AF107" s="35" t="str">
        <f>+IFERROR(($AF$97/AF$97)^(1/((#REF!-#REF!)/365))-1,"n/a ")</f>
        <v xml:space="preserve">n/a </v>
      </c>
      <c r="AG107" s="35" t="str">
        <f>+IFERROR(($AF$97/AG$97)^(1/((#REF!-#REF!)/365))-1,"n/a ")</f>
        <v xml:space="preserve">n/a </v>
      </c>
      <c r="AH107" s="35" t="str">
        <f>+IFERROR(($AF$97/AH$97)^(1/((#REF!-#REF!)/365))-1,"n/a ")</f>
        <v xml:space="preserve">n/a </v>
      </c>
      <c r="AJ107" s="42"/>
      <c r="AK107" s="42"/>
      <c r="AL107" s="42"/>
      <c r="AM107" s="42"/>
      <c r="AN107" s="42"/>
    </row>
    <row r="108" spans="2:40">
      <c r="B108" s="12" t="s">
        <v>1773</v>
      </c>
      <c r="D108" s="35">
        <f t="shared" ref="D108:V108" si="140">+IFERROR((N97/D97)^(1/10)-1,"n/a ")</f>
        <v>0.4383277121931497</v>
      </c>
      <c r="E108" s="35">
        <f t="shared" si="140"/>
        <v>0.38363890934129663</v>
      </c>
      <c r="F108" s="35">
        <f t="shared" si="140"/>
        <v>0.28736275542808842</v>
      </c>
      <c r="G108" s="35">
        <f t="shared" si="140"/>
        <v>0.25054104811584921</v>
      </c>
      <c r="H108" s="35">
        <f t="shared" si="140"/>
        <v>0.24475599764737033</v>
      </c>
      <c r="I108" s="35">
        <f t="shared" si="140"/>
        <v>0.17439322207193708</v>
      </c>
      <c r="J108" s="35">
        <f t="shared" si="140"/>
        <v>0.13565724742949903</v>
      </c>
      <c r="K108" s="35">
        <f t="shared" si="140"/>
        <v>8.0793035152030068E-2</v>
      </c>
      <c r="L108" s="35">
        <f t="shared" si="140"/>
        <v>1.8467380559614721E-2</v>
      </c>
      <c r="M108" s="35">
        <f t="shared" si="140"/>
        <v>-4.3876392179369228E-2</v>
      </c>
      <c r="N108" s="35">
        <f t="shared" si="140"/>
        <v>-3.3634046915128057E-2</v>
      </c>
      <c r="O108" s="35">
        <f t="shared" si="140"/>
        <v>-1.0397530931110621E-2</v>
      </c>
      <c r="P108" s="35">
        <f t="shared" si="140"/>
        <v>3.8061297354990753E-2</v>
      </c>
      <c r="Q108" s="35">
        <f t="shared" si="140"/>
        <v>6.0405108921173234E-2</v>
      </c>
      <c r="R108" s="35">
        <f t="shared" si="140"/>
        <v>7.1476744839134909E-2</v>
      </c>
      <c r="S108" s="35">
        <f t="shared" si="140"/>
        <v>8.2796412762025318E-2</v>
      </c>
      <c r="T108" s="35">
        <f t="shared" si="140"/>
        <v>0.10752538360673869</v>
      </c>
      <c r="U108" s="35">
        <f t="shared" si="140"/>
        <v>0.11574481437994599</v>
      </c>
      <c r="V108" s="35">
        <f t="shared" si="140"/>
        <v>0.16498806801862509</v>
      </c>
      <c r="W108" s="35" t="str">
        <f>+IFERROR(($AF$97/W$97)^(1/((#REF!-AF$7)/365))-1,"n/a ")</f>
        <v xml:space="preserve">n/a </v>
      </c>
      <c r="X108" s="35" t="str">
        <f>+IFERROR(($AF$97/X$97)^(1/((#REF!-#REF!)/365))-1,"n/a ")</f>
        <v xml:space="preserve">n/a </v>
      </c>
      <c r="Y108" s="35" t="str">
        <f>+IFERROR(($AF$97/Y$97)^(1/((#REF!-#REF!)/365))-1,"n/a ")</f>
        <v xml:space="preserve">n/a </v>
      </c>
      <c r="Z108" s="35" t="str">
        <f>+IFERROR(($AF$97/Z$97)^(1/((#REF!-#REF!)/365))-1,"n/a ")</f>
        <v xml:space="preserve">n/a </v>
      </c>
      <c r="AA108" s="35" t="str">
        <f>+IFERROR(($AF$97/AA$97)^(1/((#REF!-#REF!)/365))-1,"n/a ")</f>
        <v xml:space="preserve">n/a </v>
      </c>
      <c r="AB108" s="35" t="str">
        <f>+IFERROR(($AF$97/AB$97)^(1/((#REF!-#REF!)/365))-1,"n/a ")</f>
        <v xml:space="preserve">n/a </v>
      </c>
      <c r="AC108" s="35" t="str">
        <f>+IFERROR(($AF$97/AC$97)^(1/((#REF!-#REF!)/365))-1,"n/a ")</f>
        <v xml:space="preserve">n/a </v>
      </c>
      <c r="AD108" s="35" t="str">
        <f>+IFERROR(($AF$97/AD$97)^(1/((#REF!-#REF!)/365))-1,"n/a ")</f>
        <v xml:space="preserve">n/a </v>
      </c>
      <c r="AE108" s="35" t="str">
        <f>+IFERROR(($AF$97/AE$97)^(1/((#REF!-#REF!)/365))-1,"n/a ")</f>
        <v xml:space="preserve">n/a </v>
      </c>
      <c r="AF108" s="35" t="str">
        <f>+IFERROR(($AF$97/AF$97)^(1/((#REF!-#REF!)/365))-1,"n/a ")</f>
        <v xml:space="preserve">n/a </v>
      </c>
      <c r="AG108" s="35" t="str">
        <f>+IFERROR(($AF$97/AG$97)^(1/((#REF!-#REF!)/365))-1,"n/a ")</f>
        <v xml:space="preserve">n/a </v>
      </c>
      <c r="AH108" s="35" t="str">
        <f>+IFERROR(($AF$97/AH$97)^(1/((#REF!-#REF!)/365))-1,"n/a ")</f>
        <v xml:space="preserve">n/a </v>
      </c>
      <c r="AJ108" s="42"/>
      <c r="AK108" s="42"/>
      <c r="AL108" s="42"/>
      <c r="AM108" s="42"/>
      <c r="AN108" s="42"/>
    </row>
  </sheetData>
  <mergeCells count="1">
    <mergeCell ref="AD9:AF10"/>
  </mergeCells>
  <pageMargins left="0.2" right="0.2" top="0.2" bottom="0.2" header="0.2" footer="0.2"/>
  <pageSetup scale="50" orientation="landscape" r:id="rId1"/>
  <headerFooter>
    <oddFooter>&amp;CPage &amp;P of &amp;N</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2:D174"/>
  <sheetViews>
    <sheetView view="pageBreakPreview" zoomScale="85" zoomScaleNormal="85" zoomScaleSheetLayoutView="85" workbookViewId="0"/>
  </sheetViews>
  <sheetFormatPr defaultRowHeight="9.9499999999999993"/>
  <cols>
    <col min="1" max="1" width="3.83203125" customWidth="1"/>
    <col min="2" max="2" width="40.1640625" bestFit="1" customWidth="1"/>
    <col min="3" max="3" width="2.83203125" customWidth="1"/>
    <col min="4" max="4" width="200.83203125" customWidth="1"/>
  </cols>
  <sheetData>
    <row r="2" spans="2:4" s="1" customFormat="1" ht="10.5">
      <c r="B2" s="1" t="s">
        <v>60</v>
      </c>
    </row>
    <row r="3" spans="2:4" s="2" customFormat="1" ht="10.5">
      <c r="B3" s="2" t="s">
        <v>1774</v>
      </c>
    </row>
    <row r="5" spans="2:4" ht="10.5">
      <c r="B5" s="46" t="s">
        <v>1775</v>
      </c>
      <c r="C5" s="47"/>
      <c r="D5" s="48"/>
    </row>
    <row r="6" spans="2:4" ht="20.100000000000001">
      <c r="B6" s="49" t="s">
        <v>91</v>
      </c>
      <c r="C6" s="50"/>
      <c r="D6" s="51" t="s">
        <v>1776</v>
      </c>
    </row>
    <row r="7" spans="2:4" ht="20.100000000000001">
      <c r="B7" s="49" t="s">
        <v>1777</v>
      </c>
      <c r="C7" s="50"/>
      <c r="D7" s="51" t="s">
        <v>1778</v>
      </c>
    </row>
    <row r="8" spans="2:4" ht="20.100000000000001">
      <c r="B8" s="49" t="s">
        <v>1779</v>
      </c>
      <c r="C8" s="50"/>
      <c r="D8" s="51" t="s">
        <v>1780</v>
      </c>
    </row>
    <row r="9" spans="2:4" ht="10.5">
      <c r="B9" s="49" t="s">
        <v>1781</v>
      </c>
      <c r="C9" s="50"/>
      <c r="D9" s="51" t="s">
        <v>1782</v>
      </c>
    </row>
    <row r="10" spans="2:4" ht="10.5">
      <c r="B10" s="49" t="s">
        <v>280</v>
      </c>
      <c r="C10" s="50"/>
      <c r="D10" s="51" t="s">
        <v>1783</v>
      </c>
    </row>
    <row r="11" spans="2:4" ht="10.5">
      <c r="B11" s="49" t="s">
        <v>279</v>
      </c>
      <c r="C11" s="50"/>
      <c r="D11" s="51" t="s">
        <v>1784</v>
      </c>
    </row>
    <row r="12" spans="2:4" ht="10.5">
      <c r="B12" s="49" t="s">
        <v>281</v>
      </c>
      <c r="C12" s="50"/>
      <c r="D12" s="51" t="s">
        <v>1785</v>
      </c>
    </row>
    <row r="13" spans="2:4" ht="129.94999999999999">
      <c r="B13" s="49" t="s">
        <v>335</v>
      </c>
      <c r="C13" s="50"/>
      <c r="D13" s="51" t="s">
        <v>1786</v>
      </c>
    </row>
    <row r="14" spans="2:4" ht="90">
      <c r="B14" s="49" t="s">
        <v>337</v>
      </c>
      <c r="C14" s="50"/>
      <c r="D14" s="52" t="s">
        <v>1787</v>
      </c>
    </row>
    <row r="15" spans="2:4" ht="120">
      <c r="B15" s="49" t="s">
        <v>339</v>
      </c>
      <c r="C15" s="50"/>
      <c r="D15" s="52" t="s">
        <v>1788</v>
      </c>
    </row>
    <row r="17" spans="2:4" ht="10.5">
      <c r="B17" s="46" t="s">
        <v>1789</v>
      </c>
      <c r="C17" s="47"/>
      <c r="D17" s="48"/>
    </row>
    <row r="18" spans="2:4" ht="20.100000000000001">
      <c r="B18" s="49" t="s">
        <v>91</v>
      </c>
      <c r="C18" s="50"/>
      <c r="D18" s="51" t="s">
        <v>1790</v>
      </c>
    </row>
    <row r="19" spans="2:4" ht="30">
      <c r="B19" s="49" t="s">
        <v>1777</v>
      </c>
      <c r="C19" s="50"/>
      <c r="D19" s="51" t="s">
        <v>1791</v>
      </c>
    </row>
    <row r="20" spans="2:4" ht="10.5">
      <c r="B20" s="49" t="s">
        <v>1779</v>
      </c>
      <c r="C20" s="50"/>
      <c r="D20" s="51" t="s">
        <v>1792</v>
      </c>
    </row>
    <row r="21" spans="2:4" ht="10.5">
      <c r="B21" s="49" t="s">
        <v>1781</v>
      </c>
      <c r="C21" s="50"/>
      <c r="D21" s="51" t="s">
        <v>1793</v>
      </c>
    </row>
    <row r="22" spans="2:4" ht="10.5">
      <c r="B22" s="49" t="s">
        <v>280</v>
      </c>
      <c r="C22" s="50"/>
      <c r="D22" s="51" t="s">
        <v>1794</v>
      </c>
    </row>
    <row r="23" spans="2:4" ht="10.5">
      <c r="B23" s="49" t="s">
        <v>279</v>
      </c>
      <c r="C23" s="50"/>
      <c r="D23" s="51" t="s">
        <v>1795</v>
      </c>
    </row>
    <row r="24" spans="2:4" ht="10.5">
      <c r="B24" s="49" t="s">
        <v>281</v>
      </c>
      <c r="C24" s="50"/>
      <c r="D24" s="51" t="s">
        <v>1796</v>
      </c>
    </row>
    <row r="25" spans="2:4" ht="110.1">
      <c r="B25" s="49" t="s">
        <v>335</v>
      </c>
      <c r="C25" s="50"/>
      <c r="D25" s="51" t="s">
        <v>1797</v>
      </c>
    </row>
    <row r="26" spans="2:4" ht="80.099999999999994">
      <c r="B26" s="49" t="s">
        <v>337</v>
      </c>
      <c r="C26" s="50"/>
      <c r="D26" s="52" t="s">
        <v>1798</v>
      </c>
    </row>
    <row r="27" spans="2:4" ht="110.1">
      <c r="B27" s="49" t="s">
        <v>339</v>
      </c>
      <c r="C27" s="50"/>
      <c r="D27" s="52" t="s">
        <v>1799</v>
      </c>
    </row>
    <row r="29" spans="2:4" ht="10.5">
      <c r="B29" s="46" t="s">
        <v>1800</v>
      </c>
      <c r="C29" s="47"/>
      <c r="D29" s="48"/>
    </row>
    <row r="30" spans="2:4" ht="20.100000000000001">
      <c r="B30" s="49" t="s">
        <v>91</v>
      </c>
      <c r="C30" s="50"/>
      <c r="D30" s="51" t="s">
        <v>1801</v>
      </c>
    </row>
    <row r="31" spans="2:4" ht="20.100000000000001">
      <c r="B31" s="49" t="s">
        <v>1777</v>
      </c>
      <c r="C31" s="50"/>
      <c r="D31" s="51" t="s">
        <v>1802</v>
      </c>
    </row>
    <row r="32" spans="2:4" ht="10.5">
      <c r="B32" s="49" t="s">
        <v>1779</v>
      </c>
      <c r="C32" s="50"/>
      <c r="D32" s="51" t="s">
        <v>1803</v>
      </c>
    </row>
    <row r="33" spans="2:4" ht="10.5">
      <c r="B33" s="49" t="s">
        <v>1781</v>
      </c>
      <c r="C33" s="50"/>
      <c r="D33" s="51" t="s">
        <v>1804</v>
      </c>
    </row>
    <row r="34" spans="2:4" ht="10.5">
      <c r="B34" s="49" t="s">
        <v>280</v>
      </c>
      <c r="C34" s="50"/>
      <c r="D34" s="51" t="s">
        <v>1805</v>
      </c>
    </row>
    <row r="35" spans="2:4" ht="10.5">
      <c r="B35" s="49" t="s">
        <v>279</v>
      </c>
      <c r="C35" s="50"/>
      <c r="D35" s="51" t="s">
        <v>1806</v>
      </c>
    </row>
    <row r="36" spans="2:4" ht="10.5">
      <c r="B36" s="49" t="s">
        <v>281</v>
      </c>
      <c r="C36" s="50"/>
      <c r="D36" s="51" t="s">
        <v>1807</v>
      </c>
    </row>
    <row r="37" spans="2:4" ht="120">
      <c r="B37" s="49" t="s">
        <v>335</v>
      </c>
      <c r="C37" s="50"/>
      <c r="D37" s="51" t="s">
        <v>1808</v>
      </c>
    </row>
    <row r="38" spans="2:4" ht="80.099999999999994">
      <c r="B38" s="49" t="s">
        <v>337</v>
      </c>
      <c r="C38" s="50"/>
      <c r="D38" s="52" t="s">
        <v>1809</v>
      </c>
    </row>
    <row r="39" spans="2:4" ht="129.94999999999999">
      <c r="B39" s="49" t="s">
        <v>339</v>
      </c>
      <c r="C39" s="50"/>
      <c r="D39" s="52" t="s">
        <v>1810</v>
      </c>
    </row>
    <row r="41" spans="2:4" ht="10.5">
      <c r="B41" s="46" t="s">
        <v>1811</v>
      </c>
      <c r="C41" s="47"/>
      <c r="D41" s="48"/>
    </row>
    <row r="42" spans="2:4" ht="20.100000000000001">
      <c r="B42" s="49" t="s">
        <v>91</v>
      </c>
      <c r="C42" s="50"/>
      <c r="D42" s="51" t="s">
        <v>1790</v>
      </c>
    </row>
    <row r="43" spans="2:4" ht="30">
      <c r="B43" s="49" t="s">
        <v>1777</v>
      </c>
      <c r="C43" s="50"/>
      <c r="D43" s="51" t="s">
        <v>1791</v>
      </c>
    </row>
    <row r="44" spans="2:4" ht="10.5">
      <c r="B44" s="49" t="s">
        <v>1779</v>
      </c>
      <c r="C44" s="50"/>
      <c r="D44" s="51" t="s">
        <v>1792</v>
      </c>
    </row>
    <row r="45" spans="2:4" ht="10.5">
      <c r="B45" s="49" t="s">
        <v>1781</v>
      </c>
      <c r="C45" s="50"/>
      <c r="D45" s="51" t="s">
        <v>1812</v>
      </c>
    </row>
    <row r="46" spans="2:4" ht="20.100000000000001">
      <c r="B46" s="49" t="s">
        <v>280</v>
      </c>
      <c r="C46" s="50"/>
      <c r="D46" s="51" t="s">
        <v>1813</v>
      </c>
    </row>
    <row r="47" spans="2:4" ht="10.5">
      <c r="B47" s="49" t="s">
        <v>279</v>
      </c>
      <c r="C47" s="50"/>
      <c r="D47" s="51" t="s">
        <v>1814</v>
      </c>
    </row>
    <row r="48" spans="2:4" ht="10.5">
      <c r="B48" s="49" t="s">
        <v>281</v>
      </c>
      <c r="C48" s="50"/>
      <c r="D48" s="51" t="s">
        <v>1815</v>
      </c>
    </row>
    <row r="49" spans="2:4" ht="110.1">
      <c r="B49" s="49" t="s">
        <v>335</v>
      </c>
      <c r="C49" s="50"/>
      <c r="D49" s="51" t="s">
        <v>1797</v>
      </c>
    </row>
    <row r="50" spans="2:4" ht="80.099999999999994">
      <c r="B50" s="49" t="s">
        <v>337</v>
      </c>
      <c r="C50" s="50"/>
      <c r="D50" s="52" t="s">
        <v>1798</v>
      </c>
    </row>
    <row r="51" spans="2:4" ht="110.1">
      <c r="B51" s="49" t="s">
        <v>339</v>
      </c>
      <c r="C51" s="50"/>
      <c r="D51" s="52" t="s">
        <v>1799</v>
      </c>
    </row>
    <row r="53" spans="2:4" ht="10.5">
      <c r="B53" s="46" t="s">
        <v>1816</v>
      </c>
      <c r="C53" s="47"/>
      <c r="D53" s="48"/>
    </row>
    <row r="54" spans="2:4" ht="30">
      <c r="B54" s="49" t="s">
        <v>91</v>
      </c>
      <c r="C54" s="50"/>
      <c r="D54" s="51" t="s">
        <v>1817</v>
      </c>
    </row>
    <row r="55" spans="2:4" ht="30">
      <c r="B55" s="49" t="s">
        <v>1777</v>
      </c>
      <c r="C55" s="50"/>
      <c r="D55" s="51" t="s">
        <v>1818</v>
      </c>
    </row>
    <row r="56" spans="2:4" ht="20.100000000000001">
      <c r="B56" s="49" t="s">
        <v>1779</v>
      </c>
      <c r="C56" s="50"/>
      <c r="D56" s="51" t="s">
        <v>1819</v>
      </c>
    </row>
    <row r="57" spans="2:4" ht="10.5">
      <c r="B57" s="49" t="s">
        <v>1781</v>
      </c>
      <c r="C57" s="50"/>
      <c r="D57" s="51" t="s">
        <v>1820</v>
      </c>
    </row>
    <row r="58" spans="2:4" ht="10.5">
      <c r="B58" s="49" t="s">
        <v>280</v>
      </c>
      <c r="C58" s="50"/>
      <c r="D58" s="51" t="s">
        <v>1821</v>
      </c>
    </row>
    <row r="59" spans="2:4" ht="10.5">
      <c r="B59" s="49" t="s">
        <v>279</v>
      </c>
      <c r="C59" s="50"/>
      <c r="D59" s="51" t="s">
        <v>1822</v>
      </c>
    </row>
    <row r="60" spans="2:4" ht="10.5">
      <c r="B60" s="49" t="s">
        <v>281</v>
      </c>
      <c r="C60" s="50"/>
      <c r="D60" s="51" t="s">
        <v>1796</v>
      </c>
    </row>
    <row r="61" spans="2:4" ht="120">
      <c r="B61" s="49" t="s">
        <v>335</v>
      </c>
      <c r="C61" s="50"/>
      <c r="D61" s="51" t="s">
        <v>1823</v>
      </c>
    </row>
    <row r="62" spans="2:4" ht="90">
      <c r="B62" s="49" t="s">
        <v>337</v>
      </c>
      <c r="C62" s="50"/>
      <c r="D62" s="52" t="s">
        <v>1824</v>
      </c>
    </row>
    <row r="63" spans="2:4" ht="150">
      <c r="B63" s="49" t="s">
        <v>339</v>
      </c>
      <c r="C63" s="50"/>
      <c r="D63" s="52" t="s">
        <v>1825</v>
      </c>
    </row>
    <row r="65" spans="2:4" ht="10.5">
      <c r="B65" s="46" t="s">
        <v>1826</v>
      </c>
      <c r="C65" s="47"/>
      <c r="D65" s="48"/>
    </row>
    <row r="66" spans="2:4" ht="30">
      <c r="B66" s="49" t="s">
        <v>91</v>
      </c>
      <c r="C66" s="50"/>
      <c r="D66" s="51" t="s">
        <v>1827</v>
      </c>
    </row>
    <row r="67" spans="2:4" ht="30">
      <c r="B67" s="49" t="s">
        <v>1777</v>
      </c>
      <c r="C67" s="50"/>
      <c r="D67" s="51" t="s">
        <v>1828</v>
      </c>
    </row>
    <row r="68" spans="2:4" ht="20.100000000000001">
      <c r="B68" s="49" t="s">
        <v>1779</v>
      </c>
      <c r="C68" s="50"/>
      <c r="D68" s="51" t="s">
        <v>1829</v>
      </c>
    </row>
    <row r="69" spans="2:4" ht="10.5">
      <c r="B69" s="49" t="s">
        <v>1781</v>
      </c>
      <c r="C69" s="50"/>
      <c r="D69" s="51" t="s">
        <v>1830</v>
      </c>
    </row>
    <row r="70" spans="2:4" ht="10.5">
      <c r="B70" s="49" t="s">
        <v>280</v>
      </c>
      <c r="C70" s="50"/>
      <c r="D70" s="51" t="s">
        <v>1831</v>
      </c>
    </row>
    <row r="71" spans="2:4" ht="10.5">
      <c r="B71" s="49" t="s">
        <v>279</v>
      </c>
      <c r="C71" s="50"/>
      <c r="D71" s="51" t="s">
        <v>1832</v>
      </c>
    </row>
    <row r="72" spans="2:4" ht="10.5">
      <c r="B72" s="49" t="s">
        <v>281</v>
      </c>
      <c r="C72" s="50"/>
      <c r="D72" s="51" t="s">
        <v>1815</v>
      </c>
    </row>
    <row r="73" spans="2:4" ht="120">
      <c r="B73" s="49" t="s">
        <v>335</v>
      </c>
      <c r="C73" s="50"/>
      <c r="D73" s="51" t="s">
        <v>1833</v>
      </c>
    </row>
    <row r="74" spans="2:4" ht="90">
      <c r="B74" s="49" t="s">
        <v>337</v>
      </c>
      <c r="C74" s="50"/>
      <c r="D74" s="52" t="s">
        <v>1834</v>
      </c>
    </row>
    <row r="75" spans="2:4" ht="150">
      <c r="B75" s="49" t="s">
        <v>339</v>
      </c>
      <c r="C75" s="50"/>
      <c r="D75" s="52" t="s">
        <v>1835</v>
      </c>
    </row>
    <row r="76" spans="2:4" ht="69.95">
      <c r="B76" s="49" t="s">
        <v>340</v>
      </c>
      <c r="C76" s="50"/>
      <c r="D76" s="52" t="s">
        <v>1836</v>
      </c>
    </row>
    <row r="78" spans="2:4" ht="10.5">
      <c r="B78" s="46" t="s">
        <v>1837</v>
      </c>
      <c r="C78" s="47"/>
      <c r="D78" s="48"/>
    </row>
    <row r="79" spans="2:4" ht="30">
      <c r="B79" s="49" t="s">
        <v>91</v>
      </c>
      <c r="C79" s="50"/>
      <c r="D79" s="51" t="s">
        <v>1838</v>
      </c>
    </row>
    <row r="80" spans="2:4" ht="10.5">
      <c r="B80" s="49" t="s">
        <v>1777</v>
      </c>
      <c r="C80" s="50"/>
      <c r="D80" s="51" t="s">
        <v>1839</v>
      </c>
    </row>
    <row r="81" spans="2:4" ht="10.5">
      <c r="B81" s="49" t="s">
        <v>1779</v>
      </c>
      <c r="C81" s="50"/>
      <c r="D81" s="51" t="s">
        <v>1840</v>
      </c>
    </row>
    <row r="82" spans="2:4" ht="10.5">
      <c r="B82" s="49" t="s">
        <v>1781</v>
      </c>
      <c r="C82" s="50"/>
      <c r="D82" s="51" t="s">
        <v>1841</v>
      </c>
    </row>
    <row r="83" spans="2:4" ht="10.5">
      <c r="B83" s="49" t="s">
        <v>280</v>
      </c>
      <c r="C83" s="50"/>
      <c r="D83" s="51" t="s">
        <v>1842</v>
      </c>
    </row>
    <row r="84" spans="2:4" ht="10.5">
      <c r="B84" s="49" t="s">
        <v>279</v>
      </c>
      <c r="C84" s="50"/>
      <c r="D84" s="51" t="s">
        <v>1843</v>
      </c>
    </row>
    <row r="85" spans="2:4" ht="10.5">
      <c r="B85" s="49" t="s">
        <v>281</v>
      </c>
      <c r="C85" s="50"/>
      <c r="D85" s="51" t="s">
        <v>1844</v>
      </c>
    </row>
    <row r="86" spans="2:4" ht="120">
      <c r="B86" s="49" t="s">
        <v>335</v>
      </c>
      <c r="C86" s="50"/>
      <c r="D86" s="51" t="s">
        <v>1845</v>
      </c>
    </row>
    <row r="87" spans="2:4" ht="90">
      <c r="B87" s="49" t="s">
        <v>337</v>
      </c>
      <c r="C87" s="50"/>
      <c r="D87" s="52" t="s">
        <v>1846</v>
      </c>
    </row>
    <row r="88" spans="2:4" ht="140.1">
      <c r="B88" s="49" t="s">
        <v>339</v>
      </c>
      <c r="C88" s="50"/>
      <c r="D88" s="52" t="s">
        <v>1847</v>
      </c>
    </row>
    <row r="90" spans="2:4" ht="10.5">
      <c r="B90" s="46" t="s">
        <v>1848</v>
      </c>
      <c r="C90" s="47"/>
      <c r="D90" s="48"/>
    </row>
    <row r="91" spans="2:4" ht="39.950000000000003">
      <c r="B91" s="49" t="s">
        <v>91</v>
      </c>
      <c r="C91" s="50"/>
      <c r="D91" s="51" t="s">
        <v>1849</v>
      </c>
    </row>
    <row r="92" spans="2:4" ht="10.5">
      <c r="B92" s="49" t="s">
        <v>1777</v>
      </c>
      <c r="C92" s="50"/>
      <c r="D92" s="51" t="s">
        <v>1850</v>
      </c>
    </row>
    <row r="93" spans="2:4" ht="10.5">
      <c r="B93" s="49" t="s">
        <v>1779</v>
      </c>
      <c r="C93" s="50"/>
      <c r="D93" s="51" t="s">
        <v>1851</v>
      </c>
    </row>
    <row r="94" spans="2:4" ht="10.5">
      <c r="B94" s="49" t="s">
        <v>1781</v>
      </c>
      <c r="C94" s="50"/>
      <c r="D94" s="51" t="s">
        <v>1852</v>
      </c>
    </row>
    <row r="95" spans="2:4" ht="10.5">
      <c r="B95" s="49" t="s">
        <v>280</v>
      </c>
      <c r="C95" s="50"/>
      <c r="D95" s="51" t="s">
        <v>1853</v>
      </c>
    </row>
    <row r="96" spans="2:4" ht="10.5">
      <c r="B96" s="49" t="s">
        <v>279</v>
      </c>
      <c r="C96" s="50"/>
      <c r="D96" s="51" t="s">
        <v>1854</v>
      </c>
    </row>
    <row r="97" spans="2:4" ht="10.5">
      <c r="B97" s="49" t="s">
        <v>281</v>
      </c>
      <c r="C97" s="50"/>
      <c r="D97" s="51" t="s">
        <v>1855</v>
      </c>
    </row>
    <row r="98" spans="2:4" ht="110.1">
      <c r="B98" s="49" t="s">
        <v>335</v>
      </c>
      <c r="C98" s="50"/>
      <c r="D98" s="51" t="s">
        <v>1856</v>
      </c>
    </row>
    <row r="99" spans="2:4" ht="80.099999999999994">
      <c r="B99" s="49" t="s">
        <v>337</v>
      </c>
      <c r="C99" s="50"/>
      <c r="D99" s="52" t="s">
        <v>1857</v>
      </c>
    </row>
    <row r="100" spans="2:4" ht="140.1">
      <c r="B100" s="49" t="s">
        <v>339</v>
      </c>
      <c r="C100" s="50"/>
      <c r="D100" s="52" t="s">
        <v>1858</v>
      </c>
    </row>
    <row r="102" spans="2:4" ht="10.5">
      <c r="B102" s="46" t="s">
        <v>1859</v>
      </c>
      <c r="C102" s="47"/>
      <c r="D102" s="48"/>
    </row>
    <row r="103" spans="2:4" ht="39.950000000000003">
      <c r="B103" s="49" t="s">
        <v>91</v>
      </c>
      <c r="C103" s="50"/>
      <c r="D103" s="51" t="s">
        <v>1860</v>
      </c>
    </row>
    <row r="104" spans="2:4" ht="10.5">
      <c r="B104" s="49" t="s">
        <v>1777</v>
      </c>
      <c r="C104" s="50"/>
      <c r="D104" s="51" t="s">
        <v>1861</v>
      </c>
    </row>
    <row r="105" spans="2:4" ht="20.100000000000001">
      <c r="B105" s="49" t="s">
        <v>1779</v>
      </c>
      <c r="C105" s="50"/>
      <c r="D105" s="51" t="s">
        <v>1862</v>
      </c>
    </row>
    <row r="106" spans="2:4" ht="10.5">
      <c r="B106" s="49" t="s">
        <v>1781</v>
      </c>
      <c r="C106" s="50"/>
      <c r="D106" s="51" t="s">
        <v>1863</v>
      </c>
    </row>
    <row r="107" spans="2:4" ht="10.5">
      <c r="B107" s="49" t="s">
        <v>280</v>
      </c>
      <c r="C107" s="50"/>
      <c r="D107" s="51" t="s">
        <v>1864</v>
      </c>
    </row>
    <row r="108" spans="2:4" ht="10.5">
      <c r="B108" s="49" t="s">
        <v>279</v>
      </c>
      <c r="C108" s="50"/>
      <c r="D108" s="51" t="s">
        <v>1865</v>
      </c>
    </row>
    <row r="109" spans="2:4" ht="10.5">
      <c r="B109" s="49" t="s">
        <v>281</v>
      </c>
      <c r="C109" s="50"/>
      <c r="D109" s="51" t="s">
        <v>1855</v>
      </c>
    </row>
    <row r="110" spans="2:4" ht="90">
      <c r="B110" s="49" t="s">
        <v>335</v>
      </c>
      <c r="C110" s="50"/>
      <c r="D110" s="51" t="s">
        <v>1866</v>
      </c>
    </row>
    <row r="111" spans="2:4" ht="80.099999999999994">
      <c r="B111" s="49" t="s">
        <v>337</v>
      </c>
      <c r="C111" s="50"/>
      <c r="D111" s="52" t="s">
        <v>1867</v>
      </c>
    </row>
    <row r="112" spans="2:4" ht="140.1">
      <c r="B112" s="49" t="s">
        <v>339</v>
      </c>
      <c r="C112" s="50"/>
      <c r="D112" s="52" t="s">
        <v>1868</v>
      </c>
    </row>
    <row r="114" spans="2:4" ht="10.5">
      <c r="B114" s="46" t="s">
        <v>1869</v>
      </c>
      <c r="C114" s="47"/>
      <c r="D114" s="48"/>
    </row>
    <row r="115" spans="2:4" ht="39.950000000000003">
      <c r="B115" s="49" t="s">
        <v>91</v>
      </c>
      <c r="C115" s="50"/>
      <c r="D115" s="51" t="s">
        <v>1870</v>
      </c>
    </row>
    <row r="116" spans="2:4" ht="20.100000000000001">
      <c r="B116" s="49" t="s">
        <v>1777</v>
      </c>
      <c r="C116" s="50"/>
      <c r="D116" s="51" t="s">
        <v>1871</v>
      </c>
    </row>
    <row r="117" spans="2:4" ht="10.5">
      <c r="B117" s="49" t="s">
        <v>1779</v>
      </c>
      <c r="C117" s="50"/>
      <c r="D117" s="51" t="s">
        <v>1872</v>
      </c>
    </row>
    <row r="118" spans="2:4" ht="10.5">
      <c r="B118" s="49" t="s">
        <v>1781</v>
      </c>
      <c r="C118" s="50"/>
      <c r="D118" s="51" t="s">
        <v>1873</v>
      </c>
    </row>
    <row r="119" spans="2:4" ht="10.5">
      <c r="B119" s="49" t="s">
        <v>280</v>
      </c>
      <c r="C119" s="50"/>
      <c r="D119" s="51" t="s">
        <v>1874</v>
      </c>
    </row>
    <row r="120" spans="2:4" ht="10.5">
      <c r="B120" s="49" t="s">
        <v>279</v>
      </c>
      <c r="C120" s="50"/>
      <c r="D120" s="51" t="s">
        <v>1796</v>
      </c>
    </row>
    <row r="121" spans="2:4" ht="10.5">
      <c r="B121" s="49" t="s">
        <v>281</v>
      </c>
      <c r="C121" s="50"/>
      <c r="D121" s="51" t="s">
        <v>1796</v>
      </c>
    </row>
    <row r="122" spans="2:4" ht="99.95">
      <c r="B122" s="49" t="s">
        <v>335</v>
      </c>
      <c r="C122" s="50"/>
      <c r="D122" s="51" t="s">
        <v>1875</v>
      </c>
    </row>
    <row r="123" spans="2:4" ht="90">
      <c r="B123" s="49" t="s">
        <v>337</v>
      </c>
      <c r="C123" s="50"/>
      <c r="D123" s="52" t="s">
        <v>1876</v>
      </c>
    </row>
    <row r="124" spans="2:4" ht="189.95">
      <c r="B124" s="49" t="s">
        <v>339</v>
      </c>
      <c r="C124" s="50"/>
      <c r="D124" s="52" t="s">
        <v>1877</v>
      </c>
    </row>
    <row r="125" spans="2:4" ht="69.95">
      <c r="B125" s="49" t="s">
        <v>340</v>
      </c>
      <c r="C125" s="50"/>
      <c r="D125" s="52" t="s">
        <v>1878</v>
      </c>
    </row>
    <row r="127" spans="2:4" ht="10.5">
      <c r="B127" s="46" t="s">
        <v>1879</v>
      </c>
      <c r="C127" s="47"/>
      <c r="D127" s="48"/>
    </row>
    <row r="128" spans="2:4" ht="20.100000000000001">
      <c r="B128" s="49" t="s">
        <v>91</v>
      </c>
      <c r="C128" s="50"/>
      <c r="D128" s="51" t="s">
        <v>1880</v>
      </c>
    </row>
    <row r="129" spans="2:4" ht="10.5">
      <c r="B129" s="49" t="s">
        <v>1777</v>
      </c>
      <c r="C129" s="50"/>
      <c r="D129" s="51" t="s">
        <v>1881</v>
      </c>
    </row>
    <row r="130" spans="2:4" ht="10.5">
      <c r="B130" s="49" t="s">
        <v>1779</v>
      </c>
      <c r="C130" s="50"/>
      <c r="D130" s="51" t="s">
        <v>1882</v>
      </c>
    </row>
    <row r="131" spans="2:4" ht="10.5">
      <c r="B131" s="49" t="s">
        <v>1781</v>
      </c>
      <c r="C131" s="50"/>
      <c r="D131" s="51" t="s">
        <v>1883</v>
      </c>
    </row>
    <row r="132" spans="2:4" ht="10.5">
      <c r="B132" s="49" t="s">
        <v>280</v>
      </c>
      <c r="C132" s="50"/>
      <c r="D132" s="51" t="s">
        <v>1796</v>
      </c>
    </row>
    <row r="133" spans="2:4" ht="10.5">
      <c r="B133" s="49" t="s">
        <v>279</v>
      </c>
      <c r="C133" s="50"/>
      <c r="D133" s="51" t="s">
        <v>1884</v>
      </c>
    </row>
    <row r="134" spans="2:4" ht="10.5">
      <c r="B134" s="49" t="s">
        <v>281</v>
      </c>
      <c r="C134" s="50"/>
      <c r="D134" s="51" t="s">
        <v>1796</v>
      </c>
    </row>
    <row r="135" spans="2:4" ht="110.1">
      <c r="B135" s="49" t="s">
        <v>335</v>
      </c>
      <c r="C135" s="50"/>
      <c r="D135" s="51" t="s">
        <v>1885</v>
      </c>
    </row>
    <row r="136" spans="2:4" ht="69.95">
      <c r="B136" s="49" t="s">
        <v>337</v>
      </c>
      <c r="C136" s="50"/>
      <c r="D136" s="52" t="s">
        <v>1886</v>
      </c>
    </row>
    <row r="137" spans="2:4" ht="189.95">
      <c r="B137" s="49" t="s">
        <v>339</v>
      </c>
      <c r="C137" s="50"/>
      <c r="D137" s="52" t="s">
        <v>1887</v>
      </c>
    </row>
    <row r="138" spans="2:4" ht="69.95">
      <c r="B138" s="49" t="s">
        <v>340</v>
      </c>
      <c r="C138" s="50"/>
      <c r="D138" s="52" t="s">
        <v>1888</v>
      </c>
    </row>
    <row r="140" spans="2:4" ht="10.5">
      <c r="B140" s="46" t="s">
        <v>1889</v>
      </c>
      <c r="C140" s="47"/>
      <c r="D140" s="48"/>
    </row>
    <row r="141" spans="2:4" ht="20.100000000000001">
      <c r="B141" s="49" t="s">
        <v>91</v>
      </c>
      <c r="C141" s="50"/>
      <c r="D141" s="51" t="s">
        <v>1890</v>
      </c>
    </row>
    <row r="142" spans="2:4" ht="20.100000000000001">
      <c r="B142" s="49" t="s">
        <v>1777</v>
      </c>
      <c r="C142" s="50"/>
      <c r="D142" s="51" t="s">
        <v>1891</v>
      </c>
    </row>
    <row r="143" spans="2:4" ht="10.5">
      <c r="B143" s="49" t="s">
        <v>1779</v>
      </c>
      <c r="C143" s="50"/>
      <c r="D143" s="51" t="s">
        <v>1892</v>
      </c>
    </row>
    <row r="144" spans="2:4" ht="10.5">
      <c r="B144" s="49" t="s">
        <v>1781</v>
      </c>
      <c r="C144" s="50"/>
      <c r="D144" s="51" t="s">
        <v>1893</v>
      </c>
    </row>
    <row r="145" spans="2:4" ht="10.5">
      <c r="B145" s="49" t="s">
        <v>280</v>
      </c>
      <c r="C145" s="50"/>
      <c r="D145" s="51" t="s">
        <v>1796</v>
      </c>
    </row>
    <row r="146" spans="2:4" ht="10.5">
      <c r="B146" s="49" t="s">
        <v>279</v>
      </c>
      <c r="C146" s="50"/>
      <c r="D146" s="51" t="s">
        <v>1894</v>
      </c>
    </row>
    <row r="147" spans="2:4" ht="10.5">
      <c r="B147" s="49" t="s">
        <v>281</v>
      </c>
      <c r="C147" s="50"/>
      <c r="D147" s="51" t="s">
        <v>1796</v>
      </c>
    </row>
    <row r="148" spans="2:4" ht="369.95">
      <c r="B148" s="49" t="s">
        <v>1895</v>
      </c>
      <c r="C148" s="50"/>
      <c r="D148" s="51" t="s">
        <v>1896</v>
      </c>
    </row>
    <row r="149" spans="2:4" ht="159.94999999999999">
      <c r="B149" s="49" t="s">
        <v>1206</v>
      </c>
      <c r="C149" s="50"/>
      <c r="D149" s="52" t="s">
        <v>1897</v>
      </c>
    </row>
    <row r="150" spans="2:4" ht="39.950000000000003">
      <c r="B150" s="49" t="s">
        <v>340</v>
      </c>
      <c r="C150" s="50"/>
      <c r="D150" s="52" t="s">
        <v>1898</v>
      </c>
    </row>
    <row r="152" spans="2:4" ht="10.5">
      <c r="B152" s="46" t="s">
        <v>1899</v>
      </c>
      <c r="C152" s="47"/>
      <c r="D152" s="48"/>
    </row>
    <row r="153" spans="2:4" ht="20.100000000000001">
      <c r="B153" s="49" t="s">
        <v>91</v>
      </c>
      <c r="C153" s="50"/>
      <c r="D153" s="51" t="s">
        <v>1900</v>
      </c>
    </row>
    <row r="154" spans="2:4" ht="10.5">
      <c r="B154" s="49" t="s">
        <v>1777</v>
      </c>
      <c r="C154" s="50"/>
      <c r="D154" s="51" t="s">
        <v>1901</v>
      </c>
    </row>
    <row r="155" spans="2:4" ht="10.5">
      <c r="B155" s="49" t="s">
        <v>1779</v>
      </c>
      <c r="C155" s="50"/>
      <c r="D155" s="51" t="s">
        <v>1902</v>
      </c>
    </row>
    <row r="156" spans="2:4" ht="20.100000000000001">
      <c r="B156" s="49" t="s">
        <v>1781</v>
      </c>
      <c r="C156" s="50"/>
      <c r="D156" s="51" t="s">
        <v>1903</v>
      </c>
    </row>
    <row r="157" spans="2:4" ht="10.5">
      <c r="B157" s="49" t="s">
        <v>280</v>
      </c>
      <c r="C157" s="50"/>
      <c r="D157" s="51" t="s">
        <v>1904</v>
      </c>
    </row>
    <row r="158" spans="2:4" ht="20.100000000000001">
      <c r="B158" s="49" t="s">
        <v>279</v>
      </c>
      <c r="C158" s="50"/>
      <c r="D158" s="51" t="s">
        <v>1905</v>
      </c>
    </row>
    <row r="159" spans="2:4" ht="10.5">
      <c r="B159" s="49" t="s">
        <v>281</v>
      </c>
      <c r="C159" s="50"/>
      <c r="D159" s="51" t="s">
        <v>1796</v>
      </c>
    </row>
    <row r="160" spans="2:4" ht="360">
      <c r="B160" s="49" t="s">
        <v>1895</v>
      </c>
      <c r="C160" s="50"/>
      <c r="D160" s="51" t="s">
        <v>1906</v>
      </c>
    </row>
    <row r="161" spans="2:4" ht="159.94999999999999">
      <c r="B161" s="49" t="s">
        <v>1206</v>
      </c>
      <c r="C161" s="50"/>
      <c r="D161" s="52" t="s">
        <v>1907</v>
      </c>
    </row>
    <row r="162" spans="2:4" ht="39.950000000000003">
      <c r="B162" s="49" t="s">
        <v>340</v>
      </c>
      <c r="C162" s="50"/>
      <c r="D162" s="52" t="s">
        <v>1908</v>
      </c>
    </row>
    <row r="164" spans="2:4" ht="10.5">
      <c r="B164" s="46" t="s">
        <v>1909</v>
      </c>
      <c r="C164" s="47"/>
      <c r="D164" s="48"/>
    </row>
    <row r="165" spans="2:4" ht="10.5">
      <c r="B165" s="49" t="s">
        <v>91</v>
      </c>
      <c r="C165" s="50"/>
      <c r="D165" s="51" t="s">
        <v>1910</v>
      </c>
    </row>
    <row r="166" spans="2:4" ht="10.5">
      <c r="B166" s="49" t="s">
        <v>1777</v>
      </c>
      <c r="C166" s="50"/>
      <c r="D166" s="51" t="s">
        <v>1796</v>
      </c>
    </row>
    <row r="167" spans="2:4" ht="10.5">
      <c r="B167" s="49" t="s">
        <v>1779</v>
      </c>
      <c r="C167" s="50"/>
      <c r="D167" s="51" t="s">
        <v>1911</v>
      </c>
    </row>
    <row r="168" spans="2:4" ht="20.100000000000001">
      <c r="B168" s="49" t="s">
        <v>1781</v>
      </c>
      <c r="C168" s="50"/>
      <c r="D168" s="51" t="s">
        <v>1912</v>
      </c>
    </row>
    <row r="169" spans="2:4" ht="10.5">
      <c r="B169" s="49" t="s">
        <v>280</v>
      </c>
      <c r="C169" s="50"/>
      <c r="D169" s="51" t="s">
        <v>1913</v>
      </c>
    </row>
    <row r="170" spans="2:4" ht="10.5">
      <c r="B170" s="49" t="s">
        <v>279</v>
      </c>
      <c r="C170" s="50"/>
      <c r="D170" s="51" t="s">
        <v>1914</v>
      </c>
    </row>
    <row r="171" spans="2:4" ht="20.100000000000001">
      <c r="B171" s="49" t="s">
        <v>281</v>
      </c>
      <c r="C171" s="50"/>
      <c r="D171" s="51" t="s">
        <v>1915</v>
      </c>
    </row>
    <row r="172" spans="2:4" ht="270">
      <c r="B172" s="49" t="s">
        <v>1895</v>
      </c>
      <c r="C172" s="50"/>
      <c r="D172" s="51" t="s">
        <v>1916</v>
      </c>
    </row>
    <row r="173" spans="2:4" ht="180">
      <c r="B173" s="49" t="s">
        <v>1206</v>
      </c>
      <c r="C173" s="50"/>
      <c r="D173" s="52" t="s">
        <v>1917</v>
      </c>
    </row>
    <row r="174" spans="2:4" ht="39.950000000000003">
      <c r="B174" s="49" t="s">
        <v>340</v>
      </c>
      <c r="C174" s="50"/>
      <c r="D174" s="52" t="s">
        <v>1918</v>
      </c>
    </row>
  </sheetData>
  <pageMargins left="0.5" right="0.5" top="0.5" bottom="0.5" header="0.3" footer="0.3"/>
  <pageSetup scale="79" fitToHeight="0" orientation="landscape" r:id="rId1"/>
  <headerFooter>
    <oddFooter>Page &amp;P of &amp;N</oddFooter>
  </headerFooter>
  <rowBreaks count="13" manualBreakCount="13">
    <brk id="16" min="1" max="3" man="1"/>
    <brk id="28" min="1" max="3" man="1"/>
    <brk id="40" min="1" max="3" man="1"/>
    <brk id="52" min="1" max="3" man="1"/>
    <brk id="64" min="1" max="3" man="1"/>
    <brk id="77" min="1" max="3" man="1"/>
    <brk id="89" min="1" max="3" man="1"/>
    <brk id="101" min="1" max="3" man="1"/>
    <brk id="113" min="1" max="3" man="1"/>
    <brk id="126" min="1" max="3" man="1"/>
    <brk id="139" min="1" max="3" man="1"/>
    <brk id="151" min="1" max="3" man="1"/>
    <brk id="163" min="1" max="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E46EE-66CE-49C4-A426-68A3C430AD63}">
  <dimension ref="A5:IV376"/>
  <sheetViews>
    <sheetView workbookViewId="0">
      <pane xSplit="1" ySplit="16" topLeftCell="ED234" activePane="bottomRight" state="frozen"/>
      <selection pane="bottomRight" activeCell="EO238" sqref="EO238"/>
      <selection pane="bottomLeft" activeCell="A17" sqref="A17"/>
      <selection pane="topRight" activeCell="B1" sqref="B1"/>
    </sheetView>
  </sheetViews>
  <sheetFormatPr defaultRowHeight="9.9499999999999993"/>
  <cols>
    <col min="1" max="1" width="56" style="100" customWidth="1"/>
    <col min="2" max="31" width="18.1640625" style="100" customWidth="1"/>
    <col min="32" max="32" width="8.83203125" style="100"/>
    <col min="33" max="33" width="56" style="100" customWidth="1"/>
    <col min="34" max="144" width="18.1640625" style="100" customWidth="1"/>
    <col min="145" max="256" width="8.83203125" style="100"/>
    <col min="257" max="257" width="56" style="100" customWidth="1"/>
    <col min="258" max="287" width="18.1640625" style="100" customWidth="1"/>
    <col min="288" max="512" width="8.83203125" style="100"/>
    <col min="513" max="513" width="56" style="100" customWidth="1"/>
    <col min="514" max="543" width="18.1640625" style="100" customWidth="1"/>
    <col min="544" max="768" width="8.83203125" style="100"/>
    <col min="769" max="769" width="56" style="100" customWidth="1"/>
    <col min="770" max="799" width="18.1640625" style="100" customWidth="1"/>
    <col min="800" max="1024" width="8.83203125" style="100"/>
    <col min="1025" max="1025" width="56" style="100" customWidth="1"/>
    <col min="1026" max="1055" width="18.1640625" style="100" customWidth="1"/>
    <col min="1056" max="1280" width="8.83203125" style="100"/>
    <col min="1281" max="1281" width="56" style="100" customWidth="1"/>
    <col min="1282" max="1311" width="18.1640625" style="100" customWidth="1"/>
    <col min="1312" max="1536" width="8.83203125" style="100"/>
    <col min="1537" max="1537" width="56" style="100" customWidth="1"/>
    <col min="1538" max="1567" width="18.1640625" style="100" customWidth="1"/>
    <col min="1568" max="1792" width="8.83203125" style="100"/>
    <col min="1793" max="1793" width="56" style="100" customWidth="1"/>
    <col min="1794" max="1823" width="18.1640625" style="100" customWidth="1"/>
    <col min="1824" max="2048" width="8.83203125" style="100"/>
    <col min="2049" max="2049" width="56" style="100" customWidth="1"/>
    <col min="2050" max="2079" width="18.1640625" style="100" customWidth="1"/>
    <col min="2080" max="2304" width="8.83203125" style="100"/>
    <col min="2305" max="2305" width="56" style="100" customWidth="1"/>
    <col min="2306" max="2335" width="18.1640625" style="100" customWidth="1"/>
    <col min="2336" max="2560" width="8.83203125" style="100"/>
    <col min="2561" max="2561" width="56" style="100" customWidth="1"/>
    <col min="2562" max="2591" width="18.1640625" style="100" customWidth="1"/>
    <col min="2592" max="2816" width="8.83203125" style="100"/>
    <col min="2817" max="2817" width="56" style="100" customWidth="1"/>
    <col min="2818" max="2847" width="18.1640625" style="100" customWidth="1"/>
    <col min="2848" max="3072" width="8.83203125" style="100"/>
    <col min="3073" max="3073" width="56" style="100" customWidth="1"/>
    <col min="3074" max="3103" width="18.1640625" style="100" customWidth="1"/>
    <col min="3104" max="3328" width="8.83203125" style="100"/>
    <col min="3329" max="3329" width="56" style="100" customWidth="1"/>
    <col min="3330" max="3359" width="18.1640625" style="100" customWidth="1"/>
    <col min="3360" max="3584" width="8.83203125" style="100"/>
    <col min="3585" max="3585" width="56" style="100" customWidth="1"/>
    <col min="3586" max="3615" width="18.1640625" style="100" customWidth="1"/>
    <col min="3616" max="3840" width="8.83203125" style="100"/>
    <col min="3841" max="3841" width="56" style="100" customWidth="1"/>
    <col min="3842" max="3871" width="18.1640625" style="100" customWidth="1"/>
    <col min="3872" max="4096" width="8.83203125" style="100"/>
    <col min="4097" max="4097" width="56" style="100" customWidth="1"/>
    <col min="4098" max="4127" width="18.1640625" style="100" customWidth="1"/>
    <col min="4128" max="4352" width="8.83203125" style="100"/>
    <col min="4353" max="4353" width="56" style="100" customWidth="1"/>
    <col min="4354" max="4383" width="18.1640625" style="100" customWidth="1"/>
    <col min="4384" max="4608" width="8.83203125" style="100"/>
    <col min="4609" max="4609" width="56" style="100" customWidth="1"/>
    <col min="4610" max="4639" width="18.1640625" style="100" customWidth="1"/>
    <col min="4640" max="4864" width="8.83203125" style="100"/>
    <col min="4865" max="4865" width="56" style="100" customWidth="1"/>
    <col min="4866" max="4895" width="18.1640625" style="100" customWidth="1"/>
    <col min="4896" max="5120" width="8.83203125" style="100"/>
    <col min="5121" max="5121" width="56" style="100" customWidth="1"/>
    <col min="5122" max="5151" width="18.1640625" style="100" customWidth="1"/>
    <col min="5152" max="5376" width="8.83203125" style="100"/>
    <col min="5377" max="5377" width="56" style="100" customWidth="1"/>
    <col min="5378" max="5407" width="18.1640625" style="100" customWidth="1"/>
    <col min="5408" max="5632" width="8.83203125" style="100"/>
    <col min="5633" max="5633" width="56" style="100" customWidth="1"/>
    <col min="5634" max="5663" width="18.1640625" style="100" customWidth="1"/>
    <col min="5664" max="5888" width="8.83203125" style="100"/>
    <col min="5889" max="5889" width="56" style="100" customWidth="1"/>
    <col min="5890" max="5919" width="18.1640625" style="100" customWidth="1"/>
    <col min="5920" max="6144" width="8.83203125" style="100"/>
    <col min="6145" max="6145" width="56" style="100" customWidth="1"/>
    <col min="6146" max="6175" width="18.1640625" style="100" customWidth="1"/>
    <col min="6176" max="6400" width="8.83203125" style="100"/>
    <col min="6401" max="6401" width="56" style="100" customWidth="1"/>
    <col min="6402" max="6431" width="18.1640625" style="100" customWidth="1"/>
    <col min="6432" max="6656" width="8.83203125" style="100"/>
    <col min="6657" max="6657" width="56" style="100" customWidth="1"/>
    <col min="6658" max="6687" width="18.1640625" style="100" customWidth="1"/>
    <col min="6688" max="6912" width="8.83203125" style="100"/>
    <col min="6913" max="6913" width="56" style="100" customWidth="1"/>
    <col min="6914" max="6943" width="18.1640625" style="100" customWidth="1"/>
    <col min="6944" max="7168" width="8.83203125" style="100"/>
    <col min="7169" max="7169" width="56" style="100" customWidth="1"/>
    <col min="7170" max="7199" width="18.1640625" style="100" customWidth="1"/>
    <col min="7200" max="7424" width="8.83203125" style="100"/>
    <col min="7425" max="7425" width="56" style="100" customWidth="1"/>
    <col min="7426" max="7455" width="18.1640625" style="100" customWidth="1"/>
    <col min="7456" max="7680" width="8.83203125" style="100"/>
    <col min="7681" max="7681" width="56" style="100" customWidth="1"/>
    <col min="7682" max="7711" width="18.1640625" style="100" customWidth="1"/>
    <col min="7712" max="7936" width="8.83203125" style="100"/>
    <col min="7937" max="7937" width="56" style="100" customWidth="1"/>
    <col min="7938" max="7967" width="18.1640625" style="100" customWidth="1"/>
    <col min="7968" max="8192" width="8.83203125" style="100"/>
    <col min="8193" max="8193" width="56" style="100" customWidth="1"/>
    <col min="8194" max="8223" width="18.1640625" style="100" customWidth="1"/>
    <col min="8224" max="8448" width="8.83203125" style="100"/>
    <col min="8449" max="8449" width="56" style="100" customWidth="1"/>
    <col min="8450" max="8479" width="18.1640625" style="100" customWidth="1"/>
    <col min="8480" max="8704" width="8.83203125" style="100"/>
    <col min="8705" max="8705" width="56" style="100" customWidth="1"/>
    <col min="8706" max="8735" width="18.1640625" style="100" customWidth="1"/>
    <col min="8736" max="8960" width="8.83203125" style="100"/>
    <col min="8961" max="8961" width="56" style="100" customWidth="1"/>
    <col min="8962" max="8991" width="18.1640625" style="100" customWidth="1"/>
    <col min="8992" max="9216" width="8.83203125" style="100"/>
    <col min="9217" max="9217" width="56" style="100" customWidth="1"/>
    <col min="9218" max="9247" width="18.1640625" style="100" customWidth="1"/>
    <col min="9248" max="9472" width="8.83203125" style="100"/>
    <col min="9473" max="9473" width="56" style="100" customWidth="1"/>
    <col min="9474" max="9503" width="18.1640625" style="100" customWidth="1"/>
    <col min="9504" max="9728" width="8.83203125" style="100"/>
    <col min="9729" max="9729" width="56" style="100" customWidth="1"/>
    <col min="9730" max="9759" width="18.1640625" style="100" customWidth="1"/>
    <col min="9760" max="9984" width="8.83203125" style="100"/>
    <col min="9985" max="9985" width="56" style="100" customWidth="1"/>
    <col min="9986" max="10015" width="18.1640625" style="100" customWidth="1"/>
    <col min="10016" max="10240" width="8.83203125" style="100"/>
    <col min="10241" max="10241" width="56" style="100" customWidth="1"/>
    <col min="10242" max="10271" width="18.1640625" style="100" customWidth="1"/>
    <col min="10272" max="10496" width="8.83203125" style="100"/>
    <col min="10497" max="10497" width="56" style="100" customWidth="1"/>
    <col min="10498" max="10527" width="18.1640625" style="100" customWidth="1"/>
    <col min="10528" max="10752" width="8.83203125" style="100"/>
    <col min="10753" max="10753" width="56" style="100" customWidth="1"/>
    <col min="10754" max="10783" width="18.1640625" style="100" customWidth="1"/>
    <col min="10784" max="11008" width="8.83203125" style="100"/>
    <col min="11009" max="11009" width="56" style="100" customWidth="1"/>
    <col min="11010" max="11039" width="18.1640625" style="100" customWidth="1"/>
    <col min="11040" max="11264" width="8.83203125" style="100"/>
    <col min="11265" max="11265" width="56" style="100" customWidth="1"/>
    <col min="11266" max="11295" width="18.1640625" style="100" customWidth="1"/>
    <col min="11296" max="11520" width="8.83203125" style="100"/>
    <col min="11521" max="11521" width="56" style="100" customWidth="1"/>
    <col min="11522" max="11551" width="18.1640625" style="100" customWidth="1"/>
    <col min="11552" max="11776" width="8.83203125" style="100"/>
    <col min="11777" max="11777" width="56" style="100" customWidth="1"/>
    <col min="11778" max="11807" width="18.1640625" style="100" customWidth="1"/>
    <col min="11808" max="12032" width="8.83203125" style="100"/>
    <col min="12033" max="12033" width="56" style="100" customWidth="1"/>
    <col min="12034" max="12063" width="18.1640625" style="100" customWidth="1"/>
    <col min="12064" max="12288" width="8.83203125" style="100"/>
    <col min="12289" max="12289" width="56" style="100" customWidth="1"/>
    <col min="12290" max="12319" width="18.1640625" style="100" customWidth="1"/>
    <col min="12320" max="12544" width="8.83203125" style="100"/>
    <col min="12545" max="12545" width="56" style="100" customWidth="1"/>
    <col min="12546" max="12575" width="18.1640625" style="100" customWidth="1"/>
    <col min="12576" max="12800" width="8.83203125" style="100"/>
    <col min="12801" max="12801" width="56" style="100" customWidth="1"/>
    <col min="12802" max="12831" width="18.1640625" style="100" customWidth="1"/>
    <col min="12832" max="13056" width="8.83203125" style="100"/>
    <col min="13057" max="13057" width="56" style="100" customWidth="1"/>
    <col min="13058" max="13087" width="18.1640625" style="100" customWidth="1"/>
    <col min="13088" max="13312" width="8.83203125" style="100"/>
    <col min="13313" max="13313" width="56" style="100" customWidth="1"/>
    <col min="13314" max="13343" width="18.1640625" style="100" customWidth="1"/>
    <col min="13344" max="13568" width="8.83203125" style="100"/>
    <col min="13569" max="13569" width="56" style="100" customWidth="1"/>
    <col min="13570" max="13599" width="18.1640625" style="100" customWidth="1"/>
    <col min="13600" max="13824" width="8.83203125" style="100"/>
    <col min="13825" max="13825" width="56" style="100" customWidth="1"/>
    <col min="13826" max="13855" width="18.1640625" style="100" customWidth="1"/>
    <col min="13856" max="14080" width="8.83203125" style="100"/>
    <col min="14081" max="14081" width="56" style="100" customWidth="1"/>
    <col min="14082" max="14111" width="18.1640625" style="100" customWidth="1"/>
    <col min="14112" max="14336" width="8.83203125" style="100"/>
    <col min="14337" max="14337" width="56" style="100" customWidth="1"/>
    <col min="14338" max="14367" width="18.1640625" style="100" customWidth="1"/>
    <col min="14368" max="14592" width="8.83203125" style="100"/>
    <col min="14593" max="14593" width="56" style="100" customWidth="1"/>
    <col min="14594" max="14623" width="18.1640625" style="100" customWidth="1"/>
    <col min="14624" max="14848" width="8.83203125" style="100"/>
    <col min="14849" max="14849" width="56" style="100" customWidth="1"/>
    <col min="14850" max="14879" width="18.1640625" style="100" customWidth="1"/>
    <col min="14880" max="15104" width="8.83203125" style="100"/>
    <col min="15105" max="15105" width="56" style="100" customWidth="1"/>
    <col min="15106" max="15135" width="18.1640625" style="100" customWidth="1"/>
    <col min="15136" max="15360" width="8.83203125" style="100"/>
    <col min="15361" max="15361" width="56" style="100" customWidth="1"/>
    <col min="15362" max="15391" width="18.1640625" style="100" customWidth="1"/>
    <col min="15392" max="15616" width="8.83203125" style="100"/>
    <col min="15617" max="15617" width="56" style="100" customWidth="1"/>
    <col min="15618" max="15647" width="18.1640625" style="100" customWidth="1"/>
    <col min="15648" max="15872" width="8.83203125" style="100"/>
    <col min="15873" max="15873" width="56" style="100" customWidth="1"/>
    <col min="15874" max="15903" width="18.1640625" style="100" customWidth="1"/>
    <col min="15904" max="16128" width="8.83203125" style="100"/>
    <col min="16129" max="16129" width="56" style="100" customWidth="1"/>
    <col min="16130" max="16159" width="18.1640625" style="100" customWidth="1"/>
    <col min="16160" max="16384" width="8.83203125" style="100"/>
  </cols>
  <sheetData>
    <row r="5" spans="1:255" ht="17.100000000000001">
      <c r="A5" s="99"/>
      <c r="AG5" s="99"/>
    </row>
    <row r="7" spans="1:255" ht="10.5">
      <c r="A7" s="101"/>
      <c r="B7" s="102"/>
      <c r="D7" s="103"/>
      <c r="E7" s="102"/>
      <c r="AG7" s="101"/>
      <c r="AH7" s="102"/>
      <c r="AJ7" s="103"/>
      <c r="AK7" s="102"/>
    </row>
    <row r="8" spans="1:255" ht="10.5">
      <c r="A8" s="103"/>
      <c r="B8" s="102"/>
      <c r="D8" s="103"/>
      <c r="E8" s="102"/>
      <c r="AG8" s="103"/>
      <c r="AH8" s="102"/>
      <c r="AJ8" s="103"/>
      <c r="AK8" s="102"/>
    </row>
    <row r="9" spans="1:255" ht="10.5">
      <c r="A9" s="103"/>
      <c r="B9" s="102"/>
      <c r="D9" s="103"/>
      <c r="E9" s="102"/>
      <c r="AG9" s="103"/>
      <c r="AH9" s="102"/>
      <c r="AJ9" s="103"/>
      <c r="AK9" s="102"/>
    </row>
    <row r="10" spans="1:255" ht="10.5">
      <c r="A10" s="103"/>
      <c r="B10" s="102"/>
      <c r="D10" s="103"/>
      <c r="E10" s="102"/>
      <c r="F10" s="104"/>
      <c r="AG10" s="103"/>
      <c r="AH10" s="102"/>
      <c r="AJ10" s="103"/>
      <c r="AK10" s="102"/>
      <c r="AL10" s="104"/>
    </row>
    <row r="11" spans="1:255" ht="10.5">
      <c r="A11" s="103"/>
      <c r="B11" s="102"/>
      <c r="D11" s="103"/>
      <c r="E11" s="105"/>
      <c r="F11" s="105"/>
      <c r="AG11" s="103"/>
      <c r="AH11" s="102"/>
      <c r="AJ11" s="103"/>
      <c r="AK11" s="105"/>
      <c r="AL11" s="105"/>
    </row>
    <row r="14" spans="1:255">
      <c r="A14" s="106" t="s">
        <v>494</v>
      </c>
      <c r="B14" s="106"/>
      <c r="C14" s="106"/>
      <c r="D14" s="106"/>
      <c r="E14" s="106"/>
      <c r="F14" s="106"/>
      <c r="G14" s="106"/>
      <c r="H14" s="106"/>
      <c r="I14" s="106"/>
      <c r="J14" s="106"/>
      <c r="K14" s="106"/>
      <c r="L14" s="106"/>
      <c r="M14" s="106"/>
      <c r="N14" s="106"/>
      <c r="O14" s="106"/>
      <c r="P14" s="106"/>
      <c r="Q14" s="106"/>
      <c r="R14" s="106"/>
      <c r="S14" s="106"/>
      <c r="T14" s="106"/>
      <c r="U14" s="106"/>
      <c r="V14" s="106"/>
      <c r="W14" s="106"/>
      <c r="X14" s="106"/>
      <c r="Y14" s="106"/>
      <c r="Z14" s="106"/>
      <c r="AA14" s="106"/>
      <c r="AB14" s="106"/>
      <c r="AC14" s="106"/>
      <c r="AD14" s="106"/>
      <c r="AE14" s="106"/>
      <c r="AF14" s="107"/>
      <c r="AG14" s="106" t="s">
        <v>494</v>
      </c>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106"/>
      <c r="BI14" s="106"/>
      <c r="BJ14" s="106"/>
      <c r="BK14" s="106"/>
      <c r="BL14" s="106"/>
      <c r="BM14" s="106"/>
      <c r="BN14" s="106"/>
      <c r="BO14" s="106"/>
      <c r="BP14" s="106"/>
      <c r="BQ14" s="106"/>
      <c r="BR14" s="106"/>
      <c r="BS14" s="106"/>
      <c r="BT14" s="106"/>
      <c r="BU14" s="106"/>
      <c r="BV14" s="106"/>
      <c r="BW14" s="106"/>
      <c r="BX14" s="106"/>
      <c r="BY14" s="106"/>
      <c r="BZ14" s="106"/>
      <c r="CA14" s="106"/>
      <c r="CB14" s="106"/>
      <c r="CC14" s="106"/>
      <c r="CD14" s="106"/>
      <c r="CE14" s="106"/>
      <c r="CF14" s="106"/>
      <c r="CG14" s="106"/>
      <c r="CH14" s="106"/>
      <c r="CI14" s="106"/>
      <c r="CJ14" s="106"/>
      <c r="CK14" s="106"/>
      <c r="CL14" s="106"/>
      <c r="CM14" s="106"/>
      <c r="CN14" s="106"/>
      <c r="CO14" s="106"/>
      <c r="CP14" s="106"/>
      <c r="CQ14" s="106"/>
      <c r="CR14" s="106"/>
      <c r="CS14" s="106"/>
      <c r="CT14" s="106"/>
      <c r="CU14" s="106"/>
      <c r="CV14" s="106"/>
      <c r="CW14" s="106"/>
      <c r="CX14" s="106"/>
      <c r="CY14" s="106"/>
      <c r="CZ14" s="106"/>
      <c r="DA14" s="106"/>
      <c r="DB14" s="106"/>
      <c r="DC14" s="106"/>
      <c r="DD14" s="106"/>
      <c r="DE14" s="106"/>
      <c r="DF14" s="106"/>
      <c r="DG14" s="106"/>
      <c r="DH14" s="106"/>
      <c r="DI14" s="106"/>
      <c r="DJ14" s="106"/>
      <c r="DK14" s="106"/>
      <c r="DL14" s="106"/>
      <c r="DM14" s="106"/>
      <c r="DN14" s="106"/>
      <c r="DO14" s="106"/>
      <c r="DP14" s="106"/>
      <c r="DQ14" s="106"/>
      <c r="DR14" s="106"/>
      <c r="DS14" s="106"/>
      <c r="DT14" s="106"/>
      <c r="DU14" s="106"/>
      <c r="DV14" s="106"/>
      <c r="DW14" s="106"/>
      <c r="DX14" s="106"/>
      <c r="DY14" s="106"/>
      <c r="DZ14" s="106"/>
      <c r="EA14" s="106"/>
      <c r="EB14" s="106"/>
      <c r="EC14" s="106"/>
      <c r="ED14" s="106"/>
      <c r="EE14" s="106"/>
      <c r="EF14" s="106"/>
      <c r="EG14" s="106"/>
      <c r="EH14" s="106"/>
      <c r="EI14" s="106"/>
      <c r="EJ14" s="106"/>
      <c r="EK14" s="106"/>
      <c r="EL14" s="106"/>
      <c r="EM14" s="106"/>
      <c r="EN14" s="106"/>
      <c r="EO14" s="107"/>
      <c r="EP14" s="107"/>
      <c r="EQ14" s="107"/>
      <c r="ER14" s="107"/>
      <c r="ES14" s="107"/>
      <c r="ET14" s="107"/>
      <c r="EU14" s="107"/>
      <c r="EV14" s="107"/>
      <c r="EW14" s="107"/>
      <c r="EX14" s="107"/>
      <c r="EY14" s="107"/>
      <c r="EZ14" s="107"/>
      <c r="FA14" s="107"/>
      <c r="FB14" s="107"/>
      <c r="FC14" s="107"/>
      <c r="FD14" s="107"/>
      <c r="FE14" s="107"/>
      <c r="FF14" s="107"/>
      <c r="FG14" s="107"/>
      <c r="FH14" s="107"/>
      <c r="FI14" s="107"/>
      <c r="FJ14" s="107"/>
      <c r="FK14" s="107"/>
      <c r="FL14" s="107"/>
      <c r="FM14" s="107"/>
      <c r="FN14" s="107"/>
      <c r="FO14" s="107"/>
      <c r="FP14" s="107"/>
      <c r="FQ14" s="107"/>
      <c r="FR14" s="107"/>
      <c r="FS14" s="107"/>
      <c r="FT14" s="107"/>
      <c r="FU14" s="107"/>
      <c r="FV14" s="107"/>
      <c r="FW14" s="107"/>
      <c r="FX14" s="107"/>
      <c r="FY14" s="107"/>
      <c r="FZ14" s="107"/>
      <c r="GA14" s="107"/>
      <c r="GB14" s="107"/>
      <c r="GC14" s="107"/>
      <c r="GD14" s="107"/>
      <c r="GE14" s="107"/>
      <c r="GF14" s="107"/>
      <c r="GG14" s="107"/>
      <c r="GH14" s="107"/>
      <c r="GI14" s="107"/>
      <c r="GJ14" s="107"/>
      <c r="GK14" s="107"/>
      <c r="GL14" s="107"/>
      <c r="GM14" s="107"/>
      <c r="GN14" s="107"/>
      <c r="GO14" s="107"/>
      <c r="GP14" s="107"/>
      <c r="GQ14" s="107"/>
      <c r="GR14" s="107"/>
      <c r="GS14" s="107"/>
      <c r="GT14" s="107"/>
      <c r="GU14" s="107"/>
      <c r="GV14" s="107"/>
      <c r="GW14" s="107"/>
      <c r="GX14" s="107"/>
      <c r="GY14" s="107"/>
      <c r="GZ14" s="107"/>
      <c r="HA14" s="107"/>
      <c r="HB14" s="107"/>
      <c r="HC14" s="107"/>
      <c r="HD14" s="107"/>
      <c r="HE14" s="107"/>
      <c r="HF14" s="107"/>
      <c r="HG14" s="107"/>
      <c r="HH14" s="107"/>
      <c r="HI14" s="107"/>
      <c r="HJ14" s="107"/>
      <c r="HK14" s="107"/>
      <c r="HL14" s="107"/>
      <c r="HM14" s="107"/>
      <c r="HN14" s="107"/>
      <c r="HO14" s="107"/>
      <c r="HP14" s="107"/>
      <c r="HQ14" s="107"/>
      <c r="HR14" s="107"/>
      <c r="HS14" s="107"/>
      <c r="HT14" s="107"/>
      <c r="HU14" s="107"/>
      <c r="HV14" s="107"/>
      <c r="HW14" s="107"/>
      <c r="HX14" s="107"/>
      <c r="HY14" s="107"/>
      <c r="HZ14" s="107"/>
      <c r="IA14" s="107"/>
      <c r="IB14" s="107"/>
      <c r="IC14" s="107"/>
      <c r="ID14" s="107"/>
      <c r="IE14" s="107"/>
      <c r="IF14" s="107"/>
      <c r="IG14" s="107"/>
      <c r="IH14" s="107"/>
      <c r="II14" s="107"/>
      <c r="IJ14" s="107"/>
      <c r="IK14" s="107"/>
      <c r="IL14" s="107"/>
      <c r="IM14" s="107"/>
      <c r="IN14" s="107"/>
      <c r="IO14" s="107"/>
      <c r="IP14" s="107"/>
      <c r="IQ14" s="107"/>
      <c r="IR14" s="107"/>
      <c r="IS14" s="107"/>
      <c r="IT14" s="107"/>
      <c r="IU14" s="107"/>
    </row>
    <row r="15" spans="1:255" ht="42">
      <c r="A15" s="108" t="s">
        <v>1919</v>
      </c>
      <c r="B15" s="109" t="s">
        <v>1920</v>
      </c>
      <c r="C15" s="109" t="s">
        <v>1921</v>
      </c>
      <c r="D15" s="109" t="s">
        <v>1922</v>
      </c>
      <c r="E15" s="109" t="s">
        <v>1923</v>
      </c>
      <c r="F15" s="109" t="s">
        <v>1924</v>
      </c>
      <c r="G15" s="109" t="s">
        <v>1925</v>
      </c>
      <c r="H15" s="109" t="s">
        <v>1926</v>
      </c>
      <c r="I15" s="109" t="s">
        <v>1927</v>
      </c>
      <c r="J15" s="109" t="s">
        <v>1928</v>
      </c>
      <c r="K15" s="109" t="s">
        <v>1929</v>
      </c>
      <c r="L15" s="109" t="s">
        <v>1930</v>
      </c>
      <c r="M15" s="109" t="s">
        <v>1931</v>
      </c>
      <c r="N15" s="109" t="s">
        <v>1932</v>
      </c>
      <c r="O15" s="109" t="s">
        <v>1933</v>
      </c>
      <c r="P15" s="109" t="s">
        <v>1934</v>
      </c>
      <c r="Q15" s="109" t="s">
        <v>1935</v>
      </c>
      <c r="R15" s="109" t="s">
        <v>1936</v>
      </c>
      <c r="S15" s="109" t="s">
        <v>1937</v>
      </c>
      <c r="T15" s="109" t="s">
        <v>1938</v>
      </c>
      <c r="U15" s="109" t="s">
        <v>1939</v>
      </c>
      <c r="V15" s="109" t="s">
        <v>1940</v>
      </c>
      <c r="W15" s="109" t="s">
        <v>1941</v>
      </c>
      <c r="X15" s="109" t="s">
        <v>1942</v>
      </c>
      <c r="Y15" s="109" t="s">
        <v>1943</v>
      </c>
      <c r="Z15" s="109" t="s">
        <v>1944</v>
      </c>
      <c r="AA15" s="109" t="s">
        <v>1945</v>
      </c>
      <c r="AB15" s="109" t="s">
        <v>1946</v>
      </c>
      <c r="AC15" s="109" t="s">
        <v>1947</v>
      </c>
      <c r="AD15" s="109" t="s">
        <v>1948</v>
      </c>
      <c r="AE15" s="109" t="s">
        <v>1949</v>
      </c>
      <c r="AG15" s="108" t="s">
        <v>1919</v>
      </c>
      <c r="AH15" s="109" t="s">
        <v>1950</v>
      </c>
      <c r="AI15" s="109" t="s">
        <v>1951</v>
      </c>
      <c r="AJ15" s="109" t="s">
        <v>1952</v>
      </c>
      <c r="AK15" s="109" t="s">
        <v>1953</v>
      </c>
      <c r="AL15" s="109" t="s">
        <v>1954</v>
      </c>
      <c r="AM15" s="109" t="s">
        <v>1955</v>
      </c>
      <c r="AN15" s="109" t="s">
        <v>1956</v>
      </c>
      <c r="AO15" s="109" t="s">
        <v>1957</v>
      </c>
      <c r="AP15" s="109" t="s">
        <v>1958</v>
      </c>
      <c r="AQ15" s="109" t="s">
        <v>1959</v>
      </c>
      <c r="AR15" s="109" t="s">
        <v>1960</v>
      </c>
      <c r="AS15" s="109" t="s">
        <v>1961</v>
      </c>
      <c r="AT15" s="109" t="s">
        <v>1962</v>
      </c>
      <c r="AU15" s="109" t="s">
        <v>1963</v>
      </c>
      <c r="AV15" s="109" t="s">
        <v>1964</v>
      </c>
      <c r="AW15" s="109" t="s">
        <v>1965</v>
      </c>
      <c r="AX15" s="109" t="s">
        <v>1966</v>
      </c>
      <c r="AY15" s="109" t="s">
        <v>1967</v>
      </c>
      <c r="AZ15" s="109" t="s">
        <v>1968</v>
      </c>
      <c r="BA15" s="109" t="s">
        <v>1969</v>
      </c>
      <c r="BB15" s="109" t="s">
        <v>1970</v>
      </c>
      <c r="BC15" s="109" t="s">
        <v>1971</v>
      </c>
      <c r="BD15" s="109" t="s">
        <v>1972</v>
      </c>
      <c r="BE15" s="109" t="s">
        <v>1973</v>
      </c>
      <c r="BF15" s="109" t="s">
        <v>1974</v>
      </c>
      <c r="BG15" s="109" t="s">
        <v>1975</v>
      </c>
      <c r="BH15" s="109" t="s">
        <v>1976</v>
      </c>
      <c r="BI15" s="109" t="s">
        <v>1977</v>
      </c>
      <c r="BJ15" s="109" t="s">
        <v>1978</v>
      </c>
      <c r="BK15" s="109" t="s">
        <v>1979</v>
      </c>
      <c r="BL15" s="109" t="s">
        <v>1980</v>
      </c>
      <c r="BM15" s="109" t="s">
        <v>1981</v>
      </c>
      <c r="BN15" s="109" t="s">
        <v>1982</v>
      </c>
      <c r="BO15" s="109" t="s">
        <v>1983</v>
      </c>
      <c r="BP15" s="109" t="s">
        <v>1984</v>
      </c>
      <c r="BQ15" s="109" t="s">
        <v>1985</v>
      </c>
      <c r="BR15" s="109" t="s">
        <v>1986</v>
      </c>
      <c r="BS15" s="109" t="s">
        <v>1987</v>
      </c>
      <c r="BT15" s="109" t="s">
        <v>1988</v>
      </c>
      <c r="BU15" s="109" t="s">
        <v>1989</v>
      </c>
      <c r="BV15" s="109" t="s">
        <v>1990</v>
      </c>
      <c r="BW15" s="109" t="s">
        <v>1991</v>
      </c>
      <c r="BX15" s="109" t="s">
        <v>1992</v>
      </c>
      <c r="BY15" s="109" t="s">
        <v>1993</v>
      </c>
      <c r="BZ15" s="109" t="s">
        <v>1994</v>
      </c>
      <c r="CA15" s="109" t="s">
        <v>1995</v>
      </c>
      <c r="CB15" s="109" t="s">
        <v>1996</v>
      </c>
      <c r="CC15" s="109" t="s">
        <v>1997</v>
      </c>
      <c r="CD15" s="109" t="s">
        <v>1998</v>
      </c>
      <c r="CE15" s="109" t="s">
        <v>1999</v>
      </c>
      <c r="CF15" s="109" t="s">
        <v>2000</v>
      </c>
      <c r="CG15" s="109" t="s">
        <v>2001</v>
      </c>
      <c r="CH15" s="109" t="s">
        <v>2002</v>
      </c>
      <c r="CI15" s="109" t="s">
        <v>2003</v>
      </c>
      <c r="CJ15" s="109" t="s">
        <v>2004</v>
      </c>
      <c r="CK15" s="109" t="s">
        <v>2005</v>
      </c>
      <c r="CL15" s="109" t="s">
        <v>2006</v>
      </c>
      <c r="CM15" s="109" t="s">
        <v>2007</v>
      </c>
      <c r="CN15" s="109" t="s">
        <v>2008</v>
      </c>
      <c r="CO15" s="109" t="s">
        <v>2009</v>
      </c>
      <c r="CP15" s="109" t="s">
        <v>2010</v>
      </c>
      <c r="CQ15" s="109" t="s">
        <v>2011</v>
      </c>
      <c r="CR15" s="109" t="s">
        <v>2012</v>
      </c>
      <c r="CS15" s="109" t="s">
        <v>2013</v>
      </c>
      <c r="CT15" s="109" t="s">
        <v>2014</v>
      </c>
      <c r="CU15" s="109" t="s">
        <v>2015</v>
      </c>
      <c r="CV15" s="109" t="s">
        <v>2016</v>
      </c>
      <c r="CW15" s="109" t="s">
        <v>2017</v>
      </c>
      <c r="CX15" s="109" t="s">
        <v>2018</v>
      </c>
      <c r="CY15" s="109" t="s">
        <v>2019</v>
      </c>
      <c r="CZ15" s="109" t="s">
        <v>2020</v>
      </c>
      <c r="DA15" s="109" t="s">
        <v>2021</v>
      </c>
      <c r="DB15" s="109" t="s">
        <v>2022</v>
      </c>
      <c r="DC15" s="109" t="s">
        <v>2023</v>
      </c>
      <c r="DD15" s="109" t="s">
        <v>2024</v>
      </c>
      <c r="DE15" s="109" t="s">
        <v>2025</v>
      </c>
      <c r="DF15" s="109" t="s">
        <v>2026</v>
      </c>
      <c r="DG15" s="109" t="s">
        <v>2027</v>
      </c>
      <c r="DH15" s="109" t="s">
        <v>2028</v>
      </c>
      <c r="DI15" s="109" t="s">
        <v>2029</v>
      </c>
      <c r="DJ15" s="109" t="s">
        <v>2030</v>
      </c>
      <c r="DK15" s="109" t="s">
        <v>2031</v>
      </c>
      <c r="DL15" s="109" t="s">
        <v>2032</v>
      </c>
      <c r="DM15" s="109" t="s">
        <v>2033</v>
      </c>
      <c r="DN15" s="109" t="s">
        <v>2034</v>
      </c>
      <c r="DO15" s="109" t="s">
        <v>2035</v>
      </c>
      <c r="DP15" s="109" t="s">
        <v>2036</v>
      </c>
      <c r="DQ15" s="109" t="s">
        <v>2037</v>
      </c>
      <c r="DR15" s="109" t="s">
        <v>2038</v>
      </c>
      <c r="DS15" s="109" t="s">
        <v>2039</v>
      </c>
      <c r="DT15" s="109" t="s">
        <v>2040</v>
      </c>
      <c r="DU15" s="109" t="s">
        <v>2041</v>
      </c>
      <c r="DV15" s="109" t="s">
        <v>2042</v>
      </c>
      <c r="DW15" s="109" t="s">
        <v>2043</v>
      </c>
      <c r="DX15" s="109" t="s">
        <v>2044</v>
      </c>
      <c r="DY15" s="109" t="s">
        <v>2045</v>
      </c>
      <c r="DZ15" s="109" t="s">
        <v>2046</v>
      </c>
      <c r="EA15" s="109" t="s">
        <v>2047</v>
      </c>
      <c r="EB15" s="109" t="s">
        <v>2048</v>
      </c>
      <c r="EC15" s="109" t="s">
        <v>2049</v>
      </c>
      <c r="ED15" s="109" t="s">
        <v>2050</v>
      </c>
      <c r="EE15" s="109" t="s">
        <v>2051</v>
      </c>
      <c r="EF15" s="109" t="s">
        <v>2052</v>
      </c>
      <c r="EG15" s="109" t="s">
        <v>2053</v>
      </c>
      <c r="EH15" s="109" t="s">
        <v>2054</v>
      </c>
      <c r="EI15" s="109" t="s">
        <v>2055</v>
      </c>
      <c r="EJ15" s="109" t="s">
        <v>2056</v>
      </c>
      <c r="EK15" s="109" t="s">
        <v>2057</v>
      </c>
      <c r="EL15" s="109" t="s">
        <v>2058</v>
      </c>
      <c r="EM15" s="109" t="s">
        <v>2059</v>
      </c>
      <c r="EN15" s="109" t="s">
        <v>2060</v>
      </c>
    </row>
    <row r="16" spans="1:255">
      <c r="A16" s="110" t="s">
        <v>2061</v>
      </c>
      <c r="B16" s="111" t="s">
        <v>621</v>
      </c>
      <c r="C16" s="111" t="s">
        <v>621</v>
      </c>
      <c r="D16" s="111" t="s">
        <v>621</v>
      </c>
      <c r="E16" s="111" t="s">
        <v>621</v>
      </c>
      <c r="F16" s="111" t="s">
        <v>621</v>
      </c>
      <c r="G16" s="111" t="s">
        <v>621</v>
      </c>
      <c r="H16" s="111" t="s">
        <v>621</v>
      </c>
      <c r="I16" s="111" t="s">
        <v>621</v>
      </c>
      <c r="J16" s="111" t="s">
        <v>621</v>
      </c>
      <c r="K16" s="111" t="s">
        <v>621</v>
      </c>
      <c r="L16" s="111" t="s">
        <v>621</v>
      </c>
      <c r="M16" s="111" t="s">
        <v>621</v>
      </c>
      <c r="N16" s="111" t="s">
        <v>621</v>
      </c>
      <c r="O16" s="111" t="s">
        <v>621</v>
      </c>
      <c r="P16" s="111" t="s">
        <v>621</v>
      </c>
      <c r="Q16" s="111" t="s">
        <v>621</v>
      </c>
      <c r="R16" s="111" t="s">
        <v>621</v>
      </c>
      <c r="S16" s="111" t="s">
        <v>621</v>
      </c>
      <c r="T16" s="111" t="s">
        <v>621</v>
      </c>
      <c r="U16" s="111" t="s">
        <v>621</v>
      </c>
      <c r="V16" s="111" t="s">
        <v>621</v>
      </c>
      <c r="W16" s="111" t="s">
        <v>621</v>
      </c>
      <c r="X16" s="111" t="s">
        <v>621</v>
      </c>
      <c r="Y16" s="111" t="s">
        <v>621</v>
      </c>
      <c r="Z16" s="111" t="s">
        <v>621</v>
      </c>
      <c r="AA16" s="111" t="s">
        <v>621</v>
      </c>
      <c r="AB16" s="111" t="s">
        <v>621</v>
      </c>
      <c r="AC16" s="111" t="s">
        <v>621</v>
      </c>
      <c r="AD16" s="111" t="s">
        <v>621</v>
      </c>
      <c r="AE16" s="111" t="s">
        <v>621</v>
      </c>
      <c r="AG16" s="110" t="s">
        <v>2061</v>
      </c>
      <c r="AH16" s="111" t="s">
        <v>621</v>
      </c>
      <c r="AI16" s="111" t="s">
        <v>621</v>
      </c>
      <c r="AJ16" s="111" t="s">
        <v>621</v>
      </c>
      <c r="AK16" s="111" t="s">
        <v>621</v>
      </c>
      <c r="AL16" s="111" t="s">
        <v>621</v>
      </c>
      <c r="AM16" s="111" t="s">
        <v>621</v>
      </c>
      <c r="AN16" s="111" t="s">
        <v>621</v>
      </c>
      <c r="AO16" s="111" t="s">
        <v>621</v>
      </c>
      <c r="AP16" s="111" t="s">
        <v>621</v>
      </c>
      <c r="AQ16" s="111" t="s">
        <v>621</v>
      </c>
      <c r="AR16" s="111" t="s">
        <v>621</v>
      </c>
      <c r="AS16" s="111" t="s">
        <v>621</v>
      </c>
      <c r="AT16" s="111" t="s">
        <v>621</v>
      </c>
      <c r="AU16" s="111" t="s">
        <v>621</v>
      </c>
      <c r="AV16" s="111" t="s">
        <v>621</v>
      </c>
      <c r="AW16" s="111" t="s">
        <v>621</v>
      </c>
      <c r="AX16" s="111" t="s">
        <v>621</v>
      </c>
      <c r="AY16" s="111" t="s">
        <v>621</v>
      </c>
      <c r="AZ16" s="111" t="s">
        <v>621</v>
      </c>
      <c r="BA16" s="111" t="s">
        <v>621</v>
      </c>
      <c r="BB16" s="111" t="s">
        <v>621</v>
      </c>
      <c r="BC16" s="111" t="s">
        <v>621</v>
      </c>
      <c r="BD16" s="111" t="s">
        <v>621</v>
      </c>
      <c r="BE16" s="111" t="s">
        <v>621</v>
      </c>
      <c r="BF16" s="111" t="s">
        <v>621</v>
      </c>
      <c r="BG16" s="111" t="s">
        <v>621</v>
      </c>
      <c r="BH16" s="111" t="s">
        <v>621</v>
      </c>
      <c r="BI16" s="111" t="s">
        <v>621</v>
      </c>
      <c r="BJ16" s="111" t="s">
        <v>621</v>
      </c>
      <c r="BK16" s="111" t="s">
        <v>621</v>
      </c>
      <c r="BL16" s="111" t="s">
        <v>621</v>
      </c>
      <c r="BM16" s="111" t="s">
        <v>621</v>
      </c>
      <c r="BN16" s="111" t="s">
        <v>621</v>
      </c>
      <c r="BO16" s="111" t="s">
        <v>621</v>
      </c>
      <c r="BP16" s="111" t="s">
        <v>621</v>
      </c>
      <c r="BQ16" s="111" t="s">
        <v>621</v>
      </c>
      <c r="BR16" s="111" t="s">
        <v>621</v>
      </c>
      <c r="BS16" s="111" t="s">
        <v>621</v>
      </c>
      <c r="BT16" s="111" t="s">
        <v>621</v>
      </c>
      <c r="BU16" s="111" t="s">
        <v>621</v>
      </c>
      <c r="BV16" s="111" t="s">
        <v>621</v>
      </c>
      <c r="BW16" s="111" t="s">
        <v>621</v>
      </c>
      <c r="BX16" s="111" t="s">
        <v>621</v>
      </c>
      <c r="BY16" s="111" t="s">
        <v>621</v>
      </c>
      <c r="BZ16" s="111" t="s">
        <v>621</v>
      </c>
      <c r="CA16" s="111" t="s">
        <v>621</v>
      </c>
      <c r="CB16" s="111" t="s">
        <v>621</v>
      </c>
      <c r="CC16" s="111" t="s">
        <v>621</v>
      </c>
      <c r="CD16" s="111" t="s">
        <v>621</v>
      </c>
      <c r="CE16" s="111" t="s">
        <v>621</v>
      </c>
      <c r="CF16" s="111" t="s">
        <v>621</v>
      </c>
      <c r="CG16" s="111" t="s">
        <v>621</v>
      </c>
      <c r="CH16" s="111" t="s">
        <v>621</v>
      </c>
      <c r="CI16" s="111" t="s">
        <v>621</v>
      </c>
      <c r="CJ16" s="111" t="s">
        <v>621</v>
      </c>
      <c r="CK16" s="111" t="s">
        <v>621</v>
      </c>
      <c r="CL16" s="111" t="s">
        <v>621</v>
      </c>
      <c r="CM16" s="111" t="s">
        <v>621</v>
      </c>
      <c r="CN16" s="111" t="s">
        <v>621</v>
      </c>
      <c r="CO16" s="111" t="s">
        <v>621</v>
      </c>
      <c r="CP16" s="111" t="s">
        <v>621</v>
      </c>
      <c r="CQ16" s="111" t="s">
        <v>621</v>
      </c>
      <c r="CR16" s="111" t="s">
        <v>621</v>
      </c>
      <c r="CS16" s="111" t="s">
        <v>621</v>
      </c>
      <c r="CT16" s="111" t="s">
        <v>621</v>
      </c>
      <c r="CU16" s="111" t="s">
        <v>621</v>
      </c>
      <c r="CV16" s="111" t="s">
        <v>621</v>
      </c>
      <c r="CW16" s="111" t="s">
        <v>621</v>
      </c>
      <c r="CX16" s="111" t="s">
        <v>621</v>
      </c>
      <c r="CY16" s="111" t="s">
        <v>621</v>
      </c>
      <c r="CZ16" s="111" t="s">
        <v>621</v>
      </c>
      <c r="DA16" s="111" t="s">
        <v>621</v>
      </c>
      <c r="DB16" s="111" t="s">
        <v>621</v>
      </c>
      <c r="DC16" s="111" t="s">
        <v>621</v>
      </c>
      <c r="DD16" s="111" t="s">
        <v>621</v>
      </c>
      <c r="DE16" s="111" t="s">
        <v>621</v>
      </c>
      <c r="DF16" s="111" t="s">
        <v>621</v>
      </c>
      <c r="DG16" s="111" t="s">
        <v>621</v>
      </c>
      <c r="DH16" s="111" t="s">
        <v>621</v>
      </c>
      <c r="DI16" s="111" t="s">
        <v>621</v>
      </c>
      <c r="DJ16" s="111" t="s">
        <v>621</v>
      </c>
      <c r="DK16" s="111" t="s">
        <v>621</v>
      </c>
      <c r="DL16" s="111" t="s">
        <v>621</v>
      </c>
      <c r="DM16" s="111" t="s">
        <v>621</v>
      </c>
      <c r="DN16" s="111" t="s">
        <v>621</v>
      </c>
      <c r="DO16" s="111" t="s">
        <v>621</v>
      </c>
      <c r="DP16" s="111" t="s">
        <v>621</v>
      </c>
      <c r="DQ16" s="111" t="s">
        <v>621</v>
      </c>
      <c r="DR16" s="111" t="s">
        <v>621</v>
      </c>
      <c r="DS16" s="111" t="s">
        <v>621</v>
      </c>
      <c r="DT16" s="111" t="s">
        <v>621</v>
      </c>
      <c r="DU16" s="111" t="s">
        <v>621</v>
      </c>
      <c r="DV16" s="111" t="s">
        <v>621</v>
      </c>
      <c r="DW16" s="111" t="s">
        <v>621</v>
      </c>
      <c r="DX16" s="111" t="s">
        <v>621</v>
      </c>
      <c r="DY16" s="111" t="s">
        <v>621</v>
      </c>
      <c r="DZ16" s="111" t="s">
        <v>621</v>
      </c>
      <c r="EA16" s="111" t="s">
        <v>621</v>
      </c>
      <c r="EB16" s="111" t="s">
        <v>621</v>
      </c>
      <c r="EC16" s="111" t="s">
        <v>621</v>
      </c>
      <c r="ED16" s="111" t="s">
        <v>621</v>
      </c>
      <c r="EE16" s="111" t="s">
        <v>621</v>
      </c>
      <c r="EF16" s="111" t="s">
        <v>621</v>
      </c>
      <c r="EG16" s="111" t="s">
        <v>621</v>
      </c>
      <c r="EH16" s="111" t="s">
        <v>621</v>
      </c>
      <c r="EI16" s="111" t="s">
        <v>621</v>
      </c>
      <c r="EJ16" s="111" t="s">
        <v>621</v>
      </c>
      <c r="EK16" s="111" t="s">
        <v>621</v>
      </c>
      <c r="EL16" s="111" t="s">
        <v>621</v>
      </c>
      <c r="EM16" s="111" t="s">
        <v>621</v>
      </c>
      <c r="EN16" s="111" t="s">
        <v>621</v>
      </c>
    </row>
    <row r="17" spans="1:144" ht="10.5">
      <c r="A17" s="112" t="s">
        <v>366</v>
      </c>
      <c r="B17" s="103"/>
      <c r="C17" s="103"/>
      <c r="D17" s="103"/>
      <c r="E17" s="103"/>
      <c r="F17" s="103"/>
      <c r="G17" s="103"/>
      <c r="H17" s="103"/>
      <c r="I17" s="103"/>
      <c r="J17" s="103"/>
      <c r="K17" s="103"/>
      <c r="L17" s="103"/>
      <c r="M17" s="103"/>
      <c r="N17" s="103"/>
      <c r="O17" s="103"/>
      <c r="P17" s="103"/>
      <c r="Q17" s="103"/>
      <c r="R17" s="103"/>
      <c r="S17" s="103"/>
      <c r="T17" s="103"/>
      <c r="U17" s="103"/>
      <c r="V17" s="103"/>
      <c r="W17" s="103"/>
      <c r="X17" s="103"/>
      <c r="Y17" s="103"/>
      <c r="Z17" s="103"/>
      <c r="AA17" s="103"/>
      <c r="AB17" s="103"/>
      <c r="AC17" s="103"/>
      <c r="AD17" s="103"/>
      <c r="AE17" s="103"/>
      <c r="AG17" s="112" t="s">
        <v>366</v>
      </c>
      <c r="AH17" s="103"/>
      <c r="AI17" s="103"/>
      <c r="AJ17" s="103"/>
      <c r="AK17" s="103"/>
      <c r="AL17" s="103"/>
      <c r="AM17" s="103"/>
      <c r="AN17" s="103"/>
      <c r="AO17" s="103"/>
      <c r="AP17" s="103"/>
      <c r="AQ17" s="103"/>
      <c r="AR17" s="103"/>
      <c r="AS17" s="103"/>
      <c r="AT17" s="103"/>
      <c r="AU17" s="103"/>
      <c r="AV17" s="103"/>
      <c r="AW17" s="103"/>
      <c r="AX17" s="103"/>
      <c r="AY17" s="103"/>
      <c r="AZ17" s="103"/>
      <c r="BA17" s="103"/>
      <c r="BB17" s="103"/>
      <c r="BC17" s="103"/>
      <c r="BD17" s="103"/>
      <c r="BE17" s="103"/>
      <c r="BF17" s="103"/>
      <c r="BG17" s="103"/>
      <c r="BH17" s="103"/>
      <c r="BI17" s="103"/>
      <c r="BJ17" s="103"/>
      <c r="BK17" s="103"/>
      <c r="BL17" s="103"/>
      <c r="BM17" s="103"/>
      <c r="BN17" s="103"/>
      <c r="BO17" s="103"/>
      <c r="BP17" s="103"/>
      <c r="BQ17" s="103"/>
      <c r="BR17" s="103"/>
      <c r="BS17" s="103"/>
      <c r="BT17" s="103"/>
      <c r="BU17" s="103"/>
      <c r="BV17" s="103"/>
      <c r="BW17" s="103"/>
      <c r="BX17" s="103"/>
      <c r="BY17" s="103"/>
      <c r="BZ17" s="103"/>
      <c r="CA17" s="103"/>
      <c r="CB17" s="103"/>
      <c r="CC17" s="103"/>
      <c r="CD17" s="103"/>
      <c r="CE17" s="103"/>
      <c r="CF17" s="103"/>
      <c r="CG17" s="103"/>
      <c r="CH17" s="103"/>
      <c r="CI17" s="103"/>
      <c r="CJ17" s="103"/>
      <c r="CK17" s="103"/>
      <c r="CL17" s="103"/>
      <c r="CM17" s="103"/>
      <c r="CN17" s="103"/>
      <c r="CO17" s="103"/>
      <c r="CP17" s="103"/>
      <c r="CQ17" s="103"/>
      <c r="CR17" s="103"/>
      <c r="CS17" s="103"/>
      <c r="CT17" s="103"/>
      <c r="CU17" s="103"/>
      <c r="CV17" s="103"/>
      <c r="CW17" s="103"/>
      <c r="CX17" s="103"/>
      <c r="CY17" s="103"/>
      <c r="CZ17" s="103"/>
      <c r="DA17" s="103"/>
      <c r="DB17" s="103"/>
      <c r="DC17" s="103"/>
      <c r="DD17" s="103"/>
      <c r="DE17" s="103"/>
      <c r="DF17" s="103"/>
      <c r="DG17" s="103"/>
      <c r="DH17" s="103"/>
      <c r="DI17" s="103"/>
      <c r="DJ17" s="103"/>
      <c r="DK17" s="103"/>
      <c r="DL17" s="103"/>
      <c r="DM17" s="103"/>
      <c r="DN17" s="103"/>
      <c r="DO17" s="103"/>
      <c r="DP17" s="103"/>
      <c r="DQ17" s="103"/>
      <c r="DR17" s="103"/>
      <c r="DS17" s="103"/>
      <c r="DT17" s="103"/>
      <c r="DU17" s="103"/>
      <c r="DV17" s="103"/>
      <c r="DW17" s="103"/>
      <c r="DX17" s="103"/>
      <c r="DY17" s="103"/>
      <c r="DZ17" s="103"/>
      <c r="EA17" s="103"/>
      <c r="EB17" s="103"/>
      <c r="EC17" s="103"/>
      <c r="ED17" s="103"/>
      <c r="EE17" s="103"/>
      <c r="EF17" s="103"/>
      <c r="EG17" s="103"/>
      <c r="EH17" s="103"/>
      <c r="EI17" s="103"/>
      <c r="EJ17" s="103"/>
      <c r="EK17" s="103"/>
      <c r="EL17" s="103"/>
      <c r="EM17" s="103"/>
      <c r="EN17" s="103"/>
    </row>
    <row r="18" spans="1:144">
      <c r="A18" s="103" t="s">
        <v>86</v>
      </c>
      <c r="B18" s="113">
        <v>1843</v>
      </c>
      <c r="C18" s="113">
        <v>2759</v>
      </c>
      <c r="D18" s="113">
        <v>3753</v>
      </c>
      <c r="E18" s="113">
        <v>4649</v>
      </c>
      <c r="F18" s="113">
        <v>5937</v>
      </c>
      <c r="G18" s="113">
        <v>8671</v>
      </c>
      <c r="H18" s="113">
        <v>11936</v>
      </c>
      <c r="I18" s="113">
        <v>15262</v>
      </c>
      <c r="J18" s="113">
        <v>19747</v>
      </c>
      <c r="K18" s="113">
        <v>22956</v>
      </c>
      <c r="L18" s="113">
        <v>25296</v>
      </c>
      <c r="M18" s="113">
        <v>28365</v>
      </c>
      <c r="N18" s="113">
        <v>32187</v>
      </c>
      <c r="O18" s="113">
        <v>36835</v>
      </c>
      <c r="P18" s="113">
        <v>39788</v>
      </c>
      <c r="Q18" s="113">
        <v>44282</v>
      </c>
      <c r="R18" s="113">
        <v>51122</v>
      </c>
      <c r="S18" s="113">
        <v>60420</v>
      </c>
      <c r="T18" s="113">
        <v>58437</v>
      </c>
      <c r="U18" s="113">
        <v>62484</v>
      </c>
      <c r="V18" s="113">
        <v>69943</v>
      </c>
      <c r="W18" s="113">
        <v>73723</v>
      </c>
      <c r="X18" s="113">
        <v>77849</v>
      </c>
      <c r="Y18" s="113">
        <v>86833</v>
      </c>
      <c r="Z18" s="113">
        <v>93580</v>
      </c>
      <c r="AA18" s="113">
        <v>91154</v>
      </c>
      <c r="AB18" s="113">
        <v>96571</v>
      </c>
      <c r="AC18" s="113">
        <v>110360</v>
      </c>
      <c r="AD18" s="113">
        <v>125843</v>
      </c>
      <c r="AE18" s="113">
        <v>138699</v>
      </c>
      <c r="AG18" s="103" t="s">
        <v>86</v>
      </c>
      <c r="AH18" s="113">
        <v>878</v>
      </c>
      <c r="AI18" s="113">
        <v>938</v>
      </c>
      <c r="AJ18" s="113">
        <v>958</v>
      </c>
      <c r="AK18" s="113">
        <v>1039</v>
      </c>
      <c r="AL18" s="113">
        <v>983</v>
      </c>
      <c r="AM18" s="113">
        <v>1129</v>
      </c>
      <c r="AN18" s="113">
        <v>1244</v>
      </c>
      <c r="AO18" s="113">
        <v>1293</v>
      </c>
      <c r="AP18" s="113">
        <v>1247</v>
      </c>
      <c r="AQ18" s="113">
        <v>1482</v>
      </c>
      <c r="AR18" s="113">
        <v>1587</v>
      </c>
      <c r="AS18" s="113">
        <v>1621</v>
      </c>
      <c r="AT18" s="113">
        <v>2016</v>
      </c>
      <c r="AU18" s="113">
        <v>2195</v>
      </c>
      <c r="AV18" s="113">
        <v>2205</v>
      </c>
      <c r="AW18" s="113">
        <v>2255</v>
      </c>
      <c r="AX18" s="113">
        <v>2295</v>
      </c>
      <c r="AY18" s="113">
        <v>2680</v>
      </c>
      <c r="AZ18" s="113">
        <v>3208</v>
      </c>
      <c r="BA18" s="113">
        <v>3175</v>
      </c>
      <c r="BB18" s="113">
        <v>3130</v>
      </c>
      <c r="BC18" s="113">
        <v>3585</v>
      </c>
      <c r="BD18" s="113">
        <v>3774</v>
      </c>
      <c r="BE18" s="113">
        <v>4773</v>
      </c>
      <c r="BF18" s="113">
        <v>4193</v>
      </c>
      <c r="BG18" s="113">
        <v>5195</v>
      </c>
      <c r="BH18" s="113">
        <v>4595</v>
      </c>
      <c r="BI18" s="113">
        <v>5764</v>
      </c>
      <c r="BJ18" s="113">
        <v>5384</v>
      </c>
      <c r="BK18" s="113">
        <v>6112</v>
      </c>
      <c r="BL18" s="113">
        <v>5656</v>
      </c>
      <c r="BM18" s="113">
        <v>5804</v>
      </c>
      <c r="BN18" s="113">
        <v>5766</v>
      </c>
      <c r="BO18" s="113">
        <v>6550</v>
      </c>
      <c r="BP18" s="113">
        <v>6403</v>
      </c>
      <c r="BQ18" s="113">
        <v>6577</v>
      </c>
      <c r="BR18" s="113">
        <v>6126</v>
      </c>
      <c r="BS18" s="113">
        <v>7741</v>
      </c>
      <c r="BT18" s="113">
        <v>7245</v>
      </c>
      <c r="BU18" s="113">
        <v>7253</v>
      </c>
      <c r="BV18" s="113">
        <v>7746</v>
      </c>
      <c r="BW18" s="113">
        <v>8541</v>
      </c>
      <c r="BX18" s="113">
        <v>7835</v>
      </c>
      <c r="BY18" s="113">
        <v>8065</v>
      </c>
      <c r="BZ18" s="113">
        <v>8215</v>
      </c>
      <c r="CA18" s="113">
        <v>10153</v>
      </c>
      <c r="CB18" s="113">
        <v>9175</v>
      </c>
      <c r="CC18" s="113">
        <v>9292</v>
      </c>
      <c r="CD18" s="113">
        <v>9189</v>
      </c>
      <c r="CE18" s="113">
        <v>10818</v>
      </c>
      <c r="CF18" s="113">
        <v>9620</v>
      </c>
      <c r="CG18" s="113">
        <v>10161</v>
      </c>
      <c r="CH18" s="113">
        <v>9741</v>
      </c>
      <c r="CI18" s="113">
        <v>11837</v>
      </c>
      <c r="CJ18" s="113">
        <v>10900</v>
      </c>
      <c r="CK18" s="113">
        <v>11804</v>
      </c>
      <c r="CL18" s="113">
        <v>10811</v>
      </c>
      <c r="CM18" s="113">
        <v>12542</v>
      </c>
      <c r="CN18" s="113">
        <v>14398</v>
      </c>
      <c r="CO18" s="113">
        <v>13371</v>
      </c>
      <c r="CP18" s="113">
        <v>13762</v>
      </c>
      <c r="CQ18" s="113">
        <v>16367</v>
      </c>
      <c r="CR18" s="113">
        <v>14454</v>
      </c>
      <c r="CS18" s="113">
        <v>15837</v>
      </c>
      <c r="CT18" s="113">
        <v>15061</v>
      </c>
      <c r="CU18" s="113">
        <v>16629</v>
      </c>
      <c r="CV18" s="113">
        <v>13648</v>
      </c>
      <c r="CW18" s="113">
        <v>13099</v>
      </c>
      <c r="CX18" s="113">
        <v>12920</v>
      </c>
      <c r="CY18" s="113">
        <v>19022</v>
      </c>
      <c r="CZ18" s="113">
        <v>14503</v>
      </c>
      <c r="DA18" s="113">
        <v>16039</v>
      </c>
      <c r="DB18" s="113">
        <v>16195</v>
      </c>
      <c r="DC18" s="113">
        <v>19953</v>
      </c>
      <c r="DD18" s="113">
        <v>16428</v>
      </c>
      <c r="DE18" s="113">
        <v>17367</v>
      </c>
      <c r="DF18" s="113">
        <v>17372</v>
      </c>
      <c r="DG18" s="113">
        <v>20885</v>
      </c>
      <c r="DH18" s="113">
        <v>17407</v>
      </c>
      <c r="DI18" s="113">
        <v>18059</v>
      </c>
      <c r="DJ18" s="113">
        <v>16008</v>
      </c>
      <c r="DK18" s="113">
        <v>21456</v>
      </c>
      <c r="DL18" s="113">
        <v>20489</v>
      </c>
      <c r="DM18" s="113">
        <v>19896</v>
      </c>
      <c r="DN18" s="113">
        <v>18529</v>
      </c>
      <c r="DO18" s="113">
        <v>24519</v>
      </c>
      <c r="DP18" s="113">
        <v>20403</v>
      </c>
      <c r="DQ18" s="113">
        <v>23382</v>
      </c>
      <c r="DR18" s="113">
        <v>23201</v>
      </c>
      <c r="DS18" s="113">
        <v>26470</v>
      </c>
      <c r="DT18" s="113">
        <v>21729</v>
      </c>
      <c r="DU18" s="113">
        <v>22180</v>
      </c>
      <c r="DV18" s="113">
        <v>20379</v>
      </c>
      <c r="DW18" s="113">
        <v>23796</v>
      </c>
      <c r="DX18" s="113">
        <v>20531</v>
      </c>
      <c r="DY18" s="113">
        <v>20614</v>
      </c>
      <c r="DZ18" s="113">
        <v>21928</v>
      </c>
      <c r="EA18" s="113">
        <v>25826</v>
      </c>
      <c r="EB18" s="113">
        <v>23212</v>
      </c>
      <c r="EC18" s="113">
        <v>25605</v>
      </c>
      <c r="ED18" s="113">
        <v>24538</v>
      </c>
      <c r="EE18" s="113">
        <v>28918</v>
      </c>
      <c r="EF18" s="113">
        <v>26819</v>
      </c>
      <c r="EG18" s="113">
        <v>30085</v>
      </c>
      <c r="EH18" s="113">
        <v>29084</v>
      </c>
      <c r="EI18" s="113">
        <v>32471</v>
      </c>
      <c r="EJ18" s="113">
        <v>30571</v>
      </c>
      <c r="EK18" s="113">
        <v>33717</v>
      </c>
      <c r="EL18" s="113">
        <v>33055</v>
      </c>
      <c r="EM18" s="113">
        <v>36906</v>
      </c>
      <c r="EN18" s="113">
        <v>35021</v>
      </c>
    </row>
    <row r="19" spans="1:144">
      <c r="A19" s="103" t="s">
        <v>2062</v>
      </c>
      <c r="B19" s="113">
        <v>0</v>
      </c>
      <c r="C19" s="113">
        <v>0</v>
      </c>
      <c r="D19" s="113">
        <v>0</v>
      </c>
      <c r="E19" s="113">
        <v>0</v>
      </c>
      <c r="F19" s="113">
        <v>0</v>
      </c>
      <c r="G19" s="113">
        <v>0</v>
      </c>
      <c r="H19" s="113">
        <v>0</v>
      </c>
      <c r="I19" s="113">
        <v>0</v>
      </c>
      <c r="J19" s="113">
        <v>0</v>
      </c>
      <c r="K19" s="113">
        <v>0</v>
      </c>
      <c r="L19" s="113">
        <v>0</v>
      </c>
      <c r="M19" s="113">
        <v>0</v>
      </c>
      <c r="N19" s="113">
        <v>0</v>
      </c>
      <c r="O19" s="113">
        <v>0</v>
      </c>
      <c r="P19" s="113">
        <v>0</v>
      </c>
      <c r="Q19" s="113">
        <v>0</v>
      </c>
      <c r="R19" s="113">
        <v>0</v>
      </c>
      <c r="S19" s="113">
        <v>0</v>
      </c>
      <c r="T19" s="113">
        <v>0</v>
      </c>
      <c r="U19" s="113">
        <v>0</v>
      </c>
      <c r="V19" s="113">
        <v>0</v>
      </c>
      <c r="W19" s="113">
        <v>0</v>
      </c>
      <c r="X19" s="113">
        <v>0</v>
      </c>
      <c r="Y19" s="113">
        <v>0</v>
      </c>
      <c r="Z19" s="113">
        <v>0</v>
      </c>
      <c r="AA19" s="113">
        <v>0</v>
      </c>
      <c r="AB19" s="113">
        <v>0</v>
      </c>
      <c r="AC19" s="113">
        <v>0</v>
      </c>
      <c r="AD19" s="113">
        <v>0</v>
      </c>
      <c r="AE19" s="113">
        <v>0</v>
      </c>
      <c r="AG19" s="103" t="s">
        <v>2062</v>
      </c>
      <c r="AH19" s="113">
        <v>0</v>
      </c>
      <c r="AI19" s="113">
        <v>0</v>
      </c>
      <c r="AJ19" s="113">
        <v>0</v>
      </c>
      <c r="AK19" s="113">
        <v>0</v>
      </c>
      <c r="AL19" s="113">
        <v>0</v>
      </c>
      <c r="AM19" s="113">
        <v>0</v>
      </c>
      <c r="AN19" s="113">
        <v>0</v>
      </c>
      <c r="AO19" s="113">
        <v>0</v>
      </c>
      <c r="AP19" s="113">
        <v>0</v>
      </c>
      <c r="AQ19" s="113">
        <v>0</v>
      </c>
      <c r="AR19" s="113">
        <v>0</v>
      </c>
      <c r="AS19" s="113">
        <v>0</v>
      </c>
      <c r="AT19" s="113">
        <v>0</v>
      </c>
      <c r="AU19" s="113">
        <v>0</v>
      </c>
      <c r="AV19" s="113">
        <v>0</v>
      </c>
      <c r="AW19" s="113">
        <v>0</v>
      </c>
      <c r="AX19" s="113">
        <v>0</v>
      </c>
      <c r="AY19" s="113">
        <v>0</v>
      </c>
      <c r="AZ19" s="113">
        <v>0</v>
      </c>
      <c r="BA19" s="113">
        <v>0</v>
      </c>
      <c r="BB19" s="113">
        <v>0</v>
      </c>
      <c r="BC19" s="113">
        <v>0</v>
      </c>
      <c r="BD19" s="113">
        <v>0</v>
      </c>
      <c r="BE19" s="113">
        <v>0</v>
      </c>
      <c r="BF19" s="113">
        <v>0</v>
      </c>
      <c r="BG19" s="113">
        <v>0</v>
      </c>
      <c r="BH19" s="113">
        <v>0</v>
      </c>
      <c r="BI19" s="113">
        <v>0</v>
      </c>
      <c r="BJ19" s="113">
        <v>0</v>
      </c>
      <c r="BK19" s="113">
        <v>0</v>
      </c>
      <c r="BL19" s="113">
        <v>0</v>
      </c>
      <c r="BM19" s="113">
        <v>0</v>
      </c>
      <c r="BN19" s="113">
        <v>0</v>
      </c>
      <c r="BO19" s="113">
        <v>0</v>
      </c>
      <c r="BP19" s="113">
        <v>0</v>
      </c>
      <c r="BQ19" s="113">
        <v>0</v>
      </c>
      <c r="BR19" s="113">
        <v>0</v>
      </c>
      <c r="BS19" s="113">
        <v>0</v>
      </c>
      <c r="BT19" s="113">
        <v>0</v>
      </c>
      <c r="BU19" s="113">
        <v>0</v>
      </c>
      <c r="BV19" s="113">
        <v>0</v>
      </c>
      <c r="BW19" s="113">
        <v>0</v>
      </c>
      <c r="BX19" s="113">
        <v>0</v>
      </c>
      <c r="BY19" s="113">
        <v>0</v>
      </c>
      <c r="BZ19" s="113">
        <v>0</v>
      </c>
      <c r="CA19" s="113">
        <v>0</v>
      </c>
      <c r="CB19" s="113">
        <v>0</v>
      </c>
      <c r="CC19" s="113">
        <v>0</v>
      </c>
      <c r="CD19" s="113">
        <v>0</v>
      </c>
      <c r="CE19" s="113">
        <v>0</v>
      </c>
      <c r="CF19" s="113">
        <v>0</v>
      </c>
      <c r="CG19" s="113">
        <v>0</v>
      </c>
      <c r="CH19" s="113">
        <v>0</v>
      </c>
      <c r="CI19" s="113">
        <v>0</v>
      </c>
      <c r="CJ19" s="113">
        <v>0</v>
      </c>
      <c r="CK19" s="113">
        <v>0</v>
      </c>
      <c r="CL19" s="113">
        <v>0</v>
      </c>
      <c r="CM19" s="113">
        <v>0</v>
      </c>
      <c r="CN19" s="113">
        <v>0</v>
      </c>
      <c r="CO19" s="113">
        <v>0</v>
      </c>
      <c r="CP19" s="113">
        <v>0</v>
      </c>
      <c r="CQ19" s="113">
        <v>0</v>
      </c>
      <c r="CR19" s="113">
        <v>0</v>
      </c>
      <c r="CS19" s="113">
        <v>0</v>
      </c>
      <c r="CT19" s="113">
        <v>0</v>
      </c>
      <c r="CU19" s="113">
        <v>0</v>
      </c>
      <c r="CV19" s="113">
        <v>0</v>
      </c>
      <c r="CW19" s="113">
        <v>0</v>
      </c>
      <c r="CX19" s="113">
        <v>0</v>
      </c>
      <c r="CY19" s="113">
        <v>0</v>
      </c>
      <c r="CZ19" s="113">
        <v>0</v>
      </c>
      <c r="DA19" s="113">
        <v>0</v>
      </c>
      <c r="DB19" s="113">
        <v>0</v>
      </c>
      <c r="DC19" s="113">
        <v>0</v>
      </c>
      <c r="DD19" s="113">
        <v>0</v>
      </c>
      <c r="DE19" s="113">
        <v>0</v>
      </c>
      <c r="DF19" s="113">
        <v>0</v>
      </c>
      <c r="DG19" s="113">
        <v>0</v>
      </c>
      <c r="DH19" s="113">
        <v>0</v>
      </c>
      <c r="DI19" s="113">
        <v>0</v>
      </c>
      <c r="DJ19" s="113">
        <v>0</v>
      </c>
      <c r="DK19" s="113">
        <v>0</v>
      </c>
      <c r="DL19" s="113">
        <v>0</v>
      </c>
      <c r="DM19" s="113">
        <v>0</v>
      </c>
      <c r="DN19" s="113">
        <v>0</v>
      </c>
      <c r="DO19" s="113">
        <v>0</v>
      </c>
      <c r="DP19" s="113">
        <v>0</v>
      </c>
      <c r="DQ19" s="113">
        <v>0</v>
      </c>
      <c r="DR19" s="113">
        <v>0</v>
      </c>
      <c r="DS19" s="113">
        <v>0</v>
      </c>
      <c r="DT19" s="113">
        <v>0</v>
      </c>
      <c r="DU19" s="113">
        <v>0</v>
      </c>
      <c r="DV19" s="113">
        <v>0</v>
      </c>
      <c r="DW19" s="113">
        <v>0</v>
      </c>
      <c r="DX19" s="113">
        <v>0</v>
      </c>
      <c r="DY19" s="113">
        <v>0</v>
      </c>
      <c r="DZ19" s="113">
        <v>0</v>
      </c>
      <c r="EA19" s="113">
        <v>0</v>
      </c>
      <c r="EB19" s="113">
        <v>0</v>
      </c>
      <c r="EC19" s="113">
        <v>0</v>
      </c>
      <c r="ED19" s="113">
        <v>0</v>
      </c>
      <c r="EE19" s="113">
        <v>0</v>
      </c>
      <c r="EF19" s="113">
        <v>0</v>
      </c>
      <c r="EG19" s="113">
        <v>0</v>
      </c>
      <c r="EH19" s="113">
        <v>0</v>
      </c>
      <c r="EI19" s="113">
        <v>0</v>
      </c>
      <c r="EJ19" s="113">
        <v>0</v>
      </c>
      <c r="EK19" s="113">
        <v>0</v>
      </c>
      <c r="EL19" s="113">
        <v>0</v>
      </c>
      <c r="EM19" s="113">
        <v>0</v>
      </c>
      <c r="EN19" s="113">
        <v>0</v>
      </c>
    </row>
    <row r="20" spans="1:144" ht="10.5">
      <c r="A20" s="112" t="s">
        <v>2063</v>
      </c>
      <c r="B20" s="114">
        <v>1843</v>
      </c>
      <c r="C20" s="114">
        <v>2759</v>
      </c>
      <c r="D20" s="114">
        <v>3753</v>
      </c>
      <c r="E20" s="114">
        <v>4649</v>
      </c>
      <c r="F20" s="114">
        <v>5937</v>
      </c>
      <c r="G20" s="114">
        <v>8671</v>
      </c>
      <c r="H20" s="114">
        <v>11936</v>
      </c>
      <c r="I20" s="114">
        <v>15262</v>
      </c>
      <c r="J20" s="114">
        <v>19747</v>
      </c>
      <c r="K20" s="114">
        <v>22956</v>
      </c>
      <c r="L20" s="114">
        <v>25296</v>
      </c>
      <c r="M20" s="114">
        <v>28365</v>
      </c>
      <c r="N20" s="114">
        <v>32187</v>
      </c>
      <c r="O20" s="114">
        <v>36835</v>
      </c>
      <c r="P20" s="114">
        <v>39788</v>
      </c>
      <c r="Q20" s="114">
        <v>44282</v>
      </c>
      <c r="R20" s="114">
        <v>51122</v>
      </c>
      <c r="S20" s="114">
        <v>60420</v>
      </c>
      <c r="T20" s="114">
        <v>58437</v>
      </c>
      <c r="U20" s="114">
        <v>62484</v>
      </c>
      <c r="V20" s="114">
        <v>69943</v>
      </c>
      <c r="W20" s="114">
        <v>73723</v>
      </c>
      <c r="X20" s="114">
        <v>77849</v>
      </c>
      <c r="Y20" s="114">
        <v>86833</v>
      </c>
      <c r="Z20" s="114">
        <v>93580</v>
      </c>
      <c r="AA20" s="114">
        <v>91154</v>
      </c>
      <c r="AB20" s="114">
        <v>96571</v>
      </c>
      <c r="AC20" s="114">
        <v>110360</v>
      </c>
      <c r="AD20" s="114">
        <v>125843</v>
      </c>
      <c r="AE20" s="114">
        <v>138699</v>
      </c>
      <c r="AG20" s="112" t="s">
        <v>2063</v>
      </c>
      <c r="AH20" s="114">
        <v>878</v>
      </c>
      <c r="AI20" s="114">
        <v>938</v>
      </c>
      <c r="AJ20" s="114">
        <v>958</v>
      </c>
      <c r="AK20" s="114">
        <v>1039</v>
      </c>
      <c r="AL20" s="114">
        <v>983</v>
      </c>
      <c r="AM20" s="114">
        <v>1129</v>
      </c>
      <c r="AN20" s="114">
        <v>1244</v>
      </c>
      <c r="AO20" s="114">
        <v>1293</v>
      </c>
      <c r="AP20" s="114">
        <v>1247</v>
      </c>
      <c r="AQ20" s="114">
        <v>1482</v>
      </c>
      <c r="AR20" s="114">
        <v>1587</v>
      </c>
      <c r="AS20" s="114">
        <v>1621</v>
      </c>
      <c r="AT20" s="114">
        <v>2016</v>
      </c>
      <c r="AU20" s="114">
        <v>2195</v>
      </c>
      <c r="AV20" s="114">
        <v>2205</v>
      </c>
      <c r="AW20" s="114">
        <v>2255</v>
      </c>
      <c r="AX20" s="114">
        <v>2295</v>
      </c>
      <c r="AY20" s="114">
        <v>2680</v>
      </c>
      <c r="AZ20" s="114">
        <v>3208</v>
      </c>
      <c r="BA20" s="114">
        <v>3175</v>
      </c>
      <c r="BB20" s="114">
        <v>3130</v>
      </c>
      <c r="BC20" s="114">
        <v>3585</v>
      </c>
      <c r="BD20" s="114">
        <v>3774</v>
      </c>
      <c r="BE20" s="114">
        <v>4773</v>
      </c>
      <c r="BF20" s="114">
        <v>4193</v>
      </c>
      <c r="BG20" s="114">
        <v>5195</v>
      </c>
      <c r="BH20" s="114">
        <v>4595</v>
      </c>
      <c r="BI20" s="114">
        <v>5764</v>
      </c>
      <c r="BJ20" s="114">
        <v>5384</v>
      </c>
      <c r="BK20" s="114">
        <v>6112</v>
      </c>
      <c r="BL20" s="114">
        <v>5656</v>
      </c>
      <c r="BM20" s="114">
        <v>5804</v>
      </c>
      <c r="BN20" s="114">
        <v>5766</v>
      </c>
      <c r="BO20" s="114">
        <v>6550</v>
      </c>
      <c r="BP20" s="114">
        <v>6403</v>
      </c>
      <c r="BQ20" s="114">
        <v>6577</v>
      </c>
      <c r="BR20" s="114">
        <v>6126</v>
      </c>
      <c r="BS20" s="114">
        <v>7741</v>
      </c>
      <c r="BT20" s="114">
        <v>7245</v>
      </c>
      <c r="BU20" s="114">
        <v>7253</v>
      </c>
      <c r="BV20" s="114">
        <v>7746</v>
      </c>
      <c r="BW20" s="114">
        <v>8541</v>
      </c>
      <c r="BX20" s="114">
        <v>7835</v>
      </c>
      <c r="BY20" s="114">
        <v>8065</v>
      </c>
      <c r="BZ20" s="114">
        <v>8215</v>
      </c>
      <c r="CA20" s="114">
        <v>10153</v>
      </c>
      <c r="CB20" s="114">
        <v>9175</v>
      </c>
      <c r="CC20" s="114">
        <v>9292</v>
      </c>
      <c r="CD20" s="114">
        <v>9189</v>
      </c>
      <c r="CE20" s="114">
        <v>10818</v>
      </c>
      <c r="CF20" s="114">
        <v>9620</v>
      </c>
      <c r="CG20" s="114">
        <v>10161</v>
      </c>
      <c r="CH20" s="114">
        <v>9741</v>
      </c>
      <c r="CI20" s="114">
        <v>11837</v>
      </c>
      <c r="CJ20" s="114">
        <v>10900</v>
      </c>
      <c r="CK20" s="114">
        <v>11804</v>
      </c>
      <c r="CL20" s="114">
        <v>10811</v>
      </c>
      <c r="CM20" s="114">
        <v>12542</v>
      </c>
      <c r="CN20" s="114">
        <v>14398</v>
      </c>
      <c r="CO20" s="114">
        <v>13371</v>
      </c>
      <c r="CP20" s="114">
        <v>13762</v>
      </c>
      <c r="CQ20" s="114">
        <v>16367</v>
      </c>
      <c r="CR20" s="114">
        <v>14454</v>
      </c>
      <c r="CS20" s="114">
        <v>15837</v>
      </c>
      <c r="CT20" s="114">
        <v>15061</v>
      </c>
      <c r="CU20" s="114">
        <v>16629</v>
      </c>
      <c r="CV20" s="114">
        <v>13648</v>
      </c>
      <c r="CW20" s="114">
        <v>13099</v>
      </c>
      <c r="CX20" s="114">
        <v>12920</v>
      </c>
      <c r="CY20" s="114">
        <v>19022</v>
      </c>
      <c r="CZ20" s="114">
        <v>14503</v>
      </c>
      <c r="DA20" s="114">
        <v>16039</v>
      </c>
      <c r="DB20" s="114">
        <v>16195</v>
      </c>
      <c r="DC20" s="114">
        <v>19953</v>
      </c>
      <c r="DD20" s="114">
        <v>16428</v>
      </c>
      <c r="DE20" s="114">
        <v>17367</v>
      </c>
      <c r="DF20" s="114">
        <v>17372</v>
      </c>
      <c r="DG20" s="114">
        <v>20885</v>
      </c>
      <c r="DH20" s="114">
        <v>17407</v>
      </c>
      <c r="DI20" s="114">
        <v>18059</v>
      </c>
      <c r="DJ20" s="114">
        <v>16008</v>
      </c>
      <c r="DK20" s="114">
        <v>21456</v>
      </c>
      <c r="DL20" s="114">
        <v>20489</v>
      </c>
      <c r="DM20" s="114">
        <v>19896</v>
      </c>
      <c r="DN20" s="114">
        <v>18529</v>
      </c>
      <c r="DO20" s="114">
        <v>24519</v>
      </c>
      <c r="DP20" s="114">
        <v>20403</v>
      </c>
      <c r="DQ20" s="114">
        <v>23382</v>
      </c>
      <c r="DR20" s="114">
        <v>23201</v>
      </c>
      <c r="DS20" s="114">
        <v>26470</v>
      </c>
      <c r="DT20" s="114">
        <v>21729</v>
      </c>
      <c r="DU20" s="114">
        <v>22180</v>
      </c>
      <c r="DV20" s="114">
        <v>20379</v>
      </c>
      <c r="DW20" s="114">
        <v>23796</v>
      </c>
      <c r="DX20" s="114">
        <v>20531</v>
      </c>
      <c r="DY20" s="114">
        <v>20614</v>
      </c>
      <c r="DZ20" s="114">
        <v>21928</v>
      </c>
      <c r="EA20" s="114">
        <v>25826</v>
      </c>
      <c r="EB20" s="114">
        <v>23212</v>
      </c>
      <c r="EC20" s="114">
        <v>25605</v>
      </c>
      <c r="ED20" s="114">
        <v>24538</v>
      </c>
      <c r="EE20" s="114">
        <v>28918</v>
      </c>
      <c r="EF20" s="114">
        <v>26819</v>
      </c>
      <c r="EG20" s="114">
        <v>30085</v>
      </c>
      <c r="EH20" s="114">
        <v>29084</v>
      </c>
      <c r="EI20" s="114">
        <v>32471</v>
      </c>
      <c r="EJ20" s="114">
        <v>30571</v>
      </c>
      <c r="EK20" s="114">
        <v>33717</v>
      </c>
      <c r="EL20" s="114">
        <v>33055</v>
      </c>
      <c r="EM20" s="114">
        <v>36906</v>
      </c>
      <c r="EN20" s="114">
        <v>35021</v>
      </c>
    </row>
    <row r="21" spans="1:144">
      <c r="A21" s="103"/>
      <c r="B21" s="103"/>
      <c r="C21" s="103"/>
      <c r="D21" s="103"/>
      <c r="E21" s="103"/>
      <c r="F21" s="103"/>
      <c r="G21" s="103"/>
      <c r="H21" s="103"/>
      <c r="I21" s="103"/>
      <c r="J21" s="103"/>
      <c r="K21" s="103"/>
      <c r="L21" s="103"/>
      <c r="M21" s="103"/>
      <c r="N21" s="103"/>
      <c r="O21" s="103"/>
      <c r="P21" s="103"/>
      <c r="Q21" s="103"/>
      <c r="R21" s="103"/>
      <c r="S21" s="103"/>
      <c r="T21" s="103"/>
      <c r="U21" s="103"/>
      <c r="V21" s="103"/>
      <c r="W21" s="103"/>
      <c r="X21" s="103"/>
      <c r="Y21" s="103"/>
      <c r="Z21" s="103"/>
      <c r="AA21" s="103"/>
      <c r="AB21" s="103"/>
      <c r="AC21" s="103"/>
      <c r="AD21" s="103"/>
      <c r="AE21" s="103"/>
      <c r="AG21" s="103"/>
      <c r="AH21" s="103"/>
      <c r="AI21" s="103"/>
      <c r="AJ21" s="103"/>
      <c r="AK21" s="103"/>
      <c r="AL21" s="103"/>
      <c r="AM21" s="103"/>
      <c r="AN21" s="103"/>
      <c r="AO21" s="103"/>
      <c r="AP21" s="103"/>
      <c r="AQ21" s="103"/>
      <c r="AR21" s="103"/>
      <c r="AS21" s="103"/>
      <c r="AT21" s="103"/>
      <c r="AU21" s="103"/>
      <c r="AV21" s="103"/>
      <c r="AW21" s="103"/>
      <c r="AX21" s="103"/>
      <c r="AY21" s="103"/>
      <c r="AZ21" s="103"/>
      <c r="BA21" s="103"/>
      <c r="BB21" s="103"/>
      <c r="BC21" s="103"/>
      <c r="BD21" s="103"/>
      <c r="BE21" s="103"/>
      <c r="BF21" s="103"/>
      <c r="BG21" s="103"/>
      <c r="BH21" s="103"/>
      <c r="BI21" s="103"/>
      <c r="BJ21" s="103"/>
      <c r="BK21" s="103"/>
      <c r="BL21" s="103"/>
      <c r="BM21" s="103"/>
      <c r="BN21" s="103"/>
      <c r="BO21" s="103"/>
      <c r="BP21" s="103"/>
      <c r="BQ21" s="103"/>
      <c r="BR21" s="103"/>
      <c r="BS21" s="103"/>
      <c r="BT21" s="103"/>
      <c r="BU21" s="103"/>
      <c r="BV21" s="103"/>
      <c r="BW21" s="103"/>
      <c r="BX21" s="103"/>
      <c r="BY21" s="103"/>
      <c r="BZ21" s="103"/>
      <c r="CA21" s="103"/>
      <c r="CB21" s="103"/>
      <c r="CC21" s="103"/>
      <c r="CD21" s="103"/>
      <c r="CE21" s="103"/>
      <c r="CF21" s="103"/>
      <c r="CG21" s="103"/>
      <c r="CH21" s="103"/>
      <c r="CI21" s="103"/>
      <c r="CJ21" s="103"/>
      <c r="CK21" s="103"/>
      <c r="CL21" s="103"/>
      <c r="CM21" s="103"/>
      <c r="CN21" s="103"/>
      <c r="CO21" s="103"/>
      <c r="CP21" s="103"/>
      <c r="CQ21" s="103"/>
      <c r="CR21" s="103"/>
      <c r="CS21" s="103"/>
      <c r="CT21" s="103"/>
      <c r="CU21" s="103"/>
      <c r="CV21" s="103"/>
      <c r="CW21" s="103"/>
      <c r="CX21" s="103"/>
      <c r="CY21" s="103"/>
      <c r="CZ21" s="103"/>
      <c r="DA21" s="103"/>
      <c r="DB21" s="103"/>
      <c r="DC21" s="103"/>
      <c r="DD21" s="103"/>
      <c r="DE21" s="103"/>
      <c r="DF21" s="103"/>
      <c r="DG21" s="103"/>
      <c r="DH21" s="103"/>
      <c r="DI21" s="103"/>
      <c r="DJ21" s="103"/>
      <c r="DK21" s="103"/>
      <c r="DL21" s="103"/>
      <c r="DM21" s="103"/>
      <c r="DN21" s="103"/>
      <c r="DO21" s="103"/>
      <c r="DP21" s="103"/>
      <c r="DQ21" s="103"/>
      <c r="DR21" s="103"/>
      <c r="DS21" s="103"/>
      <c r="DT21" s="103"/>
      <c r="DU21" s="103"/>
      <c r="DV21" s="103"/>
      <c r="DW21" s="103"/>
      <c r="DX21" s="103"/>
      <c r="DY21" s="103"/>
      <c r="DZ21" s="103"/>
      <c r="EA21" s="103"/>
      <c r="EB21" s="103"/>
      <c r="EC21" s="103"/>
      <c r="ED21" s="103"/>
      <c r="EE21" s="103"/>
      <c r="EF21" s="103"/>
      <c r="EG21" s="103"/>
      <c r="EH21" s="103"/>
      <c r="EI21" s="103"/>
      <c r="EJ21" s="103"/>
      <c r="EK21" s="103"/>
      <c r="EL21" s="103"/>
      <c r="EM21" s="103"/>
      <c r="EN21" s="103"/>
    </row>
    <row r="22" spans="1:144">
      <c r="A22" s="103" t="s">
        <v>2064</v>
      </c>
      <c r="B22" s="113">
        <v>362</v>
      </c>
      <c r="C22" s="113">
        <v>467</v>
      </c>
      <c r="D22" s="113">
        <v>633</v>
      </c>
      <c r="E22" s="113">
        <v>763</v>
      </c>
      <c r="F22" s="113">
        <v>877</v>
      </c>
      <c r="G22" s="113">
        <v>1188</v>
      </c>
      <c r="H22" s="113">
        <v>2170</v>
      </c>
      <c r="I22" s="113">
        <v>2460</v>
      </c>
      <c r="J22" s="113">
        <v>2814</v>
      </c>
      <c r="K22" s="113">
        <v>3002</v>
      </c>
      <c r="L22" s="113">
        <v>3455</v>
      </c>
      <c r="M22" s="113">
        <v>5699</v>
      </c>
      <c r="N22" s="113">
        <v>6059</v>
      </c>
      <c r="O22" s="113">
        <v>6596</v>
      </c>
      <c r="P22" s="113">
        <v>6031</v>
      </c>
      <c r="Q22" s="113">
        <v>7650</v>
      </c>
      <c r="R22" s="113">
        <v>10693</v>
      </c>
      <c r="S22" s="113">
        <v>11598</v>
      </c>
      <c r="T22" s="113">
        <v>12155</v>
      </c>
      <c r="U22" s="113">
        <v>12395</v>
      </c>
      <c r="V22" s="113">
        <v>15577</v>
      </c>
      <c r="W22" s="113">
        <v>17530</v>
      </c>
      <c r="X22" s="113">
        <v>20385</v>
      </c>
      <c r="Y22" s="113">
        <v>27078</v>
      </c>
      <c r="Z22" s="113">
        <v>33038</v>
      </c>
      <c r="AA22" s="113">
        <v>32780</v>
      </c>
      <c r="AB22" s="113">
        <v>34261</v>
      </c>
      <c r="AC22" s="113">
        <v>38353</v>
      </c>
      <c r="AD22" s="113">
        <v>42910</v>
      </c>
      <c r="AE22" s="113">
        <v>44151</v>
      </c>
      <c r="AG22" s="103" t="s">
        <v>2064</v>
      </c>
      <c r="AH22" s="113">
        <v>146</v>
      </c>
      <c r="AI22" s="113">
        <v>157</v>
      </c>
      <c r="AJ22" s="113">
        <v>161</v>
      </c>
      <c r="AK22" s="113">
        <v>180</v>
      </c>
      <c r="AL22" s="113">
        <v>159</v>
      </c>
      <c r="AM22" s="113">
        <v>185</v>
      </c>
      <c r="AN22" s="113">
        <v>208</v>
      </c>
      <c r="AO22" s="113">
        <v>211</v>
      </c>
      <c r="AP22" s="113">
        <v>186</v>
      </c>
      <c r="AQ22" s="113">
        <v>222</v>
      </c>
      <c r="AR22" s="113">
        <v>235</v>
      </c>
      <c r="AS22" s="113">
        <v>234</v>
      </c>
      <c r="AT22" s="113">
        <v>322</v>
      </c>
      <c r="AU22" s="113">
        <v>330</v>
      </c>
      <c r="AV22" s="113">
        <v>295</v>
      </c>
      <c r="AW22" s="113">
        <v>241</v>
      </c>
      <c r="AX22" s="113">
        <v>250</v>
      </c>
      <c r="AY22" s="113">
        <v>296</v>
      </c>
      <c r="AZ22" s="113">
        <v>297</v>
      </c>
      <c r="BA22" s="113">
        <v>242</v>
      </c>
      <c r="BB22" s="113">
        <v>253</v>
      </c>
      <c r="BC22" s="113">
        <v>313</v>
      </c>
      <c r="BD22" s="113">
        <v>317</v>
      </c>
      <c r="BE22" s="113">
        <v>1577</v>
      </c>
      <c r="BF22" s="113">
        <v>649</v>
      </c>
      <c r="BG22" s="113">
        <v>788</v>
      </c>
      <c r="BH22" s="113">
        <v>708</v>
      </c>
      <c r="BI22" s="113">
        <v>669</v>
      </c>
      <c r="BJ22" s="113">
        <v>712</v>
      </c>
      <c r="BK22" s="113">
        <v>756</v>
      </c>
      <c r="BL22" s="113">
        <v>752</v>
      </c>
      <c r="BM22" s="113">
        <v>782</v>
      </c>
      <c r="BN22" s="113">
        <v>825</v>
      </c>
      <c r="BO22" s="113">
        <v>864</v>
      </c>
      <c r="BP22" s="113">
        <v>899</v>
      </c>
      <c r="BQ22" s="113">
        <v>867</v>
      </c>
      <c r="BR22" s="113">
        <v>884</v>
      </c>
      <c r="BS22" s="113">
        <v>1544</v>
      </c>
      <c r="BT22" s="113">
        <v>1395</v>
      </c>
      <c r="BU22" s="113">
        <v>1368</v>
      </c>
      <c r="BV22" s="113">
        <v>1344</v>
      </c>
      <c r="BW22" s="113">
        <v>2137</v>
      </c>
      <c r="BX22" s="113">
        <v>1274</v>
      </c>
      <c r="BY22" s="113">
        <v>1304</v>
      </c>
      <c r="BZ22" s="113">
        <v>1480</v>
      </c>
      <c r="CA22" s="113">
        <v>2344</v>
      </c>
      <c r="CB22" s="113">
        <v>1411</v>
      </c>
      <c r="CC22" s="113">
        <v>1481</v>
      </c>
      <c r="CD22" s="113">
        <v>1405</v>
      </c>
      <c r="CE22" s="113">
        <v>1875</v>
      </c>
      <c r="CF22" s="113">
        <v>1363</v>
      </c>
      <c r="CG22" s="113">
        <v>1388</v>
      </c>
      <c r="CH22" s="113">
        <v>1253</v>
      </c>
      <c r="CI22" s="113">
        <v>2239</v>
      </c>
      <c r="CJ22" s="113">
        <v>2028</v>
      </c>
      <c r="CK22" s="113">
        <v>2130</v>
      </c>
      <c r="CL22" s="113">
        <v>1696</v>
      </c>
      <c r="CM22" s="113">
        <v>3620</v>
      </c>
      <c r="CN22" s="113">
        <v>2140</v>
      </c>
      <c r="CO22" s="113">
        <v>3237</v>
      </c>
      <c r="CP22" s="113">
        <v>2675</v>
      </c>
      <c r="CQ22" s="113">
        <v>3543</v>
      </c>
      <c r="CR22" s="113">
        <v>2514</v>
      </c>
      <c r="CS22" s="113">
        <v>2866</v>
      </c>
      <c r="CT22" s="113">
        <v>2848</v>
      </c>
      <c r="CU22" s="113">
        <v>3907</v>
      </c>
      <c r="CV22" s="113">
        <v>2814</v>
      </c>
      <c r="CW22" s="113">
        <v>2586</v>
      </c>
      <c r="CX22" s="113">
        <v>2842</v>
      </c>
      <c r="CY22" s="113">
        <v>3628</v>
      </c>
      <c r="CZ22" s="113">
        <v>2755</v>
      </c>
      <c r="DA22" s="113">
        <v>3170</v>
      </c>
      <c r="DB22" s="113">
        <v>3139</v>
      </c>
      <c r="DC22" s="113">
        <v>4833</v>
      </c>
      <c r="DD22" s="113">
        <v>3897</v>
      </c>
      <c r="DE22" s="113">
        <v>3708</v>
      </c>
      <c r="DF22" s="113">
        <v>3777</v>
      </c>
      <c r="DG22" s="113">
        <v>5638</v>
      </c>
      <c r="DH22" s="113">
        <v>3952</v>
      </c>
      <c r="DI22" s="113">
        <v>4163</v>
      </c>
      <c r="DJ22" s="113">
        <v>4168</v>
      </c>
      <c r="DK22" s="113">
        <v>5692</v>
      </c>
      <c r="DL22" s="113">
        <v>4787</v>
      </c>
      <c r="DM22" s="113">
        <v>5602</v>
      </c>
      <c r="DN22" s="113">
        <v>5145</v>
      </c>
      <c r="DO22" s="113">
        <v>8322</v>
      </c>
      <c r="DP22" s="113">
        <v>5978</v>
      </c>
      <c r="DQ22" s="113">
        <v>7633</v>
      </c>
      <c r="DR22" s="113">
        <v>8273</v>
      </c>
      <c r="DS22" s="113">
        <v>10136</v>
      </c>
      <c r="DT22" s="113">
        <v>7161</v>
      </c>
      <c r="DU22" s="113">
        <v>7468</v>
      </c>
      <c r="DV22" s="113">
        <v>7207</v>
      </c>
      <c r="DW22" s="113">
        <v>9872</v>
      </c>
      <c r="DX22" s="113">
        <v>7722</v>
      </c>
      <c r="DY22" s="113">
        <v>7979</v>
      </c>
      <c r="DZ22" s="113">
        <v>7844</v>
      </c>
      <c r="EA22" s="113">
        <v>9901</v>
      </c>
      <c r="EB22" s="113">
        <v>8060</v>
      </c>
      <c r="EC22" s="113">
        <v>8045</v>
      </c>
      <c r="ED22" s="113">
        <v>8278</v>
      </c>
      <c r="EE22" s="113">
        <v>11064</v>
      </c>
      <c r="EF22" s="113">
        <v>9269</v>
      </c>
      <c r="EG22" s="113">
        <v>9742</v>
      </c>
      <c r="EH22" s="113">
        <v>9905</v>
      </c>
      <c r="EI22" s="113">
        <v>12423</v>
      </c>
      <c r="EJ22" s="113">
        <v>10170</v>
      </c>
      <c r="EK22" s="113">
        <v>10412</v>
      </c>
      <c r="EL22" s="113">
        <v>10406</v>
      </c>
      <c r="EM22" s="113">
        <v>12358</v>
      </c>
      <c r="EN22" s="113">
        <v>10975</v>
      </c>
    </row>
    <row r="23" spans="1:144" ht="10.5">
      <c r="A23" s="112" t="s">
        <v>2065</v>
      </c>
      <c r="B23" s="114">
        <v>1481</v>
      </c>
      <c r="C23" s="114">
        <v>2292</v>
      </c>
      <c r="D23" s="114">
        <v>3120</v>
      </c>
      <c r="E23" s="114">
        <v>3886</v>
      </c>
      <c r="F23" s="114">
        <v>5060</v>
      </c>
      <c r="G23" s="114">
        <v>7483</v>
      </c>
      <c r="H23" s="114">
        <v>9766</v>
      </c>
      <c r="I23" s="114">
        <v>12802</v>
      </c>
      <c r="J23" s="114">
        <v>16933</v>
      </c>
      <c r="K23" s="114">
        <v>19954</v>
      </c>
      <c r="L23" s="114">
        <v>21841</v>
      </c>
      <c r="M23" s="114">
        <v>22666</v>
      </c>
      <c r="N23" s="114">
        <v>26128</v>
      </c>
      <c r="O23" s="114">
        <v>30239</v>
      </c>
      <c r="P23" s="114">
        <v>33757</v>
      </c>
      <c r="Q23" s="114">
        <v>36632</v>
      </c>
      <c r="R23" s="114">
        <v>40429</v>
      </c>
      <c r="S23" s="114">
        <v>48822</v>
      </c>
      <c r="T23" s="114">
        <v>46282</v>
      </c>
      <c r="U23" s="114">
        <v>50089</v>
      </c>
      <c r="V23" s="114">
        <v>54366</v>
      </c>
      <c r="W23" s="114">
        <v>56193</v>
      </c>
      <c r="X23" s="114">
        <v>57464</v>
      </c>
      <c r="Y23" s="114">
        <v>59755</v>
      </c>
      <c r="Z23" s="114">
        <v>60542</v>
      </c>
      <c r="AA23" s="114">
        <v>58374</v>
      </c>
      <c r="AB23" s="114">
        <v>62310</v>
      </c>
      <c r="AC23" s="114">
        <v>72007</v>
      </c>
      <c r="AD23" s="114">
        <v>82933</v>
      </c>
      <c r="AE23" s="114">
        <v>94548</v>
      </c>
      <c r="AG23" s="112" t="s">
        <v>2065</v>
      </c>
      <c r="AH23" s="114">
        <v>732</v>
      </c>
      <c r="AI23" s="114">
        <v>781</v>
      </c>
      <c r="AJ23" s="114">
        <v>797</v>
      </c>
      <c r="AK23" s="114">
        <v>859</v>
      </c>
      <c r="AL23" s="114">
        <v>824</v>
      </c>
      <c r="AM23" s="114">
        <v>944</v>
      </c>
      <c r="AN23" s="114">
        <v>1036</v>
      </c>
      <c r="AO23" s="114">
        <v>1082</v>
      </c>
      <c r="AP23" s="114">
        <v>1061</v>
      </c>
      <c r="AQ23" s="114">
        <v>1260</v>
      </c>
      <c r="AR23" s="114">
        <v>1352</v>
      </c>
      <c r="AS23" s="114">
        <v>1387</v>
      </c>
      <c r="AT23" s="114">
        <v>1694</v>
      </c>
      <c r="AU23" s="114">
        <v>1865</v>
      </c>
      <c r="AV23" s="114">
        <v>1910</v>
      </c>
      <c r="AW23" s="114">
        <v>2014</v>
      </c>
      <c r="AX23" s="114">
        <v>2045</v>
      </c>
      <c r="AY23" s="114">
        <v>2384</v>
      </c>
      <c r="AZ23" s="114">
        <v>2911</v>
      </c>
      <c r="BA23" s="114">
        <v>2933</v>
      </c>
      <c r="BB23" s="114">
        <v>2877</v>
      </c>
      <c r="BC23" s="114">
        <v>3272</v>
      </c>
      <c r="BD23" s="114">
        <v>3457</v>
      </c>
      <c r="BE23" s="114">
        <v>3196</v>
      </c>
      <c r="BF23" s="114">
        <v>3544</v>
      </c>
      <c r="BG23" s="114">
        <v>4407</v>
      </c>
      <c r="BH23" s="114">
        <v>3887</v>
      </c>
      <c r="BI23" s="114">
        <v>5095</v>
      </c>
      <c r="BJ23" s="114">
        <v>4672</v>
      </c>
      <c r="BK23" s="114">
        <v>5356</v>
      </c>
      <c r="BL23" s="114">
        <v>4904</v>
      </c>
      <c r="BM23" s="114">
        <v>5022</v>
      </c>
      <c r="BN23" s="114">
        <v>4941</v>
      </c>
      <c r="BO23" s="114">
        <v>5686</v>
      </c>
      <c r="BP23" s="114">
        <v>5504</v>
      </c>
      <c r="BQ23" s="114">
        <v>5710</v>
      </c>
      <c r="BR23" s="114">
        <v>5242</v>
      </c>
      <c r="BS23" s="114">
        <v>6197</v>
      </c>
      <c r="BT23" s="114">
        <v>5850</v>
      </c>
      <c r="BU23" s="114">
        <v>5885</v>
      </c>
      <c r="BV23" s="114">
        <v>6402</v>
      </c>
      <c r="BW23" s="114">
        <v>6404</v>
      </c>
      <c r="BX23" s="114">
        <v>6561</v>
      </c>
      <c r="BY23" s="114">
        <v>6761</v>
      </c>
      <c r="BZ23" s="114">
        <v>6735</v>
      </c>
      <c r="CA23" s="114">
        <v>7809</v>
      </c>
      <c r="CB23" s="114">
        <v>7764</v>
      </c>
      <c r="CC23" s="114">
        <v>7811</v>
      </c>
      <c r="CD23" s="114">
        <v>7784</v>
      </c>
      <c r="CE23" s="114">
        <v>8943</v>
      </c>
      <c r="CF23" s="114">
        <v>8257</v>
      </c>
      <c r="CG23" s="114">
        <v>8773</v>
      </c>
      <c r="CH23" s="114">
        <v>8488</v>
      </c>
      <c r="CI23" s="114">
        <v>9598</v>
      </c>
      <c r="CJ23" s="114">
        <v>8872</v>
      </c>
      <c r="CK23" s="114">
        <v>9674</v>
      </c>
      <c r="CL23" s="114">
        <v>9115</v>
      </c>
      <c r="CM23" s="114">
        <v>8922</v>
      </c>
      <c r="CN23" s="114">
        <v>12258</v>
      </c>
      <c r="CO23" s="114">
        <v>10134</v>
      </c>
      <c r="CP23" s="114">
        <v>11087</v>
      </c>
      <c r="CQ23" s="114">
        <v>12824</v>
      </c>
      <c r="CR23" s="114">
        <v>11940</v>
      </c>
      <c r="CS23" s="114">
        <v>12971</v>
      </c>
      <c r="CT23" s="114">
        <v>12213</v>
      </c>
      <c r="CU23" s="114">
        <v>12722</v>
      </c>
      <c r="CV23" s="114">
        <v>10834</v>
      </c>
      <c r="CW23" s="114">
        <v>10513</v>
      </c>
      <c r="CX23" s="114">
        <v>10078</v>
      </c>
      <c r="CY23" s="114">
        <v>15394</v>
      </c>
      <c r="CZ23" s="114">
        <v>11748</v>
      </c>
      <c r="DA23" s="114">
        <v>12869</v>
      </c>
      <c r="DB23" s="114">
        <v>13056</v>
      </c>
      <c r="DC23" s="114">
        <v>15120</v>
      </c>
      <c r="DD23" s="114">
        <v>12531</v>
      </c>
      <c r="DE23" s="114">
        <v>13659</v>
      </c>
      <c r="DF23" s="114">
        <v>13595</v>
      </c>
      <c r="DG23" s="114">
        <v>15247</v>
      </c>
      <c r="DH23" s="114">
        <v>13455</v>
      </c>
      <c r="DI23" s="114">
        <v>13896</v>
      </c>
      <c r="DJ23" s="114">
        <v>11840</v>
      </c>
      <c r="DK23" s="114">
        <v>15764</v>
      </c>
      <c r="DL23" s="114">
        <v>15702</v>
      </c>
      <c r="DM23" s="114">
        <v>14294</v>
      </c>
      <c r="DN23" s="114">
        <v>13384</v>
      </c>
      <c r="DO23" s="114">
        <v>16197</v>
      </c>
      <c r="DP23" s="114">
        <v>14425</v>
      </c>
      <c r="DQ23" s="114">
        <v>15749</v>
      </c>
      <c r="DR23" s="114">
        <v>14928</v>
      </c>
      <c r="DS23" s="114">
        <v>16334</v>
      </c>
      <c r="DT23" s="114">
        <v>14568</v>
      </c>
      <c r="DU23" s="114">
        <v>14712</v>
      </c>
      <c r="DV23" s="114">
        <v>13172</v>
      </c>
      <c r="DW23" s="114">
        <v>13924</v>
      </c>
      <c r="DX23" s="114">
        <v>12809</v>
      </c>
      <c r="DY23" s="114">
        <v>12635</v>
      </c>
      <c r="DZ23" s="114">
        <v>14084</v>
      </c>
      <c r="EA23" s="114">
        <v>15925</v>
      </c>
      <c r="EB23" s="114">
        <v>15152</v>
      </c>
      <c r="EC23" s="114">
        <v>17560</v>
      </c>
      <c r="ED23" s="114">
        <v>16260</v>
      </c>
      <c r="EE23" s="114">
        <v>17854</v>
      </c>
      <c r="EF23" s="114">
        <v>17550</v>
      </c>
      <c r="EG23" s="114">
        <v>20343</v>
      </c>
      <c r="EH23" s="114">
        <v>19179</v>
      </c>
      <c r="EI23" s="114">
        <v>20048</v>
      </c>
      <c r="EJ23" s="114">
        <v>20401</v>
      </c>
      <c r="EK23" s="114">
        <v>23305</v>
      </c>
      <c r="EL23" s="114">
        <v>22649</v>
      </c>
      <c r="EM23" s="114">
        <v>24548</v>
      </c>
      <c r="EN23" s="114">
        <v>24046</v>
      </c>
    </row>
    <row r="24" spans="1:144">
      <c r="A24" s="103"/>
      <c r="B24" s="103"/>
      <c r="C24" s="103"/>
      <c r="D24" s="103"/>
      <c r="E24" s="103"/>
      <c r="F24" s="103"/>
      <c r="G24" s="103"/>
      <c r="H24" s="103"/>
      <c r="I24" s="103"/>
      <c r="J24" s="103"/>
      <c r="K24" s="103"/>
      <c r="L24" s="103"/>
      <c r="M24" s="103"/>
      <c r="N24" s="103"/>
      <c r="O24" s="103"/>
      <c r="P24" s="103"/>
      <c r="Q24" s="103"/>
      <c r="R24" s="103"/>
      <c r="S24" s="103"/>
      <c r="T24" s="103"/>
      <c r="U24" s="103"/>
      <c r="V24" s="103"/>
      <c r="W24" s="103"/>
      <c r="X24" s="103"/>
      <c r="Y24" s="103"/>
      <c r="Z24" s="103"/>
      <c r="AA24" s="103"/>
      <c r="AB24" s="103"/>
      <c r="AC24" s="103"/>
      <c r="AD24" s="103"/>
      <c r="AE24" s="103"/>
      <c r="AG24" s="103"/>
      <c r="AH24" s="103"/>
      <c r="AI24" s="103"/>
      <c r="AJ24" s="103"/>
      <c r="AK24" s="103"/>
      <c r="AL24" s="103"/>
      <c r="AM24" s="103"/>
      <c r="AN24" s="103"/>
      <c r="AO24" s="103"/>
      <c r="AP24" s="103"/>
      <c r="AQ24" s="103"/>
      <c r="AR24" s="103"/>
      <c r="AS24" s="103"/>
      <c r="AT24" s="103"/>
      <c r="AU24" s="103"/>
      <c r="AV24" s="103"/>
      <c r="AW24" s="103"/>
      <c r="AX24" s="103"/>
      <c r="AY24" s="103"/>
      <c r="AZ24" s="103"/>
      <c r="BA24" s="103"/>
      <c r="BB24" s="103"/>
      <c r="BC24" s="103"/>
      <c r="BD24" s="103"/>
      <c r="BE24" s="103"/>
      <c r="BF24" s="103"/>
      <c r="BG24" s="103"/>
      <c r="BH24" s="103"/>
      <c r="BI24" s="103"/>
      <c r="BJ24" s="103"/>
      <c r="BK24" s="103"/>
      <c r="BL24" s="103"/>
      <c r="BM24" s="103"/>
      <c r="BN24" s="103"/>
      <c r="BO24" s="103"/>
      <c r="BP24" s="103"/>
      <c r="BQ24" s="103"/>
      <c r="BR24" s="103"/>
      <c r="BS24" s="103"/>
      <c r="BT24" s="103"/>
      <c r="BU24" s="103"/>
      <c r="BV24" s="103"/>
      <c r="BW24" s="103"/>
      <c r="BX24" s="103"/>
      <c r="BY24" s="103"/>
      <c r="BZ24" s="103"/>
      <c r="CA24" s="103"/>
      <c r="CB24" s="103"/>
      <c r="CC24" s="103"/>
      <c r="CD24" s="103"/>
      <c r="CE24" s="103"/>
      <c r="CF24" s="103"/>
      <c r="CG24" s="103"/>
      <c r="CH24" s="103"/>
      <c r="CI24" s="103"/>
      <c r="CJ24" s="103"/>
      <c r="CK24" s="103"/>
      <c r="CL24" s="103"/>
      <c r="CM24" s="103"/>
      <c r="CN24" s="103"/>
      <c r="CO24" s="103"/>
      <c r="CP24" s="103"/>
      <c r="CQ24" s="103"/>
      <c r="CR24" s="103"/>
      <c r="CS24" s="103"/>
      <c r="CT24" s="103"/>
      <c r="CU24" s="103"/>
      <c r="CV24" s="103"/>
      <c r="CW24" s="103"/>
      <c r="CX24" s="103"/>
      <c r="CY24" s="103"/>
      <c r="CZ24" s="103"/>
      <c r="DA24" s="103"/>
      <c r="DB24" s="103"/>
      <c r="DC24" s="103"/>
      <c r="DD24" s="103"/>
      <c r="DE24" s="103"/>
      <c r="DF24" s="103"/>
      <c r="DG24" s="103"/>
      <c r="DH24" s="103"/>
      <c r="DI24" s="103"/>
      <c r="DJ24" s="103"/>
      <c r="DK24" s="103"/>
      <c r="DL24" s="103"/>
      <c r="DM24" s="103"/>
      <c r="DN24" s="103"/>
      <c r="DO24" s="103"/>
      <c r="DP24" s="103"/>
      <c r="DQ24" s="103"/>
      <c r="DR24" s="103"/>
      <c r="DS24" s="103"/>
      <c r="DT24" s="103"/>
      <c r="DU24" s="103"/>
      <c r="DV24" s="103"/>
      <c r="DW24" s="103"/>
      <c r="DX24" s="103"/>
      <c r="DY24" s="103"/>
      <c r="DZ24" s="103"/>
      <c r="EA24" s="103"/>
      <c r="EB24" s="103"/>
      <c r="EC24" s="103"/>
      <c r="ED24" s="103"/>
      <c r="EE24" s="103"/>
      <c r="EF24" s="103"/>
      <c r="EG24" s="103"/>
      <c r="EH24" s="103"/>
      <c r="EI24" s="103"/>
      <c r="EJ24" s="103"/>
      <c r="EK24" s="103"/>
      <c r="EL24" s="103"/>
      <c r="EM24" s="103"/>
      <c r="EN24" s="103"/>
    </row>
    <row r="25" spans="1:144">
      <c r="A25" s="103" t="s">
        <v>2066</v>
      </c>
      <c r="B25" s="113">
        <v>596</v>
      </c>
      <c r="C25" s="113">
        <v>944</v>
      </c>
      <c r="D25" s="113">
        <v>1324</v>
      </c>
      <c r="E25" s="113">
        <v>1550</v>
      </c>
      <c r="F25" s="113">
        <v>2162</v>
      </c>
      <c r="G25" s="113">
        <v>2973</v>
      </c>
      <c r="H25" s="113">
        <v>2773</v>
      </c>
      <c r="I25" s="113">
        <v>3261</v>
      </c>
      <c r="J25" s="113">
        <v>3953</v>
      </c>
      <c r="K25" s="113">
        <v>5176</v>
      </c>
      <c r="L25" s="113">
        <v>5742</v>
      </c>
      <c r="M25" s="113">
        <v>8095</v>
      </c>
      <c r="N25" s="113">
        <v>9238</v>
      </c>
      <c r="O25" s="113">
        <v>10640</v>
      </c>
      <c r="P25" s="113">
        <v>10789</v>
      </c>
      <c r="Q25" s="113">
        <v>12276</v>
      </c>
      <c r="R25" s="113">
        <v>14359</v>
      </c>
      <c r="S25" s="113">
        <v>16587</v>
      </c>
      <c r="T25" s="113">
        <v>16579</v>
      </c>
      <c r="U25" s="113">
        <v>17277</v>
      </c>
      <c r="V25" s="113">
        <v>18162</v>
      </c>
      <c r="W25" s="113">
        <v>18426</v>
      </c>
      <c r="X25" s="113">
        <v>19556</v>
      </c>
      <c r="Y25" s="113">
        <v>20488</v>
      </c>
      <c r="Z25" s="113">
        <v>20324</v>
      </c>
      <c r="AA25" s="113">
        <v>19198</v>
      </c>
      <c r="AB25" s="113">
        <v>19942</v>
      </c>
      <c r="AC25" s="113">
        <v>22223</v>
      </c>
      <c r="AD25" s="113">
        <v>23098</v>
      </c>
      <c r="AE25" s="113">
        <v>24023</v>
      </c>
      <c r="AG25" s="103" t="s">
        <v>2066</v>
      </c>
      <c r="AH25" s="113">
        <v>316.5</v>
      </c>
      <c r="AI25" s="113">
        <v>344</v>
      </c>
      <c r="AJ25" s="113">
        <v>343</v>
      </c>
      <c r="AK25" s="113">
        <v>348</v>
      </c>
      <c r="AL25" s="113">
        <v>347</v>
      </c>
      <c r="AM25" s="113">
        <v>379</v>
      </c>
      <c r="AN25" s="113">
        <v>400</v>
      </c>
      <c r="AO25" s="113">
        <v>424</v>
      </c>
      <c r="AP25" s="113">
        <v>446</v>
      </c>
      <c r="AQ25" s="113">
        <v>541</v>
      </c>
      <c r="AR25" s="113">
        <v>584</v>
      </c>
      <c r="AS25" s="113">
        <v>591</v>
      </c>
      <c r="AT25" s="113">
        <v>684</v>
      </c>
      <c r="AU25" s="113">
        <v>766</v>
      </c>
      <c r="AV25" s="113">
        <v>772</v>
      </c>
      <c r="AW25" s="113">
        <v>751</v>
      </c>
      <c r="AX25" s="113">
        <v>711</v>
      </c>
      <c r="AY25" s="113">
        <v>818</v>
      </c>
      <c r="AZ25" s="113">
        <v>851</v>
      </c>
      <c r="BA25" s="113">
        <v>838</v>
      </c>
      <c r="BB25" s="113">
        <v>883</v>
      </c>
      <c r="BC25" s="113">
        <v>982</v>
      </c>
      <c r="BD25" s="113">
        <v>933</v>
      </c>
      <c r="BE25" s="113">
        <v>463</v>
      </c>
      <c r="BF25" s="113">
        <v>787</v>
      </c>
      <c r="BG25" s="113">
        <v>943</v>
      </c>
      <c r="BH25" s="113">
        <v>993</v>
      </c>
      <c r="BI25" s="113">
        <v>1197</v>
      </c>
      <c r="BJ25" s="113">
        <v>1070</v>
      </c>
      <c r="BK25" s="113">
        <v>1527</v>
      </c>
      <c r="BL25" s="113">
        <v>1195</v>
      </c>
      <c r="BM25" s="113">
        <v>1384</v>
      </c>
      <c r="BN25" s="113">
        <v>1208</v>
      </c>
      <c r="BO25" s="113">
        <v>1502</v>
      </c>
      <c r="BP25" s="113">
        <v>1437</v>
      </c>
      <c r="BQ25" s="113">
        <v>1595</v>
      </c>
      <c r="BR25" s="113">
        <v>1332</v>
      </c>
      <c r="BS25" s="113">
        <v>1652</v>
      </c>
      <c r="BT25" s="113">
        <v>1486</v>
      </c>
      <c r="BU25" s="113">
        <v>1827</v>
      </c>
      <c r="BV25" s="113">
        <v>1667</v>
      </c>
      <c r="BW25" s="113">
        <v>2446</v>
      </c>
      <c r="BX25" s="113">
        <v>2125</v>
      </c>
      <c r="BY25" s="113">
        <v>2534</v>
      </c>
      <c r="BZ25" s="113">
        <v>1976</v>
      </c>
      <c r="CA25" s="113">
        <v>3363</v>
      </c>
      <c r="CB25" s="113">
        <v>2423</v>
      </c>
      <c r="CC25" s="113">
        <v>3019</v>
      </c>
      <c r="CD25" s="113">
        <v>2224</v>
      </c>
      <c r="CE25" s="113">
        <v>2773</v>
      </c>
      <c r="CF25" s="113">
        <v>2061</v>
      </c>
      <c r="CG25" s="113">
        <v>3885</v>
      </c>
      <c r="CH25" s="113">
        <v>2478</v>
      </c>
      <c r="CI25" s="113">
        <v>3284</v>
      </c>
      <c r="CJ25" s="113">
        <v>2970</v>
      </c>
      <c r="CK25" s="113">
        <v>3525</v>
      </c>
      <c r="CL25" s="113">
        <v>2768</v>
      </c>
      <c r="CM25" s="113">
        <v>3702</v>
      </c>
      <c r="CN25" s="113">
        <v>3623</v>
      </c>
      <c r="CO25" s="113">
        <v>4180</v>
      </c>
      <c r="CP25" s="113">
        <v>3401</v>
      </c>
      <c r="CQ25" s="113">
        <v>4486</v>
      </c>
      <c r="CR25" s="113">
        <v>4115</v>
      </c>
      <c r="CS25" s="113">
        <v>4885</v>
      </c>
      <c r="CT25" s="113">
        <v>3931</v>
      </c>
      <c r="CU25" s="113">
        <v>4493</v>
      </c>
      <c r="CV25" s="113">
        <v>3837</v>
      </c>
      <c r="CW25" s="113">
        <v>4068</v>
      </c>
      <c r="CX25" s="113">
        <v>3531</v>
      </c>
      <c r="CY25" s="113">
        <v>4802</v>
      </c>
      <c r="CZ25" s="113">
        <v>4355</v>
      </c>
      <c r="DA25" s="113">
        <v>4530</v>
      </c>
      <c r="DB25" s="113">
        <v>3744</v>
      </c>
      <c r="DC25" s="113">
        <v>4770</v>
      </c>
      <c r="DD25" s="113">
        <v>4553</v>
      </c>
      <c r="DE25" s="113">
        <v>5095</v>
      </c>
      <c r="DF25" s="113">
        <v>4063</v>
      </c>
      <c r="DG25" s="113">
        <v>4882</v>
      </c>
      <c r="DH25" s="113">
        <v>4564</v>
      </c>
      <c r="DI25" s="113">
        <v>4917</v>
      </c>
      <c r="DJ25" s="113">
        <v>4072</v>
      </c>
      <c r="DK25" s="113">
        <v>5465</v>
      </c>
      <c r="DL25" s="113">
        <v>4717</v>
      </c>
      <c r="DM25" s="113">
        <v>5438</v>
      </c>
      <c r="DN25" s="113">
        <v>4283</v>
      </c>
      <c r="DO25" s="113">
        <v>5480</v>
      </c>
      <c r="DP25" s="113">
        <v>4708</v>
      </c>
      <c r="DQ25" s="113">
        <v>6017</v>
      </c>
      <c r="DR25" s="113">
        <v>4879</v>
      </c>
      <c r="DS25" s="113">
        <v>5412</v>
      </c>
      <c r="DT25" s="113">
        <v>4800</v>
      </c>
      <c r="DU25" s="113">
        <v>5233</v>
      </c>
      <c r="DV25" s="113">
        <v>4417</v>
      </c>
      <c r="DW25" s="113">
        <v>4998</v>
      </c>
      <c r="DX25" s="113">
        <v>4546</v>
      </c>
      <c r="DY25" s="113">
        <v>5299</v>
      </c>
      <c r="DZ25" s="113">
        <v>4263</v>
      </c>
      <c r="EA25" s="113">
        <v>4958</v>
      </c>
      <c r="EB25" s="113">
        <v>5074</v>
      </c>
      <c r="EC25" s="113">
        <v>4512</v>
      </c>
      <c r="ED25" s="113">
        <v>4978</v>
      </c>
      <c r="EE25" s="113">
        <v>5671</v>
      </c>
      <c r="EF25" s="113">
        <v>5543</v>
      </c>
      <c r="EG25" s="113">
        <v>6031</v>
      </c>
      <c r="EH25" s="113">
        <v>5247</v>
      </c>
      <c r="EI25" s="113">
        <v>5720</v>
      </c>
      <c r="EJ25" s="113">
        <v>5744</v>
      </c>
      <c r="EK25" s="113">
        <v>6387</v>
      </c>
      <c r="EL25" s="113">
        <v>5398</v>
      </c>
      <c r="EM25" s="113">
        <v>6054</v>
      </c>
      <c r="EN25" s="113">
        <v>6184</v>
      </c>
    </row>
    <row r="26" spans="1:144">
      <c r="A26" s="103" t="s">
        <v>2067</v>
      </c>
      <c r="B26" s="113">
        <v>235</v>
      </c>
      <c r="C26" s="113">
        <v>352</v>
      </c>
      <c r="D26" s="113">
        <v>470</v>
      </c>
      <c r="E26" s="113">
        <v>610</v>
      </c>
      <c r="F26" s="113">
        <v>860</v>
      </c>
      <c r="G26" s="113">
        <v>1432</v>
      </c>
      <c r="H26" s="113">
        <v>1863</v>
      </c>
      <c r="I26" s="113">
        <v>2601</v>
      </c>
      <c r="J26" s="113">
        <v>2970</v>
      </c>
      <c r="K26" s="113">
        <v>3772</v>
      </c>
      <c r="L26" s="113">
        <v>4379</v>
      </c>
      <c r="M26" s="113">
        <v>6299</v>
      </c>
      <c r="N26" s="113">
        <v>6595</v>
      </c>
      <c r="O26" s="113">
        <v>7735</v>
      </c>
      <c r="P26" s="113">
        <v>6097</v>
      </c>
      <c r="Q26" s="113">
        <v>6584</v>
      </c>
      <c r="R26" s="113">
        <v>7121</v>
      </c>
      <c r="S26" s="113">
        <v>8164</v>
      </c>
      <c r="T26" s="113">
        <v>9010</v>
      </c>
      <c r="U26" s="113">
        <v>8714</v>
      </c>
      <c r="V26" s="113">
        <v>9043</v>
      </c>
      <c r="W26" s="113">
        <v>9811</v>
      </c>
      <c r="X26" s="113">
        <v>10411</v>
      </c>
      <c r="Y26" s="113">
        <v>11381</v>
      </c>
      <c r="Z26" s="113">
        <v>12046</v>
      </c>
      <c r="AA26" s="113">
        <v>11988</v>
      </c>
      <c r="AB26" s="113">
        <v>13037</v>
      </c>
      <c r="AC26" s="113">
        <v>14726</v>
      </c>
      <c r="AD26" s="113">
        <v>16876</v>
      </c>
      <c r="AE26" s="113">
        <v>18568</v>
      </c>
      <c r="AG26" s="103" t="s">
        <v>2067</v>
      </c>
      <c r="AH26" s="113">
        <v>108</v>
      </c>
      <c r="AI26" s="113">
        <v>111</v>
      </c>
      <c r="AJ26" s="113">
        <v>116</v>
      </c>
      <c r="AK26" s="113">
        <v>138</v>
      </c>
      <c r="AL26" s="113">
        <v>134</v>
      </c>
      <c r="AM26" s="113">
        <v>150</v>
      </c>
      <c r="AN26" s="113">
        <v>156</v>
      </c>
      <c r="AO26" s="113">
        <v>170</v>
      </c>
      <c r="AP26" s="113">
        <v>178</v>
      </c>
      <c r="AQ26" s="113">
        <v>199</v>
      </c>
      <c r="AR26" s="113">
        <v>219</v>
      </c>
      <c r="AS26" s="113">
        <v>264</v>
      </c>
      <c r="AT26" s="113">
        <v>302</v>
      </c>
      <c r="AU26" s="113">
        <v>313</v>
      </c>
      <c r="AV26" s="113">
        <v>364</v>
      </c>
      <c r="AW26" s="113">
        <v>453</v>
      </c>
      <c r="AX26" s="113">
        <v>432</v>
      </c>
      <c r="AY26" s="113">
        <v>485</v>
      </c>
      <c r="AZ26" s="113">
        <v>492</v>
      </c>
      <c r="BA26" s="113">
        <v>516</v>
      </c>
      <c r="BB26" s="113">
        <v>567</v>
      </c>
      <c r="BC26" s="113">
        <v>627</v>
      </c>
      <c r="BD26" s="113">
        <v>597</v>
      </c>
      <c r="BE26" s="113">
        <v>810</v>
      </c>
      <c r="BF26" s="113">
        <v>651</v>
      </c>
      <c r="BG26" s="113">
        <v>715</v>
      </c>
      <c r="BH26" s="113">
        <v>664</v>
      </c>
      <c r="BI26" s="113">
        <v>940</v>
      </c>
      <c r="BJ26" s="113">
        <v>813</v>
      </c>
      <c r="BK26" s="113">
        <v>898</v>
      </c>
      <c r="BL26" s="113">
        <v>974</v>
      </c>
      <c r="BM26" s="113">
        <v>1087</v>
      </c>
      <c r="BN26" s="113">
        <v>956</v>
      </c>
      <c r="BO26" s="113">
        <v>990</v>
      </c>
      <c r="BP26" s="113">
        <v>1069</v>
      </c>
      <c r="BQ26" s="113">
        <v>1364</v>
      </c>
      <c r="BR26" s="113">
        <v>1013</v>
      </c>
      <c r="BS26" s="113">
        <v>1044</v>
      </c>
      <c r="BT26" s="113">
        <v>1066</v>
      </c>
      <c r="BU26" s="113">
        <v>1184</v>
      </c>
      <c r="BV26" s="113">
        <v>1707</v>
      </c>
      <c r="BW26" s="113">
        <v>1515</v>
      </c>
      <c r="BX26" s="113">
        <v>1692</v>
      </c>
      <c r="BY26" s="113">
        <v>1664</v>
      </c>
      <c r="BZ26" s="113">
        <v>1611</v>
      </c>
      <c r="CA26" s="113">
        <v>2971</v>
      </c>
      <c r="CB26" s="113">
        <v>1538</v>
      </c>
      <c r="CC26" s="113">
        <v>1659</v>
      </c>
      <c r="CD26" s="113">
        <v>1530</v>
      </c>
      <c r="CE26" s="113">
        <v>1421</v>
      </c>
      <c r="CF26" s="113">
        <v>1482</v>
      </c>
      <c r="CG26" s="113">
        <v>1664</v>
      </c>
      <c r="CH26" s="113">
        <v>1515</v>
      </c>
      <c r="CI26" s="113">
        <v>1591</v>
      </c>
      <c r="CJ26" s="113">
        <v>1617</v>
      </c>
      <c r="CK26" s="113">
        <v>1861</v>
      </c>
      <c r="CL26" s="113">
        <v>1786</v>
      </c>
      <c r="CM26" s="113">
        <v>1637</v>
      </c>
      <c r="CN26" s="113">
        <v>1750</v>
      </c>
      <c r="CO26" s="113">
        <v>1948</v>
      </c>
      <c r="CP26" s="113">
        <v>1837</v>
      </c>
      <c r="CQ26" s="113">
        <v>1885</v>
      </c>
      <c r="CR26" s="113">
        <v>2035</v>
      </c>
      <c r="CS26" s="113">
        <v>2348</v>
      </c>
      <c r="CT26" s="113">
        <v>2283</v>
      </c>
      <c r="CU26" s="113">
        <v>2290</v>
      </c>
      <c r="CV26" s="113">
        <v>2212</v>
      </c>
      <c r="CW26" s="113">
        <v>2225</v>
      </c>
      <c r="CX26" s="113">
        <v>2065</v>
      </c>
      <c r="CY26" s="113">
        <v>2079</v>
      </c>
      <c r="CZ26" s="113">
        <v>2220</v>
      </c>
      <c r="DA26" s="113">
        <v>2350</v>
      </c>
      <c r="DB26" s="113">
        <v>2196</v>
      </c>
      <c r="DC26" s="113">
        <v>2185</v>
      </c>
      <c r="DD26" s="113">
        <v>2269</v>
      </c>
      <c r="DE26" s="113">
        <v>2393</v>
      </c>
      <c r="DF26" s="113">
        <v>2329</v>
      </c>
      <c r="DG26" s="113">
        <v>2371</v>
      </c>
      <c r="DH26" s="113">
        <v>2517</v>
      </c>
      <c r="DI26" s="113">
        <v>2594</v>
      </c>
      <c r="DJ26" s="113">
        <v>2460</v>
      </c>
      <c r="DK26" s="113">
        <v>2528</v>
      </c>
      <c r="DL26" s="113">
        <v>2640</v>
      </c>
      <c r="DM26" s="113">
        <v>2783</v>
      </c>
      <c r="DN26" s="113">
        <v>2767</v>
      </c>
      <c r="DO26" s="113">
        <v>2748</v>
      </c>
      <c r="DP26" s="113">
        <v>2743</v>
      </c>
      <c r="DQ26" s="113">
        <v>3123</v>
      </c>
      <c r="DR26" s="113">
        <v>3065</v>
      </c>
      <c r="DS26" s="113">
        <v>2903</v>
      </c>
      <c r="DT26" s="113">
        <v>2984</v>
      </c>
      <c r="DU26" s="113">
        <v>3094</v>
      </c>
      <c r="DV26" s="113">
        <v>2962</v>
      </c>
      <c r="DW26" s="113">
        <v>2900</v>
      </c>
      <c r="DX26" s="113">
        <v>2980</v>
      </c>
      <c r="DY26" s="113">
        <v>3146</v>
      </c>
      <c r="DZ26" s="113">
        <v>3106</v>
      </c>
      <c r="EA26" s="113">
        <v>3062</v>
      </c>
      <c r="EB26" s="113">
        <v>3355</v>
      </c>
      <c r="EC26" s="113">
        <v>2769</v>
      </c>
      <c r="ED26" s="113">
        <v>3574</v>
      </c>
      <c r="EE26" s="113">
        <v>3504</v>
      </c>
      <c r="EF26" s="113">
        <v>3715</v>
      </c>
      <c r="EG26" s="113">
        <v>3933</v>
      </c>
      <c r="EH26" s="113">
        <v>3977</v>
      </c>
      <c r="EI26" s="113">
        <v>4070</v>
      </c>
      <c r="EJ26" s="113">
        <v>4316</v>
      </c>
      <c r="EK26" s="113">
        <v>4513</v>
      </c>
      <c r="EL26" s="113">
        <v>4565</v>
      </c>
      <c r="EM26" s="113">
        <v>4603</v>
      </c>
      <c r="EN26" s="113">
        <v>4887</v>
      </c>
    </row>
    <row r="27" spans="1:144">
      <c r="A27" s="103" t="s">
        <v>2068</v>
      </c>
      <c r="B27" s="113">
        <v>0</v>
      </c>
      <c r="C27" s="113">
        <v>0</v>
      </c>
      <c r="D27" s="113">
        <v>0</v>
      </c>
      <c r="E27" s="113">
        <v>0</v>
      </c>
      <c r="F27" s="113">
        <v>0</v>
      </c>
      <c r="G27" s="113">
        <v>0</v>
      </c>
      <c r="H27" s="113">
        <v>0</v>
      </c>
      <c r="I27" s="113">
        <v>0</v>
      </c>
      <c r="J27" s="113">
        <v>0</v>
      </c>
      <c r="K27" s="113">
        <v>0</v>
      </c>
      <c r="L27" s="113">
        <v>0</v>
      </c>
      <c r="M27" s="113">
        <v>0</v>
      </c>
      <c r="N27" s="113">
        <v>0</v>
      </c>
      <c r="O27" s="113">
        <v>0</v>
      </c>
      <c r="P27" s="113">
        <v>0</v>
      </c>
      <c r="Q27" s="113">
        <v>0</v>
      </c>
      <c r="R27" s="113">
        <v>0</v>
      </c>
      <c r="S27" s="113">
        <v>0</v>
      </c>
      <c r="T27" s="113">
        <v>0</v>
      </c>
      <c r="U27" s="113">
        <v>0</v>
      </c>
      <c r="V27" s="113">
        <v>0</v>
      </c>
      <c r="W27" s="113">
        <v>0</v>
      </c>
      <c r="X27" s="113">
        <v>0</v>
      </c>
      <c r="Y27" s="113">
        <v>0</v>
      </c>
      <c r="Z27" s="113">
        <v>0</v>
      </c>
      <c r="AA27" s="113">
        <v>0</v>
      </c>
      <c r="AB27" s="113">
        <v>0</v>
      </c>
      <c r="AC27" s="113">
        <v>0</v>
      </c>
      <c r="AD27" s="113">
        <v>0</v>
      </c>
      <c r="AE27" s="113">
        <v>0</v>
      </c>
      <c r="AG27" s="103" t="s">
        <v>2068</v>
      </c>
      <c r="AH27" s="113">
        <v>0</v>
      </c>
      <c r="AI27" s="113">
        <v>0</v>
      </c>
      <c r="AJ27" s="113">
        <v>0</v>
      </c>
      <c r="AK27" s="113">
        <v>0</v>
      </c>
      <c r="AL27" s="113">
        <v>0</v>
      </c>
      <c r="AM27" s="113">
        <v>0</v>
      </c>
      <c r="AN27" s="113">
        <v>0</v>
      </c>
      <c r="AO27" s="113">
        <v>0</v>
      </c>
      <c r="AP27" s="113">
        <v>0</v>
      </c>
      <c r="AQ27" s="113">
        <v>0</v>
      </c>
      <c r="AR27" s="113">
        <v>0</v>
      </c>
      <c r="AS27" s="113">
        <v>0</v>
      </c>
      <c r="AT27" s="113">
        <v>0</v>
      </c>
      <c r="AU27" s="113">
        <v>0</v>
      </c>
      <c r="AV27" s="113">
        <v>0</v>
      </c>
      <c r="AW27" s="113">
        <v>0</v>
      </c>
      <c r="AX27" s="113">
        <v>0</v>
      </c>
      <c r="AY27" s="113">
        <v>0</v>
      </c>
      <c r="AZ27" s="113">
        <v>0</v>
      </c>
      <c r="BA27" s="113">
        <v>0</v>
      </c>
      <c r="BB27" s="113">
        <v>0</v>
      </c>
      <c r="BC27" s="113">
        <v>0</v>
      </c>
      <c r="BD27" s="113">
        <v>0</v>
      </c>
      <c r="BE27" s="113">
        <v>0</v>
      </c>
      <c r="BF27" s="113">
        <v>0</v>
      </c>
      <c r="BG27" s="113">
        <v>0</v>
      </c>
      <c r="BH27" s="113">
        <v>0</v>
      </c>
      <c r="BI27" s="113">
        <v>0</v>
      </c>
      <c r="BJ27" s="113">
        <v>0</v>
      </c>
      <c r="BK27" s="113">
        <v>0</v>
      </c>
      <c r="BL27" s="113">
        <v>0</v>
      </c>
      <c r="BM27" s="113">
        <v>0</v>
      </c>
      <c r="BN27" s="113">
        <v>0</v>
      </c>
      <c r="BO27" s="113">
        <v>0</v>
      </c>
      <c r="BP27" s="113">
        <v>0</v>
      </c>
      <c r="BQ27" s="113">
        <v>0</v>
      </c>
      <c r="BR27" s="113">
        <v>0</v>
      </c>
      <c r="BS27" s="113">
        <v>0</v>
      </c>
      <c r="BT27" s="113">
        <v>0</v>
      </c>
      <c r="BU27" s="113">
        <v>0</v>
      </c>
      <c r="BV27" s="113">
        <v>0</v>
      </c>
      <c r="BW27" s="113">
        <v>0</v>
      </c>
      <c r="BX27" s="113">
        <v>0</v>
      </c>
      <c r="BY27" s="113">
        <v>0</v>
      </c>
      <c r="BZ27" s="113">
        <v>0</v>
      </c>
      <c r="CA27" s="113">
        <v>0</v>
      </c>
      <c r="CB27" s="113">
        <v>0</v>
      </c>
      <c r="CC27" s="113">
        <v>0</v>
      </c>
      <c r="CD27" s="113">
        <v>0</v>
      </c>
      <c r="CE27" s="113">
        <v>0</v>
      </c>
      <c r="CF27" s="113">
        <v>0</v>
      </c>
      <c r="CG27" s="113">
        <v>0</v>
      </c>
      <c r="CH27" s="113">
        <v>0</v>
      </c>
      <c r="CI27" s="113">
        <v>0</v>
      </c>
      <c r="CJ27" s="113">
        <v>0</v>
      </c>
      <c r="CK27" s="113">
        <v>0</v>
      </c>
      <c r="CL27" s="113">
        <v>0</v>
      </c>
      <c r="CM27" s="113">
        <v>0</v>
      </c>
      <c r="CN27" s="113">
        <v>0</v>
      </c>
      <c r="CO27" s="113">
        <v>0</v>
      </c>
      <c r="CP27" s="113">
        <v>0</v>
      </c>
      <c r="CQ27" s="113">
        <v>0</v>
      </c>
      <c r="CR27" s="113">
        <v>0</v>
      </c>
      <c r="CS27" s="113">
        <v>0</v>
      </c>
      <c r="CT27" s="113">
        <v>0</v>
      </c>
      <c r="CU27" s="113">
        <v>0</v>
      </c>
      <c r="CV27" s="113">
        <v>0</v>
      </c>
      <c r="CW27" s="113">
        <v>0</v>
      </c>
      <c r="CX27" s="113">
        <v>0</v>
      </c>
      <c r="CY27" s="113">
        <v>0</v>
      </c>
      <c r="CZ27" s="113">
        <v>0</v>
      </c>
      <c r="DA27" s="113">
        <v>0</v>
      </c>
      <c r="DB27" s="113">
        <v>0</v>
      </c>
      <c r="DC27" s="113">
        <v>0</v>
      </c>
      <c r="DD27" s="113">
        <v>0</v>
      </c>
      <c r="DE27" s="113">
        <v>0</v>
      </c>
      <c r="DF27" s="113">
        <v>0</v>
      </c>
      <c r="DG27" s="113">
        <v>0</v>
      </c>
      <c r="DH27" s="113">
        <v>0</v>
      </c>
      <c r="DI27" s="113">
        <v>0</v>
      </c>
      <c r="DJ27" s="113">
        <v>0</v>
      </c>
      <c r="DK27" s="113">
        <v>0</v>
      </c>
      <c r="DL27" s="113">
        <v>0</v>
      </c>
      <c r="DM27" s="113">
        <v>0</v>
      </c>
      <c r="DN27" s="113">
        <v>0</v>
      </c>
      <c r="DO27" s="113">
        <v>0</v>
      </c>
      <c r="DP27" s="113">
        <v>0</v>
      </c>
      <c r="DQ27" s="113">
        <v>0</v>
      </c>
      <c r="DR27" s="113">
        <v>0</v>
      </c>
      <c r="DS27" s="113">
        <v>0</v>
      </c>
      <c r="DT27" s="113">
        <v>0</v>
      </c>
      <c r="DU27" s="113">
        <v>0</v>
      </c>
      <c r="DV27" s="113">
        <v>0</v>
      </c>
      <c r="DW27" s="113">
        <v>0</v>
      </c>
      <c r="DX27" s="113">
        <v>0</v>
      </c>
      <c r="DY27" s="113">
        <v>0</v>
      </c>
      <c r="DZ27" s="113">
        <v>0</v>
      </c>
      <c r="EA27" s="113">
        <v>0</v>
      </c>
      <c r="EB27" s="113">
        <v>0</v>
      </c>
      <c r="EC27" s="113">
        <v>0</v>
      </c>
      <c r="ED27" s="113">
        <v>0</v>
      </c>
      <c r="EE27" s="113">
        <v>0</v>
      </c>
      <c r="EF27" s="113">
        <v>0</v>
      </c>
      <c r="EG27" s="113">
        <v>0</v>
      </c>
      <c r="EH27" s="113">
        <v>0</v>
      </c>
      <c r="EI27" s="113">
        <v>0</v>
      </c>
      <c r="EJ27" s="113">
        <v>0</v>
      </c>
      <c r="EK27" s="113">
        <v>0</v>
      </c>
      <c r="EL27" s="113">
        <v>0</v>
      </c>
      <c r="EM27" s="113">
        <v>0</v>
      </c>
      <c r="EN27" s="113">
        <v>0</v>
      </c>
    </row>
    <row r="28" spans="1:144">
      <c r="A28" s="103" t="s">
        <v>2069</v>
      </c>
      <c r="B28" s="113">
        <v>0</v>
      </c>
      <c r="C28" s="113">
        <v>0</v>
      </c>
      <c r="D28" s="113">
        <v>0</v>
      </c>
      <c r="E28" s="113">
        <v>0</v>
      </c>
      <c r="F28" s="113">
        <v>0</v>
      </c>
      <c r="G28" s="113">
        <v>19</v>
      </c>
      <c r="H28" s="113">
        <v>259</v>
      </c>
      <c r="I28" s="113">
        <v>230</v>
      </c>
      <c r="J28" s="113">
        <v>0</v>
      </c>
      <c r="K28" s="113">
        <v>0</v>
      </c>
      <c r="L28" s="113">
        <v>0</v>
      </c>
      <c r="M28" s="113">
        <v>0</v>
      </c>
      <c r="N28" s="113">
        <v>0</v>
      </c>
      <c r="O28" s="113">
        <v>0</v>
      </c>
      <c r="P28" s="113">
        <v>0</v>
      </c>
      <c r="Q28" s="113">
        <v>0</v>
      </c>
      <c r="R28" s="113">
        <v>0</v>
      </c>
      <c r="S28" s="113">
        <v>0</v>
      </c>
      <c r="T28" s="113">
        <v>0</v>
      </c>
      <c r="U28" s="113">
        <v>0</v>
      </c>
      <c r="V28" s="113">
        <v>0</v>
      </c>
      <c r="W28" s="113">
        <v>0</v>
      </c>
      <c r="X28" s="113">
        <v>0</v>
      </c>
      <c r="Y28" s="113">
        <v>0</v>
      </c>
      <c r="Z28" s="113">
        <v>0</v>
      </c>
      <c r="AA28" s="113">
        <v>0</v>
      </c>
      <c r="AB28" s="113">
        <v>0</v>
      </c>
      <c r="AC28" s="113">
        <v>0</v>
      </c>
      <c r="AD28" s="113">
        <v>0</v>
      </c>
      <c r="AE28" s="113">
        <v>0</v>
      </c>
      <c r="AG28" s="103" t="s">
        <v>2069</v>
      </c>
      <c r="AH28" s="113">
        <v>0</v>
      </c>
      <c r="AI28" s="113">
        <v>0</v>
      </c>
      <c r="AJ28" s="113">
        <v>0</v>
      </c>
      <c r="AK28" s="113">
        <v>0</v>
      </c>
      <c r="AL28" s="113">
        <v>0</v>
      </c>
      <c r="AM28" s="113">
        <v>0</v>
      </c>
      <c r="AN28" s="113">
        <v>0</v>
      </c>
      <c r="AO28" s="113">
        <v>0</v>
      </c>
      <c r="AP28" s="113">
        <v>0</v>
      </c>
      <c r="AQ28" s="113">
        <v>0</v>
      </c>
      <c r="AR28" s="113">
        <v>0</v>
      </c>
      <c r="AS28" s="113">
        <v>0</v>
      </c>
      <c r="AT28" s="113">
        <v>0</v>
      </c>
      <c r="AU28" s="113">
        <v>0</v>
      </c>
      <c r="AV28" s="113">
        <v>0</v>
      </c>
      <c r="AW28" s="113">
        <v>0</v>
      </c>
      <c r="AX28" s="113">
        <v>0</v>
      </c>
      <c r="AY28" s="113">
        <v>0</v>
      </c>
      <c r="AZ28" s="113">
        <v>0</v>
      </c>
      <c r="BA28" s="113">
        <v>259</v>
      </c>
      <c r="BB28" s="113">
        <v>71</v>
      </c>
      <c r="BC28" s="113">
        <v>50</v>
      </c>
      <c r="BD28" s="113">
        <v>60</v>
      </c>
      <c r="BE28" s="113">
        <v>49</v>
      </c>
      <c r="BF28" s="113">
        <v>24</v>
      </c>
      <c r="BG28" s="113">
        <v>35</v>
      </c>
      <c r="BH28" s="113">
        <v>1</v>
      </c>
      <c r="BI28" s="113">
        <v>55</v>
      </c>
      <c r="BJ28" s="113">
        <v>0</v>
      </c>
      <c r="BK28" s="113">
        <v>0</v>
      </c>
      <c r="BL28" s="113">
        <v>0</v>
      </c>
      <c r="BM28" s="113">
        <v>0</v>
      </c>
      <c r="BN28" s="113">
        <v>0</v>
      </c>
      <c r="BO28" s="113">
        <v>0</v>
      </c>
      <c r="BP28" s="113">
        <v>0</v>
      </c>
      <c r="BQ28" s="113">
        <v>0</v>
      </c>
      <c r="BR28" s="113">
        <v>0</v>
      </c>
      <c r="BS28" s="113">
        <v>0</v>
      </c>
      <c r="BT28" s="113">
        <v>0</v>
      </c>
      <c r="BU28" s="113">
        <v>0</v>
      </c>
      <c r="BV28" s="113">
        <v>0</v>
      </c>
      <c r="BW28" s="113">
        <v>0</v>
      </c>
      <c r="BX28" s="113">
        <v>0</v>
      </c>
      <c r="BY28" s="113">
        <v>0</v>
      </c>
      <c r="BZ28" s="113">
        <v>0</v>
      </c>
      <c r="CA28" s="113">
        <v>0</v>
      </c>
      <c r="CB28" s="113">
        <v>0</v>
      </c>
      <c r="CC28" s="113">
        <v>0</v>
      </c>
      <c r="CD28" s="113">
        <v>0</v>
      </c>
      <c r="CE28" s="113">
        <v>0</v>
      </c>
      <c r="CF28" s="113">
        <v>0</v>
      </c>
      <c r="CG28" s="113">
        <v>0</v>
      </c>
      <c r="CH28" s="113">
        <v>0</v>
      </c>
      <c r="CI28" s="113">
        <v>0</v>
      </c>
      <c r="CJ28" s="113">
        <v>0</v>
      </c>
      <c r="CK28" s="113">
        <v>0</v>
      </c>
      <c r="CL28" s="113">
        <v>0</v>
      </c>
      <c r="CM28" s="113">
        <v>0</v>
      </c>
      <c r="CN28" s="113">
        <v>0</v>
      </c>
      <c r="CO28" s="113">
        <v>0</v>
      </c>
      <c r="CP28" s="113">
        <v>0</v>
      </c>
      <c r="CQ28" s="113">
        <v>0</v>
      </c>
      <c r="CR28" s="113">
        <v>0</v>
      </c>
      <c r="CS28" s="113">
        <v>0</v>
      </c>
      <c r="CT28" s="113">
        <v>0</v>
      </c>
      <c r="CU28" s="113">
        <v>0</v>
      </c>
      <c r="CV28" s="113">
        <v>0</v>
      </c>
      <c r="CW28" s="113">
        <v>0</v>
      </c>
      <c r="CX28" s="113">
        <v>0</v>
      </c>
      <c r="CY28" s="113">
        <v>0</v>
      </c>
      <c r="CZ28" s="113">
        <v>0</v>
      </c>
      <c r="DA28" s="113">
        <v>0</v>
      </c>
      <c r="DB28" s="113">
        <v>0</v>
      </c>
      <c r="DC28" s="113">
        <v>0</v>
      </c>
      <c r="DD28" s="113">
        <v>0</v>
      </c>
      <c r="DE28" s="113">
        <v>0</v>
      </c>
      <c r="DF28" s="113">
        <v>0</v>
      </c>
      <c r="DG28" s="113">
        <v>0</v>
      </c>
      <c r="DH28" s="113">
        <v>0</v>
      </c>
      <c r="DI28" s="113">
        <v>0</v>
      </c>
      <c r="DJ28" s="113">
        <v>0</v>
      </c>
      <c r="DK28" s="113">
        <v>0</v>
      </c>
      <c r="DL28" s="113">
        <v>0</v>
      </c>
      <c r="DM28" s="113">
        <v>0</v>
      </c>
      <c r="DN28" s="113">
        <v>0</v>
      </c>
      <c r="DO28" s="113">
        <v>0</v>
      </c>
      <c r="DP28" s="113">
        <v>0</v>
      </c>
      <c r="DQ28" s="113">
        <v>0</v>
      </c>
      <c r="DR28" s="113">
        <v>0</v>
      </c>
      <c r="DS28" s="113">
        <v>0</v>
      </c>
      <c r="DT28" s="113">
        <v>0</v>
      </c>
      <c r="DU28" s="113">
        <v>0</v>
      </c>
      <c r="DV28" s="113">
        <v>0</v>
      </c>
      <c r="DW28" s="113">
        <v>0</v>
      </c>
      <c r="DX28" s="113">
        <v>0</v>
      </c>
      <c r="DY28" s="113">
        <v>0</v>
      </c>
      <c r="DZ28" s="113">
        <v>0</v>
      </c>
      <c r="EA28" s="113">
        <v>0</v>
      </c>
      <c r="EB28" s="113">
        <v>0</v>
      </c>
      <c r="EC28" s="113">
        <v>0</v>
      </c>
      <c r="ED28" s="113">
        <v>0</v>
      </c>
      <c r="EE28" s="113">
        <v>0</v>
      </c>
      <c r="EF28" s="113">
        <v>0</v>
      </c>
      <c r="EG28" s="113">
        <v>0</v>
      </c>
      <c r="EH28" s="113">
        <v>0</v>
      </c>
      <c r="EI28" s="113">
        <v>0</v>
      </c>
      <c r="EJ28" s="113">
        <v>0</v>
      </c>
      <c r="EK28" s="113">
        <v>0</v>
      </c>
      <c r="EL28" s="113">
        <v>0</v>
      </c>
      <c r="EM28" s="113">
        <v>0</v>
      </c>
      <c r="EN28" s="113">
        <v>0</v>
      </c>
    </row>
    <row r="29" spans="1:144">
      <c r="A29" s="103"/>
      <c r="B29" s="103"/>
      <c r="C29" s="103"/>
      <c r="D29" s="103"/>
      <c r="E29" s="103"/>
      <c r="F29" s="103"/>
      <c r="G29" s="103"/>
      <c r="H29" s="103"/>
      <c r="I29" s="103"/>
      <c r="J29" s="103"/>
      <c r="K29" s="103"/>
      <c r="L29" s="103"/>
      <c r="M29" s="103"/>
      <c r="N29" s="103"/>
      <c r="O29" s="103"/>
      <c r="P29" s="103"/>
      <c r="Q29" s="103"/>
      <c r="R29" s="103"/>
      <c r="S29" s="103"/>
      <c r="T29" s="103"/>
      <c r="U29" s="103"/>
      <c r="V29" s="103"/>
      <c r="W29" s="103"/>
      <c r="X29" s="103"/>
      <c r="Y29" s="103"/>
      <c r="Z29" s="103"/>
      <c r="AA29" s="103"/>
      <c r="AB29" s="103"/>
      <c r="AC29" s="103"/>
      <c r="AD29" s="103"/>
      <c r="AE29" s="103"/>
      <c r="AG29" s="103"/>
      <c r="AH29" s="103"/>
      <c r="AI29" s="103"/>
      <c r="AJ29" s="103"/>
      <c r="AK29" s="103"/>
      <c r="AL29" s="103"/>
      <c r="AM29" s="103"/>
      <c r="AN29" s="103"/>
      <c r="AO29" s="103"/>
      <c r="AP29" s="103"/>
      <c r="AQ29" s="103"/>
      <c r="AR29" s="103"/>
      <c r="AS29" s="103"/>
      <c r="AT29" s="103"/>
      <c r="AU29" s="103"/>
      <c r="AV29" s="103"/>
      <c r="AW29" s="103"/>
      <c r="AX29" s="103"/>
      <c r="AY29" s="103"/>
      <c r="AZ29" s="103"/>
      <c r="BA29" s="103"/>
      <c r="BB29" s="103"/>
      <c r="BC29" s="103"/>
      <c r="BD29" s="103"/>
      <c r="BE29" s="103"/>
      <c r="BF29" s="103"/>
      <c r="BG29" s="103"/>
      <c r="BH29" s="103"/>
      <c r="BI29" s="103"/>
      <c r="BJ29" s="103"/>
      <c r="BK29" s="103"/>
      <c r="BL29" s="103"/>
      <c r="BM29" s="103"/>
      <c r="BN29" s="103"/>
      <c r="BO29" s="103"/>
      <c r="BP29" s="103"/>
      <c r="BQ29" s="103"/>
      <c r="BR29" s="103"/>
      <c r="BS29" s="103"/>
      <c r="BT29" s="103"/>
      <c r="BU29" s="103"/>
      <c r="BV29" s="103"/>
      <c r="BW29" s="103"/>
      <c r="BX29" s="103"/>
      <c r="BY29" s="103"/>
      <c r="BZ29" s="103"/>
      <c r="CA29" s="103"/>
      <c r="CB29" s="103"/>
      <c r="CC29" s="103"/>
      <c r="CD29" s="103"/>
      <c r="CE29" s="103"/>
      <c r="CF29" s="103"/>
      <c r="CG29" s="103"/>
      <c r="CH29" s="103"/>
      <c r="CI29" s="103"/>
      <c r="CJ29" s="103"/>
      <c r="CK29" s="103"/>
      <c r="CL29" s="103"/>
      <c r="CM29" s="103"/>
      <c r="CN29" s="103"/>
      <c r="CO29" s="103"/>
      <c r="CP29" s="103"/>
      <c r="CQ29" s="103"/>
      <c r="CR29" s="103"/>
      <c r="CS29" s="103"/>
      <c r="CT29" s="103"/>
      <c r="CU29" s="103"/>
      <c r="CV29" s="103"/>
      <c r="CW29" s="103"/>
      <c r="CX29" s="103"/>
      <c r="CY29" s="103"/>
      <c r="CZ29" s="103"/>
      <c r="DA29" s="103"/>
      <c r="DB29" s="103"/>
      <c r="DC29" s="103"/>
      <c r="DD29" s="103"/>
      <c r="DE29" s="103"/>
      <c r="DF29" s="103"/>
      <c r="DG29" s="103"/>
      <c r="DH29" s="103"/>
      <c r="DI29" s="103"/>
      <c r="DJ29" s="103"/>
      <c r="DK29" s="103"/>
      <c r="DL29" s="103"/>
      <c r="DM29" s="103"/>
      <c r="DN29" s="103"/>
      <c r="DO29" s="103"/>
      <c r="DP29" s="103"/>
      <c r="DQ29" s="103"/>
      <c r="DR29" s="103"/>
      <c r="DS29" s="103"/>
      <c r="DT29" s="103"/>
      <c r="DU29" s="103"/>
      <c r="DV29" s="103"/>
      <c r="DW29" s="103"/>
      <c r="DX29" s="103"/>
      <c r="DY29" s="103"/>
      <c r="DZ29" s="103"/>
      <c r="EA29" s="103"/>
      <c r="EB29" s="103"/>
      <c r="EC29" s="103"/>
      <c r="ED29" s="103"/>
      <c r="EE29" s="103"/>
      <c r="EF29" s="103"/>
      <c r="EG29" s="103"/>
      <c r="EH29" s="103"/>
      <c r="EI29" s="103"/>
      <c r="EJ29" s="103"/>
      <c r="EK29" s="103"/>
      <c r="EL29" s="103"/>
      <c r="EM29" s="103"/>
      <c r="EN29" s="103"/>
    </row>
    <row r="30" spans="1:144" ht="10.5">
      <c r="A30" s="112" t="s">
        <v>2070</v>
      </c>
      <c r="B30" s="114">
        <v>831</v>
      </c>
      <c r="C30" s="114">
        <v>1296</v>
      </c>
      <c r="D30" s="114">
        <v>1794</v>
      </c>
      <c r="E30" s="114">
        <v>2160</v>
      </c>
      <c r="F30" s="114">
        <v>3022</v>
      </c>
      <c r="G30" s="114">
        <v>4424</v>
      </c>
      <c r="H30" s="114">
        <v>4895</v>
      </c>
      <c r="I30" s="114">
        <v>6092</v>
      </c>
      <c r="J30" s="114">
        <v>6923</v>
      </c>
      <c r="K30" s="114">
        <v>8948</v>
      </c>
      <c r="L30" s="114">
        <v>10121</v>
      </c>
      <c r="M30" s="114">
        <v>14394</v>
      </c>
      <c r="N30" s="114">
        <v>15833</v>
      </c>
      <c r="O30" s="114">
        <v>18375</v>
      </c>
      <c r="P30" s="114">
        <v>16886</v>
      </c>
      <c r="Q30" s="114">
        <v>18860</v>
      </c>
      <c r="R30" s="114">
        <v>21480</v>
      </c>
      <c r="S30" s="114">
        <v>24751</v>
      </c>
      <c r="T30" s="114">
        <v>25589</v>
      </c>
      <c r="U30" s="114">
        <v>25991</v>
      </c>
      <c r="V30" s="114">
        <v>27205</v>
      </c>
      <c r="W30" s="114">
        <v>28237</v>
      </c>
      <c r="X30" s="114">
        <v>29967</v>
      </c>
      <c r="Y30" s="114">
        <v>31869</v>
      </c>
      <c r="Z30" s="114">
        <v>32370</v>
      </c>
      <c r="AA30" s="114">
        <v>31186</v>
      </c>
      <c r="AB30" s="114">
        <v>32979</v>
      </c>
      <c r="AC30" s="114">
        <v>36949</v>
      </c>
      <c r="AD30" s="114">
        <v>39974</v>
      </c>
      <c r="AE30" s="114">
        <v>42591</v>
      </c>
      <c r="AG30" s="112" t="s">
        <v>2070</v>
      </c>
      <c r="AH30" s="114">
        <v>424.5</v>
      </c>
      <c r="AI30" s="114">
        <v>455</v>
      </c>
      <c r="AJ30" s="114">
        <v>459</v>
      </c>
      <c r="AK30" s="114">
        <v>486</v>
      </c>
      <c r="AL30" s="114">
        <v>481</v>
      </c>
      <c r="AM30" s="114">
        <v>529</v>
      </c>
      <c r="AN30" s="114">
        <v>556</v>
      </c>
      <c r="AO30" s="114">
        <v>594</v>
      </c>
      <c r="AP30" s="114">
        <v>624</v>
      </c>
      <c r="AQ30" s="114">
        <v>740</v>
      </c>
      <c r="AR30" s="114">
        <v>803</v>
      </c>
      <c r="AS30" s="114">
        <v>855</v>
      </c>
      <c r="AT30" s="114">
        <v>986</v>
      </c>
      <c r="AU30" s="114">
        <v>1079</v>
      </c>
      <c r="AV30" s="114">
        <v>1136</v>
      </c>
      <c r="AW30" s="114">
        <v>1204</v>
      </c>
      <c r="AX30" s="114">
        <v>1143</v>
      </c>
      <c r="AY30" s="114">
        <v>1303</v>
      </c>
      <c r="AZ30" s="114">
        <v>1343</v>
      </c>
      <c r="BA30" s="114">
        <v>1613</v>
      </c>
      <c r="BB30" s="114">
        <v>1521</v>
      </c>
      <c r="BC30" s="114">
        <v>1659</v>
      </c>
      <c r="BD30" s="114">
        <v>1590</v>
      </c>
      <c r="BE30" s="114">
        <v>1322</v>
      </c>
      <c r="BF30" s="114">
        <v>1462</v>
      </c>
      <c r="BG30" s="114">
        <v>1693</v>
      </c>
      <c r="BH30" s="114">
        <v>1658</v>
      </c>
      <c r="BI30" s="114">
        <v>2192</v>
      </c>
      <c r="BJ30" s="114">
        <v>1883</v>
      </c>
      <c r="BK30" s="114">
        <v>2425</v>
      </c>
      <c r="BL30" s="114">
        <v>2169</v>
      </c>
      <c r="BM30" s="114">
        <v>2471</v>
      </c>
      <c r="BN30" s="114">
        <v>2164</v>
      </c>
      <c r="BO30" s="114">
        <v>2492</v>
      </c>
      <c r="BP30" s="114">
        <v>2506</v>
      </c>
      <c r="BQ30" s="114">
        <v>2959</v>
      </c>
      <c r="BR30" s="114">
        <v>2345</v>
      </c>
      <c r="BS30" s="114">
        <v>2696</v>
      </c>
      <c r="BT30" s="114">
        <v>2552</v>
      </c>
      <c r="BU30" s="114">
        <v>3011</v>
      </c>
      <c r="BV30" s="114">
        <v>3374</v>
      </c>
      <c r="BW30" s="114">
        <v>3961</v>
      </c>
      <c r="BX30" s="114">
        <v>3817</v>
      </c>
      <c r="BY30" s="114">
        <v>4198</v>
      </c>
      <c r="BZ30" s="114">
        <v>3587</v>
      </c>
      <c r="CA30" s="114">
        <v>6334</v>
      </c>
      <c r="CB30" s="114">
        <v>3961</v>
      </c>
      <c r="CC30" s="114">
        <v>4678</v>
      </c>
      <c r="CD30" s="114">
        <v>3754</v>
      </c>
      <c r="CE30" s="114">
        <v>4194</v>
      </c>
      <c r="CF30" s="114">
        <v>3543</v>
      </c>
      <c r="CG30" s="114">
        <v>5549</v>
      </c>
      <c r="CH30" s="114">
        <v>3993</v>
      </c>
      <c r="CI30" s="114">
        <v>4875</v>
      </c>
      <c r="CJ30" s="114">
        <v>4587</v>
      </c>
      <c r="CK30" s="114">
        <v>5386</v>
      </c>
      <c r="CL30" s="114">
        <v>4554</v>
      </c>
      <c r="CM30" s="114">
        <v>5339</v>
      </c>
      <c r="CN30" s="114">
        <v>5373</v>
      </c>
      <c r="CO30" s="114">
        <v>6128</v>
      </c>
      <c r="CP30" s="114">
        <v>5238</v>
      </c>
      <c r="CQ30" s="114">
        <v>6371</v>
      </c>
      <c r="CR30" s="114">
        <v>6150</v>
      </c>
      <c r="CS30" s="114">
        <v>7233</v>
      </c>
      <c r="CT30" s="114">
        <v>6214</v>
      </c>
      <c r="CU30" s="114">
        <v>6783</v>
      </c>
      <c r="CV30" s="114">
        <v>6049</v>
      </c>
      <c r="CW30" s="114">
        <v>6293</v>
      </c>
      <c r="CX30" s="114">
        <v>5596</v>
      </c>
      <c r="CY30" s="114">
        <v>6881</v>
      </c>
      <c r="CZ30" s="114">
        <v>6575</v>
      </c>
      <c r="DA30" s="114">
        <v>6880</v>
      </c>
      <c r="DB30" s="114">
        <v>5940</v>
      </c>
      <c r="DC30" s="114">
        <v>6955</v>
      </c>
      <c r="DD30" s="114">
        <v>6822</v>
      </c>
      <c r="DE30" s="114">
        <v>7488</v>
      </c>
      <c r="DF30" s="114">
        <v>6392</v>
      </c>
      <c r="DG30" s="114">
        <v>7253</v>
      </c>
      <c r="DH30" s="114">
        <v>7081</v>
      </c>
      <c r="DI30" s="114">
        <v>7511</v>
      </c>
      <c r="DJ30" s="114">
        <v>6532</v>
      </c>
      <c r="DK30" s="114">
        <v>7993</v>
      </c>
      <c r="DL30" s="114">
        <v>7357</v>
      </c>
      <c r="DM30" s="114">
        <v>8221</v>
      </c>
      <c r="DN30" s="114">
        <v>7050</v>
      </c>
      <c r="DO30" s="114">
        <v>8228</v>
      </c>
      <c r="DP30" s="114">
        <v>7451</v>
      </c>
      <c r="DQ30" s="114">
        <v>9140</v>
      </c>
      <c r="DR30" s="114">
        <v>7944</v>
      </c>
      <c r="DS30" s="114">
        <v>8315</v>
      </c>
      <c r="DT30" s="114">
        <v>7784</v>
      </c>
      <c r="DU30" s="114">
        <v>8327</v>
      </c>
      <c r="DV30" s="114">
        <v>7379</v>
      </c>
      <c r="DW30" s="114">
        <v>7898</v>
      </c>
      <c r="DX30" s="114">
        <v>7526</v>
      </c>
      <c r="DY30" s="114">
        <v>8445</v>
      </c>
      <c r="DZ30" s="114">
        <v>7369</v>
      </c>
      <c r="EA30" s="114">
        <v>8020</v>
      </c>
      <c r="EB30" s="114">
        <v>8429</v>
      </c>
      <c r="EC30" s="114">
        <v>7281</v>
      </c>
      <c r="ED30" s="114">
        <v>8552</v>
      </c>
      <c r="EE30" s="114">
        <v>9175</v>
      </c>
      <c r="EF30" s="114">
        <v>9258</v>
      </c>
      <c r="EG30" s="114">
        <v>9964</v>
      </c>
      <c r="EH30" s="114">
        <v>9224</v>
      </c>
      <c r="EI30" s="114">
        <v>9790</v>
      </c>
      <c r="EJ30" s="114">
        <v>10060</v>
      </c>
      <c r="EK30" s="114">
        <v>10900</v>
      </c>
      <c r="EL30" s="114">
        <v>9963</v>
      </c>
      <c r="EM30" s="114">
        <v>10657</v>
      </c>
      <c r="EN30" s="114">
        <v>11071</v>
      </c>
    </row>
    <row r="31" spans="1:144">
      <c r="A31" s="103"/>
      <c r="B31" s="103"/>
      <c r="C31" s="103"/>
      <c r="D31" s="103"/>
      <c r="E31" s="103"/>
      <c r="F31" s="103"/>
      <c r="G31" s="103"/>
      <c r="H31" s="103"/>
      <c r="I31" s="103"/>
      <c r="J31" s="103"/>
      <c r="K31" s="103"/>
      <c r="L31" s="103"/>
      <c r="M31" s="103"/>
      <c r="N31" s="103"/>
      <c r="O31" s="103"/>
      <c r="P31" s="103"/>
      <c r="Q31" s="103"/>
      <c r="R31" s="103"/>
      <c r="S31" s="103"/>
      <c r="T31" s="103"/>
      <c r="U31" s="103"/>
      <c r="V31" s="103"/>
      <c r="W31" s="103"/>
      <c r="X31" s="103"/>
      <c r="Y31" s="103"/>
      <c r="Z31" s="103"/>
      <c r="AA31" s="103"/>
      <c r="AB31" s="103"/>
      <c r="AC31" s="103"/>
      <c r="AD31" s="103"/>
      <c r="AE31" s="103"/>
      <c r="AG31" s="103"/>
      <c r="AH31" s="103"/>
      <c r="AI31" s="103"/>
      <c r="AJ31" s="103"/>
      <c r="AK31" s="103"/>
      <c r="AL31" s="103"/>
      <c r="AM31" s="103"/>
      <c r="AN31" s="103"/>
      <c r="AO31" s="103"/>
      <c r="AP31" s="103"/>
      <c r="AQ31" s="103"/>
      <c r="AR31" s="103"/>
      <c r="AS31" s="103"/>
      <c r="AT31" s="103"/>
      <c r="AU31" s="103"/>
      <c r="AV31" s="103"/>
      <c r="AW31" s="103"/>
      <c r="AX31" s="103"/>
      <c r="AY31" s="103"/>
      <c r="AZ31" s="103"/>
      <c r="BA31" s="103"/>
      <c r="BB31" s="103"/>
      <c r="BC31" s="103"/>
      <c r="BD31" s="103"/>
      <c r="BE31" s="103"/>
      <c r="BF31" s="103"/>
      <c r="BG31" s="103"/>
      <c r="BH31" s="103"/>
      <c r="BI31" s="103"/>
      <c r="BJ31" s="103"/>
      <c r="BK31" s="103"/>
      <c r="BL31" s="103"/>
      <c r="BM31" s="103"/>
      <c r="BN31" s="103"/>
      <c r="BO31" s="103"/>
      <c r="BP31" s="103"/>
      <c r="BQ31" s="103"/>
      <c r="BR31" s="103"/>
      <c r="BS31" s="103"/>
      <c r="BT31" s="103"/>
      <c r="BU31" s="103"/>
      <c r="BV31" s="103"/>
      <c r="BW31" s="103"/>
      <c r="BX31" s="103"/>
      <c r="BY31" s="103"/>
      <c r="BZ31" s="103"/>
      <c r="CA31" s="103"/>
      <c r="CB31" s="103"/>
      <c r="CC31" s="103"/>
      <c r="CD31" s="103"/>
      <c r="CE31" s="103"/>
      <c r="CF31" s="103"/>
      <c r="CG31" s="103"/>
      <c r="CH31" s="103"/>
      <c r="CI31" s="103"/>
      <c r="CJ31" s="103"/>
      <c r="CK31" s="103"/>
      <c r="CL31" s="103"/>
      <c r="CM31" s="103"/>
      <c r="CN31" s="103"/>
      <c r="CO31" s="103"/>
      <c r="CP31" s="103"/>
      <c r="CQ31" s="103"/>
      <c r="CR31" s="103"/>
      <c r="CS31" s="103"/>
      <c r="CT31" s="103"/>
      <c r="CU31" s="103"/>
      <c r="CV31" s="103"/>
      <c r="CW31" s="103"/>
      <c r="CX31" s="103"/>
      <c r="CY31" s="103"/>
      <c r="CZ31" s="103"/>
      <c r="DA31" s="103"/>
      <c r="DB31" s="103"/>
      <c r="DC31" s="103"/>
      <c r="DD31" s="103"/>
      <c r="DE31" s="103"/>
      <c r="DF31" s="103"/>
      <c r="DG31" s="103"/>
      <c r="DH31" s="103"/>
      <c r="DI31" s="103"/>
      <c r="DJ31" s="103"/>
      <c r="DK31" s="103"/>
      <c r="DL31" s="103"/>
      <c r="DM31" s="103"/>
      <c r="DN31" s="103"/>
      <c r="DO31" s="103"/>
      <c r="DP31" s="103"/>
      <c r="DQ31" s="103"/>
      <c r="DR31" s="103"/>
      <c r="DS31" s="103"/>
      <c r="DT31" s="103"/>
      <c r="DU31" s="103"/>
      <c r="DV31" s="103"/>
      <c r="DW31" s="103"/>
      <c r="DX31" s="103"/>
      <c r="DY31" s="103"/>
      <c r="DZ31" s="103"/>
      <c r="EA31" s="103"/>
      <c r="EB31" s="103"/>
      <c r="EC31" s="103"/>
      <c r="ED31" s="103"/>
      <c r="EE31" s="103"/>
      <c r="EF31" s="103"/>
      <c r="EG31" s="103"/>
      <c r="EH31" s="103"/>
      <c r="EI31" s="103"/>
      <c r="EJ31" s="103"/>
      <c r="EK31" s="103"/>
      <c r="EL31" s="103"/>
      <c r="EM31" s="103"/>
      <c r="EN31" s="103"/>
    </row>
    <row r="32" spans="1:144" ht="10.5">
      <c r="A32" s="112" t="s">
        <v>2071</v>
      </c>
      <c r="B32" s="115">
        <v>650</v>
      </c>
      <c r="C32" s="115">
        <v>996</v>
      </c>
      <c r="D32" s="115">
        <v>1326</v>
      </c>
      <c r="E32" s="115">
        <v>1726</v>
      </c>
      <c r="F32" s="115">
        <v>2038</v>
      </c>
      <c r="G32" s="115">
        <v>3059</v>
      </c>
      <c r="H32" s="115">
        <v>4871</v>
      </c>
      <c r="I32" s="115">
        <v>6710</v>
      </c>
      <c r="J32" s="115">
        <v>10010</v>
      </c>
      <c r="K32" s="115">
        <v>11006</v>
      </c>
      <c r="L32" s="115">
        <v>11720</v>
      </c>
      <c r="M32" s="115">
        <v>8272</v>
      </c>
      <c r="N32" s="115">
        <v>10295</v>
      </c>
      <c r="O32" s="115">
        <v>11864</v>
      </c>
      <c r="P32" s="115">
        <v>16871</v>
      </c>
      <c r="Q32" s="115">
        <v>17772</v>
      </c>
      <c r="R32" s="115">
        <v>18949</v>
      </c>
      <c r="S32" s="115">
        <v>24071</v>
      </c>
      <c r="T32" s="115">
        <v>20693</v>
      </c>
      <c r="U32" s="115">
        <v>24098</v>
      </c>
      <c r="V32" s="115">
        <v>27161</v>
      </c>
      <c r="W32" s="115">
        <v>27956</v>
      </c>
      <c r="X32" s="115">
        <v>27497</v>
      </c>
      <c r="Y32" s="115">
        <v>27886</v>
      </c>
      <c r="Z32" s="115">
        <v>28172</v>
      </c>
      <c r="AA32" s="115">
        <v>27188</v>
      </c>
      <c r="AB32" s="115">
        <v>29331</v>
      </c>
      <c r="AC32" s="115">
        <v>35058</v>
      </c>
      <c r="AD32" s="115">
        <v>42959</v>
      </c>
      <c r="AE32" s="115">
        <v>51957</v>
      </c>
      <c r="AG32" s="112" t="s">
        <v>2071</v>
      </c>
      <c r="AH32" s="115">
        <v>307.5</v>
      </c>
      <c r="AI32" s="115">
        <v>326</v>
      </c>
      <c r="AJ32" s="115">
        <v>338</v>
      </c>
      <c r="AK32" s="115">
        <v>373</v>
      </c>
      <c r="AL32" s="115">
        <v>343</v>
      </c>
      <c r="AM32" s="115">
        <v>415</v>
      </c>
      <c r="AN32" s="115">
        <v>480</v>
      </c>
      <c r="AO32" s="115">
        <v>488</v>
      </c>
      <c r="AP32" s="115">
        <v>437</v>
      </c>
      <c r="AQ32" s="115">
        <v>520</v>
      </c>
      <c r="AR32" s="115">
        <v>549</v>
      </c>
      <c r="AS32" s="115">
        <v>532</v>
      </c>
      <c r="AT32" s="115">
        <v>708</v>
      </c>
      <c r="AU32" s="115">
        <v>786</v>
      </c>
      <c r="AV32" s="115">
        <v>774</v>
      </c>
      <c r="AW32" s="115">
        <v>810</v>
      </c>
      <c r="AX32" s="115">
        <v>902</v>
      </c>
      <c r="AY32" s="115">
        <v>1081</v>
      </c>
      <c r="AZ32" s="115">
        <v>1568</v>
      </c>
      <c r="BA32" s="115">
        <v>1320</v>
      </c>
      <c r="BB32" s="115">
        <v>1356</v>
      </c>
      <c r="BC32" s="115">
        <v>1613</v>
      </c>
      <c r="BD32" s="115">
        <v>1867</v>
      </c>
      <c r="BE32" s="115">
        <v>1874</v>
      </c>
      <c r="BF32" s="115">
        <v>2082</v>
      </c>
      <c r="BG32" s="115">
        <v>2714</v>
      </c>
      <c r="BH32" s="115">
        <v>2229</v>
      </c>
      <c r="BI32" s="115">
        <v>2903</v>
      </c>
      <c r="BJ32" s="115">
        <v>2789</v>
      </c>
      <c r="BK32" s="115">
        <v>2931</v>
      </c>
      <c r="BL32" s="115">
        <v>2735</v>
      </c>
      <c r="BM32" s="115">
        <v>2551</v>
      </c>
      <c r="BN32" s="115">
        <v>2777</v>
      </c>
      <c r="BO32" s="115">
        <v>3194</v>
      </c>
      <c r="BP32" s="115">
        <v>2998</v>
      </c>
      <c r="BQ32" s="115">
        <v>2751</v>
      </c>
      <c r="BR32" s="115">
        <v>2897</v>
      </c>
      <c r="BS32" s="115">
        <v>3501</v>
      </c>
      <c r="BT32" s="115">
        <v>3298</v>
      </c>
      <c r="BU32" s="115">
        <v>2874</v>
      </c>
      <c r="BV32" s="115">
        <v>3028</v>
      </c>
      <c r="BW32" s="115">
        <v>2443</v>
      </c>
      <c r="BX32" s="115">
        <v>2744</v>
      </c>
      <c r="BY32" s="115">
        <v>2563</v>
      </c>
      <c r="BZ32" s="115">
        <v>3148</v>
      </c>
      <c r="CA32" s="115">
        <v>1475</v>
      </c>
      <c r="CB32" s="115">
        <v>3803</v>
      </c>
      <c r="CC32" s="115">
        <v>3133</v>
      </c>
      <c r="CD32" s="115">
        <v>4030</v>
      </c>
      <c r="CE32" s="115">
        <v>4749</v>
      </c>
      <c r="CF32" s="115">
        <v>4714</v>
      </c>
      <c r="CG32" s="115">
        <v>3224</v>
      </c>
      <c r="CH32" s="115">
        <v>4495</v>
      </c>
      <c r="CI32" s="115">
        <v>4723</v>
      </c>
      <c r="CJ32" s="115">
        <v>4285</v>
      </c>
      <c r="CK32" s="115">
        <v>4288</v>
      </c>
      <c r="CL32" s="115">
        <v>4561</v>
      </c>
      <c r="CM32" s="115">
        <v>3583</v>
      </c>
      <c r="CN32" s="115">
        <v>6885</v>
      </c>
      <c r="CO32" s="115">
        <v>4006</v>
      </c>
      <c r="CP32" s="115">
        <v>5849</v>
      </c>
      <c r="CQ32" s="115">
        <v>6453</v>
      </c>
      <c r="CR32" s="115">
        <v>5790</v>
      </c>
      <c r="CS32" s="115">
        <v>5738</v>
      </c>
      <c r="CT32" s="115">
        <v>5999</v>
      </c>
      <c r="CU32" s="115">
        <v>5939</v>
      </c>
      <c r="CV32" s="115">
        <v>4785</v>
      </c>
      <c r="CW32" s="115">
        <v>4220</v>
      </c>
      <c r="CX32" s="115">
        <v>4482</v>
      </c>
      <c r="CY32" s="115">
        <v>8513</v>
      </c>
      <c r="CZ32" s="115">
        <v>5173</v>
      </c>
      <c r="DA32" s="115">
        <v>5989</v>
      </c>
      <c r="DB32" s="115">
        <v>7116</v>
      </c>
      <c r="DC32" s="115">
        <v>8165</v>
      </c>
      <c r="DD32" s="115">
        <v>5709</v>
      </c>
      <c r="DE32" s="115">
        <v>6171</v>
      </c>
      <c r="DF32" s="115">
        <v>7203</v>
      </c>
      <c r="DG32" s="115">
        <v>7994</v>
      </c>
      <c r="DH32" s="115">
        <v>6374</v>
      </c>
      <c r="DI32" s="115">
        <v>6385</v>
      </c>
      <c r="DJ32" s="115">
        <v>5308</v>
      </c>
      <c r="DK32" s="115">
        <v>7771</v>
      </c>
      <c r="DL32" s="115">
        <v>8345</v>
      </c>
      <c r="DM32" s="115">
        <v>6073</v>
      </c>
      <c r="DN32" s="115">
        <v>6334</v>
      </c>
      <c r="DO32" s="115">
        <v>7969</v>
      </c>
      <c r="DP32" s="115">
        <v>6974</v>
      </c>
      <c r="DQ32" s="115">
        <v>6609</v>
      </c>
      <c r="DR32" s="115">
        <v>6984</v>
      </c>
      <c r="DS32" s="115">
        <v>8019</v>
      </c>
      <c r="DT32" s="115">
        <v>6784</v>
      </c>
      <c r="DU32" s="115">
        <v>6385</v>
      </c>
      <c r="DV32" s="115">
        <v>5793</v>
      </c>
      <c r="DW32" s="115">
        <v>6026</v>
      </c>
      <c r="DX32" s="115">
        <v>5283</v>
      </c>
      <c r="DY32" s="115">
        <v>4190</v>
      </c>
      <c r="DZ32" s="115">
        <v>6715</v>
      </c>
      <c r="EA32" s="115">
        <v>7905</v>
      </c>
      <c r="EB32" s="115">
        <v>6723</v>
      </c>
      <c r="EC32" s="115">
        <v>10279</v>
      </c>
      <c r="ED32" s="115">
        <v>7708</v>
      </c>
      <c r="EE32" s="115">
        <v>8679</v>
      </c>
      <c r="EF32" s="115">
        <v>8292</v>
      </c>
      <c r="EG32" s="115">
        <v>10379</v>
      </c>
      <c r="EH32" s="115">
        <v>9955</v>
      </c>
      <c r="EI32" s="115">
        <v>10258</v>
      </c>
      <c r="EJ32" s="115">
        <v>10341</v>
      </c>
      <c r="EK32" s="115">
        <v>12405</v>
      </c>
      <c r="EL32" s="115">
        <v>12686</v>
      </c>
      <c r="EM32" s="115">
        <v>13891</v>
      </c>
      <c r="EN32" s="115">
        <v>12975</v>
      </c>
    </row>
    <row r="33" spans="1:144">
      <c r="A33" s="103"/>
      <c r="B33" s="103"/>
      <c r="C33" s="103"/>
      <c r="D33" s="103"/>
      <c r="E33" s="103"/>
      <c r="F33" s="103"/>
      <c r="G33" s="103"/>
      <c r="H33" s="103"/>
      <c r="I33" s="103"/>
      <c r="J33" s="103"/>
      <c r="K33" s="103"/>
      <c r="L33" s="103"/>
      <c r="M33" s="103"/>
      <c r="N33" s="103"/>
      <c r="O33" s="103"/>
      <c r="P33" s="103"/>
      <c r="Q33" s="103"/>
      <c r="R33" s="103"/>
      <c r="S33" s="103"/>
      <c r="T33" s="103"/>
      <c r="U33" s="103"/>
      <c r="V33" s="103"/>
      <c r="W33" s="103"/>
      <c r="X33" s="103"/>
      <c r="Y33" s="103"/>
      <c r="Z33" s="103"/>
      <c r="AA33" s="103"/>
      <c r="AB33" s="103"/>
      <c r="AC33" s="103"/>
      <c r="AD33" s="103"/>
      <c r="AE33" s="103"/>
      <c r="AG33" s="103"/>
      <c r="AH33" s="103"/>
      <c r="AI33" s="103"/>
      <c r="AJ33" s="103"/>
      <c r="AK33" s="103"/>
      <c r="AL33" s="103"/>
      <c r="AM33" s="103"/>
      <c r="AN33" s="103"/>
      <c r="AO33" s="103"/>
      <c r="AP33" s="103"/>
      <c r="AQ33" s="103"/>
      <c r="AR33" s="103"/>
      <c r="AS33" s="103"/>
      <c r="AT33" s="103"/>
      <c r="AU33" s="103"/>
      <c r="AV33" s="103"/>
      <c r="AW33" s="103"/>
      <c r="AX33" s="103"/>
      <c r="AY33" s="103"/>
      <c r="AZ33" s="103"/>
      <c r="BA33" s="103"/>
      <c r="BB33" s="103"/>
      <c r="BC33" s="103"/>
      <c r="BD33" s="103"/>
      <c r="BE33" s="103"/>
      <c r="BF33" s="103"/>
      <c r="BG33" s="103"/>
      <c r="BH33" s="103"/>
      <c r="BI33" s="103"/>
      <c r="BJ33" s="103"/>
      <c r="BK33" s="103"/>
      <c r="BL33" s="103"/>
      <c r="BM33" s="103"/>
      <c r="BN33" s="103"/>
      <c r="BO33" s="103"/>
      <c r="BP33" s="103"/>
      <c r="BQ33" s="103"/>
      <c r="BR33" s="103"/>
      <c r="BS33" s="103"/>
      <c r="BT33" s="103"/>
      <c r="BU33" s="103"/>
      <c r="BV33" s="103"/>
      <c r="BW33" s="103"/>
      <c r="BX33" s="103"/>
      <c r="BY33" s="103"/>
      <c r="BZ33" s="103"/>
      <c r="CA33" s="103"/>
      <c r="CB33" s="103"/>
      <c r="CC33" s="103"/>
      <c r="CD33" s="103"/>
      <c r="CE33" s="103"/>
      <c r="CF33" s="103"/>
      <c r="CG33" s="103"/>
      <c r="CH33" s="103"/>
      <c r="CI33" s="103"/>
      <c r="CJ33" s="103"/>
      <c r="CK33" s="103"/>
      <c r="CL33" s="103"/>
      <c r="CM33" s="103"/>
      <c r="CN33" s="103"/>
      <c r="CO33" s="103"/>
      <c r="CP33" s="103"/>
      <c r="CQ33" s="103"/>
      <c r="CR33" s="103"/>
      <c r="CS33" s="103"/>
      <c r="CT33" s="103"/>
      <c r="CU33" s="103"/>
      <c r="CV33" s="103"/>
      <c r="CW33" s="103"/>
      <c r="CX33" s="103"/>
      <c r="CY33" s="103"/>
      <c r="CZ33" s="103"/>
      <c r="DA33" s="103"/>
      <c r="DB33" s="103"/>
      <c r="DC33" s="103"/>
      <c r="DD33" s="103"/>
      <c r="DE33" s="103"/>
      <c r="DF33" s="103"/>
      <c r="DG33" s="103"/>
      <c r="DH33" s="103"/>
      <c r="DI33" s="103"/>
      <c r="DJ33" s="103"/>
      <c r="DK33" s="103"/>
      <c r="DL33" s="103"/>
      <c r="DM33" s="103"/>
      <c r="DN33" s="103"/>
      <c r="DO33" s="103"/>
      <c r="DP33" s="103"/>
      <c r="DQ33" s="103"/>
      <c r="DR33" s="103"/>
      <c r="DS33" s="103"/>
      <c r="DT33" s="103"/>
      <c r="DU33" s="103"/>
      <c r="DV33" s="103"/>
      <c r="DW33" s="103"/>
      <c r="DX33" s="103"/>
      <c r="DY33" s="103"/>
      <c r="DZ33" s="103"/>
      <c r="EA33" s="103"/>
      <c r="EB33" s="103"/>
      <c r="EC33" s="103"/>
      <c r="ED33" s="103"/>
      <c r="EE33" s="103"/>
      <c r="EF33" s="103"/>
      <c r="EG33" s="103"/>
      <c r="EH33" s="103"/>
      <c r="EI33" s="103"/>
      <c r="EJ33" s="103"/>
      <c r="EK33" s="103"/>
      <c r="EL33" s="103"/>
      <c r="EM33" s="103"/>
      <c r="EN33" s="103"/>
    </row>
    <row r="34" spans="1:144">
      <c r="A34" s="103" t="s">
        <v>2072</v>
      </c>
      <c r="B34" s="113">
        <v>-5</v>
      </c>
      <c r="C34" s="113">
        <v>-2</v>
      </c>
      <c r="D34" s="113">
        <v>-1</v>
      </c>
      <c r="E34" s="113">
        <v>0</v>
      </c>
      <c r="F34" s="113">
        <v>0</v>
      </c>
      <c r="G34" s="113">
        <v>0</v>
      </c>
      <c r="H34" s="113">
        <v>0</v>
      </c>
      <c r="I34" s="113">
        <v>0</v>
      </c>
      <c r="J34" s="113">
        <v>0</v>
      </c>
      <c r="K34" s="113">
        <v>0</v>
      </c>
      <c r="L34" s="113">
        <v>0</v>
      </c>
      <c r="M34" s="113">
        <v>0</v>
      </c>
      <c r="N34" s="113">
        <v>0</v>
      </c>
      <c r="O34" s="113">
        <v>0</v>
      </c>
      <c r="P34" s="113">
        <v>0</v>
      </c>
      <c r="Q34" s="113">
        <v>0</v>
      </c>
      <c r="R34" s="113">
        <v>-230</v>
      </c>
      <c r="S34" s="113">
        <v>-106</v>
      </c>
      <c r="T34" s="113">
        <v>-38</v>
      </c>
      <c r="U34" s="113">
        <v>-151</v>
      </c>
      <c r="V34" s="113">
        <v>-295</v>
      </c>
      <c r="W34" s="113">
        <v>-380</v>
      </c>
      <c r="X34" s="113">
        <v>-429</v>
      </c>
      <c r="Y34" s="113">
        <v>-597</v>
      </c>
      <c r="Z34" s="113">
        <v>-781</v>
      </c>
      <c r="AA34" s="113">
        <v>-1243</v>
      </c>
      <c r="AB34" s="113">
        <v>-2222</v>
      </c>
      <c r="AC34" s="113">
        <v>-2733</v>
      </c>
      <c r="AD34" s="113">
        <v>-2686</v>
      </c>
      <c r="AE34" s="113">
        <v>-2576</v>
      </c>
      <c r="AG34" s="103" t="s">
        <v>2072</v>
      </c>
      <c r="AH34" s="113">
        <v>0</v>
      </c>
      <c r="AI34" s="113">
        <v>0</v>
      </c>
      <c r="AJ34" s="113">
        <v>0</v>
      </c>
      <c r="AK34" s="113">
        <v>-1</v>
      </c>
      <c r="AL34" s="113">
        <v>0</v>
      </c>
      <c r="AM34" s="113">
        <v>0</v>
      </c>
      <c r="AN34" s="113">
        <v>0</v>
      </c>
      <c r="AO34" s="113">
        <v>-2</v>
      </c>
      <c r="AP34" s="113">
        <v>0</v>
      </c>
      <c r="AQ34" s="113">
        <v>0</v>
      </c>
      <c r="AR34" s="113">
        <v>0</v>
      </c>
      <c r="AS34" s="113">
        <v>0</v>
      </c>
      <c r="AT34" s="113">
        <v>0</v>
      </c>
      <c r="AU34" s="113">
        <v>0</v>
      </c>
      <c r="AV34" s="113">
        <v>0</v>
      </c>
      <c r="AW34" s="113">
        <v>0</v>
      </c>
      <c r="AX34" s="113">
        <v>0</v>
      </c>
      <c r="AY34" s="113">
        <v>0</v>
      </c>
      <c r="AZ34" s="113">
        <v>0</v>
      </c>
      <c r="BA34" s="113">
        <v>0</v>
      </c>
      <c r="BB34" s="113">
        <v>0</v>
      </c>
      <c r="BC34" s="113">
        <v>0</v>
      </c>
      <c r="BD34" s="113">
        <v>0</v>
      </c>
      <c r="BE34" s="113">
        <v>0</v>
      </c>
      <c r="BF34" s="113">
        <v>0</v>
      </c>
      <c r="BG34" s="113">
        <v>0</v>
      </c>
      <c r="BH34" s="113">
        <v>0</v>
      </c>
      <c r="BI34" s="113">
        <v>0</v>
      </c>
      <c r="BJ34" s="113">
        <v>0</v>
      </c>
      <c r="BK34" s="113">
        <v>0</v>
      </c>
      <c r="BL34" s="113">
        <v>0</v>
      </c>
      <c r="BM34" s="113">
        <v>0</v>
      </c>
      <c r="BN34" s="113">
        <v>0</v>
      </c>
      <c r="BO34" s="113">
        <v>0</v>
      </c>
      <c r="BP34" s="113">
        <v>0</v>
      </c>
      <c r="BQ34" s="113">
        <v>-399</v>
      </c>
      <c r="BR34" s="113">
        <v>0</v>
      </c>
      <c r="BS34" s="113">
        <v>0</v>
      </c>
      <c r="BT34" s="113">
        <v>0</v>
      </c>
      <c r="BU34" s="113">
        <v>0</v>
      </c>
      <c r="BV34" s="113">
        <v>0</v>
      </c>
      <c r="BW34" s="113">
        <v>0</v>
      </c>
      <c r="BX34" s="113">
        <v>0</v>
      </c>
      <c r="BY34" s="113">
        <v>0</v>
      </c>
      <c r="BZ34" s="113">
        <v>0</v>
      </c>
      <c r="CA34" s="113">
        <v>0</v>
      </c>
      <c r="CB34" s="113">
        <v>0</v>
      </c>
      <c r="CC34" s="113">
        <v>0</v>
      </c>
      <c r="CD34" s="113">
        <v>0</v>
      </c>
      <c r="CE34" s="113">
        <v>0</v>
      </c>
      <c r="CF34" s="113">
        <v>0</v>
      </c>
      <c r="CG34" s="113">
        <v>0</v>
      </c>
      <c r="CH34" s="113">
        <v>0</v>
      </c>
      <c r="CI34" s="113">
        <v>0</v>
      </c>
      <c r="CJ34" s="113">
        <v>0</v>
      </c>
      <c r="CK34" s="113">
        <v>0</v>
      </c>
      <c r="CL34" s="113">
        <v>0</v>
      </c>
      <c r="CM34" s="113">
        <v>0</v>
      </c>
      <c r="CN34" s="113">
        <v>0</v>
      </c>
      <c r="CO34" s="113">
        <v>0</v>
      </c>
      <c r="CP34" s="113">
        <v>0</v>
      </c>
      <c r="CQ34" s="113">
        <v>0</v>
      </c>
      <c r="CR34" s="113">
        <v>0</v>
      </c>
      <c r="CS34" s="113">
        <v>-106</v>
      </c>
      <c r="CT34" s="113">
        <v>0</v>
      </c>
      <c r="CU34" s="113">
        <v>0</v>
      </c>
      <c r="CV34" s="113">
        <v>0</v>
      </c>
      <c r="CW34" s="113">
        <v>-38</v>
      </c>
      <c r="CX34" s="113">
        <v>-38</v>
      </c>
      <c r="CY34" s="113">
        <v>-38</v>
      </c>
      <c r="CZ34" s="113">
        <v>-38</v>
      </c>
      <c r="DA34" s="113">
        <v>-37</v>
      </c>
      <c r="DB34" s="113">
        <v>-45</v>
      </c>
      <c r="DC34" s="113">
        <v>-72</v>
      </c>
      <c r="DD34" s="113">
        <v>0</v>
      </c>
      <c r="DE34" s="113">
        <v>-295</v>
      </c>
      <c r="DF34" s="113">
        <v>-94</v>
      </c>
      <c r="DG34" s="113">
        <v>-95</v>
      </c>
      <c r="DH34" s="113">
        <v>-95</v>
      </c>
      <c r="DI34" s="113">
        <v>-96</v>
      </c>
      <c r="DJ34" s="113">
        <v>-95</v>
      </c>
      <c r="DK34" s="113">
        <v>-105</v>
      </c>
      <c r="DL34" s="113">
        <v>-109</v>
      </c>
      <c r="DM34" s="113">
        <v>-120</v>
      </c>
      <c r="DN34" s="113">
        <v>-118</v>
      </c>
      <c r="DO34" s="113">
        <v>-135</v>
      </c>
      <c r="DP34" s="113">
        <v>-175</v>
      </c>
      <c r="DQ34" s="113">
        <v>-169</v>
      </c>
      <c r="DR34" s="113">
        <v>-161</v>
      </c>
      <c r="DS34" s="113">
        <v>-162</v>
      </c>
      <c r="DT34" s="113">
        <v>-211</v>
      </c>
      <c r="DU34" s="113">
        <v>-247</v>
      </c>
      <c r="DV34" s="113">
        <v>-249</v>
      </c>
      <c r="DW34" s="113">
        <v>-309</v>
      </c>
      <c r="DX34" s="113">
        <v>-340</v>
      </c>
      <c r="DY34" s="113">
        <v>-345</v>
      </c>
      <c r="DZ34" s="113">
        <v>-437</v>
      </c>
      <c r="EA34" s="113">
        <v>-521</v>
      </c>
      <c r="EB34" s="113">
        <v>-609</v>
      </c>
      <c r="EC34" s="113">
        <v>-655</v>
      </c>
      <c r="ED34" s="113">
        <v>-672</v>
      </c>
      <c r="EE34" s="113">
        <v>-698</v>
      </c>
      <c r="EF34" s="113">
        <v>-691</v>
      </c>
      <c r="EG34" s="113">
        <v>-672</v>
      </c>
      <c r="EH34" s="113">
        <v>-674</v>
      </c>
      <c r="EI34" s="113">
        <v>-672</v>
      </c>
      <c r="EJ34" s="113">
        <v>-671</v>
      </c>
      <c r="EK34" s="113">
        <v>-669</v>
      </c>
      <c r="EL34" s="113">
        <v>-637</v>
      </c>
      <c r="EM34" s="113">
        <v>-655</v>
      </c>
      <c r="EN34" s="113">
        <v>-615</v>
      </c>
    </row>
    <row r="35" spans="1:144">
      <c r="A35" s="103" t="s">
        <v>2073</v>
      </c>
      <c r="B35" s="113">
        <v>42</v>
      </c>
      <c r="C35" s="113">
        <v>58</v>
      </c>
      <c r="D35" s="113">
        <v>83</v>
      </c>
      <c r="E35" s="113">
        <v>102</v>
      </c>
      <c r="F35" s="113">
        <v>191</v>
      </c>
      <c r="G35" s="113">
        <v>320</v>
      </c>
      <c r="H35" s="113">
        <v>443</v>
      </c>
      <c r="I35" s="113">
        <v>703</v>
      </c>
      <c r="J35" s="113">
        <v>1148</v>
      </c>
      <c r="K35" s="113">
        <v>1594</v>
      </c>
      <c r="L35" s="113">
        <v>2185</v>
      </c>
      <c r="M35" s="113">
        <v>2119</v>
      </c>
      <c r="N35" s="113">
        <v>1957</v>
      </c>
      <c r="O35" s="113">
        <v>1892</v>
      </c>
      <c r="P35" s="113">
        <v>1460</v>
      </c>
      <c r="Q35" s="113">
        <v>1510</v>
      </c>
      <c r="R35" s="113">
        <v>1319</v>
      </c>
      <c r="S35" s="113">
        <v>994</v>
      </c>
      <c r="T35" s="113">
        <v>744</v>
      </c>
      <c r="U35" s="113">
        <v>843</v>
      </c>
      <c r="V35" s="113">
        <v>900</v>
      </c>
      <c r="W35" s="113">
        <v>800</v>
      </c>
      <c r="X35" s="113">
        <v>677</v>
      </c>
      <c r="Y35" s="113">
        <v>883</v>
      </c>
      <c r="Z35" s="113">
        <v>766</v>
      </c>
      <c r="AA35" s="113">
        <v>903</v>
      </c>
      <c r="AB35" s="113">
        <v>1387</v>
      </c>
      <c r="AC35" s="113">
        <v>2214</v>
      </c>
      <c r="AD35" s="113">
        <v>2762</v>
      </c>
      <c r="AE35" s="113">
        <v>2794</v>
      </c>
      <c r="AG35" s="103" t="s">
        <v>2073</v>
      </c>
      <c r="AH35" s="113">
        <v>19</v>
      </c>
      <c r="AI35" s="113">
        <v>19</v>
      </c>
      <c r="AJ35" s="113">
        <v>21</v>
      </c>
      <c r="AK35" s="113">
        <v>24</v>
      </c>
      <c r="AL35" s="113">
        <v>23</v>
      </c>
      <c r="AM35" s="113">
        <v>25</v>
      </c>
      <c r="AN35" s="113">
        <v>26</v>
      </c>
      <c r="AO35" s="113">
        <v>30</v>
      </c>
      <c r="AP35" s="113">
        <v>36</v>
      </c>
      <c r="AQ35" s="113">
        <v>42</v>
      </c>
      <c r="AR35" s="113">
        <v>48</v>
      </c>
      <c r="AS35" s="113">
        <v>65</v>
      </c>
      <c r="AT35" s="113">
        <v>66</v>
      </c>
      <c r="AU35" s="113">
        <v>76</v>
      </c>
      <c r="AV35" s="113">
        <v>86</v>
      </c>
      <c r="AW35" s="113">
        <v>92</v>
      </c>
      <c r="AX35" s="113">
        <v>92</v>
      </c>
      <c r="AY35" s="113">
        <v>105</v>
      </c>
      <c r="AZ35" s="113">
        <v>119</v>
      </c>
      <c r="BA35" s="113">
        <v>127</v>
      </c>
      <c r="BB35" s="113">
        <v>142</v>
      </c>
      <c r="BC35" s="113">
        <v>157</v>
      </c>
      <c r="BD35" s="113">
        <v>190</v>
      </c>
      <c r="BE35" s="113">
        <v>214</v>
      </c>
      <c r="BF35" s="113">
        <v>261</v>
      </c>
      <c r="BG35" s="113">
        <v>267</v>
      </c>
      <c r="BH35" s="113">
        <v>370</v>
      </c>
      <c r="BI35" s="113">
        <v>282</v>
      </c>
      <c r="BJ35" s="113">
        <v>350</v>
      </c>
      <c r="BK35" s="113">
        <v>371</v>
      </c>
      <c r="BL35" s="113">
        <v>428</v>
      </c>
      <c r="BM35" s="113">
        <v>470</v>
      </c>
      <c r="BN35" s="113">
        <v>1127</v>
      </c>
      <c r="BO35" s="113">
        <v>751</v>
      </c>
      <c r="BP35" s="113">
        <v>706</v>
      </c>
      <c r="BQ35" s="113">
        <v>0</v>
      </c>
      <c r="BR35" s="113">
        <v>0</v>
      </c>
      <c r="BS35" s="113">
        <v>553</v>
      </c>
      <c r="BT35" s="113">
        <v>739</v>
      </c>
      <c r="BU35" s="113">
        <v>1807</v>
      </c>
      <c r="BV35" s="113">
        <v>516</v>
      </c>
      <c r="BW35" s="113">
        <v>515</v>
      </c>
      <c r="BX35" s="113">
        <v>455</v>
      </c>
      <c r="BY35" s="113">
        <v>471</v>
      </c>
      <c r="BZ35" s="113">
        <v>484</v>
      </c>
      <c r="CA35" s="113">
        <v>521</v>
      </c>
      <c r="CB35" s="113">
        <v>500</v>
      </c>
      <c r="CC35" s="113">
        <v>387</v>
      </c>
      <c r="CD35" s="113">
        <v>411</v>
      </c>
      <c r="CE35" s="113">
        <v>378</v>
      </c>
      <c r="CF35" s="113">
        <v>317</v>
      </c>
      <c r="CG35" s="113">
        <v>354</v>
      </c>
      <c r="CH35" s="113">
        <v>376</v>
      </c>
      <c r="CI35" s="113">
        <v>382</v>
      </c>
      <c r="CJ35" s="113">
        <v>369</v>
      </c>
      <c r="CK35" s="113">
        <v>383</v>
      </c>
      <c r="CL35" s="113">
        <v>369</v>
      </c>
      <c r="CM35" s="113">
        <v>316</v>
      </c>
      <c r="CN35" s="113">
        <v>333</v>
      </c>
      <c r="CO35" s="113">
        <v>301</v>
      </c>
      <c r="CP35" s="113">
        <v>239</v>
      </c>
      <c r="CQ35" s="113">
        <v>206</v>
      </c>
      <c r="CR35" s="113">
        <v>226</v>
      </c>
      <c r="CS35" s="113">
        <v>217</v>
      </c>
      <c r="CT35" s="113">
        <v>207</v>
      </c>
      <c r="CU35" s="113">
        <v>175</v>
      </c>
      <c r="CV35" s="113">
        <v>164</v>
      </c>
      <c r="CW35" s="113">
        <v>198</v>
      </c>
      <c r="CX35" s="113">
        <v>203</v>
      </c>
      <c r="CY35" s="113">
        <v>197</v>
      </c>
      <c r="CZ35" s="113">
        <v>204</v>
      </c>
      <c r="DA35" s="113">
        <v>239</v>
      </c>
      <c r="DB35" s="113">
        <v>210</v>
      </c>
      <c r="DC35" s="113">
        <v>205</v>
      </c>
      <c r="DD35" s="113">
        <v>0</v>
      </c>
      <c r="DE35" s="113">
        <v>900</v>
      </c>
      <c r="DF35" s="113">
        <v>211</v>
      </c>
      <c r="DG35" s="113">
        <v>182</v>
      </c>
      <c r="DH35" s="113">
        <v>180</v>
      </c>
      <c r="DI35" s="113">
        <v>227</v>
      </c>
      <c r="DJ35" s="113">
        <v>159</v>
      </c>
      <c r="DK35" s="113">
        <v>166</v>
      </c>
      <c r="DL35" s="113">
        <v>150</v>
      </c>
      <c r="DM35" s="113">
        <v>202</v>
      </c>
      <c r="DN35" s="113">
        <v>179</v>
      </c>
      <c r="DO35" s="113">
        <v>219</v>
      </c>
      <c r="DP35" s="113">
        <v>220</v>
      </c>
      <c r="DQ35" s="113">
        <v>265</v>
      </c>
      <c r="DR35" s="113">
        <v>225</v>
      </c>
      <c r="DS35" s="113">
        <v>183</v>
      </c>
      <c r="DT35" s="113">
        <v>160</v>
      </c>
      <c r="DU35" s="113">
        <v>198</v>
      </c>
      <c r="DV35" s="113">
        <v>199</v>
      </c>
      <c r="DW35" s="113">
        <v>200</v>
      </c>
      <c r="DX35" s="113">
        <v>230</v>
      </c>
      <c r="DY35" s="113">
        <v>274</v>
      </c>
      <c r="DZ35" s="113">
        <v>293</v>
      </c>
      <c r="EA35" s="113">
        <v>311</v>
      </c>
      <c r="EB35" s="113">
        <v>380</v>
      </c>
      <c r="EC35" s="113">
        <v>403</v>
      </c>
      <c r="ED35" s="113">
        <v>473</v>
      </c>
      <c r="EE35" s="113">
        <v>530</v>
      </c>
      <c r="EF35" s="113">
        <v>575</v>
      </c>
      <c r="EG35" s="113">
        <v>636</v>
      </c>
      <c r="EH35" s="113">
        <v>681</v>
      </c>
      <c r="EI35" s="113">
        <v>704</v>
      </c>
      <c r="EJ35" s="113">
        <v>668</v>
      </c>
      <c r="EK35" s="113">
        <v>709</v>
      </c>
      <c r="EL35" s="113">
        <v>724</v>
      </c>
      <c r="EM35" s="113">
        <v>688</v>
      </c>
      <c r="EN35" s="113">
        <v>673</v>
      </c>
    </row>
    <row r="36" spans="1:144" ht="10.5">
      <c r="A36" s="112" t="s">
        <v>2074</v>
      </c>
      <c r="B36" s="114">
        <v>37</v>
      </c>
      <c r="C36" s="114">
        <v>56</v>
      </c>
      <c r="D36" s="114">
        <v>82</v>
      </c>
      <c r="E36" s="114">
        <v>102</v>
      </c>
      <c r="F36" s="114">
        <v>191</v>
      </c>
      <c r="G36" s="114">
        <v>320</v>
      </c>
      <c r="H36" s="114">
        <v>443</v>
      </c>
      <c r="I36" s="114">
        <v>703</v>
      </c>
      <c r="J36" s="114">
        <v>1148</v>
      </c>
      <c r="K36" s="114">
        <v>1594</v>
      </c>
      <c r="L36" s="114">
        <v>2185</v>
      </c>
      <c r="M36" s="114">
        <v>2119</v>
      </c>
      <c r="N36" s="114">
        <v>1957</v>
      </c>
      <c r="O36" s="114">
        <v>1892</v>
      </c>
      <c r="P36" s="114">
        <v>1460</v>
      </c>
      <c r="Q36" s="114">
        <v>1510</v>
      </c>
      <c r="R36" s="114">
        <v>1089</v>
      </c>
      <c r="S36" s="114">
        <v>888</v>
      </c>
      <c r="T36" s="114">
        <v>706</v>
      </c>
      <c r="U36" s="114">
        <v>692</v>
      </c>
      <c r="V36" s="114">
        <v>605</v>
      </c>
      <c r="W36" s="114">
        <v>420</v>
      </c>
      <c r="X36" s="114">
        <v>248</v>
      </c>
      <c r="Y36" s="114">
        <v>286</v>
      </c>
      <c r="Z36" s="114">
        <v>-15</v>
      </c>
      <c r="AA36" s="114">
        <v>-340</v>
      </c>
      <c r="AB36" s="114">
        <v>-835</v>
      </c>
      <c r="AC36" s="114">
        <v>-519</v>
      </c>
      <c r="AD36" s="114">
        <v>76</v>
      </c>
      <c r="AE36" s="114">
        <v>218</v>
      </c>
      <c r="AG36" s="112" t="s">
        <v>2074</v>
      </c>
      <c r="AH36" s="114">
        <v>19</v>
      </c>
      <c r="AI36" s="114">
        <v>19</v>
      </c>
      <c r="AJ36" s="114">
        <v>21</v>
      </c>
      <c r="AK36" s="114">
        <v>23</v>
      </c>
      <c r="AL36" s="114">
        <v>23</v>
      </c>
      <c r="AM36" s="114">
        <v>25</v>
      </c>
      <c r="AN36" s="114">
        <v>26</v>
      </c>
      <c r="AO36" s="114">
        <v>28</v>
      </c>
      <c r="AP36" s="114">
        <v>36</v>
      </c>
      <c r="AQ36" s="114">
        <v>42</v>
      </c>
      <c r="AR36" s="114">
        <v>48</v>
      </c>
      <c r="AS36" s="114">
        <v>65</v>
      </c>
      <c r="AT36" s="114">
        <v>66</v>
      </c>
      <c r="AU36" s="114">
        <v>76</v>
      </c>
      <c r="AV36" s="114">
        <v>86</v>
      </c>
      <c r="AW36" s="114">
        <v>92</v>
      </c>
      <c r="AX36" s="114">
        <v>92</v>
      </c>
      <c r="AY36" s="114">
        <v>105</v>
      </c>
      <c r="AZ36" s="114">
        <v>119</v>
      </c>
      <c r="BA36" s="114">
        <v>127</v>
      </c>
      <c r="BB36" s="114">
        <v>142</v>
      </c>
      <c r="BC36" s="114">
        <v>157</v>
      </c>
      <c r="BD36" s="114">
        <v>190</v>
      </c>
      <c r="BE36" s="114">
        <v>214</v>
      </c>
      <c r="BF36" s="114">
        <v>261</v>
      </c>
      <c r="BG36" s="114">
        <v>267</v>
      </c>
      <c r="BH36" s="114">
        <v>370</v>
      </c>
      <c r="BI36" s="114">
        <v>282</v>
      </c>
      <c r="BJ36" s="114">
        <v>350</v>
      </c>
      <c r="BK36" s="114">
        <v>371</v>
      </c>
      <c r="BL36" s="114">
        <v>428</v>
      </c>
      <c r="BM36" s="114">
        <v>470</v>
      </c>
      <c r="BN36" s="114">
        <v>1127</v>
      </c>
      <c r="BO36" s="114">
        <v>751</v>
      </c>
      <c r="BP36" s="114">
        <v>706</v>
      </c>
      <c r="BQ36" s="114">
        <v>-399</v>
      </c>
      <c r="BR36" s="114">
        <v>0</v>
      </c>
      <c r="BS36" s="114">
        <v>553</v>
      </c>
      <c r="BT36" s="114">
        <v>739</v>
      </c>
      <c r="BU36" s="114">
        <v>1807</v>
      </c>
      <c r="BV36" s="114">
        <v>516</v>
      </c>
      <c r="BW36" s="114">
        <v>515</v>
      </c>
      <c r="BX36" s="114">
        <v>455</v>
      </c>
      <c r="BY36" s="114">
        <v>471</v>
      </c>
      <c r="BZ36" s="114">
        <v>484</v>
      </c>
      <c r="CA36" s="114">
        <v>521</v>
      </c>
      <c r="CB36" s="114">
        <v>500</v>
      </c>
      <c r="CC36" s="114">
        <v>387</v>
      </c>
      <c r="CD36" s="114">
        <v>411</v>
      </c>
      <c r="CE36" s="114">
        <v>378</v>
      </c>
      <c r="CF36" s="114">
        <v>317</v>
      </c>
      <c r="CG36" s="114">
        <v>354</v>
      </c>
      <c r="CH36" s="114">
        <v>376</v>
      </c>
      <c r="CI36" s="114">
        <v>382</v>
      </c>
      <c r="CJ36" s="114">
        <v>369</v>
      </c>
      <c r="CK36" s="114">
        <v>383</v>
      </c>
      <c r="CL36" s="114">
        <v>369</v>
      </c>
      <c r="CM36" s="114">
        <v>316</v>
      </c>
      <c r="CN36" s="114">
        <v>333</v>
      </c>
      <c r="CO36" s="114">
        <v>301</v>
      </c>
      <c r="CP36" s="114">
        <v>239</v>
      </c>
      <c r="CQ36" s="114">
        <v>206</v>
      </c>
      <c r="CR36" s="114">
        <v>226</v>
      </c>
      <c r="CS36" s="114">
        <v>111</v>
      </c>
      <c r="CT36" s="114">
        <v>207</v>
      </c>
      <c r="CU36" s="114">
        <v>175</v>
      </c>
      <c r="CV36" s="114">
        <v>164</v>
      </c>
      <c r="CW36" s="114">
        <v>160</v>
      </c>
      <c r="CX36" s="114">
        <v>165</v>
      </c>
      <c r="CY36" s="114">
        <v>159</v>
      </c>
      <c r="CZ36" s="114">
        <v>166</v>
      </c>
      <c r="DA36" s="114">
        <v>202</v>
      </c>
      <c r="DB36" s="114">
        <v>165</v>
      </c>
      <c r="DC36" s="114">
        <v>133</v>
      </c>
      <c r="DD36" s="114">
        <v>0</v>
      </c>
      <c r="DE36" s="114">
        <v>605</v>
      </c>
      <c r="DF36" s="114">
        <v>117</v>
      </c>
      <c r="DG36" s="114">
        <v>87</v>
      </c>
      <c r="DH36" s="114">
        <v>85</v>
      </c>
      <c r="DI36" s="114">
        <v>131</v>
      </c>
      <c r="DJ36" s="114">
        <v>64</v>
      </c>
      <c r="DK36" s="114">
        <v>61</v>
      </c>
      <c r="DL36" s="114">
        <v>41</v>
      </c>
      <c r="DM36" s="114">
        <v>82</v>
      </c>
      <c r="DN36" s="114">
        <v>61</v>
      </c>
      <c r="DO36" s="114">
        <v>84</v>
      </c>
      <c r="DP36" s="114">
        <v>45</v>
      </c>
      <c r="DQ36" s="114">
        <v>96</v>
      </c>
      <c r="DR36" s="114">
        <v>64</v>
      </c>
      <c r="DS36" s="114">
        <v>21</v>
      </c>
      <c r="DT36" s="114">
        <v>-51</v>
      </c>
      <c r="DU36" s="114">
        <v>-49</v>
      </c>
      <c r="DV36" s="114">
        <v>-50</v>
      </c>
      <c r="DW36" s="114">
        <v>-109</v>
      </c>
      <c r="DX36" s="114">
        <v>-110</v>
      </c>
      <c r="DY36" s="114">
        <v>-71</v>
      </c>
      <c r="DZ36" s="114">
        <v>-144</v>
      </c>
      <c r="EA36" s="114">
        <v>-210</v>
      </c>
      <c r="EB36" s="114">
        <v>-229</v>
      </c>
      <c r="EC36" s="114">
        <v>-252</v>
      </c>
      <c r="ED36" s="114">
        <v>-199</v>
      </c>
      <c r="EE36" s="114">
        <v>-168</v>
      </c>
      <c r="EF36" s="114">
        <v>-116</v>
      </c>
      <c r="EG36" s="114">
        <v>-36</v>
      </c>
      <c r="EH36" s="114">
        <v>7</v>
      </c>
      <c r="EI36" s="114">
        <v>32</v>
      </c>
      <c r="EJ36" s="114">
        <v>-3</v>
      </c>
      <c r="EK36" s="114">
        <v>40</v>
      </c>
      <c r="EL36" s="114">
        <v>87</v>
      </c>
      <c r="EM36" s="114">
        <v>33</v>
      </c>
      <c r="EN36" s="114">
        <v>58</v>
      </c>
    </row>
    <row r="37" spans="1:144">
      <c r="A37" s="103"/>
      <c r="B37" s="103"/>
      <c r="C37" s="103"/>
      <c r="D37" s="103"/>
      <c r="E37" s="103"/>
      <c r="F37" s="103"/>
      <c r="G37" s="103"/>
      <c r="H37" s="103"/>
      <c r="I37" s="103"/>
      <c r="J37" s="103"/>
      <c r="K37" s="103"/>
      <c r="L37" s="103"/>
      <c r="M37" s="103"/>
      <c r="N37" s="103"/>
      <c r="O37" s="103"/>
      <c r="P37" s="103"/>
      <c r="Q37" s="103"/>
      <c r="R37" s="103"/>
      <c r="S37" s="103"/>
      <c r="T37" s="103"/>
      <c r="U37" s="103"/>
      <c r="V37" s="103"/>
      <c r="W37" s="103"/>
      <c r="X37" s="103"/>
      <c r="Y37" s="103"/>
      <c r="Z37" s="103"/>
      <c r="AA37" s="103"/>
      <c r="AB37" s="103"/>
      <c r="AC37" s="103"/>
      <c r="AD37" s="103"/>
      <c r="AE37" s="103"/>
      <c r="AG37" s="103"/>
      <c r="AH37" s="103"/>
      <c r="AI37" s="103"/>
      <c r="AJ37" s="103"/>
      <c r="AK37" s="103"/>
      <c r="AL37" s="103"/>
      <c r="AM37" s="103"/>
      <c r="AN37" s="103"/>
      <c r="AO37" s="103"/>
      <c r="AP37" s="103"/>
      <c r="AQ37" s="103"/>
      <c r="AR37" s="103"/>
      <c r="AS37" s="103"/>
      <c r="AT37" s="103"/>
      <c r="AU37" s="103"/>
      <c r="AV37" s="103"/>
      <c r="AW37" s="103"/>
      <c r="AX37" s="103"/>
      <c r="AY37" s="103"/>
      <c r="AZ37" s="103"/>
      <c r="BA37" s="103"/>
      <c r="BB37" s="103"/>
      <c r="BC37" s="103"/>
      <c r="BD37" s="103"/>
      <c r="BE37" s="103"/>
      <c r="BF37" s="103"/>
      <c r="BG37" s="103"/>
      <c r="BH37" s="103"/>
      <c r="BI37" s="103"/>
      <c r="BJ37" s="103"/>
      <c r="BK37" s="103"/>
      <c r="BL37" s="103"/>
      <c r="BM37" s="103"/>
      <c r="BN37" s="103"/>
      <c r="BO37" s="103"/>
      <c r="BP37" s="103"/>
      <c r="BQ37" s="103"/>
      <c r="BR37" s="103"/>
      <c r="BS37" s="103"/>
      <c r="BT37" s="103"/>
      <c r="BU37" s="103"/>
      <c r="BV37" s="103"/>
      <c r="BW37" s="103"/>
      <c r="BX37" s="103"/>
      <c r="BY37" s="103"/>
      <c r="BZ37" s="103"/>
      <c r="CA37" s="103"/>
      <c r="CB37" s="103"/>
      <c r="CC37" s="103"/>
      <c r="CD37" s="103"/>
      <c r="CE37" s="103"/>
      <c r="CF37" s="103"/>
      <c r="CG37" s="103"/>
      <c r="CH37" s="103"/>
      <c r="CI37" s="103"/>
      <c r="CJ37" s="103"/>
      <c r="CK37" s="103"/>
      <c r="CL37" s="103"/>
      <c r="CM37" s="103"/>
      <c r="CN37" s="103"/>
      <c r="CO37" s="103"/>
      <c r="CP37" s="103"/>
      <c r="CQ37" s="103"/>
      <c r="CR37" s="103"/>
      <c r="CS37" s="103"/>
      <c r="CT37" s="103"/>
      <c r="CU37" s="103"/>
      <c r="CV37" s="103"/>
      <c r="CW37" s="103"/>
      <c r="CX37" s="103"/>
      <c r="CY37" s="103"/>
      <c r="CZ37" s="103"/>
      <c r="DA37" s="103"/>
      <c r="DB37" s="103"/>
      <c r="DC37" s="103"/>
      <c r="DD37" s="103"/>
      <c r="DE37" s="103"/>
      <c r="DF37" s="103"/>
      <c r="DG37" s="103"/>
      <c r="DH37" s="103"/>
      <c r="DI37" s="103"/>
      <c r="DJ37" s="103"/>
      <c r="DK37" s="103"/>
      <c r="DL37" s="103"/>
      <c r="DM37" s="103"/>
      <c r="DN37" s="103"/>
      <c r="DO37" s="103"/>
      <c r="DP37" s="103"/>
      <c r="DQ37" s="103"/>
      <c r="DR37" s="103"/>
      <c r="DS37" s="103"/>
      <c r="DT37" s="103"/>
      <c r="DU37" s="103"/>
      <c r="DV37" s="103"/>
      <c r="DW37" s="103"/>
      <c r="DX37" s="103"/>
      <c r="DY37" s="103"/>
      <c r="DZ37" s="103"/>
      <c r="EA37" s="103"/>
      <c r="EB37" s="103"/>
      <c r="EC37" s="103"/>
      <c r="ED37" s="103"/>
      <c r="EE37" s="103"/>
      <c r="EF37" s="103"/>
      <c r="EG37" s="103"/>
      <c r="EH37" s="103"/>
      <c r="EI37" s="103"/>
      <c r="EJ37" s="103"/>
      <c r="EK37" s="103"/>
      <c r="EL37" s="103"/>
      <c r="EM37" s="103"/>
      <c r="EN37" s="103"/>
    </row>
    <row r="38" spans="1:144">
      <c r="A38" s="103" t="s">
        <v>2075</v>
      </c>
      <c r="B38" s="113">
        <v>0</v>
      </c>
      <c r="C38" s="113">
        <v>0</v>
      </c>
      <c r="D38" s="113">
        <v>0</v>
      </c>
      <c r="E38" s="113">
        <v>0</v>
      </c>
      <c r="F38" s="113">
        <v>0</v>
      </c>
      <c r="G38" s="113">
        <v>0</v>
      </c>
      <c r="H38" s="113">
        <v>0</v>
      </c>
      <c r="I38" s="113">
        <v>0</v>
      </c>
      <c r="J38" s="113">
        <v>-70</v>
      </c>
      <c r="K38" s="113">
        <v>-57</v>
      </c>
      <c r="L38" s="113">
        <v>-159</v>
      </c>
      <c r="M38" s="113">
        <v>-92</v>
      </c>
      <c r="N38" s="113">
        <v>-68</v>
      </c>
      <c r="O38" s="113">
        <v>-25</v>
      </c>
      <c r="P38" s="113">
        <v>13</v>
      </c>
      <c r="Q38" s="113">
        <v>0</v>
      </c>
      <c r="R38" s="113">
        <v>0</v>
      </c>
      <c r="S38" s="113">
        <v>0</v>
      </c>
      <c r="T38" s="113">
        <v>0</v>
      </c>
      <c r="U38" s="113">
        <v>0</v>
      </c>
      <c r="V38" s="113">
        <v>0</v>
      </c>
      <c r="W38" s="113">
        <v>0</v>
      </c>
      <c r="X38" s="113">
        <v>0</v>
      </c>
      <c r="Y38" s="113">
        <v>0</v>
      </c>
      <c r="Z38" s="113">
        <v>0</v>
      </c>
      <c r="AA38" s="113">
        <v>0</v>
      </c>
      <c r="AB38" s="113">
        <v>0</v>
      </c>
      <c r="AC38" s="113">
        <v>0</v>
      </c>
      <c r="AD38" s="113">
        <v>0</v>
      </c>
      <c r="AE38" s="113">
        <v>0</v>
      </c>
      <c r="AG38" s="103" t="s">
        <v>2075</v>
      </c>
      <c r="AH38" s="113">
        <v>0</v>
      </c>
      <c r="AI38" s="113">
        <v>0</v>
      </c>
      <c r="AJ38" s="113">
        <v>0</v>
      </c>
      <c r="AK38" s="113">
        <v>0</v>
      </c>
      <c r="AL38" s="113">
        <v>0</v>
      </c>
      <c r="AM38" s="113">
        <v>0</v>
      </c>
      <c r="AN38" s="113">
        <v>0</v>
      </c>
      <c r="AO38" s="113">
        <v>0</v>
      </c>
      <c r="AP38" s="113">
        <v>0</v>
      </c>
      <c r="AQ38" s="113">
        <v>0</v>
      </c>
      <c r="AR38" s="113">
        <v>0</v>
      </c>
      <c r="AS38" s="113">
        <v>0</v>
      </c>
      <c r="AT38" s="113">
        <v>0</v>
      </c>
      <c r="AU38" s="113">
        <v>0</v>
      </c>
      <c r="AV38" s="113">
        <v>0</v>
      </c>
      <c r="AW38" s="113">
        <v>0</v>
      </c>
      <c r="AX38" s="113">
        <v>0</v>
      </c>
      <c r="AY38" s="113">
        <v>0</v>
      </c>
      <c r="AZ38" s="113">
        <v>0</v>
      </c>
      <c r="BA38" s="113">
        <v>0</v>
      </c>
      <c r="BB38" s="113">
        <v>0</v>
      </c>
      <c r="BC38" s="113">
        <v>0</v>
      </c>
      <c r="BD38" s="113">
        <v>0</v>
      </c>
      <c r="BE38" s="113">
        <v>0</v>
      </c>
      <c r="BF38" s="113">
        <v>0</v>
      </c>
      <c r="BG38" s="113">
        <v>0</v>
      </c>
      <c r="BH38" s="113">
        <v>0</v>
      </c>
      <c r="BI38" s="113">
        <v>0</v>
      </c>
      <c r="BJ38" s="113">
        <v>-19</v>
      </c>
      <c r="BK38" s="113">
        <v>-10</v>
      </c>
      <c r="BL38" s="113">
        <v>-4</v>
      </c>
      <c r="BM38" s="113">
        <v>-24</v>
      </c>
      <c r="BN38" s="113">
        <v>-52</v>
      </c>
      <c r="BO38" s="113">
        <v>-28</v>
      </c>
      <c r="BP38" s="113">
        <v>-46</v>
      </c>
      <c r="BQ38" s="113">
        <v>-33</v>
      </c>
      <c r="BR38" s="113">
        <v>-30</v>
      </c>
      <c r="BS38" s="113">
        <v>-37</v>
      </c>
      <c r="BT38" s="113">
        <v>-11</v>
      </c>
      <c r="BU38" s="113">
        <v>-14</v>
      </c>
      <c r="BV38" s="113">
        <v>-22</v>
      </c>
      <c r="BW38" s="113">
        <v>-12</v>
      </c>
      <c r="BX38" s="113">
        <v>-19</v>
      </c>
      <c r="BY38" s="113">
        <v>-15</v>
      </c>
      <c r="BZ38" s="113">
        <v>-10</v>
      </c>
      <c r="CA38" s="113">
        <v>-5</v>
      </c>
      <c r="CB38" s="113">
        <v>-11</v>
      </c>
      <c r="CC38" s="113">
        <v>1</v>
      </c>
      <c r="CD38" s="113">
        <v>10</v>
      </c>
      <c r="CE38" s="113">
        <v>3</v>
      </c>
      <c r="CF38" s="113">
        <v>-1</v>
      </c>
      <c r="CG38" s="113">
        <v>1</v>
      </c>
      <c r="CH38" s="113">
        <v>0</v>
      </c>
      <c r="CI38" s="113">
        <v>0</v>
      </c>
      <c r="CJ38" s="113">
        <v>0</v>
      </c>
      <c r="CK38" s="113">
        <v>218</v>
      </c>
      <c r="CL38" s="113">
        <v>0</v>
      </c>
      <c r="CM38" s="113">
        <v>0</v>
      </c>
      <c r="CN38" s="113">
        <v>0</v>
      </c>
      <c r="CO38" s="113">
        <v>0</v>
      </c>
      <c r="CP38" s="113">
        <v>0</v>
      </c>
      <c r="CQ38" s="113">
        <v>0</v>
      </c>
      <c r="CR38" s="113">
        <v>0</v>
      </c>
      <c r="CS38" s="113">
        <v>0</v>
      </c>
      <c r="CT38" s="113">
        <v>0</v>
      </c>
      <c r="CU38" s="113">
        <v>0</v>
      </c>
      <c r="CV38" s="113">
        <v>0</v>
      </c>
      <c r="CW38" s="113">
        <v>0</v>
      </c>
      <c r="CX38" s="113">
        <v>0</v>
      </c>
      <c r="CY38" s="113">
        <v>0</v>
      </c>
      <c r="CZ38" s="113">
        <v>0</v>
      </c>
      <c r="DA38" s="113">
        <v>0</v>
      </c>
      <c r="DB38" s="113">
        <v>0</v>
      </c>
      <c r="DC38" s="113">
        <v>0</v>
      </c>
      <c r="DD38" s="113">
        <v>0</v>
      </c>
      <c r="DE38" s="113">
        <v>0</v>
      </c>
      <c r="DF38" s="113">
        <v>0</v>
      </c>
      <c r="DG38" s="113">
        <v>0</v>
      </c>
      <c r="DH38" s="113">
        <v>0</v>
      </c>
      <c r="DI38" s="113">
        <v>0</v>
      </c>
      <c r="DJ38" s="113">
        <v>0</v>
      </c>
      <c r="DK38" s="113">
        <v>0</v>
      </c>
      <c r="DL38" s="113">
        <v>0</v>
      </c>
      <c r="DM38" s="113">
        <v>0</v>
      </c>
      <c r="DN38" s="113">
        <v>0</v>
      </c>
      <c r="DO38" s="113">
        <v>0</v>
      </c>
      <c r="DP38" s="113">
        <v>0</v>
      </c>
      <c r="DQ38" s="113">
        <v>0</v>
      </c>
      <c r="DR38" s="113">
        <v>0</v>
      </c>
      <c r="DS38" s="113">
        <v>0</v>
      </c>
      <c r="DT38" s="113">
        <v>0</v>
      </c>
      <c r="DU38" s="113">
        <v>0</v>
      </c>
      <c r="DV38" s="113">
        <v>0</v>
      </c>
      <c r="DW38" s="113">
        <v>0</v>
      </c>
      <c r="DX38" s="113">
        <v>0</v>
      </c>
      <c r="DY38" s="113">
        <v>0</v>
      </c>
      <c r="DZ38" s="113">
        <v>0</v>
      </c>
      <c r="EA38" s="113">
        <v>0</v>
      </c>
      <c r="EB38" s="113">
        <v>0</v>
      </c>
      <c r="EC38" s="113">
        <v>0</v>
      </c>
      <c r="ED38" s="113">
        <v>0</v>
      </c>
      <c r="EE38" s="113">
        <v>0</v>
      </c>
      <c r="EF38" s="113">
        <v>0</v>
      </c>
      <c r="EG38" s="113">
        <v>0</v>
      </c>
      <c r="EH38" s="113">
        <v>0</v>
      </c>
      <c r="EI38" s="113">
        <v>0</v>
      </c>
      <c r="EJ38" s="113">
        <v>0</v>
      </c>
      <c r="EK38" s="113">
        <v>0</v>
      </c>
      <c r="EL38" s="113">
        <v>0</v>
      </c>
      <c r="EM38" s="113">
        <v>0</v>
      </c>
      <c r="EN38" s="113">
        <v>0</v>
      </c>
    </row>
    <row r="39" spans="1:144">
      <c r="A39" s="103" t="s">
        <v>2076</v>
      </c>
      <c r="B39" s="113">
        <v>0</v>
      </c>
      <c r="C39" s="113">
        <v>0</v>
      </c>
      <c r="D39" s="113">
        <v>0</v>
      </c>
      <c r="E39" s="113">
        <v>0</v>
      </c>
      <c r="F39" s="113">
        <v>0</v>
      </c>
      <c r="G39" s="113">
        <v>0</v>
      </c>
      <c r="H39" s="113">
        <v>0</v>
      </c>
      <c r="I39" s="113">
        <v>0</v>
      </c>
      <c r="J39" s="113">
        <v>0</v>
      </c>
      <c r="K39" s="113">
        <v>0</v>
      </c>
      <c r="L39" s="113">
        <v>0</v>
      </c>
      <c r="M39" s="113">
        <v>0</v>
      </c>
      <c r="N39" s="113">
        <v>0</v>
      </c>
      <c r="O39" s="113">
        <v>-284</v>
      </c>
      <c r="P39" s="113">
        <v>0</v>
      </c>
      <c r="Q39" s="113">
        <v>0</v>
      </c>
      <c r="R39" s="113">
        <v>56</v>
      </c>
      <c r="S39" s="113">
        <v>226</v>
      </c>
      <c r="T39" s="113">
        <v>-1056</v>
      </c>
      <c r="U39" s="113">
        <v>-64</v>
      </c>
      <c r="V39" s="113">
        <v>-336</v>
      </c>
      <c r="W39" s="113">
        <v>-465</v>
      </c>
      <c r="X39" s="113">
        <v>-223</v>
      </c>
      <c r="Y39" s="113">
        <v>-490</v>
      </c>
      <c r="Z39" s="113">
        <v>-478</v>
      </c>
      <c r="AA39" s="113">
        <v>-497</v>
      </c>
      <c r="AB39" s="113">
        <v>-562</v>
      </c>
      <c r="AC39" s="113">
        <v>-403</v>
      </c>
      <c r="AD39" s="113">
        <v>-75</v>
      </c>
      <c r="AE39" s="113">
        <v>-229</v>
      </c>
      <c r="AG39" s="103" t="s">
        <v>2076</v>
      </c>
      <c r="AH39" s="113">
        <v>0</v>
      </c>
      <c r="AI39" s="113">
        <v>0</v>
      </c>
      <c r="AJ39" s="113">
        <v>0</v>
      </c>
      <c r="AK39" s="113">
        <v>0</v>
      </c>
      <c r="AL39" s="113">
        <v>0</v>
      </c>
      <c r="AM39" s="113">
        <v>0</v>
      </c>
      <c r="AN39" s="113">
        <v>0</v>
      </c>
      <c r="AO39" s="113">
        <v>0</v>
      </c>
      <c r="AP39" s="113">
        <v>0</v>
      </c>
      <c r="AQ39" s="113">
        <v>0</v>
      </c>
      <c r="AR39" s="113">
        <v>0</v>
      </c>
      <c r="AS39" s="113">
        <v>0</v>
      </c>
      <c r="AT39" s="113">
        <v>0</v>
      </c>
      <c r="AU39" s="113">
        <v>0</v>
      </c>
      <c r="AV39" s="113">
        <v>0</v>
      </c>
      <c r="AW39" s="113">
        <v>0</v>
      </c>
      <c r="AX39" s="113">
        <v>0</v>
      </c>
      <c r="AY39" s="113">
        <v>0</v>
      </c>
      <c r="AZ39" s="113">
        <v>0</v>
      </c>
      <c r="BA39" s="113">
        <v>0</v>
      </c>
      <c r="BB39" s="113">
        <v>0</v>
      </c>
      <c r="BC39" s="113">
        <v>0</v>
      </c>
      <c r="BD39" s="113">
        <v>0</v>
      </c>
      <c r="BE39" s="113">
        <v>0</v>
      </c>
      <c r="BF39" s="113">
        <v>0</v>
      </c>
      <c r="BG39" s="113">
        <v>0</v>
      </c>
      <c r="BH39" s="113">
        <v>0</v>
      </c>
      <c r="BI39" s="113">
        <v>0</v>
      </c>
      <c r="BJ39" s="113">
        <v>0</v>
      </c>
      <c r="BK39" s="113">
        <v>0</v>
      </c>
      <c r="BL39" s="113">
        <v>0</v>
      </c>
      <c r="BM39" s="113">
        <v>0</v>
      </c>
      <c r="BN39" s="113">
        <v>0</v>
      </c>
      <c r="BO39" s="113">
        <v>0</v>
      </c>
      <c r="BP39" s="113">
        <v>0</v>
      </c>
      <c r="BQ39" s="113">
        <v>0</v>
      </c>
      <c r="BR39" s="113">
        <v>0</v>
      </c>
      <c r="BS39" s="113">
        <v>0</v>
      </c>
      <c r="BT39" s="113">
        <v>0</v>
      </c>
      <c r="BU39" s="113">
        <v>0</v>
      </c>
      <c r="BV39" s="113">
        <v>0</v>
      </c>
      <c r="BW39" s="113">
        <v>0</v>
      </c>
      <c r="BX39" s="113">
        <v>0</v>
      </c>
      <c r="BY39" s="113">
        <v>0</v>
      </c>
      <c r="BZ39" s="113">
        <v>0</v>
      </c>
      <c r="CA39" s="113">
        <v>0</v>
      </c>
      <c r="CB39" s="113">
        <v>0</v>
      </c>
      <c r="CC39" s="113">
        <v>0</v>
      </c>
      <c r="CD39" s="113">
        <v>-105</v>
      </c>
      <c r="CE39" s="113">
        <v>-58</v>
      </c>
      <c r="CF39" s="113">
        <v>26</v>
      </c>
      <c r="CG39" s="113">
        <v>84</v>
      </c>
      <c r="CH39" s="113">
        <v>-103</v>
      </c>
      <c r="CI39" s="113">
        <v>-94</v>
      </c>
      <c r="CJ39" s="113">
        <v>0</v>
      </c>
      <c r="CK39" s="113">
        <v>0</v>
      </c>
      <c r="CL39" s="113">
        <v>0</v>
      </c>
      <c r="CM39" s="113">
        <v>0</v>
      </c>
      <c r="CN39" s="113">
        <v>0</v>
      </c>
      <c r="CO39" s="113">
        <v>0</v>
      </c>
      <c r="CP39" s="113">
        <v>80</v>
      </c>
      <c r="CQ39" s="113">
        <v>23</v>
      </c>
      <c r="CR39" s="113">
        <v>122</v>
      </c>
      <c r="CS39" s="113">
        <v>1</v>
      </c>
      <c r="CT39" s="113">
        <v>-179</v>
      </c>
      <c r="CU39" s="113">
        <v>-350</v>
      </c>
      <c r="CV39" s="113">
        <v>-115</v>
      </c>
      <c r="CW39" s="113">
        <v>-68</v>
      </c>
      <c r="CX39" s="113">
        <v>-95</v>
      </c>
      <c r="CY39" s="113">
        <v>113</v>
      </c>
      <c r="CZ39" s="113">
        <v>-118</v>
      </c>
      <c r="DA39" s="113">
        <v>36</v>
      </c>
      <c r="DB39" s="113">
        <v>-191</v>
      </c>
      <c r="DC39" s="113">
        <v>-68</v>
      </c>
      <c r="DD39" s="113">
        <v>0</v>
      </c>
      <c r="DE39" s="113">
        <v>-336</v>
      </c>
      <c r="DF39" s="113">
        <v>-26</v>
      </c>
      <c r="DG39" s="113">
        <v>-148</v>
      </c>
      <c r="DH39" s="113">
        <v>-160</v>
      </c>
      <c r="DI39" s="113">
        <v>-131</v>
      </c>
      <c r="DJ39" s="113">
        <v>-111</v>
      </c>
      <c r="DK39" s="113">
        <v>-55</v>
      </c>
      <c r="DL39" s="113">
        <v>-76</v>
      </c>
      <c r="DM39" s="113">
        <v>19</v>
      </c>
      <c r="DN39" s="113">
        <v>-41</v>
      </c>
      <c r="DO39" s="113">
        <v>2</v>
      </c>
      <c r="DP39" s="113">
        <v>-154</v>
      </c>
      <c r="DQ39" s="113">
        <v>-297</v>
      </c>
      <c r="DR39" s="113">
        <v>-224</v>
      </c>
      <c r="DS39" s="113">
        <v>36</v>
      </c>
      <c r="DT39" s="113">
        <v>-608</v>
      </c>
      <c r="DU39" s="113">
        <v>318</v>
      </c>
      <c r="DV39" s="113">
        <v>-49</v>
      </c>
      <c r="DW39" s="113">
        <v>-197</v>
      </c>
      <c r="DX39" s="113">
        <v>93</v>
      </c>
      <c r="DY39" s="113">
        <v>-336</v>
      </c>
      <c r="DZ39" s="113">
        <v>-121</v>
      </c>
      <c r="EA39" s="113">
        <v>-200</v>
      </c>
      <c r="EB39" s="113">
        <v>-177</v>
      </c>
      <c r="EC39" s="113">
        <v>-64</v>
      </c>
      <c r="ED39" s="113">
        <v>-149</v>
      </c>
      <c r="EE39" s="113">
        <v>-222</v>
      </c>
      <c r="EF39" s="113">
        <v>-78</v>
      </c>
      <c r="EG39" s="113">
        <v>46</v>
      </c>
      <c r="EH39" s="113">
        <v>-24</v>
      </c>
      <c r="EI39" s="113">
        <v>-122</v>
      </c>
      <c r="EJ39" s="113">
        <v>-23</v>
      </c>
      <c r="EK39" s="113">
        <v>94</v>
      </c>
      <c r="EL39" s="113">
        <v>-196</v>
      </c>
      <c r="EM39" s="113">
        <v>75</v>
      </c>
      <c r="EN39" s="113">
        <v>-202</v>
      </c>
    </row>
    <row r="40" spans="1:144">
      <c r="A40" s="103" t="s">
        <v>2077</v>
      </c>
      <c r="B40" s="113">
        <v>-16</v>
      </c>
      <c r="C40" s="113">
        <v>-11</v>
      </c>
      <c r="D40" s="113">
        <v>-7</v>
      </c>
      <c r="E40" s="113">
        <v>-16</v>
      </c>
      <c r="F40" s="113">
        <v>-16</v>
      </c>
      <c r="G40" s="113">
        <v>0</v>
      </c>
      <c r="H40" s="113">
        <v>0</v>
      </c>
      <c r="I40" s="113">
        <v>0</v>
      </c>
      <c r="J40" s="113">
        <v>0</v>
      </c>
      <c r="K40" s="113">
        <v>0</v>
      </c>
      <c r="L40" s="113">
        <v>0</v>
      </c>
      <c r="M40" s="113">
        <v>0</v>
      </c>
      <c r="N40" s="113">
        <v>-424</v>
      </c>
      <c r="O40" s="113">
        <v>-102</v>
      </c>
      <c r="P40" s="113">
        <v>-262</v>
      </c>
      <c r="Q40" s="113">
        <v>119</v>
      </c>
      <c r="R40" s="113">
        <v>-132</v>
      </c>
      <c r="S40" s="113">
        <v>83</v>
      </c>
      <c r="T40" s="113">
        <v>84</v>
      </c>
      <c r="U40" s="113">
        <v>-73</v>
      </c>
      <c r="V40" s="113">
        <v>167</v>
      </c>
      <c r="W40" s="113">
        <v>70</v>
      </c>
      <c r="X40" s="113">
        <v>131</v>
      </c>
      <c r="Y40" s="113">
        <v>-99</v>
      </c>
      <c r="Z40" s="113">
        <v>142</v>
      </c>
      <c r="AA40" s="113">
        <v>-239</v>
      </c>
      <c r="AB40" s="113">
        <v>-116</v>
      </c>
      <c r="AC40" s="113">
        <v>-54</v>
      </c>
      <c r="AD40" s="113">
        <v>77</v>
      </c>
      <c r="AE40" s="113">
        <v>-10</v>
      </c>
      <c r="AG40" s="103" t="s">
        <v>2077</v>
      </c>
      <c r="AH40" s="113">
        <v>0.5</v>
      </c>
      <c r="AI40" s="113">
        <v>2</v>
      </c>
      <c r="AJ40" s="113">
        <v>-2</v>
      </c>
      <c r="AK40" s="113">
        <v>-6</v>
      </c>
      <c r="AL40" s="113">
        <v>-4</v>
      </c>
      <c r="AM40" s="113">
        <v>-2</v>
      </c>
      <c r="AN40" s="113">
        <v>-4</v>
      </c>
      <c r="AO40" s="113">
        <v>-6</v>
      </c>
      <c r="AP40" s="113">
        <v>-2</v>
      </c>
      <c r="AQ40" s="113">
        <v>-5</v>
      </c>
      <c r="AR40" s="113">
        <v>-5</v>
      </c>
      <c r="AS40" s="113">
        <v>-4</v>
      </c>
      <c r="AT40" s="113">
        <v>-4</v>
      </c>
      <c r="AU40" s="113">
        <v>23</v>
      </c>
      <c r="AV40" s="113">
        <v>4</v>
      </c>
      <c r="AW40" s="113">
        <v>-42</v>
      </c>
      <c r="AX40" s="113">
        <v>-49</v>
      </c>
      <c r="AY40" s="113">
        <v>-46</v>
      </c>
      <c r="AZ40" s="113">
        <v>-84</v>
      </c>
      <c r="BA40" s="113">
        <v>179</v>
      </c>
      <c r="BB40" s="113">
        <v>0</v>
      </c>
      <c r="BC40" s="113">
        <v>0</v>
      </c>
      <c r="BD40" s="113">
        <v>0</v>
      </c>
      <c r="BE40" s="113">
        <v>0</v>
      </c>
      <c r="BF40" s="113">
        <v>0</v>
      </c>
      <c r="BG40" s="113">
        <v>0</v>
      </c>
      <c r="BH40" s="113">
        <v>0</v>
      </c>
      <c r="BI40" s="113">
        <v>0</v>
      </c>
      <c r="BJ40" s="113">
        <v>0</v>
      </c>
      <c r="BK40" s="113">
        <v>0</v>
      </c>
      <c r="BL40" s="113">
        <v>0</v>
      </c>
      <c r="BM40" s="113">
        <v>0</v>
      </c>
      <c r="BN40" s="113">
        <v>0</v>
      </c>
      <c r="BO40" s="113">
        <v>0</v>
      </c>
      <c r="BP40" s="113">
        <v>0</v>
      </c>
      <c r="BQ40" s="113">
        <v>0</v>
      </c>
      <c r="BR40" s="113">
        <v>0</v>
      </c>
      <c r="BS40" s="113">
        <v>0</v>
      </c>
      <c r="BT40" s="113">
        <v>0</v>
      </c>
      <c r="BU40" s="113">
        <v>0</v>
      </c>
      <c r="BV40" s="113">
        <v>0</v>
      </c>
      <c r="BW40" s="113">
        <v>0</v>
      </c>
      <c r="BX40" s="113">
        <v>0</v>
      </c>
      <c r="BY40" s="113">
        <v>0</v>
      </c>
      <c r="BZ40" s="113">
        <v>34</v>
      </c>
      <c r="CA40" s="113">
        <v>11</v>
      </c>
      <c r="CB40" s="113">
        <v>93</v>
      </c>
      <c r="CC40" s="113">
        <v>-406</v>
      </c>
      <c r="CD40" s="113">
        <v>-75</v>
      </c>
      <c r="CE40" s="113">
        <v>0</v>
      </c>
      <c r="CF40" s="113">
        <v>76</v>
      </c>
      <c r="CG40" s="113">
        <v>-8</v>
      </c>
      <c r="CH40" s="113">
        <v>101</v>
      </c>
      <c r="CI40" s="113">
        <v>-11</v>
      </c>
      <c r="CJ40" s="113">
        <v>-9</v>
      </c>
      <c r="CK40" s="113">
        <v>-80</v>
      </c>
      <c r="CL40" s="113">
        <v>-165</v>
      </c>
      <c r="CM40" s="113">
        <v>-86</v>
      </c>
      <c r="CN40" s="113">
        <v>10</v>
      </c>
      <c r="CO40" s="113">
        <v>-151</v>
      </c>
      <c r="CP40" s="113">
        <v>-103</v>
      </c>
      <c r="CQ40" s="113">
        <v>51</v>
      </c>
      <c r="CR40" s="113">
        <v>185</v>
      </c>
      <c r="CS40" s="113">
        <v>56</v>
      </c>
      <c r="CT40" s="113">
        <v>-165</v>
      </c>
      <c r="CU40" s="113">
        <v>-396</v>
      </c>
      <c r="CV40" s="113">
        <v>15</v>
      </c>
      <c r="CW40" s="113">
        <v>316</v>
      </c>
      <c r="CX40" s="113">
        <v>134</v>
      </c>
      <c r="CY40" s="113">
        <v>-1</v>
      </c>
      <c r="CZ40" s="113">
        <v>-25</v>
      </c>
      <c r="DA40" s="113">
        <v>-181</v>
      </c>
      <c r="DB40" s="113">
        <v>73</v>
      </c>
      <c r="DC40" s="113">
        <v>151</v>
      </c>
      <c r="DD40" s="113">
        <v>316</v>
      </c>
      <c r="DE40" s="113">
        <v>-595</v>
      </c>
      <c r="DF40" s="113">
        <v>-2</v>
      </c>
      <c r="DG40" s="113">
        <v>70</v>
      </c>
      <c r="DH40" s="113">
        <v>25</v>
      </c>
      <c r="DI40" s="113">
        <v>-23</v>
      </c>
      <c r="DJ40" s="113">
        <v>286</v>
      </c>
      <c r="DK40" s="113">
        <v>-65</v>
      </c>
      <c r="DL40" s="113">
        <v>-39</v>
      </c>
      <c r="DM40" s="113">
        <v>-51</v>
      </c>
      <c r="DN40" s="113">
        <v>66</v>
      </c>
      <c r="DO40" s="113">
        <v>-180</v>
      </c>
      <c r="DP40" s="113">
        <v>1</v>
      </c>
      <c r="DQ40" s="113">
        <v>14</v>
      </c>
      <c r="DR40" s="113">
        <v>127</v>
      </c>
      <c r="DS40" s="113">
        <v>-267</v>
      </c>
      <c r="DT40" s="113">
        <v>412</v>
      </c>
      <c r="DU40" s="113">
        <v>-130</v>
      </c>
      <c r="DV40" s="113">
        <v>-236</v>
      </c>
      <c r="DW40" s="113">
        <v>74</v>
      </c>
      <c r="DX40" s="113">
        <v>-284</v>
      </c>
      <c r="DY40" s="113">
        <v>207</v>
      </c>
      <c r="DZ40" s="113">
        <v>-8</v>
      </c>
      <c r="EA40" s="113">
        <v>-145</v>
      </c>
      <c r="EB40" s="113">
        <v>54</v>
      </c>
      <c r="EC40" s="113">
        <v>-17</v>
      </c>
      <c r="ED40" s="113">
        <v>40</v>
      </c>
      <c r="EE40" s="113">
        <v>141</v>
      </c>
      <c r="EF40" s="113">
        <v>44</v>
      </c>
      <c r="EG40" s="113">
        <v>-279</v>
      </c>
      <c r="EH40" s="113">
        <v>40</v>
      </c>
      <c r="EI40" s="113">
        <v>123</v>
      </c>
      <c r="EJ40" s="113">
        <v>127</v>
      </c>
      <c r="EK40" s="113">
        <v>-210</v>
      </c>
      <c r="EL40" s="113">
        <v>166</v>
      </c>
      <c r="EM40" s="113">
        <v>-76</v>
      </c>
      <c r="EN40" s="113">
        <v>113</v>
      </c>
    </row>
    <row r="41" spans="1:144" ht="10.5">
      <c r="A41" s="112" t="s">
        <v>2078</v>
      </c>
      <c r="B41" s="114">
        <v>671</v>
      </c>
      <c r="C41" s="114">
        <v>1041</v>
      </c>
      <c r="D41" s="114">
        <v>1401</v>
      </c>
      <c r="E41" s="114">
        <v>1812</v>
      </c>
      <c r="F41" s="114">
        <v>2213</v>
      </c>
      <c r="G41" s="114">
        <v>3379</v>
      </c>
      <c r="H41" s="114">
        <v>5314</v>
      </c>
      <c r="I41" s="114">
        <v>7413</v>
      </c>
      <c r="J41" s="114">
        <v>11088</v>
      </c>
      <c r="K41" s="114">
        <v>12543</v>
      </c>
      <c r="L41" s="114">
        <v>13746</v>
      </c>
      <c r="M41" s="114">
        <v>10299</v>
      </c>
      <c r="N41" s="114">
        <v>11760</v>
      </c>
      <c r="O41" s="114">
        <v>13345</v>
      </c>
      <c r="P41" s="114">
        <v>18082</v>
      </c>
      <c r="Q41" s="114">
        <v>19401</v>
      </c>
      <c r="R41" s="114">
        <v>19962</v>
      </c>
      <c r="S41" s="114">
        <v>25268</v>
      </c>
      <c r="T41" s="114">
        <v>20427</v>
      </c>
      <c r="U41" s="114">
        <v>24653</v>
      </c>
      <c r="V41" s="114">
        <v>27597</v>
      </c>
      <c r="W41" s="114">
        <v>27981</v>
      </c>
      <c r="X41" s="114">
        <v>27653</v>
      </c>
      <c r="Y41" s="114">
        <v>27583</v>
      </c>
      <c r="Z41" s="114">
        <v>27821</v>
      </c>
      <c r="AA41" s="114">
        <v>26112</v>
      </c>
      <c r="AB41" s="114">
        <v>27818</v>
      </c>
      <c r="AC41" s="114">
        <v>34082</v>
      </c>
      <c r="AD41" s="114">
        <v>43037</v>
      </c>
      <c r="AE41" s="114">
        <v>51936</v>
      </c>
      <c r="AG41" s="112" t="s">
        <v>2078</v>
      </c>
      <c r="AH41" s="114">
        <v>327</v>
      </c>
      <c r="AI41" s="114">
        <v>347</v>
      </c>
      <c r="AJ41" s="114">
        <v>357</v>
      </c>
      <c r="AK41" s="114">
        <v>390</v>
      </c>
      <c r="AL41" s="114">
        <v>362</v>
      </c>
      <c r="AM41" s="114">
        <v>438</v>
      </c>
      <c r="AN41" s="114">
        <v>502</v>
      </c>
      <c r="AO41" s="114">
        <v>510</v>
      </c>
      <c r="AP41" s="114">
        <v>471</v>
      </c>
      <c r="AQ41" s="114">
        <v>557</v>
      </c>
      <c r="AR41" s="114">
        <v>592</v>
      </c>
      <c r="AS41" s="114">
        <v>593</v>
      </c>
      <c r="AT41" s="114">
        <v>770</v>
      </c>
      <c r="AU41" s="114">
        <v>885</v>
      </c>
      <c r="AV41" s="114">
        <v>864</v>
      </c>
      <c r="AW41" s="114">
        <v>860</v>
      </c>
      <c r="AX41" s="114">
        <v>945</v>
      </c>
      <c r="AY41" s="114">
        <v>1140</v>
      </c>
      <c r="AZ41" s="114">
        <v>1603</v>
      </c>
      <c r="BA41" s="114">
        <v>1626</v>
      </c>
      <c r="BB41" s="114">
        <v>1498</v>
      </c>
      <c r="BC41" s="114">
        <v>1770</v>
      </c>
      <c r="BD41" s="114">
        <v>2057</v>
      </c>
      <c r="BE41" s="114">
        <v>2088</v>
      </c>
      <c r="BF41" s="114">
        <v>2343</v>
      </c>
      <c r="BG41" s="114">
        <v>2981</v>
      </c>
      <c r="BH41" s="114">
        <v>2599</v>
      </c>
      <c r="BI41" s="114">
        <v>3185</v>
      </c>
      <c r="BJ41" s="114">
        <v>3120</v>
      </c>
      <c r="BK41" s="114">
        <v>3292</v>
      </c>
      <c r="BL41" s="114">
        <v>3159</v>
      </c>
      <c r="BM41" s="114">
        <v>2997</v>
      </c>
      <c r="BN41" s="114">
        <v>3852</v>
      </c>
      <c r="BO41" s="114">
        <v>3917</v>
      </c>
      <c r="BP41" s="114">
        <v>3658</v>
      </c>
      <c r="BQ41" s="114">
        <v>2319</v>
      </c>
      <c r="BR41" s="114">
        <v>2867</v>
      </c>
      <c r="BS41" s="114">
        <v>4017</v>
      </c>
      <c r="BT41" s="114">
        <v>4026</v>
      </c>
      <c r="BU41" s="114">
        <v>4667</v>
      </c>
      <c r="BV41" s="114">
        <v>3522</v>
      </c>
      <c r="BW41" s="114">
        <v>2946</v>
      </c>
      <c r="BX41" s="114">
        <v>3180</v>
      </c>
      <c r="BY41" s="114">
        <v>3019</v>
      </c>
      <c r="BZ41" s="114">
        <v>3656</v>
      </c>
      <c r="CA41" s="114">
        <v>2002</v>
      </c>
      <c r="CB41" s="114">
        <v>4385</v>
      </c>
      <c r="CC41" s="114">
        <v>3115</v>
      </c>
      <c r="CD41" s="114">
        <v>4271</v>
      </c>
      <c r="CE41" s="114">
        <v>5072</v>
      </c>
      <c r="CF41" s="114">
        <v>5132</v>
      </c>
      <c r="CG41" s="114">
        <v>3655</v>
      </c>
      <c r="CH41" s="114">
        <v>4869</v>
      </c>
      <c r="CI41" s="114">
        <v>5000</v>
      </c>
      <c r="CJ41" s="114">
        <v>4645</v>
      </c>
      <c r="CK41" s="114">
        <v>4809</v>
      </c>
      <c r="CL41" s="114">
        <v>4765</v>
      </c>
      <c r="CM41" s="114">
        <v>3813</v>
      </c>
      <c r="CN41" s="114">
        <v>7228</v>
      </c>
      <c r="CO41" s="114">
        <v>4156</v>
      </c>
      <c r="CP41" s="114">
        <v>6065</v>
      </c>
      <c r="CQ41" s="114">
        <v>6733</v>
      </c>
      <c r="CR41" s="114">
        <v>6323</v>
      </c>
      <c r="CS41" s="114">
        <v>5906</v>
      </c>
      <c r="CT41" s="114">
        <v>5862</v>
      </c>
      <c r="CU41" s="114">
        <v>5368</v>
      </c>
      <c r="CV41" s="114">
        <v>4849</v>
      </c>
      <c r="CW41" s="114">
        <v>4628</v>
      </c>
      <c r="CX41" s="114">
        <v>4686</v>
      </c>
      <c r="CY41" s="114">
        <v>8784</v>
      </c>
      <c r="CZ41" s="114">
        <v>5196</v>
      </c>
      <c r="DA41" s="114">
        <v>6046</v>
      </c>
      <c r="DB41" s="114">
        <v>7163</v>
      </c>
      <c r="DC41" s="114">
        <v>8381</v>
      </c>
      <c r="DD41" s="114">
        <v>6025</v>
      </c>
      <c r="DE41" s="114">
        <v>5845</v>
      </c>
      <c r="DF41" s="114">
        <v>7292</v>
      </c>
      <c r="DG41" s="114">
        <v>8003</v>
      </c>
      <c r="DH41" s="114">
        <v>6324</v>
      </c>
      <c r="DI41" s="114">
        <v>6362</v>
      </c>
      <c r="DJ41" s="114">
        <v>5547</v>
      </c>
      <c r="DK41" s="114">
        <v>7712</v>
      </c>
      <c r="DL41" s="114">
        <v>8271</v>
      </c>
      <c r="DM41" s="114">
        <v>6123</v>
      </c>
      <c r="DN41" s="114">
        <v>6420</v>
      </c>
      <c r="DO41" s="114">
        <v>7875</v>
      </c>
      <c r="DP41" s="114">
        <v>6866</v>
      </c>
      <c r="DQ41" s="114">
        <v>6422</v>
      </c>
      <c r="DR41" s="114">
        <v>6951</v>
      </c>
      <c r="DS41" s="114">
        <v>7809</v>
      </c>
      <c r="DT41" s="114">
        <v>6537</v>
      </c>
      <c r="DU41" s="114">
        <v>6524</v>
      </c>
      <c r="DV41" s="114">
        <v>5458</v>
      </c>
      <c r="DW41" s="114">
        <v>5794</v>
      </c>
      <c r="DX41" s="114">
        <v>4982</v>
      </c>
      <c r="DY41" s="114">
        <v>3990</v>
      </c>
      <c r="DZ41" s="114">
        <v>6442</v>
      </c>
      <c r="EA41" s="114">
        <v>7350</v>
      </c>
      <c r="EB41" s="114">
        <v>6371</v>
      </c>
      <c r="EC41" s="114">
        <v>9946</v>
      </c>
      <c r="ED41" s="114">
        <v>7400</v>
      </c>
      <c r="EE41" s="114">
        <v>8430</v>
      </c>
      <c r="EF41" s="114">
        <v>8142</v>
      </c>
      <c r="EG41" s="114">
        <v>10110</v>
      </c>
      <c r="EH41" s="114">
        <v>9978</v>
      </c>
      <c r="EI41" s="114">
        <v>10291</v>
      </c>
      <c r="EJ41" s="114">
        <v>10442</v>
      </c>
      <c r="EK41" s="114">
        <v>12329</v>
      </c>
      <c r="EL41" s="114">
        <v>12743</v>
      </c>
      <c r="EM41" s="114">
        <v>13923</v>
      </c>
      <c r="EN41" s="114">
        <v>12944</v>
      </c>
    </row>
    <row r="42" spans="1:144">
      <c r="A42" s="103"/>
      <c r="B42" s="103"/>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G42" s="103"/>
      <c r="AH42" s="103"/>
      <c r="AI42" s="103"/>
      <c r="AJ42" s="103"/>
      <c r="AK42" s="103"/>
      <c r="AL42" s="103"/>
      <c r="AM42" s="103"/>
      <c r="AN42" s="103"/>
      <c r="AO42" s="103"/>
      <c r="AP42" s="103"/>
      <c r="AQ42" s="103"/>
      <c r="AR42" s="103"/>
      <c r="AS42" s="103"/>
      <c r="AT42" s="103"/>
      <c r="AU42" s="103"/>
      <c r="AV42" s="103"/>
      <c r="AW42" s="103"/>
      <c r="AX42" s="103"/>
      <c r="AY42" s="103"/>
      <c r="AZ42" s="103"/>
      <c r="BA42" s="103"/>
      <c r="BB42" s="103"/>
      <c r="BC42" s="103"/>
      <c r="BD42" s="103"/>
      <c r="BE42" s="103"/>
      <c r="BF42" s="103"/>
      <c r="BG42" s="103"/>
      <c r="BH42" s="103"/>
      <c r="BI42" s="103"/>
      <c r="BJ42" s="103"/>
      <c r="BK42" s="103"/>
      <c r="BL42" s="103"/>
      <c r="BM42" s="103"/>
      <c r="BN42" s="103"/>
      <c r="BO42" s="103"/>
      <c r="BP42" s="103"/>
      <c r="BQ42" s="103"/>
      <c r="BR42" s="103"/>
      <c r="BS42" s="103"/>
      <c r="BT42" s="103"/>
      <c r="BU42" s="103"/>
      <c r="BV42" s="103"/>
      <c r="BW42" s="103"/>
      <c r="BX42" s="103"/>
      <c r="BY42" s="103"/>
      <c r="BZ42" s="103"/>
      <c r="CA42" s="103"/>
      <c r="CB42" s="103"/>
      <c r="CC42" s="103"/>
      <c r="CD42" s="103"/>
      <c r="CE42" s="103"/>
      <c r="CF42" s="103"/>
      <c r="CG42" s="103"/>
      <c r="CH42" s="103"/>
      <c r="CI42" s="103"/>
      <c r="CJ42" s="103"/>
      <c r="CK42" s="103"/>
      <c r="CL42" s="103"/>
      <c r="CM42" s="103"/>
      <c r="CN42" s="103"/>
      <c r="CO42" s="103"/>
      <c r="CP42" s="103"/>
      <c r="CQ42" s="103"/>
      <c r="CR42" s="103"/>
      <c r="CS42" s="103"/>
      <c r="CT42" s="103"/>
      <c r="CU42" s="103"/>
      <c r="CV42" s="103"/>
      <c r="CW42" s="103"/>
      <c r="CX42" s="103"/>
      <c r="CY42" s="103"/>
      <c r="CZ42" s="103"/>
      <c r="DA42" s="103"/>
      <c r="DB42" s="103"/>
      <c r="DC42" s="103"/>
      <c r="DD42" s="103"/>
      <c r="DE42" s="103"/>
      <c r="DF42" s="103"/>
      <c r="DG42" s="103"/>
      <c r="DH42" s="103"/>
      <c r="DI42" s="103"/>
      <c r="DJ42" s="103"/>
      <c r="DK42" s="103"/>
      <c r="DL42" s="103"/>
      <c r="DM42" s="103"/>
      <c r="DN42" s="103"/>
      <c r="DO42" s="103"/>
      <c r="DP42" s="103"/>
      <c r="DQ42" s="103"/>
      <c r="DR42" s="103"/>
      <c r="DS42" s="103"/>
      <c r="DT42" s="103"/>
      <c r="DU42" s="103"/>
      <c r="DV42" s="103"/>
      <c r="DW42" s="103"/>
      <c r="DX42" s="103"/>
      <c r="DY42" s="103"/>
      <c r="DZ42" s="103"/>
      <c r="EA42" s="103"/>
      <c r="EB42" s="103"/>
      <c r="EC42" s="103"/>
      <c r="ED42" s="103"/>
      <c r="EE42" s="103"/>
      <c r="EF42" s="103"/>
      <c r="EG42" s="103"/>
      <c r="EH42" s="103"/>
      <c r="EI42" s="103"/>
      <c r="EJ42" s="103"/>
      <c r="EK42" s="103"/>
      <c r="EL42" s="103"/>
      <c r="EM42" s="103"/>
      <c r="EN42" s="103"/>
    </row>
    <row r="43" spans="1:144">
      <c r="A43" s="103" t="s">
        <v>2079</v>
      </c>
      <c r="B43" s="113">
        <v>0</v>
      </c>
      <c r="C43" s="113">
        <v>0</v>
      </c>
      <c r="D43" s="113">
        <v>0</v>
      </c>
      <c r="E43" s="113">
        <v>0</v>
      </c>
      <c r="F43" s="113">
        <v>0</v>
      </c>
      <c r="G43" s="113">
        <v>0</v>
      </c>
      <c r="H43" s="113">
        <v>0</v>
      </c>
      <c r="I43" s="113">
        <v>0</v>
      </c>
      <c r="J43" s="113">
        <v>0</v>
      </c>
      <c r="K43" s="113">
        <v>0</v>
      </c>
      <c r="L43" s="113">
        <v>0</v>
      </c>
      <c r="M43" s="113">
        <v>0</v>
      </c>
      <c r="N43" s="113">
        <v>0</v>
      </c>
      <c r="O43" s="113">
        <v>0</v>
      </c>
      <c r="P43" s="113">
        <v>0</v>
      </c>
      <c r="Q43" s="113">
        <v>0</v>
      </c>
      <c r="R43" s="113">
        <v>0</v>
      </c>
      <c r="S43" s="113">
        <v>0</v>
      </c>
      <c r="T43" s="113">
        <v>-330</v>
      </c>
      <c r="U43" s="113">
        <v>0</v>
      </c>
      <c r="V43" s="113">
        <v>0</v>
      </c>
      <c r="W43" s="113">
        <v>0</v>
      </c>
      <c r="X43" s="113">
        <v>0</v>
      </c>
      <c r="Y43" s="113">
        <v>0</v>
      </c>
      <c r="Z43" s="113">
        <v>-2100</v>
      </c>
      <c r="AA43" s="113">
        <v>-480</v>
      </c>
      <c r="AB43" s="113">
        <v>-306</v>
      </c>
      <c r="AC43" s="113">
        <v>0</v>
      </c>
      <c r="AD43" s="113">
        <v>0</v>
      </c>
      <c r="AE43" s="113">
        <v>0</v>
      </c>
      <c r="AG43" s="103" t="s">
        <v>2079</v>
      </c>
      <c r="AH43" s="113">
        <v>0</v>
      </c>
      <c r="AI43" s="113">
        <v>0</v>
      </c>
      <c r="AJ43" s="113">
        <v>0</v>
      </c>
      <c r="AK43" s="113">
        <v>0</v>
      </c>
      <c r="AL43" s="113">
        <v>0</v>
      </c>
      <c r="AM43" s="113">
        <v>0</v>
      </c>
      <c r="AN43" s="113">
        <v>0</v>
      </c>
      <c r="AO43" s="113">
        <v>0</v>
      </c>
      <c r="AP43" s="113">
        <v>0</v>
      </c>
      <c r="AQ43" s="113">
        <v>0</v>
      </c>
      <c r="AR43" s="113">
        <v>0</v>
      </c>
      <c r="AS43" s="113">
        <v>0</v>
      </c>
      <c r="AT43" s="113">
        <v>0</v>
      </c>
      <c r="AU43" s="113">
        <v>0</v>
      </c>
      <c r="AV43" s="113">
        <v>0</v>
      </c>
      <c r="AW43" s="113">
        <v>0</v>
      </c>
      <c r="AX43" s="113">
        <v>0</v>
      </c>
      <c r="AY43" s="113">
        <v>0</v>
      </c>
      <c r="AZ43" s="113">
        <v>0</v>
      </c>
      <c r="BA43" s="113">
        <v>0</v>
      </c>
      <c r="BB43" s="113">
        <v>0</v>
      </c>
      <c r="BC43" s="113">
        <v>0</v>
      </c>
      <c r="BD43" s="113">
        <v>0</v>
      </c>
      <c r="BE43" s="113">
        <v>0</v>
      </c>
      <c r="BF43" s="113">
        <v>0</v>
      </c>
      <c r="BG43" s="113">
        <v>0</v>
      </c>
      <c r="BH43" s="113">
        <v>0</v>
      </c>
      <c r="BI43" s="113">
        <v>0</v>
      </c>
      <c r="BJ43" s="113">
        <v>0</v>
      </c>
      <c r="BK43" s="113">
        <v>0</v>
      </c>
      <c r="BL43" s="113">
        <v>0</v>
      </c>
      <c r="BM43" s="113">
        <v>0</v>
      </c>
      <c r="BN43" s="113">
        <v>0</v>
      </c>
      <c r="BO43" s="113">
        <v>0</v>
      </c>
      <c r="BP43" s="113">
        <v>0</v>
      </c>
      <c r="BQ43" s="113">
        <v>0</v>
      </c>
      <c r="BR43" s="113">
        <v>0</v>
      </c>
      <c r="BS43" s="113">
        <v>0</v>
      </c>
      <c r="BT43" s="113">
        <v>0</v>
      </c>
      <c r="BU43" s="113">
        <v>0</v>
      </c>
      <c r="BV43" s="113">
        <v>0</v>
      </c>
      <c r="BW43" s="113">
        <v>0</v>
      </c>
      <c r="BX43" s="113">
        <v>0</v>
      </c>
      <c r="BY43" s="113">
        <v>0</v>
      </c>
      <c r="BZ43" s="113">
        <v>0</v>
      </c>
      <c r="CA43" s="113">
        <v>0</v>
      </c>
      <c r="CB43" s="113">
        <v>0</v>
      </c>
      <c r="CC43" s="113">
        <v>0</v>
      </c>
      <c r="CD43" s="113">
        <v>0</v>
      </c>
      <c r="CE43" s="113">
        <v>0</v>
      </c>
      <c r="CF43" s="113">
        <v>0</v>
      </c>
      <c r="CG43" s="113">
        <v>0</v>
      </c>
      <c r="CH43" s="113">
        <v>0</v>
      </c>
      <c r="CI43" s="113">
        <v>0</v>
      </c>
      <c r="CJ43" s="113">
        <v>0</v>
      </c>
      <c r="CK43" s="113">
        <v>0</v>
      </c>
      <c r="CL43" s="113">
        <v>0</v>
      </c>
      <c r="CM43" s="113">
        <v>0</v>
      </c>
      <c r="CN43" s="113">
        <v>0</v>
      </c>
      <c r="CO43" s="113">
        <v>0</v>
      </c>
      <c r="CP43" s="113">
        <v>0</v>
      </c>
      <c r="CQ43" s="113">
        <v>0</v>
      </c>
      <c r="CR43" s="113">
        <v>0</v>
      </c>
      <c r="CS43" s="113">
        <v>0</v>
      </c>
      <c r="CT43" s="113">
        <v>0</v>
      </c>
      <c r="CU43" s="113">
        <v>0</v>
      </c>
      <c r="CV43" s="113">
        <v>-290</v>
      </c>
      <c r="CW43" s="113">
        <v>-40</v>
      </c>
      <c r="CX43" s="113">
        <v>0</v>
      </c>
      <c r="CY43" s="113">
        <v>0</v>
      </c>
      <c r="CZ43" s="113">
        <v>0</v>
      </c>
      <c r="DA43" s="113">
        <v>-59</v>
      </c>
      <c r="DB43" s="113">
        <v>0</v>
      </c>
      <c r="DC43" s="113">
        <v>0</v>
      </c>
      <c r="DD43" s="113">
        <v>0</v>
      </c>
      <c r="DE43" s="113">
        <v>0</v>
      </c>
      <c r="DF43" s="113">
        <v>0</v>
      </c>
      <c r="DG43" s="113">
        <v>0</v>
      </c>
      <c r="DH43" s="113">
        <v>0</v>
      </c>
      <c r="DI43" s="113">
        <v>0</v>
      </c>
      <c r="DJ43" s="113">
        <v>0</v>
      </c>
      <c r="DK43" s="113">
        <v>0</v>
      </c>
      <c r="DL43" s="113">
        <v>0</v>
      </c>
      <c r="DM43" s="113">
        <v>0</v>
      </c>
      <c r="DN43" s="113">
        <v>0</v>
      </c>
      <c r="DO43" s="113">
        <v>0</v>
      </c>
      <c r="DP43" s="113">
        <v>0</v>
      </c>
      <c r="DQ43" s="113">
        <v>0</v>
      </c>
      <c r="DR43" s="113">
        <v>-1000</v>
      </c>
      <c r="DS43" s="113">
        <v>-243</v>
      </c>
      <c r="DT43" s="113">
        <v>-98</v>
      </c>
      <c r="DU43" s="113">
        <v>-765</v>
      </c>
      <c r="DV43" s="113">
        <v>0</v>
      </c>
      <c r="DW43" s="113">
        <v>0</v>
      </c>
      <c r="DX43" s="113">
        <v>0</v>
      </c>
      <c r="DY43" s="113">
        <v>-480</v>
      </c>
      <c r="DZ43" s="113">
        <v>0</v>
      </c>
      <c r="EA43" s="113">
        <v>0</v>
      </c>
      <c r="EB43" s="113">
        <v>0</v>
      </c>
      <c r="EC43" s="113">
        <v>-306</v>
      </c>
      <c r="ED43" s="113">
        <v>0</v>
      </c>
      <c r="EE43" s="113">
        <v>0</v>
      </c>
      <c r="EF43" s="113">
        <v>0</v>
      </c>
      <c r="EG43" s="113">
        <v>0</v>
      </c>
      <c r="EH43" s="113">
        <v>0</v>
      </c>
      <c r="EI43" s="113">
        <v>0</v>
      </c>
      <c r="EJ43" s="113">
        <v>0</v>
      </c>
      <c r="EK43" s="113">
        <v>0</v>
      </c>
      <c r="EL43" s="113">
        <v>0</v>
      </c>
      <c r="EM43" s="113">
        <v>0</v>
      </c>
      <c r="EN43" s="113">
        <v>0</v>
      </c>
    </row>
    <row r="44" spans="1:144">
      <c r="A44" s="103" t="s">
        <v>2080</v>
      </c>
      <c r="B44" s="113">
        <v>0</v>
      </c>
      <c r="C44" s="113">
        <v>0</v>
      </c>
      <c r="D44" s="113">
        <v>0</v>
      </c>
      <c r="E44" s="113">
        <v>0</v>
      </c>
      <c r="F44" s="113">
        <v>0</v>
      </c>
      <c r="G44" s="113">
        <v>0</v>
      </c>
      <c r="H44" s="113">
        <v>0</v>
      </c>
      <c r="I44" s="113">
        <v>0</v>
      </c>
      <c r="J44" s="113">
        <v>0</v>
      </c>
      <c r="K44" s="113">
        <v>0</v>
      </c>
      <c r="L44" s="113">
        <v>0</v>
      </c>
      <c r="M44" s="113">
        <v>0</v>
      </c>
      <c r="N44" s="113">
        <v>0</v>
      </c>
      <c r="O44" s="113">
        <v>0</v>
      </c>
      <c r="P44" s="113">
        <v>0</v>
      </c>
      <c r="Q44" s="113">
        <v>0</v>
      </c>
      <c r="R44" s="113">
        <v>0</v>
      </c>
      <c r="S44" s="113">
        <v>0</v>
      </c>
      <c r="T44" s="113">
        <v>0</v>
      </c>
      <c r="U44" s="113">
        <v>0</v>
      </c>
      <c r="V44" s="113">
        <v>0</v>
      </c>
      <c r="W44" s="113">
        <v>0</v>
      </c>
      <c r="X44" s="113">
        <v>0</v>
      </c>
      <c r="Y44" s="113">
        <v>-127</v>
      </c>
      <c r="Z44" s="113">
        <v>-435</v>
      </c>
      <c r="AA44" s="113">
        <v>0</v>
      </c>
      <c r="AB44" s="113">
        <v>0</v>
      </c>
      <c r="AC44" s="113">
        <v>0</v>
      </c>
      <c r="AD44" s="113">
        <v>0</v>
      </c>
      <c r="AE44" s="113">
        <v>0</v>
      </c>
      <c r="AG44" s="103" t="s">
        <v>2080</v>
      </c>
      <c r="AH44" s="113">
        <v>0</v>
      </c>
      <c r="AI44" s="113">
        <v>0</v>
      </c>
      <c r="AJ44" s="113">
        <v>0</v>
      </c>
      <c r="AK44" s="113">
        <v>0</v>
      </c>
      <c r="AL44" s="113">
        <v>0</v>
      </c>
      <c r="AM44" s="113">
        <v>0</v>
      </c>
      <c r="AN44" s="113">
        <v>0</v>
      </c>
      <c r="AO44" s="113">
        <v>0</v>
      </c>
      <c r="AP44" s="113">
        <v>0</v>
      </c>
      <c r="AQ44" s="113">
        <v>0</v>
      </c>
      <c r="AR44" s="113">
        <v>0</v>
      </c>
      <c r="AS44" s="113">
        <v>0</v>
      </c>
      <c r="AT44" s="113">
        <v>0</v>
      </c>
      <c r="AU44" s="113">
        <v>0</v>
      </c>
      <c r="AV44" s="113">
        <v>0</v>
      </c>
      <c r="AW44" s="113">
        <v>0</v>
      </c>
      <c r="AX44" s="113">
        <v>0</v>
      </c>
      <c r="AY44" s="113">
        <v>0</v>
      </c>
      <c r="AZ44" s="113">
        <v>0</v>
      </c>
      <c r="BA44" s="113">
        <v>0</v>
      </c>
      <c r="BB44" s="113">
        <v>0</v>
      </c>
      <c r="BC44" s="113">
        <v>0</v>
      </c>
      <c r="BD44" s="113">
        <v>0</v>
      </c>
      <c r="BE44" s="113">
        <v>0</v>
      </c>
      <c r="BF44" s="113">
        <v>0</v>
      </c>
      <c r="BG44" s="113">
        <v>0</v>
      </c>
      <c r="BH44" s="113">
        <v>0</v>
      </c>
      <c r="BI44" s="113">
        <v>0</v>
      </c>
      <c r="BJ44" s="113">
        <v>0</v>
      </c>
      <c r="BK44" s="113">
        <v>0</v>
      </c>
      <c r="BL44" s="113">
        <v>0</v>
      </c>
      <c r="BM44" s="113">
        <v>0</v>
      </c>
      <c r="BN44" s="113">
        <v>0</v>
      </c>
      <c r="BO44" s="113">
        <v>0</v>
      </c>
      <c r="BP44" s="113">
        <v>0</v>
      </c>
      <c r="BQ44" s="113">
        <v>0</v>
      </c>
      <c r="BR44" s="113">
        <v>0</v>
      </c>
      <c r="BS44" s="113">
        <v>0</v>
      </c>
      <c r="BT44" s="113">
        <v>0</v>
      </c>
      <c r="BU44" s="113">
        <v>0</v>
      </c>
      <c r="BV44" s="113">
        <v>0</v>
      </c>
      <c r="BW44" s="113">
        <v>0</v>
      </c>
      <c r="BX44" s="113">
        <v>0</v>
      </c>
      <c r="BY44" s="113">
        <v>-17</v>
      </c>
      <c r="BZ44" s="113">
        <v>0</v>
      </c>
      <c r="CA44" s="113">
        <v>0</v>
      </c>
      <c r="CB44" s="113">
        <v>0</v>
      </c>
      <c r="CC44" s="113">
        <v>0</v>
      </c>
      <c r="CD44" s="113">
        <v>0</v>
      </c>
      <c r="CE44" s="113">
        <v>0</v>
      </c>
      <c r="CF44" s="113">
        <v>0</v>
      </c>
      <c r="CG44" s="113">
        <v>0</v>
      </c>
      <c r="CH44" s="113">
        <v>0</v>
      </c>
      <c r="CI44" s="113">
        <v>0</v>
      </c>
      <c r="CJ44" s="113">
        <v>0</v>
      </c>
      <c r="CK44" s="113">
        <v>0</v>
      </c>
      <c r="CL44" s="113">
        <v>0</v>
      </c>
      <c r="CM44" s="113">
        <v>0</v>
      </c>
      <c r="CN44" s="113">
        <v>0</v>
      </c>
      <c r="CO44" s="113">
        <v>0</v>
      </c>
      <c r="CP44" s="113">
        <v>0</v>
      </c>
      <c r="CQ44" s="113">
        <v>0</v>
      </c>
      <c r="CR44" s="113">
        <v>0</v>
      </c>
      <c r="CS44" s="113">
        <v>0</v>
      </c>
      <c r="CT44" s="113">
        <v>0</v>
      </c>
      <c r="CU44" s="113">
        <v>0</v>
      </c>
      <c r="CV44" s="113">
        <v>0</v>
      </c>
      <c r="CW44" s="113">
        <v>0</v>
      </c>
      <c r="CX44" s="113">
        <v>0</v>
      </c>
      <c r="CY44" s="113">
        <v>0</v>
      </c>
      <c r="CZ44" s="113">
        <v>0</v>
      </c>
      <c r="DA44" s="113">
        <v>0</v>
      </c>
      <c r="DB44" s="113">
        <v>0</v>
      </c>
      <c r="DC44" s="113">
        <v>0</v>
      </c>
      <c r="DD44" s="113">
        <v>0</v>
      </c>
      <c r="DE44" s="113">
        <v>0</v>
      </c>
      <c r="DF44" s="113">
        <v>0</v>
      </c>
      <c r="DG44" s="113">
        <v>0</v>
      </c>
      <c r="DH44" s="113">
        <v>0</v>
      </c>
      <c r="DI44" s="113">
        <v>0</v>
      </c>
      <c r="DJ44" s="113">
        <v>0</v>
      </c>
      <c r="DK44" s="113">
        <v>0</v>
      </c>
      <c r="DL44" s="113">
        <v>0</v>
      </c>
      <c r="DM44" s="113">
        <v>0</v>
      </c>
      <c r="DN44" s="113">
        <v>0</v>
      </c>
      <c r="DO44" s="113">
        <v>0</v>
      </c>
      <c r="DP44" s="113">
        <v>0</v>
      </c>
      <c r="DQ44" s="113">
        <v>-127</v>
      </c>
      <c r="DR44" s="113">
        <v>0</v>
      </c>
      <c r="DS44" s="113">
        <v>0</v>
      </c>
      <c r="DT44" s="113">
        <v>0</v>
      </c>
      <c r="DU44" s="113">
        <v>-435</v>
      </c>
      <c r="DV44" s="113">
        <v>0</v>
      </c>
      <c r="DW44" s="113">
        <v>0</v>
      </c>
      <c r="DX44" s="113">
        <v>0</v>
      </c>
      <c r="DY44" s="113">
        <v>0</v>
      </c>
      <c r="DZ44" s="113">
        <v>0</v>
      </c>
      <c r="EA44" s="113">
        <v>0</v>
      </c>
      <c r="EB44" s="113">
        <v>0</v>
      </c>
      <c r="EC44" s="113">
        <v>-2291</v>
      </c>
      <c r="ED44" s="113">
        <v>0</v>
      </c>
      <c r="EE44" s="113">
        <v>0</v>
      </c>
      <c r="EF44" s="113">
        <v>0</v>
      </c>
      <c r="EG44" s="113">
        <v>0</v>
      </c>
      <c r="EH44" s="113">
        <v>0</v>
      </c>
      <c r="EI44" s="113">
        <v>0</v>
      </c>
      <c r="EJ44" s="113">
        <v>0</v>
      </c>
      <c r="EK44" s="113">
        <v>0</v>
      </c>
      <c r="EL44" s="113">
        <v>0</v>
      </c>
      <c r="EM44" s="113">
        <v>0</v>
      </c>
      <c r="EN44" s="113">
        <v>0</v>
      </c>
    </row>
    <row r="45" spans="1:144">
      <c r="A45" s="103" t="s">
        <v>2081</v>
      </c>
      <c r="B45" s="113">
        <v>0</v>
      </c>
      <c r="C45" s="113">
        <v>0</v>
      </c>
      <c r="D45" s="113">
        <v>0</v>
      </c>
      <c r="E45" s="113">
        <v>0</v>
      </c>
      <c r="F45" s="113">
        <v>0</v>
      </c>
      <c r="G45" s="113">
        <v>0</v>
      </c>
      <c r="H45" s="113">
        <v>0</v>
      </c>
      <c r="I45" s="113">
        <v>0</v>
      </c>
      <c r="J45" s="113">
        <v>0</v>
      </c>
      <c r="K45" s="113">
        <v>0</v>
      </c>
      <c r="L45" s="113">
        <v>0</v>
      </c>
      <c r="M45" s="113">
        <v>0</v>
      </c>
      <c r="N45" s="113">
        <v>0</v>
      </c>
      <c r="O45" s="113">
        <v>0</v>
      </c>
      <c r="P45" s="113">
        <v>0</v>
      </c>
      <c r="Q45" s="113">
        <v>0</v>
      </c>
      <c r="R45" s="113">
        <v>0</v>
      </c>
      <c r="S45" s="113">
        <v>0</v>
      </c>
      <c r="T45" s="113">
        <v>0</v>
      </c>
      <c r="U45" s="113">
        <v>0</v>
      </c>
      <c r="V45" s="113">
        <v>0</v>
      </c>
      <c r="W45" s="113">
        <v>-6193</v>
      </c>
      <c r="X45" s="113">
        <v>0</v>
      </c>
      <c r="Y45" s="113">
        <v>0</v>
      </c>
      <c r="Z45" s="113">
        <v>-5100</v>
      </c>
      <c r="AA45" s="113">
        <v>0</v>
      </c>
      <c r="AB45" s="113">
        <v>0</v>
      </c>
      <c r="AC45" s="113">
        <v>0</v>
      </c>
      <c r="AD45" s="113">
        <v>0</v>
      </c>
      <c r="AE45" s="113">
        <v>0</v>
      </c>
      <c r="AG45" s="103" t="s">
        <v>2081</v>
      </c>
      <c r="AH45" s="113">
        <v>0</v>
      </c>
      <c r="AI45" s="113">
        <v>0</v>
      </c>
      <c r="AJ45" s="113">
        <v>0</v>
      </c>
      <c r="AK45" s="113">
        <v>0</v>
      </c>
      <c r="AL45" s="113">
        <v>0</v>
      </c>
      <c r="AM45" s="113">
        <v>0</v>
      </c>
      <c r="AN45" s="113">
        <v>0</v>
      </c>
      <c r="AO45" s="113">
        <v>0</v>
      </c>
      <c r="AP45" s="113">
        <v>0</v>
      </c>
      <c r="AQ45" s="113">
        <v>0</v>
      </c>
      <c r="AR45" s="113">
        <v>0</v>
      </c>
      <c r="AS45" s="113">
        <v>0</v>
      </c>
      <c r="AT45" s="113">
        <v>0</v>
      </c>
      <c r="AU45" s="113">
        <v>0</v>
      </c>
      <c r="AV45" s="113">
        <v>0</v>
      </c>
      <c r="AW45" s="113">
        <v>0</v>
      </c>
      <c r="AX45" s="113">
        <v>0</v>
      </c>
      <c r="AY45" s="113">
        <v>0</v>
      </c>
      <c r="AZ45" s="113">
        <v>0</v>
      </c>
      <c r="BA45" s="113">
        <v>0</v>
      </c>
      <c r="BB45" s="113">
        <v>0</v>
      </c>
      <c r="BC45" s="113">
        <v>0</v>
      </c>
      <c r="BD45" s="113">
        <v>0</v>
      </c>
      <c r="BE45" s="113">
        <v>0</v>
      </c>
      <c r="BF45" s="113">
        <v>0</v>
      </c>
      <c r="BG45" s="113">
        <v>0</v>
      </c>
      <c r="BH45" s="113">
        <v>0</v>
      </c>
      <c r="BI45" s="113">
        <v>0</v>
      </c>
      <c r="BJ45" s="113">
        <v>0</v>
      </c>
      <c r="BK45" s="113">
        <v>0</v>
      </c>
      <c r="BL45" s="113">
        <v>0</v>
      </c>
      <c r="BM45" s="113">
        <v>0</v>
      </c>
      <c r="BN45" s="113">
        <v>0</v>
      </c>
      <c r="BO45" s="113">
        <v>0</v>
      </c>
      <c r="BP45" s="113">
        <v>0</v>
      </c>
      <c r="BQ45" s="113">
        <v>0</v>
      </c>
      <c r="BR45" s="113">
        <v>0</v>
      </c>
      <c r="BS45" s="113">
        <v>0</v>
      </c>
      <c r="BT45" s="113">
        <v>0</v>
      </c>
      <c r="BU45" s="113">
        <v>0</v>
      </c>
      <c r="BV45" s="113">
        <v>0</v>
      </c>
      <c r="BW45" s="113">
        <v>0</v>
      </c>
      <c r="BX45" s="113">
        <v>0</v>
      </c>
      <c r="BY45" s="113">
        <v>0</v>
      </c>
      <c r="BZ45" s="113">
        <v>0</v>
      </c>
      <c r="CA45" s="113">
        <v>0</v>
      </c>
      <c r="CB45" s="113">
        <v>0</v>
      </c>
      <c r="CC45" s="113">
        <v>0</v>
      </c>
      <c r="CD45" s="113">
        <v>0</v>
      </c>
      <c r="CE45" s="113">
        <v>0</v>
      </c>
      <c r="CF45" s="113">
        <v>0</v>
      </c>
      <c r="CG45" s="113">
        <v>0</v>
      </c>
      <c r="CH45" s="113">
        <v>0</v>
      </c>
      <c r="CI45" s="113">
        <v>0</v>
      </c>
      <c r="CJ45" s="113">
        <v>0</v>
      </c>
      <c r="CK45" s="113">
        <v>0</v>
      </c>
      <c r="CL45" s="113">
        <v>0</v>
      </c>
      <c r="CM45" s="113">
        <v>0</v>
      </c>
      <c r="CN45" s="113">
        <v>0</v>
      </c>
      <c r="CO45" s="113">
        <v>0</v>
      </c>
      <c r="CP45" s="113">
        <v>0</v>
      </c>
      <c r="CQ45" s="113">
        <v>0</v>
      </c>
      <c r="CR45" s="113">
        <v>0</v>
      </c>
      <c r="CS45" s="113">
        <v>0</v>
      </c>
      <c r="CT45" s="113">
        <v>0</v>
      </c>
      <c r="CU45" s="113">
        <v>0</v>
      </c>
      <c r="CV45" s="113">
        <v>0</v>
      </c>
      <c r="CW45" s="113">
        <v>0</v>
      </c>
      <c r="CX45" s="113">
        <v>0</v>
      </c>
      <c r="CY45" s="113">
        <v>0</v>
      </c>
      <c r="CZ45" s="113">
        <v>0</v>
      </c>
      <c r="DA45" s="113">
        <v>0</v>
      </c>
      <c r="DB45" s="113">
        <v>0</v>
      </c>
      <c r="DC45" s="113">
        <v>0</v>
      </c>
      <c r="DD45" s="113">
        <v>0</v>
      </c>
      <c r="DE45" s="113">
        <v>0</v>
      </c>
      <c r="DF45" s="113">
        <v>0</v>
      </c>
      <c r="DG45" s="113">
        <v>0</v>
      </c>
      <c r="DH45" s="113">
        <v>0</v>
      </c>
      <c r="DI45" s="113">
        <v>-6193</v>
      </c>
      <c r="DJ45" s="113">
        <v>0</v>
      </c>
      <c r="DK45" s="113">
        <v>0</v>
      </c>
      <c r="DL45" s="113">
        <v>0</v>
      </c>
      <c r="DM45" s="113">
        <v>0</v>
      </c>
      <c r="DN45" s="113">
        <v>0</v>
      </c>
      <c r="DO45" s="113">
        <v>0</v>
      </c>
      <c r="DP45" s="113">
        <v>0</v>
      </c>
      <c r="DQ45" s="113">
        <v>0</v>
      </c>
      <c r="DR45" s="113">
        <v>0</v>
      </c>
      <c r="DS45" s="113">
        <v>0</v>
      </c>
      <c r="DT45" s="113">
        <v>0</v>
      </c>
      <c r="DU45" s="113">
        <v>-5100</v>
      </c>
      <c r="DV45" s="113">
        <v>0</v>
      </c>
      <c r="DW45" s="113">
        <v>0</v>
      </c>
      <c r="DX45" s="113">
        <v>0</v>
      </c>
      <c r="DY45" s="113">
        <v>0</v>
      </c>
      <c r="DZ45" s="113">
        <v>0</v>
      </c>
      <c r="EA45" s="113">
        <v>0</v>
      </c>
      <c r="EB45" s="113">
        <v>0</v>
      </c>
      <c r="EC45" s="113">
        <v>0</v>
      </c>
      <c r="ED45" s="113">
        <v>0</v>
      </c>
      <c r="EE45" s="113">
        <v>0</v>
      </c>
      <c r="EF45" s="113">
        <v>0</v>
      </c>
      <c r="EG45" s="113">
        <v>0</v>
      </c>
      <c r="EH45" s="113">
        <v>0</v>
      </c>
      <c r="EI45" s="113">
        <v>0</v>
      </c>
      <c r="EJ45" s="113">
        <v>0</v>
      </c>
      <c r="EK45" s="113">
        <v>0</v>
      </c>
      <c r="EL45" s="113">
        <v>0</v>
      </c>
      <c r="EM45" s="113">
        <v>0</v>
      </c>
      <c r="EN45" s="113">
        <v>0</v>
      </c>
    </row>
    <row r="46" spans="1:144">
      <c r="A46" s="103" t="s">
        <v>2082</v>
      </c>
      <c r="B46" s="113">
        <v>0</v>
      </c>
      <c r="C46" s="113">
        <v>0</v>
      </c>
      <c r="D46" s="113">
        <v>0</v>
      </c>
      <c r="E46" s="113">
        <v>0</v>
      </c>
      <c r="F46" s="113">
        <v>0</v>
      </c>
      <c r="G46" s="113">
        <v>0</v>
      </c>
      <c r="H46" s="113">
        <v>0</v>
      </c>
      <c r="I46" s="113">
        <v>0</v>
      </c>
      <c r="J46" s="113">
        <v>803</v>
      </c>
      <c r="K46" s="113">
        <v>1732</v>
      </c>
      <c r="L46" s="113">
        <v>-2221</v>
      </c>
      <c r="M46" s="113">
        <v>-2424</v>
      </c>
      <c r="N46" s="113">
        <v>44</v>
      </c>
      <c r="O46" s="113">
        <v>1681</v>
      </c>
      <c r="P46" s="113">
        <v>856</v>
      </c>
      <c r="Q46" s="113">
        <v>161</v>
      </c>
      <c r="R46" s="113">
        <v>650</v>
      </c>
      <c r="S46" s="113">
        <v>346</v>
      </c>
      <c r="T46" s="113">
        <v>-276</v>
      </c>
      <c r="U46" s="113">
        <v>360</v>
      </c>
      <c r="V46" s="113">
        <v>474</v>
      </c>
      <c r="W46" s="113">
        <v>479</v>
      </c>
      <c r="X46" s="113">
        <v>132</v>
      </c>
      <c r="Y46" s="113">
        <v>364</v>
      </c>
      <c r="Z46" s="113">
        <v>697</v>
      </c>
      <c r="AA46" s="113">
        <v>637</v>
      </c>
      <c r="AB46" s="113">
        <v>2389</v>
      </c>
      <c r="AC46" s="113">
        <v>2392</v>
      </c>
      <c r="AD46" s="113">
        <v>651</v>
      </c>
      <c r="AE46" s="113">
        <v>274</v>
      </c>
      <c r="AG46" s="103" t="s">
        <v>2082</v>
      </c>
      <c r="AH46" s="113">
        <v>0</v>
      </c>
      <c r="AI46" s="113">
        <v>0</v>
      </c>
      <c r="AJ46" s="113">
        <v>0</v>
      </c>
      <c r="AK46" s="113">
        <v>0</v>
      </c>
      <c r="AL46" s="113">
        <v>0</v>
      </c>
      <c r="AM46" s="113">
        <v>0</v>
      </c>
      <c r="AN46" s="113">
        <v>0</v>
      </c>
      <c r="AO46" s="113">
        <v>0</v>
      </c>
      <c r="AP46" s="113">
        <v>0</v>
      </c>
      <c r="AQ46" s="113">
        <v>0</v>
      </c>
      <c r="AR46" s="113">
        <v>0</v>
      </c>
      <c r="AS46" s="113">
        <v>0</v>
      </c>
      <c r="AT46" s="113">
        <v>0</v>
      </c>
      <c r="AU46" s="113">
        <v>0</v>
      </c>
      <c r="AV46" s="113">
        <v>0</v>
      </c>
      <c r="AW46" s="113">
        <v>0</v>
      </c>
      <c r="AX46" s="113">
        <v>0</v>
      </c>
      <c r="AY46" s="113">
        <v>0</v>
      </c>
      <c r="AZ46" s="113">
        <v>0</v>
      </c>
      <c r="BA46" s="113">
        <v>0</v>
      </c>
      <c r="BB46" s="113">
        <v>0</v>
      </c>
      <c r="BC46" s="113">
        <v>0</v>
      </c>
      <c r="BD46" s="113">
        <v>0</v>
      </c>
      <c r="BE46" s="113">
        <v>0</v>
      </c>
      <c r="BF46" s="113">
        <v>0</v>
      </c>
      <c r="BG46" s="113">
        <v>70</v>
      </c>
      <c r="BH46" s="113">
        <v>350</v>
      </c>
      <c r="BI46" s="113">
        <v>203</v>
      </c>
      <c r="BJ46" s="113">
        <v>200</v>
      </c>
      <c r="BK46" s="113">
        <v>399</v>
      </c>
      <c r="BL46" s="113">
        <v>454</v>
      </c>
      <c r="BM46" s="113">
        <v>654</v>
      </c>
      <c r="BN46" s="113">
        <v>0</v>
      </c>
      <c r="BO46" s="113">
        <v>0</v>
      </c>
      <c r="BP46" s="113">
        <v>0</v>
      </c>
      <c r="BQ46" s="113">
        <v>-2221</v>
      </c>
      <c r="BR46" s="113">
        <v>-980</v>
      </c>
      <c r="BS46" s="113">
        <v>0</v>
      </c>
      <c r="BT46" s="113">
        <v>0</v>
      </c>
      <c r="BU46" s="113">
        <v>-2424</v>
      </c>
      <c r="BV46" s="113">
        <v>-475</v>
      </c>
      <c r="BW46" s="113">
        <v>-140</v>
      </c>
      <c r="BX46" s="113">
        <v>17</v>
      </c>
      <c r="BY46" s="113">
        <v>218</v>
      </c>
      <c r="BZ46" s="113">
        <v>245</v>
      </c>
      <c r="CA46" s="113">
        <v>310</v>
      </c>
      <c r="CB46" s="113">
        <v>419</v>
      </c>
      <c r="CC46" s="113">
        <v>589</v>
      </c>
      <c r="CD46" s="113">
        <v>38</v>
      </c>
      <c r="CE46" s="113">
        <v>97</v>
      </c>
      <c r="CF46" s="113">
        <v>78</v>
      </c>
      <c r="CG46" s="113">
        <v>441</v>
      </c>
      <c r="CH46" s="113">
        <v>132</v>
      </c>
      <c r="CI46" s="113">
        <v>203</v>
      </c>
      <c r="CJ46" s="113">
        <v>67</v>
      </c>
      <c r="CK46" s="113">
        <v>-144</v>
      </c>
      <c r="CL46" s="113">
        <v>363</v>
      </c>
      <c r="CM46" s="113">
        <v>103</v>
      </c>
      <c r="CN46" s="113">
        <v>39</v>
      </c>
      <c r="CO46" s="113">
        <v>145</v>
      </c>
      <c r="CP46" s="113">
        <v>151</v>
      </c>
      <c r="CQ46" s="113">
        <v>87</v>
      </c>
      <c r="CR46" s="113">
        <v>-13</v>
      </c>
      <c r="CS46" s="113">
        <v>121</v>
      </c>
      <c r="CT46" s="113">
        <v>129</v>
      </c>
      <c r="CU46" s="113">
        <v>270</v>
      </c>
      <c r="CV46" s="113">
        <v>-452</v>
      </c>
      <c r="CW46" s="113">
        <v>-253</v>
      </c>
      <c r="CX46" s="113">
        <v>79</v>
      </c>
      <c r="CY46" s="113">
        <v>99</v>
      </c>
      <c r="CZ46" s="113">
        <v>145</v>
      </c>
      <c r="DA46" s="113">
        <v>37</v>
      </c>
      <c r="DB46" s="113">
        <v>67</v>
      </c>
      <c r="DC46" s="113">
        <v>116</v>
      </c>
      <c r="DD46" s="113">
        <v>0</v>
      </c>
      <c r="DE46" s="113">
        <v>474</v>
      </c>
      <c r="DF46" s="113">
        <v>14</v>
      </c>
      <c r="DG46" s="113">
        <v>236</v>
      </c>
      <c r="DH46" s="113">
        <v>39</v>
      </c>
      <c r="DI46" s="113">
        <v>190</v>
      </c>
      <c r="DJ46" s="113">
        <v>-13</v>
      </c>
      <c r="DK46" s="113">
        <v>58</v>
      </c>
      <c r="DL46" s="113">
        <v>65</v>
      </c>
      <c r="DM46" s="113">
        <v>22</v>
      </c>
      <c r="DN46" s="113">
        <v>-12</v>
      </c>
      <c r="DO46" s="113">
        <v>3</v>
      </c>
      <c r="DP46" s="113">
        <v>91</v>
      </c>
      <c r="DQ46" s="113">
        <v>282</v>
      </c>
      <c r="DR46" s="113">
        <v>85</v>
      </c>
      <c r="DS46" s="113">
        <v>284</v>
      </c>
      <c r="DT46" s="113">
        <v>170</v>
      </c>
      <c r="DU46" s="113">
        <v>158</v>
      </c>
      <c r="DV46" s="113">
        <v>55</v>
      </c>
      <c r="DW46" s="113">
        <v>61</v>
      </c>
      <c r="DX46" s="113">
        <v>54</v>
      </c>
      <c r="DY46" s="113">
        <v>467</v>
      </c>
      <c r="DZ46" s="113">
        <v>385</v>
      </c>
      <c r="EA46" s="113">
        <v>672</v>
      </c>
      <c r="EB46" s="113">
        <v>723</v>
      </c>
      <c r="EC46" s="113">
        <v>609</v>
      </c>
      <c r="ED46" s="113">
        <v>584</v>
      </c>
      <c r="EE46" s="113">
        <v>739</v>
      </c>
      <c r="EF46" s="113">
        <v>499</v>
      </c>
      <c r="EG46" s="113">
        <v>570</v>
      </c>
      <c r="EH46" s="113">
        <v>243</v>
      </c>
      <c r="EI46" s="113">
        <v>94</v>
      </c>
      <c r="EJ46" s="113">
        <v>44</v>
      </c>
      <c r="EK46" s="113">
        <v>267</v>
      </c>
      <c r="EL46" s="113">
        <v>-57</v>
      </c>
      <c r="EM46" s="113">
        <v>162</v>
      </c>
      <c r="EN46" s="113">
        <v>-101</v>
      </c>
    </row>
    <row r="47" spans="1:144">
      <c r="A47" s="103"/>
      <c r="B47" s="113"/>
      <c r="C47" s="113"/>
      <c r="D47" s="113"/>
      <c r="E47" s="113"/>
      <c r="F47" s="113"/>
      <c r="G47" s="113"/>
      <c r="H47" s="113"/>
      <c r="I47" s="113"/>
      <c r="J47" s="113"/>
      <c r="K47" s="113"/>
      <c r="L47" s="113"/>
      <c r="M47" s="113"/>
      <c r="N47" s="113"/>
      <c r="O47" s="113"/>
      <c r="P47" s="113"/>
      <c r="Q47" s="113"/>
      <c r="R47" s="113"/>
      <c r="S47" s="113"/>
      <c r="T47" s="113"/>
      <c r="U47" s="113"/>
      <c r="V47" s="113"/>
      <c r="W47" s="113"/>
      <c r="X47" s="113"/>
      <c r="Y47" s="113"/>
      <c r="Z47" s="113"/>
      <c r="AA47" s="113"/>
      <c r="AB47" s="113"/>
      <c r="AC47" s="113"/>
      <c r="AD47" s="113"/>
      <c r="AE47" s="113"/>
      <c r="AG47" s="103" t="s">
        <v>2083</v>
      </c>
      <c r="AH47" s="113">
        <v>0</v>
      </c>
      <c r="AI47" s="113">
        <v>0</v>
      </c>
      <c r="AJ47" s="113">
        <v>0</v>
      </c>
      <c r="AK47" s="113">
        <v>0</v>
      </c>
      <c r="AL47" s="113">
        <v>0</v>
      </c>
      <c r="AM47" s="113">
        <v>0</v>
      </c>
      <c r="AN47" s="113">
        <v>0</v>
      </c>
      <c r="AO47" s="113">
        <v>0</v>
      </c>
      <c r="AP47" s="113">
        <v>0</v>
      </c>
      <c r="AQ47" s="113">
        <v>0</v>
      </c>
      <c r="AR47" s="113">
        <v>0</v>
      </c>
      <c r="AS47" s="113">
        <v>0</v>
      </c>
      <c r="AT47" s="113">
        <v>0</v>
      </c>
      <c r="AU47" s="113">
        <v>0</v>
      </c>
      <c r="AV47" s="113">
        <v>0</v>
      </c>
      <c r="AW47" s="113">
        <v>0</v>
      </c>
      <c r="AX47" s="113">
        <v>0</v>
      </c>
      <c r="AY47" s="113">
        <v>0</v>
      </c>
      <c r="AZ47" s="113">
        <v>0</v>
      </c>
      <c r="BA47" s="113">
        <v>0</v>
      </c>
      <c r="BB47" s="113">
        <v>0</v>
      </c>
      <c r="BC47" s="113">
        <v>0</v>
      </c>
      <c r="BD47" s="113">
        <v>0</v>
      </c>
      <c r="BE47" s="113">
        <v>0</v>
      </c>
      <c r="BF47" s="113">
        <v>160</v>
      </c>
      <c r="BG47" s="113">
        <v>0</v>
      </c>
      <c r="BH47" s="113">
        <v>0</v>
      </c>
      <c r="BI47" s="113">
        <v>0</v>
      </c>
      <c r="BJ47" s="113">
        <v>0</v>
      </c>
      <c r="BK47" s="113">
        <v>0</v>
      </c>
      <c r="BL47" s="113">
        <v>0</v>
      </c>
      <c r="BM47" s="113">
        <v>0</v>
      </c>
      <c r="BN47" s="113">
        <v>0</v>
      </c>
      <c r="BO47" s="113">
        <v>0</v>
      </c>
      <c r="BP47" s="113">
        <v>0</v>
      </c>
      <c r="BQ47" s="113">
        <v>0</v>
      </c>
      <c r="BR47" s="113">
        <v>0</v>
      </c>
      <c r="BS47" s="113">
        <v>0</v>
      </c>
      <c r="BT47" s="113">
        <v>0</v>
      </c>
      <c r="BU47" s="113">
        <v>0</v>
      </c>
      <c r="BV47" s="113">
        <v>0</v>
      </c>
      <c r="BW47" s="113">
        <v>0</v>
      </c>
      <c r="BX47" s="113">
        <v>0</v>
      </c>
      <c r="BY47" s="113">
        <v>0</v>
      </c>
      <c r="BZ47" s="113">
        <v>0</v>
      </c>
      <c r="CA47" s="113">
        <v>0</v>
      </c>
      <c r="CB47" s="113">
        <v>0</v>
      </c>
      <c r="CC47" s="113">
        <v>0</v>
      </c>
      <c r="CD47" s="113">
        <v>0</v>
      </c>
      <c r="CE47" s="113">
        <v>0</v>
      </c>
      <c r="CF47" s="113">
        <v>0</v>
      </c>
      <c r="CG47" s="113">
        <v>0</v>
      </c>
      <c r="CH47" s="113">
        <v>0</v>
      </c>
      <c r="CI47" s="113">
        <v>0</v>
      </c>
      <c r="CJ47" s="113">
        <v>0</v>
      </c>
      <c r="CK47" s="113">
        <v>0</v>
      </c>
      <c r="CL47" s="113">
        <v>0</v>
      </c>
      <c r="CM47" s="113">
        <v>0</v>
      </c>
      <c r="CN47" s="113">
        <v>0</v>
      </c>
      <c r="CO47" s="113">
        <v>0</v>
      </c>
      <c r="CP47" s="113">
        <v>0</v>
      </c>
      <c r="CQ47" s="113">
        <v>0</v>
      </c>
      <c r="CR47" s="113">
        <v>0</v>
      </c>
      <c r="CS47" s="113">
        <v>0</v>
      </c>
      <c r="CT47" s="113">
        <v>0</v>
      </c>
      <c r="CU47" s="113">
        <v>0</v>
      </c>
      <c r="CV47" s="113">
        <v>0</v>
      </c>
      <c r="CW47" s="113">
        <v>0</v>
      </c>
      <c r="CX47" s="113">
        <v>0</v>
      </c>
      <c r="CY47" s="113">
        <v>0</v>
      </c>
      <c r="CZ47" s="113">
        <v>0</v>
      </c>
      <c r="DA47" s="113">
        <v>0</v>
      </c>
      <c r="DB47" s="113">
        <v>0</v>
      </c>
      <c r="DC47" s="113">
        <v>0</v>
      </c>
      <c r="DD47" s="113">
        <v>0</v>
      </c>
      <c r="DE47" s="113">
        <v>0</v>
      </c>
      <c r="DF47" s="113">
        <v>0</v>
      </c>
      <c r="DG47" s="113">
        <v>0</v>
      </c>
      <c r="DH47" s="113">
        <v>0</v>
      </c>
      <c r="DI47" s="113">
        <v>0</v>
      </c>
      <c r="DJ47" s="113">
        <v>0</v>
      </c>
      <c r="DK47" s="113">
        <v>0</v>
      </c>
      <c r="DL47" s="113">
        <v>0</v>
      </c>
      <c r="DM47" s="113">
        <v>0</v>
      </c>
      <c r="DN47" s="113">
        <v>0</v>
      </c>
      <c r="DO47" s="113">
        <v>0</v>
      </c>
      <c r="DP47" s="113">
        <v>0</v>
      </c>
      <c r="DQ47" s="113">
        <v>0</v>
      </c>
      <c r="DR47" s="113">
        <v>0</v>
      </c>
      <c r="DS47" s="113">
        <v>0</v>
      </c>
      <c r="DT47" s="113">
        <v>0</v>
      </c>
      <c r="DU47" s="113">
        <v>0</v>
      </c>
      <c r="DV47" s="113">
        <v>0</v>
      </c>
      <c r="DW47" s="113">
        <v>0</v>
      </c>
      <c r="DX47" s="113">
        <v>0</v>
      </c>
      <c r="DY47" s="113">
        <v>0</v>
      </c>
      <c r="DZ47" s="113">
        <v>0</v>
      </c>
      <c r="EA47" s="113">
        <v>0</v>
      </c>
      <c r="EB47" s="113">
        <v>0</v>
      </c>
      <c r="EC47" s="113">
        <v>0</v>
      </c>
      <c r="ED47" s="113">
        <v>0</v>
      </c>
      <c r="EE47" s="113">
        <v>0</v>
      </c>
      <c r="EF47" s="113">
        <v>0</v>
      </c>
      <c r="EG47" s="113">
        <v>0</v>
      </c>
      <c r="EH47" s="113">
        <v>0</v>
      </c>
      <c r="EI47" s="113">
        <v>0</v>
      </c>
      <c r="EJ47" s="113">
        <v>0</v>
      </c>
      <c r="EK47" s="113">
        <v>0</v>
      </c>
      <c r="EL47" s="113">
        <v>0</v>
      </c>
      <c r="EM47" s="113">
        <v>0</v>
      </c>
      <c r="EN47" s="113">
        <v>0</v>
      </c>
    </row>
    <row r="48" spans="1:144">
      <c r="A48" s="103" t="s">
        <v>2084</v>
      </c>
      <c r="B48" s="113">
        <v>0</v>
      </c>
      <c r="C48" s="113">
        <v>0</v>
      </c>
      <c r="D48" s="113">
        <v>0</v>
      </c>
      <c r="E48" s="113">
        <v>0</v>
      </c>
      <c r="F48" s="113">
        <v>0</v>
      </c>
      <c r="G48" s="113">
        <v>0</v>
      </c>
      <c r="H48" s="113">
        <v>0</v>
      </c>
      <c r="I48" s="113">
        <v>0</v>
      </c>
      <c r="J48" s="113">
        <v>0</v>
      </c>
      <c r="K48" s="113">
        <v>0</v>
      </c>
      <c r="L48" s="113">
        <v>0</v>
      </c>
      <c r="M48" s="113">
        <v>0</v>
      </c>
      <c r="N48" s="113">
        <v>0</v>
      </c>
      <c r="O48" s="113">
        <v>0</v>
      </c>
      <c r="P48" s="113">
        <v>0</v>
      </c>
      <c r="Q48" s="113">
        <v>0</v>
      </c>
      <c r="R48" s="113">
        <v>0</v>
      </c>
      <c r="S48" s="113">
        <v>0</v>
      </c>
      <c r="T48" s="113">
        <v>0</v>
      </c>
      <c r="U48" s="113">
        <v>0</v>
      </c>
      <c r="V48" s="113">
        <v>0</v>
      </c>
      <c r="W48" s="113">
        <v>0</v>
      </c>
      <c r="X48" s="113">
        <v>0</v>
      </c>
      <c r="Y48" s="113">
        <v>0</v>
      </c>
      <c r="Z48" s="113">
        <v>-2376</v>
      </c>
      <c r="AA48" s="113">
        <v>-630</v>
      </c>
      <c r="AB48" s="113">
        <v>0</v>
      </c>
      <c r="AC48" s="113">
        <v>0</v>
      </c>
      <c r="AD48" s="113">
        <v>0</v>
      </c>
      <c r="AE48" s="113">
        <v>0</v>
      </c>
      <c r="AG48" s="103" t="s">
        <v>2084</v>
      </c>
      <c r="AH48" s="113">
        <v>0</v>
      </c>
      <c r="AI48" s="113">
        <v>0</v>
      </c>
      <c r="AJ48" s="113">
        <v>0</v>
      </c>
      <c r="AK48" s="113">
        <v>0</v>
      </c>
      <c r="AL48" s="113">
        <v>0</v>
      </c>
      <c r="AM48" s="113">
        <v>0</v>
      </c>
      <c r="AN48" s="113">
        <v>0</v>
      </c>
      <c r="AO48" s="113">
        <v>0</v>
      </c>
      <c r="AP48" s="113">
        <v>0</v>
      </c>
      <c r="AQ48" s="113">
        <v>0</v>
      </c>
      <c r="AR48" s="113">
        <v>0</v>
      </c>
      <c r="AS48" s="113">
        <v>0</v>
      </c>
      <c r="AT48" s="113">
        <v>0</v>
      </c>
      <c r="AU48" s="113">
        <v>0</v>
      </c>
      <c r="AV48" s="113">
        <v>0</v>
      </c>
      <c r="AW48" s="113">
        <v>0</v>
      </c>
      <c r="AX48" s="113">
        <v>0</v>
      </c>
      <c r="AY48" s="113">
        <v>0</v>
      </c>
      <c r="AZ48" s="113">
        <v>0</v>
      </c>
      <c r="BA48" s="113">
        <v>0</v>
      </c>
      <c r="BB48" s="113">
        <v>0</v>
      </c>
      <c r="BC48" s="113">
        <v>0</v>
      </c>
      <c r="BD48" s="113">
        <v>0</v>
      </c>
      <c r="BE48" s="113">
        <v>0</v>
      </c>
      <c r="BF48" s="113">
        <v>0</v>
      </c>
      <c r="BG48" s="113">
        <v>0</v>
      </c>
      <c r="BH48" s="113">
        <v>0</v>
      </c>
      <c r="BI48" s="113">
        <v>0</v>
      </c>
      <c r="BJ48" s="113">
        <v>0</v>
      </c>
      <c r="BK48" s="113">
        <v>0</v>
      </c>
      <c r="BL48" s="113">
        <v>0</v>
      </c>
      <c r="BM48" s="113">
        <v>0</v>
      </c>
      <c r="BN48" s="113">
        <v>0</v>
      </c>
      <c r="BO48" s="113">
        <v>0</v>
      </c>
      <c r="BP48" s="113">
        <v>0</v>
      </c>
      <c r="BQ48" s="113">
        <v>0</v>
      </c>
      <c r="BR48" s="113">
        <v>0</v>
      </c>
      <c r="BS48" s="113">
        <v>0</v>
      </c>
      <c r="BT48" s="113">
        <v>0</v>
      </c>
      <c r="BU48" s="113">
        <v>0</v>
      </c>
      <c r="BV48" s="113">
        <v>0</v>
      </c>
      <c r="BW48" s="113">
        <v>0</v>
      </c>
      <c r="BX48" s="113">
        <v>0</v>
      </c>
      <c r="BY48" s="113">
        <v>0</v>
      </c>
      <c r="BZ48" s="113">
        <v>0</v>
      </c>
      <c r="CA48" s="113">
        <v>0</v>
      </c>
      <c r="CB48" s="113">
        <v>0</v>
      </c>
      <c r="CC48" s="113">
        <v>0</v>
      </c>
      <c r="CD48" s="113">
        <v>0</v>
      </c>
      <c r="CE48" s="113">
        <v>0</v>
      </c>
      <c r="CF48" s="113">
        <v>0</v>
      </c>
      <c r="CG48" s="113">
        <v>0</v>
      </c>
      <c r="CH48" s="113">
        <v>0</v>
      </c>
      <c r="CI48" s="113">
        <v>0</v>
      </c>
      <c r="CJ48" s="113">
        <v>0</v>
      </c>
      <c r="CK48" s="113">
        <v>0</v>
      </c>
      <c r="CL48" s="113">
        <v>0</v>
      </c>
      <c r="CM48" s="113">
        <v>0</v>
      </c>
      <c r="CN48" s="113">
        <v>0</v>
      </c>
      <c r="CO48" s="113">
        <v>0</v>
      </c>
      <c r="CP48" s="113">
        <v>0</v>
      </c>
      <c r="CQ48" s="113">
        <v>0</v>
      </c>
      <c r="CR48" s="113">
        <v>0</v>
      </c>
      <c r="CS48" s="113">
        <v>0</v>
      </c>
      <c r="CT48" s="113">
        <v>0</v>
      </c>
      <c r="CU48" s="113">
        <v>0</v>
      </c>
      <c r="CV48" s="113">
        <v>0</v>
      </c>
      <c r="CW48" s="113">
        <v>0</v>
      </c>
      <c r="CX48" s="113">
        <v>0</v>
      </c>
      <c r="CY48" s="113">
        <v>0</v>
      </c>
      <c r="CZ48" s="113">
        <v>0</v>
      </c>
      <c r="DA48" s="113">
        <v>0</v>
      </c>
      <c r="DB48" s="113">
        <v>0</v>
      </c>
      <c r="DC48" s="113">
        <v>0</v>
      </c>
      <c r="DD48" s="113">
        <v>0</v>
      </c>
      <c r="DE48" s="113">
        <v>0</v>
      </c>
      <c r="DF48" s="113">
        <v>0</v>
      </c>
      <c r="DG48" s="113">
        <v>0</v>
      </c>
      <c r="DH48" s="113">
        <v>0</v>
      </c>
      <c r="DI48" s="113">
        <v>0</v>
      </c>
      <c r="DJ48" s="113">
        <v>0</v>
      </c>
      <c r="DK48" s="113">
        <v>0</v>
      </c>
      <c r="DL48" s="113">
        <v>0</v>
      </c>
      <c r="DM48" s="113">
        <v>0</v>
      </c>
      <c r="DN48" s="113">
        <v>0</v>
      </c>
      <c r="DO48" s="113">
        <v>0</v>
      </c>
      <c r="DP48" s="113">
        <v>0</v>
      </c>
      <c r="DQ48" s="113">
        <v>0</v>
      </c>
      <c r="DR48" s="113">
        <v>-140</v>
      </c>
      <c r="DS48" s="113">
        <v>0</v>
      </c>
      <c r="DT48" s="113">
        <v>-92</v>
      </c>
      <c r="DU48" s="113">
        <v>-2138</v>
      </c>
      <c r="DV48" s="113">
        <v>0</v>
      </c>
      <c r="DW48" s="113">
        <v>0</v>
      </c>
      <c r="DX48" s="113">
        <v>0</v>
      </c>
      <c r="DY48" s="113">
        <v>-630</v>
      </c>
      <c r="DZ48" s="113">
        <v>0</v>
      </c>
      <c r="EA48" s="113">
        <v>0</v>
      </c>
      <c r="EB48" s="113">
        <v>0</v>
      </c>
      <c r="EC48" s="113">
        <v>0</v>
      </c>
      <c r="ED48" s="113">
        <v>0</v>
      </c>
      <c r="EE48" s="113">
        <v>0</v>
      </c>
      <c r="EF48" s="113">
        <v>0</v>
      </c>
      <c r="EG48" s="113">
        <v>0</v>
      </c>
      <c r="EH48" s="113">
        <v>0</v>
      </c>
      <c r="EI48" s="113">
        <v>0</v>
      </c>
      <c r="EJ48" s="113">
        <v>0</v>
      </c>
      <c r="EK48" s="113">
        <v>0</v>
      </c>
      <c r="EL48" s="113">
        <v>0</v>
      </c>
      <c r="EM48" s="113">
        <v>0</v>
      </c>
      <c r="EN48" s="113">
        <v>0</v>
      </c>
    </row>
    <row r="49" spans="1:144">
      <c r="A49" s="103" t="s">
        <v>2085</v>
      </c>
      <c r="B49" s="113">
        <v>0</v>
      </c>
      <c r="C49" s="113">
        <v>0</v>
      </c>
      <c r="D49" s="113">
        <v>0</v>
      </c>
      <c r="E49" s="113">
        <v>0</v>
      </c>
      <c r="F49" s="113">
        <v>0</v>
      </c>
      <c r="G49" s="113">
        <v>0</v>
      </c>
      <c r="H49" s="113">
        <v>0</v>
      </c>
      <c r="I49" s="113">
        <v>-296</v>
      </c>
      <c r="J49" s="113">
        <v>0</v>
      </c>
      <c r="K49" s="113">
        <v>0</v>
      </c>
      <c r="L49" s="113">
        <v>0</v>
      </c>
      <c r="M49" s="113">
        <v>0</v>
      </c>
      <c r="N49" s="113">
        <v>0</v>
      </c>
      <c r="O49" s="113">
        <v>0</v>
      </c>
      <c r="P49" s="113">
        <v>0</v>
      </c>
      <c r="Q49" s="113">
        <v>0</v>
      </c>
      <c r="R49" s="113">
        <v>0</v>
      </c>
      <c r="S49" s="113">
        <v>0</v>
      </c>
      <c r="T49" s="113">
        <v>0</v>
      </c>
      <c r="U49" s="113">
        <v>0</v>
      </c>
      <c r="V49" s="113">
        <v>0</v>
      </c>
      <c r="W49" s="113">
        <v>0</v>
      </c>
      <c r="X49" s="113">
        <v>0</v>
      </c>
      <c r="Y49" s="113">
        <v>0</v>
      </c>
      <c r="Z49" s="113">
        <v>0</v>
      </c>
      <c r="AA49" s="113">
        <v>0</v>
      </c>
      <c r="AB49" s="113">
        <v>0</v>
      </c>
      <c r="AC49" s="113">
        <v>0</v>
      </c>
      <c r="AD49" s="113">
        <v>0</v>
      </c>
      <c r="AE49" s="113">
        <v>0</v>
      </c>
      <c r="AG49" s="103" t="s">
        <v>2085</v>
      </c>
      <c r="AH49" s="113">
        <v>0</v>
      </c>
      <c r="AI49" s="113">
        <v>0</v>
      </c>
      <c r="AJ49" s="113">
        <v>0</v>
      </c>
      <c r="AK49" s="113">
        <v>0</v>
      </c>
      <c r="AL49" s="113">
        <v>0</v>
      </c>
      <c r="AM49" s="113">
        <v>0</v>
      </c>
      <c r="AN49" s="113">
        <v>0</v>
      </c>
      <c r="AO49" s="113">
        <v>0</v>
      </c>
      <c r="AP49" s="113">
        <v>0</v>
      </c>
      <c r="AQ49" s="113">
        <v>0</v>
      </c>
      <c r="AR49" s="113">
        <v>0</v>
      </c>
      <c r="AS49" s="113">
        <v>0</v>
      </c>
      <c r="AT49" s="113">
        <v>0</v>
      </c>
      <c r="AU49" s="113">
        <v>0</v>
      </c>
      <c r="AV49" s="113">
        <v>0</v>
      </c>
      <c r="AW49" s="113">
        <v>0</v>
      </c>
      <c r="AX49" s="113">
        <v>0</v>
      </c>
      <c r="AY49" s="113">
        <v>0</v>
      </c>
      <c r="AZ49" s="113">
        <v>0</v>
      </c>
      <c r="BA49" s="113">
        <v>0</v>
      </c>
      <c r="BB49" s="113">
        <v>-296</v>
      </c>
      <c r="BC49" s="113">
        <v>0</v>
      </c>
      <c r="BD49" s="113">
        <v>0</v>
      </c>
      <c r="BE49" s="113">
        <v>0</v>
      </c>
      <c r="BF49" s="113">
        <v>0</v>
      </c>
      <c r="BG49" s="113">
        <v>0</v>
      </c>
      <c r="BH49" s="113">
        <v>0</v>
      </c>
      <c r="BI49" s="113">
        <v>0</v>
      </c>
      <c r="BJ49" s="113">
        <v>0</v>
      </c>
      <c r="BK49" s="113">
        <v>0</v>
      </c>
      <c r="BL49" s="113">
        <v>0</v>
      </c>
      <c r="BM49" s="113">
        <v>0</v>
      </c>
      <c r="BN49" s="113">
        <v>0</v>
      </c>
      <c r="BO49" s="113">
        <v>0</v>
      </c>
      <c r="BP49" s="113">
        <v>0</v>
      </c>
      <c r="BQ49" s="113">
        <v>0</v>
      </c>
      <c r="BR49" s="113">
        <v>0</v>
      </c>
      <c r="BS49" s="113">
        <v>0</v>
      </c>
      <c r="BT49" s="113">
        <v>0</v>
      </c>
      <c r="BU49" s="113">
        <v>0</v>
      </c>
      <c r="BV49" s="113">
        <v>0</v>
      </c>
      <c r="BW49" s="113">
        <v>0</v>
      </c>
      <c r="BX49" s="113">
        <v>0</v>
      </c>
      <c r="BY49" s="113">
        <v>0</v>
      </c>
      <c r="BZ49" s="113">
        <v>0</v>
      </c>
      <c r="CA49" s="113">
        <v>0</v>
      </c>
      <c r="CB49" s="113">
        <v>0</v>
      </c>
      <c r="CC49" s="113">
        <v>0</v>
      </c>
      <c r="CD49" s="113">
        <v>0</v>
      </c>
      <c r="CE49" s="113">
        <v>0</v>
      </c>
      <c r="CF49" s="113">
        <v>0</v>
      </c>
      <c r="CG49" s="113">
        <v>0</v>
      </c>
      <c r="CH49" s="113">
        <v>0</v>
      </c>
      <c r="CI49" s="113">
        <v>0</v>
      </c>
      <c r="CJ49" s="113">
        <v>0</v>
      </c>
      <c r="CK49" s="113">
        <v>0</v>
      </c>
      <c r="CL49" s="113">
        <v>0</v>
      </c>
      <c r="CM49" s="113">
        <v>0</v>
      </c>
      <c r="CN49" s="113">
        <v>0</v>
      </c>
      <c r="CO49" s="113">
        <v>0</v>
      </c>
      <c r="CP49" s="113">
        <v>0</v>
      </c>
      <c r="CQ49" s="113">
        <v>0</v>
      </c>
      <c r="CR49" s="113">
        <v>0</v>
      </c>
      <c r="CS49" s="113">
        <v>-59</v>
      </c>
      <c r="CT49" s="113">
        <v>0</v>
      </c>
      <c r="CU49" s="113">
        <v>0</v>
      </c>
      <c r="CV49" s="113">
        <v>0</v>
      </c>
      <c r="CW49" s="113">
        <v>0</v>
      </c>
      <c r="CX49" s="113">
        <v>0</v>
      </c>
      <c r="CY49" s="113">
        <v>0</v>
      </c>
      <c r="CZ49" s="113">
        <v>0</v>
      </c>
      <c r="DA49" s="113">
        <v>0</v>
      </c>
      <c r="DB49" s="113">
        <v>0</v>
      </c>
      <c r="DC49" s="113">
        <v>0</v>
      </c>
      <c r="DD49" s="113">
        <v>0</v>
      </c>
      <c r="DE49" s="113">
        <v>0</v>
      </c>
      <c r="DF49" s="113">
        <v>0</v>
      </c>
      <c r="DG49" s="113">
        <v>0</v>
      </c>
      <c r="DH49" s="113">
        <v>0</v>
      </c>
      <c r="DI49" s="113">
        <v>0</v>
      </c>
      <c r="DJ49" s="113">
        <v>0</v>
      </c>
      <c r="DK49" s="113">
        <v>0</v>
      </c>
      <c r="DL49" s="113">
        <v>0</v>
      </c>
      <c r="DM49" s="113">
        <v>0</v>
      </c>
      <c r="DN49" s="113">
        <v>0</v>
      </c>
      <c r="DO49" s="113">
        <v>0</v>
      </c>
      <c r="DP49" s="113">
        <v>0</v>
      </c>
      <c r="DQ49" s="113">
        <v>0</v>
      </c>
      <c r="DR49" s="113">
        <v>0</v>
      </c>
      <c r="DS49" s="113">
        <v>0</v>
      </c>
      <c r="DT49" s="113">
        <v>0</v>
      </c>
      <c r="DU49" s="113">
        <v>0</v>
      </c>
      <c r="DV49" s="113">
        <v>0</v>
      </c>
      <c r="DW49" s="113">
        <v>0</v>
      </c>
      <c r="DX49" s="113">
        <v>0</v>
      </c>
      <c r="DY49" s="113">
        <v>0</v>
      </c>
      <c r="DZ49" s="113">
        <v>0</v>
      </c>
      <c r="EA49" s="113">
        <v>0</v>
      </c>
      <c r="EB49" s="113">
        <v>0</v>
      </c>
      <c r="EC49" s="113">
        <v>0</v>
      </c>
      <c r="ED49" s="113">
        <v>0</v>
      </c>
      <c r="EE49" s="113">
        <v>0</v>
      </c>
      <c r="EF49" s="113">
        <v>0</v>
      </c>
      <c r="EG49" s="113">
        <v>0</v>
      </c>
      <c r="EH49" s="113">
        <v>0</v>
      </c>
      <c r="EI49" s="113">
        <v>0</v>
      </c>
      <c r="EJ49" s="113">
        <v>0</v>
      </c>
      <c r="EK49" s="113">
        <v>0</v>
      </c>
      <c r="EL49" s="113">
        <v>0</v>
      </c>
      <c r="EM49" s="113">
        <v>0</v>
      </c>
      <c r="EN49" s="113">
        <v>0</v>
      </c>
    </row>
    <row r="50" spans="1:144">
      <c r="A50" s="103" t="s">
        <v>2086</v>
      </c>
      <c r="B50" s="113">
        <v>0</v>
      </c>
      <c r="C50" s="113">
        <v>0</v>
      </c>
      <c r="D50" s="113">
        <v>0</v>
      </c>
      <c r="E50" s="113">
        <v>-90</v>
      </c>
      <c r="F50" s="113">
        <v>0</v>
      </c>
      <c r="G50" s="113">
        <v>0</v>
      </c>
      <c r="H50" s="113">
        <v>0</v>
      </c>
      <c r="I50" s="113">
        <v>0</v>
      </c>
      <c r="J50" s="113">
        <v>0</v>
      </c>
      <c r="K50" s="113">
        <v>0</v>
      </c>
      <c r="L50" s="113">
        <v>0</v>
      </c>
      <c r="M50" s="113">
        <v>0</v>
      </c>
      <c r="N50" s="113">
        <v>-750</v>
      </c>
      <c r="O50" s="113">
        <v>-2830</v>
      </c>
      <c r="P50" s="113">
        <v>-2310</v>
      </c>
      <c r="Q50" s="113">
        <v>-1300</v>
      </c>
      <c r="R50" s="113">
        <v>-511</v>
      </c>
      <c r="S50" s="113">
        <v>-1800</v>
      </c>
      <c r="T50" s="113">
        <v>0</v>
      </c>
      <c r="U50" s="113">
        <v>0</v>
      </c>
      <c r="V50" s="113">
        <v>0</v>
      </c>
      <c r="W50" s="113">
        <v>0</v>
      </c>
      <c r="X50" s="113">
        <v>-733</v>
      </c>
      <c r="Y50" s="113">
        <v>0</v>
      </c>
      <c r="Z50" s="113">
        <v>0</v>
      </c>
      <c r="AA50" s="113">
        <v>0</v>
      </c>
      <c r="AB50" s="113">
        <v>0</v>
      </c>
      <c r="AC50" s="113">
        <v>0</v>
      </c>
      <c r="AD50" s="113">
        <v>0</v>
      </c>
      <c r="AE50" s="113">
        <v>0</v>
      </c>
      <c r="AG50" s="103" t="s">
        <v>2086</v>
      </c>
      <c r="AH50" s="113">
        <v>0</v>
      </c>
      <c r="AI50" s="113">
        <v>0</v>
      </c>
      <c r="AJ50" s="113">
        <v>0</v>
      </c>
      <c r="AK50" s="113">
        <v>0</v>
      </c>
      <c r="AL50" s="113">
        <v>0</v>
      </c>
      <c r="AM50" s="113">
        <v>0</v>
      </c>
      <c r="AN50" s="113">
        <v>-120</v>
      </c>
      <c r="AO50" s="113">
        <v>30</v>
      </c>
      <c r="AP50" s="113">
        <v>0</v>
      </c>
      <c r="AQ50" s="113">
        <v>0</v>
      </c>
      <c r="AR50" s="113">
        <v>0</v>
      </c>
      <c r="AS50" s="113">
        <v>0</v>
      </c>
      <c r="AT50" s="113">
        <v>0</v>
      </c>
      <c r="AU50" s="113">
        <v>0</v>
      </c>
      <c r="AV50" s="113">
        <v>0</v>
      </c>
      <c r="AW50" s="113">
        <v>0</v>
      </c>
      <c r="AX50" s="113">
        <v>0</v>
      </c>
      <c r="AY50" s="113">
        <v>0</v>
      </c>
      <c r="AZ50" s="113">
        <v>0</v>
      </c>
      <c r="BA50" s="113">
        <v>0</v>
      </c>
      <c r="BB50" s="113">
        <v>0</v>
      </c>
      <c r="BC50" s="113">
        <v>0</v>
      </c>
      <c r="BD50" s="113">
        <v>0</v>
      </c>
      <c r="BE50" s="113">
        <v>0</v>
      </c>
      <c r="BF50" s="113">
        <v>0</v>
      </c>
      <c r="BG50" s="113">
        <v>0</v>
      </c>
      <c r="BH50" s="113">
        <v>0</v>
      </c>
      <c r="BI50" s="113">
        <v>0</v>
      </c>
      <c r="BJ50" s="113">
        <v>0</v>
      </c>
      <c r="BK50" s="113">
        <v>0</v>
      </c>
      <c r="BL50" s="113">
        <v>0</v>
      </c>
      <c r="BM50" s="113">
        <v>0</v>
      </c>
      <c r="BN50" s="113">
        <v>0</v>
      </c>
      <c r="BO50" s="113">
        <v>0</v>
      </c>
      <c r="BP50" s="113">
        <v>0</v>
      </c>
      <c r="BQ50" s="113">
        <v>0</v>
      </c>
      <c r="BR50" s="113">
        <v>0</v>
      </c>
      <c r="BS50" s="113">
        <v>-660</v>
      </c>
      <c r="BT50" s="113">
        <v>0</v>
      </c>
      <c r="BU50" s="113">
        <v>0</v>
      </c>
      <c r="BV50" s="113">
        <v>0</v>
      </c>
      <c r="BW50" s="113">
        <v>-210</v>
      </c>
      <c r="BX50" s="113">
        <v>0</v>
      </c>
      <c r="BY50" s="113">
        <v>-1006</v>
      </c>
      <c r="BZ50" s="113">
        <v>0</v>
      </c>
      <c r="CA50" s="113">
        <v>0</v>
      </c>
      <c r="CB50" s="113">
        <v>-2525</v>
      </c>
      <c r="CC50" s="113">
        <v>0</v>
      </c>
      <c r="CD50" s="113">
        <v>-536</v>
      </c>
      <c r="CE50" s="113">
        <v>0</v>
      </c>
      <c r="CF50" s="113">
        <v>-1385</v>
      </c>
      <c r="CG50" s="113">
        <v>-235</v>
      </c>
      <c r="CH50" s="113">
        <v>-449</v>
      </c>
      <c r="CI50" s="113">
        <v>-66</v>
      </c>
      <c r="CJ50" s="113">
        <v>-397</v>
      </c>
      <c r="CK50" s="113">
        <v>-407</v>
      </c>
      <c r="CL50" s="113">
        <v>-87</v>
      </c>
      <c r="CM50" s="113">
        <v>-111</v>
      </c>
      <c r="CN50" s="113">
        <v>-296</v>
      </c>
      <c r="CO50" s="113">
        <v>-17</v>
      </c>
      <c r="CP50" s="113">
        <v>0</v>
      </c>
      <c r="CQ50" s="113">
        <v>0</v>
      </c>
      <c r="CR50" s="113">
        <v>-1500</v>
      </c>
      <c r="CS50" s="113">
        <v>0</v>
      </c>
      <c r="CT50" s="113">
        <v>0</v>
      </c>
      <c r="CU50" s="113">
        <v>0</v>
      </c>
      <c r="CV50" s="113">
        <v>-57</v>
      </c>
      <c r="CW50" s="113">
        <v>-193</v>
      </c>
      <c r="CX50" s="113">
        <v>0</v>
      </c>
      <c r="CY50" s="113">
        <v>0</v>
      </c>
      <c r="CZ50" s="113">
        <v>0</v>
      </c>
      <c r="DA50" s="113">
        <v>0</v>
      </c>
      <c r="DB50" s="113">
        <v>0</v>
      </c>
      <c r="DC50" s="113">
        <v>0</v>
      </c>
      <c r="DD50" s="113">
        <v>0</v>
      </c>
      <c r="DE50" s="113">
        <v>0</v>
      </c>
      <c r="DF50" s="113">
        <v>0</v>
      </c>
      <c r="DG50" s="113">
        <v>0</v>
      </c>
      <c r="DH50" s="113">
        <v>0</v>
      </c>
      <c r="DI50" s="113">
        <v>0</v>
      </c>
      <c r="DJ50" s="113">
        <v>0</v>
      </c>
      <c r="DK50" s="113">
        <v>0</v>
      </c>
      <c r="DL50" s="113">
        <v>-733</v>
      </c>
      <c r="DM50" s="113">
        <v>0</v>
      </c>
      <c r="DN50" s="113">
        <v>0</v>
      </c>
      <c r="DO50" s="113">
        <v>0</v>
      </c>
      <c r="DP50" s="113">
        <v>0</v>
      </c>
      <c r="DQ50" s="113">
        <v>0</v>
      </c>
      <c r="DR50" s="113">
        <v>0</v>
      </c>
      <c r="DS50" s="113">
        <v>0</v>
      </c>
      <c r="DT50" s="113">
        <v>0</v>
      </c>
      <c r="DU50" s="113">
        <v>0</v>
      </c>
      <c r="DV50" s="113">
        <v>0</v>
      </c>
      <c r="DW50" s="113">
        <v>0</v>
      </c>
      <c r="DX50" s="113">
        <v>0</v>
      </c>
      <c r="DY50" s="113">
        <v>0</v>
      </c>
      <c r="DZ50" s="113">
        <v>0</v>
      </c>
      <c r="EA50" s="113">
        <v>0</v>
      </c>
      <c r="EB50" s="113">
        <v>0</v>
      </c>
      <c r="EC50" s="113">
        <v>0</v>
      </c>
      <c r="ED50" s="113">
        <v>0</v>
      </c>
      <c r="EE50" s="113">
        <v>0</v>
      </c>
      <c r="EF50" s="113">
        <v>0</v>
      </c>
      <c r="EG50" s="113">
        <v>0</v>
      </c>
      <c r="EH50" s="113">
        <v>0</v>
      </c>
      <c r="EI50" s="113">
        <v>0</v>
      </c>
      <c r="EJ50" s="113">
        <v>0</v>
      </c>
      <c r="EK50" s="113">
        <v>0</v>
      </c>
      <c r="EL50" s="113">
        <v>0</v>
      </c>
      <c r="EM50" s="113">
        <v>0</v>
      </c>
      <c r="EN50" s="113">
        <v>0</v>
      </c>
    </row>
    <row r="51" spans="1:144">
      <c r="A51" s="103" t="s">
        <v>2087</v>
      </c>
      <c r="B51" s="113">
        <v>0</v>
      </c>
      <c r="C51" s="113">
        <v>0</v>
      </c>
      <c r="D51" s="113">
        <v>0</v>
      </c>
      <c r="E51" s="113">
        <v>0</v>
      </c>
      <c r="F51" s="113">
        <v>-46</v>
      </c>
      <c r="G51" s="113">
        <v>0</v>
      </c>
      <c r="H51" s="113">
        <v>0</v>
      </c>
      <c r="I51" s="113">
        <v>0</v>
      </c>
      <c r="J51" s="113">
        <v>0</v>
      </c>
      <c r="K51" s="113">
        <v>0</v>
      </c>
      <c r="L51" s="113">
        <v>0</v>
      </c>
      <c r="M51" s="113">
        <v>0</v>
      </c>
      <c r="N51" s="113">
        <v>0</v>
      </c>
      <c r="O51" s="113">
        <v>0</v>
      </c>
      <c r="P51" s="113">
        <v>0</v>
      </c>
      <c r="Q51" s="113">
        <v>0</v>
      </c>
      <c r="R51" s="113">
        <v>0</v>
      </c>
      <c r="S51" s="113">
        <v>0</v>
      </c>
      <c r="T51" s="113">
        <v>0</v>
      </c>
      <c r="U51" s="113">
        <v>0</v>
      </c>
      <c r="V51" s="113">
        <v>0</v>
      </c>
      <c r="W51" s="113">
        <v>0</v>
      </c>
      <c r="X51" s="113">
        <v>0</v>
      </c>
      <c r="Y51" s="113">
        <v>0</v>
      </c>
      <c r="Z51" s="113">
        <v>0</v>
      </c>
      <c r="AA51" s="113">
        <v>0</v>
      </c>
      <c r="AB51" s="113">
        <v>0</v>
      </c>
      <c r="AC51" s="113">
        <v>0</v>
      </c>
      <c r="AD51" s="113">
        <v>0</v>
      </c>
      <c r="AE51" s="113">
        <v>0</v>
      </c>
      <c r="AG51" s="103" t="s">
        <v>2087</v>
      </c>
      <c r="AH51" s="113">
        <v>0</v>
      </c>
      <c r="AI51" s="113">
        <v>0</v>
      </c>
      <c r="AJ51" s="113">
        <v>0</v>
      </c>
      <c r="AK51" s="113">
        <v>0</v>
      </c>
      <c r="AL51" s="113">
        <v>0</v>
      </c>
      <c r="AM51" s="113">
        <v>0</v>
      </c>
      <c r="AN51" s="113">
        <v>0</v>
      </c>
      <c r="AO51" s="113">
        <v>0</v>
      </c>
      <c r="AP51" s="113">
        <v>0</v>
      </c>
      <c r="AQ51" s="113">
        <v>0</v>
      </c>
      <c r="AR51" s="113">
        <v>0</v>
      </c>
      <c r="AS51" s="113">
        <v>-46</v>
      </c>
      <c r="AT51" s="113">
        <v>0</v>
      </c>
      <c r="AU51" s="113">
        <v>0</v>
      </c>
      <c r="AV51" s="113">
        <v>0</v>
      </c>
      <c r="AW51" s="113">
        <v>0</v>
      </c>
      <c r="AX51" s="113">
        <v>0</v>
      </c>
      <c r="AY51" s="113">
        <v>0</v>
      </c>
      <c r="AZ51" s="113">
        <v>0</v>
      </c>
      <c r="BA51" s="113">
        <v>0</v>
      </c>
      <c r="BB51" s="113">
        <v>0</v>
      </c>
      <c r="BC51" s="113">
        <v>0</v>
      </c>
      <c r="BD51" s="113">
        <v>0</v>
      </c>
      <c r="BE51" s="113">
        <v>0</v>
      </c>
      <c r="BF51" s="113">
        <v>0</v>
      </c>
      <c r="BG51" s="113">
        <v>0</v>
      </c>
      <c r="BH51" s="113">
        <v>0</v>
      </c>
      <c r="BI51" s="113">
        <v>0</v>
      </c>
      <c r="BJ51" s="113">
        <v>0</v>
      </c>
      <c r="BK51" s="113">
        <v>0</v>
      </c>
      <c r="BL51" s="113">
        <v>0</v>
      </c>
      <c r="BM51" s="113">
        <v>0</v>
      </c>
      <c r="BN51" s="113">
        <v>0</v>
      </c>
      <c r="BO51" s="113">
        <v>0</v>
      </c>
      <c r="BP51" s="113">
        <v>0</v>
      </c>
      <c r="BQ51" s="113">
        <v>0</v>
      </c>
      <c r="BR51" s="113">
        <v>0</v>
      </c>
      <c r="BS51" s="113">
        <v>0</v>
      </c>
      <c r="BT51" s="113">
        <v>0</v>
      </c>
      <c r="BU51" s="113">
        <v>0</v>
      </c>
      <c r="BV51" s="113">
        <v>0</v>
      </c>
      <c r="BW51" s="113">
        <v>0</v>
      </c>
      <c r="BX51" s="113">
        <v>0</v>
      </c>
      <c r="BY51" s="113">
        <v>0</v>
      </c>
      <c r="BZ51" s="113">
        <v>0</v>
      </c>
      <c r="CA51" s="113">
        <v>0</v>
      </c>
      <c r="CB51" s="113">
        <v>0</v>
      </c>
      <c r="CC51" s="113">
        <v>0</v>
      </c>
      <c r="CD51" s="113">
        <v>0</v>
      </c>
      <c r="CE51" s="113">
        <v>0</v>
      </c>
      <c r="CF51" s="113">
        <v>0</v>
      </c>
      <c r="CG51" s="113">
        <v>0</v>
      </c>
      <c r="CH51" s="113">
        <v>0</v>
      </c>
      <c r="CI51" s="113">
        <v>0</v>
      </c>
      <c r="CJ51" s="113">
        <v>0</v>
      </c>
      <c r="CK51" s="113">
        <v>0</v>
      </c>
      <c r="CL51" s="113">
        <v>0</v>
      </c>
      <c r="CM51" s="113">
        <v>0</v>
      </c>
      <c r="CN51" s="113">
        <v>0</v>
      </c>
      <c r="CO51" s="113">
        <v>0</v>
      </c>
      <c r="CP51" s="113">
        <v>0</v>
      </c>
      <c r="CQ51" s="113">
        <v>0</v>
      </c>
      <c r="CR51" s="113">
        <v>0</v>
      </c>
      <c r="CS51" s="113">
        <v>0</v>
      </c>
      <c r="CT51" s="113">
        <v>0</v>
      </c>
      <c r="CU51" s="113">
        <v>0</v>
      </c>
      <c r="CV51" s="113">
        <v>0</v>
      </c>
      <c r="CW51" s="113">
        <v>0</v>
      </c>
      <c r="CX51" s="113">
        <v>0</v>
      </c>
      <c r="CY51" s="113">
        <v>0</v>
      </c>
      <c r="CZ51" s="113">
        <v>0</v>
      </c>
      <c r="DA51" s="113">
        <v>0</v>
      </c>
      <c r="DB51" s="113">
        <v>0</v>
      </c>
      <c r="DC51" s="113">
        <v>0</v>
      </c>
      <c r="DD51" s="113">
        <v>0</v>
      </c>
      <c r="DE51" s="113">
        <v>0</v>
      </c>
      <c r="DF51" s="113">
        <v>0</v>
      </c>
      <c r="DG51" s="113">
        <v>0</v>
      </c>
      <c r="DH51" s="113">
        <v>0</v>
      </c>
      <c r="DI51" s="113">
        <v>0</v>
      </c>
      <c r="DJ51" s="113">
        <v>0</v>
      </c>
      <c r="DK51" s="113">
        <v>0</v>
      </c>
      <c r="DL51" s="113">
        <v>0</v>
      </c>
      <c r="DM51" s="113">
        <v>0</v>
      </c>
      <c r="DN51" s="113">
        <v>0</v>
      </c>
      <c r="DO51" s="113">
        <v>0</v>
      </c>
      <c r="DP51" s="113">
        <v>0</v>
      </c>
      <c r="DQ51" s="113">
        <v>0</v>
      </c>
      <c r="DR51" s="113">
        <v>0</v>
      </c>
      <c r="DS51" s="113">
        <v>0</v>
      </c>
      <c r="DT51" s="113">
        <v>0</v>
      </c>
      <c r="DU51" s="113">
        <v>0</v>
      </c>
      <c r="DV51" s="113">
        <v>0</v>
      </c>
      <c r="DW51" s="113">
        <v>0</v>
      </c>
      <c r="DX51" s="113">
        <v>0</v>
      </c>
      <c r="DY51" s="113">
        <v>0</v>
      </c>
      <c r="DZ51" s="113">
        <v>0</v>
      </c>
      <c r="EA51" s="113">
        <v>0</v>
      </c>
      <c r="EB51" s="113">
        <v>0</v>
      </c>
      <c r="EC51" s="113">
        <v>0</v>
      </c>
      <c r="ED51" s="113">
        <v>0</v>
      </c>
      <c r="EE51" s="113">
        <v>0</v>
      </c>
      <c r="EF51" s="113">
        <v>0</v>
      </c>
      <c r="EG51" s="113">
        <v>0</v>
      </c>
      <c r="EH51" s="113">
        <v>0</v>
      </c>
      <c r="EI51" s="113">
        <v>0</v>
      </c>
      <c r="EJ51" s="113">
        <v>0</v>
      </c>
      <c r="EK51" s="113">
        <v>0</v>
      </c>
      <c r="EL51" s="113">
        <v>0</v>
      </c>
      <c r="EM51" s="113">
        <v>0</v>
      </c>
      <c r="EN51" s="113">
        <v>0</v>
      </c>
    </row>
    <row r="52" spans="1:144" ht="10.5">
      <c r="A52" s="112" t="s">
        <v>2088</v>
      </c>
      <c r="B52" s="114">
        <v>671</v>
      </c>
      <c r="C52" s="114">
        <v>1041</v>
      </c>
      <c r="D52" s="114">
        <v>1401</v>
      </c>
      <c r="E52" s="114">
        <v>1722</v>
      </c>
      <c r="F52" s="114">
        <v>2167</v>
      </c>
      <c r="G52" s="114">
        <v>3379</v>
      </c>
      <c r="H52" s="114">
        <v>5314</v>
      </c>
      <c r="I52" s="114">
        <v>7117</v>
      </c>
      <c r="J52" s="114">
        <v>11891</v>
      </c>
      <c r="K52" s="114">
        <v>14275</v>
      </c>
      <c r="L52" s="114">
        <v>11525</v>
      </c>
      <c r="M52" s="114">
        <v>7875</v>
      </c>
      <c r="N52" s="114">
        <v>11054</v>
      </c>
      <c r="O52" s="114">
        <v>12196</v>
      </c>
      <c r="P52" s="114">
        <v>16628</v>
      </c>
      <c r="Q52" s="114">
        <v>18262</v>
      </c>
      <c r="R52" s="114">
        <v>20101</v>
      </c>
      <c r="S52" s="114">
        <v>23814</v>
      </c>
      <c r="T52" s="114">
        <v>19821</v>
      </c>
      <c r="U52" s="114">
        <v>25013</v>
      </c>
      <c r="V52" s="114">
        <v>28071</v>
      </c>
      <c r="W52" s="114">
        <v>22267</v>
      </c>
      <c r="X52" s="114">
        <v>27052</v>
      </c>
      <c r="Y52" s="114">
        <v>27820</v>
      </c>
      <c r="Z52" s="114">
        <v>18507</v>
      </c>
      <c r="AA52" s="114">
        <v>25639</v>
      </c>
      <c r="AB52" s="114">
        <v>29901</v>
      </c>
      <c r="AC52" s="114">
        <v>36474</v>
      </c>
      <c r="AD52" s="114">
        <v>43688</v>
      </c>
      <c r="AE52" s="114">
        <v>52210</v>
      </c>
      <c r="AG52" s="112" t="s">
        <v>2088</v>
      </c>
      <c r="AH52" s="114">
        <v>327</v>
      </c>
      <c r="AI52" s="114">
        <v>347</v>
      </c>
      <c r="AJ52" s="114">
        <v>357</v>
      </c>
      <c r="AK52" s="114">
        <v>390</v>
      </c>
      <c r="AL52" s="114">
        <v>362</v>
      </c>
      <c r="AM52" s="114">
        <v>438</v>
      </c>
      <c r="AN52" s="114">
        <v>382</v>
      </c>
      <c r="AO52" s="114">
        <v>540</v>
      </c>
      <c r="AP52" s="114">
        <v>471</v>
      </c>
      <c r="AQ52" s="114">
        <v>557</v>
      </c>
      <c r="AR52" s="114">
        <v>592</v>
      </c>
      <c r="AS52" s="114">
        <v>547</v>
      </c>
      <c r="AT52" s="114">
        <v>770</v>
      </c>
      <c r="AU52" s="114">
        <v>885</v>
      </c>
      <c r="AV52" s="114">
        <v>864</v>
      </c>
      <c r="AW52" s="114">
        <v>860</v>
      </c>
      <c r="AX52" s="114">
        <v>945</v>
      </c>
      <c r="AY52" s="114">
        <v>1140</v>
      </c>
      <c r="AZ52" s="114">
        <v>1603</v>
      </c>
      <c r="BA52" s="114">
        <v>1626</v>
      </c>
      <c r="BB52" s="114">
        <v>1202</v>
      </c>
      <c r="BC52" s="114">
        <v>1770</v>
      </c>
      <c r="BD52" s="114">
        <v>2057</v>
      </c>
      <c r="BE52" s="114">
        <v>2088</v>
      </c>
      <c r="BF52" s="114">
        <v>2503</v>
      </c>
      <c r="BG52" s="114">
        <v>3051</v>
      </c>
      <c r="BH52" s="114">
        <v>2949</v>
      </c>
      <c r="BI52" s="114">
        <v>3388</v>
      </c>
      <c r="BJ52" s="114">
        <v>3320</v>
      </c>
      <c r="BK52" s="114">
        <v>3691</v>
      </c>
      <c r="BL52" s="114">
        <v>3613</v>
      </c>
      <c r="BM52" s="114">
        <v>3651</v>
      </c>
      <c r="BN52" s="114">
        <v>3852</v>
      </c>
      <c r="BO52" s="114">
        <v>3917</v>
      </c>
      <c r="BP52" s="114">
        <v>3658</v>
      </c>
      <c r="BQ52" s="114">
        <v>98</v>
      </c>
      <c r="BR52" s="114">
        <v>1887</v>
      </c>
      <c r="BS52" s="114">
        <v>3357</v>
      </c>
      <c r="BT52" s="114">
        <v>4026</v>
      </c>
      <c r="BU52" s="114">
        <v>2243</v>
      </c>
      <c r="BV52" s="114">
        <v>3047</v>
      </c>
      <c r="BW52" s="114">
        <v>2596</v>
      </c>
      <c r="BX52" s="114">
        <v>3197</v>
      </c>
      <c r="BY52" s="114">
        <v>2214</v>
      </c>
      <c r="BZ52" s="114">
        <v>3901</v>
      </c>
      <c r="CA52" s="114">
        <v>2312</v>
      </c>
      <c r="CB52" s="114">
        <v>2279</v>
      </c>
      <c r="CC52" s="114">
        <v>3704</v>
      </c>
      <c r="CD52" s="114">
        <v>3773</v>
      </c>
      <c r="CE52" s="114">
        <v>5169</v>
      </c>
      <c r="CF52" s="114">
        <v>3825</v>
      </c>
      <c r="CG52" s="114">
        <v>3861</v>
      </c>
      <c r="CH52" s="114">
        <v>4552</v>
      </c>
      <c r="CI52" s="114">
        <v>5137</v>
      </c>
      <c r="CJ52" s="114">
        <v>4315</v>
      </c>
      <c r="CK52" s="114">
        <v>4258</v>
      </c>
      <c r="CL52" s="114">
        <v>5041</v>
      </c>
      <c r="CM52" s="114">
        <v>3805</v>
      </c>
      <c r="CN52" s="114">
        <v>6971</v>
      </c>
      <c r="CO52" s="114">
        <v>4284</v>
      </c>
      <c r="CP52" s="114">
        <v>6216</v>
      </c>
      <c r="CQ52" s="114">
        <v>6820</v>
      </c>
      <c r="CR52" s="114">
        <v>4810</v>
      </c>
      <c r="CS52" s="114">
        <v>5968</v>
      </c>
      <c r="CT52" s="114">
        <v>5991</v>
      </c>
      <c r="CU52" s="114">
        <v>5638</v>
      </c>
      <c r="CV52" s="114">
        <v>4050</v>
      </c>
      <c r="CW52" s="114">
        <v>4142</v>
      </c>
      <c r="CX52" s="114">
        <v>4765</v>
      </c>
      <c r="CY52" s="114">
        <v>8883</v>
      </c>
      <c r="CZ52" s="114">
        <v>5341</v>
      </c>
      <c r="DA52" s="114">
        <v>6024</v>
      </c>
      <c r="DB52" s="114">
        <v>7230</v>
      </c>
      <c r="DC52" s="114">
        <v>8497</v>
      </c>
      <c r="DD52" s="114">
        <v>6025</v>
      </c>
      <c r="DE52" s="114">
        <v>6319</v>
      </c>
      <c r="DF52" s="114">
        <v>7306</v>
      </c>
      <c r="DG52" s="114">
        <v>8239</v>
      </c>
      <c r="DH52" s="114">
        <v>6363</v>
      </c>
      <c r="DI52" s="114">
        <v>359</v>
      </c>
      <c r="DJ52" s="114">
        <v>5534</v>
      </c>
      <c r="DK52" s="114">
        <v>7770</v>
      </c>
      <c r="DL52" s="114">
        <v>7603</v>
      </c>
      <c r="DM52" s="114">
        <v>6145</v>
      </c>
      <c r="DN52" s="114">
        <v>6408</v>
      </c>
      <c r="DO52" s="114">
        <v>7878</v>
      </c>
      <c r="DP52" s="114">
        <v>6957</v>
      </c>
      <c r="DQ52" s="114">
        <v>6577</v>
      </c>
      <c r="DR52" s="114">
        <v>5896</v>
      </c>
      <c r="DS52" s="114">
        <v>7850</v>
      </c>
      <c r="DT52" s="114">
        <v>6517</v>
      </c>
      <c r="DU52" s="114">
        <v>-1756</v>
      </c>
      <c r="DV52" s="114">
        <v>5513</v>
      </c>
      <c r="DW52" s="114">
        <v>5855</v>
      </c>
      <c r="DX52" s="114">
        <v>5036</v>
      </c>
      <c r="DY52" s="114">
        <v>3347</v>
      </c>
      <c r="DZ52" s="114">
        <v>6827</v>
      </c>
      <c r="EA52" s="114">
        <v>8022</v>
      </c>
      <c r="EB52" s="114">
        <v>7094</v>
      </c>
      <c r="EC52" s="114">
        <v>7958</v>
      </c>
      <c r="ED52" s="114">
        <v>7984</v>
      </c>
      <c r="EE52" s="114">
        <v>9169</v>
      </c>
      <c r="EF52" s="114">
        <v>8641</v>
      </c>
      <c r="EG52" s="114">
        <v>10680</v>
      </c>
      <c r="EH52" s="114">
        <v>10221</v>
      </c>
      <c r="EI52" s="114">
        <v>10385</v>
      </c>
      <c r="EJ52" s="114">
        <v>10486</v>
      </c>
      <c r="EK52" s="114">
        <v>12596</v>
      </c>
      <c r="EL52" s="114">
        <v>12686</v>
      </c>
      <c r="EM52" s="114">
        <v>14085</v>
      </c>
      <c r="EN52" s="114">
        <v>12843</v>
      </c>
    </row>
    <row r="53" spans="1:144">
      <c r="A53" s="103"/>
      <c r="B53" s="103"/>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3"/>
      <c r="BL53" s="103"/>
      <c r="BM53" s="103"/>
      <c r="BN53" s="103"/>
      <c r="BO53" s="103"/>
      <c r="BP53" s="103"/>
      <c r="BQ53" s="103"/>
      <c r="BR53" s="103"/>
      <c r="BS53" s="103"/>
      <c r="BT53" s="103"/>
      <c r="BU53" s="103"/>
      <c r="BV53" s="103"/>
      <c r="BW53" s="103"/>
      <c r="BX53" s="103"/>
      <c r="BY53" s="103"/>
      <c r="BZ53" s="103"/>
      <c r="CA53" s="103"/>
      <c r="CB53" s="103"/>
      <c r="CC53" s="103"/>
      <c r="CD53" s="103"/>
      <c r="CE53" s="103"/>
      <c r="CF53" s="103"/>
      <c r="CG53" s="103"/>
      <c r="CH53" s="103"/>
      <c r="CI53" s="103"/>
      <c r="CJ53" s="103"/>
      <c r="CK53" s="103"/>
      <c r="CL53" s="103"/>
      <c r="CM53" s="103"/>
      <c r="CN53" s="103"/>
      <c r="CO53" s="103"/>
      <c r="CP53" s="103"/>
      <c r="CQ53" s="103"/>
      <c r="CR53" s="103"/>
      <c r="CS53" s="103"/>
      <c r="CT53" s="103"/>
      <c r="CU53" s="103"/>
      <c r="CV53" s="103"/>
      <c r="CW53" s="103"/>
      <c r="CX53" s="103"/>
      <c r="CY53" s="103"/>
      <c r="CZ53" s="103"/>
      <c r="DA53" s="103"/>
      <c r="DB53" s="103"/>
      <c r="DC53" s="103"/>
      <c r="DD53" s="103"/>
      <c r="DE53" s="103"/>
      <c r="DF53" s="103"/>
      <c r="DG53" s="103"/>
      <c r="DH53" s="103"/>
      <c r="DI53" s="103"/>
      <c r="DJ53" s="103"/>
      <c r="DK53" s="103"/>
      <c r="DL53" s="103"/>
      <c r="DM53" s="103"/>
      <c r="DN53" s="103"/>
      <c r="DO53" s="103"/>
      <c r="DP53" s="103"/>
      <c r="DQ53" s="103"/>
      <c r="DR53" s="103"/>
      <c r="DS53" s="103"/>
      <c r="DT53" s="103"/>
      <c r="DU53" s="103"/>
      <c r="DV53" s="103"/>
      <c r="DW53" s="103"/>
      <c r="DX53" s="103"/>
      <c r="DY53" s="103"/>
      <c r="DZ53" s="103"/>
      <c r="EA53" s="103"/>
      <c r="EB53" s="103"/>
      <c r="EC53" s="103"/>
      <c r="ED53" s="103"/>
      <c r="EE53" s="103"/>
      <c r="EF53" s="103"/>
      <c r="EG53" s="103"/>
      <c r="EH53" s="103"/>
      <c r="EI53" s="103"/>
      <c r="EJ53" s="103"/>
      <c r="EK53" s="103"/>
      <c r="EL53" s="103"/>
      <c r="EM53" s="103"/>
      <c r="EN53" s="103"/>
    </row>
    <row r="54" spans="1:144">
      <c r="A54" s="103" t="s">
        <v>2089</v>
      </c>
      <c r="B54" s="113">
        <v>208</v>
      </c>
      <c r="C54" s="113">
        <v>333</v>
      </c>
      <c r="D54" s="113">
        <v>448</v>
      </c>
      <c r="E54" s="113">
        <v>576</v>
      </c>
      <c r="F54" s="113">
        <v>714</v>
      </c>
      <c r="G54" s="113">
        <v>1184</v>
      </c>
      <c r="H54" s="113">
        <v>1860</v>
      </c>
      <c r="I54" s="113">
        <v>2627</v>
      </c>
      <c r="J54" s="113">
        <v>4106</v>
      </c>
      <c r="K54" s="113">
        <v>4854</v>
      </c>
      <c r="L54" s="113">
        <v>3804</v>
      </c>
      <c r="M54" s="113">
        <v>2520</v>
      </c>
      <c r="N54" s="113">
        <v>3523</v>
      </c>
      <c r="O54" s="113">
        <v>4028</v>
      </c>
      <c r="P54" s="113">
        <v>4374</v>
      </c>
      <c r="Q54" s="113">
        <v>5663</v>
      </c>
      <c r="R54" s="113">
        <v>6036</v>
      </c>
      <c r="S54" s="113">
        <v>6133</v>
      </c>
      <c r="T54" s="113">
        <v>5252</v>
      </c>
      <c r="U54" s="113">
        <v>6253</v>
      </c>
      <c r="V54" s="113">
        <v>4921</v>
      </c>
      <c r="W54" s="113">
        <v>5289</v>
      </c>
      <c r="X54" s="113">
        <v>5189</v>
      </c>
      <c r="Y54" s="113">
        <v>5746</v>
      </c>
      <c r="Z54" s="113">
        <v>6314</v>
      </c>
      <c r="AA54" s="113">
        <v>5100</v>
      </c>
      <c r="AB54" s="113">
        <v>4412</v>
      </c>
      <c r="AC54" s="113">
        <v>19903</v>
      </c>
      <c r="AD54" s="113">
        <v>4448</v>
      </c>
      <c r="AE54" s="113">
        <v>5944</v>
      </c>
      <c r="AG54" s="103" t="s">
        <v>2089</v>
      </c>
      <c r="AH54" s="113">
        <v>104.5</v>
      </c>
      <c r="AI54" s="113">
        <v>111</v>
      </c>
      <c r="AJ54" s="113">
        <v>114</v>
      </c>
      <c r="AK54" s="113">
        <v>125</v>
      </c>
      <c r="AL54" s="113">
        <v>123</v>
      </c>
      <c r="AM54" s="113">
        <v>149</v>
      </c>
      <c r="AN54" s="113">
        <v>126</v>
      </c>
      <c r="AO54" s="113">
        <v>178</v>
      </c>
      <c r="AP54" s="113">
        <v>155</v>
      </c>
      <c r="AQ54" s="113">
        <v>184</v>
      </c>
      <c r="AR54" s="113">
        <v>196</v>
      </c>
      <c r="AS54" s="113">
        <v>179</v>
      </c>
      <c r="AT54" s="113">
        <v>271</v>
      </c>
      <c r="AU54" s="113">
        <v>310</v>
      </c>
      <c r="AV54" s="113">
        <v>302</v>
      </c>
      <c r="AW54" s="113">
        <v>301</v>
      </c>
      <c r="AX54" s="113">
        <v>331</v>
      </c>
      <c r="AY54" s="113">
        <v>399</v>
      </c>
      <c r="AZ54" s="113">
        <v>561</v>
      </c>
      <c r="BA54" s="113">
        <v>569</v>
      </c>
      <c r="BB54" s="113">
        <v>539</v>
      </c>
      <c r="BC54" s="113">
        <v>637</v>
      </c>
      <c r="BD54" s="113">
        <v>720</v>
      </c>
      <c r="BE54" s="113">
        <v>731</v>
      </c>
      <c r="BF54" s="113">
        <v>820</v>
      </c>
      <c r="BG54" s="113">
        <v>1068</v>
      </c>
      <c r="BH54" s="113">
        <v>1032</v>
      </c>
      <c r="BI54" s="113">
        <v>1186</v>
      </c>
      <c r="BJ54" s="113">
        <v>1129</v>
      </c>
      <c r="BK54" s="113">
        <v>1255</v>
      </c>
      <c r="BL54" s="113">
        <v>1228</v>
      </c>
      <c r="BM54" s="113">
        <v>1242</v>
      </c>
      <c r="BN54" s="113">
        <v>1271</v>
      </c>
      <c r="BO54" s="113">
        <v>1293</v>
      </c>
      <c r="BP54" s="113">
        <v>1207</v>
      </c>
      <c r="BQ54" s="113">
        <v>33</v>
      </c>
      <c r="BR54" s="113">
        <v>604</v>
      </c>
      <c r="BS54" s="113">
        <v>1074</v>
      </c>
      <c r="BT54" s="113">
        <v>1288</v>
      </c>
      <c r="BU54" s="113">
        <v>718</v>
      </c>
      <c r="BV54" s="113">
        <v>1006</v>
      </c>
      <c r="BW54" s="113">
        <v>731</v>
      </c>
      <c r="BX54" s="113">
        <v>1055</v>
      </c>
      <c r="BY54" s="113">
        <v>731</v>
      </c>
      <c r="BZ54" s="113">
        <v>1287</v>
      </c>
      <c r="CA54" s="113">
        <v>763</v>
      </c>
      <c r="CB54" s="113">
        <v>964</v>
      </c>
      <c r="CC54" s="113">
        <v>1014</v>
      </c>
      <c r="CD54" s="113">
        <v>1245</v>
      </c>
      <c r="CE54" s="113">
        <v>1706</v>
      </c>
      <c r="CF54" s="113">
        <v>1262</v>
      </c>
      <c r="CG54" s="113">
        <v>161</v>
      </c>
      <c r="CH54" s="113">
        <v>1411</v>
      </c>
      <c r="CI54" s="113">
        <v>1484</v>
      </c>
      <c r="CJ54" s="113">
        <v>1338</v>
      </c>
      <c r="CK54" s="113">
        <v>1430</v>
      </c>
      <c r="CL54" s="113">
        <v>1563</v>
      </c>
      <c r="CM54" s="113">
        <v>1179</v>
      </c>
      <c r="CN54" s="113">
        <v>2045</v>
      </c>
      <c r="CO54" s="113">
        <v>1249</v>
      </c>
      <c r="CP54" s="113">
        <v>1927</v>
      </c>
      <c r="CQ54" s="113">
        <v>2113</v>
      </c>
      <c r="CR54" s="113">
        <v>422</v>
      </c>
      <c r="CS54" s="113">
        <v>1671</v>
      </c>
      <c r="CT54" s="113">
        <v>1618</v>
      </c>
      <c r="CU54" s="113">
        <v>1464</v>
      </c>
      <c r="CV54" s="113">
        <v>1073</v>
      </c>
      <c r="CW54" s="113">
        <v>1097</v>
      </c>
      <c r="CX54" s="113">
        <v>1191</v>
      </c>
      <c r="CY54" s="113">
        <v>2221</v>
      </c>
      <c r="CZ54" s="113">
        <v>1335</v>
      </c>
      <c r="DA54" s="113">
        <v>1506</v>
      </c>
      <c r="DB54" s="113">
        <v>1820</v>
      </c>
      <c r="DC54" s="113">
        <v>1863</v>
      </c>
      <c r="DD54" s="113">
        <v>793</v>
      </c>
      <c r="DE54" s="113">
        <v>445</v>
      </c>
      <c r="DF54" s="113">
        <v>1568</v>
      </c>
      <c r="DG54" s="113">
        <v>1615</v>
      </c>
      <c r="DH54" s="113">
        <v>1255</v>
      </c>
      <c r="DI54" s="113">
        <v>851</v>
      </c>
      <c r="DJ54" s="113">
        <v>1068</v>
      </c>
      <c r="DK54" s="113">
        <v>1393</v>
      </c>
      <c r="DL54" s="113">
        <v>1548</v>
      </c>
      <c r="DM54" s="113">
        <v>1180</v>
      </c>
      <c r="DN54" s="113">
        <v>1164</v>
      </c>
      <c r="DO54" s="113">
        <v>1320</v>
      </c>
      <c r="DP54" s="113">
        <v>1297</v>
      </c>
      <c r="DQ54" s="113">
        <v>1965</v>
      </c>
      <c r="DR54" s="113">
        <v>1356</v>
      </c>
      <c r="DS54" s="113">
        <v>1987</v>
      </c>
      <c r="DT54" s="113">
        <v>1532</v>
      </c>
      <c r="DU54" s="113">
        <v>1439</v>
      </c>
      <c r="DV54" s="113">
        <v>611</v>
      </c>
      <c r="DW54" s="113">
        <v>837</v>
      </c>
      <c r="DX54" s="113">
        <v>1280</v>
      </c>
      <c r="DY54" s="113">
        <v>225</v>
      </c>
      <c r="DZ54" s="113">
        <v>1160</v>
      </c>
      <c r="EA54" s="113">
        <v>1755</v>
      </c>
      <c r="EB54" s="113">
        <v>1608</v>
      </c>
      <c r="EC54" s="113">
        <v>-111</v>
      </c>
      <c r="ED54" s="113">
        <v>1408</v>
      </c>
      <c r="EE54" s="113">
        <v>15471</v>
      </c>
      <c r="EF54" s="113">
        <v>1217</v>
      </c>
      <c r="EG54" s="113">
        <v>1807</v>
      </c>
      <c r="EH54" s="113">
        <v>1397</v>
      </c>
      <c r="EI54" s="113">
        <v>1965</v>
      </c>
      <c r="EJ54" s="113">
        <v>1677</v>
      </c>
      <c r="EK54" s="113">
        <v>-591</v>
      </c>
      <c r="EL54" s="113">
        <v>2008</v>
      </c>
      <c r="EM54" s="113">
        <v>2436</v>
      </c>
      <c r="EN54" s="113">
        <v>2091</v>
      </c>
    </row>
    <row r="55" spans="1:144" ht="10.5">
      <c r="A55" s="112" t="s">
        <v>2090</v>
      </c>
      <c r="B55" s="114">
        <v>463</v>
      </c>
      <c r="C55" s="114">
        <v>708</v>
      </c>
      <c r="D55" s="114">
        <v>953</v>
      </c>
      <c r="E55" s="114">
        <v>1146</v>
      </c>
      <c r="F55" s="114">
        <v>1453</v>
      </c>
      <c r="G55" s="114">
        <v>2195</v>
      </c>
      <c r="H55" s="114">
        <v>3454</v>
      </c>
      <c r="I55" s="114">
        <v>4490</v>
      </c>
      <c r="J55" s="114">
        <v>7785</v>
      </c>
      <c r="K55" s="114">
        <v>9421</v>
      </c>
      <c r="L55" s="114">
        <v>7721</v>
      </c>
      <c r="M55" s="114">
        <v>5355</v>
      </c>
      <c r="N55" s="114">
        <v>7531</v>
      </c>
      <c r="O55" s="114">
        <v>8168</v>
      </c>
      <c r="P55" s="114">
        <v>12254</v>
      </c>
      <c r="Q55" s="114">
        <v>12599</v>
      </c>
      <c r="R55" s="114">
        <v>14065</v>
      </c>
      <c r="S55" s="114">
        <v>17681</v>
      </c>
      <c r="T55" s="114">
        <v>14569</v>
      </c>
      <c r="U55" s="114">
        <v>18760</v>
      </c>
      <c r="V55" s="114">
        <v>23150</v>
      </c>
      <c r="W55" s="114">
        <v>16978</v>
      </c>
      <c r="X55" s="114">
        <v>21863</v>
      </c>
      <c r="Y55" s="114">
        <v>22074</v>
      </c>
      <c r="Z55" s="114">
        <v>12193</v>
      </c>
      <c r="AA55" s="114">
        <v>20539</v>
      </c>
      <c r="AB55" s="114">
        <v>25489</v>
      </c>
      <c r="AC55" s="114">
        <v>16571</v>
      </c>
      <c r="AD55" s="114">
        <v>39240</v>
      </c>
      <c r="AE55" s="114">
        <v>46266</v>
      </c>
      <c r="AG55" s="112" t="s">
        <v>2090</v>
      </c>
      <c r="AH55" s="114">
        <v>222.5</v>
      </c>
      <c r="AI55" s="114">
        <v>236</v>
      </c>
      <c r="AJ55" s="114">
        <v>243</v>
      </c>
      <c r="AK55" s="114">
        <v>265</v>
      </c>
      <c r="AL55" s="114">
        <v>239</v>
      </c>
      <c r="AM55" s="114">
        <v>289</v>
      </c>
      <c r="AN55" s="114">
        <v>256</v>
      </c>
      <c r="AO55" s="114">
        <v>362</v>
      </c>
      <c r="AP55" s="114">
        <v>316</v>
      </c>
      <c r="AQ55" s="114">
        <v>373</v>
      </c>
      <c r="AR55" s="114">
        <v>396</v>
      </c>
      <c r="AS55" s="114">
        <v>368</v>
      </c>
      <c r="AT55" s="114">
        <v>499</v>
      </c>
      <c r="AU55" s="114">
        <v>575</v>
      </c>
      <c r="AV55" s="114">
        <v>562</v>
      </c>
      <c r="AW55" s="114">
        <v>559</v>
      </c>
      <c r="AX55" s="114">
        <v>614</v>
      </c>
      <c r="AY55" s="114">
        <v>741</v>
      </c>
      <c r="AZ55" s="114">
        <v>1042</v>
      </c>
      <c r="BA55" s="114">
        <v>1057</v>
      </c>
      <c r="BB55" s="114">
        <v>663</v>
      </c>
      <c r="BC55" s="114">
        <v>1133</v>
      </c>
      <c r="BD55" s="114">
        <v>1337</v>
      </c>
      <c r="BE55" s="114">
        <v>1357</v>
      </c>
      <c r="BF55" s="114">
        <v>1683</v>
      </c>
      <c r="BG55" s="114">
        <v>1983</v>
      </c>
      <c r="BH55" s="114">
        <v>1917</v>
      </c>
      <c r="BI55" s="114">
        <v>2202</v>
      </c>
      <c r="BJ55" s="114">
        <v>2191</v>
      </c>
      <c r="BK55" s="114">
        <v>2436</v>
      </c>
      <c r="BL55" s="114">
        <v>2385</v>
      </c>
      <c r="BM55" s="114">
        <v>2409</v>
      </c>
      <c r="BN55" s="114">
        <v>2581</v>
      </c>
      <c r="BO55" s="114">
        <v>2624</v>
      </c>
      <c r="BP55" s="114">
        <v>2451</v>
      </c>
      <c r="BQ55" s="114">
        <v>65</v>
      </c>
      <c r="BR55" s="114">
        <v>1283</v>
      </c>
      <c r="BS55" s="114">
        <v>2283</v>
      </c>
      <c r="BT55" s="114">
        <v>2738</v>
      </c>
      <c r="BU55" s="114">
        <v>1525</v>
      </c>
      <c r="BV55" s="114">
        <v>2041</v>
      </c>
      <c r="BW55" s="114">
        <v>1865</v>
      </c>
      <c r="BX55" s="114">
        <v>2142</v>
      </c>
      <c r="BY55" s="114">
        <v>1483</v>
      </c>
      <c r="BZ55" s="114">
        <v>2614</v>
      </c>
      <c r="CA55" s="114">
        <v>1549</v>
      </c>
      <c r="CB55" s="114">
        <v>1315</v>
      </c>
      <c r="CC55" s="114">
        <v>2690</v>
      </c>
      <c r="CD55" s="114">
        <v>2528</v>
      </c>
      <c r="CE55" s="114">
        <v>3463</v>
      </c>
      <c r="CF55" s="114">
        <v>2563</v>
      </c>
      <c r="CG55" s="114">
        <v>3700</v>
      </c>
      <c r="CH55" s="114">
        <v>3141</v>
      </c>
      <c r="CI55" s="114">
        <v>3653</v>
      </c>
      <c r="CJ55" s="114">
        <v>2977</v>
      </c>
      <c r="CK55" s="114">
        <v>2828</v>
      </c>
      <c r="CL55" s="114">
        <v>3478</v>
      </c>
      <c r="CM55" s="114">
        <v>2626</v>
      </c>
      <c r="CN55" s="114">
        <v>4926</v>
      </c>
      <c r="CO55" s="114">
        <v>3035</v>
      </c>
      <c r="CP55" s="114">
        <v>4289</v>
      </c>
      <c r="CQ55" s="114">
        <v>4707</v>
      </c>
      <c r="CR55" s="114">
        <v>4388</v>
      </c>
      <c r="CS55" s="114">
        <v>4297</v>
      </c>
      <c r="CT55" s="114">
        <v>4373</v>
      </c>
      <c r="CU55" s="114">
        <v>4174</v>
      </c>
      <c r="CV55" s="114">
        <v>2977</v>
      </c>
      <c r="CW55" s="114">
        <v>3045</v>
      </c>
      <c r="CX55" s="114">
        <v>3574</v>
      </c>
      <c r="CY55" s="114">
        <v>6662</v>
      </c>
      <c r="CZ55" s="114">
        <v>4006</v>
      </c>
      <c r="DA55" s="114">
        <v>4518</v>
      </c>
      <c r="DB55" s="114">
        <v>5410</v>
      </c>
      <c r="DC55" s="114">
        <v>6634</v>
      </c>
      <c r="DD55" s="114">
        <v>5232</v>
      </c>
      <c r="DE55" s="114">
        <v>5874</v>
      </c>
      <c r="DF55" s="114">
        <v>5738</v>
      </c>
      <c r="DG55" s="114">
        <v>6624</v>
      </c>
      <c r="DH55" s="114">
        <v>5108</v>
      </c>
      <c r="DI55" s="114">
        <v>-492</v>
      </c>
      <c r="DJ55" s="114">
        <v>4466</v>
      </c>
      <c r="DK55" s="114">
        <v>6377</v>
      </c>
      <c r="DL55" s="114">
        <v>6055</v>
      </c>
      <c r="DM55" s="114">
        <v>4965</v>
      </c>
      <c r="DN55" s="114">
        <v>5244</v>
      </c>
      <c r="DO55" s="114">
        <v>6558</v>
      </c>
      <c r="DP55" s="114">
        <v>5660</v>
      </c>
      <c r="DQ55" s="114">
        <v>4612</v>
      </c>
      <c r="DR55" s="114">
        <v>4540</v>
      </c>
      <c r="DS55" s="114">
        <v>5863</v>
      </c>
      <c r="DT55" s="114">
        <v>4985</v>
      </c>
      <c r="DU55" s="114">
        <v>-3195</v>
      </c>
      <c r="DV55" s="114">
        <v>4902</v>
      </c>
      <c r="DW55" s="114">
        <v>5018</v>
      </c>
      <c r="DX55" s="114">
        <v>3756</v>
      </c>
      <c r="DY55" s="114">
        <v>3122</v>
      </c>
      <c r="DZ55" s="114">
        <v>5667</v>
      </c>
      <c r="EA55" s="114">
        <v>6267</v>
      </c>
      <c r="EB55" s="114">
        <v>5486</v>
      </c>
      <c r="EC55" s="114">
        <v>8069</v>
      </c>
      <c r="ED55" s="114">
        <v>6576</v>
      </c>
      <c r="EE55" s="114">
        <v>-6302</v>
      </c>
      <c r="EF55" s="114">
        <v>7424</v>
      </c>
      <c r="EG55" s="114">
        <v>8873</v>
      </c>
      <c r="EH55" s="114">
        <v>8824</v>
      </c>
      <c r="EI55" s="114">
        <v>8420</v>
      </c>
      <c r="EJ55" s="114">
        <v>8809</v>
      </c>
      <c r="EK55" s="114">
        <v>13187</v>
      </c>
      <c r="EL55" s="114">
        <v>10678</v>
      </c>
      <c r="EM55" s="114">
        <v>11649</v>
      </c>
      <c r="EN55" s="114">
        <v>10752</v>
      </c>
    </row>
    <row r="56" spans="1:144">
      <c r="A56" s="103"/>
      <c r="B56" s="103"/>
      <c r="C56" s="103"/>
      <c r="D56" s="103"/>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c r="BG56" s="103"/>
      <c r="BH56" s="103"/>
      <c r="BI56" s="103"/>
      <c r="BJ56" s="103"/>
      <c r="BK56" s="103"/>
      <c r="BL56" s="103"/>
      <c r="BM56" s="103"/>
      <c r="BN56" s="103"/>
      <c r="BO56" s="103"/>
      <c r="BP56" s="103"/>
      <c r="BQ56" s="103"/>
      <c r="BR56" s="103"/>
      <c r="BS56" s="103"/>
      <c r="BT56" s="103"/>
      <c r="BU56" s="103"/>
      <c r="BV56" s="103"/>
      <c r="BW56" s="103"/>
      <c r="BX56" s="103"/>
      <c r="BY56" s="103"/>
      <c r="BZ56" s="103"/>
      <c r="CA56" s="103"/>
      <c r="CB56" s="103"/>
      <c r="CC56" s="103"/>
      <c r="CD56" s="103"/>
      <c r="CE56" s="103"/>
      <c r="CF56" s="103"/>
      <c r="CG56" s="103"/>
      <c r="CH56" s="103"/>
      <c r="CI56" s="103"/>
      <c r="CJ56" s="103"/>
      <c r="CK56" s="103"/>
      <c r="CL56" s="103"/>
      <c r="CM56" s="103"/>
      <c r="CN56" s="103"/>
      <c r="CO56" s="103"/>
      <c r="CP56" s="103"/>
      <c r="CQ56" s="103"/>
      <c r="CR56" s="103"/>
      <c r="CS56" s="103"/>
      <c r="CT56" s="103"/>
      <c r="CU56" s="103"/>
      <c r="CV56" s="103"/>
      <c r="CW56" s="103"/>
      <c r="CX56" s="103"/>
      <c r="CY56" s="103"/>
      <c r="CZ56" s="103"/>
      <c r="DA56" s="103"/>
      <c r="DB56" s="103"/>
      <c r="DC56" s="103"/>
      <c r="DD56" s="103"/>
      <c r="DE56" s="103"/>
      <c r="DF56" s="103"/>
      <c r="DG56" s="103"/>
      <c r="DH56" s="103"/>
      <c r="DI56" s="103"/>
      <c r="DJ56" s="103"/>
      <c r="DK56" s="103"/>
      <c r="DL56" s="103"/>
      <c r="DM56" s="103"/>
      <c r="DN56" s="103"/>
      <c r="DO56" s="103"/>
      <c r="DP56" s="103"/>
      <c r="DQ56" s="103"/>
      <c r="DR56" s="103"/>
      <c r="DS56" s="103"/>
      <c r="DT56" s="103"/>
      <c r="DU56" s="103"/>
      <c r="DV56" s="103"/>
      <c r="DW56" s="103"/>
      <c r="DX56" s="103"/>
      <c r="DY56" s="103"/>
      <c r="DZ56" s="103"/>
      <c r="EA56" s="103"/>
      <c r="EB56" s="103"/>
      <c r="EC56" s="103"/>
      <c r="ED56" s="103"/>
      <c r="EE56" s="103"/>
      <c r="EF56" s="103"/>
      <c r="EG56" s="103"/>
      <c r="EH56" s="103"/>
      <c r="EI56" s="103"/>
      <c r="EJ56" s="103"/>
      <c r="EK56" s="103"/>
      <c r="EL56" s="103"/>
      <c r="EM56" s="103"/>
      <c r="EN56" s="103"/>
    </row>
    <row r="57" spans="1:144">
      <c r="A57" s="103" t="s">
        <v>2091</v>
      </c>
      <c r="B57" s="113">
        <v>0</v>
      </c>
      <c r="C57" s="113">
        <v>0</v>
      </c>
      <c r="D57" s="113">
        <v>0</v>
      </c>
      <c r="E57" s="113">
        <v>0</v>
      </c>
      <c r="F57" s="113">
        <v>0</v>
      </c>
      <c r="G57" s="113">
        <v>0</v>
      </c>
      <c r="H57" s="113">
        <v>0</v>
      </c>
      <c r="I57" s="113">
        <v>0</v>
      </c>
      <c r="J57" s="113">
        <v>0</v>
      </c>
      <c r="K57" s="113">
        <v>0</v>
      </c>
      <c r="L57" s="113">
        <v>0</v>
      </c>
      <c r="M57" s="113">
        <v>0</v>
      </c>
      <c r="N57" s="113">
        <v>0</v>
      </c>
      <c r="O57" s="113">
        <v>0</v>
      </c>
      <c r="P57" s="113">
        <v>0</v>
      </c>
      <c r="Q57" s="113">
        <v>0</v>
      </c>
      <c r="R57" s="113">
        <v>0</v>
      </c>
      <c r="S57" s="113">
        <v>0</v>
      </c>
      <c r="T57" s="113">
        <v>0</v>
      </c>
      <c r="U57" s="113">
        <v>0</v>
      </c>
      <c r="V57" s="113">
        <v>0</v>
      </c>
      <c r="W57" s="113">
        <v>0</v>
      </c>
      <c r="X57" s="113">
        <v>0</v>
      </c>
      <c r="Y57" s="113">
        <v>0</v>
      </c>
      <c r="Z57" s="113">
        <v>0</v>
      </c>
      <c r="AA57" s="113">
        <v>0</v>
      </c>
      <c r="AB57" s="113">
        <v>0</v>
      </c>
      <c r="AC57" s="113">
        <v>0</v>
      </c>
      <c r="AD57" s="113">
        <v>0</v>
      </c>
      <c r="AE57" s="113">
        <v>0</v>
      </c>
      <c r="AG57" s="103" t="s">
        <v>2091</v>
      </c>
      <c r="AH57" s="113">
        <v>0</v>
      </c>
      <c r="AI57" s="113">
        <v>0</v>
      </c>
      <c r="AJ57" s="113">
        <v>0</v>
      </c>
      <c r="AK57" s="113">
        <v>0</v>
      </c>
      <c r="AL57" s="113">
        <v>0</v>
      </c>
      <c r="AM57" s="113">
        <v>0</v>
      </c>
      <c r="AN57" s="113">
        <v>0</v>
      </c>
      <c r="AO57" s="113">
        <v>0</v>
      </c>
      <c r="AP57" s="113">
        <v>0</v>
      </c>
      <c r="AQ57" s="113">
        <v>0</v>
      </c>
      <c r="AR57" s="113">
        <v>0</v>
      </c>
      <c r="AS57" s="113">
        <v>0</v>
      </c>
      <c r="AT57" s="113">
        <v>0</v>
      </c>
      <c r="AU57" s="113">
        <v>0</v>
      </c>
      <c r="AV57" s="113">
        <v>0</v>
      </c>
      <c r="AW57" s="113">
        <v>0</v>
      </c>
      <c r="AX57" s="113">
        <v>0</v>
      </c>
      <c r="AY57" s="113">
        <v>0</v>
      </c>
      <c r="AZ57" s="113">
        <v>0</v>
      </c>
      <c r="BA57" s="113">
        <v>0</v>
      </c>
      <c r="BB57" s="113">
        <v>0</v>
      </c>
      <c r="BC57" s="113">
        <v>0</v>
      </c>
      <c r="BD57" s="113">
        <v>0</v>
      </c>
      <c r="BE57" s="113">
        <v>0</v>
      </c>
      <c r="BF57" s="113">
        <v>0</v>
      </c>
      <c r="BG57" s="113">
        <v>0</v>
      </c>
      <c r="BH57" s="113">
        <v>0</v>
      </c>
      <c r="BI57" s="113">
        <v>0</v>
      </c>
      <c r="BJ57" s="113">
        <v>0</v>
      </c>
      <c r="BK57" s="113">
        <v>0</v>
      </c>
      <c r="BL57" s="113">
        <v>0</v>
      </c>
      <c r="BM57" s="113">
        <v>0</v>
      </c>
      <c r="BN57" s="113">
        <v>0</v>
      </c>
      <c r="BO57" s="113">
        <v>0</v>
      </c>
      <c r="BP57" s="113">
        <v>0</v>
      </c>
      <c r="BQ57" s="113">
        <v>0</v>
      </c>
      <c r="BR57" s="113">
        <v>0</v>
      </c>
      <c r="BS57" s="113">
        <v>0</v>
      </c>
      <c r="BT57" s="113">
        <v>0</v>
      </c>
      <c r="BU57" s="113">
        <v>0</v>
      </c>
      <c r="BV57" s="113">
        <v>0</v>
      </c>
      <c r="BW57" s="113">
        <v>0</v>
      </c>
      <c r="BX57" s="113">
        <v>0</v>
      </c>
      <c r="BY57" s="113">
        <v>0</v>
      </c>
      <c r="BZ57" s="113">
        <v>0</v>
      </c>
      <c r="CA57" s="113">
        <v>0</v>
      </c>
      <c r="CB57" s="113">
        <v>0</v>
      </c>
      <c r="CC57" s="113">
        <v>0</v>
      </c>
      <c r="CD57" s="113">
        <v>0</v>
      </c>
      <c r="CE57" s="113">
        <v>0</v>
      </c>
      <c r="CF57" s="113">
        <v>0</v>
      </c>
      <c r="CG57" s="113">
        <v>0</v>
      </c>
      <c r="CH57" s="113">
        <v>0</v>
      </c>
      <c r="CI57" s="113">
        <v>0</v>
      </c>
      <c r="CJ57" s="113">
        <v>0</v>
      </c>
      <c r="CK57" s="113">
        <v>0</v>
      </c>
      <c r="CL57" s="113">
        <v>0</v>
      </c>
      <c r="CM57" s="113">
        <v>0</v>
      </c>
      <c r="CN57" s="113">
        <v>0</v>
      </c>
      <c r="CO57" s="113">
        <v>0</v>
      </c>
      <c r="CP57" s="113">
        <v>0</v>
      </c>
      <c r="CQ57" s="113">
        <v>0</v>
      </c>
      <c r="CR57" s="113">
        <v>0</v>
      </c>
      <c r="CS57" s="113">
        <v>0</v>
      </c>
      <c r="CT57" s="113">
        <v>0</v>
      </c>
      <c r="CU57" s="113">
        <v>0</v>
      </c>
      <c r="CV57" s="113">
        <v>0</v>
      </c>
      <c r="CW57" s="113">
        <v>0</v>
      </c>
      <c r="CX57" s="113">
        <v>0</v>
      </c>
      <c r="CY57" s="113">
        <v>0</v>
      </c>
      <c r="CZ57" s="113">
        <v>0</v>
      </c>
      <c r="DA57" s="113">
        <v>0</v>
      </c>
      <c r="DB57" s="113">
        <v>0</v>
      </c>
      <c r="DC57" s="113">
        <v>0</v>
      </c>
      <c r="DD57" s="113">
        <v>0</v>
      </c>
      <c r="DE57" s="113">
        <v>0</v>
      </c>
      <c r="DF57" s="113">
        <v>0</v>
      </c>
      <c r="DG57" s="113">
        <v>0</v>
      </c>
      <c r="DH57" s="113">
        <v>0</v>
      </c>
      <c r="DI57" s="113">
        <v>0</v>
      </c>
      <c r="DJ57" s="113">
        <v>0</v>
      </c>
      <c r="DK57" s="113">
        <v>0</v>
      </c>
      <c r="DL57" s="113">
        <v>0</v>
      </c>
      <c r="DM57" s="113">
        <v>0</v>
      </c>
      <c r="DN57" s="113">
        <v>0</v>
      </c>
      <c r="DO57" s="113">
        <v>0</v>
      </c>
      <c r="DP57" s="113">
        <v>0</v>
      </c>
      <c r="DQ57" s="113">
        <v>0</v>
      </c>
      <c r="DR57" s="113">
        <v>0</v>
      </c>
      <c r="DS57" s="113">
        <v>0</v>
      </c>
      <c r="DT57" s="113">
        <v>0</v>
      </c>
      <c r="DU57" s="113">
        <v>0</v>
      </c>
      <c r="DV57" s="113">
        <v>0</v>
      </c>
      <c r="DW57" s="113">
        <v>0</v>
      </c>
      <c r="DX57" s="113">
        <v>0</v>
      </c>
      <c r="DY57" s="113">
        <v>0</v>
      </c>
      <c r="DZ57" s="113">
        <v>0</v>
      </c>
      <c r="EA57" s="113">
        <v>0</v>
      </c>
      <c r="EB57" s="113">
        <v>0</v>
      </c>
      <c r="EC57" s="113">
        <v>0</v>
      </c>
      <c r="ED57" s="113">
        <v>0</v>
      </c>
      <c r="EE57" s="113">
        <v>0</v>
      </c>
      <c r="EF57" s="113">
        <v>0</v>
      </c>
      <c r="EG57" s="113">
        <v>0</v>
      </c>
      <c r="EH57" s="113">
        <v>0</v>
      </c>
      <c r="EI57" s="113">
        <v>0</v>
      </c>
      <c r="EJ57" s="113">
        <v>0</v>
      </c>
      <c r="EK57" s="113">
        <v>0</v>
      </c>
      <c r="EL57" s="113">
        <v>0</v>
      </c>
      <c r="EM57" s="113">
        <v>0</v>
      </c>
      <c r="EN57" s="113">
        <v>0</v>
      </c>
    </row>
    <row r="58" spans="1:144">
      <c r="A58" s="103" t="s">
        <v>2092</v>
      </c>
      <c r="B58" s="113">
        <v>0</v>
      </c>
      <c r="C58" s="113">
        <v>0</v>
      </c>
      <c r="D58" s="113">
        <v>0</v>
      </c>
      <c r="E58" s="113">
        <v>0</v>
      </c>
      <c r="F58" s="113">
        <v>0</v>
      </c>
      <c r="G58" s="113">
        <v>0</v>
      </c>
      <c r="H58" s="113">
        <v>0</v>
      </c>
      <c r="I58" s="113">
        <v>0</v>
      </c>
      <c r="J58" s="113">
        <v>0</v>
      </c>
      <c r="K58" s="113">
        <v>0</v>
      </c>
      <c r="L58" s="113">
        <v>-375</v>
      </c>
      <c r="M58" s="113">
        <v>0</v>
      </c>
      <c r="N58" s="113">
        <v>0</v>
      </c>
      <c r="O58" s="113">
        <v>0</v>
      </c>
      <c r="P58" s="113">
        <v>0</v>
      </c>
      <c r="Q58" s="113">
        <v>0</v>
      </c>
      <c r="R58" s="113">
        <v>0</v>
      </c>
      <c r="S58" s="113">
        <v>0</v>
      </c>
      <c r="T58" s="113">
        <v>0</v>
      </c>
      <c r="U58" s="113">
        <v>0</v>
      </c>
      <c r="V58" s="113">
        <v>0</v>
      </c>
      <c r="W58" s="113">
        <v>0</v>
      </c>
      <c r="X58" s="113">
        <v>0</v>
      </c>
      <c r="Y58" s="113">
        <v>0</v>
      </c>
      <c r="Z58" s="113">
        <v>0</v>
      </c>
      <c r="AA58" s="113">
        <v>0</v>
      </c>
      <c r="AB58" s="113">
        <v>0</v>
      </c>
      <c r="AC58" s="113">
        <v>0</v>
      </c>
      <c r="AD58" s="113">
        <v>0</v>
      </c>
      <c r="AE58" s="113">
        <v>0</v>
      </c>
      <c r="AG58" s="103" t="s">
        <v>2092</v>
      </c>
      <c r="AH58" s="113">
        <v>0</v>
      </c>
      <c r="AI58" s="113">
        <v>0</v>
      </c>
      <c r="AJ58" s="113">
        <v>0</v>
      </c>
      <c r="AK58" s="113">
        <v>0</v>
      </c>
      <c r="AL58" s="113">
        <v>0</v>
      </c>
      <c r="AM58" s="113">
        <v>0</v>
      </c>
      <c r="AN58" s="113">
        <v>0</v>
      </c>
      <c r="AO58" s="113">
        <v>0</v>
      </c>
      <c r="AP58" s="113">
        <v>0</v>
      </c>
      <c r="AQ58" s="113">
        <v>0</v>
      </c>
      <c r="AR58" s="113">
        <v>0</v>
      </c>
      <c r="AS58" s="113">
        <v>0</v>
      </c>
      <c r="AT58" s="113">
        <v>0</v>
      </c>
      <c r="AU58" s="113">
        <v>0</v>
      </c>
      <c r="AV58" s="113">
        <v>0</v>
      </c>
      <c r="AW58" s="113">
        <v>0</v>
      </c>
      <c r="AX58" s="113">
        <v>0</v>
      </c>
      <c r="AY58" s="113">
        <v>0</v>
      </c>
      <c r="AZ58" s="113">
        <v>0</v>
      </c>
      <c r="BA58" s="113">
        <v>0</v>
      </c>
      <c r="BB58" s="113">
        <v>0</v>
      </c>
      <c r="BC58" s="113">
        <v>0</v>
      </c>
      <c r="BD58" s="113">
        <v>0</v>
      </c>
      <c r="BE58" s="113">
        <v>0</v>
      </c>
      <c r="BF58" s="113">
        <v>0</v>
      </c>
      <c r="BG58" s="113">
        <v>0</v>
      </c>
      <c r="BH58" s="113">
        <v>0</v>
      </c>
      <c r="BI58" s="113">
        <v>0</v>
      </c>
      <c r="BJ58" s="113">
        <v>0</v>
      </c>
      <c r="BK58" s="113">
        <v>0</v>
      </c>
      <c r="BL58" s="113">
        <v>0</v>
      </c>
      <c r="BM58" s="113">
        <v>0</v>
      </c>
      <c r="BN58" s="113">
        <v>-375</v>
      </c>
      <c r="BO58" s="113">
        <v>0</v>
      </c>
      <c r="BP58" s="113">
        <v>0</v>
      </c>
      <c r="BQ58" s="113">
        <v>0</v>
      </c>
      <c r="BR58" s="113">
        <v>0</v>
      </c>
      <c r="BS58" s="113">
        <v>0</v>
      </c>
      <c r="BT58" s="113">
        <v>0</v>
      </c>
      <c r="BU58" s="113">
        <v>0</v>
      </c>
      <c r="BV58" s="113">
        <v>0</v>
      </c>
      <c r="BW58" s="113">
        <v>0</v>
      </c>
      <c r="BX58" s="113">
        <v>0</v>
      </c>
      <c r="BY58" s="113">
        <v>0</v>
      </c>
      <c r="BZ58" s="113">
        <v>0</v>
      </c>
      <c r="CA58" s="113">
        <v>0</v>
      </c>
      <c r="CB58" s="113">
        <v>0</v>
      </c>
      <c r="CC58" s="113">
        <v>0</v>
      </c>
      <c r="CD58" s="113">
        <v>0</v>
      </c>
      <c r="CE58" s="113">
        <v>0</v>
      </c>
      <c r="CF58" s="113">
        <v>0</v>
      </c>
      <c r="CG58" s="113">
        <v>0</v>
      </c>
      <c r="CH58" s="113">
        <v>0</v>
      </c>
      <c r="CI58" s="113">
        <v>0</v>
      </c>
      <c r="CJ58" s="113">
        <v>0</v>
      </c>
      <c r="CK58" s="113">
        <v>0</v>
      </c>
      <c r="CL58" s="113">
        <v>0</v>
      </c>
      <c r="CM58" s="113">
        <v>0</v>
      </c>
      <c r="CN58" s="113">
        <v>0</v>
      </c>
      <c r="CO58" s="113">
        <v>0</v>
      </c>
      <c r="CP58" s="113">
        <v>0</v>
      </c>
      <c r="CQ58" s="113">
        <v>0</v>
      </c>
      <c r="CR58" s="113">
        <v>0</v>
      </c>
      <c r="CS58" s="113">
        <v>0</v>
      </c>
      <c r="CT58" s="113">
        <v>0</v>
      </c>
      <c r="CU58" s="113">
        <v>0</v>
      </c>
      <c r="CV58" s="113">
        <v>0</v>
      </c>
      <c r="CW58" s="113">
        <v>0</v>
      </c>
      <c r="CX58" s="113">
        <v>0</v>
      </c>
      <c r="CY58" s="113">
        <v>0</v>
      </c>
      <c r="CZ58" s="113">
        <v>0</v>
      </c>
      <c r="DA58" s="113">
        <v>0</v>
      </c>
      <c r="DB58" s="113">
        <v>0</v>
      </c>
      <c r="DC58" s="113">
        <v>0</v>
      </c>
      <c r="DD58" s="113">
        <v>0</v>
      </c>
      <c r="DE58" s="113">
        <v>0</v>
      </c>
      <c r="DF58" s="113">
        <v>0</v>
      </c>
      <c r="DG58" s="113">
        <v>0</v>
      </c>
      <c r="DH58" s="113">
        <v>0</v>
      </c>
      <c r="DI58" s="113">
        <v>0</v>
      </c>
      <c r="DJ58" s="113">
        <v>0</v>
      </c>
      <c r="DK58" s="113">
        <v>0</v>
      </c>
      <c r="DL58" s="113">
        <v>0</v>
      </c>
      <c r="DM58" s="113">
        <v>0</v>
      </c>
      <c r="DN58" s="113">
        <v>0</v>
      </c>
      <c r="DO58" s="113">
        <v>0</v>
      </c>
      <c r="DP58" s="113">
        <v>0</v>
      </c>
      <c r="DQ58" s="113">
        <v>0</v>
      </c>
      <c r="DR58" s="113">
        <v>0</v>
      </c>
      <c r="DS58" s="113">
        <v>0</v>
      </c>
      <c r="DT58" s="113">
        <v>0</v>
      </c>
      <c r="DU58" s="113">
        <v>0</v>
      </c>
      <c r="DV58" s="113">
        <v>0</v>
      </c>
      <c r="DW58" s="113">
        <v>0</v>
      </c>
      <c r="DX58" s="113">
        <v>0</v>
      </c>
      <c r="DY58" s="113">
        <v>0</v>
      </c>
      <c r="DZ58" s="113">
        <v>0</v>
      </c>
      <c r="EA58" s="113">
        <v>0</v>
      </c>
      <c r="EB58" s="113">
        <v>0</v>
      </c>
      <c r="EC58" s="113">
        <v>0</v>
      </c>
      <c r="ED58" s="113">
        <v>0</v>
      </c>
      <c r="EE58" s="113">
        <v>0</v>
      </c>
      <c r="EF58" s="113">
        <v>0</v>
      </c>
      <c r="EG58" s="113">
        <v>0</v>
      </c>
      <c r="EH58" s="113">
        <v>0</v>
      </c>
      <c r="EI58" s="113">
        <v>0</v>
      </c>
      <c r="EJ58" s="113">
        <v>0</v>
      </c>
      <c r="EK58" s="113">
        <v>0</v>
      </c>
      <c r="EL58" s="113">
        <v>0</v>
      </c>
      <c r="EM58" s="113">
        <v>0</v>
      </c>
      <c r="EN58" s="113">
        <v>0</v>
      </c>
    </row>
    <row r="59" spans="1:144" ht="10.5">
      <c r="A59" s="112" t="s">
        <v>2093</v>
      </c>
      <c r="B59" s="114">
        <v>463</v>
      </c>
      <c r="C59" s="114">
        <v>708</v>
      </c>
      <c r="D59" s="114">
        <v>953</v>
      </c>
      <c r="E59" s="114">
        <v>1146</v>
      </c>
      <c r="F59" s="114">
        <v>1453</v>
      </c>
      <c r="G59" s="114">
        <v>2195</v>
      </c>
      <c r="H59" s="114">
        <v>3454</v>
      </c>
      <c r="I59" s="114">
        <v>4490</v>
      </c>
      <c r="J59" s="114">
        <v>7785</v>
      </c>
      <c r="K59" s="114">
        <v>9421</v>
      </c>
      <c r="L59" s="114">
        <v>7346</v>
      </c>
      <c r="M59" s="114">
        <v>5355</v>
      </c>
      <c r="N59" s="114">
        <v>7531</v>
      </c>
      <c r="O59" s="114">
        <v>8168</v>
      </c>
      <c r="P59" s="114">
        <v>12254</v>
      </c>
      <c r="Q59" s="114">
        <v>12599</v>
      </c>
      <c r="R59" s="114">
        <v>14065</v>
      </c>
      <c r="S59" s="114">
        <v>17681</v>
      </c>
      <c r="T59" s="114">
        <v>14569</v>
      </c>
      <c r="U59" s="114">
        <v>18760</v>
      </c>
      <c r="V59" s="114">
        <v>23150</v>
      </c>
      <c r="W59" s="114">
        <v>16978</v>
      </c>
      <c r="X59" s="114">
        <v>21863</v>
      </c>
      <c r="Y59" s="114">
        <v>22074</v>
      </c>
      <c r="Z59" s="114">
        <v>12193</v>
      </c>
      <c r="AA59" s="114">
        <v>20539</v>
      </c>
      <c r="AB59" s="114">
        <v>25489</v>
      </c>
      <c r="AC59" s="114">
        <v>16571</v>
      </c>
      <c r="AD59" s="114">
        <v>39240</v>
      </c>
      <c r="AE59" s="114">
        <v>46266</v>
      </c>
      <c r="AG59" s="112" t="s">
        <v>2093</v>
      </c>
      <c r="AH59" s="114">
        <v>222.5</v>
      </c>
      <c r="AI59" s="114">
        <v>236</v>
      </c>
      <c r="AJ59" s="114">
        <v>243</v>
      </c>
      <c r="AK59" s="114">
        <v>265</v>
      </c>
      <c r="AL59" s="114">
        <v>239</v>
      </c>
      <c r="AM59" s="114">
        <v>289</v>
      </c>
      <c r="AN59" s="114">
        <v>256</v>
      </c>
      <c r="AO59" s="114">
        <v>362</v>
      </c>
      <c r="AP59" s="114">
        <v>316</v>
      </c>
      <c r="AQ59" s="114">
        <v>373</v>
      </c>
      <c r="AR59" s="114">
        <v>396</v>
      </c>
      <c r="AS59" s="114">
        <v>368</v>
      </c>
      <c r="AT59" s="114">
        <v>499</v>
      </c>
      <c r="AU59" s="114">
        <v>575</v>
      </c>
      <c r="AV59" s="114">
        <v>562</v>
      </c>
      <c r="AW59" s="114">
        <v>559</v>
      </c>
      <c r="AX59" s="114">
        <v>614</v>
      </c>
      <c r="AY59" s="114">
        <v>741</v>
      </c>
      <c r="AZ59" s="114">
        <v>1042</v>
      </c>
      <c r="BA59" s="114">
        <v>1057</v>
      </c>
      <c r="BB59" s="114">
        <v>663</v>
      </c>
      <c r="BC59" s="114">
        <v>1133</v>
      </c>
      <c r="BD59" s="114">
        <v>1337</v>
      </c>
      <c r="BE59" s="114">
        <v>1357</v>
      </c>
      <c r="BF59" s="114">
        <v>1683</v>
      </c>
      <c r="BG59" s="114">
        <v>1983</v>
      </c>
      <c r="BH59" s="114">
        <v>1917</v>
      </c>
      <c r="BI59" s="114">
        <v>2202</v>
      </c>
      <c r="BJ59" s="114">
        <v>2191</v>
      </c>
      <c r="BK59" s="114">
        <v>2436</v>
      </c>
      <c r="BL59" s="114">
        <v>2385</v>
      </c>
      <c r="BM59" s="114">
        <v>2409</v>
      </c>
      <c r="BN59" s="114">
        <v>2206</v>
      </c>
      <c r="BO59" s="114">
        <v>2624</v>
      </c>
      <c r="BP59" s="114">
        <v>2451</v>
      </c>
      <c r="BQ59" s="114">
        <v>65</v>
      </c>
      <c r="BR59" s="114">
        <v>1283</v>
      </c>
      <c r="BS59" s="114">
        <v>2283</v>
      </c>
      <c r="BT59" s="114">
        <v>2738</v>
      </c>
      <c r="BU59" s="114">
        <v>1525</v>
      </c>
      <c r="BV59" s="114">
        <v>2041</v>
      </c>
      <c r="BW59" s="114">
        <v>1865</v>
      </c>
      <c r="BX59" s="114">
        <v>2142</v>
      </c>
      <c r="BY59" s="114">
        <v>1483</v>
      </c>
      <c r="BZ59" s="114">
        <v>2614</v>
      </c>
      <c r="CA59" s="114">
        <v>1549</v>
      </c>
      <c r="CB59" s="114">
        <v>1315</v>
      </c>
      <c r="CC59" s="114">
        <v>2690</v>
      </c>
      <c r="CD59" s="114">
        <v>2528</v>
      </c>
      <c r="CE59" s="114">
        <v>3463</v>
      </c>
      <c r="CF59" s="114">
        <v>2563</v>
      </c>
      <c r="CG59" s="114">
        <v>3700</v>
      </c>
      <c r="CH59" s="114">
        <v>3141</v>
      </c>
      <c r="CI59" s="114">
        <v>3653</v>
      </c>
      <c r="CJ59" s="114">
        <v>2977</v>
      </c>
      <c r="CK59" s="114">
        <v>2828</v>
      </c>
      <c r="CL59" s="114">
        <v>3478</v>
      </c>
      <c r="CM59" s="114">
        <v>2626</v>
      </c>
      <c r="CN59" s="114">
        <v>4926</v>
      </c>
      <c r="CO59" s="114">
        <v>3035</v>
      </c>
      <c r="CP59" s="114">
        <v>4289</v>
      </c>
      <c r="CQ59" s="114">
        <v>4707</v>
      </c>
      <c r="CR59" s="114">
        <v>4388</v>
      </c>
      <c r="CS59" s="114">
        <v>4297</v>
      </c>
      <c r="CT59" s="114">
        <v>4373</v>
      </c>
      <c r="CU59" s="114">
        <v>4174</v>
      </c>
      <c r="CV59" s="114">
        <v>2977</v>
      </c>
      <c r="CW59" s="114">
        <v>3045</v>
      </c>
      <c r="CX59" s="114">
        <v>3574</v>
      </c>
      <c r="CY59" s="114">
        <v>6662</v>
      </c>
      <c r="CZ59" s="114">
        <v>4006</v>
      </c>
      <c r="DA59" s="114">
        <v>4518</v>
      </c>
      <c r="DB59" s="114">
        <v>5410</v>
      </c>
      <c r="DC59" s="114">
        <v>6634</v>
      </c>
      <c r="DD59" s="114">
        <v>5232</v>
      </c>
      <c r="DE59" s="114">
        <v>5874</v>
      </c>
      <c r="DF59" s="114">
        <v>5738</v>
      </c>
      <c r="DG59" s="114">
        <v>6624</v>
      </c>
      <c r="DH59" s="114">
        <v>5108</v>
      </c>
      <c r="DI59" s="114">
        <v>-492</v>
      </c>
      <c r="DJ59" s="114">
        <v>4466</v>
      </c>
      <c r="DK59" s="114">
        <v>6377</v>
      </c>
      <c r="DL59" s="114">
        <v>6055</v>
      </c>
      <c r="DM59" s="114">
        <v>4965</v>
      </c>
      <c r="DN59" s="114">
        <v>5244</v>
      </c>
      <c r="DO59" s="114">
        <v>6558</v>
      </c>
      <c r="DP59" s="114">
        <v>5660</v>
      </c>
      <c r="DQ59" s="114">
        <v>4612</v>
      </c>
      <c r="DR59" s="114">
        <v>4540</v>
      </c>
      <c r="DS59" s="114">
        <v>5863</v>
      </c>
      <c r="DT59" s="114">
        <v>4985</v>
      </c>
      <c r="DU59" s="114">
        <v>-3195</v>
      </c>
      <c r="DV59" s="114">
        <v>4902</v>
      </c>
      <c r="DW59" s="114">
        <v>5018</v>
      </c>
      <c r="DX59" s="114">
        <v>3756</v>
      </c>
      <c r="DY59" s="114">
        <v>3122</v>
      </c>
      <c r="DZ59" s="114">
        <v>5667</v>
      </c>
      <c r="EA59" s="114">
        <v>6267</v>
      </c>
      <c r="EB59" s="114">
        <v>5486</v>
      </c>
      <c r="EC59" s="114">
        <v>8069</v>
      </c>
      <c r="ED59" s="114">
        <v>6576</v>
      </c>
      <c r="EE59" s="114">
        <v>-6302</v>
      </c>
      <c r="EF59" s="114">
        <v>7424</v>
      </c>
      <c r="EG59" s="114">
        <v>8873</v>
      </c>
      <c r="EH59" s="114">
        <v>8824</v>
      </c>
      <c r="EI59" s="114">
        <v>8420</v>
      </c>
      <c r="EJ59" s="114">
        <v>8809</v>
      </c>
      <c r="EK59" s="114">
        <v>13187</v>
      </c>
      <c r="EL59" s="114">
        <v>10678</v>
      </c>
      <c r="EM59" s="114">
        <v>11649</v>
      </c>
      <c r="EN59" s="114">
        <v>10752</v>
      </c>
    </row>
    <row r="60" spans="1:144">
      <c r="A60" s="103"/>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c r="CR60" s="103"/>
      <c r="CS60" s="103"/>
      <c r="CT60" s="103"/>
      <c r="CU60" s="103"/>
      <c r="CV60" s="103"/>
      <c r="CW60" s="103"/>
      <c r="CX60" s="103"/>
      <c r="CY60" s="103"/>
      <c r="CZ60" s="103"/>
      <c r="DA60" s="103"/>
      <c r="DB60" s="103"/>
      <c r="DC60" s="103"/>
      <c r="DD60" s="103"/>
      <c r="DE60" s="103"/>
      <c r="DF60" s="103"/>
      <c r="DG60" s="103"/>
      <c r="DH60" s="103"/>
      <c r="DI60" s="103"/>
      <c r="DJ60" s="103"/>
      <c r="DK60" s="103"/>
      <c r="DL60" s="103"/>
      <c r="DM60" s="103"/>
      <c r="DN60" s="103"/>
      <c r="DO60" s="103"/>
      <c r="DP60" s="103"/>
      <c r="DQ60" s="103"/>
      <c r="DR60" s="103"/>
      <c r="DS60" s="103"/>
      <c r="DT60" s="103"/>
      <c r="DU60" s="103"/>
      <c r="DV60" s="103"/>
      <c r="DW60" s="103"/>
      <c r="DX60" s="103"/>
      <c r="DY60" s="103"/>
      <c r="DZ60" s="103"/>
      <c r="EA60" s="103"/>
      <c r="EB60" s="103"/>
      <c r="EC60" s="103"/>
      <c r="ED60" s="103"/>
      <c r="EE60" s="103"/>
      <c r="EF60" s="103"/>
      <c r="EG60" s="103"/>
      <c r="EH60" s="103"/>
      <c r="EI60" s="103"/>
      <c r="EJ60" s="103"/>
      <c r="EK60" s="103"/>
      <c r="EL60" s="103"/>
      <c r="EM60" s="103"/>
      <c r="EN60" s="103"/>
    </row>
    <row r="61" spans="1:144">
      <c r="A61" s="103" t="s">
        <v>2094</v>
      </c>
      <c r="B61" s="113">
        <v>0</v>
      </c>
      <c r="C61" s="113">
        <v>0</v>
      </c>
      <c r="D61" s="113">
        <v>0</v>
      </c>
      <c r="E61" s="113">
        <v>0</v>
      </c>
      <c r="F61" s="113">
        <v>0</v>
      </c>
      <c r="G61" s="113">
        <v>0</v>
      </c>
      <c r="H61" s="113">
        <v>0</v>
      </c>
      <c r="I61" s="113">
        <v>0</v>
      </c>
      <c r="J61" s="113">
        <v>0</v>
      </c>
      <c r="K61" s="113">
        <v>0</v>
      </c>
      <c r="L61" s="113">
        <v>0</v>
      </c>
      <c r="M61" s="113">
        <v>0</v>
      </c>
      <c r="N61" s="113">
        <v>0</v>
      </c>
      <c r="O61" s="113">
        <v>0</v>
      </c>
      <c r="P61" s="113">
        <v>0</v>
      </c>
      <c r="Q61" s="113">
        <v>0</v>
      </c>
      <c r="R61" s="113">
        <v>0</v>
      </c>
      <c r="S61" s="113">
        <v>0</v>
      </c>
      <c r="T61" s="113">
        <v>0</v>
      </c>
      <c r="U61" s="113">
        <v>0</v>
      </c>
      <c r="V61" s="113">
        <v>0</v>
      </c>
      <c r="W61" s="113">
        <v>0</v>
      </c>
      <c r="X61" s="113">
        <v>0</v>
      </c>
      <c r="Y61" s="113">
        <v>0</v>
      </c>
      <c r="Z61" s="113">
        <v>0</v>
      </c>
      <c r="AA61" s="113">
        <v>0</v>
      </c>
      <c r="AB61" s="113">
        <v>0</v>
      </c>
      <c r="AC61" s="113">
        <v>0</v>
      </c>
      <c r="AD61" s="113">
        <v>0</v>
      </c>
      <c r="AE61" s="113">
        <v>0</v>
      </c>
      <c r="AG61" s="103" t="s">
        <v>2094</v>
      </c>
      <c r="AH61" s="113">
        <v>0</v>
      </c>
      <c r="AI61" s="113">
        <v>0</v>
      </c>
      <c r="AJ61" s="113">
        <v>0</v>
      </c>
      <c r="AK61" s="113">
        <v>0</v>
      </c>
      <c r="AL61" s="113">
        <v>0</v>
      </c>
      <c r="AM61" s="113">
        <v>0</v>
      </c>
      <c r="AN61" s="113">
        <v>0</v>
      </c>
      <c r="AO61" s="113">
        <v>0</v>
      </c>
      <c r="AP61" s="113">
        <v>0</v>
      </c>
      <c r="AQ61" s="113">
        <v>0</v>
      </c>
      <c r="AR61" s="113">
        <v>0</v>
      </c>
      <c r="AS61" s="113">
        <v>0</v>
      </c>
      <c r="AT61" s="113">
        <v>0</v>
      </c>
      <c r="AU61" s="113">
        <v>0</v>
      </c>
      <c r="AV61" s="113">
        <v>0</v>
      </c>
      <c r="AW61" s="113">
        <v>0</v>
      </c>
      <c r="AX61" s="113">
        <v>0</v>
      </c>
      <c r="AY61" s="113">
        <v>0</v>
      </c>
      <c r="AZ61" s="113">
        <v>0</v>
      </c>
      <c r="BA61" s="113">
        <v>0</v>
      </c>
      <c r="BB61" s="113">
        <v>0</v>
      </c>
      <c r="BC61" s="113">
        <v>0</v>
      </c>
      <c r="BD61" s="113">
        <v>0</v>
      </c>
      <c r="BE61" s="113">
        <v>0</v>
      </c>
      <c r="BF61" s="113">
        <v>0</v>
      </c>
      <c r="BG61" s="113">
        <v>0</v>
      </c>
      <c r="BH61" s="113">
        <v>0</v>
      </c>
      <c r="BI61" s="113">
        <v>0</v>
      </c>
      <c r="BJ61" s="113">
        <v>0</v>
      </c>
      <c r="BK61" s="113">
        <v>0</v>
      </c>
      <c r="BL61" s="113">
        <v>0</v>
      </c>
      <c r="BM61" s="113">
        <v>0</v>
      </c>
      <c r="BN61" s="113">
        <v>0</v>
      </c>
      <c r="BO61" s="113">
        <v>0</v>
      </c>
      <c r="BP61" s="113">
        <v>0</v>
      </c>
      <c r="BQ61" s="113">
        <v>0</v>
      </c>
      <c r="BR61" s="113">
        <v>0</v>
      </c>
      <c r="BS61" s="113">
        <v>0</v>
      </c>
      <c r="BT61" s="113">
        <v>0</v>
      </c>
      <c r="BU61" s="113">
        <v>0</v>
      </c>
      <c r="BV61" s="113">
        <v>0</v>
      </c>
      <c r="BW61" s="113">
        <v>0</v>
      </c>
      <c r="BX61" s="113">
        <v>0</v>
      </c>
      <c r="BY61" s="113">
        <v>0</v>
      </c>
      <c r="BZ61" s="113">
        <v>0</v>
      </c>
      <c r="CA61" s="113">
        <v>0</v>
      </c>
      <c r="CB61" s="113">
        <v>0</v>
      </c>
      <c r="CC61" s="113">
        <v>0</v>
      </c>
      <c r="CD61" s="113">
        <v>0</v>
      </c>
      <c r="CE61" s="113">
        <v>0</v>
      </c>
      <c r="CF61" s="113">
        <v>0</v>
      </c>
      <c r="CG61" s="113">
        <v>0</v>
      </c>
      <c r="CH61" s="113">
        <v>0</v>
      </c>
      <c r="CI61" s="113">
        <v>0</v>
      </c>
      <c r="CJ61" s="113">
        <v>0</v>
      </c>
      <c r="CK61" s="113">
        <v>0</v>
      </c>
      <c r="CL61" s="113">
        <v>0</v>
      </c>
      <c r="CM61" s="113">
        <v>0</v>
      </c>
      <c r="CN61" s="113">
        <v>0</v>
      </c>
      <c r="CO61" s="113">
        <v>0</v>
      </c>
      <c r="CP61" s="113">
        <v>0</v>
      </c>
      <c r="CQ61" s="113">
        <v>0</v>
      </c>
      <c r="CR61" s="113">
        <v>0</v>
      </c>
      <c r="CS61" s="113">
        <v>0</v>
      </c>
      <c r="CT61" s="113">
        <v>0</v>
      </c>
      <c r="CU61" s="113">
        <v>0</v>
      </c>
      <c r="CV61" s="113">
        <v>0</v>
      </c>
      <c r="CW61" s="113">
        <v>0</v>
      </c>
      <c r="CX61" s="113">
        <v>0</v>
      </c>
      <c r="CY61" s="113">
        <v>0</v>
      </c>
      <c r="CZ61" s="113">
        <v>0</v>
      </c>
      <c r="DA61" s="113">
        <v>0</v>
      </c>
      <c r="DB61" s="113">
        <v>0</v>
      </c>
      <c r="DC61" s="113">
        <v>0</v>
      </c>
      <c r="DD61" s="113">
        <v>0</v>
      </c>
      <c r="DE61" s="113">
        <v>0</v>
      </c>
      <c r="DF61" s="113">
        <v>0</v>
      </c>
      <c r="DG61" s="113">
        <v>0</v>
      </c>
      <c r="DH61" s="113">
        <v>0</v>
      </c>
      <c r="DI61" s="113">
        <v>0</v>
      </c>
      <c r="DJ61" s="113">
        <v>0</v>
      </c>
      <c r="DK61" s="113">
        <v>0</v>
      </c>
      <c r="DL61" s="113">
        <v>0</v>
      </c>
      <c r="DM61" s="113">
        <v>0</v>
      </c>
      <c r="DN61" s="113">
        <v>0</v>
      </c>
      <c r="DO61" s="113">
        <v>0</v>
      </c>
      <c r="DP61" s="113">
        <v>0</v>
      </c>
      <c r="DQ61" s="113">
        <v>0</v>
      </c>
      <c r="DR61" s="113">
        <v>0</v>
      </c>
      <c r="DS61" s="113">
        <v>0</v>
      </c>
      <c r="DT61" s="113">
        <v>0</v>
      </c>
      <c r="DU61" s="113">
        <v>0</v>
      </c>
      <c r="DV61" s="113">
        <v>0</v>
      </c>
      <c r="DW61" s="113">
        <v>0</v>
      </c>
      <c r="DX61" s="113">
        <v>0</v>
      </c>
      <c r="DY61" s="113">
        <v>0</v>
      </c>
      <c r="DZ61" s="113">
        <v>0</v>
      </c>
      <c r="EA61" s="113">
        <v>0</v>
      </c>
      <c r="EB61" s="113">
        <v>0</v>
      </c>
      <c r="EC61" s="113">
        <v>0</v>
      </c>
      <c r="ED61" s="113">
        <v>0</v>
      </c>
      <c r="EE61" s="113">
        <v>0</v>
      </c>
      <c r="EF61" s="113">
        <v>0</v>
      </c>
      <c r="EG61" s="113">
        <v>0</v>
      </c>
      <c r="EH61" s="113">
        <v>0</v>
      </c>
      <c r="EI61" s="113">
        <v>0</v>
      </c>
      <c r="EJ61" s="113">
        <v>0</v>
      </c>
      <c r="EK61" s="113">
        <v>0</v>
      </c>
      <c r="EL61" s="113">
        <v>0</v>
      </c>
      <c r="EM61" s="113">
        <v>0</v>
      </c>
      <c r="EN61" s="113">
        <v>0</v>
      </c>
    </row>
    <row r="62" spans="1:144" ht="10.5">
      <c r="A62" s="112" t="s">
        <v>2095</v>
      </c>
      <c r="B62" s="116">
        <v>463</v>
      </c>
      <c r="C62" s="116">
        <v>708</v>
      </c>
      <c r="D62" s="116">
        <v>953</v>
      </c>
      <c r="E62" s="116">
        <v>1146</v>
      </c>
      <c r="F62" s="116">
        <v>1453</v>
      </c>
      <c r="G62" s="116">
        <v>2195</v>
      </c>
      <c r="H62" s="116">
        <v>3454</v>
      </c>
      <c r="I62" s="116">
        <v>4490</v>
      </c>
      <c r="J62" s="116">
        <v>7785</v>
      </c>
      <c r="K62" s="116">
        <v>9421</v>
      </c>
      <c r="L62" s="116">
        <v>7346</v>
      </c>
      <c r="M62" s="116">
        <v>5355</v>
      </c>
      <c r="N62" s="116">
        <v>7531</v>
      </c>
      <c r="O62" s="116">
        <v>8168</v>
      </c>
      <c r="P62" s="116">
        <v>12254</v>
      </c>
      <c r="Q62" s="116">
        <v>12599</v>
      </c>
      <c r="R62" s="116">
        <v>14065</v>
      </c>
      <c r="S62" s="116">
        <v>17681</v>
      </c>
      <c r="T62" s="116">
        <v>14569</v>
      </c>
      <c r="U62" s="116">
        <v>18760</v>
      </c>
      <c r="V62" s="116">
        <v>23150</v>
      </c>
      <c r="W62" s="116">
        <v>16978</v>
      </c>
      <c r="X62" s="116">
        <v>21863</v>
      </c>
      <c r="Y62" s="116">
        <v>22074</v>
      </c>
      <c r="Z62" s="116">
        <v>12193</v>
      </c>
      <c r="AA62" s="116">
        <v>20539</v>
      </c>
      <c r="AB62" s="116">
        <v>25489</v>
      </c>
      <c r="AC62" s="116">
        <v>16571</v>
      </c>
      <c r="AD62" s="116">
        <v>39240</v>
      </c>
      <c r="AE62" s="116">
        <v>46266</v>
      </c>
      <c r="AG62" s="112" t="s">
        <v>2095</v>
      </c>
      <c r="AH62" s="116">
        <v>222.5</v>
      </c>
      <c r="AI62" s="116">
        <v>236</v>
      </c>
      <c r="AJ62" s="116">
        <v>243</v>
      </c>
      <c r="AK62" s="116">
        <v>265</v>
      </c>
      <c r="AL62" s="116">
        <v>239</v>
      </c>
      <c r="AM62" s="116">
        <v>289</v>
      </c>
      <c r="AN62" s="116">
        <v>256</v>
      </c>
      <c r="AO62" s="116">
        <v>362</v>
      </c>
      <c r="AP62" s="116">
        <v>316</v>
      </c>
      <c r="AQ62" s="116">
        <v>373</v>
      </c>
      <c r="AR62" s="116">
        <v>396</v>
      </c>
      <c r="AS62" s="116">
        <v>368</v>
      </c>
      <c r="AT62" s="116">
        <v>499</v>
      </c>
      <c r="AU62" s="116">
        <v>575</v>
      </c>
      <c r="AV62" s="116">
        <v>562</v>
      </c>
      <c r="AW62" s="116">
        <v>559</v>
      </c>
      <c r="AX62" s="116">
        <v>614</v>
      </c>
      <c r="AY62" s="116">
        <v>741</v>
      </c>
      <c r="AZ62" s="116">
        <v>1042</v>
      </c>
      <c r="BA62" s="116">
        <v>1057</v>
      </c>
      <c r="BB62" s="116">
        <v>663</v>
      </c>
      <c r="BC62" s="116">
        <v>1133</v>
      </c>
      <c r="BD62" s="116">
        <v>1337</v>
      </c>
      <c r="BE62" s="116">
        <v>1357</v>
      </c>
      <c r="BF62" s="116">
        <v>1683</v>
      </c>
      <c r="BG62" s="116">
        <v>1983</v>
      </c>
      <c r="BH62" s="116">
        <v>1917</v>
      </c>
      <c r="BI62" s="116">
        <v>2202</v>
      </c>
      <c r="BJ62" s="116">
        <v>2191</v>
      </c>
      <c r="BK62" s="116">
        <v>2436</v>
      </c>
      <c r="BL62" s="116">
        <v>2385</v>
      </c>
      <c r="BM62" s="116">
        <v>2409</v>
      </c>
      <c r="BN62" s="116">
        <v>2206</v>
      </c>
      <c r="BO62" s="116">
        <v>2624</v>
      </c>
      <c r="BP62" s="116">
        <v>2451</v>
      </c>
      <c r="BQ62" s="116">
        <v>65</v>
      </c>
      <c r="BR62" s="116">
        <v>1283</v>
      </c>
      <c r="BS62" s="116">
        <v>2283</v>
      </c>
      <c r="BT62" s="116">
        <v>2738</v>
      </c>
      <c r="BU62" s="116">
        <v>1525</v>
      </c>
      <c r="BV62" s="116">
        <v>2041</v>
      </c>
      <c r="BW62" s="116">
        <v>1865</v>
      </c>
      <c r="BX62" s="116">
        <v>2142</v>
      </c>
      <c r="BY62" s="116">
        <v>1483</v>
      </c>
      <c r="BZ62" s="116">
        <v>2614</v>
      </c>
      <c r="CA62" s="116">
        <v>1549</v>
      </c>
      <c r="CB62" s="116">
        <v>1315</v>
      </c>
      <c r="CC62" s="116">
        <v>2690</v>
      </c>
      <c r="CD62" s="116">
        <v>2528</v>
      </c>
      <c r="CE62" s="116">
        <v>3463</v>
      </c>
      <c r="CF62" s="116">
        <v>2563</v>
      </c>
      <c r="CG62" s="116">
        <v>3700</v>
      </c>
      <c r="CH62" s="116">
        <v>3141</v>
      </c>
      <c r="CI62" s="116">
        <v>3653</v>
      </c>
      <c r="CJ62" s="116">
        <v>2977</v>
      </c>
      <c r="CK62" s="116">
        <v>2828</v>
      </c>
      <c r="CL62" s="116">
        <v>3478</v>
      </c>
      <c r="CM62" s="116">
        <v>2626</v>
      </c>
      <c r="CN62" s="116">
        <v>4926</v>
      </c>
      <c r="CO62" s="116">
        <v>3035</v>
      </c>
      <c r="CP62" s="116">
        <v>4289</v>
      </c>
      <c r="CQ62" s="116">
        <v>4707</v>
      </c>
      <c r="CR62" s="116">
        <v>4388</v>
      </c>
      <c r="CS62" s="116">
        <v>4297</v>
      </c>
      <c r="CT62" s="116">
        <v>4373</v>
      </c>
      <c r="CU62" s="116">
        <v>4174</v>
      </c>
      <c r="CV62" s="116">
        <v>2977</v>
      </c>
      <c r="CW62" s="116">
        <v>3045</v>
      </c>
      <c r="CX62" s="116">
        <v>3574</v>
      </c>
      <c r="CY62" s="116">
        <v>6662</v>
      </c>
      <c r="CZ62" s="116">
        <v>4006</v>
      </c>
      <c r="DA62" s="116">
        <v>4518</v>
      </c>
      <c r="DB62" s="116">
        <v>5410</v>
      </c>
      <c r="DC62" s="116">
        <v>6634</v>
      </c>
      <c r="DD62" s="116">
        <v>5232</v>
      </c>
      <c r="DE62" s="116">
        <v>5874</v>
      </c>
      <c r="DF62" s="116">
        <v>5738</v>
      </c>
      <c r="DG62" s="116">
        <v>6624</v>
      </c>
      <c r="DH62" s="116">
        <v>5108</v>
      </c>
      <c r="DI62" s="116">
        <v>-492</v>
      </c>
      <c r="DJ62" s="116">
        <v>4466</v>
      </c>
      <c r="DK62" s="116">
        <v>6377</v>
      </c>
      <c r="DL62" s="116">
        <v>6055</v>
      </c>
      <c r="DM62" s="116">
        <v>4965</v>
      </c>
      <c r="DN62" s="116">
        <v>5244</v>
      </c>
      <c r="DO62" s="116">
        <v>6558</v>
      </c>
      <c r="DP62" s="116">
        <v>5660</v>
      </c>
      <c r="DQ62" s="116">
        <v>4612</v>
      </c>
      <c r="DR62" s="116">
        <v>4540</v>
      </c>
      <c r="DS62" s="116">
        <v>5863</v>
      </c>
      <c r="DT62" s="116">
        <v>4985</v>
      </c>
      <c r="DU62" s="116">
        <v>-3195</v>
      </c>
      <c r="DV62" s="116">
        <v>4902</v>
      </c>
      <c r="DW62" s="116">
        <v>5018</v>
      </c>
      <c r="DX62" s="116">
        <v>3756</v>
      </c>
      <c r="DY62" s="116">
        <v>3122</v>
      </c>
      <c r="DZ62" s="116">
        <v>5667</v>
      </c>
      <c r="EA62" s="116">
        <v>6267</v>
      </c>
      <c r="EB62" s="116">
        <v>5486</v>
      </c>
      <c r="EC62" s="116">
        <v>8069</v>
      </c>
      <c r="ED62" s="116">
        <v>6576</v>
      </c>
      <c r="EE62" s="116">
        <v>-6302</v>
      </c>
      <c r="EF62" s="116">
        <v>7424</v>
      </c>
      <c r="EG62" s="116">
        <v>8873</v>
      </c>
      <c r="EH62" s="116">
        <v>8824</v>
      </c>
      <c r="EI62" s="116">
        <v>8420</v>
      </c>
      <c r="EJ62" s="116">
        <v>8809</v>
      </c>
      <c r="EK62" s="116">
        <v>13187</v>
      </c>
      <c r="EL62" s="116">
        <v>10678</v>
      </c>
      <c r="EM62" s="116">
        <v>11649</v>
      </c>
      <c r="EN62" s="116">
        <v>10752</v>
      </c>
    </row>
    <row r="63" spans="1:144">
      <c r="A63" s="103"/>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c r="CR63" s="103"/>
      <c r="CS63" s="103"/>
      <c r="CT63" s="103"/>
      <c r="CU63" s="103"/>
      <c r="CV63" s="103"/>
      <c r="CW63" s="103"/>
      <c r="CX63" s="103"/>
      <c r="CY63" s="103"/>
      <c r="CZ63" s="103"/>
      <c r="DA63" s="103"/>
      <c r="DB63" s="103"/>
      <c r="DC63" s="103"/>
      <c r="DD63" s="103"/>
      <c r="DE63" s="103"/>
      <c r="DF63" s="103"/>
      <c r="DG63" s="103"/>
      <c r="DH63" s="103"/>
      <c r="DI63" s="103"/>
      <c r="DJ63" s="103"/>
      <c r="DK63" s="103"/>
      <c r="DL63" s="103"/>
      <c r="DM63" s="103"/>
      <c r="DN63" s="103"/>
      <c r="DO63" s="103"/>
      <c r="DP63" s="103"/>
      <c r="DQ63" s="103"/>
      <c r="DR63" s="103"/>
      <c r="DS63" s="103"/>
      <c r="DT63" s="103"/>
      <c r="DU63" s="103"/>
      <c r="DV63" s="103"/>
      <c r="DW63" s="103"/>
      <c r="DX63" s="103"/>
      <c r="DY63" s="103"/>
      <c r="DZ63" s="103"/>
      <c r="EA63" s="103"/>
      <c r="EB63" s="103"/>
      <c r="EC63" s="103"/>
      <c r="ED63" s="103"/>
      <c r="EE63" s="103"/>
      <c r="EF63" s="103"/>
      <c r="EG63" s="103"/>
      <c r="EH63" s="103"/>
      <c r="EI63" s="103"/>
      <c r="EJ63" s="103"/>
      <c r="EK63" s="103"/>
      <c r="EL63" s="103"/>
      <c r="EM63" s="103"/>
      <c r="EN63" s="103"/>
    </row>
    <row r="64" spans="1:144">
      <c r="A64" s="103" t="s">
        <v>2096</v>
      </c>
      <c r="B64" s="113">
        <v>0</v>
      </c>
      <c r="C64" s="113">
        <v>0</v>
      </c>
      <c r="D64" s="113">
        <v>0</v>
      </c>
      <c r="E64" s="113">
        <v>0</v>
      </c>
      <c r="F64" s="113">
        <v>0</v>
      </c>
      <c r="G64" s="113">
        <v>0</v>
      </c>
      <c r="H64" s="113">
        <v>15</v>
      </c>
      <c r="I64" s="113">
        <v>28</v>
      </c>
      <c r="J64" s="113">
        <v>28</v>
      </c>
      <c r="K64" s="113">
        <v>13</v>
      </c>
      <c r="L64" s="113">
        <v>0</v>
      </c>
      <c r="M64" s="113">
        <v>0</v>
      </c>
      <c r="N64" s="113">
        <v>0</v>
      </c>
      <c r="O64" s="113">
        <v>0</v>
      </c>
      <c r="P64" s="113">
        <v>0</v>
      </c>
      <c r="Q64" s="113">
        <v>0</v>
      </c>
      <c r="R64" s="113">
        <v>0</v>
      </c>
      <c r="S64" s="113">
        <v>0</v>
      </c>
      <c r="T64" s="113">
        <v>0</v>
      </c>
      <c r="U64" s="113">
        <v>0</v>
      </c>
      <c r="V64" s="113">
        <v>0</v>
      </c>
      <c r="W64" s="113">
        <v>0</v>
      </c>
      <c r="X64" s="113">
        <v>0</v>
      </c>
      <c r="Y64" s="113">
        <v>0</v>
      </c>
      <c r="Z64" s="113">
        <v>0</v>
      </c>
      <c r="AA64" s="113">
        <v>0</v>
      </c>
      <c r="AB64" s="113">
        <v>0</v>
      </c>
      <c r="AC64" s="113">
        <v>0</v>
      </c>
      <c r="AD64" s="113">
        <v>0</v>
      </c>
      <c r="AE64" s="113">
        <v>0</v>
      </c>
      <c r="AG64" s="103" t="s">
        <v>2096</v>
      </c>
      <c r="AH64" s="113">
        <v>0</v>
      </c>
      <c r="AI64" s="113">
        <v>0</v>
      </c>
      <c r="AJ64" s="113">
        <v>0</v>
      </c>
      <c r="AK64" s="113">
        <v>0</v>
      </c>
      <c r="AL64" s="113">
        <v>0</v>
      </c>
      <c r="AM64" s="113">
        <v>0</v>
      </c>
      <c r="AN64" s="113">
        <v>0</v>
      </c>
      <c r="AO64" s="113">
        <v>0</v>
      </c>
      <c r="AP64" s="113">
        <v>0</v>
      </c>
      <c r="AQ64" s="113">
        <v>0</v>
      </c>
      <c r="AR64" s="113">
        <v>0</v>
      </c>
      <c r="AS64" s="113">
        <v>0</v>
      </c>
      <c r="AT64" s="113">
        <v>0</v>
      </c>
      <c r="AU64" s="113">
        <v>0</v>
      </c>
      <c r="AV64" s="113">
        <v>0</v>
      </c>
      <c r="AW64" s="113">
        <v>0</v>
      </c>
      <c r="AX64" s="113">
        <v>0</v>
      </c>
      <c r="AY64" s="113">
        <v>1</v>
      </c>
      <c r="AZ64" s="113">
        <v>7</v>
      </c>
      <c r="BA64" s="113">
        <v>7</v>
      </c>
      <c r="BB64" s="113">
        <v>7</v>
      </c>
      <c r="BC64" s="113">
        <v>7</v>
      </c>
      <c r="BD64" s="113">
        <v>7</v>
      </c>
      <c r="BE64" s="113">
        <v>7</v>
      </c>
      <c r="BF64" s="113">
        <v>7</v>
      </c>
      <c r="BG64" s="113">
        <v>7</v>
      </c>
      <c r="BH64" s="113">
        <v>7</v>
      </c>
      <c r="BI64" s="113">
        <v>7</v>
      </c>
      <c r="BJ64" s="113">
        <v>7</v>
      </c>
      <c r="BK64" s="113">
        <v>6</v>
      </c>
      <c r="BL64" s="113">
        <v>0</v>
      </c>
      <c r="BM64" s="113">
        <v>0</v>
      </c>
      <c r="BN64" s="113">
        <v>0</v>
      </c>
      <c r="BO64" s="113">
        <v>0</v>
      </c>
      <c r="BP64" s="113">
        <v>0</v>
      </c>
      <c r="BQ64" s="113">
        <v>0</v>
      </c>
      <c r="BR64" s="113">
        <v>0</v>
      </c>
      <c r="BS64" s="113">
        <v>0</v>
      </c>
      <c r="BT64" s="113">
        <v>0</v>
      </c>
      <c r="BU64" s="113">
        <v>0</v>
      </c>
      <c r="BV64" s="113">
        <v>0</v>
      </c>
      <c r="BW64" s="113">
        <v>0</v>
      </c>
      <c r="BX64" s="113">
        <v>0</v>
      </c>
      <c r="BY64" s="113">
        <v>0</v>
      </c>
      <c r="BZ64" s="113">
        <v>0</v>
      </c>
      <c r="CA64" s="113">
        <v>0</v>
      </c>
      <c r="CB64" s="113">
        <v>0</v>
      </c>
      <c r="CC64" s="113">
        <v>0</v>
      </c>
      <c r="CD64" s="113">
        <v>0</v>
      </c>
      <c r="CE64" s="113">
        <v>0</v>
      </c>
      <c r="CF64" s="113">
        <v>0</v>
      </c>
      <c r="CG64" s="113">
        <v>0</v>
      </c>
      <c r="CH64" s="113">
        <v>0</v>
      </c>
      <c r="CI64" s="113">
        <v>0</v>
      </c>
      <c r="CJ64" s="113">
        <v>0</v>
      </c>
      <c r="CK64" s="113">
        <v>0</v>
      </c>
      <c r="CL64" s="113">
        <v>0</v>
      </c>
      <c r="CM64" s="113">
        <v>0</v>
      </c>
      <c r="CN64" s="113">
        <v>0</v>
      </c>
      <c r="CO64" s="113">
        <v>0</v>
      </c>
      <c r="CP64" s="113">
        <v>0</v>
      </c>
      <c r="CQ64" s="113">
        <v>0</v>
      </c>
      <c r="CR64" s="113">
        <v>0</v>
      </c>
      <c r="CS64" s="113">
        <v>0</v>
      </c>
      <c r="CT64" s="113">
        <v>0</v>
      </c>
      <c r="CU64" s="113">
        <v>0</v>
      </c>
      <c r="CV64" s="113">
        <v>0</v>
      </c>
      <c r="CW64" s="113">
        <v>0</v>
      </c>
      <c r="CX64" s="113">
        <v>0</v>
      </c>
      <c r="CY64" s="113">
        <v>0</v>
      </c>
      <c r="CZ64" s="113">
        <v>0</v>
      </c>
      <c r="DA64" s="113">
        <v>0</v>
      </c>
      <c r="DB64" s="113">
        <v>0</v>
      </c>
      <c r="DC64" s="113">
        <v>0</v>
      </c>
      <c r="DD64" s="113">
        <v>0</v>
      </c>
      <c r="DE64" s="113">
        <v>0</v>
      </c>
      <c r="DF64" s="113">
        <v>0</v>
      </c>
      <c r="DG64" s="113">
        <v>0</v>
      </c>
      <c r="DH64" s="113">
        <v>0</v>
      </c>
      <c r="DI64" s="113">
        <v>0</v>
      </c>
      <c r="DJ64" s="113">
        <v>0</v>
      </c>
      <c r="DK64" s="113">
        <v>0</v>
      </c>
      <c r="DL64" s="113">
        <v>0</v>
      </c>
      <c r="DM64" s="113">
        <v>0</v>
      </c>
      <c r="DN64" s="113">
        <v>0</v>
      </c>
      <c r="DO64" s="113">
        <v>0</v>
      </c>
      <c r="DP64" s="113">
        <v>0</v>
      </c>
      <c r="DQ64" s="113">
        <v>0</v>
      </c>
      <c r="DR64" s="113">
        <v>0</v>
      </c>
      <c r="DS64" s="113">
        <v>0</v>
      </c>
      <c r="DT64" s="113">
        <v>0</v>
      </c>
      <c r="DU64" s="113">
        <v>0</v>
      </c>
      <c r="DV64" s="113">
        <v>0</v>
      </c>
      <c r="DW64" s="113">
        <v>0</v>
      </c>
      <c r="DX64" s="113">
        <v>0</v>
      </c>
      <c r="DY64" s="113">
        <v>0</v>
      </c>
      <c r="DZ64" s="113">
        <v>0</v>
      </c>
      <c r="EA64" s="113">
        <v>0</v>
      </c>
      <c r="EB64" s="113">
        <v>0</v>
      </c>
      <c r="EC64" s="113">
        <v>0</v>
      </c>
      <c r="ED64" s="113">
        <v>0</v>
      </c>
      <c r="EE64" s="113">
        <v>0</v>
      </c>
      <c r="EF64" s="113">
        <v>0</v>
      </c>
      <c r="EG64" s="113">
        <v>0</v>
      </c>
      <c r="EH64" s="113">
        <v>0</v>
      </c>
      <c r="EI64" s="113">
        <v>0</v>
      </c>
      <c r="EJ64" s="113">
        <v>0</v>
      </c>
      <c r="EK64" s="113">
        <v>0</v>
      </c>
      <c r="EL64" s="113">
        <v>0</v>
      </c>
      <c r="EM64" s="113">
        <v>0</v>
      </c>
      <c r="EN64" s="113">
        <v>0</v>
      </c>
    </row>
    <row r="65" spans="1:144">
      <c r="A65" s="103"/>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c r="CR65" s="103"/>
      <c r="CS65" s="103"/>
      <c r="CT65" s="103"/>
      <c r="CU65" s="103"/>
      <c r="CV65" s="103"/>
      <c r="CW65" s="103"/>
      <c r="CX65" s="103"/>
      <c r="CY65" s="103"/>
      <c r="CZ65" s="103"/>
      <c r="DA65" s="103"/>
      <c r="DB65" s="103"/>
      <c r="DC65" s="103"/>
      <c r="DD65" s="103"/>
      <c r="DE65" s="103"/>
      <c r="DF65" s="103"/>
      <c r="DG65" s="103"/>
      <c r="DH65" s="103"/>
      <c r="DI65" s="103"/>
      <c r="DJ65" s="103"/>
      <c r="DK65" s="103"/>
      <c r="DL65" s="103"/>
      <c r="DM65" s="103"/>
      <c r="DN65" s="103"/>
      <c r="DO65" s="103"/>
      <c r="DP65" s="103"/>
      <c r="DQ65" s="103"/>
      <c r="DR65" s="103"/>
      <c r="DS65" s="103"/>
      <c r="DT65" s="103"/>
      <c r="DU65" s="103"/>
      <c r="DV65" s="103"/>
      <c r="DW65" s="103"/>
      <c r="DX65" s="103"/>
      <c r="DY65" s="103"/>
      <c r="DZ65" s="103"/>
      <c r="EA65" s="103"/>
      <c r="EB65" s="103"/>
      <c r="EC65" s="103"/>
      <c r="ED65" s="103"/>
      <c r="EE65" s="103"/>
      <c r="EF65" s="103"/>
      <c r="EG65" s="103"/>
      <c r="EH65" s="103"/>
      <c r="EI65" s="103"/>
      <c r="EJ65" s="103"/>
      <c r="EK65" s="103"/>
      <c r="EL65" s="103"/>
      <c r="EM65" s="103"/>
      <c r="EN65" s="103"/>
    </row>
    <row r="66" spans="1:144" ht="10.5">
      <c r="A66" s="112" t="s">
        <v>2097</v>
      </c>
      <c r="B66" s="115">
        <v>463</v>
      </c>
      <c r="C66" s="115">
        <v>708</v>
      </c>
      <c r="D66" s="115">
        <v>953</v>
      </c>
      <c r="E66" s="115">
        <v>1146</v>
      </c>
      <c r="F66" s="115">
        <v>1453</v>
      </c>
      <c r="G66" s="115">
        <v>2195</v>
      </c>
      <c r="H66" s="115">
        <v>3439</v>
      </c>
      <c r="I66" s="115">
        <v>4462</v>
      </c>
      <c r="J66" s="115">
        <v>7757</v>
      </c>
      <c r="K66" s="115">
        <v>9408</v>
      </c>
      <c r="L66" s="115">
        <v>7346</v>
      </c>
      <c r="M66" s="115">
        <v>5355</v>
      </c>
      <c r="N66" s="115">
        <v>7531</v>
      </c>
      <c r="O66" s="115">
        <v>8168</v>
      </c>
      <c r="P66" s="115">
        <v>12254</v>
      </c>
      <c r="Q66" s="115">
        <v>12599</v>
      </c>
      <c r="R66" s="115">
        <v>14065</v>
      </c>
      <c r="S66" s="115">
        <v>17681</v>
      </c>
      <c r="T66" s="115">
        <v>14569</v>
      </c>
      <c r="U66" s="115">
        <v>18760</v>
      </c>
      <c r="V66" s="115">
        <v>23150</v>
      </c>
      <c r="W66" s="115">
        <v>16978</v>
      </c>
      <c r="X66" s="115">
        <v>21863</v>
      </c>
      <c r="Y66" s="115">
        <v>22074</v>
      </c>
      <c r="Z66" s="115">
        <v>12193</v>
      </c>
      <c r="AA66" s="115">
        <v>20539</v>
      </c>
      <c r="AB66" s="115">
        <v>25489</v>
      </c>
      <c r="AC66" s="115">
        <v>16571</v>
      </c>
      <c r="AD66" s="115">
        <v>39240</v>
      </c>
      <c r="AE66" s="115">
        <v>46266</v>
      </c>
      <c r="AG66" s="112" t="s">
        <v>2097</v>
      </c>
      <c r="AH66" s="115">
        <v>222.5</v>
      </c>
      <c r="AI66" s="115">
        <v>236</v>
      </c>
      <c r="AJ66" s="115">
        <v>243</v>
      </c>
      <c r="AK66" s="115">
        <v>265</v>
      </c>
      <c r="AL66" s="115">
        <v>239</v>
      </c>
      <c r="AM66" s="115">
        <v>289</v>
      </c>
      <c r="AN66" s="115">
        <v>256</v>
      </c>
      <c r="AO66" s="115">
        <v>362</v>
      </c>
      <c r="AP66" s="115">
        <v>316</v>
      </c>
      <c r="AQ66" s="115">
        <v>373</v>
      </c>
      <c r="AR66" s="115">
        <v>396</v>
      </c>
      <c r="AS66" s="115">
        <v>368</v>
      </c>
      <c r="AT66" s="115">
        <v>499</v>
      </c>
      <c r="AU66" s="115">
        <v>575</v>
      </c>
      <c r="AV66" s="115">
        <v>562</v>
      </c>
      <c r="AW66" s="115">
        <v>559</v>
      </c>
      <c r="AX66" s="115">
        <v>614</v>
      </c>
      <c r="AY66" s="115">
        <v>740</v>
      </c>
      <c r="AZ66" s="115">
        <v>1035</v>
      </c>
      <c r="BA66" s="115">
        <v>1050</v>
      </c>
      <c r="BB66" s="115">
        <v>656</v>
      </c>
      <c r="BC66" s="115">
        <v>1126</v>
      </c>
      <c r="BD66" s="115">
        <v>1330</v>
      </c>
      <c r="BE66" s="115">
        <v>1350</v>
      </c>
      <c r="BF66" s="115">
        <v>1676</v>
      </c>
      <c r="BG66" s="115">
        <v>1976</v>
      </c>
      <c r="BH66" s="115">
        <v>1910</v>
      </c>
      <c r="BI66" s="115">
        <v>2195</v>
      </c>
      <c r="BJ66" s="115">
        <v>2184</v>
      </c>
      <c r="BK66" s="115">
        <v>2430</v>
      </c>
      <c r="BL66" s="115">
        <v>2385</v>
      </c>
      <c r="BM66" s="115">
        <v>2409</v>
      </c>
      <c r="BN66" s="115">
        <v>2206</v>
      </c>
      <c r="BO66" s="115">
        <v>2624</v>
      </c>
      <c r="BP66" s="115">
        <v>2451</v>
      </c>
      <c r="BQ66" s="115">
        <v>65</v>
      </c>
      <c r="BR66" s="115">
        <v>1283</v>
      </c>
      <c r="BS66" s="115">
        <v>2283</v>
      </c>
      <c r="BT66" s="115">
        <v>2738</v>
      </c>
      <c r="BU66" s="115">
        <v>1525</v>
      </c>
      <c r="BV66" s="115">
        <v>2041</v>
      </c>
      <c r="BW66" s="115">
        <v>1865</v>
      </c>
      <c r="BX66" s="115">
        <v>2142</v>
      </c>
      <c r="BY66" s="115">
        <v>1483</v>
      </c>
      <c r="BZ66" s="115">
        <v>2614</v>
      </c>
      <c r="CA66" s="115">
        <v>1549</v>
      </c>
      <c r="CB66" s="115">
        <v>1315</v>
      </c>
      <c r="CC66" s="115">
        <v>2690</v>
      </c>
      <c r="CD66" s="115">
        <v>2528</v>
      </c>
      <c r="CE66" s="115">
        <v>3463</v>
      </c>
      <c r="CF66" s="115">
        <v>2563</v>
      </c>
      <c r="CG66" s="115">
        <v>3700</v>
      </c>
      <c r="CH66" s="115">
        <v>3141</v>
      </c>
      <c r="CI66" s="115">
        <v>3653</v>
      </c>
      <c r="CJ66" s="115">
        <v>2977</v>
      </c>
      <c r="CK66" s="115">
        <v>2828</v>
      </c>
      <c r="CL66" s="115">
        <v>3478</v>
      </c>
      <c r="CM66" s="115">
        <v>2626</v>
      </c>
      <c r="CN66" s="115">
        <v>4926</v>
      </c>
      <c r="CO66" s="115">
        <v>3035</v>
      </c>
      <c r="CP66" s="115">
        <v>4289</v>
      </c>
      <c r="CQ66" s="115">
        <v>4707</v>
      </c>
      <c r="CR66" s="115">
        <v>4388</v>
      </c>
      <c r="CS66" s="115">
        <v>4297</v>
      </c>
      <c r="CT66" s="115">
        <v>4373</v>
      </c>
      <c r="CU66" s="115">
        <v>4174</v>
      </c>
      <c r="CV66" s="115">
        <v>2977</v>
      </c>
      <c r="CW66" s="115">
        <v>3045</v>
      </c>
      <c r="CX66" s="115">
        <v>3574</v>
      </c>
      <c r="CY66" s="115">
        <v>6662</v>
      </c>
      <c r="CZ66" s="115">
        <v>4006</v>
      </c>
      <c r="DA66" s="115">
        <v>4518</v>
      </c>
      <c r="DB66" s="115">
        <v>5410</v>
      </c>
      <c r="DC66" s="115">
        <v>6634</v>
      </c>
      <c r="DD66" s="115">
        <v>5232</v>
      </c>
      <c r="DE66" s="115">
        <v>5874</v>
      </c>
      <c r="DF66" s="115">
        <v>5738</v>
      </c>
      <c r="DG66" s="115">
        <v>6624</v>
      </c>
      <c r="DH66" s="115">
        <v>5108</v>
      </c>
      <c r="DI66" s="115">
        <v>-492</v>
      </c>
      <c r="DJ66" s="115">
        <v>4466</v>
      </c>
      <c r="DK66" s="115">
        <v>6377</v>
      </c>
      <c r="DL66" s="115">
        <v>6055</v>
      </c>
      <c r="DM66" s="115">
        <v>4965</v>
      </c>
      <c r="DN66" s="115">
        <v>5244</v>
      </c>
      <c r="DO66" s="115">
        <v>6558</v>
      </c>
      <c r="DP66" s="115">
        <v>5660</v>
      </c>
      <c r="DQ66" s="115">
        <v>4612</v>
      </c>
      <c r="DR66" s="115">
        <v>4540</v>
      </c>
      <c r="DS66" s="115">
        <v>5863</v>
      </c>
      <c r="DT66" s="115">
        <v>4985</v>
      </c>
      <c r="DU66" s="115">
        <v>-3195</v>
      </c>
      <c r="DV66" s="115">
        <v>4902</v>
      </c>
      <c r="DW66" s="115">
        <v>5018</v>
      </c>
      <c r="DX66" s="115">
        <v>3756</v>
      </c>
      <c r="DY66" s="115">
        <v>3122</v>
      </c>
      <c r="DZ66" s="115">
        <v>5667</v>
      </c>
      <c r="EA66" s="115">
        <v>6267</v>
      </c>
      <c r="EB66" s="115">
        <v>5486</v>
      </c>
      <c r="EC66" s="115">
        <v>8069</v>
      </c>
      <c r="ED66" s="115">
        <v>6576</v>
      </c>
      <c r="EE66" s="115">
        <v>-6302</v>
      </c>
      <c r="EF66" s="115">
        <v>7424</v>
      </c>
      <c r="EG66" s="115">
        <v>8873</v>
      </c>
      <c r="EH66" s="115">
        <v>8824</v>
      </c>
      <c r="EI66" s="115">
        <v>8420</v>
      </c>
      <c r="EJ66" s="115">
        <v>8809</v>
      </c>
      <c r="EK66" s="115">
        <v>13187</v>
      </c>
      <c r="EL66" s="115">
        <v>10678</v>
      </c>
      <c r="EM66" s="115">
        <v>11649</v>
      </c>
      <c r="EN66" s="115">
        <v>10752</v>
      </c>
    </row>
    <row r="67" spans="1:144" ht="10.5">
      <c r="A67" s="112" t="s">
        <v>2098</v>
      </c>
      <c r="B67" s="115">
        <v>463</v>
      </c>
      <c r="C67" s="115">
        <v>708</v>
      </c>
      <c r="D67" s="115">
        <v>953</v>
      </c>
      <c r="E67" s="115">
        <v>1146</v>
      </c>
      <c r="F67" s="115">
        <v>1453</v>
      </c>
      <c r="G67" s="115">
        <v>2195</v>
      </c>
      <c r="H67" s="115">
        <v>3439</v>
      </c>
      <c r="I67" s="115">
        <v>4462</v>
      </c>
      <c r="J67" s="115">
        <v>7757</v>
      </c>
      <c r="K67" s="115">
        <v>9408</v>
      </c>
      <c r="L67" s="115">
        <v>7721</v>
      </c>
      <c r="M67" s="115">
        <v>5355</v>
      </c>
      <c r="N67" s="115">
        <v>7531</v>
      </c>
      <c r="O67" s="115">
        <v>8168</v>
      </c>
      <c r="P67" s="115">
        <v>12254</v>
      </c>
      <c r="Q67" s="115">
        <v>12599</v>
      </c>
      <c r="R67" s="115">
        <v>14065</v>
      </c>
      <c r="S67" s="115">
        <v>17681</v>
      </c>
      <c r="T67" s="115">
        <v>14569</v>
      </c>
      <c r="U67" s="115">
        <v>18760</v>
      </c>
      <c r="V67" s="115">
        <v>23150</v>
      </c>
      <c r="W67" s="115">
        <v>16978</v>
      </c>
      <c r="X67" s="115">
        <v>21863</v>
      </c>
      <c r="Y67" s="115">
        <v>22074</v>
      </c>
      <c r="Z67" s="115">
        <v>12193</v>
      </c>
      <c r="AA67" s="115">
        <v>20539</v>
      </c>
      <c r="AB67" s="115">
        <v>25489</v>
      </c>
      <c r="AC67" s="115">
        <v>16571</v>
      </c>
      <c r="AD67" s="115">
        <v>39240</v>
      </c>
      <c r="AE67" s="115">
        <v>46266</v>
      </c>
      <c r="AG67" s="112" t="s">
        <v>2098</v>
      </c>
      <c r="AH67" s="115">
        <v>222.5</v>
      </c>
      <c r="AI67" s="115">
        <v>236</v>
      </c>
      <c r="AJ67" s="115">
        <v>243</v>
      </c>
      <c r="AK67" s="115">
        <v>265</v>
      </c>
      <c r="AL67" s="115">
        <v>239</v>
      </c>
      <c r="AM67" s="115">
        <v>289</v>
      </c>
      <c r="AN67" s="115">
        <v>256</v>
      </c>
      <c r="AO67" s="115">
        <v>362</v>
      </c>
      <c r="AP67" s="115">
        <v>316</v>
      </c>
      <c r="AQ67" s="115">
        <v>373</v>
      </c>
      <c r="AR67" s="115">
        <v>396</v>
      </c>
      <c r="AS67" s="115">
        <v>368</v>
      </c>
      <c r="AT67" s="115">
        <v>499</v>
      </c>
      <c r="AU67" s="115">
        <v>575</v>
      </c>
      <c r="AV67" s="115">
        <v>562</v>
      </c>
      <c r="AW67" s="115">
        <v>559</v>
      </c>
      <c r="AX67" s="115">
        <v>614</v>
      </c>
      <c r="AY67" s="115">
        <v>740</v>
      </c>
      <c r="AZ67" s="115">
        <v>1035</v>
      </c>
      <c r="BA67" s="115">
        <v>1050</v>
      </c>
      <c r="BB67" s="115">
        <v>656</v>
      </c>
      <c r="BC67" s="115">
        <v>1126</v>
      </c>
      <c r="BD67" s="115">
        <v>1330</v>
      </c>
      <c r="BE67" s="115">
        <v>1350</v>
      </c>
      <c r="BF67" s="115">
        <v>1676</v>
      </c>
      <c r="BG67" s="115">
        <v>1976</v>
      </c>
      <c r="BH67" s="115">
        <v>1910</v>
      </c>
      <c r="BI67" s="115">
        <v>2195</v>
      </c>
      <c r="BJ67" s="115">
        <v>2184</v>
      </c>
      <c r="BK67" s="115">
        <v>2430</v>
      </c>
      <c r="BL67" s="115">
        <v>2385</v>
      </c>
      <c r="BM67" s="115">
        <v>2409</v>
      </c>
      <c r="BN67" s="115">
        <v>2581</v>
      </c>
      <c r="BO67" s="115">
        <v>2624</v>
      </c>
      <c r="BP67" s="115">
        <v>2451</v>
      </c>
      <c r="BQ67" s="115">
        <v>65</v>
      </c>
      <c r="BR67" s="115">
        <v>1283</v>
      </c>
      <c r="BS67" s="115">
        <v>2283</v>
      </c>
      <c r="BT67" s="115">
        <v>2738</v>
      </c>
      <c r="BU67" s="115">
        <v>1525</v>
      </c>
      <c r="BV67" s="115">
        <v>2041</v>
      </c>
      <c r="BW67" s="115">
        <v>1865</v>
      </c>
      <c r="BX67" s="115">
        <v>2142</v>
      </c>
      <c r="BY67" s="115">
        <v>1483</v>
      </c>
      <c r="BZ67" s="115">
        <v>2614</v>
      </c>
      <c r="CA67" s="115">
        <v>1549</v>
      </c>
      <c r="CB67" s="115">
        <v>1315</v>
      </c>
      <c r="CC67" s="115">
        <v>2690</v>
      </c>
      <c r="CD67" s="115">
        <v>2528</v>
      </c>
      <c r="CE67" s="115">
        <v>3463</v>
      </c>
      <c r="CF67" s="115">
        <v>2563</v>
      </c>
      <c r="CG67" s="115">
        <v>3700</v>
      </c>
      <c r="CH67" s="115">
        <v>3141</v>
      </c>
      <c r="CI67" s="115">
        <v>3653</v>
      </c>
      <c r="CJ67" s="115">
        <v>2977</v>
      </c>
      <c r="CK67" s="115">
        <v>2828</v>
      </c>
      <c r="CL67" s="115">
        <v>3478</v>
      </c>
      <c r="CM67" s="115">
        <v>2626</v>
      </c>
      <c r="CN67" s="115">
        <v>4926</v>
      </c>
      <c r="CO67" s="115">
        <v>3035</v>
      </c>
      <c r="CP67" s="115">
        <v>4289</v>
      </c>
      <c r="CQ67" s="115">
        <v>4707</v>
      </c>
      <c r="CR67" s="115">
        <v>4388</v>
      </c>
      <c r="CS67" s="115">
        <v>4297</v>
      </c>
      <c r="CT67" s="115">
        <v>4373</v>
      </c>
      <c r="CU67" s="115">
        <v>4174</v>
      </c>
      <c r="CV67" s="115">
        <v>2977</v>
      </c>
      <c r="CW67" s="115">
        <v>3045</v>
      </c>
      <c r="CX67" s="115">
        <v>3574</v>
      </c>
      <c r="CY67" s="115">
        <v>6662</v>
      </c>
      <c r="CZ67" s="115">
        <v>4006</v>
      </c>
      <c r="DA67" s="115">
        <v>4518</v>
      </c>
      <c r="DB67" s="115">
        <v>5410</v>
      </c>
      <c r="DC67" s="115">
        <v>6634</v>
      </c>
      <c r="DD67" s="115">
        <v>5232</v>
      </c>
      <c r="DE67" s="115">
        <v>5874</v>
      </c>
      <c r="DF67" s="115">
        <v>5738</v>
      </c>
      <c r="DG67" s="115">
        <v>6624</v>
      </c>
      <c r="DH67" s="115">
        <v>5108</v>
      </c>
      <c r="DI67" s="115">
        <v>-492</v>
      </c>
      <c r="DJ67" s="115">
        <v>4466</v>
      </c>
      <c r="DK67" s="115">
        <v>6377</v>
      </c>
      <c r="DL67" s="115">
        <v>6055</v>
      </c>
      <c r="DM67" s="115">
        <v>4965</v>
      </c>
      <c r="DN67" s="115">
        <v>5244</v>
      </c>
      <c r="DO67" s="115">
        <v>6558</v>
      </c>
      <c r="DP67" s="115">
        <v>5660</v>
      </c>
      <c r="DQ67" s="115">
        <v>4612</v>
      </c>
      <c r="DR67" s="115">
        <v>4540</v>
      </c>
      <c r="DS67" s="115">
        <v>5863</v>
      </c>
      <c r="DT67" s="115">
        <v>4985</v>
      </c>
      <c r="DU67" s="115">
        <v>-3195</v>
      </c>
      <c r="DV67" s="115">
        <v>4902</v>
      </c>
      <c r="DW67" s="115">
        <v>5018</v>
      </c>
      <c r="DX67" s="115">
        <v>3756</v>
      </c>
      <c r="DY67" s="115">
        <v>3122</v>
      </c>
      <c r="DZ67" s="115">
        <v>5667</v>
      </c>
      <c r="EA67" s="115">
        <v>6267</v>
      </c>
      <c r="EB67" s="115">
        <v>5486</v>
      </c>
      <c r="EC67" s="115">
        <v>8069</v>
      </c>
      <c r="ED67" s="115">
        <v>6576</v>
      </c>
      <c r="EE67" s="115">
        <v>-6302</v>
      </c>
      <c r="EF67" s="115">
        <v>7424</v>
      </c>
      <c r="EG67" s="115">
        <v>8873</v>
      </c>
      <c r="EH67" s="115">
        <v>8824</v>
      </c>
      <c r="EI67" s="115">
        <v>8420</v>
      </c>
      <c r="EJ67" s="115">
        <v>8809</v>
      </c>
      <c r="EK67" s="115">
        <v>13187</v>
      </c>
      <c r="EL67" s="115">
        <v>10678</v>
      </c>
      <c r="EM67" s="115">
        <v>11649</v>
      </c>
      <c r="EN67" s="115">
        <v>10752</v>
      </c>
    </row>
    <row r="68" spans="1:144">
      <c r="A68" s="103"/>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c r="CR68" s="103"/>
      <c r="CS68" s="103"/>
      <c r="CT68" s="103"/>
      <c r="CU68" s="103"/>
      <c r="CV68" s="103"/>
      <c r="CW68" s="103"/>
      <c r="CX68" s="103"/>
      <c r="CY68" s="103"/>
      <c r="CZ68" s="103"/>
      <c r="DA68" s="103"/>
      <c r="DB68" s="103"/>
      <c r="DC68" s="103"/>
      <c r="DD68" s="103"/>
      <c r="DE68" s="103"/>
      <c r="DF68" s="103"/>
      <c r="DG68" s="103"/>
      <c r="DH68" s="103"/>
      <c r="DI68" s="103"/>
      <c r="DJ68" s="103"/>
      <c r="DK68" s="103"/>
      <c r="DL68" s="103"/>
      <c r="DM68" s="103"/>
      <c r="DN68" s="103"/>
      <c r="DO68" s="103"/>
      <c r="DP68" s="103"/>
      <c r="DQ68" s="103"/>
      <c r="DR68" s="103"/>
      <c r="DS68" s="103"/>
      <c r="DT68" s="103"/>
      <c r="DU68" s="103"/>
      <c r="DV68" s="103"/>
      <c r="DW68" s="103"/>
      <c r="DX68" s="103"/>
      <c r="DY68" s="103"/>
      <c r="DZ68" s="103"/>
      <c r="EA68" s="103"/>
      <c r="EB68" s="103"/>
      <c r="EC68" s="103"/>
      <c r="ED68" s="103"/>
      <c r="EE68" s="103"/>
      <c r="EF68" s="103"/>
      <c r="EG68" s="103"/>
      <c r="EH68" s="103"/>
      <c r="EI68" s="103"/>
      <c r="EJ68" s="103"/>
      <c r="EK68" s="103"/>
      <c r="EL68" s="103"/>
      <c r="EM68" s="103"/>
      <c r="EN68" s="103"/>
    </row>
    <row r="69" spans="1:144" ht="10.5">
      <c r="A69" s="112" t="s">
        <v>2099</v>
      </c>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G69" s="112" t="s">
        <v>2099</v>
      </c>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c r="CR69" s="103"/>
      <c r="CS69" s="103"/>
      <c r="CT69" s="103"/>
      <c r="CU69" s="103"/>
      <c r="CV69" s="103"/>
      <c r="CW69" s="103"/>
      <c r="CX69" s="103"/>
      <c r="CY69" s="103"/>
      <c r="CZ69" s="103"/>
      <c r="DA69" s="103"/>
      <c r="DB69" s="103"/>
      <c r="DC69" s="103"/>
      <c r="DD69" s="103"/>
      <c r="DE69" s="103"/>
      <c r="DF69" s="103"/>
      <c r="DG69" s="103"/>
      <c r="DH69" s="103"/>
      <c r="DI69" s="103"/>
      <c r="DJ69" s="103"/>
      <c r="DK69" s="103"/>
      <c r="DL69" s="103"/>
      <c r="DM69" s="103"/>
      <c r="DN69" s="103"/>
      <c r="DO69" s="103"/>
      <c r="DP69" s="103"/>
      <c r="DQ69" s="103"/>
      <c r="DR69" s="103"/>
      <c r="DS69" s="103"/>
      <c r="DT69" s="103"/>
      <c r="DU69" s="103"/>
      <c r="DV69" s="103"/>
      <c r="DW69" s="103"/>
      <c r="DX69" s="103"/>
      <c r="DY69" s="103"/>
      <c r="DZ69" s="103"/>
      <c r="EA69" s="103"/>
      <c r="EB69" s="103"/>
      <c r="EC69" s="103"/>
      <c r="ED69" s="103"/>
      <c r="EE69" s="103"/>
      <c r="EF69" s="103"/>
      <c r="EG69" s="103"/>
      <c r="EH69" s="103"/>
      <c r="EI69" s="103"/>
      <c r="EJ69" s="103"/>
      <c r="EK69" s="103"/>
      <c r="EL69" s="103"/>
      <c r="EM69" s="103"/>
      <c r="EN69" s="103"/>
    </row>
    <row r="70" spans="1:144">
      <c r="A70" s="103" t="s">
        <v>2100</v>
      </c>
      <c r="B70" s="117">
        <v>0.05</v>
      </c>
      <c r="C70" s="117">
        <v>0.08</v>
      </c>
      <c r="D70" s="117">
        <v>0.1</v>
      </c>
      <c r="E70" s="117">
        <v>0.12</v>
      </c>
      <c r="F70" s="117">
        <v>0.14000000000000001</v>
      </c>
      <c r="G70" s="117">
        <v>0.23</v>
      </c>
      <c r="H70" s="117">
        <v>0.36</v>
      </c>
      <c r="I70" s="117">
        <v>0.46</v>
      </c>
      <c r="J70" s="117">
        <v>0.77</v>
      </c>
      <c r="K70" s="117">
        <v>0.91</v>
      </c>
      <c r="L70" s="117">
        <v>0.69</v>
      </c>
      <c r="M70" s="117">
        <v>0.5</v>
      </c>
      <c r="N70" s="117">
        <v>0.7</v>
      </c>
      <c r="O70" s="117">
        <v>0.76</v>
      </c>
      <c r="P70" s="117">
        <v>1.1299999999999999</v>
      </c>
      <c r="Q70" s="117">
        <v>1.21</v>
      </c>
      <c r="R70" s="117">
        <v>1.44</v>
      </c>
      <c r="S70" s="117">
        <v>1.9</v>
      </c>
      <c r="T70" s="117">
        <v>1.63</v>
      </c>
      <c r="U70" s="117">
        <v>2.13</v>
      </c>
      <c r="V70" s="117">
        <v>2.73</v>
      </c>
      <c r="W70" s="117">
        <v>2.02</v>
      </c>
      <c r="X70" s="117">
        <v>2.61</v>
      </c>
      <c r="Y70" s="117">
        <v>2.66</v>
      </c>
      <c r="Z70" s="117">
        <v>1.49</v>
      </c>
      <c r="AA70" s="117">
        <v>2.59</v>
      </c>
      <c r="AB70" s="117">
        <v>3.29</v>
      </c>
      <c r="AC70" s="117">
        <v>2.15</v>
      </c>
      <c r="AD70" s="117">
        <v>5.1100000000000003</v>
      </c>
      <c r="AE70" s="117">
        <v>6.07</v>
      </c>
      <c r="AG70" s="103" t="s">
        <v>2100</v>
      </c>
      <c r="AH70" s="117">
        <v>0.02</v>
      </c>
      <c r="AI70" s="117">
        <v>0.02</v>
      </c>
      <c r="AJ70" s="117">
        <v>0.02</v>
      </c>
      <c r="AK70" s="117">
        <v>0.03</v>
      </c>
      <c r="AL70" s="117">
        <v>0.02</v>
      </c>
      <c r="AM70" s="117">
        <v>0.03</v>
      </c>
      <c r="AN70" s="117">
        <v>0.03</v>
      </c>
      <c r="AO70" s="117">
        <v>0.04</v>
      </c>
      <c r="AP70" s="117">
        <v>0.03</v>
      </c>
      <c r="AQ70" s="117">
        <v>0.04</v>
      </c>
      <c r="AR70" s="117">
        <v>0.04</v>
      </c>
      <c r="AS70" s="117">
        <v>0.04</v>
      </c>
      <c r="AT70" s="117">
        <v>0.05</v>
      </c>
      <c r="AU70" s="117">
        <v>0.06</v>
      </c>
      <c r="AV70" s="117">
        <v>0.05</v>
      </c>
      <c r="AW70" s="117">
        <v>0.05</v>
      </c>
      <c r="AX70" s="117">
        <v>0.06</v>
      </c>
      <c r="AY70" s="117">
        <v>0.08</v>
      </c>
      <c r="AZ70" s="117">
        <v>0.11</v>
      </c>
      <c r="BA70" s="117">
        <v>0.1</v>
      </c>
      <c r="BB70" s="117">
        <v>7.0000000000000007E-2</v>
      </c>
      <c r="BC70" s="117">
        <v>0.12</v>
      </c>
      <c r="BD70" s="117">
        <v>0.14000000000000001</v>
      </c>
      <c r="BE70" s="117">
        <v>0.14000000000000001</v>
      </c>
      <c r="BF70" s="117">
        <v>0.17</v>
      </c>
      <c r="BG70" s="117">
        <v>0.2</v>
      </c>
      <c r="BH70" s="117">
        <v>0.19</v>
      </c>
      <c r="BI70" s="117">
        <v>0.21</v>
      </c>
      <c r="BJ70" s="117">
        <v>0.21</v>
      </c>
      <c r="BK70" s="117">
        <v>0.24</v>
      </c>
      <c r="BL70" s="117">
        <v>0.23</v>
      </c>
      <c r="BM70" s="117">
        <v>0.23</v>
      </c>
      <c r="BN70" s="117">
        <v>0.21</v>
      </c>
      <c r="BO70" s="117">
        <v>0.25</v>
      </c>
      <c r="BP70" s="117">
        <v>0.23</v>
      </c>
      <c r="BQ70" s="117">
        <v>0.01</v>
      </c>
      <c r="BR70" s="117">
        <v>0.12</v>
      </c>
      <c r="BS70" s="117">
        <v>0.21</v>
      </c>
      <c r="BT70" s="117">
        <v>0.25</v>
      </c>
      <c r="BU70" s="117">
        <v>0.14000000000000001</v>
      </c>
      <c r="BV70" s="117">
        <v>0.19</v>
      </c>
      <c r="BW70" s="117">
        <v>0.17</v>
      </c>
      <c r="BX70" s="117">
        <v>0.2</v>
      </c>
      <c r="BY70" s="117">
        <v>0.14000000000000001</v>
      </c>
      <c r="BZ70" s="117">
        <v>0.24</v>
      </c>
      <c r="CA70" s="117">
        <v>0.14000000000000001</v>
      </c>
      <c r="CB70" s="117">
        <v>0.12</v>
      </c>
      <c r="CC70" s="117">
        <v>0.25</v>
      </c>
      <c r="CD70" s="117">
        <v>0.23</v>
      </c>
      <c r="CE70" s="117">
        <v>0.32</v>
      </c>
      <c r="CF70" s="117">
        <v>0.24</v>
      </c>
      <c r="CG70" s="117">
        <v>0.34</v>
      </c>
      <c r="CH70" s="117">
        <v>0.28999999999999998</v>
      </c>
      <c r="CI70" s="117">
        <v>0.35</v>
      </c>
      <c r="CJ70" s="117">
        <v>0.28999999999999998</v>
      </c>
      <c r="CK70" s="117">
        <v>0.28000000000000003</v>
      </c>
      <c r="CL70" s="117">
        <v>0.35</v>
      </c>
      <c r="CM70" s="117">
        <v>0.27</v>
      </c>
      <c r="CN70" s="117">
        <v>0.51</v>
      </c>
      <c r="CO70" s="117">
        <v>0.32</v>
      </c>
      <c r="CP70" s="117">
        <v>0.46</v>
      </c>
      <c r="CQ70" s="117">
        <v>0.5</v>
      </c>
      <c r="CR70" s="117">
        <v>0.47</v>
      </c>
      <c r="CS70" s="117">
        <v>0.46</v>
      </c>
      <c r="CT70" s="117">
        <v>0.48</v>
      </c>
      <c r="CU70" s="117">
        <v>0.47</v>
      </c>
      <c r="CV70" s="117">
        <v>0.33</v>
      </c>
      <c r="CW70" s="117">
        <v>0.34</v>
      </c>
      <c r="CX70" s="117">
        <v>0.4</v>
      </c>
      <c r="CY70" s="117">
        <v>0.75</v>
      </c>
      <c r="CZ70" s="117">
        <v>0.46</v>
      </c>
      <c r="DA70" s="117">
        <v>0.52</v>
      </c>
      <c r="DB70" s="117">
        <v>0.63</v>
      </c>
      <c r="DC70" s="117">
        <v>0.78</v>
      </c>
      <c r="DD70" s="117">
        <v>0.62</v>
      </c>
      <c r="DE70" s="117">
        <v>0.7</v>
      </c>
      <c r="DF70" s="117">
        <v>0.68</v>
      </c>
      <c r="DG70" s="117">
        <v>0.79</v>
      </c>
      <c r="DH70" s="117">
        <v>0.61</v>
      </c>
      <c r="DI70" s="117">
        <v>-0.06</v>
      </c>
      <c r="DJ70" s="117">
        <v>0.53</v>
      </c>
      <c r="DK70" s="117">
        <v>0.76</v>
      </c>
      <c r="DL70" s="117">
        <v>0.72</v>
      </c>
      <c r="DM70" s="117">
        <v>0.59</v>
      </c>
      <c r="DN70" s="117">
        <v>0.63</v>
      </c>
      <c r="DO70" s="117">
        <v>0.79</v>
      </c>
      <c r="DP70" s="117">
        <v>0.68</v>
      </c>
      <c r="DQ70" s="117">
        <v>0.56000000000000005</v>
      </c>
      <c r="DR70" s="117">
        <v>0.55000000000000004</v>
      </c>
      <c r="DS70" s="117">
        <v>0.71</v>
      </c>
      <c r="DT70" s="117">
        <v>0.61</v>
      </c>
      <c r="DU70" s="117">
        <v>-0.4</v>
      </c>
      <c r="DV70" s="117">
        <v>0.61</v>
      </c>
      <c r="DW70" s="117">
        <v>0.63</v>
      </c>
      <c r="DX70" s="117">
        <v>0.48</v>
      </c>
      <c r="DY70" s="117">
        <v>0.4</v>
      </c>
      <c r="DZ70" s="117">
        <v>0.73</v>
      </c>
      <c r="EA70" s="117">
        <v>0.81</v>
      </c>
      <c r="EB70" s="117">
        <v>0.71</v>
      </c>
      <c r="EC70" s="117">
        <v>1.05</v>
      </c>
      <c r="ED70" s="117">
        <v>0.85</v>
      </c>
      <c r="EE70" s="117">
        <v>-0.82</v>
      </c>
      <c r="EF70" s="117">
        <v>0.96</v>
      </c>
      <c r="EG70" s="117">
        <v>1.1499999999999999</v>
      </c>
      <c r="EH70" s="117">
        <v>1.1499999999999999</v>
      </c>
      <c r="EI70" s="117">
        <v>1.0900000000000001</v>
      </c>
      <c r="EJ70" s="117">
        <v>1.1499999999999999</v>
      </c>
      <c r="EK70" s="117">
        <v>1.72</v>
      </c>
      <c r="EL70" s="117">
        <v>1.4</v>
      </c>
      <c r="EM70" s="117">
        <v>1.53</v>
      </c>
      <c r="EN70" s="117">
        <v>1.41</v>
      </c>
    </row>
    <row r="71" spans="1:144">
      <c r="A71" s="103" t="s">
        <v>2101</v>
      </c>
      <c r="B71" s="118">
        <v>5.1306999999999998E-2</v>
      </c>
      <c r="C71" s="118">
        <v>7.5255000000000002E-2</v>
      </c>
      <c r="D71" s="118">
        <v>9.8286999999999999E-2</v>
      </c>
      <c r="E71" s="118">
        <v>0.11741799999999999</v>
      </c>
      <c r="F71" s="118">
        <v>0.14483599999999999</v>
      </c>
      <c r="G71" s="118">
        <v>0.231735</v>
      </c>
      <c r="H71" s="118">
        <v>0.35957699999999998</v>
      </c>
      <c r="I71" s="118">
        <v>0.458675</v>
      </c>
      <c r="J71" s="118">
        <v>0.77137999999999995</v>
      </c>
      <c r="K71" s="118">
        <v>0.90653300000000003</v>
      </c>
      <c r="L71" s="118">
        <v>0.72273699999999996</v>
      </c>
      <c r="M71" s="118">
        <v>0.49532799999999999</v>
      </c>
      <c r="N71" s="118">
        <v>0.702322</v>
      </c>
      <c r="O71" s="118">
        <v>0.75608600000000004</v>
      </c>
      <c r="P71" s="118">
        <v>1.130547</v>
      </c>
      <c r="Q71" s="118">
        <v>1.207031</v>
      </c>
      <c r="R71" s="118">
        <v>1.443748</v>
      </c>
      <c r="S71" s="118">
        <v>1.895475</v>
      </c>
      <c r="T71" s="118">
        <v>1.6287309999999999</v>
      </c>
      <c r="U71" s="118">
        <v>2.128673</v>
      </c>
      <c r="V71" s="118">
        <v>2.726737</v>
      </c>
      <c r="W71" s="118">
        <v>2.0221529999999999</v>
      </c>
      <c r="X71" s="118">
        <v>2.6105070000000001</v>
      </c>
      <c r="Y71" s="118">
        <v>2.6598380000000001</v>
      </c>
      <c r="Z71" s="118">
        <v>1.491133</v>
      </c>
      <c r="AA71" s="118">
        <v>2.5916709999999998</v>
      </c>
      <c r="AB71" s="118">
        <v>3.2906010000000001</v>
      </c>
      <c r="AC71" s="118">
        <v>2.1520769999999998</v>
      </c>
      <c r="AD71" s="118">
        <v>5.1140359999999996</v>
      </c>
      <c r="AE71" s="118">
        <v>6.0652850000000003</v>
      </c>
      <c r="AG71" s="103" t="s">
        <v>2101</v>
      </c>
      <c r="AH71" s="118">
        <v>2.3099999999999999E-2</v>
      </c>
      <c r="AI71" s="118">
        <v>2.4339E-2</v>
      </c>
      <c r="AJ71" s="118">
        <v>2.4979000000000001E-2</v>
      </c>
      <c r="AK71" s="118">
        <v>2.7061999999999999E-2</v>
      </c>
      <c r="AL71" s="118">
        <v>2.4649000000000001E-2</v>
      </c>
      <c r="AM71" s="118">
        <v>2.9707999999999998E-2</v>
      </c>
      <c r="AN71" s="118">
        <v>2.6315000000000002E-2</v>
      </c>
      <c r="AO71" s="118">
        <v>3.6549999999999999E-2</v>
      </c>
      <c r="AP71" s="118">
        <v>3.1752000000000002E-2</v>
      </c>
      <c r="AQ71" s="118">
        <v>3.73E-2</v>
      </c>
      <c r="AR71" s="118">
        <v>3.9536000000000002E-2</v>
      </c>
      <c r="AS71" s="118">
        <v>3.6163000000000001E-2</v>
      </c>
      <c r="AT71" s="118">
        <v>4.8730000000000002E-2</v>
      </c>
      <c r="AU71" s="118">
        <v>5.6328000000000003E-2</v>
      </c>
      <c r="AV71" s="118">
        <v>5.4968000000000003E-2</v>
      </c>
      <c r="AW71" s="118">
        <v>5.4165999999999999E-2</v>
      </c>
      <c r="AX71" s="118">
        <v>5.9311999999999997E-2</v>
      </c>
      <c r="AY71" s="118">
        <v>7.7372999999999997E-2</v>
      </c>
      <c r="AZ71" s="118">
        <v>0.108308</v>
      </c>
      <c r="BA71" s="118">
        <v>9.8906999999999995E-2</v>
      </c>
      <c r="BB71" s="118">
        <v>6.8048999999999998E-2</v>
      </c>
      <c r="BC71" s="118">
        <v>0.116274</v>
      </c>
      <c r="BD71" s="118">
        <v>0.13666200000000001</v>
      </c>
      <c r="BE71" s="118">
        <v>0.13750000000000001</v>
      </c>
      <c r="BF71" s="118">
        <v>0.169019</v>
      </c>
      <c r="BG71" s="118">
        <v>0.19767899999999999</v>
      </c>
      <c r="BH71" s="118">
        <v>0.18892100000000001</v>
      </c>
      <c r="BI71" s="118">
        <v>0.21431600000000001</v>
      </c>
      <c r="BJ71" s="118">
        <v>0.21290600000000001</v>
      </c>
      <c r="BK71" s="118">
        <v>0.23532800000000001</v>
      </c>
      <c r="BL71" s="118">
        <v>0.22892999999999999</v>
      </c>
      <c r="BM71" s="118">
        <v>0.22942799999999999</v>
      </c>
      <c r="BN71" s="118">
        <v>0.243536</v>
      </c>
      <c r="BO71" s="118">
        <v>0.24615300000000001</v>
      </c>
      <c r="BP71" s="118">
        <v>0.22966600000000001</v>
      </c>
      <c r="BQ71" s="118">
        <v>6.0390000000000001E-3</v>
      </c>
      <c r="BR71" s="118">
        <v>0.11884</v>
      </c>
      <c r="BS71" s="118">
        <v>0.21158399999999999</v>
      </c>
      <c r="BT71" s="118">
        <v>0.25281599999999999</v>
      </c>
      <c r="BU71" s="118">
        <v>0.14081199999999999</v>
      </c>
      <c r="BV71" s="118">
        <v>0.190054</v>
      </c>
      <c r="BW71" s="118">
        <v>0.17424999999999999</v>
      </c>
      <c r="BX71" s="118">
        <v>0.199906</v>
      </c>
      <c r="BY71" s="118">
        <v>0.13811999999999999</v>
      </c>
      <c r="BZ71" s="118">
        <v>0.24179</v>
      </c>
      <c r="CA71" s="118">
        <v>0.143293</v>
      </c>
      <c r="CB71" s="118">
        <v>0.12192799999999999</v>
      </c>
      <c r="CC71" s="118">
        <v>0.24893499999999999</v>
      </c>
      <c r="CD71" s="118">
        <v>0.23250199999999999</v>
      </c>
      <c r="CE71" s="118">
        <v>0.31837799999999999</v>
      </c>
      <c r="CF71" s="118">
        <v>0.23608999999999999</v>
      </c>
      <c r="CG71" s="118">
        <v>0.34418599999999999</v>
      </c>
      <c r="CH71" s="118">
        <v>0.29366100000000001</v>
      </c>
      <c r="CI71" s="118">
        <v>0.34592800000000001</v>
      </c>
      <c r="CJ71" s="118">
        <v>0.28894399999999998</v>
      </c>
      <c r="CK71" s="118">
        <v>0.27763500000000002</v>
      </c>
      <c r="CL71" s="118">
        <v>0.35028700000000002</v>
      </c>
      <c r="CM71" s="118">
        <v>0.26779500000000001</v>
      </c>
      <c r="CN71" s="118">
        <v>0.50652900000000001</v>
      </c>
      <c r="CO71" s="118">
        <v>0.31923800000000002</v>
      </c>
      <c r="CP71" s="118">
        <v>0.45724900000000002</v>
      </c>
      <c r="CQ71" s="118">
        <v>0.50283</v>
      </c>
      <c r="CR71" s="118">
        <v>0.47147299999999998</v>
      </c>
      <c r="CS71" s="118">
        <v>0.46383799999999997</v>
      </c>
      <c r="CT71" s="118">
        <v>0.48139500000000002</v>
      </c>
      <c r="CU71" s="118">
        <v>0.46883000000000002</v>
      </c>
      <c r="CV71" s="118">
        <v>0.33483200000000002</v>
      </c>
      <c r="CW71" s="118">
        <v>0.34209600000000001</v>
      </c>
      <c r="CX71" s="118">
        <v>0.40094200000000002</v>
      </c>
      <c r="CY71" s="118">
        <v>0.75225799999999998</v>
      </c>
      <c r="CZ71" s="118">
        <v>0.45694000000000001</v>
      </c>
      <c r="DA71" s="118">
        <v>0.51859500000000003</v>
      </c>
      <c r="DB71" s="118">
        <v>0.62804700000000002</v>
      </c>
      <c r="DC71" s="118">
        <v>0.78074600000000005</v>
      </c>
      <c r="DD71" s="118">
        <v>0.62137699999999996</v>
      </c>
      <c r="DE71" s="118">
        <v>0.69687900000000003</v>
      </c>
      <c r="DF71" s="118">
        <v>0.68374599999999996</v>
      </c>
      <c r="DG71" s="118">
        <v>0.78838299999999994</v>
      </c>
      <c r="DH71" s="118">
        <v>0.60802199999999995</v>
      </c>
      <c r="DI71" s="118">
        <v>-0.06</v>
      </c>
      <c r="DJ71" s="118">
        <v>0.53191900000000003</v>
      </c>
      <c r="DK71" s="118">
        <v>0.759799</v>
      </c>
      <c r="DL71" s="118">
        <v>0.723935</v>
      </c>
      <c r="DM71" s="118">
        <v>0.59496700000000002</v>
      </c>
      <c r="DN71" s="118">
        <v>0.62885199999999997</v>
      </c>
      <c r="DO71" s="118">
        <v>0.78765300000000005</v>
      </c>
      <c r="DP71" s="118">
        <v>0.68324399999999996</v>
      </c>
      <c r="DQ71" s="118">
        <v>0.55930100000000005</v>
      </c>
      <c r="DR71" s="118">
        <v>0.550369</v>
      </c>
      <c r="DS71" s="118">
        <v>0.71256600000000003</v>
      </c>
      <c r="DT71" s="118">
        <v>0.61038300000000001</v>
      </c>
      <c r="DU71" s="118">
        <v>-0.4</v>
      </c>
      <c r="DV71" s="118">
        <v>0.61305600000000005</v>
      </c>
      <c r="DW71" s="118">
        <v>0.63008500000000001</v>
      </c>
      <c r="DX71" s="118">
        <v>0.475744</v>
      </c>
      <c r="DY71" s="118">
        <v>0.39811200000000002</v>
      </c>
      <c r="DZ71" s="118">
        <v>0.72756399999999999</v>
      </c>
      <c r="EA71" s="118">
        <v>0.80812300000000004</v>
      </c>
      <c r="EB71" s="118">
        <v>0.71016100000000004</v>
      </c>
      <c r="EC71" s="118">
        <v>1.045884</v>
      </c>
      <c r="ED71" s="118">
        <v>0.85313899999999998</v>
      </c>
      <c r="EE71" s="118">
        <v>-0.82</v>
      </c>
      <c r="EF71" s="118">
        <v>0.96440599999999999</v>
      </c>
      <c r="EG71" s="118">
        <v>1.154887</v>
      </c>
      <c r="EH71" s="118">
        <v>1.1500060000000001</v>
      </c>
      <c r="EI71" s="118">
        <v>1.094643</v>
      </c>
      <c r="EJ71" s="118">
        <v>1.148201</v>
      </c>
      <c r="EK71" s="118">
        <v>1.722664</v>
      </c>
      <c r="EL71" s="118">
        <v>1.3987419999999999</v>
      </c>
      <c r="EM71" s="118">
        <v>1.5285390000000001</v>
      </c>
      <c r="EN71" s="118">
        <v>1.414364</v>
      </c>
    </row>
    <row r="72" spans="1:144">
      <c r="A72" s="103" t="s">
        <v>2102</v>
      </c>
      <c r="B72" s="113">
        <v>9024</v>
      </c>
      <c r="C72" s="113">
        <v>9408</v>
      </c>
      <c r="D72" s="113">
        <v>9696</v>
      </c>
      <c r="E72" s="113">
        <v>9760</v>
      </c>
      <c r="F72" s="113">
        <v>10032</v>
      </c>
      <c r="G72" s="113">
        <v>9472</v>
      </c>
      <c r="H72" s="113">
        <v>9564</v>
      </c>
      <c r="I72" s="113">
        <v>9728</v>
      </c>
      <c r="J72" s="113">
        <v>10056</v>
      </c>
      <c r="K72" s="113">
        <v>10378</v>
      </c>
      <c r="L72" s="113">
        <v>10683</v>
      </c>
      <c r="M72" s="113">
        <v>10811</v>
      </c>
      <c r="N72" s="113">
        <v>10723</v>
      </c>
      <c r="O72" s="113">
        <v>10803</v>
      </c>
      <c r="P72" s="113">
        <v>10839</v>
      </c>
      <c r="Q72" s="113">
        <v>10438</v>
      </c>
      <c r="R72" s="113">
        <v>9742</v>
      </c>
      <c r="S72" s="113">
        <v>9328</v>
      </c>
      <c r="T72" s="113">
        <v>8945</v>
      </c>
      <c r="U72" s="113">
        <v>8813</v>
      </c>
      <c r="V72" s="113">
        <v>8490</v>
      </c>
      <c r="W72" s="113">
        <v>8396</v>
      </c>
      <c r="X72" s="113">
        <v>8375</v>
      </c>
      <c r="Y72" s="113">
        <v>8299</v>
      </c>
      <c r="Z72" s="113">
        <v>8177</v>
      </c>
      <c r="AA72" s="113">
        <v>7925</v>
      </c>
      <c r="AB72" s="113">
        <v>7746</v>
      </c>
      <c r="AC72" s="113">
        <v>7700</v>
      </c>
      <c r="AD72" s="113">
        <v>7673</v>
      </c>
      <c r="AE72" s="113">
        <v>7628</v>
      </c>
      <c r="AG72" s="103" t="s">
        <v>2102</v>
      </c>
      <c r="AH72" s="113">
        <v>9632</v>
      </c>
      <c r="AI72" s="113">
        <v>9696</v>
      </c>
      <c r="AJ72" s="113">
        <v>9728</v>
      </c>
      <c r="AK72" s="113">
        <v>9792</v>
      </c>
      <c r="AL72" s="113">
        <v>9696</v>
      </c>
      <c r="AM72" s="113">
        <v>9728</v>
      </c>
      <c r="AN72" s="113">
        <v>9728</v>
      </c>
      <c r="AO72" s="113">
        <v>9904</v>
      </c>
      <c r="AP72" s="113">
        <v>9952</v>
      </c>
      <c r="AQ72" s="113">
        <v>10000</v>
      </c>
      <c r="AR72" s="113">
        <v>10016</v>
      </c>
      <c r="AS72" s="113">
        <v>10176</v>
      </c>
      <c r="AT72" s="113">
        <v>10240</v>
      </c>
      <c r="AU72" s="113">
        <v>10208</v>
      </c>
      <c r="AV72" s="113">
        <v>10224</v>
      </c>
      <c r="AW72" s="113">
        <v>10320</v>
      </c>
      <c r="AX72" s="113">
        <v>10352</v>
      </c>
      <c r="AY72" s="113">
        <v>9564</v>
      </c>
      <c r="AZ72" s="113">
        <v>9556</v>
      </c>
      <c r="BA72" s="113">
        <v>10616</v>
      </c>
      <c r="BB72" s="113">
        <v>9640</v>
      </c>
      <c r="BC72" s="113">
        <v>9684</v>
      </c>
      <c r="BD72" s="113">
        <v>9732</v>
      </c>
      <c r="BE72" s="113">
        <v>9818.1818179999991</v>
      </c>
      <c r="BF72" s="113">
        <v>9916</v>
      </c>
      <c r="BG72" s="113">
        <v>9996</v>
      </c>
      <c r="BH72" s="113">
        <v>10110</v>
      </c>
      <c r="BI72" s="113">
        <v>10241.860465</v>
      </c>
      <c r="BJ72" s="113">
        <v>10258</v>
      </c>
      <c r="BK72" s="113">
        <v>10326</v>
      </c>
      <c r="BL72" s="113">
        <v>10418</v>
      </c>
      <c r="BM72" s="113">
        <v>10500</v>
      </c>
      <c r="BN72" s="113">
        <v>10598</v>
      </c>
      <c r="BO72" s="113">
        <v>10660</v>
      </c>
      <c r="BP72" s="113">
        <v>10672</v>
      </c>
      <c r="BQ72" s="113">
        <v>10762</v>
      </c>
      <c r="BR72" s="113">
        <v>10796</v>
      </c>
      <c r="BS72" s="113">
        <v>10790</v>
      </c>
      <c r="BT72" s="113">
        <v>10830</v>
      </c>
      <c r="BU72" s="113">
        <v>10830</v>
      </c>
      <c r="BV72" s="113">
        <v>10739</v>
      </c>
      <c r="BW72" s="113">
        <v>10703</v>
      </c>
      <c r="BX72" s="113">
        <v>10715</v>
      </c>
      <c r="BY72" s="113">
        <v>10737</v>
      </c>
      <c r="BZ72" s="113">
        <v>10811</v>
      </c>
      <c r="CA72" s="113">
        <v>10810</v>
      </c>
      <c r="CB72" s="113">
        <v>10785</v>
      </c>
      <c r="CC72" s="113">
        <v>10806</v>
      </c>
      <c r="CD72" s="113">
        <v>10873</v>
      </c>
      <c r="CE72" s="113">
        <v>10877</v>
      </c>
      <c r="CF72" s="113">
        <v>10856</v>
      </c>
      <c r="CG72" s="113">
        <v>10750</v>
      </c>
      <c r="CH72" s="113">
        <v>10696</v>
      </c>
      <c r="CI72" s="113">
        <v>10560</v>
      </c>
      <c r="CJ72" s="113">
        <v>10303</v>
      </c>
      <c r="CK72" s="113">
        <v>10186</v>
      </c>
      <c r="CL72" s="113">
        <v>9929</v>
      </c>
      <c r="CM72" s="113">
        <v>9806</v>
      </c>
      <c r="CN72" s="113">
        <v>9725</v>
      </c>
      <c r="CO72" s="113">
        <v>9507</v>
      </c>
      <c r="CP72" s="113">
        <v>9380</v>
      </c>
      <c r="CQ72" s="113">
        <v>9361</v>
      </c>
      <c r="CR72" s="113">
        <v>9307</v>
      </c>
      <c r="CS72" s="113">
        <v>9264</v>
      </c>
      <c r="CT72" s="113">
        <v>9084</v>
      </c>
      <c r="CU72" s="113">
        <v>8903</v>
      </c>
      <c r="CV72" s="113">
        <v>8891</v>
      </c>
      <c r="CW72" s="113">
        <v>8901</v>
      </c>
      <c r="CX72" s="113">
        <v>8914</v>
      </c>
      <c r="CY72" s="113">
        <v>8856</v>
      </c>
      <c r="CZ72" s="113">
        <v>8767</v>
      </c>
      <c r="DA72" s="113">
        <v>8712</v>
      </c>
      <c r="DB72" s="113">
        <v>8614</v>
      </c>
      <c r="DC72" s="113">
        <v>8497</v>
      </c>
      <c r="DD72" s="113">
        <v>8420</v>
      </c>
      <c r="DE72" s="113">
        <v>8429</v>
      </c>
      <c r="DF72" s="113">
        <v>8392</v>
      </c>
      <c r="DG72" s="113">
        <v>8402</v>
      </c>
      <c r="DH72" s="113">
        <v>8401</v>
      </c>
      <c r="DI72" s="113">
        <v>8388</v>
      </c>
      <c r="DJ72" s="113">
        <v>8396</v>
      </c>
      <c r="DK72" s="113">
        <v>8393</v>
      </c>
      <c r="DL72" s="113">
        <v>8364</v>
      </c>
      <c r="DM72" s="113">
        <v>8345</v>
      </c>
      <c r="DN72" s="113">
        <v>8339</v>
      </c>
      <c r="DO72" s="113">
        <v>8326</v>
      </c>
      <c r="DP72" s="113">
        <v>8284</v>
      </c>
      <c r="DQ72" s="113">
        <v>8246</v>
      </c>
      <c r="DR72" s="113">
        <v>8249</v>
      </c>
      <c r="DS72" s="113">
        <v>8228</v>
      </c>
      <c r="DT72" s="113">
        <v>8167</v>
      </c>
      <c r="DU72" s="113">
        <v>8061</v>
      </c>
      <c r="DV72" s="113">
        <v>7996</v>
      </c>
      <c r="DW72" s="113">
        <v>7964</v>
      </c>
      <c r="DX72" s="113">
        <v>7895</v>
      </c>
      <c r="DY72" s="113">
        <v>7842</v>
      </c>
      <c r="DZ72" s="113">
        <v>7789</v>
      </c>
      <c r="EA72" s="113">
        <v>7755</v>
      </c>
      <c r="EB72" s="113">
        <v>7725</v>
      </c>
      <c r="EC72" s="113">
        <v>7715</v>
      </c>
      <c r="ED72" s="113">
        <v>7708</v>
      </c>
      <c r="EE72" s="113">
        <v>7710</v>
      </c>
      <c r="EF72" s="113">
        <v>7698</v>
      </c>
      <c r="EG72" s="113">
        <v>7683</v>
      </c>
      <c r="EH72" s="113">
        <v>7673</v>
      </c>
      <c r="EI72" s="113">
        <v>7692</v>
      </c>
      <c r="EJ72" s="113">
        <v>7672</v>
      </c>
      <c r="EK72" s="113">
        <v>7655</v>
      </c>
      <c r="EL72" s="113">
        <v>7634</v>
      </c>
      <c r="EM72" s="113">
        <v>7621</v>
      </c>
      <c r="EN72" s="113">
        <v>7602</v>
      </c>
    </row>
    <row r="73" spans="1:144">
      <c r="A73" s="103"/>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c r="CR73" s="103"/>
      <c r="CS73" s="103"/>
      <c r="CT73" s="103"/>
      <c r="CU73" s="103"/>
      <c r="CV73" s="103"/>
      <c r="CW73" s="103"/>
      <c r="CX73" s="103"/>
      <c r="CY73" s="103"/>
      <c r="CZ73" s="103"/>
      <c r="DA73" s="103"/>
      <c r="DB73" s="103"/>
      <c r="DC73" s="103"/>
      <c r="DD73" s="103"/>
      <c r="DE73" s="103"/>
      <c r="DF73" s="103"/>
      <c r="DG73" s="103"/>
      <c r="DH73" s="103"/>
      <c r="DI73" s="103"/>
      <c r="DJ73" s="103"/>
      <c r="DK73" s="103"/>
      <c r="DL73" s="103"/>
      <c r="DM73" s="103"/>
      <c r="DN73" s="103"/>
      <c r="DO73" s="103"/>
      <c r="DP73" s="103"/>
      <c r="DQ73" s="103"/>
      <c r="DR73" s="103"/>
      <c r="DS73" s="103"/>
      <c r="DT73" s="103"/>
      <c r="DU73" s="103"/>
      <c r="DV73" s="103"/>
      <c r="DW73" s="103"/>
      <c r="DX73" s="103"/>
      <c r="DY73" s="103"/>
      <c r="DZ73" s="103"/>
      <c r="EA73" s="103"/>
      <c r="EB73" s="103"/>
      <c r="EC73" s="103"/>
      <c r="ED73" s="103"/>
      <c r="EE73" s="103"/>
      <c r="EF73" s="103"/>
      <c r="EG73" s="103"/>
      <c r="EH73" s="103"/>
      <c r="EI73" s="103"/>
      <c r="EJ73" s="103"/>
      <c r="EK73" s="103"/>
      <c r="EL73" s="103"/>
      <c r="EM73" s="103"/>
      <c r="EN73" s="103"/>
    </row>
    <row r="74" spans="1:144">
      <c r="A74" s="103" t="s">
        <v>2103</v>
      </c>
      <c r="B74" s="117">
        <v>0.05</v>
      </c>
      <c r="C74" s="117">
        <v>0.08</v>
      </c>
      <c r="D74" s="117">
        <v>0.1</v>
      </c>
      <c r="E74" s="117">
        <v>0.12</v>
      </c>
      <c r="F74" s="117">
        <v>0.14000000000000001</v>
      </c>
      <c r="G74" s="117">
        <v>0.22</v>
      </c>
      <c r="H74" s="117">
        <v>0.33</v>
      </c>
      <c r="I74" s="117">
        <v>0.42</v>
      </c>
      <c r="J74" s="117">
        <v>0.71</v>
      </c>
      <c r="K74" s="117">
        <v>0.85</v>
      </c>
      <c r="L74" s="117">
        <v>0.66</v>
      </c>
      <c r="M74" s="117">
        <v>0.48</v>
      </c>
      <c r="N74" s="117">
        <v>0.69</v>
      </c>
      <c r="O74" s="117">
        <v>0.75</v>
      </c>
      <c r="P74" s="117">
        <v>1.1200000000000001</v>
      </c>
      <c r="Q74" s="117">
        <v>1.2</v>
      </c>
      <c r="R74" s="117">
        <v>1.42</v>
      </c>
      <c r="S74" s="117">
        <v>1.87</v>
      </c>
      <c r="T74" s="117">
        <v>1.62</v>
      </c>
      <c r="U74" s="117">
        <v>2.1</v>
      </c>
      <c r="V74" s="117">
        <v>2.69</v>
      </c>
      <c r="W74" s="117">
        <v>2</v>
      </c>
      <c r="X74" s="117">
        <v>2.58</v>
      </c>
      <c r="Y74" s="117">
        <v>2.63</v>
      </c>
      <c r="Z74" s="117">
        <v>1.48</v>
      </c>
      <c r="AA74" s="117">
        <v>2.56</v>
      </c>
      <c r="AB74" s="117">
        <v>3.25</v>
      </c>
      <c r="AC74" s="117">
        <v>2.13</v>
      </c>
      <c r="AD74" s="117">
        <v>5.0599999999999996</v>
      </c>
      <c r="AE74" s="117">
        <v>6</v>
      </c>
      <c r="AG74" s="103" t="s">
        <v>2103</v>
      </c>
      <c r="AH74" s="117">
        <v>0.02</v>
      </c>
      <c r="AI74" s="117">
        <v>0.02</v>
      </c>
      <c r="AJ74" s="117">
        <v>0.02</v>
      </c>
      <c r="AK74" s="117">
        <v>0.03</v>
      </c>
      <c r="AL74" s="117">
        <v>0.02</v>
      </c>
      <c r="AM74" s="117">
        <v>0.03</v>
      </c>
      <c r="AN74" s="117">
        <v>0.03</v>
      </c>
      <c r="AO74" s="117">
        <v>0.04</v>
      </c>
      <c r="AP74" s="117">
        <v>0.03</v>
      </c>
      <c r="AQ74" s="117">
        <v>0.04</v>
      </c>
      <c r="AR74" s="117">
        <v>0.04</v>
      </c>
      <c r="AS74" s="117">
        <v>0.04</v>
      </c>
      <c r="AT74" s="117">
        <v>0.05</v>
      </c>
      <c r="AU74" s="117">
        <v>0.06</v>
      </c>
      <c r="AV74" s="117">
        <v>0.05</v>
      </c>
      <c r="AW74" s="117">
        <v>0.05</v>
      </c>
      <c r="AX74" s="117">
        <v>0.06</v>
      </c>
      <c r="AY74" s="117">
        <v>7.0000000000000007E-2</v>
      </c>
      <c r="AZ74" s="117">
        <v>0.1</v>
      </c>
      <c r="BA74" s="117">
        <v>0.1</v>
      </c>
      <c r="BB74" s="117">
        <v>0.06</v>
      </c>
      <c r="BC74" s="117">
        <v>0.11</v>
      </c>
      <c r="BD74" s="117">
        <v>0.12</v>
      </c>
      <c r="BE74" s="117">
        <v>0.13</v>
      </c>
      <c r="BF74" s="117">
        <v>0.15</v>
      </c>
      <c r="BG74" s="117">
        <v>0.18</v>
      </c>
      <c r="BH74" s="117">
        <v>0.17</v>
      </c>
      <c r="BI74" s="117">
        <v>0.2</v>
      </c>
      <c r="BJ74" s="117">
        <v>0.2</v>
      </c>
      <c r="BK74" s="117">
        <v>0.22</v>
      </c>
      <c r="BL74" s="117">
        <v>0.22</v>
      </c>
      <c r="BM74" s="117">
        <v>0.22</v>
      </c>
      <c r="BN74" s="117">
        <v>0.2</v>
      </c>
      <c r="BO74" s="117">
        <v>0.24</v>
      </c>
      <c r="BP74" s="117">
        <v>0.22</v>
      </c>
      <c r="BQ74" s="117">
        <v>0</v>
      </c>
      <c r="BR74" s="117">
        <v>0.12</v>
      </c>
      <c r="BS74" s="117">
        <v>0.21</v>
      </c>
      <c r="BT74" s="117">
        <v>0.25</v>
      </c>
      <c r="BU74" s="117">
        <v>0.13</v>
      </c>
      <c r="BV74" s="117">
        <v>0.19</v>
      </c>
      <c r="BW74" s="117">
        <v>0.17</v>
      </c>
      <c r="BX74" s="117">
        <v>0.2</v>
      </c>
      <c r="BY74" s="117">
        <v>0.14000000000000001</v>
      </c>
      <c r="BZ74" s="117">
        <v>0.24</v>
      </c>
      <c r="CA74" s="117">
        <v>0.14000000000000001</v>
      </c>
      <c r="CB74" s="117">
        <v>0.12</v>
      </c>
      <c r="CC74" s="117">
        <v>0.25</v>
      </c>
      <c r="CD74" s="117">
        <v>0.23</v>
      </c>
      <c r="CE74" s="117">
        <v>0.32</v>
      </c>
      <c r="CF74" s="117">
        <v>0.23</v>
      </c>
      <c r="CG74" s="117">
        <v>0.34</v>
      </c>
      <c r="CH74" s="117">
        <v>0.28999999999999998</v>
      </c>
      <c r="CI74" s="117">
        <v>0.34</v>
      </c>
      <c r="CJ74" s="117">
        <v>0.28999999999999998</v>
      </c>
      <c r="CK74" s="117">
        <v>0.28000000000000003</v>
      </c>
      <c r="CL74" s="117">
        <v>0.35</v>
      </c>
      <c r="CM74" s="117">
        <v>0.26</v>
      </c>
      <c r="CN74" s="117">
        <v>0.5</v>
      </c>
      <c r="CO74" s="117">
        <v>0.31</v>
      </c>
      <c r="CP74" s="117">
        <v>0.45</v>
      </c>
      <c r="CQ74" s="117">
        <v>0.5</v>
      </c>
      <c r="CR74" s="117">
        <v>0.47</v>
      </c>
      <c r="CS74" s="117">
        <v>0.46</v>
      </c>
      <c r="CT74" s="117">
        <v>0.48</v>
      </c>
      <c r="CU74" s="117">
        <v>0.47</v>
      </c>
      <c r="CV74" s="117">
        <v>0.33</v>
      </c>
      <c r="CW74" s="117">
        <v>0.34</v>
      </c>
      <c r="CX74" s="117">
        <v>0.4</v>
      </c>
      <c r="CY74" s="117">
        <v>0.74</v>
      </c>
      <c r="CZ74" s="117">
        <v>0.45</v>
      </c>
      <c r="DA74" s="117">
        <v>0.51</v>
      </c>
      <c r="DB74" s="117">
        <v>0.62</v>
      </c>
      <c r="DC74" s="117">
        <v>0.77</v>
      </c>
      <c r="DD74" s="117">
        <v>0.61</v>
      </c>
      <c r="DE74" s="117">
        <v>0.68</v>
      </c>
      <c r="DF74" s="117">
        <v>0.68</v>
      </c>
      <c r="DG74" s="117">
        <v>0.78</v>
      </c>
      <c r="DH74" s="117">
        <v>0.6</v>
      </c>
      <c r="DI74" s="117">
        <v>-0.06</v>
      </c>
      <c r="DJ74" s="117">
        <v>0.53</v>
      </c>
      <c r="DK74" s="117">
        <v>0.76</v>
      </c>
      <c r="DL74" s="117">
        <v>0.72</v>
      </c>
      <c r="DM74" s="117">
        <v>0.59</v>
      </c>
      <c r="DN74" s="117">
        <v>0.62</v>
      </c>
      <c r="DO74" s="117">
        <v>0.78</v>
      </c>
      <c r="DP74" s="117">
        <v>0.68</v>
      </c>
      <c r="DQ74" s="117">
        <v>0.55000000000000004</v>
      </c>
      <c r="DR74" s="117">
        <v>0.54</v>
      </c>
      <c r="DS74" s="117">
        <v>0.71</v>
      </c>
      <c r="DT74" s="117">
        <v>0.61</v>
      </c>
      <c r="DU74" s="117">
        <v>-0.4</v>
      </c>
      <c r="DV74" s="117">
        <v>0.61</v>
      </c>
      <c r="DW74" s="117">
        <v>0.62</v>
      </c>
      <c r="DX74" s="117">
        <v>0.47</v>
      </c>
      <c r="DY74" s="117">
        <v>0.4</v>
      </c>
      <c r="DZ74" s="117">
        <v>0.72</v>
      </c>
      <c r="EA74" s="117">
        <v>0.8</v>
      </c>
      <c r="EB74" s="117">
        <v>0.7</v>
      </c>
      <c r="EC74" s="117">
        <v>1.03</v>
      </c>
      <c r="ED74" s="117">
        <v>0.84</v>
      </c>
      <c r="EE74" s="117">
        <v>-0.82</v>
      </c>
      <c r="EF74" s="117">
        <v>0.95</v>
      </c>
      <c r="EG74" s="117">
        <v>1.1399999999999999</v>
      </c>
      <c r="EH74" s="117">
        <v>1.1399999999999999</v>
      </c>
      <c r="EI74" s="117">
        <v>1.08</v>
      </c>
      <c r="EJ74" s="117">
        <v>1.1399999999999999</v>
      </c>
      <c r="EK74" s="117">
        <v>1.7</v>
      </c>
      <c r="EL74" s="117">
        <v>1.38</v>
      </c>
      <c r="EM74" s="117">
        <v>1.51</v>
      </c>
      <c r="EN74" s="117">
        <v>1.4</v>
      </c>
    </row>
    <row r="75" spans="1:144">
      <c r="A75" s="103" t="s">
        <v>2104</v>
      </c>
      <c r="B75" s="118">
        <v>5.1306999999999998E-2</v>
      </c>
      <c r="C75" s="118">
        <v>7.4999999999999997E-2</v>
      </c>
      <c r="D75" s="118">
        <v>9.8100000000000007E-2</v>
      </c>
      <c r="E75" s="118">
        <v>0.11741799999999999</v>
      </c>
      <c r="F75" s="118">
        <v>0.14483599999999999</v>
      </c>
      <c r="G75" s="118">
        <v>0.215</v>
      </c>
      <c r="H75" s="118">
        <v>0.33</v>
      </c>
      <c r="I75" s="118">
        <v>0.42</v>
      </c>
      <c r="J75" s="118">
        <v>0.71</v>
      </c>
      <c r="K75" s="118">
        <v>0.85</v>
      </c>
      <c r="L75" s="118">
        <v>0.69</v>
      </c>
      <c r="M75" s="118">
        <v>0.48</v>
      </c>
      <c r="N75" s="118">
        <v>0.69</v>
      </c>
      <c r="O75" s="118">
        <v>0.75</v>
      </c>
      <c r="P75" s="118">
        <v>1.1200000000000001</v>
      </c>
      <c r="Q75" s="118">
        <v>1.2</v>
      </c>
      <c r="R75" s="118">
        <v>1.42</v>
      </c>
      <c r="S75" s="118">
        <v>1.87</v>
      </c>
      <c r="T75" s="118">
        <v>1.62</v>
      </c>
      <c r="U75" s="118">
        <v>2.1</v>
      </c>
      <c r="V75" s="118">
        <v>2.69</v>
      </c>
      <c r="W75" s="118">
        <v>2</v>
      </c>
      <c r="X75" s="118">
        <v>2.58</v>
      </c>
      <c r="Y75" s="118">
        <v>2.63</v>
      </c>
      <c r="Z75" s="118">
        <v>1.48</v>
      </c>
      <c r="AA75" s="118">
        <v>2.56</v>
      </c>
      <c r="AB75" s="118">
        <v>3.25</v>
      </c>
      <c r="AC75" s="118">
        <v>2.13</v>
      </c>
      <c r="AD75" s="118">
        <v>5.0599999999999996</v>
      </c>
      <c r="AE75" s="118">
        <v>6.0024449999999998</v>
      </c>
      <c r="AG75" s="103" t="s">
        <v>2104</v>
      </c>
      <c r="AH75" s="118">
        <v>2.3099999999999999E-2</v>
      </c>
      <c r="AI75" s="118">
        <v>2.4339E-2</v>
      </c>
      <c r="AJ75" s="118">
        <v>2.4979000000000001E-2</v>
      </c>
      <c r="AK75" s="118">
        <v>2.6876000000000001E-2</v>
      </c>
      <c r="AL75" s="118">
        <v>2.4649000000000001E-2</v>
      </c>
      <c r="AM75" s="118">
        <v>2.9707999999999998E-2</v>
      </c>
      <c r="AN75" s="118">
        <v>2.6315000000000002E-2</v>
      </c>
      <c r="AO75" s="118">
        <v>3.6549999999999999E-2</v>
      </c>
      <c r="AP75" s="118">
        <v>3.1752000000000002E-2</v>
      </c>
      <c r="AQ75" s="118">
        <v>3.73E-2</v>
      </c>
      <c r="AR75" s="118">
        <v>3.9399999999999998E-2</v>
      </c>
      <c r="AS75" s="118">
        <v>3.6163000000000001E-2</v>
      </c>
      <c r="AT75" s="118">
        <v>4.8730000000000002E-2</v>
      </c>
      <c r="AU75" s="118">
        <v>5.6328000000000003E-2</v>
      </c>
      <c r="AV75" s="118">
        <v>5.4968000000000003E-2</v>
      </c>
      <c r="AW75" s="118">
        <v>5.4165999999999999E-2</v>
      </c>
      <c r="AX75" s="118">
        <v>5.9311999999999997E-2</v>
      </c>
      <c r="AY75" s="118">
        <v>7.0000000000000007E-2</v>
      </c>
      <c r="AZ75" s="118">
        <v>9.8785999999999999E-2</v>
      </c>
      <c r="BA75" s="118">
        <v>9.8906999999999995E-2</v>
      </c>
      <c r="BB75" s="118">
        <v>6.2195E-2</v>
      </c>
      <c r="BC75" s="118">
        <v>0.10620499999999999</v>
      </c>
      <c r="BD75" s="118">
        <v>0.124487</v>
      </c>
      <c r="BE75" s="118">
        <v>0.12667</v>
      </c>
      <c r="BF75" s="118">
        <v>0.154858</v>
      </c>
      <c r="BG75" s="118">
        <v>0.181593</v>
      </c>
      <c r="BH75" s="118">
        <v>0.17389299999999999</v>
      </c>
      <c r="BI75" s="118">
        <v>0.19994899999999999</v>
      </c>
      <c r="BJ75" s="118">
        <v>0.2</v>
      </c>
      <c r="BK75" s="118">
        <v>0.22</v>
      </c>
      <c r="BL75" s="118">
        <v>0.21513599999999999</v>
      </c>
      <c r="BM75" s="118">
        <v>0.21665100000000001</v>
      </c>
      <c r="BN75" s="118">
        <v>0.23</v>
      </c>
      <c r="BO75" s="118">
        <v>0.23499999999999999</v>
      </c>
      <c r="BP75" s="118">
        <v>0.22</v>
      </c>
      <c r="BQ75" s="118">
        <v>4.8609999999999999E-3</v>
      </c>
      <c r="BR75" s="118">
        <v>0.115</v>
      </c>
      <c r="BS75" s="118">
        <v>0.20499999999999999</v>
      </c>
      <c r="BT75" s="118">
        <v>0.25</v>
      </c>
      <c r="BU75" s="118">
        <v>0.12956100000000001</v>
      </c>
      <c r="BV75" s="118">
        <v>0.19</v>
      </c>
      <c r="BW75" s="118">
        <v>0.17</v>
      </c>
      <c r="BX75" s="118">
        <v>0.199906</v>
      </c>
      <c r="BY75" s="118">
        <v>0.13782700000000001</v>
      </c>
      <c r="BZ75" s="118">
        <v>0.24</v>
      </c>
      <c r="CA75" s="118">
        <v>0.14000000000000001</v>
      </c>
      <c r="CB75" s="118">
        <v>0.12</v>
      </c>
      <c r="CC75" s="118">
        <v>0.24893499999999999</v>
      </c>
      <c r="CD75" s="118">
        <v>0.23</v>
      </c>
      <c r="CE75" s="118">
        <v>0.31837799999999999</v>
      </c>
      <c r="CF75" s="118">
        <v>0.23</v>
      </c>
      <c r="CG75" s="118">
        <v>0.34071499999999999</v>
      </c>
      <c r="CH75" s="118">
        <v>0.28999999999999998</v>
      </c>
      <c r="CI75" s="118">
        <v>0.34</v>
      </c>
      <c r="CJ75" s="118">
        <v>0.28894399999999998</v>
      </c>
      <c r="CK75" s="118">
        <v>0.27763500000000002</v>
      </c>
      <c r="CL75" s="118">
        <v>0.35</v>
      </c>
      <c r="CM75" s="118">
        <v>0.26</v>
      </c>
      <c r="CN75" s="118">
        <v>0.5</v>
      </c>
      <c r="CO75" s="118">
        <v>0.30941999999999997</v>
      </c>
      <c r="CP75" s="118">
        <v>0.45</v>
      </c>
      <c r="CQ75" s="118">
        <v>0.5</v>
      </c>
      <c r="CR75" s="118">
        <v>0.47</v>
      </c>
      <c r="CS75" s="118">
        <v>0.46110600000000002</v>
      </c>
      <c r="CT75" s="118">
        <v>0.48</v>
      </c>
      <c r="CU75" s="118">
        <v>0.46883000000000002</v>
      </c>
      <c r="CV75" s="118">
        <v>0.33</v>
      </c>
      <c r="CW75" s="118">
        <v>0.34086899999999998</v>
      </c>
      <c r="CX75" s="118">
        <v>0.4</v>
      </c>
      <c r="CY75" s="118">
        <v>0.74</v>
      </c>
      <c r="CZ75" s="118">
        <v>0.45</v>
      </c>
      <c r="DA75" s="118">
        <v>0.51108100000000001</v>
      </c>
      <c r="DB75" s="118">
        <v>0.62</v>
      </c>
      <c r="DC75" s="118">
        <v>0.77</v>
      </c>
      <c r="DD75" s="118">
        <v>0.61</v>
      </c>
      <c r="DE75" s="118">
        <v>0.68197099999999999</v>
      </c>
      <c r="DF75" s="118">
        <v>0.68</v>
      </c>
      <c r="DG75" s="118">
        <v>0.78</v>
      </c>
      <c r="DH75" s="118">
        <v>0.6</v>
      </c>
      <c r="DI75" s="118">
        <v>-0.06</v>
      </c>
      <c r="DJ75" s="118">
        <v>0.53</v>
      </c>
      <c r="DK75" s="118">
        <v>0.759799</v>
      </c>
      <c r="DL75" s="118">
        <v>0.72</v>
      </c>
      <c r="DM75" s="118">
        <v>0.59148500000000004</v>
      </c>
      <c r="DN75" s="118">
        <v>0.62</v>
      </c>
      <c r="DO75" s="118">
        <v>0.78</v>
      </c>
      <c r="DP75" s="118">
        <v>0.68</v>
      </c>
      <c r="DQ75" s="118">
        <v>0.55056799999999995</v>
      </c>
      <c r="DR75" s="118">
        <v>0.54</v>
      </c>
      <c r="DS75" s="118">
        <v>0.71</v>
      </c>
      <c r="DT75" s="118">
        <v>0.61</v>
      </c>
      <c r="DU75" s="118">
        <v>-0.4</v>
      </c>
      <c r="DV75" s="118">
        <v>0.61</v>
      </c>
      <c r="DW75" s="118">
        <v>0.62</v>
      </c>
      <c r="DX75" s="118">
        <v>0.47</v>
      </c>
      <c r="DY75" s="118">
        <v>0.39811200000000002</v>
      </c>
      <c r="DZ75" s="118">
        <v>0.72</v>
      </c>
      <c r="EA75" s="118">
        <v>0.8</v>
      </c>
      <c r="EB75" s="118">
        <v>0.7</v>
      </c>
      <c r="EC75" s="118">
        <v>1.031155</v>
      </c>
      <c r="ED75" s="118">
        <v>0.84</v>
      </c>
      <c r="EE75" s="118">
        <v>-0.82</v>
      </c>
      <c r="EF75" s="118">
        <v>0.95</v>
      </c>
      <c r="EG75" s="118">
        <v>1.1422760000000001</v>
      </c>
      <c r="EH75" s="118">
        <v>1.1399999999999999</v>
      </c>
      <c r="EI75" s="118">
        <v>1.08</v>
      </c>
      <c r="EJ75" s="118">
        <v>1.1399999999999999</v>
      </c>
      <c r="EK75" s="118">
        <v>1.70245</v>
      </c>
      <c r="EL75" s="118">
        <v>1.38</v>
      </c>
      <c r="EM75" s="118">
        <v>1.51</v>
      </c>
      <c r="EN75" s="118">
        <v>1.4</v>
      </c>
    </row>
    <row r="76" spans="1:144">
      <c r="A76" s="103" t="s">
        <v>2105</v>
      </c>
      <c r="B76" s="113">
        <v>9024</v>
      </c>
      <c r="C76" s="113">
        <v>9408</v>
      </c>
      <c r="D76" s="113">
        <v>9696</v>
      </c>
      <c r="E76" s="113">
        <v>9760</v>
      </c>
      <c r="F76" s="113">
        <v>10032</v>
      </c>
      <c r="G76" s="113">
        <v>10244</v>
      </c>
      <c r="H76" s="113">
        <v>10488</v>
      </c>
      <c r="I76" s="113">
        <v>10724</v>
      </c>
      <c r="J76" s="113">
        <v>10964</v>
      </c>
      <c r="K76" s="113">
        <v>11072</v>
      </c>
      <c r="L76" s="113">
        <v>11148</v>
      </c>
      <c r="M76" s="113">
        <v>11106</v>
      </c>
      <c r="N76" s="113">
        <v>10882</v>
      </c>
      <c r="O76" s="113">
        <v>10894</v>
      </c>
      <c r="P76" s="113">
        <v>10906</v>
      </c>
      <c r="Q76" s="113">
        <v>10531</v>
      </c>
      <c r="R76" s="113">
        <v>9886</v>
      </c>
      <c r="S76" s="113">
        <v>9470</v>
      </c>
      <c r="T76" s="113">
        <v>8996</v>
      </c>
      <c r="U76" s="113">
        <v>8927</v>
      </c>
      <c r="V76" s="113">
        <v>8593</v>
      </c>
      <c r="W76" s="113">
        <v>8506</v>
      </c>
      <c r="X76" s="113">
        <v>8470</v>
      </c>
      <c r="Y76" s="113">
        <v>8399</v>
      </c>
      <c r="Z76" s="113">
        <v>8254</v>
      </c>
      <c r="AA76" s="113">
        <v>8013</v>
      </c>
      <c r="AB76" s="113">
        <v>7832</v>
      </c>
      <c r="AC76" s="113">
        <v>7794</v>
      </c>
      <c r="AD76" s="113">
        <v>7753</v>
      </c>
      <c r="AE76" s="113">
        <v>7703.5</v>
      </c>
      <c r="AG76" s="103" t="s">
        <v>2105</v>
      </c>
      <c r="AH76" s="113">
        <v>9632</v>
      </c>
      <c r="AI76" s="113">
        <v>9696</v>
      </c>
      <c r="AJ76" s="113">
        <v>9728</v>
      </c>
      <c r="AK76" s="113">
        <v>9792</v>
      </c>
      <c r="AL76" s="113">
        <v>9696</v>
      </c>
      <c r="AM76" s="113">
        <v>9728</v>
      </c>
      <c r="AN76" s="113">
        <v>9728</v>
      </c>
      <c r="AO76" s="113">
        <v>9904</v>
      </c>
      <c r="AP76" s="113">
        <v>9952</v>
      </c>
      <c r="AQ76" s="113">
        <v>10000</v>
      </c>
      <c r="AR76" s="113">
        <v>10016</v>
      </c>
      <c r="AS76" s="113">
        <v>10176</v>
      </c>
      <c r="AT76" s="113">
        <v>10240</v>
      </c>
      <c r="AU76" s="113">
        <v>10208</v>
      </c>
      <c r="AV76" s="113">
        <v>10224</v>
      </c>
      <c r="AW76" s="113">
        <v>10320</v>
      </c>
      <c r="AX76" s="113">
        <v>10352</v>
      </c>
      <c r="AY76" s="113">
        <v>10432</v>
      </c>
      <c r="AZ76" s="113">
        <v>10548</v>
      </c>
      <c r="BA76" s="113">
        <v>10616</v>
      </c>
      <c r="BB76" s="113">
        <v>10660</v>
      </c>
      <c r="BC76" s="113">
        <v>10668</v>
      </c>
      <c r="BD76" s="113">
        <v>10740</v>
      </c>
      <c r="BE76" s="113">
        <v>10824</v>
      </c>
      <c r="BF76" s="113">
        <v>10868</v>
      </c>
      <c r="BG76" s="113">
        <v>10920</v>
      </c>
      <c r="BH76" s="113">
        <v>11024</v>
      </c>
      <c r="BI76" s="113">
        <v>11010</v>
      </c>
      <c r="BJ76" s="113">
        <v>11054</v>
      </c>
      <c r="BK76" s="113">
        <v>11076</v>
      </c>
      <c r="BL76" s="113">
        <v>11086</v>
      </c>
      <c r="BM76" s="113">
        <v>11074</v>
      </c>
      <c r="BN76" s="113">
        <v>11114</v>
      </c>
      <c r="BO76" s="113">
        <v>11140</v>
      </c>
      <c r="BP76" s="113">
        <v>11126</v>
      </c>
      <c r="BQ76" s="113">
        <v>11184</v>
      </c>
      <c r="BR76" s="113">
        <v>11134</v>
      </c>
      <c r="BS76" s="113">
        <v>11112</v>
      </c>
      <c r="BT76" s="113">
        <v>11129</v>
      </c>
      <c r="BU76" s="113">
        <v>11060</v>
      </c>
      <c r="BV76" s="113">
        <v>10933</v>
      </c>
      <c r="BW76" s="113">
        <v>10846</v>
      </c>
      <c r="BX76" s="113">
        <v>10837</v>
      </c>
      <c r="BY76" s="113">
        <v>10862</v>
      </c>
      <c r="BZ76" s="113">
        <v>10885</v>
      </c>
      <c r="CA76" s="113">
        <v>10899</v>
      </c>
      <c r="CB76" s="113">
        <v>10856</v>
      </c>
      <c r="CC76" s="113">
        <v>10864</v>
      </c>
      <c r="CD76" s="113">
        <v>10920</v>
      </c>
      <c r="CE76" s="113">
        <v>10956</v>
      </c>
      <c r="CF76" s="113">
        <v>10931</v>
      </c>
      <c r="CG76" s="113">
        <v>10819</v>
      </c>
      <c r="CH76" s="113">
        <v>10772</v>
      </c>
      <c r="CI76" s="113">
        <v>10638</v>
      </c>
      <c r="CJ76" s="113">
        <v>10415</v>
      </c>
      <c r="CK76" s="113">
        <v>10255</v>
      </c>
      <c r="CL76" s="113">
        <v>10010</v>
      </c>
      <c r="CM76" s="113">
        <v>9942</v>
      </c>
      <c r="CN76" s="113">
        <v>9862</v>
      </c>
      <c r="CO76" s="113">
        <v>9657</v>
      </c>
      <c r="CP76" s="113">
        <v>9513</v>
      </c>
      <c r="CQ76" s="113">
        <v>9503</v>
      </c>
      <c r="CR76" s="113">
        <v>9428</v>
      </c>
      <c r="CS76" s="113">
        <v>9380</v>
      </c>
      <c r="CT76" s="113">
        <v>9183</v>
      </c>
      <c r="CU76" s="113">
        <v>8914</v>
      </c>
      <c r="CV76" s="113">
        <v>8904</v>
      </c>
      <c r="CW76" s="113">
        <v>8928</v>
      </c>
      <c r="CX76" s="113">
        <v>8983</v>
      </c>
      <c r="CY76" s="113">
        <v>8951</v>
      </c>
      <c r="CZ76" s="113">
        <v>8876</v>
      </c>
      <c r="DA76" s="113">
        <v>8821</v>
      </c>
      <c r="DB76" s="113">
        <v>8695</v>
      </c>
      <c r="DC76" s="113">
        <v>8570</v>
      </c>
      <c r="DD76" s="113">
        <v>8510</v>
      </c>
      <c r="DE76" s="113">
        <v>8521</v>
      </c>
      <c r="DF76" s="113">
        <v>8490</v>
      </c>
      <c r="DG76" s="113">
        <v>8465</v>
      </c>
      <c r="DH76" s="113">
        <v>8498</v>
      </c>
      <c r="DI76" s="113">
        <v>8388</v>
      </c>
      <c r="DJ76" s="113">
        <v>8494</v>
      </c>
      <c r="DK76" s="113">
        <v>8444</v>
      </c>
      <c r="DL76" s="113">
        <v>8429</v>
      </c>
      <c r="DM76" s="113">
        <v>8442</v>
      </c>
      <c r="DN76" s="113">
        <v>8434</v>
      </c>
      <c r="DO76" s="113">
        <v>8395</v>
      </c>
      <c r="DP76" s="113">
        <v>8367</v>
      </c>
      <c r="DQ76" s="113">
        <v>8345</v>
      </c>
      <c r="DR76" s="113">
        <v>8351</v>
      </c>
      <c r="DS76" s="113">
        <v>8297</v>
      </c>
      <c r="DT76" s="113">
        <v>8237</v>
      </c>
      <c r="DU76" s="113">
        <v>8061</v>
      </c>
      <c r="DV76" s="113">
        <v>8084</v>
      </c>
      <c r="DW76" s="113">
        <v>8051</v>
      </c>
      <c r="DX76" s="113">
        <v>7985</v>
      </c>
      <c r="DY76" s="113">
        <v>7929</v>
      </c>
      <c r="DZ76" s="113">
        <v>7876</v>
      </c>
      <c r="EA76" s="113">
        <v>7830</v>
      </c>
      <c r="EB76" s="113">
        <v>7813</v>
      </c>
      <c r="EC76" s="113">
        <v>7806</v>
      </c>
      <c r="ED76" s="113">
        <v>7799</v>
      </c>
      <c r="EE76" s="113">
        <v>7710</v>
      </c>
      <c r="EF76" s="113">
        <v>7794</v>
      </c>
      <c r="EG76" s="113">
        <v>7775</v>
      </c>
      <c r="EH76" s="113">
        <v>7766</v>
      </c>
      <c r="EI76" s="113">
        <v>7768</v>
      </c>
      <c r="EJ76" s="113">
        <v>7744</v>
      </c>
      <c r="EK76" s="113">
        <v>7730</v>
      </c>
      <c r="EL76" s="113">
        <v>7710</v>
      </c>
      <c r="EM76" s="113">
        <v>7691</v>
      </c>
      <c r="EN76" s="113">
        <v>7675</v>
      </c>
    </row>
    <row r="77" spans="1:144">
      <c r="A77" s="103"/>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c r="CR77" s="103"/>
      <c r="CS77" s="103"/>
      <c r="CT77" s="103"/>
      <c r="CU77" s="103"/>
      <c r="CV77" s="103"/>
      <c r="CW77" s="103"/>
      <c r="CX77" s="103"/>
      <c r="CY77" s="103"/>
      <c r="CZ77" s="103"/>
      <c r="DA77" s="103"/>
      <c r="DB77" s="103"/>
      <c r="DC77" s="103"/>
      <c r="DD77" s="103"/>
      <c r="DE77" s="103"/>
      <c r="DF77" s="103"/>
      <c r="DG77" s="103"/>
      <c r="DH77" s="103"/>
      <c r="DI77" s="103"/>
      <c r="DJ77" s="103"/>
      <c r="DK77" s="103"/>
      <c r="DL77" s="103"/>
      <c r="DM77" s="103"/>
      <c r="DN77" s="103"/>
      <c r="DO77" s="103"/>
      <c r="DP77" s="103"/>
      <c r="DQ77" s="103"/>
      <c r="DR77" s="103"/>
      <c r="DS77" s="103"/>
      <c r="DT77" s="103"/>
      <c r="DU77" s="103"/>
      <c r="DV77" s="103"/>
      <c r="DW77" s="103"/>
      <c r="DX77" s="103"/>
      <c r="DY77" s="103"/>
      <c r="DZ77" s="103"/>
      <c r="EA77" s="103"/>
      <c r="EB77" s="103"/>
      <c r="EC77" s="103"/>
      <c r="ED77" s="103"/>
      <c r="EE77" s="103"/>
      <c r="EF77" s="103"/>
      <c r="EG77" s="103"/>
      <c r="EH77" s="103"/>
      <c r="EI77" s="103"/>
      <c r="EJ77" s="103"/>
      <c r="EK77" s="103"/>
      <c r="EL77" s="103"/>
      <c r="EM77" s="103"/>
      <c r="EN77" s="103"/>
    </row>
    <row r="78" spans="1:144">
      <c r="A78" s="103" t="s">
        <v>2106</v>
      </c>
      <c r="B78" s="117">
        <v>0.05</v>
      </c>
      <c r="C78" s="117">
        <v>7.0000000000000007E-2</v>
      </c>
      <c r="D78" s="117">
        <v>0.09</v>
      </c>
      <c r="E78" s="117">
        <v>0.12</v>
      </c>
      <c r="F78" s="117">
        <v>0.14000000000000001</v>
      </c>
      <c r="G78" s="117">
        <v>0.22</v>
      </c>
      <c r="H78" s="117">
        <v>0.35</v>
      </c>
      <c r="I78" s="117">
        <v>0.48</v>
      </c>
      <c r="J78" s="117">
        <v>0.69</v>
      </c>
      <c r="K78" s="117">
        <v>0.76</v>
      </c>
      <c r="L78" s="117">
        <v>0.8</v>
      </c>
      <c r="M78" s="117">
        <v>0.6</v>
      </c>
      <c r="N78" s="117">
        <v>0.69</v>
      </c>
      <c r="O78" s="117">
        <v>0.77</v>
      </c>
      <c r="P78" s="117">
        <v>1.04</v>
      </c>
      <c r="Q78" s="117">
        <v>1.1599999999999999</v>
      </c>
      <c r="R78" s="117">
        <v>1.28</v>
      </c>
      <c r="S78" s="117">
        <v>1.69</v>
      </c>
      <c r="T78" s="117">
        <v>1.43</v>
      </c>
      <c r="U78" s="117">
        <v>1.75</v>
      </c>
      <c r="V78" s="117">
        <v>2.0299999999999998</v>
      </c>
      <c r="W78" s="117">
        <v>2.08</v>
      </c>
      <c r="X78" s="117">
        <v>2.06</v>
      </c>
      <c r="Y78" s="117">
        <v>2.08</v>
      </c>
      <c r="Z78" s="117">
        <v>2.13</v>
      </c>
      <c r="AA78" s="117">
        <v>2.06</v>
      </c>
      <c r="AB78" s="117">
        <v>2.2400000000000002</v>
      </c>
      <c r="AC78" s="117">
        <v>2.77</v>
      </c>
      <c r="AD78" s="117">
        <v>3.51</v>
      </c>
      <c r="AE78" s="117">
        <v>4.26</v>
      </c>
      <c r="AG78" s="103" t="s">
        <v>2106</v>
      </c>
      <c r="AH78" s="117">
        <v>0.02</v>
      </c>
      <c r="AI78" s="117">
        <v>0.02</v>
      </c>
      <c r="AJ78" s="117">
        <v>0.02</v>
      </c>
      <c r="AK78" s="117">
        <v>0.02</v>
      </c>
      <c r="AL78" s="117">
        <v>0.02</v>
      </c>
      <c r="AM78" s="117">
        <v>0.03</v>
      </c>
      <c r="AN78" s="117">
        <v>0.03</v>
      </c>
      <c r="AO78" s="117">
        <v>0.03</v>
      </c>
      <c r="AP78" s="117">
        <v>0.03</v>
      </c>
      <c r="AQ78" s="117">
        <v>0.03</v>
      </c>
      <c r="AR78" s="117">
        <v>0.04</v>
      </c>
      <c r="AS78" s="117">
        <v>0.04</v>
      </c>
      <c r="AT78" s="117">
        <v>0.05</v>
      </c>
      <c r="AU78" s="117">
        <v>0.05</v>
      </c>
      <c r="AV78" s="117">
        <v>0.05</v>
      </c>
      <c r="AW78" s="117">
        <v>0.05</v>
      </c>
      <c r="AX78" s="117">
        <v>0.06</v>
      </c>
      <c r="AY78" s="117">
        <v>7.0000000000000007E-2</v>
      </c>
      <c r="AZ78" s="117">
        <v>0.1</v>
      </c>
      <c r="BA78" s="117">
        <v>0.1</v>
      </c>
      <c r="BB78" s="117">
        <v>0.1</v>
      </c>
      <c r="BC78" s="117">
        <v>0.11</v>
      </c>
      <c r="BD78" s="117">
        <v>0.13</v>
      </c>
      <c r="BE78" s="117">
        <v>0.13</v>
      </c>
      <c r="BF78" s="117">
        <v>0.15</v>
      </c>
      <c r="BG78" s="117">
        <v>0.19</v>
      </c>
      <c r="BH78" s="117">
        <v>0.16</v>
      </c>
      <c r="BI78" s="117">
        <v>0.19</v>
      </c>
      <c r="BJ78" s="117">
        <v>0.19</v>
      </c>
      <c r="BK78" s="117">
        <v>0.2</v>
      </c>
      <c r="BL78" s="117">
        <v>0.19</v>
      </c>
      <c r="BM78" s="117">
        <v>0.18</v>
      </c>
      <c r="BN78" s="117">
        <v>0.23</v>
      </c>
      <c r="BO78" s="117">
        <v>0.23</v>
      </c>
      <c r="BP78" s="117">
        <v>0.21</v>
      </c>
      <c r="BQ78" s="117">
        <v>0.13</v>
      </c>
      <c r="BR78" s="117">
        <v>0.17</v>
      </c>
      <c r="BS78" s="117">
        <v>0.23</v>
      </c>
      <c r="BT78" s="117">
        <v>0.23</v>
      </c>
      <c r="BU78" s="117">
        <v>0.27</v>
      </c>
      <c r="BV78" s="117">
        <v>0.2</v>
      </c>
      <c r="BW78" s="117">
        <v>0.17</v>
      </c>
      <c r="BX78" s="117">
        <v>0.19</v>
      </c>
      <c r="BY78" s="117">
        <v>0.18</v>
      </c>
      <c r="BZ78" s="117">
        <v>0.21</v>
      </c>
      <c r="CA78" s="117">
        <v>0.12</v>
      </c>
      <c r="CB78" s="117">
        <v>0.25</v>
      </c>
      <c r="CC78" s="117">
        <v>0.18</v>
      </c>
      <c r="CD78" s="117">
        <v>0.25</v>
      </c>
      <c r="CE78" s="117">
        <v>0.28999999999999998</v>
      </c>
      <c r="CF78" s="117">
        <v>0.3</v>
      </c>
      <c r="CG78" s="117">
        <v>0.21</v>
      </c>
      <c r="CH78" s="117">
        <v>0.28000000000000003</v>
      </c>
      <c r="CI78" s="117">
        <v>0.3</v>
      </c>
      <c r="CJ78" s="117">
        <v>0.28000000000000003</v>
      </c>
      <c r="CK78" s="117">
        <v>0.3</v>
      </c>
      <c r="CL78" s="117">
        <v>0.3</v>
      </c>
      <c r="CM78" s="117">
        <v>0.24</v>
      </c>
      <c r="CN78" s="117">
        <v>0.46</v>
      </c>
      <c r="CO78" s="117">
        <v>0.27</v>
      </c>
      <c r="CP78" s="117">
        <v>0.4</v>
      </c>
      <c r="CQ78" s="117">
        <v>0.45</v>
      </c>
      <c r="CR78" s="117">
        <v>0.42</v>
      </c>
      <c r="CS78" s="117">
        <v>0.4</v>
      </c>
      <c r="CT78" s="117">
        <v>0.4</v>
      </c>
      <c r="CU78" s="117">
        <v>0.38</v>
      </c>
      <c r="CV78" s="117">
        <v>0.34</v>
      </c>
      <c r="CW78" s="117">
        <v>0.32</v>
      </c>
      <c r="CX78" s="117">
        <v>0.33</v>
      </c>
      <c r="CY78" s="117">
        <v>0.62</v>
      </c>
      <c r="CZ78" s="117">
        <v>0.37</v>
      </c>
      <c r="DA78" s="117">
        <v>0.43</v>
      </c>
      <c r="DB78" s="117">
        <v>0.52</v>
      </c>
      <c r="DC78" s="117">
        <v>0.62</v>
      </c>
      <c r="DD78" s="117">
        <v>0.45</v>
      </c>
      <c r="DE78" s="117">
        <v>0.43</v>
      </c>
      <c r="DF78" s="117">
        <v>0.54</v>
      </c>
      <c r="DG78" s="117">
        <v>0.6</v>
      </c>
      <c r="DH78" s="117">
        <v>0.47</v>
      </c>
      <c r="DI78" s="117">
        <v>0.47</v>
      </c>
      <c r="DJ78" s="117">
        <v>0.41</v>
      </c>
      <c r="DK78" s="117">
        <v>0.56999999999999995</v>
      </c>
      <c r="DL78" s="117">
        <v>0.62</v>
      </c>
      <c r="DM78" s="117">
        <v>0.46</v>
      </c>
      <c r="DN78" s="117">
        <v>0.48</v>
      </c>
      <c r="DO78" s="117">
        <v>0.59</v>
      </c>
      <c r="DP78" s="117">
        <v>0.52</v>
      </c>
      <c r="DQ78" s="117">
        <v>0.49</v>
      </c>
      <c r="DR78" s="117">
        <v>0.53</v>
      </c>
      <c r="DS78" s="117">
        <v>0.59</v>
      </c>
      <c r="DT78" s="117">
        <v>0.5</v>
      </c>
      <c r="DU78" s="117">
        <v>0.51</v>
      </c>
      <c r="DV78" s="117">
        <v>0.43</v>
      </c>
      <c r="DW78" s="117">
        <v>0.45</v>
      </c>
      <c r="DX78" s="117">
        <v>0.39</v>
      </c>
      <c r="DY78" s="117">
        <v>0.32</v>
      </c>
      <c r="DZ78" s="117">
        <v>0.52</v>
      </c>
      <c r="EA78" s="117">
        <v>0.59</v>
      </c>
      <c r="EB78" s="117">
        <v>0.52</v>
      </c>
      <c r="EC78" s="117">
        <v>0.81</v>
      </c>
      <c r="ED78" s="117">
        <v>0.6</v>
      </c>
      <c r="EE78" s="117">
        <v>0.68</v>
      </c>
      <c r="EF78" s="117">
        <v>0.66</v>
      </c>
      <c r="EG78" s="117">
        <v>0.82</v>
      </c>
      <c r="EH78" s="117">
        <v>0.81</v>
      </c>
      <c r="EI78" s="117">
        <v>0.84</v>
      </c>
      <c r="EJ78" s="117">
        <v>0.85</v>
      </c>
      <c r="EK78" s="117">
        <v>1.01</v>
      </c>
      <c r="EL78" s="117">
        <v>1.04</v>
      </c>
      <c r="EM78" s="117">
        <v>1.1399999999999999</v>
      </c>
      <c r="EN78" s="117">
        <v>1.06</v>
      </c>
    </row>
    <row r="79" spans="1:144">
      <c r="A79" s="103" t="s">
        <v>2107</v>
      </c>
      <c r="B79" s="118">
        <v>4.6473E-2</v>
      </c>
      <c r="C79" s="118">
        <v>6.9155999999999995E-2</v>
      </c>
      <c r="D79" s="118">
        <v>9.0306999999999998E-2</v>
      </c>
      <c r="E79" s="118">
        <v>0.116034</v>
      </c>
      <c r="F79" s="118">
        <v>0.13787099999999999</v>
      </c>
      <c r="G79" s="118">
        <v>0.20615700000000001</v>
      </c>
      <c r="H79" s="118">
        <v>0.31667099999999998</v>
      </c>
      <c r="I79" s="118">
        <v>0.432033</v>
      </c>
      <c r="J79" s="118">
        <v>0.63206799999999996</v>
      </c>
      <c r="K79" s="118">
        <v>0.708036</v>
      </c>
      <c r="L79" s="118">
        <v>0.77065300000000003</v>
      </c>
      <c r="M79" s="118">
        <v>0.57958500000000002</v>
      </c>
      <c r="N79" s="118">
        <v>0.675427</v>
      </c>
      <c r="O79" s="118">
        <v>0.76561599999999996</v>
      </c>
      <c r="P79" s="118">
        <v>1.036241</v>
      </c>
      <c r="Q79" s="118">
        <v>1.151421</v>
      </c>
      <c r="R79" s="118">
        <v>1.262011</v>
      </c>
      <c r="S79" s="118">
        <v>1.6676340000000001</v>
      </c>
      <c r="T79" s="118">
        <v>1.4191720000000001</v>
      </c>
      <c r="U79" s="118">
        <v>1.726013</v>
      </c>
      <c r="V79" s="118">
        <v>2.0072290000000002</v>
      </c>
      <c r="W79" s="118">
        <v>2.0559750000000001</v>
      </c>
      <c r="X79" s="118">
        <v>2.0405099999999998</v>
      </c>
      <c r="Y79" s="118">
        <v>2.0525500000000001</v>
      </c>
      <c r="Z79" s="118">
        <v>2.10663</v>
      </c>
      <c r="AA79" s="118">
        <v>2.0366900000000001</v>
      </c>
      <c r="AB79" s="118">
        <v>2.2198989999999998</v>
      </c>
      <c r="AC79" s="118">
        <v>2.733031</v>
      </c>
      <c r="AD79" s="118">
        <v>3.469382</v>
      </c>
      <c r="AE79" s="118">
        <v>4.2136690000000003</v>
      </c>
      <c r="AG79" s="103" t="s">
        <v>2107</v>
      </c>
      <c r="AH79" s="118">
        <v>2.1218000000000001E-2</v>
      </c>
      <c r="AI79" s="118">
        <v>2.2367000000000001E-2</v>
      </c>
      <c r="AJ79" s="118">
        <v>2.2936000000000002E-2</v>
      </c>
      <c r="AK79" s="118">
        <v>2.4892000000000001E-2</v>
      </c>
      <c r="AL79" s="118">
        <v>2.3334000000000001E-2</v>
      </c>
      <c r="AM79" s="118">
        <v>2.8139999999999998E-2</v>
      </c>
      <c r="AN79" s="118">
        <v>3.2252000000000003E-2</v>
      </c>
      <c r="AO79" s="118">
        <v>3.2183000000000003E-2</v>
      </c>
      <c r="AP79" s="118">
        <v>2.9579000000000001E-2</v>
      </c>
      <c r="AQ79" s="118">
        <v>3.4812000000000003E-2</v>
      </c>
      <c r="AR79" s="118">
        <v>3.6940000000000001E-2</v>
      </c>
      <c r="AS79" s="118">
        <v>3.6421000000000002E-2</v>
      </c>
      <c r="AT79" s="118">
        <v>4.6996999999999997E-2</v>
      </c>
      <c r="AU79" s="118">
        <v>5.4184999999999997E-2</v>
      </c>
      <c r="AV79" s="118">
        <v>5.2816000000000002E-2</v>
      </c>
      <c r="AW79" s="118">
        <v>5.2082999999999997E-2</v>
      </c>
      <c r="AX79" s="118">
        <v>5.7054000000000001E-2</v>
      </c>
      <c r="AY79" s="118">
        <v>6.8298999999999999E-2</v>
      </c>
      <c r="AZ79" s="118">
        <v>9.4981999999999997E-2</v>
      </c>
      <c r="BA79" s="118">
        <v>9.5727999999999994E-2</v>
      </c>
      <c r="BB79" s="118">
        <v>8.7828000000000003E-2</v>
      </c>
      <c r="BC79" s="118">
        <v>0.103697</v>
      </c>
      <c r="BD79" s="118">
        <v>0.119704</v>
      </c>
      <c r="BE79" s="118">
        <v>0.12056500000000001</v>
      </c>
      <c r="BF79" s="118">
        <v>0.134741</v>
      </c>
      <c r="BG79" s="118">
        <v>0.17061499999999999</v>
      </c>
      <c r="BH79" s="118">
        <v>0.14734800000000001</v>
      </c>
      <c r="BI79" s="118">
        <v>0.18080099999999999</v>
      </c>
      <c r="BJ79" s="118">
        <v>0.17640600000000001</v>
      </c>
      <c r="BK79" s="118">
        <v>0.18576200000000001</v>
      </c>
      <c r="BL79" s="118">
        <v>0.178096</v>
      </c>
      <c r="BM79" s="118">
        <v>0.16914599999999999</v>
      </c>
      <c r="BN79" s="118">
        <v>0.216618</v>
      </c>
      <c r="BO79" s="118">
        <v>0.21975900000000001</v>
      </c>
      <c r="BP79" s="118">
        <v>0.205487</v>
      </c>
      <c r="BQ79" s="118">
        <v>0.12959300000000001</v>
      </c>
      <c r="BR79" s="118">
        <v>0.160937</v>
      </c>
      <c r="BS79" s="118">
        <v>0.225938</v>
      </c>
      <c r="BT79" s="118">
        <v>0.22609799999999999</v>
      </c>
      <c r="BU79" s="118">
        <v>0.26373099999999999</v>
      </c>
      <c r="BV79" s="118">
        <v>0.20133899999999999</v>
      </c>
      <c r="BW79" s="118">
        <v>0.169763</v>
      </c>
      <c r="BX79" s="118">
        <v>0.18339900000000001</v>
      </c>
      <c r="BY79" s="118">
        <v>0.17371300000000001</v>
      </c>
      <c r="BZ79" s="118">
        <v>0.209921</v>
      </c>
      <c r="CA79" s="118">
        <v>0.114804</v>
      </c>
      <c r="CB79" s="118">
        <v>0.25245200000000001</v>
      </c>
      <c r="CC79" s="118">
        <v>0.179204</v>
      </c>
      <c r="CD79" s="118">
        <v>0.244448</v>
      </c>
      <c r="CE79" s="118">
        <v>0.28933900000000001</v>
      </c>
      <c r="CF79" s="118">
        <v>0.293431</v>
      </c>
      <c r="CG79" s="118">
        <v>0.211144</v>
      </c>
      <c r="CH79" s="118">
        <v>0.282503</v>
      </c>
      <c r="CI79" s="118">
        <v>0.29375800000000002</v>
      </c>
      <c r="CJ79" s="118">
        <v>0.27874399999999999</v>
      </c>
      <c r="CK79" s="118">
        <v>0.29308800000000002</v>
      </c>
      <c r="CL79" s="118">
        <v>0.297514</v>
      </c>
      <c r="CM79" s="118">
        <v>0.239702</v>
      </c>
      <c r="CN79" s="118">
        <v>0.45807100000000001</v>
      </c>
      <c r="CO79" s="118">
        <v>0.26897500000000002</v>
      </c>
      <c r="CP79" s="118">
        <v>0.39846700000000002</v>
      </c>
      <c r="CQ79" s="118">
        <v>0.44281999999999999</v>
      </c>
      <c r="CR79" s="118">
        <v>0.41916300000000001</v>
      </c>
      <c r="CS79" s="118">
        <v>0.39352300000000001</v>
      </c>
      <c r="CT79" s="118">
        <v>0.39896999999999999</v>
      </c>
      <c r="CU79" s="118">
        <v>0.37637399999999999</v>
      </c>
      <c r="CV79" s="118">
        <v>0.340366</v>
      </c>
      <c r="CW79" s="118">
        <v>0.32397999999999999</v>
      </c>
      <c r="CX79" s="118">
        <v>0.32603199999999999</v>
      </c>
      <c r="CY79" s="118">
        <v>0.61333899999999997</v>
      </c>
      <c r="CZ79" s="118">
        <v>0.36587399999999998</v>
      </c>
      <c r="DA79" s="118">
        <v>0.42838100000000001</v>
      </c>
      <c r="DB79" s="118">
        <v>0.51487899999999998</v>
      </c>
      <c r="DC79" s="118">
        <v>0.61121599999999998</v>
      </c>
      <c r="DD79" s="118">
        <v>0.442494</v>
      </c>
      <c r="DE79" s="118">
        <v>0.42871999999999999</v>
      </c>
      <c r="DF79" s="118">
        <v>0.53680799999999995</v>
      </c>
      <c r="DG79" s="118">
        <v>0.59088799999999997</v>
      </c>
      <c r="DH79" s="118">
        <v>0.46510899999999999</v>
      </c>
      <c r="DI79" s="118">
        <v>0.47404000000000002</v>
      </c>
      <c r="DJ79" s="118">
        <v>0.40815499999999999</v>
      </c>
      <c r="DK79" s="118">
        <v>0.57081899999999997</v>
      </c>
      <c r="DL79" s="118">
        <v>0.61328400000000005</v>
      </c>
      <c r="DM79" s="118">
        <v>0.45331300000000002</v>
      </c>
      <c r="DN79" s="118">
        <v>0.47575200000000001</v>
      </c>
      <c r="DO79" s="118">
        <v>0.58628599999999997</v>
      </c>
      <c r="DP79" s="118">
        <v>0.51287700000000003</v>
      </c>
      <c r="DQ79" s="118">
        <v>0.48097600000000001</v>
      </c>
      <c r="DR79" s="118">
        <v>0.52022199999999996</v>
      </c>
      <c r="DS79" s="118">
        <v>0.58823899999999996</v>
      </c>
      <c r="DT79" s="118">
        <v>0.496008</v>
      </c>
      <c r="DU79" s="118">
        <v>0.50583</v>
      </c>
      <c r="DV79" s="118">
        <v>0.42197499999999999</v>
      </c>
      <c r="DW79" s="118">
        <v>0.44978800000000002</v>
      </c>
      <c r="DX79" s="118">
        <v>0.38994899999999999</v>
      </c>
      <c r="DY79" s="118">
        <v>0.31451000000000001</v>
      </c>
      <c r="DZ79" s="118">
        <v>0.51120399999999999</v>
      </c>
      <c r="EA79" s="118">
        <v>0.58668500000000001</v>
      </c>
      <c r="EB79" s="118">
        <v>0.50964699999999996</v>
      </c>
      <c r="EC79" s="118">
        <v>0.79634199999999999</v>
      </c>
      <c r="ED79" s="118">
        <v>0.593024</v>
      </c>
      <c r="EE79" s="118">
        <v>0.683365</v>
      </c>
      <c r="EF79" s="118">
        <v>0.65290599999999999</v>
      </c>
      <c r="EG79" s="118">
        <v>0.81269999999999998</v>
      </c>
      <c r="EH79" s="118">
        <v>0.80301900000000004</v>
      </c>
      <c r="EI79" s="118">
        <v>0.82799599999999995</v>
      </c>
      <c r="EJ79" s="118">
        <v>0.84274899999999997</v>
      </c>
      <c r="EK79" s="118">
        <v>0.99684600000000001</v>
      </c>
      <c r="EL79" s="118">
        <v>1.0329919999999999</v>
      </c>
      <c r="EM79" s="118">
        <v>1.1314360000000001</v>
      </c>
      <c r="EN79" s="118">
        <v>1.054071</v>
      </c>
    </row>
    <row r="80" spans="1:144">
      <c r="A80" s="103"/>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c r="CR80" s="103"/>
      <c r="CS80" s="103"/>
      <c r="CT80" s="103"/>
      <c r="CU80" s="103"/>
      <c r="CV80" s="103"/>
      <c r="CW80" s="103"/>
      <c r="CX80" s="103"/>
      <c r="CY80" s="103"/>
      <c r="CZ80" s="103"/>
      <c r="DA80" s="103"/>
      <c r="DB80" s="103"/>
      <c r="DC80" s="103"/>
      <c r="DD80" s="103"/>
      <c r="DE80" s="103"/>
      <c r="DF80" s="103"/>
      <c r="DG80" s="103"/>
      <c r="DH80" s="103"/>
      <c r="DI80" s="103"/>
      <c r="DJ80" s="103"/>
      <c r="DK80" s="103"/>
      <c r="DL80" s="103"/>
      <c r="DM80" s="103"/>
      <c r="DN80" s="103"/>
      <c r="DO80" s="103"/>
      <c r="DP80" s="103"/>
      <c r="DQ80" s="103"/>
      <c r="DR80" s="103"/>
      <c r="DS80" s="103"/>
      <c r="DT80" s="103"/>
      <c r="DU80" s="103"/>
      <c r="DV80" s="103"/>
      <c r="DW80" s="103"/>
      <c r="DX80" s="103"/>
      <c r="DY80" s="103"/>
      <c r="DZ80" s="103"/>
      <c r="EA80" s="103"/>
      <c r="EB80" s="103"/>
      <c r="EC80" s="103"/>
      <c r="ED80" s="103"/>
      <c r="EE80" s="103"/>
      <c r="EF80" s="103"/>
      <c r="EG80" s="103"/>
      <c r="EH80" s="103"/>
      <c r="EI80" s="103"/>
      <c r="EJ80" s="103"/>
      <c r="EK80" s="103"/>
      <c r="EL80" s="103"/>
      <c r="EM80" s="103"/>
      <c r="EN80" s="103"/>
    </row>
    <row r="81" spans="1:144">
      <c r="A81" s="103" t="s">
        <v>2108</v>
      </c>
      <c r="B81" s="118" t="s">
        <v>271</v>
      </c>
      <c r="C81" s="118" t="s">
        <v>271</v>
      </c>
      <c r="D81" s="118" t="s">
        <v>271</v>
      </c>
      <c r="E81" s="118" t="s">
        <v>271</v>
      </c>
      <c r="F81" s="118" t="s">
        <v>271</v>
      </c>
      <c r="G81" s="118" t="s">
        <v>271</v>
      </c>
      <c r="H81" s="118" t="s">
        <v>271</v>
      </c>
      <c r="I81" s="118" t="s">
        <v>271</v>
      </c>
      <c r="J81" s="118" t="s">
        <v>271</v>
      </c>
      <c r="K81" s="118" t="s">
        <v>271</v>
      </c>
      <c r="L81" s="118" t="s">
        <v>271</v>
      </c>
      <c r="M81" s="118" t="s">
        <v>271</v>
      </c>
      <c r="N81" s="117">
        <v>0.08</v>
      </c>
      <c r="O81" s="117">
        <v>0.16</v>
      </c>
      <c r="P81" s="117">
        <v>0.4</v>
      </c>
      <c r="Q81" s="117">
        <v>0.35</v>
      </c>
      <c r="R81" s="117">
        <v>0.4</v>
      </c>
      <c r="S81" s="117">
        <v>0.44</v>
      </c>
      <c r="T81" s="117">
        <v>0.52</v>
      </c>
      <c r="U81" s="117">
        <v>0.52</v>
      </c>
      <c r="V81" s="117">
        <v>0.64</v>
      </c>
      <c r="W81" s="117">
        <v>0.8</v>
      </c>
      <c r="X81" s="117">
        <v>0.92</v>
      </c>
      <c r="Y81" s="117">
        <v>1.1200000000000001</v>
      </c>
      <c r="Z81" s="117">
        <v>1.24</v>
      </c>
      <c r="AA81" s="117">
        <v>1.44</v>
      </c>
      <c r="AB81" s="117">
        <v>1.56</v>
      </c>
      <c r="AC81" s="117">
        <v>1.68</v>
      </c>
      <c r="AD81" s="117">
        <v>1.84</v>
      </c>
      <c r="AE81" s="117">
        <v>1.99</v>
      </c>
      <c r="AG81" s="103" t="s">
        <v>2108</v>
      </c>
      <c r="AH81" s="118" t="s">
        <v>271</v>
      </c>
      <c r="AI81" s="118" t="s">
        <v>271</v>
      </c>
      <c r="AJ81" s="118" t="s">
        <v>271</v>
      </c>
      <c r="AK81" s="118" t="s">
        <v>271</v>
      </c>
      <c r="AL81" s="118" t="s">
        <v>271</v>
      </c>
      <c r="AM81" s="118" t="s">
        <v>271</v>
      </c>
      <c r="AN81" s="118" t="s">
        <v>271</v>
      </c>
      <c r="AO81" s="118" t="s">
        <v>271</v>
      </c>
      <c r="AP81" s="118" t="s">
        <v>271</v>
      </c>
      <c r="AQ81" s="118" t="s">
        <v>271</v>
      </c>
      <c r="AR81" s="118" t="s">
        <v>271</v>
      </c>
      <c r="AS81" s="118" t="s">
        <v>271</v>
      </c>
      <c r="AT81" s="118" t="s">
        <v>271</v>
      </c>
      <c r="AU81" s="118" t="s">
        <v>271</v>
      </c>
      <c r="AV81" s="118" t="s">
        <v>271</v>
      </c>
      <c r="AW81" s="118" t="s">
        <v>271</v>
      </c>
      <c r="AX81" s="118" t="s">
        <v>271</v>
      </c>
      <c r="AY81" s="118" t="s">
        <v>271</v>
      </c>
      <c r="AZ81" s="118" t="s">
        <v>271</v>
      </c>
      <c r="BA81" s="118" t="s">
        <v>271</v>
      </c>
      <c r="BB81" s="118" t="s">
        <v>271</v>
      </c>
      <c r="BC81" s="118" t="s">
        <v>271</v>
      </c>
      <c r="BD81" s="118" t="s">
        <v>271</v>
      </c>
      <c r="BE81" s="118" t="s">
        <v>271</v>
      </c>
      <c r="BF81" s="118" t="s">
        <v>271</v>
      </c>
      <c r="BG81" s="118" t="s">
        <v>271</v>
      </c>
      <c r="BH81" s="118" t="s">
        <v>271</v>
      </c>
      <c r="BI81" s="118" t="s">
        <v>271</v>
      </c>
      <c r="BJ81" s="118" t="s">
        <v>271</v>
      </c>
      <c r="BK81" s="118" t="s">
        <v>271</v>
      </c>
      <c r="BL81" s="118" t="s">
        <v>271</v>
      </c>
      <c r="BM81" s="118" t="s">
        <v>271</v>
      </c>
      <c r="BN81" s="118" t="s">
        <v>271</v>
      </c>
      <c r="BO81" s="118" t="s">
        <v>271</v>
      </c>
      <c r="BP81" s="118" t="s">
        <v>271</v>
      </c>
      <c r="BQ81" s="118" t="s">
        <v>271</v>
      </c>
      <c r="BR81" s="118" t="s">
        <v>271</v>
      </c>
      <c r="BS81" s="118" t="s">
        <v>271</v>
      </c>
      <c r="BT81" s="118" t="s">
        <v>271</v>
      </c>
      <c r="BU81" s="118" t="s">
        <v>271</v>
      </c>
      <c r="BV81" s="118" t="s">
        <v>271</v>
      </c>
      <c r="BW81" s="118" t="s">
        <v>271</v>
      </c>
      <c r="BX81" s="117">
        <v>0.08</v>
      </c>
      <c r="BY81" s="117">
        <v>0</v>
      </c>
      <c r="BZ81" s="117">
        <v>0.16</v>
      </c>
      <c r="CA81" s="117">
        <v>0</v>
      </c>
      <c r="CB81" s="117">
        <v>0</v>
      </c>
      <c r="CC81" s="117">
        <v>0</v>
      </c>
      <c r="CD81" s="117">
        <v>0.08</v>
      </c>
      <c r="CE81" s="117">
        <v>0.08</v>
      </c>
      <c r="CF81" s="117">
        <v>0.08</v>
      </c>
      <c r="CG81" s="117">
        <v>0.16</v>
      </c>
      <c r="CH81" s="117">
        <v>0.08</v>
      </c>
      <c r="CI81" s="117">
        <v>0.09</v>
      </c>
      <c r="CJ81" s="117">
        <v>0.09</v>
      </c>
      <c r="CK81" s="117">
        <v>0.09</v>
      </c>
      <c r="CL81" s="117">
        <v>0.1</v>
      </c>
      <c r="CM81" s="117">
        <v>0.1</v>
      </c>
      <c r="CN81" s="117">
        <v>0.1</v>
      </c>
      <c r="CO81" s="117">
        <v>0.1</v>
      </c>
      <c r="CP81" s="117">
        <v>0.11</v>
      </c>
      <c r="CQ81" s="117">
        <v>0.11</v>
      </c>
      <c r="CR81" s="117">
        <v>0.11</v>
      </c>
      <c r="CS81" s="117">
        <v>0.11</v>
      </c>
      <c r="CT81" s="117">
        <v>0.13</v>
      </c>
      <c r="CU81" s="117">
        <v>0.13</v>
      </c>
      <c r="CV81" s="117">
        <v>0.13</v>
      </c>
      <c r="CW81" s="117">
        <v>0.13</v>
      </c>
      <c r="CX81" s="117">
        <v>0.13</v>
      </c>
      <c r="CY81" s="117">
        <v>0.13</v>
      </c>
      <c r="CZ81" s="117">
        <v>0.13</v>
      </c>
      <c r="DA81" s="117">
        <v>0.13</v>
      </c>
      <c r="DB81" s="117">
        <v>0.16</v>
      </c>
      <c r="DC81" s="117">
        <v>0.16</v>
      </c>
      <c r="DD81" s="117">
        <v>0.16</v>
      </c>
      <c r="DE81" s="117">
        <v>0.16</v>
      </c>
      <c r="DF81" s="117">
        <v>0.2</v>
      </c>
      <c r="DG81" s="117">
        <v>0.2</v>
      </c>
      <c r="DH81" s="117">
        <v>0.2</v>
      </c>
      <c r="DI81" s="117">
        <v>0.2</v>
      </c>
      <c r="DJ81" s="117">
        <v>0.23</v>
      </c>
      <c r="DK81" s="117">
        <v>0.23</v>
      </c>
      <c r="DL81" s="117">
        <v>0.23</v>
      </c>
      <c r="DM81" s="117">
        <v>0.23</v>
      </c>
      <c r="DN81" s="117">
        <v>0.28000000000000003</v>
      </c>
      <c r="DO81" s="117">
        <v>0.28000000000000003</v>
      </c>
      <c r="DP81" s="117">
        <v>0.28000000000000003</v>
      </c>
      <c r="DQ81" s="117">
        <v>0.28000000000000003</v>
      </c>
      <c r="DR81" s="117">
        <v>0.31</v>
      </c>
      <c r="DS81" s="117">
        <v>0.31</v>
      </c>
      <c r="DT81" s="117">
        <v>0.31</v>
      </c>
      <c r="DU81" s="117">
        <v>0.31</v>
      </c>
      <c r="DV81" s="117">
        <v>0.36</v>
      </c>
      <c r="DW81" s="117">
        <v>0.36</v>
      </c>
      <c r="DX81" s="117">
        <v>0.36</v>
      </c>
      <c r="DY81" s="117">
        <v>0.36</v>
      </c>
      <c r="DZ81" s="117">
        <v>0.39</v>
      </c>
      <c r="EA81" s="117">
        <v>0.39</v>
      </c>
      <c r="EB81" s="117">
        <v>0.39</v>
      </c>
      <c r="EC81" s="117">
        <v>0.39</v>
      </c>
      <c r="ED81" s="117">
        <v>0.42</v>
      </c>
      <c r="EE81" s="117">
        <v>0.42</v>
      </c>
      <c r="EF81" s="117">
        <v>0.42</v>
      </c>
      <c r="EG81" s="117">
        <v>0.42</v>
      </c>
      <c r="EH81" s="117">
        <v>0.46</v>
      </c>
      <c r="EI81" s="117">
        <v>0.46</v>
      </c>
      <c r="EJ81" s="117">
        <v>0.46</v>
      </c>
      <c r="EK81" s="117">
        <v>0.46</v>
      </c>
      <c r="EL81" s="117">
        <v>0.51</v>
      </c>
      <c r="EM81" s="117">
        <v>0.51</v>
      </c>
      <c r="EN81" s="117">
        <v>0.51</v>
      </c>
    </row>
    <row r="82" spans="1:144">
      <c r="A82" s="103" t="s">
        <v>2109</v>
      </c>
      <c r="B82" s="119" t="s">
        <v>271</v>
      </c>
      <c r="C82" s="119" t="s">
        <v>271</v>
      </c>
      <c r="D82" s="119" t="s">
        <v>271</v>
      </c>
      <c r="E82" s="119" t="s">
        <v>271</v>
      </c>
      <c r="F82" s="119" t="s">
        <v>271</v>
      </c>
      <c r="G82" s="119" t="s">
        <v>271</v>
      </c>
      <c r="H82" s="120">
        <v>4.3420000000000004E-3</v>
      </c>
      <c r="I82" s="120">
        <v>6.2360000000000002E-3</v>
      </c>
      <c r="J82" s="120">
        <v>3.5959999999999998E-3</v>
      </c>
      <c r="K82" s="120">
        <v>1.379E-3</v>
      </c>
      <c r="L82" s="119" t="s">
        <v>271</v>
      </c>
      <c r="M82" s="119" t="s">
        <v>271</v>
      </c>
      <c r="N82" s="120">
        <v>0.11379599999999999</v>
      </c>
      <c r="O82" s="120">
        <v>0.21167900000000001</v>
      </c>
      <c r="P82" s="120">
        <v>0.28333599999999998</v>
      </c>
      <c r="Q82" s="120">
        <v>0.28137099999999998</v>
      </c>
      <c r="R82" s="120">
        <v>0.27052900000000002</v>
      </c>
      <c r="S82" s="120">
        <v>0.227079</v>
      </c>
      <c r="T82" s="120">
        <v>0.30667800000000001</v>
      </c>
      <c r="U82" s="120">
        <v>0.244029</v>
      </c>
      <c r="V82" s="120">
        <v>0.22375800000000001</v>
      </c>
      <c r="W82" s="120">
        <v>0.37607400000000002</v>
      </c>
      <c r="X82" s="120">
        <v>0.34098699999999998</v>
      </c>
      <c r="Y82" s="120">
        <v>0.40223700000000001</v>
      </c>
      <c r="Z82" s="120">
        <v>0.81046499999999999</v>
      </c>
      <c r="AA82" s="120">
        <v>0.53585799999999995</v>
      </c>
      <c r="AB82" s="120">
        <v>0.46471000000000001</v>
      </c>
      <c r="AC82" s="120">
        <v>0.76633799999999996</v>
      </c>
      <c r="AD82" s="120">
        <v>0.351962</v>
      </c>
      <c r="AE82" s="120">
        <v>0.31973800000000002</v>
      </c>
      <c r="AG82" s="103" t="s">
        <v>2109</v>
      </c>
      <c r="AH82" s="119" t="s">
        <v>271</v>
      </c>
      <c r="AI82" s="119" t="s">
        <v>271</v>
      </c>
      <c r="AJ82" s="119" t="s">
        <v>271</v>
      </c>
      <c r="AK82" s="119" t="s">
        <v>271</v>
      </c>
      <c r="AL82" s="119" t="s">
        <v>271</v>
      </c>
      <c r="AM82" s="119" t="s">
        <v>271</v>
      </c>
      <c r="AN82" s="119" t="s">
        <v>271</v>
      </c>
      <c r="AO82" s="119" t="s">
        <v>271</v>
      </c>
      <c r="AP82" s="119" t="s">
        <v>271</v>
      </c>
      <c r="AQ82" s="119" t="s">
        <v>271</v>
      </c>
      <c r="AR82" s="119" t="s">
        <v>271</v>
      </c>
      <c r="AS82" s="119" t="s">
        <v>271</v>
      </c>
      <c r="AT82" s="119" t="s">
        <v>271</v>
      </c>
      <c r="AU82" s="119" t="s">
        <v>271</v>
      </c>
      <c r="AV82" s="119" t="s">
        <v>271</v>
      </c>
      <c r="AW82" s="119" t="s">
        <v>271</v>
      </c>
      <c r="AX82" s="119" t="s">
        <v>271</v>
      </c>
      <c r="AY82" s="119" t="s">
        <v>271</v>
      </c>
      <c r="AZ82" s="120">
        <v>6.7169999999999999E-3</v>
      </c>
      <c r="BA82" s="120">
        <v>7.5680000000000001E-3</v>
      </c>
      <c r="BB82" s="120">
        <v>1.0558E-2</v>
      </c>
      <c r="BC82" s="120">
        <v>6.1780000000000003E-3</v>
      </c>
      <c r="BD82" s="120">
        <v>5.2350000000000001E-3</v>
      </c>
      <c r="BE82" s="120">
        <v>5.1580000000000003E-3</v>
      </c>
      <c r="BF82" s="120">
        <v>4.1590000000000004E-3</v>
      </c>
      <c r="BG82" s="120">
        <v>3.5300000000000002E-3</v>
      </c>
      <c r="BH82" s="120">
        <v>3.6510000000000002E-3</v>
      </c>
      <c r="BI82" s="120">
        <v>3.1779999999999998E-3</v>
      </c>
      <c r="BJ82" s="120">
        <v>3.1939999999999998E-3</v>
      </c>
      <c r="BK82" s="120">
        <v>2.4629999999999999E-3</v>
      </c>
      <c r="BL82" s="120">
        <v>0</v>
      </c>
      <c r="BM82" s="120">
        <v>0</v>
      </c>
      <c r="BN82" s="119" t="s">
        <v>271</v>
      </c>
      <c r="BO82" s="119" t="s">
        <v>271</v>
      </c>
      <c r="BP82" s="119" t="s">
        <v>271</v>
      </c>
      <c r="BQ82" s="119" t="s">
        <v>271</v>
      </c>
      <c r="BR82" s="119" t="s">
        <v>271</v>
      </c>
      <c r="BS82" s="119" t="s">
        <v>271</v>
      </c>
      <c r="BT82" s="119" t="s">
        <v>271</v>
      </c>
      <c r="BU82" s="119" t="s">
        <v>271</v>
      </c>
      <c r="BV82" s="119" t="s">
        <v>271</v>
      </c>
      <c r="BW82" s="119" t="s">
        <v>271</v>
      </c>
      <c r="BX82" s="120">
        <v>0.40009299999999998</v>
      </c>
      <c r="BY82" s="120">
        <v>0</v>
      </c>
      <c r="BZ82" s="119" t="s">
        <v>271</v>
      </c>
      <c r="CA82" s="120">
        <v>1.116204</v>
      </c>
      <c r="CB82" s="119" t="s">
        <v>271</v>
      </c>
      <c r="CC82" s="120">
        <v>0</v>
      </c>
      <c r="CD82" s="120">
        <v>0.34414499999999998</v>
      </c>
      <c r="CE82" s="120">
        <v>0.24776200000000001</v>
      </c>
      <c r="CF82" s="120">
        <v>0.34529799999999999</v>
      </c>
      <c r="CG82" s="120">
        <v>0.23216200000000001</v>
      </c>
      <c r="CH82" s="120">
        <v>0.272843</v>
      </c>
      <c r="CI82" s="120">
        <v>0.23158999999999999</v>
      </c>
      <c r="CJ82" s="120">
        <v>0.31071500000000002</v>
      </c>
      <c r="CK82" s="120">
        <v>0.32425700000000002</v>
      </c>
      <c r="CL82" s="120">
        <v>0.25790600000000002</v>
      </c>
      <c r="CM82" s="120">
        <v>0.37319099999999999</v>
      </c>
      <c r="CN82" s="120">
        <v>0.198132</v>
      </c>
      <c r="CO82" s="120">
        <v>0.31367299999999998</v>
      </c>
      <c r="CP82" s="120">
        <v>0.218698</v>
      </c>
      <c r="CQ82" s="120">
        <v>0.21967200000000001</v>
      </c>
      <c r="CR82" s="120">
        <v>0.23313500000000001</v>
      </c>
      <c r="CS82" s="120">
        <v>0.237374</v>
      </c>
      <c r="CT82" s="120">
        <v>0.228218</v>
      </c>
      <c r="CU82" s="120">
        <v>0.27719199999999999</v>
      </c>
      <c r="CV82" s="120">
        <v>0.38797399999999999</v>
      </c>
      <c r="CW82" s="120">
        <v>0.38029499999999999</v>
      </c>
      <c r="CX82" s="120">
        <v>0.32372600000000001</v>
      </c>
      <c r="CY82" s="120">
        <v>0.17292099999999999</v>
      </c>
      <c r="CZ82" s="120">
        <v>0.28432299999999999</v>
      </c>
      <c r="DA82" s="120">
        <v>0.25011</v>
      </c>
      <c r="DB82" s="120">
        <v>0.206654</v>
      </c>
      <c r="DC82" s="120">
        <v>0.205456</v>
      </c>
      <c r="DD82" s="120">
        <v>0.25783600000000001</v>
      </c>
      <c r="DE82" s="120">
        <v>0.229826</v>
      </c>
      <c r="DF82" s="120">
        <v>0.233705</v>
      </c>
      <c r="DG82" s="120">
        <v>0.25407600000000002</v>
      </c>
      <c r="DH82" s="120">
        <v>0.32948300000000003</v>
      </c>
      <c r="DI82" s="120" t="s">
        <v>1640</v>
      </c>
      <c r="DJ82" s="120">
        <v>0.37527899999999997</v>
      </c>
      <c r="DK82" s="120">
        <v>0.30312</v>
      </c>
      <c r="DL82" s="120">
        <v>0.31791900000000001</v>
      </c>
      <c r="DM82" s="120">
        <v>0.38690799999999997</v>
      </c>
      <c r="DN82" s="120">
        <v>0.365369</v>
      </c>
      <c r="DO82" s="120">
        <v>0.35559600000000002</v>
      </c>
      <c r="DP82" s="120">
        <v>0.41024699999999997</v>
      </c>
      <c r="DQ82" s="120">
        <v>0.50065000000000004</v>
      </c>
      <c r="DR82" s="120">
        <v>0.50814899999999996</v>
      </c>
      <c r="DS82" s="120">
        <v>0.434419</v>
      </c>
      <c r="DT82" s="120">
        <v>0.50792300000000001</v>
      </c>
      <c r="DU82" s="120" t="s">
        <v>1640</v>
      </c>
      <c r="DV82" s="120">
        <v>0.50489499999999998</v>
      </c>
      <c r="DW82" s="120">
        <v>0.57154199999999999</v>
      </c>
      <c r="DX82" s="120">
        <v>0.756656</v>
      </c>
      <c r="DY82" s="120">
        <v>0.90358700000000003</v>
      </c>
      <c r="DZ82" s="120">
        <v>0.49408800000000003</v>
      </c>
      <c r="EA82" s="120">
        <v>0.48252699999999998</v>
      </c>
      <c r="EB82" s="120">
        <v>0.54903299999999999</v>
      </c>
      <c r="EC82" s="120">
        <v>0.37290800000000002</v>
      </c>
      <c r="ED82" s="120">
        <v>0.45666000000000001</v>
      </c>
      <c r="EE82" s="120" t="s">
        <v>1640</v>
      </c>
      <c r="EF82" s="120">
        <v>0.43534400000000001</v>
      </c>
      <c r="EG82" s="120">
        <v>0.36357400000000001</v>
      </c>
      <c r="EH82" s="120">
        <v>0.36491299999999999</v>
      </c>
      <c r="EI82" s="120">
        <v>0.420902</v>
      </c>
      <c r="EJ82" s="120">
        <v>0.40027200000000002</v>
      </c>
      <c r="EK82" s="120">
        <v>0.26700499999999999</v>
      </c>
      <c r="EL82" s="120">
        <v>0.32871299999999998</v>
      </c>
      <c r="EM82" s="120">
        <v>0.33359</v>
      </c>
      <c r="EN82" s="120">
        <v>0.36049100000000001</v>
      </c>
    </row>
    <row r="83" spans="1:144">
      <c r="A83" s="103"/>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c r="CR83" s="103"/>
      <c r="CS83" s="103"/>
      <c r="CT83" s="103"/>
      <c r="CU83" s="103"/>
      <c r="CV83" s="103"/>
      <c r="CW83" s="103"/>
      <c r="CX83" s="103"/>
      <c r="CY83" s="103"/>
      <c r="CZ83" s="103"/>
      <c r="DA83" s="103"/>
      <c r="DB83" s="103"/>
      <c r="DC83" s="103"/>
      <c r="DD83" s="103"/>
      <c r="DE83" s="103"/>
      <c r="DF83" s="103"/>
      <c r="DG83" s="103"/>
      <c r="DH83" s="103"/>
      <c r="DI83" s="103"/>
      <c r="DJ83" s="103"/>
      <c r="DK83" s="103"/>
      <c r="DL83" s="103"/>
      <c r="DM83" s="103"/>
      <c r="DN83" s="103"/>
      <c r="DO83" s="103"/>
      <c r="DP83" s="103"/>
      <c r="DQ83" s="103"/>
      <c r="DR83" s="103"/>
      <c r="DS83" s="103"/>
      <c r="DT83" s="103"/>
      <c r="DU83" s="103"/>
      <c r="DV83" s="103"/>
      <c r="DW83" s="103"/>
      <c r="DX83" s="103"/>
      <c r="DY83" s="103"/>
      <c r="DZ83" s="103"/>
      <c r="EA83" s="103"/>
      <c r="EB83" s="103"/>
      <c r="EC83" s="103"/>
      <c r="ED83" s="103"/>
      <c r="EE83" s="103"/>
      <c r="EF83" s="103"/>
      <c r="EG83" s="103"/>
      <c r="EH83" s="103"/>
      <c r="EI83" s="103"/>
      <c r="EJ83" s="103"/>
      <c r="EK83" s="103"/>
      <c r="EL83" s="103"/>
      <c r="EM83" s="103"/>
      <c r="EN83" s="103"/>
    </row>
    <row r="84" spans="1:144">
      <c r="A84" s="103" t="s">
        <v>2110</v>
      </c>
      <c r="B84" s="121">
        <v>1</v>
      </c>
      <c r="C84" s="121">
        <v>1</v>
      </c>
      <c r="D84" s="121">
        <v>1</v>
      </c>
      <c r="E84" s="121">
        <v>1</v>
      </c>
      <c r="F84" s="121">
        <v>1</v>
      </c>
      <c r="G84" s="121">
        <v>1</v>
      </c>
      <c r="H84" s="121">
        <v>1</v>
      </c>
      <c r="I84" s="121">
        <v>1</v>
      </c>
      <c r="J84" s="121">
        <v>1</v>
      </c>
      <c r="K84" s="121">
        <v>1</v>
      </c>
      <c r="L84" s="121">
        <v>1</v>
      </c>
      <c r="M84" s="121">
        <v>1</v>
      </c>
      <c r="N84" s="121">
        <v>1</v>
      </c>
      <c r="O84" s="121">
        <v>1</v>
      </c>
      <c r="P84" s="121">
        <v>1</v>
      </c>
      <c r="Q84" s="121">
        <v>1</v>
      </c>
      <c r="R84" s="121">
        <v>1</v>
      </c>
      <c r="S84" s="121">
        <v>1</v>
      </c>
      <c r="T84" s="121">
        <v>1</v>
      </c>
      <c r="U84" s="121">
        <v>1</v>
      </c>
      <c r="V84" s="121">
        <v>1</v>
      </c>
      <c r="W84" s="121">
        <v>1</v>
      </c>
      <c r="X84" s="121">
        <v>1</v>
      </c>
      <c r="Y84" s="121">
        <v>1</v>
      </c>
      <c r="Z84" s="121">
        <v>1</v>
      </c>
      <c r="AA84" s="121">
        <v>1</v>
      </c>
      <c r="AB84" s="121">
        <v>1</v>
      </c>
      <c r="AC84" s="121">
        <v>1</v>
      </c>
      <c r="AD84" s="121">
        <v>1</v>
      </c>
      <c r="AE84" s="121">
        <v>1</v>
      </c>
      <c r="AG84" s="103" t="s">
        <v>2110</v>
      </c>
      <c r="AH84" s="121">
        <v>1</v>
      </c>
      <c r="AI84" s="121">
        <v>1</v>
      </c>
      <c r="AJ84" s="121">
        <v>1</v>
      </c>
      <c r="AK84" s="121">
        <v>1</v>
      </c>
      <c r="AL84" s="121">
        <v>1</v>
      </c>
      <c r="AM84" s="121">
        <v>1</v>
      </c>
      <c r="AN84" s="121">
        <v>1</v>
      </c>
      <c r="AO84" s="121">
        <v>1</v>
      </c>
      <c r="AP84" s="121">
        <v>1</v>
      </c>
      <c r="AQ84" s="121">
        <v>1</v>
      </c>
      <c r="AR84" s="121">
        <v>1</v>
      </c>
      <c r="AS84" s="121">
        <v>1</v>
      </c>
      <c r="AT84" s="121">
        <v>1</v>
      </c>
      <c r="AU84" s="121">
        <v>1</v>
      </c>
      <c r="AV84" s="121">
        <v>1</v>
      </c>
      <c r="AW84" s="121">
        <v>1</v>
      </c>
      <c r="AX84" s="121">
        <v>1</v>
      </c>
      <c r="AY84" s="121">
        <v>1</v>
      </c>
      <c r="AZ84" s="121">
        <v>1</v>
      </c>
      <c r="BA84" s="121">
        <v>1</v>
      </c>
      <c r="BB84" s="121">
        <v>1</v>
      </c>
      <c r="BC84" s="121">
        <v>1</v>
      </c>
      <c r="BD84" s="121">
        <v>1</v>
      </c>
      <c r="BE84" s="121">
        <v>1</v>
      </c>
      <c r="BF84" s="121">
        <v>1</v>
      </c>
      <c r="BG84" s="121">
        <v>1</v>
      </c>
      <c r="BH84" s="121">
        <v>1</v>
      </c>
      <c r="BI84" s="121">
        <v>1</v>
      </c>
      <c r="BJ84" s="121">
        <v>1</v>
      </c>
      <c r="BK84" s="121">
        <v>1</v>
      </c>
      <c r="BL84" s="121">
        <v>1</v>
      </c>
      <c r="BM84" s="121">
        <v>1</v>
      </c>
      <c r="BN84" s="121">
        <v>1</v>
      </c>
      <c r="BO84" s="121">
        <v>1</v>
      </c>
      <c r="BP84" s="121">
        <v>1</v>
      </c>
      <c r="BQ84" s="121">
        <v>1</v>
      </c>
      <c r="BR84" s="121">
        <v>1</v>
      </c>
      <c r="BS84" s="121">
        <v>1</v>
      </c>
      <c r="BT84" s="121">
        <v>1</v>
      </c>
      <c r="BU84" s="121">
        <v>1</v>
      </c>
      <c r="BV84" s="121">
        <v>1</v>
      </c>
      <c r="BW84" s="121">
        <v>1</v>
      </c>
      <c r="BX84" s="121">
        <v>1</v>
      </c>
      <c r="BY84" s="121">
        <v>1</v>
      </c>
      <c r="BZ84" s="121">
        <v>1</v>
      </c>
      <c r="CA84" s="121">
        <v>1</v>
      </c>
      <c r="CB84" s="121">
        <v>1</v>
      </c>
      <c r="CC84" s="121">
        <v>1</v>
      </c>
      <c r="CD84" s="121">
        <v>1</v>
      </c>
      <c r="CE84" s="121">
        <v>1</v>
      </c>
      <c r="CF84" s="121">
        <v>1</v>
      </c>
      <c r="CG84" s="121">
        <v>1</v>
      </c>
      <c r="CH84" s="121">
        <v>1</v>
      </c>
      <c r="CI84" s="121">
        <v>1</v>
      </c>
      <c r="CJ84" s="121">
        <v>1</v>
      </c>
      <c r="CK84" s="121">
        <v>1</v>
      </c>
      <c r="CL84" s="121">
        <v>1</v>
      </c>
      <c r="CM84" s="121">
        <v>1</v>
      </c>
      <c r="CN84" s="121">
        <v>1</v>
      </c>
      <c r="CO84" s="121">
        <v>1</v>
      </c>
      <c r="CP84" s="121">
        <v>1</v>
      </c>
      <c r="CQ84" s="121">
        <v>1</v>
      </c>
      <c r="CR84" s="121">
        <v>1</v>
      </c>
      <c r="CS84" s="121">
        <v>1</v>
      </c>
      <c r="CT84" s="121">
        <v>1</v>
      </c>
      <c r="CU84" s="121">
        <v>1</v>
      </c>
      <c r="CV84" s="121">
        <v>1</v>
      </c>
      <c r="CW84" s="121">
        <v>1</v>
      </c>
      <c r="CX84" s="121">
        <v>1</v>
      </c>
      <c r="CY84" s="121">
        <v>1</v>
      </c>
      <c r="CZ84" s="121">
        <v>1</v>
      </c>
      <c r="DA84" s="121">
        <v>1</v>
      </c>
      <c r="DB84" s="121">
        <v>1</v>
      </c>
      <c r="DC84" s="121">
        <v>1</v>
      </c>
      <c r="DD84" s="121">
        <v>1</v>
      </c>
      <c r="DE84" s="121">
        <v>1</v>
      </c>
      <c r="DF84" s="121">
        <v>1</v>
      </c>
      <c r="DG84" s="121">
        <v>1</v>
      </c>
      <c r="DH84" s="121">
        <v>1</v>
      </c>
      <c r="DI84" s="121">
        <v>1</v>
      </c>
      <c r="DJ84" s="121">
        <v>1</v>
      </c>
      <c r="DK84" s="121">
        <v>1</v>
      </c>
      <c r="DL84" s="121">
        <v>1</v>
      </c>
      <c r="DM84" s="121">
        <v>1</v>
      </c>
      <c r="DN84" s="121">
        <v>1</v>
      </c>
      <c r="DO84" s="121">
        <v>1</v>
      </c>
      <c r="DP84" s="121">
        <v>1</v>
      </c>
      <c r="DQ84" s="121">
        <v>1</v>
      </c>
      <c r="DR84" s="121">
        <v>1</v>
      </c>
      <c r="DS84" s="121">
        <v>1</v>
      </c>
      <c r="DT84" s="121">
        <v>1</v>
      </c>
      <c r="DU84" s="121">
        <v>1</v>
      </c>
      <c r="DV84" s="121">
        <v>1</v>
      </c>
      <c r="DW84" s="121">
        <v>1</v>
      </c>
      <c r="DX84" s="121">
        <v>1</v>
      </c>
      <c r="DY84" s="121">
        <v>1</v>
      </c>
      <c r="DZ84" s="121">
        <v>1</v>
      </c>
      <c r="EA84" s="121">
        <v>1</v>
      </c>
      <c r="EB84" s="121">
        <v>1</v>
      </c>
      <c r="EC84" s="121">
        <v>1</v>
      </c>
      <c r="ED84" s="121">
        <v>1</v>
      </c>
      <c r="EE84" s="121">
        <v>1</v>
      </c>
      <c r="EF84" s="121">
        <v>1</v>
      </c>
      <c r="EG84" s="121">
        <v>1</v>
      </c>
      <c r="EH84" s="121">
        <v>1</v>
      </c>
      <c r="EI84" s="121">
        <v>1</v>
      </c>
      <c r="EJ84" s="121">
        <v>1</v>
      </c>
      <c r="EK84" s="121">
        <v>1</v>
      </c>
      <c r="EL84" s="121">
        <v>1</v>
      </c>
      <c r="EM84" s="121">
        <v>1</v>
      </c>
      <c r="EN84" s="121">
        <v>1</v>
      </c>
    </row>
    <row r="85" spans="1:144">
      <c r="A85" s="103"/>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c r="CR85" s="103"/>
      <c r="CS85" s="103"/>
      <c r="CT85" s="103"/>
      <c r="CU85" s="103"/>
      <c r="CV85" s="103"/>
      <c r="CW85" s="103"/>
      <c r="CX85" s="103"/>
      <c r="CY85" s="103"/>
      <c r="CZ85" s="103"/>
      <c r="DA85" s="103"/>
      <c r="DB85" s="103"/>
      <c r="DC85" s="103"/>
      <c r="DD85" s="103"/>
      <c r="DE85" s="103"/>
      <c r="DF85" s="103"/>
      <c r="DG85" s="103"/>
      <c r="DH85" s="103"/>
      <c r="DI85" s="103"/>
      <c r="DJ85" s="103"/>
      <c r="DK85" s="103"/>
      <c r="DL85" s="103"/>
      <c r="DM85" s="103"/>
      <c r="DN85" s="103"/>
      <c r="DO85" s="103"/>
      <c r="DP85" s="103"/>
      <c r="DQ85" s="103"/>
      <c r="DR85" s="103"/>
      <c r="DS85" s="103"/>
      <c r="DT85" s="103"/>
      <c r="DU85" s="103"/>
      <c r="DV85" s="103"/>
      <c r="DW85" s="103"/>
      <c r="DX85" s="103"/>
      <c r="DY85" s="103"/>
      <c r="DZ85" s="103"/>
      <c r="EA85" s="103"/>
      <c r="EB85" s="103"/>
      <c r="EC85" s="103"/>
      <c r="ED85" s="103"/>
      <c r="EE85" s="103"/>
      <c r="EF85" s="103"/>
      <c r="EG85" s="103"/>
      <c r="EH85" s="103"/>
      <c r="EI85" s="103"/>
      <c r="EJ85" s="103"/>
      <c r="EK85" s="103"/>
      <c r="EL85" s="103"/>
      <c r="EM85" s="103"/>
      <c r="EN85" s="103"/>
    </row>
    <row r="86" spans="1:144" ht="10.5">
      <c r="A86" s="112" t="s">
        <v>2111</v>
      </c>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G86" s="112" t="s">
        <v>2111</v>
      </c>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c r="CR86" s="103"/>
      <c r="CS86" s="103"/>
      <c r="CT86" s="103"/>
      <c r="CU86" s="103"/>
      <c r="CV86" s="103"/>
      <c r="CW86" s="103"/>
      <c r="CX86" s="103"/>
      <c r="CY86" s="103"/>
      <c r="CZ86" s="103"/>
      <c r="DA86" s="103"/>
      <c r="DB86" s="103"/>
      <c r="DC86" s="103"/>
      <c r="DD86" s="103"/>
      <c r="DE86" s="103"/>
      <c r="DF86" s="103"/>
      <c r="DG86" s="103"/>
      <c r="DH86" s="103"/>
      <c r="DI86" s="103"/>
      <c r="DJ86" s="103"/>
      <c r="DK86" s="103"/>
      <c r="DL86" s="103"/>
      <c r="DM86" s="103"/>
      <c r="DN86" s="103"/>
      <c r="DO86" s="103"/>
      <c r="DP86" s="103"/>
      <c r="DQ86" s="103"/>
      <c r="DR86" s="103"/>
      <c r="DS86" s="103"/>
      <c r="DT86" s="103"/>
      <c r="DU86" s="103"/>
      <c r="DV86" s="103"/>
      <c r="DW86" s="103"/>
      <c r="DX86" s="103"/>
      <c r="DY86" s="103"/>
      <c r="DZ86" s="103"/>
      <c r="EA86" s="103"/>
      <c r="EB86" s="103"/>
      <c r="EC86" s="103"/>
      <c r="ED86" s="103"/>
      <c r="EE86" s="103"/>
      <c r="EF86" s="103"/>
      <c r="EG86" s="103"/>
      <c r="EH86" s="103"/>
      <c r="EI86" s="103"/>
      <c r="EJ86" s="103"/>
      <c r="EK86" s="103"/>
      <c r="EL86" s="103"/>
      <c r="EM86" s="103"/>
      <c r="EN86" s="103"/>
    </row>
    <row r="87" spans="1:144">
      <c r="A87" s="103" t="s">
        <v>121</v>
      </c>
      <c r="B87" s="113">
        <v>726</v>
      </c>
      <c r="C87" s="113">
        <v>1108</v>
      </c>
      <c r="D87" s="113">
        <v>1477</v>
      </c>
      <c r="E87" s="113">
        <v>1963</v>
      </c>
      <c r="F87" s="113">
        <v>2307</v>
      </c>
      <c r="G87" s="113">
        <v>3539</v>
      </c>
      <c r="H87" s="113">
        <v>5428</v>
      </c>
      <c r="I87" s="113">
        <v>7238</v>
      </c>
      <c r="J87" s="113">
        <v>10493</v>
      </c>
      <c r="K87" s="113">
        <v>12022</v>
      </c>
      <c r="L87" s="113">
        <v>13256</v>
      </c>
      <c r="M87" s="113">
        <v>9210</v>
      </c>
      <c r="N87" s="113">
        <v>11688</v>
      </c>
      <c r="O87" s="113">
        <v>12681</v>
      </c>
      <c r="P87" s="113">
        <v>17755</v>
      </c>
      <c r="Q87" s="113">
        <v>18675</v>
      </c>
      <c r="R87" s="113">
        <v>20385</v>
      </c>
      <c r="S87" s="113">
        <v>25943</v>
      </c>
      <c r="T87" s="113">
        <v>22984</v>
      </c>
      <c r="U87" s="113">
        <v>26605</v>
      </c>
      <c r="V87" s="113">
        <v>29698</v>
      </c>
      <c r="W87" s="113">
        <v>30714</v>
      </c>
      <c r="X87" s="113">
        <v>30836</v>
      </c>
      <c r="Y87" s="113">
        <v>32131</v>
      </c>
      <c r="Z87" s="113">
        <v>33572</v>
      </c>
      <c r="AA87" s="113">
        <v>33066</v>
      </c>
      <c r="AB87" s="113">
        <v>37131</v>
      </c>
      <c r="AC87" s="113">
        <v>44958</v>
      </c>
      <c r="AD87" s="113">
        <v>54559</v>
      </c>
      <c r="AE87" s="113">
        <v>64091</v>
      </c>
      <c r="AG87" s="103" t="s">
        <v>121</v>
      </c>
      <c r="AH87" s="113">
        <v>344.5</v>
      </c>
      <c r="AI87" s="113">
        <v>363</v>
      </c>
      <c r="AJ87" s="113">
        <v>376</v>
      </c>
      <c r="AK87" s="113">
        <v>412</v>
      </c>
      <c r="AL87" s="113">
        <v>384</v>
      </c>
      <c r="AM87" s="113">
        <v>462</v>
      </c>
      <c r="AN87" s="113">
        <v>553</v>
      </c>
      <c r="AO87" s="113">
        <v>564</v>
      </c>
      <c r="AP87" s="113">
        <v>504</v>
      </c>
      <c r="AQ87" s="113">
        <v>586</v>
      </c>
      <c r="AR87" s="113">
        <v>619</v>
      </c>
      <c r="AS87" s="113">
        <v>598</v>
      </c>
      <c r="AT87" s="113">
        <v>777</v>
      </c>
      <c r="AU87" s="113">
        <v>864</v>
      </c>
      <c r="AV87" s="113">
        <v>963</v>
      </c>
      <c r="AW87" s="113">
        <v>954</v>
      </c>
      <c r="AX87" s="113">
        <v>1064</v>
      </c>
      <c r="AY87" s="113">
        <v>1225</v>
      </c>
      <c r="AZ87" s="113">
        <v>1676</v>
      </c>
      <c r="BA87" s="113">
        <v>1463</v>
      </c>
      <c r="BB87" s="113">
        <v>1584</v>
      </c>
      <c r="BC87" s="113">
        <v>1882</v>
      </c>
      <c r="BD87" s="113">
        <v>2146</v>
      </c>
      <c r="BE87" s="113">
        <v>2122</v>
      </c>
      <c r="BF87" s="113">
        <v>2261</v>
      </c>
      <c r="BG87" s="113">
        <v>2891</v>
      </c>
      <c r="BH87" s="113">
        <v>2387</v>
      </c>
      <c r="BI87" s="113">
        <v>3399</v>
      </c>
      <c r="BJ87" s="113">
        <v>3134</v>
      </c>
      <c r="BK87" s="113">
        <v>3256</v>
      </c>
      <c r="BL87" s="113">
        <v>3010</v>
      </c>
      <c r="BM87" s="113">
        <v>2774.25</v>
      </c>
      <c r="BN87" s="113">
        <v>3027</v>
      </c>
      <c r="BO87" s="113">
        <v>3433</v>
      </c>
      <c r="BP87" s="113">
        <v>3481</v>
      </c>
      <c r="BQ87" s="113">
        <v>2992.5</v>
      </c>
      <c r="BR87" s="113">
        <v>3179</v>
      </c>
      <c r="BS87" s="113">
        <v>3796</v>
      </c>
      <c r="BT87" s="113">
        <v>3446</v>
      </c>
      <c r="BU87" s="113">
        <v>3163</v>
      </c>
      <c r="BV87" s="113">
        <v>3301</v>
      </c>
      <c r="BW87" s="113">
        <v>2718</v>
      </c>
      <c r="BX87" s="113">
        <v>3127</v>
      </c>
      <c r="BY87" s="113">
        <v>2722</v>
      </c>
      <c r="BZ87" s="113">
        <v>3476</v>
      </c>
      <c r="CA87" s="113">
        <v>1775</v>
      </c>
      <c r="CB87" s="113">
        <v>4052</v>
      </c>
      <c r="CC87" s="113">
        <v>3442</v>
      </c>
      <c r="CD87" s="113">
        <v>4213</v>
      </c>
      <c r="CE87" s="113">
        <v>4857</v>
      </c>
      <c r="CF87" s="113">
        <v>4996</v>
      </c>
      <c r="CG87" s="113">
        <v>3535</v>
      </c>
      <c r="CH87" s="113">
        <v>4729</v>
      </c>
      <c r="CI87" s="113">
        <v>4954</v>
      </c>
      <c r="CJ87" s="113">
        <v>4462</v>
      </c>
      <c r="CK87" s="113">
        <v>4636</v>
      </c>
      <c r="CL87" s="113">
        <v>4810</v>
      </c>
      <c r="CM87" s="113">
        <v>3948</v>
      </c>
      <c r="CN87" s="113">
        <v>7330</v>
      </c>
      <c r="CO87" s="113">
        <v>4387</v>
      </c>
      <c r="CP87" s="113">
        <v>6284</v>
      </c>
      <c r="CQ87" s="113">
        <v>6934</v>
      </c>
      <c r="CR87" s="113">
        <v>6322</v>
      </c>
      <c r="CS87" s="113">
        <v>6162</v>
      </c>
      <c r="CT87" s="113">
        <v>6584</v>
      </c>
      <c r="CU87" s="113">
        <v>6571</v>
      </c>
      <c r="CV87" s="113">
        <v>5449</v>
      </c>
      <c r="CW87" s="113">
        <v>4630</v>
      </c>
      <c r="CX87" s="113">
        <v>5128</v>
      </c>
      <c r="CY87" s="113">
        <v>9128</v>
      </c>
      <c r="CZ87" s="113">
        <v>5867</v>
      </c>
      <c r="DA87" s="113">
        <v>6541</v>
      </c>
      <c r="DB87" s="113">
        <v>7784</v>
      </c>
      <c r="DC87" s="113">
        <v>8798</v>
      </c>
      <c r="DD87" s="113">
        <v>6429</v>
      </c>
      <c r="DE87" s="113">
        <v>6631</v>
      </c>
      <c r="DF87" s="113">
        <v>7900</v>
      </c>
      <c r="DG87" s="113">
        <v>8644</v>
      </c>
      <c r="DH87" s="113">
        <v>7112</v>
      </c>
      <c r="DI87" s="113">
        <v>7058</v>
      </c>
      <c r="DJ87" s="113">
        <v>5978</v>
      </c>
      <c r="DK87" s="113">
        <v>8719</v>
      </c>
      <c r="DL87" s="113">
        <v>9346</v>
      </c>
      <c r="DM87" s="113">
        <v>6793</v>
      </c>
      <c r="DN87" s="113">
        <v>7242</v>
      </c>
      <c r="DO87" s="113">
        <v>9180</v>
      </c>
      <c r="DP87" s="113">
        <v>8179</v>
      </c>
      <c r="DQ87" s="113">
        <v>7530</v>
      </c>
      <c r="DR87" s="113">
        <v>8372</v>
      </c>
      <c r="DS87" s="113">
        <v>9525</v>
      </c>
      <c r="DT87" s="113">
        <v>8286</v>
      </c>
      <c r="DU87" s="113">
        <v>7389</v>
      </c>
      <c r="DV87" s="113">
        <v>7236</v>
      </c>
      <c r="DW87" s="113">
        <v>7552</v>
      </c>
      <c r="DX87" s="113">
        <v>6972</v>
      </c>
      <c r="DY87" s="113">
        <v>5411</v>
      </c>
      <c r="DZ87" s="113">
        <v>8531</v>
      </c>
      <c r="EA87" s="113">
        <v>10071</v>
      </c>
      <c r="EB87" s="113">
        <v>9176</v>
      </c>
      <c r="EC87" s="113">
        <v>11644</v>
      </c>
      <c r="ED87" s="113">
        <v>10207</v>
      </c>
      <c r="EE87" s="113">
        <v>11215</v>
      </c>
      <c r="EF87" s="113">
        <v>11002</v>
      </c>
      <c r="EG87" s="113">
        <v>12534</v>
      </c>
      <c r="EH87" s="113">
        <v>12792</v>
      </c>
      <c r="EI87" s="113">
        <v>13253</v>
      </c>
      <c r="EJ87" s="113">
        <v>13267</v>
      </c>
      <c r="EK87" s="113">
        <v>15247</v>
      </c>
      <c r="EL87" s="113">
        <v>15657</v>
      </c>
      <c r="EM87" s="113">
        <v>17094</v>
      </c>
      <c r="EN87" s="113">
        <v>16093</v>
      </c>
    </row>
    <row r="88" spans="1:144">
      <c r="A88" s="103" t="s">
        <v>2112</v>
      </c>
      <c r="B88" s="113">
        <v>670</v>
      </c>
      <c r="C88" s="113">
        <v>996</v>
      </c>
      <c r="D88" s="113">
        <v>1326</v>
      </c>
      <c r="E88" s="113">
        <v>1726</v>
      </c>
      <c r="F88" s="113">
        <v>2038</v>
      </c>
      <c r="G88" s="113">
        <v>3059</v>
      </c>
      <c r="H88" s="113">
        <v>5075</v>
      </c>
      <c r="I88" s="113">
        <v>6710</v>
      </c>
      <c r="J88" s="113">
        <v>10010</v>
      </c>
      <c r="K88" s="113">
        <v>11354</v>
      </c>
      <c r="L88" s="113">
        <v>12492</v>
      </c>
      <c r="M88" s="113">
        <v>8390</v>
      </c>
      <c r="N88" s="113">
        <v>10759</v>
      </c>
      <c r="O88" s="113">
        <v>12034</v>
      </c>
      <c r="P88" s="113">
        <v>17032</v>
      </c>
      <c r="Q88" s="113">
        <v>17899</v>
      </c>
      <c r="R88" s="113">
        <v>19185</v>
      </c>
      <c r="S88" s="113">
        <v>24543</v>
      </c>
      <c r="T88" s="113">
        <v>21284</v>
      </c>
      <c r="U88" s="113">
        <v>24805</v>
      </c>
      <c r="V88" s="113">
        <v>27698</v>
      </c>
      <c r="W88" s="113">
        <v>28514</v>
      </c>
      <c r="X88" s="113">
        <v>28236</v>
      </c>
      <c r="Y88" s="113">
        <v>28731</v>
      </c>
      <c r="Z88" s="113">
        <v>29472</v>
      </c>
      <c r="AA88" s="113">
        <v>28166</v>
      </c>
      <c r="AB88" s="113">
        <v>31031</v>
      </c>
      <c r="AC88" s="113">
        <v>37258</v>
      </c>
      <c r="AD88" s="113">
        <v>44859</v>
      </c>
      <c r="AE88" s="113">
        <v>53557</v>
      </c>
      <c r="AG88" s="103" t="s">
        <v>2112</v>
      </c>
      <c r="AH88" s="113">
        <v>307.5</v>
      </c>
      <c r="AI88" s="113">
        <v>326</v>
      </c>
      <c r="AJ88" s="113">
        <v>338</v>
      </c>
      <c r="AK88" s="113">
        <v>373</v>
      </c>
      <c r="AL88" s="113">
        <v>343</v>
      </c>
      <c r="AM88" s="113">
        <v>415</v>
      </c>
      <c r="AN88" s="113">
        <v>480</v>
      </c>
      <c r="AO88" s="113">
        <v>488</v>
      </c>
      <c r="AP88" s="113">
        <v>437</v>
      </c>
      <c r="AQ88" s="113">
        <v>520</v>
      </c>
      <c r="AR88" s="113">
        <v>549</v>
      </c>
      <c r="AS88" s="113">
        <v>574</v>
      </c>
      <c r="AT88" s="113">
        <v>708</v>
      </c>
      <c r="AU88" s="113">
        <v>786</v>
      </c>
      <c r="AV88" s="113">
        <v>774</v>
      </c>
      <c r="AW88" s="113">
        <v>927</v>
      </c>
      <c r="AX88" s="113">
        <v>902</v>
      </c>
      <c r="AY88" s="113">
        <v>1081</v>
      </c>
      <c r="AZ88" s="113">
        <v>1568</v>
      </c>
      <c r="BA88" s="113">
        <v>1320</v>
      </c>
      <c r="BB88" s="113">
        <v>1356</v>
      </c>
      <c r="BC88" s="113">
        <v>1613</v>
      </c>
      <c r="BD88" s="113">
        <v>1867</v>
      </c>
      <c r="BE88" s="113">
        <v>1874</v>
      </c>
      <c r="BF88" s="113">
        <v>2082</v>
      </c>
      <c r="BG88" s="113">
        <v>2714</v>
      </c>
      <c r="BH88" s="113">
        <v>2229</v>
      </c>
      <c r="BI88" s="113">
        <v>2903</v>
      </c>
      <c r="BJ88" s="113">
        <v>2789</v>
      </c>
      <c r="BK88" s="113">
        <v>2931</v>
      </c>
      <c r="BL88" s="113">
        <v>2735</v>
      </c>
      <c r="BM88" s="113">
        <v>2551</v>
      </c>
      <c r="BN88" s="113">
        <v>2777</v>
      </c>
      <c r="BO88" s="113">
        <v>3194</v>
      </c>
      <c r="BP88" s="113">
        <v>2998</v>
      </c>
      <c r="BQ88" s="113">
        <v>2751</v>
      </c>
      <c r="BR88" s="113">
        <v>2897</v>
      </c>
      <c r="BS88" s="113">
        <v>3501</v>
      </c>
      <c r="BT88" s="113">
        <v>3298</v>
      </c>
      <c r="BU88" s="113">
        <v>3068</v>
      </c>
      <c r="BV88" s="113">
        <v>3028</v>
      </c>
      <c r="BW88" s="113">
        <v>2443</v>
      </c>
      <c r="BX88" s="113">
        <v>2744</v>
      </c>
      <c r="BY88" s="113">
        <v>2563</v>
      </c>
      <c r="BZ88" s="113">
        <v>3148</v>
      </c>
      <c r="CA88" s="113">
        <v>1475</v>
      </c>
      <c r="CB88" s="113">
        <v>3803</v>
      </c>
      <c r="CC88" s="113">
        <v>3133</v>
      </c>
      <c r="CD88" s="113">
        <v>4030</v>
      </c>
      <c r="CE88" s="113">
        <v>4749</v>
      </c>
      <c r="CF88" s="113">
        <v>4714</v>
      </c>
      <c r="CG88" s="113">
        <v>3385</v>
      </c>
      <c r="CH88" s="113">
        <v>4495</v>
      </c>
      <c r="CI88" s="113">
        <v>4723</v>
      </c>
      <c r="CJ88" s="113">
        <v>4285</v>
      </c>
      <c r="CK88" s="113">
        <v>4415</v>
      </c>
      <c r="CL88" s="113">
        <v>4599</v>
      </c>
      <c r="CM88" s="113">
        <v>3635</v>
      </c>
      <c r="CN88" s="113">
        <v>6943</v>
      </c>
      <c r="CO88" s="113">
        <v>4094</v>
      </c>
      <c r="CP88" s="113">
        <v>5951</v>
      </c>
      <c r="CQ88" s="113">
        <v>6565</v>
      </c>
      <c r="CR88" s="113">
        <v>5911</v>
      </c>
      <c r="CS88" s="113">
        <v>5875</v>
      </c>
      <c r="CT88" s="113">
        <v>6139</v>
      </c>
      <c r="CU88" s="113">
        <v>6084</v>
      </c>
      <c r="CV88" s="113">
        <v>4941</v>
      </c>
      <c r="CW88" s="113">
        <v>4370</v>
      </c>
      <c r="CX88" s="113">
        <v>4631</v>
      </c>
      <c r="CY88" s="113">
        <v>8682</v>
      </c>
      <c r="CZ88" s="113">
        <v>5371</v>
      </c>
      <c r="DA88" s="113">
        <v>6180</v>
      </c>
      <c r="DB88" s="113">
        <v>7240</v>
      </c>
      <c r="DC88" s="113">
        <v>8291</v>
      </c>
      <c r="DD88" s="113">
        <v>5709</v>
      </c>
      <c r="DE88" s="113">
        <v>6171</v>
      </c>
      <c r="DF88" s="113">
        <v>7312</v>
      </c>
      <c r="DG88" s="113">
        <v>8149</v>
      </c>
      <c r="DH88" s="113">
        <v>6516</v>
      </c>
      <c r="DI88" s="113">
        <v>6537</v>
      </c>
      <c r="DJ88" s="113">
        <v>5486</v>
      </c>
      <c r="DK88" s="113">
        <v>7969</v>
      </c>
      <c r="DL88" s="113">
        <v>8532</v>
      </c>
      <c r="DM88" s="113">
        <v>6249</v>
      </c>
      <c r="DN88" s="113">
        <v>6496</v>
      </c>
      <c r="DO88" s="113">
        <v>8135</v>
      </c>
      <c r="DP88" s="113">
        <v>7144</v>
      </c>
      <c r="DQ88" s="113">
        <v>6956</v>
      </c>
      <c r="DR88" s="113">
        <v>7356</v>
      </c>
      <c r="DS88" s="113">
        <v>8348</v>
      </c>
      <c r="DT88" s="113">
        <v>7145</v>
      </c>
      <c r="DU88" s="113">
        <v>6585</v>
      </c>
      <c r="DV88" s="113">
        <v>6035</v>
      </c>
      <c r="DW88" s="113">
        <v>6275</v>
      </c>
      <c r="DX88" s="113">
        <v>5532</v>
      </c>
      <c r="DY88" s="113">
        <v>4428</v>
      </c>
      <c r="DZ88" s="113">
        <v>6929</v>
      </c>
      <c r="EA88" s="113">
        <v>8220</v>
      </c>
      <c r="EB88" s="113">
        <v>7312</v>
      </c>
      <c r="EC88" s="113">
        <v>10812</v>
      </c>
      <c r="ED88" s="113">
        <v>8271</v>
      </c>
      <c r="EE88" s="113">
        <v>9241</v>
      </c>
      <c r="EF88" s="113">
        <v>8852</v>
      </c>
      <c r="EG88" s="113">
        <v>10879</v>
      </c>
      <c r="EH88" s="113">
        <v>10511</v>
      </c>
      <c r="EI88" s="113">
        <v>10788</v>
      </c>
      <c r="EJ88" s="113">
        <v>10772</v>
      </c>
      <c r="EK88" s="113">
        <v>12805</v>
      </c>
      <c r="EL88" s="113">
        <v>13120</v>
      </c>
      <c r="EM88" s="113">
        <v>14302</v>
      </c>
      <c r="EN88" s="113">
        <v>13331</v>
      </c>
    </row>
    <row r="89" spans="1:144">
      <c r="A89" s="103" t="s">
        <v>95</v>
      </c>
      <c r="B89" s="113">
        <v>650</v>
      </c>
      <c r="C89" s="113">
        <v>996</v>
      </c>
      <c r="D89" s="113">
        <v>1326</v>
      </c>
      <c r="E89" s="113">
        <v>1726</v>
      </c>
      <c r="F89" s="113">
        <v>2038</v>
      </c>
      <c r="G89" s="113">
        <v>3059</v>
      </c>
      <c r="H89" s="113">
        <v>4871</v>
      </c>
      <c r="I89" s="113">
        <v>6710</v>
      </c>
      <c r="J89" s="113">
        <v>10010</v>
      </c>
      <c r="K89" s="113">
        <v>11006</v>
      </c>
      <c r="L89" s="113">
        <v>11720</v>
      </c>
      <c r="M89" s="113">
        <v>8272</v>
      </c>
      <c r="N89" s="113">
        <v>10295</v>
      </c>
      <c r="O89" s="113">
        <v>11864</v>
      </c>
      <c r="P89" s="113">
        <v>16871</v>
      </c>
      <c r="Q89" s="113">
        <v>17772</v>
      </c>
      <c r="R89" s="113">
        <v>18949</v>
      </c>
      <c r="S89" s="113">
        <v>24071</v>
      </c>
      <c r="T89" s="113">
        <v>20693</v>
      </c>
      <c r="U89" s="113">
        <v>24098</v>
      </c>
      <c r="V89" s="113">
        <v>27161</v>
      </c>
      <c r="W89" s="113">
        <v>27956</v>
      </c>
      <c r="X89" s="113">
        <v>27497</v>
      </c>
      <c r="Y89" s="113">
        <v>27886</v>
      </c>
      <c r="Z89" s="113">
        <v>28172</v>
      </c>
      <c r="AA89" s="113">
        <v>27188</v>
      </c>
      <c r="AB89" s="113">
        <v>29331</v>
      </c>
      <c r="AC89" s="113">
        <v>35058</v>
      </c>
      <c r="AD89" s="113">
        <v>42959</v>
      </c>
      <c r="AE89" s="113">
        <v>51957</v>
      </c>
      <c r="AG89" s="103" t="s">
        <v>95</v>
      </c>
      <c r="AH89" s="113">
        <v>307.5</v>
      </c>
      <c r="AI89" s="113">
        <v>326</v>
      </c>
      <c r="AJ89" s="113">
        <v>338</v>
      </c>
      <c r="AK89" s="113">
        <v>373</v>
      </c>
      <c r="AL89" s="113">
        <v>343</v>
      </c>
      <c r="AM89" s="113">
        <v>415</v>
      </c>
      <c r="AN89" s="113">
        <v>480</v>
      </c>
      <c r="AO89" s="113">
        <v>488</v>
      </c>
      <c r="AP89" s="113">
        <v>437</v>
      </c>
      <c r="AQ89" s="113">
        <v>520</v>
      </c>
      <c r="AR89" s="113">
        <v>549</v>
      </c>
      <c r="AS89" s="113">
        <v>532</v>
      </c>
      <c r="AT89" s="113">
        <v>708</v>
      </c>
      <c r="AU89" s="113">
        <v>786</v>
      </c>
      <c r="AV89" s="113">
        <v>774</v>
      </c>
      <c r="AW89" s="113">
        <v>810</v>
      </c>
      <c r="AX89" s="113">
        <v>902</v>
      </c>
      <c r="AY89" s="113">
        <v>1081</v>
      </c>
      <c r="AZ89" s="113">
        <v>1568</v>
      </c>
      <c r="BA89" s="113">
        <v>1320</v>
      </c>
      <c r="BB89" s="113">
        <v>1356</v>
      </c>
      <c r="BC89" s="113">
        <v>1613</v>
      </c>
      <c r="BD89" s="113">
        <v>1867</v>
      </c>
      <c r="BE89" s="113">
        <v>1874</v>
      </c>
      <c r="BF89" s="113">
        <v>2082</v>
      </c>
      <c r="BG89" s="113">
        <v>2714</v>
      </c>
      <c r="BH89" s="113">
        <v>2229</v>
      </c>
      <c r="BI89" s="113">
        <v>2903</v>
      </c>
      <c r="BJ89" s="113">
        <v>2789</v>
      </c>
      <c r="BK89" s="113">
        <v>2931</v>
      </c>
      <c r="BL89" s="113">
        <v>2735</v>
      </c>
      <c r="BM89" s="113">
        <v>2551</v>
      </c>
      <c r="BN89" s="113">
        <v>2777</v>
      </c>
      <c r="BO89" s="113">
        <v>3194</v>
      </c>
      <c r="BP89" s="113">
        <v>2998</v>
      </c>
      <c r="BQ89" s="113">
        <v>2751</v>
      </c>
      <c r="BR89" s="113">
        <v>2897</v>
      </c>
      <c r="BS89" s="113">
        <v>3501</v>
      </c>
      <c r="BT89" s="113">
        <v>3298</v>
      </c>
      <c r="BU89" s="113">
        <v>2874</v>
      </c>
      <c r="BV89" s="113">
        <v>3028</v>
      </c>
      <c r="BW89" s="113">
        <v>2443</v>
      </c>
      <c r="BX89" s="113">
        <v>2744</v>
      </c>
      <c r="BY89" s="113">
        <v>2563</v>
      </c>
      <c r="BZ89" s="113">
        <v>3148</v>
      </c>
      <c r="CA89" s="113">
        <v>1475</v>
      </c>
      <c r="CB89" s="113">
        <v>3803</v>
      </c>
      <c r="CC89" s="113">
        <v>3133</v>
      </c>
      <c r="CD89" s="113">
        <v>4030</v>
      </c>
      <c r="CE89" s="113">
        <v>4749</v>
      </c>
      <c r="CF89" s="113">
        <v>4714</v>
      </c>
      <c r="CG89" s="113">
        <v>3224</v>
      </c>
      <c r="CH89" s="113">
        <v>4495</v>
      </c>
      <c r="CI89" s="113">
        <v>4723</v>
      </c>
      <c r="CJ89" s="113">
        <v>4285</v>
      </c>
      <c r="CK89" s="113">
        <v>4288</v>
      </c>
      <c r="CL89" s="113">
        <v>4561</v>
      </c>
      <c r="CM89" s="113">
        <v>3583</v>
      </c>
      <c r="CN89" s="113">
        <v>6885</v>
      </c>
      <c r="CO89" s="113">
        <v>4006</v>
      </c>
      <c r="CP89" s="113">
        <v>5849</v>
      </c>
      <c r="CQ89" s="113">
        <v>6453</v>
      </c>
      <c r="CR89" s="113">
        <v>5790</v>
      </c>
      <c r="CS89" s="113">
        <v>5738</v>
      </c>
      <c r="CT89" s="113">
        <v>5999</v>
      </c>
      <c r="CU89" s="113">
        <v>5939</v>
      </c>
      <c r="CV89" s="113">
        <v>4785</v>
      </c>
      <c r="CW89" s="113">
        <v>4220</v>
      </c>
      <c r="CX89" s="113">
        <v>4482</v>
      </c>
      <c r="CY89" s="113">
        <v>8513</v>
      </c>
      <c r="CZ89" s="113">
        <v>5173</v>
      </c>
      <c r="DA89" s="113">
        <v>5989</v>
      </c>
      <c r="DB89" s="113">
        <v>7116</v>
      </c>
      <c r="DC89" s="113">
        <v>8165</v>
      </c>
      <c r="DD89" s="113">
        <v>5709</v>
      </c>
      <c r="DE89" s="113">
        <v>6171</v>
      </c>
      <c r="DF89" s="113">
        <v>7203</v>
      </c>
      <c r="DG89" s="113">
        <v>7994</v>
      </c>
      <c r="DH89" s="113">
        <v>6374</v>
      </c>
      <c r="DI89" s="113">
        <v>6385</v>
      </c>
      <c r="DJ89" s="113">
        <v>5308</v>
      </c>
      <c r="DK89" s="113">
        <v>7771</v>
      </c>
      <c r="DL89" s="113">
        <v>8345</v>
      </c>
      <c r="DM89" s="113">
        <v>6073</v>
      </c>
      <c r="DN89" s="113">
        <v>6334</v>
      </c>
      <c r="DO89" s="113">
        <v>7969</v>
      </c>
      <c r="DP89" s="113">
        <v>6974</v>
      </c>
      <c r="DQ89" s="113">
        <v>6609</v>
      </c>
      <c r="DR89" s="113">
        <v>6984</v>
      </c>
      <c r="DS89" s="113">
        <v>8019</v>
      </c>
      <c r="DT89" s="113">
        <v>6784</v>
      </c>
      <c r="DU89" s="113">
        <v>6385</v>
      </c>
      <c r="DV89" s="113">
        <v>5793</v>
      </c>
      <c r="DW89" s="113">
        <v>6026</v>
      </c>
      <c r="DX89" s="113">
        <v>5283</v>
      </c>
      <c r="DY89" s="113">
        <v>4190</v>
      </c>
      <c r="DZ89" s="113">
        <v>6715</v>
      </c>
      <c r="EA89" s="113">
        <v>7905</v>
      </c>
      <c r="EB89" s="113">
        <v>6723</v>
      </c>
      <c r="EC89" s="113">
        <v>10279</v>
      </c>
      <c r="ED89" s="113">
        <v>7708</v>
      </c>
      <c r="EE89" s="113">
        <v>8679</v>
      </c>
      <c r="EF89" s="113">
        <v>8292</v>
      </c>
      <c r="EG89" s="113">
        <v>10379</v>
      </c>
      <c r="EH89" s="113">
        <v>9955</v>
      </c>
      <c r="EI89" s="113">
        <v>10258</v>
      </c>
      <c r="EJ89" s="113">
        <v>10341</v>
      </c>
      <c r="EK89" s="113">
        <v>12405</v>
      </c>
      <c r="EL89" s="113">
        <v>12686</v>
      </c>
      <c r="EM89" s="113">
        <v>13891</v>
      </c>
      <c r="EN89" s="113">
        <v>12975</v>
      </c>
    </row>
    <row r="90" spans="1:144">
      <c r="A90" s="103" t="s">
        <v>2113</v>
      </c>
      <c r="B90" s="113">
        <v>754</v>
      </c>
      <c r="C90" s="113">
        <v>1152</v>
      </c>
      <c r="D90" s="113">
        <v>1531</v>
      </c>
      <c r="E90" s="113">
        <v>2031</v>
      </c>
      <c r="F90" s="113">
        <v>2393</v>
      </c>
      <c r="G90" s="113">
        <v>3631</v>
      </c>
      <c r="H90" s="113">
        <v>5520</v>
      </c>
      <c r="I90" s="113">
        <v>7333</v>
      </c>
      <c r="J90" s="113">
        <v>10628</v>
      </c>
      <c r="K90" s="113">
        <v>12223</v>
      </c>
      <c r="L90" s="113">
        <v>13537</v>
      </c>
      <c r="M90" s="113">
        <v>9528</v>
      </c>
      <c r="N90" s="113">
        <v>11978</v>
      </c>
      <c r="O90" s="113">
        <v>13012</v>
      </c>
      <c r="P90" s="113">
        <v>18054</v>
      </c>
      <c r="Q90" s="113">
        <v>18946</v>
      </c>
      <c r="R90" s="113">
        <v>20710</v>
      </c>
      <c r="S90" s="113">
        <v>26341</v>
      </c>
      <c r="T90" s="113">
        <v>23459</v>
      </c>
      <c r="U90" s="113">
        <v>27135</v>
      </c>
      <c r="V90" s="113">
        <v>30223</v>
      </c>
      <c r="W90" s="113">
        <v>31353</v>
      </c>
      <c r="X90" s="113">
        <v>31547</v>
      </c>
      <c r="Y90" s="113">
        <v>33005</v>
      </c>
      <c r="Z90" s="113">
        <v>34561</v>
      </c>
      <c r="AA90" s="113">
        <v>34002</v>
      </c>
      <c r="AB90" s="113">
        <v>38543</v>
      </c>
      <c r="AC90" s="113">
        <v>46543</v>
      </c>
      <c r="AD90" s="113">
        <v>56266</v>
      </c>
      <c r="AE90" s="113" t="s">
        <v>271</v>
      </c>
      <c r="AG90" s="103" t="s">
        <v>2113</v>
      </c>
      <c r="AH90" s="113" t="s">
        <v>271</v>
      </c>
      <c r="AI90" s="113" t="s">
        <v>271</v>
      </c>
      <c r="AJ90" s="113" t="s">
        <v>271</v>
      </c>
      <c r="AK90" s="113" t="s">
        <v>271</v>
      </c>
      <c r="AL90" s="113" t="s">
        <v>271</v>
      </c>
      <c r="AM90" s="113" t="s">
        <v>271</v>
      </c>
      <c r="AN90" s="113" t="s">
        <v>271</v>
      </c>
      <c r="AO90" s="113" t="s">
        <v>271</v>
      </c>
      <c r="AP90" s="113" t="s">
        <v>271</v>
      </c>
      <c r="AQ90" s="113" t="s">
        <v>271</v>
      </c>
      <c r="AR90" s="113" t="s">
        <v>271</v>
      </c>
      <c r="AS90" s="113" t="s">
        <v>271</v>
      </c>
      <c r="AT90" s="113" t="s">
        <v>271</v>
      </c>
      <c r="AU90" s="113" t="s">
        <v>271</v>
      </c>
      <c r="AV90" s="113" t="s">
        <v>271</v>
      </c>
      <c r="AW90" s="113" t="s">
        <v>271</v>
      </c>
      <c r="AX90" s="113" t="s">
        <v>271</v>
      </c>
      <c r="AY90" s="113" t="s">
        <v>271</v>
      </c>
      <c r="AZ90" s="113" t="s">
        <v>271</v>
      </c>
      <c r="BA90" s="113" t="s">
        <v>271</v>
      </c>
      <c r="BB90" s="113" t="s">
        <v>271</v>
      </c>
      <c r="BC90" s="113" t="s">
        <v>271</v>
      </c>
      <c r="BD90" s="113" t="s">
        <v>271</v>
      </c>
      <c r="BE90" s="113" t="s">
        <v>271</v>
      </c>
      <c r="BF90" s="113" t="s">
        <v>271</v>
      </c>
      <c r="BG90" s="113" t="s">
        <v>271</v>
      </c>
      <c r="BH90" s="113" t="s">
        <v>271</v>
      </c>
      <c r="BI90" s="113" t="s">
        <v>271</v>
      </c>
      <c r="BJ90" s="113" t="s">
        <v>271</v>
      </c>
      <c r="BK90" s="113" t="s">
        <v>271</v>
      </c>
      <c r="BL90" s="113" t="s">
        <v>271</v>
      </c>
      <c r="BM90" s="113" t="s">
        <v>271</v>
      </c>
      <c r="BN90" s="113" t="s">
        <v>271</v>
      </c>
      <c r="BO90" s="113" t="s">
        <v>271</v>
      </c>
      <c r="BP90" s="113" t="s">
        <v>271</v>
      </c>
      <c r="BQ90" s="113" t="s">
        <v>271</v>
      </c>
      <c r="BR90" s="113" t="s">
        <v>271</v>
      </c>
      <c r="BS90" s="113" t="s">
        <v>271</v>
      </c>
      <c r="BT90" s="113" t="s">
        <v>271</v>
      </c>
      <c r="BU90" s="113" t="s">
        <v>271</v>
      </c>
      <c r="BV90" s="113" t="s">
        <v>271</v>
      </c>
      <c r="BW90" s="113" t="s">
        <v>271</v>
      </c>
      <c r="BX90" s="113" t="s">
        <v>271</v>
      </c>
      <c r="BY90" s="113" t="s">
        <v>271</v>
      </c>
      <c r="BZ90" s="113" t="s">
        <v>271</v>
      </c>
      <c r="CA90" s="113" t="s">
        <v>271</v>
      </c>
      <c r="CB90" s="113" t="s">
        <v>271</v>
      </c>
      <c r="CC90" s="113" t="s">
        <v>271</v>
      </c>
      <c r="CD90" s="113" t="s">
        <v>271</v>
      </c>
      <c r="CE90" s="113" t="s">
        <v>271</v>
      </c>
      <c r="CF90" s="113" t="s">
        <v>271</v>
      </c>
      <c r="CG90" s="113" t="s">
        <v>271</v>
      </c>
      <c r="CH90" s="113" t="s">
        <v>271</v>
      </c>
      <c r="CI90" s="113" t="s">
        <v>271</v>
      </c>
      <c r="CJ90" s="113" t="s">
        <v>271</v>
      </c>
      <c r="CK90" s="113" t="s">
        <v>271</v>
      </c>
      <c r="CL90" s="113" t="s">
        <v>271</v>
      </c>
      <c r="CM90" s="113" t="s">
        <v>271</v>
      </c>
      <c r="CN90" s="113" t="s">
        <v>271</v>
      </c>
      <c r="CO90" s="113" t="s">
        <v>271</v>
      </c>
      <c r="CP90" s="113" t="s">
        <v>271</v>
      </c>
      <c r="CQ90" s="113" t="s">
        <v>271</v>
      </c>
      <c r="CR90" s="113" t="s">
        <v>271</v>
      </c>
      <c r="CS90" s="113" t="s">
        <v>271</v>
      </c>
      <c r="CT90" s="113" t="s">
        <v>271</v>
      </c>
      <c r="CU90" s="113" t="s">
        <v>271</v>
      </c>
      <c r="CV90" s="113" t="s">
        <v>271</v>
      </c>
      <c r="CW90" s="113" t="s">
        <v>271</v>
      </c>
      <c r="CX90" s="113" t="s">
        <v>271</v>
      </c>
      <c r="CY90" s="113" t="s">
        <v>271</v>
      </c>
      <c r="CZ90" s="113" t="s">
        <v>271</v>
      </c>
      <c r="DA90" s="113" t="s">
        <v>271</v>
      </c>
      <c r="DB90" s="113" t="s">
        <v>271</v>
      </c>
      <c r="DC90" s="113" t="s">
        <v>271</v>
      </c>
      <c r="DD90" s="113" t="s">
        <v>271</v>
      </c>
      <c r="DE90" s="113" t="s">
        <v>271</v>
      </c>
      <c r="DF90" s="113" t="s">
        <v>271</v>
      </c>
      <c r="DG90" s="113" t="s">
        <v>271</v>
      </c>
      <c r="DH90" s="113" t="s">
        <v>271</v>
      </c>
      <c r="DI90" s="113" t="s">
        <v>271</v>
      </c>
      <c r="DJ90" s="113" t="s">
        <v>271</v>
      </c>
      <c r="DK90" s="113" t="s">
        <v>271</v>
      </c>
      <c r="DL90" s="113" t="s">
        <v>271</v>
      </c>
      <c r="DM90" s="113" t="s">
        <v>271</v>
      </c>
      <c r="DN90" s="113" t="s">
        <v>271</v>
      </c>
      <c r="DO90" s="113" t="s">
        <v>271</v>
      </c>
      <c r="DP90" s="113" t="s">
        <v>271</v>
      </c>
      <c r="DQ90" s="113" t="s">
        <v>271</v>
      </c>
      <c r="DR90" s="113" t="s">
        <v>271</v>
      </c>
      <c r="DS90" s="113" t="s">
        <v>271</v>
      </c>
      <c r="DT90" s="113" t="s">
        <v>271</v>
      </c>
      <c r="DU90" s="113" t="s">
        <v>271</v>
      </c>
      <c r="DV90" s="113" t="s">
        <v>271</v>
      </c>
      <c r="DW90" s="113" t="s">
        <v>271</v>
      </c>
      <c r="DX90" s="113" t="s">
        <v>271</v>
      </c>
      <c r="DY90" s="113" t="s">
        <v>271</v>
      </c>
      <c r="DZ90" s="113">
        <v>8791</v>
      </c>
      <c r="EA90" s="113">
        <v>10505</v>
      </c>
      <c r="EB90" s="113">
        <v>9497</v>
      </c>
      <c r="EC90" s="113" t="s">
        <v>271</v>
      </c>
      <c r="ED90" s="113">
        <v>10595</v>
      </c>
      <c r="EE90" s="113">
        <v>11614</v>
      </c>
      <c r="EF90" s="113">
        <v>11397</v>
      </c>
      <c r="EG90" s="113" t="s">
        <v>271</v>
      </c>
      <c r="EH90" s="113">
        <v>13202</v>
      </c>
      <c r="EI90" s="113">
        <v>13666</v>
      </c>
      <c r="EJ90" s="113">
        <v>13698</v>
      </c>
      <c r="EK90" s="113" t="s">
        <v>271</v>
      </c>
      <c r="EL90" s="113">
        <v>16122</v>
      </c>
      <c r="EM90" s="113">
        <v>17572</v>
      </c>
      <c r="EN90" s="113">
        <v>16615</v>
      </c>
    </row>
    <row r="91" spans="1:144">
      <c r="A91" s="103" t="s">
        <v>2114</v>
      </c>
      <c r="B91" s="113" t="s">
        <v>271</v>
      </c>
      <c r="C91" s="113" t="s">
        <v>271</v>
      </c>
      <c r="D91" s="113" t="s">
        <v>271</v>
      </c>
      <c r="E91" s="113" t="s">
        <v>271</v>
      </c>
      <c r="F91" s="113" t="s">
        <v>271</v>
      </c>
      <c r="G91" s="113" t="s">
        <v>271</v>
      </c>
      <c r="H91" s="113" t="s">
        <v>271</v>
      </c>
      <c r="I91" s="113" t="s">
        <v>271</v>
      </c>
      <c r="J91" s="113" t="s">
        <v>271</v>
      </c>
      <c r="K91" s="113" t="s">
        <v>271</v>
      </c>
      <c r="L91" s="113" t="s">
        <v>271</v>
      </c>
      <c r="M91" s="113" t="s">
        <v>271</v>
      </c>
      <c r="N91" s="113" t="s">
        <v>271</v>
      </c>
      <c r="O91" s="113" t="s">
        <v>271</v>
      </c>
      <c r="P91" s="113" t="s">
        <v>271</v>
      </c>
      <c r="Q91" s="113" t="s">
        <v>271</v>
      </c>
      <c r="R91" s="113" t="s">
        <v>271</v>
      </c>
      <c r="S91" s="113" t="s">
        <v>271</v>
      </c>
      <c r="T91" s="113" t="s">
        <v>271</v>
      </c>
      <c r="U91" s="113" t="s">
        <v>271</v>
      </c>
      <c r="V91" s="113" t="s">
        <v>271</v>
      </c>
      <c r="W91" s="113" t="s">
        <v>271</v>
      </c>
      <c r="X91" s="113" t="s">
        <v>271</v>
      </c>
      <c r="Y91" s="113">
        <v>86833</v>
      </c>
      <c r="Z91" s="113">
        <v>93580</v>
      </c>
      <c r="AA91" s="113">
        <v>91154</v>
      </c>
      <c r="AB91" s="113">
        <v>96571</v>
      </c>
      <c r="AC91" s="113">
        <v>110360</v>
      </c>
      <c r="AD91" s="113">
        <v>125843</v>
      </c>
      <c r="AE91" s="113">
        <v>138699</v>
      </c>
      <c r="AG91" s="103" t="s">
        <v>2114</v>
      </c>
      <c r="AH91" s="113" t="s">
        <v>271</v>
      </c>
      <c r="AI91" s="113" t="s">
        <v>271</v>
      </c>
      <c r="AJ91" s="113" t="s">
        <v>271</v>
      </c>
      <c r="AK91" s="113" t="s">
        <v>271</v>
      </c>
      <c r="AL91" s="113" t="s">
        <v>271</v>
      </c>
      <c r="AM91" s="113" t="s">
        <v>271</v>
      </c>
      <c r="AN91" s="113" t="s">
        <v>271</v>
      </c>
      <c r="AO91" s="113" t="s">
        <v>271</v>
      </c>
      <c r="AP91" s="113" t="s">
        <v>271</v>
      </c>
      <c r="AQ91" s="113" t="s">
        <v>271</v>
      </c>
      <c r="AR91" s="113" t="s">
        <v>271</v>
      </c>
      <c r="AS91" s="113" t="s">
        <v>271</v>
      </c>
      <c r="AT91" s="113" t="s">
        <v>271</v>
      </c>
      <c r="AU91" s="113" t="s">
        <v>271</v>
      </c>
      <c r="AV91" s="113" t="s">
        <v>271</v>
      </c>
      <c r="AW91" s="113" t="s">
        <v>271</v>
      </c>
      <c r="AX91" s="113" t="s">
        <v>271</v>
      </c>
      <c r="AY91" s="113" t="s">
        <v>271</v>
      </c>
      <c r="AZ91" s="113" t="s">
        <v>271</v>
      </c>
      <c r="BA91" s="113" t="s">
        <v>271</v>
      </c>
      <c r="BB91" s="113" t="s">
        <v>271</v>
      </c>
      <c r="BC91" s="113" t="s">
        <v>271</v>
      </c>
      <c r="BD91" s="113" t="s">
        <v>271</v>
      </c>
      <c r="BE91" s="113" t="s">
        <v>271</v>
      </c>
      <c r="BF91" s="113" t="s">
        <v>271</v>
      </c>
      <c r="BG91" s="113" t="s">
        <v>271</v>
      </c>
      <c r="BH91" s="113" t="s">
        <v>271</v>
      </c>
      <c r="BI91" s="113" t="s">
        <v>271</v>
      </c>
      <c r="BJ91" s="113" t="s">
        <v>271</v>
      </c>
      <c r="BK91" s="113" t="s">
        <v>271</v>
      </c>
      <c r="BL91" s="113" t="s">
        <v>271</v>
      </c>
      <c r="BM91" s="113" t="s">
        <v>271</v>
      </c>
      <c r="BN91" s="113" t="s">
        <v>271</v>
      </c>
      <c r="BO91" s="113" t="s">
        <v>271</v>
      </c>
      <c r="BP91" s="113" t="s">
        <v>271</v>
      </c>
      <c r="BQ91" s="113" t="s">
        <v>271</v>
      </c>
      <c r="BR91" s="113" t="s">
        <v>271</v>
      </c>
      <c r="BS91" s="113" t="s">
        <v>271</v>
      </c>
      <c r="BT91" s="113" t="s">
        <v>271</v>
      </c>
      <c r="BU91" s="113" t="s">
        <v>271</v>
      </c>
      <c r="BV91" s="113" t="s">
        <v>271</v>
      </c>
      <c r="BW91" s="113" t="s">
        <v>271</v>
      </c>
      <c r="BX91" s="113" t="s">
        <v>271</v>
      </c>
      <c r="BY91" s="113" t="s">
        <v>271</v>
      </c>
      <c r="BZ91" s="113" t="s">
        <v>271</v>
      </c>
      <c r="CA91" s="113" t="s">
        <v>271</v>
      </c>
      <c r="CB91" s="113" t="s">
        <v>271</v>
      </c>
      <c r="CC91" s="113" t="s">
        <v>271</v>
      </c>
      <c r="CD91" s="113" t="s">
        <v>271</v>
      </c>
      <c r="CE91" s="113" t="s">
        <v>271</v>
      </c>
      <c r="CF91" s="113" t="s">
        <v>271</v>
      </c>
      <c r="CG91" s="113" t="s">
        <v>271</v>
      </c>
      <c r="CH91" s="113" t="s">
        <v>271</v>
      </c>
      <c r="CI91" s="113" t="s">
        <v>271</v>
      </c>
      <c r="CJ91" s="113" t="s">
        <v>271</v>
      </c>
      <c r="CK91" s="113" t="s">
        <v>271</v>
      </c>
      <c r="CL91" s="113" t="s">
        <v>271</v>
      </c>
      <c r="CM91" s="113" t="s">
        <v>271</v>
      </c>
      <c r="CN91" s="113" t="s">
        <v>271</v>
      </c>
      <c r="CO91" s="113" t="s">
        <v>271</v>
      </c>
      <c r="CP91" s="113" t="s">
        <v>271</v>
      </c>
      <c r="CQ91" s="113" t="s">
        <v>271</v>
      </c>
      <c r="CR91" s="113" t="s">
        <v>271</v>
      </c>
      <c r="CS91" s="113" t="s">
        <v>271</v>
      </c>
      <c r="CT91" s="113" t="s">
        <v>271</v>
      </c>
      <c r="CU91" s="113" t="s">
        <v>271</v>
      </c>
      <c r="CV91" s="113" t="s">
        <v>271</v>
      </c>
      <c r="CW91" s="113" t="s">
        <v>271</v>
      </c>
      <c r="CX91" s="113" t="s">
        <v>271</v>
      </c>
      <c r="CY91" s="113" t="s">
        <v>271</v>
      </c>
      <c r="CZ91" s="113" t="s">
        <v>271</v>
      </c>
      <c r="DA91" s="113" t="s">
        <v>271</v>
      </c>
      <c r="DB91" s="113" t="s">
        <v>271</v>
      </c>
      <c r="DC91" s="113" t="s">
        <v>271</v>
      </c>
      <c r="DD91" s="113" t="s">
        <v>271</v>
      </c>
      <c r="DE91" s="113" t="s">
        <v>271</v>
      </c>
      <c r="DF91" s="113" t="s">
        <v>271</v>
      </c>
      <c r="DG91" s="113" t="s">
        <v>271</v>
      </c>
      <c r="DH91" s="113" t="s">
        <v>271</v>
      </c>
      <c r="DI91" s="113" t="s">
        <v>271</v>
      </c>
      <c r="DJ91" s="113" t="s">
        <v>271</v>
      </c>
      <c r="DK91" s="113" t="s">
        <v>271</v>
      </c>
      <c r="DL91" s="113" t="s">
        <v>271</v>
      </c>
      <c r="DM91" s="113" t="s">
        <v>271</v>
      </c>
      <c r="DN91" s="113" t="s">
        <v>271</v>
      </c>
      <c r="DO91" s="113" t="s">
        <v>271</v>
      </c>
      <c r="DP91" s="113" t="s">
        <v>271</v>
      </c>
      <c r="DQ91" s="113" t="s">
        <v>271</v>
      </c>
      <c r="DR91" s="113" t="s">
        <v>271</v>
      </c>
      <c r="DS91" s="113" t="s">
        <v>271</v>
      </c>
      <c r="DT91" s="113" t="s">
        <v>271</v>
      </c>
      <c r="DU91" s="113">
        <v>93580</v>
      </c>
      <c r="DV91" s="113">
        <v>20379</v>
      </c>
      <c r="DW91" s="113">
        <v>23796</v>
      </c>
      <c r="DX91" s="113">
        <v>20531</v>
      </c>
      <c r="DY91" s="113">
        <v>20614</v>
      </c>
      <c r="DZ91" s="113">
        <v>21928</v>
      </c>
      <c r="EA91" s="113">
        <v>25826</v>
      </c>
      <c r="EB91" s="113">
        <v>23212</v>
      </c>
      <c r="EC91" s="113">
        <v>25605</v>
      </c>
      <c r="ED91" s="113">
        <v>24538</v>
      </c>
      <c r="EE91" s="113">
        <v>28918</v>
      </c>
      <c r="EF91" s="113">
        <v>26819</v>
      </c>
      <c r="EG91" s="113">
        <v>30085</v>
      </c>
      <c r="EH91" s="113">
        <v>29084</v>
      </c>
      <c r="EI91" s="113">
        <v>32471</v>
      </c>
      <c r="EJ91" s="113">
        <v>30571</v>
      </c>
      <c r="EK91" s="113">
        <v>33717</v>
      </c>
      <c r="EL91" s="113">
        <v>33055</v>
      </c>
      <c r="EM91" s="113">
        <v>36906</v>
      </c>
      <c r="EN91" s="113">
        <v>35021</v>
      </c>
    </row>
    <row r="92" spans="1:144">
      <c r="A92" s="103" t="s">
        <v>2115</v>
      </c>
      <c r="B92" s="120">
        <v>0.30998500000000001</v>
      </c>
      <c r="C92" s="120">
        <v>0.319884</v>
      </c>
      <c r="D92" s="120">
        <v>0.31977100000000003</v>
      </c>
      <c r="E92" s="120">
        <v>0.33449400000000001</v>
      </c>
      <c r="F92" s="120">
        <v>0.32948699999999997</v>
      </c>
      <c r="G92" s="120">
        <v>0.35039900000000002</v>
      </c>
      <c r="H92" s="120">
        <v>0.350018</v>
      </c>
      <c r="I92" s="120">
        <v>0.369116</v>
      </c>
      <c r="J92" s="120">
        <v>0.34530300000000003</v>
      </c>
      <c r="K92" s="120">
        <v>0.34003499999999998</v>
      </c>
      <c r="L92" s="120">
        <v>0.330065</v>
      </c>
      <c r="M92" s="120">
        <v>0.32</v>
      </c>
      <c r="N92" s="120">
        <v>0.31870799999999999</v>
      </c>
      <c r="O92" s="120">
        <v>0.33027200000000001</v>
      </c>
      <c r="P92" s="120">
        <v>0.26305000000000001</v>
      </c>
      <c r="Q92" s="120">
        <v>0.31009700000000001</v>
      </c>
      <c r="R92" s="120">
        <v>0.30028300000000002</v>
      </c>
      <c r="S92" s="120">
        <v>0.25753700000000002</v>
      </c>
      <c r="T92" s="120">
        <v>0.26497100000000001</v>
      </c>
      <c r="U92" s="120">
        <v>0.24998999999999999</v>
      </c>
      <c r="V92" s="120">
        <v>0.17530499999999999</v>
      </c>
      <c r="W92" s="120">
        <v>0.23752599999999999</v>
      </c>
      <c r="X92" s="120">
        <v>0.19181500000000001</v>
      </c>
      <c r="Y92" s="120">
        <v>0.206542</v>
      </c>
      <c r="Z92" s="120">
        <v>0.34116800000000003</v>
      </c>
      <c r="AA92" s="120">
        <v>0.19891500000000001</v>
      </c>
      <c r="AB92" s="120">
        <v>0.14755299999999999</v>
      </c>
      <c r="AC92" s="120">
        <v>0.54567600000000005</v>
      </c>
      <c r="AD92" s="120">
        <v>0.101812</v>
      </c>
      <c r="AE92" s="120">
        <v>0.113847</v>
      </c>
      <c r="AG92" s="103" t="s">
        <v>2115</v>
      </c>
      <c r="AH92" s="120">
        <v>0.31957099999999999</v>
      </c>
      <c r="AI92" s="120">
        <v>0.319884</v>
      </c>
      <c r="AJ92" s="120">
        <v>0.31932700000000003</v>
      </c>
      <c r="AK92" s="120">
        <v>0.32051200000000002</v>
      </c>
      <c r="AL92" s="120">
        <v>0.339779</v>
      </c>
      <c r="AM92" s="120">
        <v>0.34018199999999998</v>
      </c>
      <c r="AN92" s="120">
        <v>0.32984200000000002</v>
      </c>
      <c r="AO92" s="120">
        <v>0.32962900000000001</v>
      </c>
      <c r="AP92" s="120">
        <v>0.32908700000000002</v>
      </c>
      <c r="AQ92" s="120">
        <v>0.330341</v>
      </c>
      <c r="AR92" s="120">
        <v>0.33108100000000001</v>
      </c>
      <c r="AS92" s="120">
        <v>0.327239</v>
      </c>
      <c r="AT92" s="120">
        <v>0.35194799999999998</v>
      </c>
      <c r="AU92" s="120">
        <v>0.35028199999999998</v>
      </c>
      <c r="AV92" s="120">
        <v>0.34953699999999999</v>
      </c>
      <c r="AW92" s="120">
        <v>0.35</v>
      </c>
      <c r="AX92" s="120">
        <v>0.35026400000000002</v>
      </c>
      <c r="AY92" s="120">
        <v>0.35</v>
      </c>
      <c r="AZ92" s="120">
        <v>0.349968</v>
      </c>
      <c r="BA92" s="120">
        <v>0.34993800000000003</v>
      </c>
      <c r="BB92" s="120">
        <v>0.44841900000000001</v>
      </c>
      <c r="BC92" s="120">
        <v>0.35988700000000001</v>
      </c>
      <c r="BD92" s="120">
        <v>0.350024</v>
      </c>
      <c r="BE92" s="120">
        <v>0.35009499999999999</v>
      </c>
      <c r="BF92" s="120">
        <v>0.32760600000000001</v>
      </c>
      <c r="BG92" s="120">
        <v>0.350049</v>
      </c>
      <c r="BH92" s="120">
        <v>0.34994900000000001</v>
      </c>
      <c r="BI92" s="120">
        <v>0.35005900000000001</v>
      </c>
      <c r="BJ92" s="120">
        <v>0.34005999999999997</v>
      </c>
      <c r="BK92" s="120">
        <v>0.34001599999999998</v>
      </c>
      <c r="BL92" s="120">
        <v>0.33988299999999999</v>
      </c>
      <c r="BM92" s="120">
        <v>0.34017999999999998</v>
      </c>
      <c r="BN92" s="120">
        <v>0.32995799999999997</v>
      </c>
      <c r="BO92" s="120">
        <v>0.33009899999999998</v>
      </c>
      <c r="BP92" s="120">
        <v>0.329961</v>
      </c>
      <c r="BQ92" s="120">
        <v>0.33673399999999998</v>
      </c>
      <c r="BR92" s="120">
        <v>0.32008399999999998</v>
      </c>
      <c r="BS92" s="120">
        <v>0.31992799999999999</v>
      </c>
      <c r="BT92" s="120">
        <v>0.31991999999999998</v>
      </c>
      <c r="BU92" s="120">
        <v>0.320106</v>
      </c>
      <c r="BV92" s="120">
        <v>0.33016000000000001</v>
      </c>
      <c r="BW92" s="120">
        <v>0.28158699999999998</v>
      </c>
      <c r="BX92" s="120">
        <v>0.32999600000000001</v>
      </c>
      <c r="BY92" s="120">
        <v>0.33017099999999999</v>
      </c>
      <c r="BZ92" s="120">
        <v>0.32991500000000001</v>
      </c>
      <c r="CA92" s="120">
        <v>0.330017</v>
      </c>
      <c r="CB92" s="120">
        <v>0.42299199999999998</v>
      </c>
      <c r="CC92" s="120">
        <v>0.273758</v>
      </c>
      <c r="CD92" s="120">
        <v>0.32997599999999999</v>
      </c>
      <c r="CE92" s="120">
        <v>0.330044</v>
      </c>
      <c r="CF92" s="120">
        <v>0.32993400000000001</v>
      </c>
      <c r="CG92" s="120">
        <v>4.1699E-2</v>
      </c>
      <c r="CH92" s="120">
        <v>0.309973</v>
      </c>
      <c r="CI92" s="120">
        <v>0.28888399999999997</v>
      </c>
      <c r="CJ92" s="120">
        <v>0.310081</v>
      </c>
      <c r="CK92" s="120">
        <v>0.33583800000000003</v>
      </c>
      <c r="CL92" s="120">
        <v>0.31005700000000003</v>
      </c>
      <c r="CM92" s="120">
        <v>0.30985499999999999</v>
      </c>
      <c r="CN92" s="120">
        <v>0.29335800000000001</v>
      </c>
      <c r="CO92" s="120">
        <v>0.291549</v>
      </c>
      <c r="CP92" s="120">
        <v>0.310006</v>
      </c>
      <c r="CQ92" s="120">
        <v>0.30982399999999999</v>
      </c>
      <c r="CR92" s="120">
        <v>8.7733000000000005E-2</v>
      </c>
      <c r="CS92" s="120">
        <v>0.27999299999999999</v>
      </c>
      <c r="CT92" s="120">
        <v>0.27007100000000001</v>
      </c>
      <c r="CU92" s="120">
        <v>0.25966600000000001</v>
      </c>
      <c r="CV92" s="120">
        <v>0.26493800000000001</v>
      </c>
      <c r="CW92" s="120">
        <v>0.264847</v>
      </c>
      <c r="CX92" s="120">
        <v>0.249947</v>
      </c>
      <c r="CY92" s="120">
        <v>0.25002799999999997</v>
      </c>
      <c r="CZ92" s="120">
        <v>0.24995300000000001</v>
      </c>
      <c r="DA92" s="120">
        <v>0.25</v>
      </c>
      <c r="DB92" s="120">
        <v>0.25172800000000001</v>
      </c>
      <c r="DC92" s="120">
        <v>0.219253</v>
      </c>
      <c r="DD92" s="120">
        <v>0.13161800000000001</v>
      </c>
      <c r="DE92" s="120">
        <v>7.0421999999999998E-2</v>
      </c>
      <c r="DF92" s="120">
        <v>0.214618</v>
      </c>
      <c r="DG92" s="120">
        <v>0.196018</v>
      </c>
      <c r="DH92" s="120">
        <v>0.19723399999999999</v>
      </c>
      <c r="DI92" s="120">
        <v>2.3704730000000001</v>
      </c>
      <c r="DJ92" s="120">
        <v>0.19298799999999999</v>
      </c>
      <c r="DK92" s="120">
        <v>0.17927899999999999</v>
      </c>
      <c r="DL92" s="120">
        <v>0.20360300000000001</v>
      </c>
      <c r="DM92" s="120">
        <v>0.192026</v>
      </c>
      <c r="DN92" s="120">
        <v>0.181647</v>
      </c>
      <c r="DO92" s="120">
        <v>0.16755500000000001</v>
      </c>
      <c r="DP92" s="120">
        <v>0.18643000000000001</v>
      </c>
      <c r="DQ92" s="120">
        <v>0.29876799999999998</v>
      </c>
      <c r="DR92" s="120">
        <v>0.229986</v>
      </c>
      <c r="DS92" s="120">
        <v>0.25312099999999998</v>
      </c>
      <c r="DT92" s="120">
        <v>0.23507700000000001</v>
      </c>
      <c r="DU92" s="120" t="s">
        <v>1640</v>
      </c>
      <c r="DV92" s="120">
        <v>0.110828</v>
      </c>
      <c r="DW92" s="120">
        <v>0.142954</v>
      </c>
      <c r="DX92" s="120">
        <v>0.25416899999999998</v>
      </c>
      <c r="DY92" s="120">
        <v>6.7224000000000006E-2</v>
      </c>
      <c r="DZ92" s="120">
        <v>0.16991300000000001</v>
      </c>
      <c r="EA92" s="120">
        <v>0.218773</v>
      </c>
      <c r="EB92" s="120">
        <v>0.22667000000000001</v>
      </c>
      <c r="EC92" s="120" t="s">
        <v>1640</v>
      </c>
      <c r="ED92" s="120">
        <v>0.17635200000000001</v>
      </c>
      <c r="EE92" s="120">
        <v>1.6873149999999999</v>
      </c>
      <c r="EF92" s="120">
        <v>0.14083999999999999</v>
      </c>
      <c r="EG92" s="120">
        <v>0.16919400000000001</v>
      </c>
      <c r="EH92" s="120">
        <v>0.13667899999999999</v>
      </c>
      <c r="EI92" s="120">
        <v>0.18921499999999999</v>
      </c>
      <c r="EJ92" s="120">
        <v>0.15992700000000001</v>
      </c>
      <c r="EK92" s="120" t="s">
        <v>1640</v>
      </c>
      <c r="EL92" s="120">
        <v>0.15828400000000001</v>
      </c>
      <c r="EM92" s="120">
        <v>0.17294899999999999</v>
      </c>
      <c r="EN92" s="120">
        <v>0.16281200000000001</v>
      </c>
    </row>
    <row r="93" spans="1:144">
      <c r="A93" s="103" t="s">
        <v>2116</v>
      </c>
      <c r="B93" s="113">
        <v>133</v>
      </c>
      <c r="C93" s="113">
        <v>225</v>
      </c>
      <c r="D93" s="113">
        <v>352</v>
      </c>
      <c r="E93" s="113">
        <v>470</v>
      </c>
      <c r="F93" s="113">
        <v>518</v>
      </c>
      <c r="G93" s="113">
        <v>1139</v>
      </c>
      <c r="H93" s="113">
        <v>1710</v>
      </c>
      <c r="I93" s="113">
        <v>2518</v>
      </c>
      <c r="J93" s="113">
        <v>4027</v>
      </c>
      <c r="K93" s="113">
        <v>4744</v>
      </c>
      <c r="L93" s="113">
        <v>3243</v>
      </c>
      <c r="M93" s="113">
        <v>3644</v>
      </c>
      <c r="N93" s="113">
        <v>3861</v>
      </c>
      <c r="O93" s="113">
        <v>3940</v>
      </c>
      <c r="P93" s="113">
        <v>3553</v>
      </c>
      <c r="Q93" s="113">
        <v>4572</v>
      </c>
      <c r="R93" s="113">
        <v>4747</v>
      </c>
      <c r="S93" s="113">
        <v>4613</v>
      </c>
      <c r="T93" s="113">
        <v>3351</v>
      </c>
      <c r="U93" s="113">
        <v>4772</v>
      </c>
      <c r="V93" s="113">
        <v>3317</v>
      </c>
      <c r="W93" s="113">
        <v>2388</v>
      </c>
      <c r="X93" s="113">
        <v>3463</v>
      </c>
      <c r="Y93" s="113">
        <v>4004</v>
      </c>
      <c r="Z93" s="113">
        <v>4025</v>
      </c>
      <c r="AA93" s="113">
        <v>681</v>
      </c>
      <c r="AB93" s="113">
        <v>2769</v>
      </c>
      <c r="AC93" s="113">
        <v>20698</v>
      </c>
      <c r="AD93" s="113">
        <v>5380</v>
      </c>
      <c r="AE93" s="113">
        <v>5380</v>
      </c>
      <c r="AG93" s="103" t="s">
        <v>2116</v>
      </c>
      <c r="AH93" s="113" t="s">
        <v>271</v>
      </c>
      <c r="AI93" s="113" t="s">
        <v>271</v>
      </c>
      <c r="AJ93" s="113" t="s">
        <v>271</v>
      </c>
      <c r="AK93" s="113">
        <v>352</v>
      </c>
      <c r="AL93" s="113" t="s">
        <v>271</v>
      </c>
      <c r="AM93" s="113" t="s">
        <v>271</v>
      </c>
      <c r="AN93" s="113" t="s">
        <v>271</v>
      </c>
      <c r="AO93" s="113">
        <v>470</v>
      </c>
      <c r="AP93" s="113" t="s">
        <v>271</v>
      </c>
      <c r="AQ93" s="113" t="s">
        <v>271</v>
      </c>
      <c r="AR93" s="113" t="s">
        <v>271</v>
      </c>
      <c r="AS93" s="113">
        <v>518</v>
      </c>
      <c r="AT93" s="113" t="s">
        <v>271</v>
      </c>
      <c r="AU93" s="113" t="s">
        <v>271</v>
      </c>
      <c r="AV93" s="113" t="s">
        <v>271</v>
      </c>
      <c r="AW93" s="113">
        <v>1139</v>
      </c>
      <c r="AX93" s="113" t="s">
        <v>271</v>
      </c>
      <c r="AY93" s="113" t="s">
        <v>271</v>
      </c>
      <c r="AZ93" s="113" t="s">
        <v>271</v>
      </c>
      <c r="BA93" s="113">
        <v>1710</v>
      </c>
      <c r="BB93" s="113" t="s">
        <v>271</v>
      </c>
      <c r="BC93" s="113" t="s">
        <v>271</v>
      </c>
      <c r="BD93" s="113" t="s">
        <v>271</v>
      </c>
      <c r="BE93" s="113">
        <v>2518</v>
      </c>
      <c r="BF93" s="113" t="s">
        <v>271</v>
      </c>
      <c r="BG93" s="113" t="s">
        <v>271</v>
      </c>
      <c r="BH93" s="113" t="s">
        <v>271</v>
      </c>
      <c r="BI93" s="113">
        <v>4027</v>
      </c>
      <c r="BJ93" s="113" t="s">
        <v>271</v>
      </c>
      <c r="BK93" s="113" t="s">
        <v>271</v>
      </c>
      <c r="BL93" s="113" t="s">
        <v>271</v>
      </c>
      <c r="BM93" s="113">
        <v>4744</v>
      </c>
      <c r="BN93" s="113" t="s">
        <v>271</v>
      </c>
      <c r="BO93" s="113" t="s">
        <v>271</v>
      </c>
      <c r="BP93" s="113" t="s">
        <v>271</v>
      </c>
      <c r="BQ93" s="113">
        <v>3243</v>
      </c>
      <c r="BR93" s="113" t="s">
        <v>271</v>
      </c>
      <c r="BS93" s="113" t="s">
        <v>271</v>
      </c>
      <c r="BT93" s="113" t="s">
        <v>271</v>
      </c>
      <c r="BU93" s="113">
        <v>3644</v>
      </c>
      <c r="BV93" s="113" t="s">
        <v>271</v>
      </c>
      <c r="BW93" s="113" t="s">
        <v>271</v>
      </c>
      <c r="BX93" s="113" t="s">
        <v>271</v>
      </c>
      <c r="BY93" s="113">
        <v>3861</v>
      </c>
      <c r="BZ93" s="113" t="s">
        <v>271</v>
      </c>
      <c r="CA93" s="113" t="s">
        <v>271</v>
      </c>
      <c r="CB93" s="113" t="s">
        <v>271</v>
      </c>
      <c r="CC93" s="113">
        <v>3940</v>
      </c>
      <c r="CD93" s="113" t="s">
        <v>271</v>
      </c>
      <c r="CE93" s="113" t="s">
        <v>271</v>
      </c>
      <c r="CF93" s="113" t="s">
        <v>271</v>
      </c>
      <c r="CG93" s="113">
        <v>3553</v>
      </c>
      <c r="CH93" s="113" t="s">
        <v>271</v>
      </c>
      <c r="CI93" s="113" t="s">
        <v>271</v>
      </c>
      <c r="CJ93" s="113" t="s">
        <v>271</v>
      </c>
      <c r="CK93" s="113">
        <v>4572</v>
      </c>
      <c r="CL93" s="113" t="s">
        <v>271</v>
      </c>
      <c r="CM93" s="113" t="s">
        <v>271</v>
      </c>
      <c r="CN93" s="113" t="s">
        <v>271</v>
      </c>
      <c r="CO93" s="113">
        <v>4747</v>
      </c>
      <c r="CP93" s="113" t="s">
        <v>271</v>
      </c>
      <c r="CQ93" s="113" t="s">
        <v>271</v>
      </c>
      <c r="CR93" s="113" t="s">
        <v>271</v>
      </c>
      <c r="CS93" s="113">
        <v>4613</v>
      </c>
      <c r="CT93" s="113" t="s">
        <v>271</v>
      </c>
      <c r="CU93" s="113" t="s">
        <v>271</v>
      </c>
      <c r="CV93" s="113" t="s">
        <v>271</v>
      </c>
      <c r="CW93" s="113">
        <v>3351</v>
      </c>
      <c r="CX93" s="113" t="s">
        <v>271</v>
      </c>
      <c r="CY93" s="113" t="s">
        <v>271</v>
      </c>
      <c r="CZ93" s="113" t="s">
        <v>271</v>
      </c>
      <c r="DA93" s="113">
        <v>4772</v>
      </c>
      <c r="DB93" s="113" t="s">
        <v>271</v>
      </c>
      <c r="DC93" s="113" t="s">
        <v>271</v>
      </c>
      <c r="DD93" s="113" t="s">
        <v>271</v>
      </c>
      <c r="DE93" s="113">
        <v>3317</v>
      </c>
      <c r="DF93" s="113" t="s">
        <v>271</v>
      </c>
      <c r="DG93" s="113" t="s">
        <v>271</v>
      </c>
      <c r="DH93" s="113" t="s">
        <v>271</v>
      </c>
      <c r="DI93" s="113">
        <v>2388</v>
      </c>
      <c r="DJ93" s="113" t="s">
        <v>271</v>
      </c>
      <c r="DK93" s="113" t="s">
        <v>271</v>
      </c>
      <c r="DL93" s="113" t="s">
        <v>271</v>
      </c>
      <c r="DM93" s="113">
        <v>3463</v>
      </c>
      <c r="DN93" s="113" t="s">
        <v>271</v>
      </c>
      <c r="DO93" s="113" t="s">
        <v>271</v>
      </c>
      <c r="DP93" s="113" t="s">
        <v>271</v>
      </c>
      <c r="DQ93" s="113">
        <v>4004</v>
      </c>
      <c r="DR93" s="113" t="s">
        <v>271</v>
      </c>
      <c r="DS93" s="113" t="s">
        <v>271</v>
      </c>
      <c r="DT93" s="113" t="s">
        <v>271</v>
      </c>
      <c r="DU93" s="113">
        <v>4025</v>
      </c>
      <c r="DV93" s="113" t="s">
        <v>271</v>
      </c>
      <c r="DW93" s="113" t="s">
        <v>271</v>
      </c>
      <c r="DX93" s="113" t="s">
        <v>271</v>
      </c>
      <c r="DY93" s="113">
        <v>681</v>
      </c>
      <c r="DZ93" s="113" t="s">
        <v>271</v>
      </c>
      <c r="EA93" s="113" t="s">
        <v>271</v>
      </c>
      <c r="EB93" s="113" t="s">
        <v>271</v>
      </c>
      <c r="EC93" s="113">
        <v>2769</v>
      </c>
      <c r="ED93" s="113" t="s">
        <v>271</v>
      </c>
      <c r="EE93" s="113" t="s">
        <v>271</v>
      </c>
      <c r="EF93" s="113" t="s">
        <v>271</v>
      </c>
      <c r="EG93" s="113">
        <v>20698</v>
      </c>
      <c r="EH93" s="113" t="s">
        <v>271</v>
      </c>
      <c r="EI93" s="113" t="s">
        <v>271</v>
      </c>
      <c r="EJ93" s="113" t="s">
        <v>271</v>
      </c>
      <c r="EK93" s="113">
        <v>5380</v>
      </c>
      <c r="EL93" s="113" t="s">
        <v>271</v>
      </c>
      <c r="EM93" s="113" t="s">
        <v>271</v>
      </c>
      <c r="EN93" s="113" t="s">
        <v>271</v>
      </c>
    </row>
    <row r="94" spans="1:144">
      <c r="A94" s="103" t="s">
        <v>2117</v>
      </c>
      <c r="B94" s="113">
        <v>102</v>
      </c>
      <c r="C94" s="113">
        <v>112</v>
      </c>
      <c r="D94" s="113">
        <v>123</v>
      </c>
      <c r="E94" s="113">
        <v>94</v>
      </c>
      <c r="F94" s="113">
        <v>151</v>
      </c>
      <c r="G94" s="113">
        <v>285</v>
      </c>
      <c r="H94" s="113">
        <v>412</v>
      </c>
      <c r="I94" s="113">
        <v>526</v>
      </c>
      <c r="J94" s="113">
        <v>281</v>
      </c>
      <c r="K94" s="113">
        <v>535</v>
      </c>
      <c r="L94" s="113">
        <v>514</v>
      </c>
      <c r="M94" s="113">
        <v>575</v>
      </c>
      <c r="N94" s="113">
        <v>808</v>
      </c>
      <c r="O94" s="113">
        <v>1056</v>
      </c>
      <c r="P94" s="113">
        <v>911</v>
      </c>
      <c r="Q94" s="113">
        <v>882</v>
      </c>
      <c r="R94" s="113">
        <v>957</v>
      </c>
      <c r="S94" s="113">
        <v>1007</v>
      </c>
      <c r="T94" s="113">
        <v>1139</v>
      </c>
      <c r="U94" s="113">
        <v>1701</v>
      </c>
      <c r="V94" s="113">
        <v>1602</v>
      </c>
      <c r="W94" s="113">
        <v>1947</v>
      </c>
      <c r="X94" s="113">
        <v>1745</v>
      </c>
      <c r="Y94" s="113">
        <v>2073</v>
      </c>
      <c r="Z94" s="113">
        <v>2065</v>
      </c>
      <c r="AA94" s="113">
        <v>1940</v>
      </c>
      <c r="AB94" s="113">
        <v>2472</v>
      </c>
      <c r="AC94" s="113">
        <v>4348</v>
      </c>
      <c r="AD94" s="113">
        <v>5531</v>
      </c>
      <c r="AE94" s="113">
        <v>5531</v>
      </c>
      <c r="AG94" s="103" t="s">
        <v>2117</v>
      </c>
      <c r="AH94" s="113" t="s">
        <v>271</v>
      </c>
      <c r="AI94" s="113" t="s">
        <v>271</v>
      </c>
      <c r="AJ94" s="113" t="s">
        <v>271</v>
      </c>
      <c r="AK94" s="113">
        <v>123</v>
      </c>
      <c r="AL94" s="113" t="s">
        <v>271</v>
      </c>
      <c r="AM94" s="113" t="s">
        <v>271</v>
      </c>
      <c r="AN94" s="113" t="s">
        <v>271</v>
      </c>
      <c r="AO94" s="113">
        <v>94</v>
      </c>
      <c r="AP94" s="113" t="s">
        <v>271</v>
      </c>
      <c r="AQ94" s="113" t="s">
        <v>271</v>
      </c>
      <c r="AR94" s="113" t="s">
        <v>271</v>
      </c>
      <c r="AS94" s="113">
        <v>151</v>
      </c>
      <c r="AT94" s="113" t="s">
        <v>271</v>
      </c>
      <c r="AU94" s="113" t="s">
        <v>271</v>
      </c>
      <c r="AV94" s="113" t="s">
        <v>271</v>
      </c>
      <c r="AW94" s="113">
        <v>285</v>
      </c>
      <c r="AX94" s="113" t="s">
        <v>271</v>
      </c>
      <c r="AY94" s="113" t="s">
        <v>271</v>
      </c>
      <c r="AZ94" s="113" t="s">
        <v>271</v>
      </c>
      <c r="BA94" s="113">
        <v>412</v>
      </c>
      <c r="BB94" s="113" t="s">
        <v>271</v>
      </c>
      <c r="BC94" s="113" t="s">
        <v>271</v>
      </c>
      <c r="BD94" s="113" t="s">
        <v>271</v>
      </c>
      <c r="BE94" s="113">
        <v>526</v>
      </c>
      <c r="BF94" s="113" t="s">
        <v>271</v>
      </c>
      <c r="BG94" s="113" t="s">
        <v>271</v>
      </c>
      <c r="BH94" s="113" t="s">
        <v>271</v>
      </c>
      <c r="BI94" s="113">
        <v>281</v>
      </c>
      <c r="BJ94" s="113" t="s">
        <v>271</v>
      </c>
      <c r="BK94" s="113" t="s">
        <v>271</v>
      </c>
      <c r="BL94" s="113" t="s">
        <v>271</v>
      </c>
      <c r="BM94" s="113">
        <v>535</v>
      </c>
      <c r="BN94" s="113" t="s">
        <v>271</v>
      </c>
      <c r="BO94" s="113" t="s">
        <v>271</v>
      </c>
      <c r="BP94" s="113" t="s">
        <v>271</v>
      </c>
      <c r="BQ94" s="113">
        <v>514</v>
      </c>
      <c r="BR94" s="113" t="s">
        <v>271</v>
      </c>
      <c r="BS94" s="113" t="s">
        <v>271</v>
      </c>
      <c r="BT94" s="113" t="s">
        <v>271</v>
      </c>
      <c r="BU94" s="113">
        <v>575</v>
      </c>
      <c r="BV94" s="113" t="s">
        <v>271</v>
      </c>
      <c r="BW94" s="113" t="s">
        <v>271</v>
      </c>
      <c r="BX94" s="113" t="s">
        <v>271</v>
      </c>
      <c r="BY94" s="113">
        <v>808</v>
      </c>
      <c r="BZ94" s="113" t="s">
        <v>271</v>
      </c>
      <c r="CA94" s="113" t="s">
        <v>271</v>
      </c>
      <c r="CB94" s="113" t="s">
        <v>271</v>
      </c>
      <c r="CC94" s="113">
        <v>1056</v>
      </c>
      <c r="CD94" s="113" t="s">
        <v>271</v>
      </c>
      <c r="CE94" s="113" t="s">
        <v>271</v>
      </c>
      <c r="CF94" s="113" t="s">
        <v>271</v>
      </c>
      <c r="CG94" s="113">
        <v>911</v>
      </c>
      <c r="CH94" s="113" t="s">
        <v>271</v>
      </c>
      <c r="CI94" s="113" t="s">
        <v>271</v>
      </c>
      <c r="CJ94" s="113" t="s">
        <v>271</v>
      </c>
      <c r="CK94" s="113">
        <v>882</v>
      </c>
      <c r="CL94" s="113" t="s">
        <v>271</v>
      </c>
      <c r="CM94" s="113" t="s">
        <v>271</v>
      </c>
      <c r="CN94" s="113" t="s">
        <v>271</v>
      </c>
      <c r="CO94" s="113">
        <v>957</v>
      </c>
      <c r="CP94" s="113" t="s">
        <v>271</v>
      </c>
      <c r="CQ94" s="113" t="s">
        <v>271</v>
      </c>
      <c r="CR94" s="113" t="s">
        <v>271</v>
      </c>
      <c r="CS94" s="113">
        <v>1007</v>
      </c>
      <c r="CT94" s="113" t="s">
        <v>271</v>
      </c>
      <c r="CU94" s="113" t="s">
        <v>271</v>
      </c>
      <c r="CV94" s="113" t="s">
        <v>271</v>
      </c>
      <c r="CW94" s="113">
        <v>1139</v>
      </c>
      <c r="CX94" s="113" t="s">
        <v>271</v>
      </c>
      <c r="CY94" s="113" t="s">
        <v>271</v>
      </c>
      <c r="CZ94" s="113" t="s">
        <v>271</v>
      </c>
      <c r="DA94" s="113">
        <v>1701</v>
      </c>
      <c r="DB94" s="113" t="s">
        <v>271</v>
      </c>
      <c r="DC94" s="113" t="s">
        <v>271</v>
      </c>
      <c r="DD94" s="113" t="s">
        <v>271</v>
      </c>
      <c r="DE94" s="113">
        <v>1602</v>
      </c>
      <c r="DF94" s="113" t="s">
        <v>271</v>
      </c>
      <c r="DG94" s="113" t="s">
        <v>271</v>
      </c>
      <c r="DH94" s="113" t="s">
        <v>271</v>
      </c>
      <c r="DI94" s="113">
        <v>1947</v>
      </c>
      <c r="DJ94" s="113" t="s">
        <v>271</v>
      </c>
      <c r="DK94" s="113" t="s">
        <v>271</v>
      </c>
      <c r="DL94" s="113" t="s">
        <v>271</v>
      </c>
      <c r="DM94" s="113">
        <v>1745</v>
      </c>
      <c r="DN94" s="113" t="s">
        <v>271</v>
      </c>
      <c r="DO94" s="113" t="s">
        <v>271</v>
      </c>
      <c r="DP94" s="113" t="s">
        <v>271</v>
      </c>
      <c r="DQ94" s="113">
        <v>2073</v>
      </c>
      <c r="DR94" s="113" t="s">
        <v>271</v>
      </c>
      <c r="DS94" s="113" t="s">
        <v>271</v>
      </c>
      <c r="DT94" s="113" t="s">
        <v>271</v>
      </c>
      <c r="DU94" s="113">
        <v>2065</v>
      </c>
      <c r="DV94" s="113" t="s">
        <v>271</v>
      </c>
      <c r="DW94" s="113" t="s">
        <v>271</v>
      </c>
      <c r="DX94" s="113" t="s">
        <v>271</v>
      </c>
      <c r="DY94" s="113">
        <v>1940</v>
      </c>
      <c r="DZ94" s="113" t="s">
        <v>271</v>
      </c>
      <c r="EA94" s="113" t="s">
        <v>271</v>
      </c>
      <c r="EB94" s="113" t="s">
        <v>271</v>
      </c>
      <c r="EC94" s="113">
        <v>2472</v>
      </c>
      <c r="ED94" s="113" t="s">
        <v>271</v>
      </c>
      <c r="EE94" s="113" t="s">
        <v>271</v>
      </c>
      <c r="EF94" s="113" t="s">
        <v>271</v>
      </c>
      <c r="EG94" s="113">
        <v>4348</v>
      </c>
      <c r="EH94" s="113" t="s">
        <v>271</v>
      </c>
      <c r="EI94" s="113" t="s">
        <v>271</v>
      </c>
      <c r="EJ94" s="113" t="s">
        <v>271</v>
      </c>
      <c r="EK94" s="113">
        <v>5531</v>
      </c>
      <c r="EL94" s="113" t="s">
        <v>271</v>
      </c>
      <c r="EM94" s="113" t="s">
        <v>271</v>
      </c>
      <c r="EN94" s="113" t="s">
        <v>271</v>
      </c>
    </row>
    <row r="95" spans="1:144">
      <c r="A95" s="103" t="s">
        <v>2118</v>
      </c>
      <c r="B95" s="113">
        <v>235</v>
      </c>
      <c r="C95" s="113">
        <v>337</v>
      </c>
      <c r="D95" s="113">
        <v>475</v>
      </c>
      <c r="E95" s="113">
        <v>564</v>
      </c>
      <c r="F95" s="113">
        <v>669</v>
      </c>
      <c r="G95" s="113">
        <v>1424</v>
      </c>
      <c r="H95" s="113">
        <v>2122</v>
      </c>
      <c r="I95" s="113">
        <v>3044</v>
      </c>
      <c r="J95" s="113">
        <v>4308</v>
      </c>
      <c r="K95" s="113">
        <v>5279</v>
      </c>
      <c r="L95" s="113">
        <v>3757</v>
      </c>
      <c r="M95" s="113">
        <v>4219</v>
      </c>
      <c r="N95" s="113">
        <v>4669</v>
      </c>
      <c r="O95" s="113">
        <v>4996</v>
      </c>
      <c r="P95" s="113">
        <v>4464</v>
      </c>
      <c r="Q95" s="113">
        <v>5454</v>
      </c>
      <c r="R95" s="113">
        <v>5704</v>
      </c>
      <c r="S95" s="113">
        <v>5620</v>
      </c>
      <c r="T95" s="113">
        <v>4490</v>
      </c>
      <c r="U95" s="113">
        <v>6473</v>
      </c>
      <c r="V95" s="113">
        <v>4919</v>
      </c>
      <c r="W95" s="113">
        <v>4335</v>
      </c>
      <c r="X95" s="113">
        <v>5208</v>
      </c>
      <c r="Y95" s="113">
        <v>6077</v>
      </c>
      <c r="Z95" s="113">
        <v>6090</v>
      </c>
      <c r="AA95" s="113">
        <v>2621</v>
      </c>
      <c r="AB95" s="113">
        <v>5241</v>
      </c>
      <c r="AC95" s="113">
        <v>25046</v>
      </c>
      <c r="AD95" s="113">
        <v>10911</v>
      </c>
      <c r="AE95" s="113">
        <v>10911</v>
      </c>
      <c r="AG95" s="103" t="s">
        <v>2118</v>
      </c>
      <c r="AH95" s="113">
        <v>0</v>
      </c>
      <c r="AI95" s="113">
        <v>0</v>
      </c>
      <c r="AJ95" s="113">
        <v>0</v>
      </c>
      <c r="AK95" s="113">
        <v>475</v>
      </c>
      <c r="AL95" s="113">
        <v>0</v>
      </c>
      <c r="AM95" s="113">
        <v>0</v>
      </c>
      <c r="AN95" s="113">
        <v>0</v>
      </c>
      <c r="AO95" s="113">
        <v>564</v>
      </c>
      <c r="AP95" s="113">
        <v>0</v>
      </c>
      <c r="AQ95" s="113">
        <v>0</v>
      </c>
      <c r="AR95" s="113">
        <v>0</v>
      </c>
      <c r="AS95" s="113">
        <v>669</v>
      </c>
      <c r="AT95" s="113">
        <v>0</v>
      </c>
      <c r="AU95" s="113">
        <v>0</v>
      </c>
      <c r="AV95" s="113">
        <v>0</v>
      </c>
      <c r="AW95" s="113">
        <v>1424</v>
      </c>
      <c r="AX95" s="113">
        <v>0</v>
      </c>
      <c r="AY95" s="113">
        <v>0</v>
      </c>
      <c r="AZ95" s="113">
        <v>0</v>
      </c>
      <c r="BA95" s="113">
        <v>2122</v>
      </c>
      <c r="BB95" s="113">
        <v>0</v>
      </c>
      <c r="BC95" s="113">
        <v>0</v>
      </c>
      <c r="BD95" s="113">
        <v>0</v>
      </c>
      <c r="BE95" s="113">
        <v>3044</v>
      </c>
      <c r="BF95" s="113">
        <v>0</v>
      </c>
      <c r="BG95" s="113">
        <v>0</v>
      </c>
      <c r="BH95" s="113">
        <v>0</v>
      </c>
      <c r="BI95" s="113">
        <v>4308</v>
      </c>
      <c r="BJ95" s="113">
        <v>0</v>
      </c>
      <c r="BK95" s="113">
        <v>0</v>
      </c>
      <c r="BL95" s="113">
        <v>0</v>
      </c>
      <c r="BM95" s="113">
        <v>5279</v>
      </c>
      <c r="BN95" s="113">
        <v>0</v>
      </c>
      <c r="BO95" s="113">
        <v>0</v>
      </c>
      <c r="BP95" s="113">
        <v>0</v>
      </c>
      <c r="BQ95" s="113">
        <v>3757</v>
      </c>
      <c r="BR95" s="113">
        <v>0</v>
      </c>
      <c r="BS95" s="113">
        <v>0</v>
      </c>
      <c r="BT95" s="113">
        <v>0</v>
      </c>
      <c r="BU95" s="113">
        <v>4219</v>
      </c>
      <c r="BV95" s="113">
        <v>0</v>
      </c>
      <c r="BW95" s="113">
        <v>0</v>
      </c>
      <c r="BX95" s="113">
        <v>0</v>
      </c>
      <c r="BY95" s="113">
        <v>4669</v>
      </c>
      <c r="BZ95" s="113">
        <v>0</v>
      </c>
      <c r="CA95" s="113">
        <v>0</v>
      </c>
      <c r="CB95" s="113">
        <v>0</v>
      </c>
      <c r="CC95" s="113">
        <v>4996</v>
      </c>
      <c r="CD95" s="113">
        <v>0</v>
      </c>
      <c r="CE95" s="113">
        <v>0</v>
      </c>
      <c r="CF95" s="113">
        <v>0</v>
      </c>
      <c r="CG95" s="113">
        <v>4464</v>
      </c>
      <c r="CH95" s="113">
        <v>0</v>
      </c>
      <c r="CI95" s="113">
        <v>0</v>
      </c>
      <c r="CJ95" s="113">
        <v>0</v>
      </c>
      <c r="CK95" s="113">
        <v>5454</v>
      </c>
      <c r="CL95" s="113">
        <v>0</v>
      </c>
      <c r="CM95" s="113">
        <v>0</v>
      </c>
      <c r="CN95" s="113">
        <v>0</v>
      </c>
      <c r="CO95" s="113">
        <v>5704</v>
      </c>
      <c r="CP95" s="113">
        <v>0</v>
      </c>
      <c r="CQ95" s="113">
        <v>0</v>
      </c>
      <c r="CR95" s="113">
        <v>0</v>
      </c>
      <c r="CS95" s="113">
        <v>5620</v>
      </c>
      <c r="CT95" s="113">
        <v>0</v>
      </c>
      <c r="CU95" s="113">
        <v>0</v>
      </c>
      <c r="CV95" s="113">
        <v>0</v>
      </c>
      <c r="CW95" s="113">
        <v>4490</v>
      </c>
      <c r="CX95" s="113">
        <v>0</v>
      </c>
      <c r="CY95" s="113">
        <v>0</v>
      </c>
      <c r="CZ95" s="113">
        <v>0</v>
      </c>
      <c r="DA95" s="113">
        <v>6473</v>
      </c>
      <c r="DB95" s="113">
        <v>0</v>
      </c>
      <c r="DC95" s="113">
        <v>0</v>
      </c>
      <c r="DD95" s="113">
        <v>0</v>
      </c>
      <c r="DE95" s="113">
        <v>4919</v>
      </c>
      <c r="DF95" s="113">
        <v>0</v>
      </c>
      <c r="DG95" s="113">
        <v>0</v>
      </c>
      <c r="DH95" s="113">
        <v>0</v>
      </c>
      <c r="DI95" s="113">
        <v>4335</v>
      </c>
      <c r="DJ95" s="113">
        <v>0</v>
      </c>
      <c r="DK95" s="113">
        <v>0</v>
      </c>
      <c r="DL95" s="113">
        <v>0</v>
      </c>
      <c r="DM95" s="113">
        <v>5208</v>
      </c>
      <c r="DN95" s="113">
        <v>0</v>
      </c>
      <c r="DO95" s="113">
        <v>0</v>
      </c>
      <c r="DP95" s="113">
        <v>0</v>
      </c>
      <c r="DQ95" s="113">
        <v>6077</v>
      </c>
      <c r="DR95" s="113">
        <v>0</v>
      </c>
      <c r="DS95" s="113">
        <v>0</v>
      </c>
      <c r="DT95" s="113">
        <v>0</v>
      </c>
      <c r="DU95" s="113">
        <v>6090</v>
      </c>
      <c r="DV95" s="113">
        <v>0</v>
      </c>
      <c r="DW95" s="113">
        <v>0</v>
      </c>
      <c r="DX95" s="113">
        <v>0</v>
      </c>
      <c r="DY95" s="113">
        <v>2621</v>
      </c>
      <c r="DZ95" s="113">
        <v>0</v>
      </c>
      <c r="EA95" s="113">
        <v>0</v>
      </c>
      <c r="EB95" s="113">
        <v>0</v>
      </c>
      <c r="EC95" s="113">
        <v>5241</v>
      </c>
      <c r="ED95" s="113">
        <v>0</v>
      </c>
      <c r="EE95" s="113">
        <v>0</v>
      </c>
      <c r="EF95" s="113">
        <v>0</v>
      </c>
      <c r="EG95" s="113">
        <v>25046</v>
      </c>
      <c r="EH95" s="113">
        <v>0</v>
      </c>
      <c r="EI95" s="113">
        <v>0</v>
      </c>
      <c r="EJ95" s="113">
        <v>0</v>
      </c>
      <c r="EK95" s="113">
        <v>10911</v>
      </c>
      <c r="EL95" s="113">
        <v>0</v>
      </c>
      <c r="EM95" s="113">
        <v>0</v>
      </c>
      <c r="EN95" s="113">
        <v>0</v>
      </c>
    </row>
    <row r="96" spans="1:144">
      <c r="A96" s="103" t="s">
        <v>2119</v>
      </c>
      <c r="B96" s="113">
        <v>-27</v>
      </c>
      <c r="C96" s="113">
        <v>-4</v>
      </c>
      <c r="D96" s="113">
        <v>-27</v>
      </c>
      <c r="E96" s="113">
        <v>12</v>
      </c>
      <c r="F96" s="113">
        <v>45</v>
      </c>
      <c r="G96" s="113">
        <v>-240</v>
      </c>
      <c r="H96" s="113">
        <v>-262</v>
      </c>
      <c r="I96" s="113">
        <v>-417</v>
      </c>
      <c r="J96" s="113" t="s">
        <v>271</v>
      </c>
      <c r="K96" s="113" t="s">
        <v>271</v>
      </c>
      <c r="L96" s="113" t="s">
        <v>271</v>
      </c>
      <c r="M96" s="113" t="s">
        <v>271</v>
      </c>
      <c r="N96" s="113" t="s">
        <v>271</v>
      </c>
      <c r="O96" s="113" t="s">
        <v>271</v>
      </c>
      <c r="P96" s="113" t="s">
        <v>271</v>
      </c>
      <c r="Q96" s="113" t="s">
        <v>271</v>
      </c>
      <c r="R96" s="113" t="s">
        <v>271</v>
      </c>
      <c r="S96" s="113" t="s">
        <v>271</v>
      </c>
      <c r="T96" s="113" t="s">
        <v>271</v>
      </c>
      <c r="U96" s="113" t="s">
        <v>271</v>
      </c>
      <c r="V96" s="113" t="s">
        <v>271</v>
      </c>
      <c r="W96" s="113" t="s">
        <v>271</v>
      </c>
      <c r="X96" s="113" t="s">
        <v>271</v>
      </c>
      <c r="Y96" s="113" t="s">
        <v>271</v>
      </c>
      <c r="Z96" s="113" t="s">
        <v>271</v>
      </c>
      <c r="AA96" s="113">
        <v>2030</v>
      </c>
      <c r="AB96" s="113">
        <v>-285</v>
      </c>
      <c r="AC96" s="113">
        <v>-4750</v>
      </c>
      <c r="AD96" s="113">
        <v>-6657</v>
      </c>
      <c r="AE96" s="113">
        <v>-6657</v>
      </c>
      <c r="AG96" s="103" t="s">
        <v>2119</v>
      </c>
      <c r="AH96" s="113" t="s">
        <v>271</v>
      </c>
      <c r="AI96" s="113" t="s">
        <v>271</v>
      </c>
      <c r="AJ96" s="113" t="s">
        <v>271</v>
      </c>
      <c r="AK96" s="113">
        <v>-27</v>
      </c>
      <c r="AL96" s="113" t="s">
        <v>271</v>
      </c>
      <c r="AM96" s="113" t="s">
        <v>271</v>
      </c>
      <c r="AN96" s="113" t="s">
        <v>271</v>
      </c>
      <c r="AO96" s="113">
        <v>12</v>
      </c>
      <c r="AP96" s="113" t="s">
        <v>271</v>
      </c>
      <c r="AQ96" s="113" t="s">
        <v>271</v>
      </c>
      <c r="AR96" s="113" t="s">
        <v>271</v>
      </c>
      <c r="AS96" s="113">
        <v>45</v>
      </c>
      <c r="AT96" s="113" t="s">
        <v>271</v>
      </c>
      <c r="AU96" s="113" t="s">
        <v>271</v>
      </c>
      <c r="AV96" s="113" t="s">
        <v>271</v>
      </c>
      <c r="AW96" s="113">
        <v>-240</v>
      </c>
      <c r="AX96" s="113" t="s">
        <v>271</v>
      </c>
      <c r="AY96" s="113" t="s">
        <v>271</v>
      </c>
      <c r="AZ96" s="113" t="s">
        <v>271</v>
      </c>
      <c r="BA96" s="113">
        <v>-262</v>
      </c>
      <c r="BB96" s="113" t="s">
        <v>271</v>
      </c>
      <c r="BC96" s="113" t="s">
        <v>271</v>
      </c>
      <c r="BD96" s="113" t="s">
        <v>271</v>
      </c>
      <c r="BE96" s="113">
        <v>-417</v>
      </c>
      <c r="BF96" s="113" t="s">
        <v>271</v>
      </c>
      <c r="BG96" s="113" t="s">
        <v>271</v>
      </c>
      <c r="BH96" s="113" t="s">
        <v>271</v>
      </c>
      <c r="BI96" s="113">
        <v>-202</v>
      </c>
      <c r="BJ96" s="113" t="s">
        <v>271</v>
      </c>
      <c r="BK96" s="113" t="s">
        <v>271</v>
      </c>
      <c r="BL96" s="113" t="s">
        <v>271</v>
      </c>
      <c r="BM96" s="113" t="s">
        <v>271</v>
      </c>
      <c r="BN96" s="113" t="s">
        <v>271</v>
      </c>
      <c r="BO96" s="113" t="s">
        <v>271</v>
      </c>
      <c r="BP96" s="113" t="s">
        <v>271</v>
      </c>
      <c r="BQ96" s="113" t="s">
        <v>271</v>
      </c>
      <c r="BR96" s="113" t="s">
        <v>271</v>
      </c>
      <c r="BS96" s="113" t="s">
        <v>271</v>
      </c>
      <c r="BT96" s="113" t="s">
        <v>271</v>
      </c>
      <c r="BU96" s="113" t="s">
        <v>271</v>
      </c>
      <c r="BV96" s="113" t="s">
        <v>271</v>
      </c>
      <c r="BW96" s="113" t="s">
        <v>271</v>
      </c>
      <c r="BX96" s="113" t="s">
        <v>271</v>
      </c>
      <c r="BY96" s="113" t="s">
        <v>271</v>
      </c>
      <c r="BZ96" s="113" t="s">
        <v>271</v>
      </c>
      <c r="CA96" s="113" t="s">
        <v>271</v>
      </c>
      <c r="CB96" s="113" t="s">
        <v>271</v>
      </c>
      <c r="CC96" s="113" t="s">
        <v>271</v>
      </c>
      <c r="CD96" s="113" t="s">
        <v>271</v>
      </c>
      <c r="CE96" s="113" t="s">
        <v>271</v>
      </c>
      <c r="CF96" s="113" t="s">
        <v>271</v>
      </c>
      <c r="CG96" s="113" t="s">
        <v>271</v>
      </c>
      <c r="CH96" s="113" t="s">
        <v>271</v>
      </c>
      <c r="CI96" s="113" t="s">
        <v>271</v>
      </c>
      <c r="CJ96" s="113" t="s">
        <v>271</v>
      </c>
      <c r="CK96" s="113" t="s">
        <v>271</v>
      </c>
      <c r="CL96" s="113" t="s">
        <v>271</v>
      </c>
      <c r="CM96" s="113" t="s">
        <v>271</v>
      </c>
      <c r="CN96" s="113" t="s">
        <v>271</v>
      </c>
      <c r="CO96" s="113" t="s">
        <v>271</v>
      </c>
      <c r="CP96" s="113" t="s">
        <v>271</v>
      </c>
      <c r="CQ96" s="113" t="s">
        <v>271</v>
      </c>
      <c r="CR96" s="113" t="s">
        <v>271</v>
      </c>
      <c r="CS96" s="113" t="s">
        <v>271</v>
      </c>
      <c r="CT96" s="113" t="s">
        <v>271</v>
      </c>
      <c r="CU96" s="113" t="s">
        <v>271</v>
      </c>
      <c r="CV96" s="113" t="s">
        <v>271</v>
      </c>
      <c r="CW96" s="113" t="s">
        <v>271</v>
      </c>
      <c r="CX96" s="113" t="s">
        <v>271</v>
      </c>
      <c r="CY96" s="113" t="s">
        <v>271</v>
      </c>
      <c r="CZ96" s="113" t="s">
        <v>271</v>
      </c>
      <c r="DA96" s="113" t="s">
        <v>271</v>
      </c>
      <c r="DB96" s="113" t="s">
        <v>271</v>
      </c>
      <c r="DC96" s="113" t="s">
        <v>271</v>
      </c>
      <c r="DD96" s="113" t="s">
        <v>271</v>
      </c>
      <c r="DE96" s="113" t="s">
        <v>271</v>
      </c>
      <c r="DF96" s="113" t="s">
        <v>271</v>
      </c>
      <c r="DG96" s="113" t="s">
        <v>271</v>
      </c>
      <c r="DH96" s="113" t="s">
        <v>271</v>
      </c>
      <c r="DI96" s="113" t="s">
        <v>271</v>
      </c>
      <c r="DJ96" s="113" t="s">
        <v>271</v>
      </c>
      <c r="DK96" s="113" t="s">
        <v>271</v>
      </c>
      <c r="DL96" s="113" t="s">
        <v>271</v>
      </c>
      <c r="DM96" s="113" t="s">
        <v>271</v>
      </c>
      <c r="DN96" s="113" t="s">
        <v>271</v>
      </c>
      <c r="DO96" s="113" t="s">
        <v>271</v>
      </c>
      <c r="DP96" s="113" t="s">
        <v>271</v>
      </c>
      <c r="DQ96" s="113" t="s">
        <v>271</v>
      </c>
      <c r="DR96" s="113" t="s">
        <v>271</v>
      </c>
      <c r="DS96" s="113" t="s">
        <v>271</v>
      </c>
      <c r="DT96" s="113" t="s">
        <v>271</v>
      </c>
      <c r="DU96" s="113" t="s">
        <v>271</v>
      </c>
      <c r="DV96" s="113" t="s">
        <v>271</v>
      </c>
      <c r="DW96" s="113" t="s">
        <v>271</v>
      </c>
      <c r="DX96" s="113" t="s">
        <v>271</v>
      </c>
      <c r="DY96" s="113" t="s">
        <v>271</v>
      </c>
      <c r="DZ96" s="113" t="s">
        <v>271</v>
      </c>
      <c r="EA96" s="113" t="s">
        <v>271</v>
      </c>
      <c r="EB96" s="113" t="s">
        <v>271</v>
      </c>
      <c r="EC96" s="113">
        <v>-285</v>
      </c>
      <c r="ED96" s="113" t="s">
        <v>271</v>
      </c>
      <c r="EE96" s="113" t="s">
        <v>271</v>
      </c>
      <c r="EF96" s="113" t="s">
        <v>271</v>
      </c>
      <c r="EG96" s="113">
        <v>-4750</v>
      </c>
      <c r="EH96" s="113" t="s">
        <v>271</v>
      </c>
      <c r="EI96" s="113" t="s">
        <v>271</v>
      </c>
      <c r="EJ96" s="113" t="s">
        <v>271</v>
      </c>
      <c r="EK96" s="113">
        <v>-6657</v>
      </c>
      <c r="EL96" s="113" t="s">
        <v>271</v>
      </c>
      <c r="EM96" s="113" t="s">
        <v>271</v>
      </c>
      <c r="EN96" s="113" t="s">
        <v>271</v>
      </c>
    </row>
    <row r="97" spans="1:144">
      <c r="A97" s="103" t="s">
        <v>2120</v>
      </c>
      <c r="B97" s="113" t="s">
        <v>271</v>
      </c>
      <c r="C97" s="113" t="s">
        <v>271</v>
      </c>
      <c r="D97" s="113" t="s">
        <v>271</v>
      </c>
      <c r="E97" s="113" t="s">
        <v>271</v>
      </c>
      <c r="F97" s="113" t="s">
        <v>271</v>
      </c>
      <c r="G97" s="113" t="s">
        <v>271</v>
      </c>
      <c r="H97" s="113" t="s">
        <v>271</v>
      </c>
      <c r="I97" s="113" t="s">
        <v>271</v>
      </c>
      <c r="J97" s="113" t="s">
        <v>271</v>
      </c>
      <c r="K97" s="113" t="s">
        <v>271</v>
      </c>
      <c r="L97" s="113" t="s">
        <v>271</v>
      </c>
      <c r="M97" s="113" t="s">
        <v>271</v>
      </c>
      <c r="N97" s="113" t="s">
        <v>271</v>
      </c>
      <c r="O97" s="113" t="s">
        <v>271</v>
      </c>
      <c r="P97" s="113" t="s">
        <v>271</v>
      </c>
      <c r="Q97" s="113" t="s">
        <v>271</v>
      </c>
      <c r="R97" s="113" t="s">
        <v>271</v>
      </c>
      <c r="S97" s="113" t="s">
        <v>271</v>
      </c>
      <c r="T97" s="113" t="s">
        <v>271</v>
      </c>
      <c r="U97" s="113" t="s">
        <v>271</v>
      </c>
      <c r="V97" s="113" t="s">
        <v>271</v>
      </c>
      <c r="W97" s="113" t="s">
        <v>271</v>
      </c>
      <c r="X97" s="113" t="s">
        <v>271</v>
      </c>
      <c r="Y97" s="113" t="s">
        <v>271</v>
      </c>
      <c r="Z97" s="113" t="s">
        <v>271</v>
      </c>
      <c r="AA97" s="113">
        <v>449</v>
      </c>
      <c r="AB97" s="113">
        <v>-544</v>
      </c>
      <c r="AC97" s="113">
        <v>-393</v>
      </c>
      <c r="AD97" s="113">
        <v>194</v>
      </c>
      <c r="AE97" s="113">
        <v>194</v>
      </c>
      <c r="AG97" s="103" t="s">
        <v>2120</v>
      </c>
      <c r="AH97" s="113" t="s">
        <v>271</v>
      </c>
      <c r="AI97" s="113" t="s">
        <v>271</v>
      </c>
      <c r="AJ97" s="113" t="s">
        <v>271</v>
      </c>
      <c r="AK97" s="113" t="s">
        <v>271</v>
      </c>
      <c r="AL97" s="113" t="s">
        <v>271</v>
      </c>
      <c r="AM97" s="113" t="s">
        <v>271</v>
      </c>
      <c r="AN97" s="113" t="s">
        <v>271</v>
      </c>
      <c r="AO97" s="113" t="s">
        <v>271</v>
      </c>
      <c r="AP97" s="113" t="s">
        <v>271</v>
      </c>
      <c r="AQ97" s="113" t="s">
        <v>271</v>
      </c>
      <c r="AR97" s="113" t="s">
        <v>271</v>
      </c>
      <c r="AS97" s="113" t="s">
        <v>271</v>
      </c>
      <c r="AT97" s="113" t="s">
        <v>271</v>
      </c>
      <c r="AU97" s="113" t="s">
        <v>271</v>
      </c>
      <c r="AV97" s="113" t="s">
        <v>271</v>
      </c>
      <c r="AW97" s="113" t="s">
        <v>271</v>
      </c>
      <c r="AX97" s="113" t="s">
        <v>271</v>
      </c>
      <c r="AY97" s="113" t="s">
        <v>271</v>
      </c>
      <c r="AZ97" s="113" t="s">
        <v>271</v>
      </c>
      <c r="BA97" s="113" t="s">
        <v>271</v>
      </c>
      <c r="BB97" s="113" t="s">
        <v>271</v>
      </c>
      <c r="BC97" s="113" t="s">
        <v>271</v>
      </c>
      <c r="BD97" s="113" t="s">
        <v>271</v>
      </c>
      <c r="BE97" s="113" t="s">
        <v>271</v>
      </c>
      <c r="BF97" s="113" t="s">
        <v>271</v>
      </c>
      <c r="BG97" s="113" t="s">
        <v>271</v>
      </c>
      <c r="BH97" s="113" t="s">
        <v>271</v>
      </c>
      <c r="BI97" s="113" t="s">
        <v>271</v>
      </c>
      <c r="BJ97" s="113" t="s">
        <v>271</v>
      </c>
      <c r="BK97" s="113" t="s">
        <v>271</v>
      </c>
      <c r="BL97" s="113" t="s">
        <v>271</v>
      </c>
      <c r="BM97" s="113" t="s">
        <v>271</v>
      </c>
      <c r="BN97" s="113" t="s">
        <v>271</v>
      </c>
      <c r="BO97" s="113" t="s">
        <v>271</v>
      </c>
      <c r="BP97" s="113" t="s">
        <v>271</v>
      </c>
      <c r="BQ97" s="113" t="s">
        <v>271</v>
      </c>
      <c r="BR97" s="113" t="s">
        <v>271</v>
      </c>
      <c r="BS97" s="113" t="s">
        <v>271</v>
      </c>
      <c r="BT97" s="113" t="s">
        <v>271</v>
      </c>
      <c r="BU97" s="113" t="s">
        <v>271</v>
      </c>
      <c r="BV97" s="113" t="s">
        <v>271</v>
      </c>
      <c r="BW97" s="113" t="s">
        <v>271</v>
      </c>
      <c r="BX97" s="113" t="s">
        <v>271</v>
      </c>
      <c r="BY97" s="113" t="s">
        <v>271</v>
      </c>
      <c r="BZ97" s="113" t="s">
        <v>271</v>
      </c>
      <c r="CA97" s="113" t="s">
        <v>271</v>
      </c>
      <c r="CB97" s="113" t="s">
        <v>271</v>
      </c>
      <c r="CC97" s="113" t="s">
        <v>271</v>
      </c>
      <c r="CD97" s="113" t="s">
        <v>271</v>
      </c>
      <c r="CE97" s="113" t="s">
        <v>271</v>
      </c>
      <c r="CF97" s="113" t="s">
        <v>271</v>
      </c>
      <c r="CG97" s="113" t="s">
        <v>271</v>
      </c>
      <c r="CH97" s="113" t="s">
        <v>271</v>
      </c>
      <c r="CI97" s="113" t="s">
        <v>271</v>
      </c>
      <c r="CJ97" s="113" t="s">
        <v>271</v>
      </c>
      <c r="CK97" s="113" t="s">
        <v>271</v>
      </c>
      <c r="CL97" s="113" t="s">
        <v>271</v>
      </c>
      <c r="CM97" s="113" t="s">
        <v>271</v>
      </c>
      <c r="CN97" s="113" t="s">
        <v>271</v>
      </c>
      <c r="CO97" s="113" t="s">
        <v>271</v>
      </c>
      <c r="CP97" s="113" t="s">
        <v>271</v>
      </c>
      <c r="CQ97" s="113" t="s">
        <v>271</v>
      </c>
      <c r="CR97" s="113" t="s">
        <v>271</v>
      </c>
      <c r="CS97" s="113" t="s">
        <v>271</v>
      </c>
      <c r="CT97" s="113" t="s">
        <v>271</v>
      </c>
      <c r="CU97" s="113" t="s">
        <v>271</v>
      </c>
      <c r="CV97" s="113" t="s">
        <v>271</v>
      </c>
      <c r="CW97" s="113" t="s">
        <v>271</v>
      </c>
      <c r="CX97" s="113" t="s">
        <v>271</v>
      </c>
      <c r="CY97" s="113" t="s">
        <v>271</v>
      </c>
      <c r="CZ97" s="113" t="s">
        <v>271</v>
      </c>
      <c r="DA97" s="113" t="s">
        <v>271</v>
      </c>
      <c r="DB97" s="113" t="s">
        <v>271</v>
      </c>
      <c r="DC97" s="113" t="s">
        <v>271</v>
      </c>
      <c r="DD97" s="113" t="s">
        <v>271</v>
      </c>
      <c r="DE97" s="113" t="s">
        <v>271</v>
      </c>
      <c r="DF97" s="113" t="s">
        <v>271</v>
      </c>
      <c r="DG97" s="113" t="s">
        <v>271</v>
      </c>
      <c r="DH97" s="113" t="s">
        <v>271</v>
      </c>
      <c r="DI97" s="113" t="s">
        <v>271</v>
      </c>
      <c r="DJ97" s="113" t="s">
        <v>271</v>
      </c>
      <c r="DK97" s="113" t="s">
        <v>271</v>
      </c>
      <c r="DL97" s="113" t="s">
        <v>271</v>
      </c>
      <c r="DM97" s="113" t="s">
        <v>271</v>
      </c>
      <c r="DN97" s="113" t="s">
        <v>271</v>
      </c>
      <c r="DO97" s="113" t="s">
        <v>271</v>
      </c>
      <c r="DP97" s="113" t="s">
        <v>271</v>
      </c>
      <c r="DQ97" s="113" t="s">
        <v>271</v>
      </c>
      <c r="DR97" s="113" t="s">
        <v>271</v>
      </c>
      <c r="DS97" s="113" t="s">
        <v>271</v>
      </c>
      <c r="DT97" s="113" t="s">
        <v>271</v>
      </c>
      <c r="DU97" s="113" t="s">
        <v>271</v>
      </c>
      <c r="DV97" s="113" t="s">
        <v>271</v>
      </c>
      <c r="DW97" s="113" t="s">
        <v>271</v>
      </c>
      <c r="DX97" s="113" t="s">
        <v>271</v>
      </c>
      <c r="DY97" s="113" t="s">
        <v>271</v>
      </c>
      <c r="DZ97" s="113" t="s">
        <v>271</v>
      </c>
      <c r="EA97" s="113" t="s">
        <v>271</v>
      </c>
      <c r="EB97" s="113" t="s">
        <v>271</v>
      </c>
      <c r="EC97" s="113">
        <v>-544</v>
      </c>
      <c r="ED97" s="113" t="s">
        <v>271</v>
      </c>
      <c r="EE97" s="113" t="s">
        <v>271</v>
      </c>
      <c r="EF97" s="113" t="s">
        <v>271</v>
      </c>
      <c r="EG97" s="113">
        <v>-393</v>
      </c>
      <c r="EH97" s="113" t="s">
        <v>271</v>
      </c>
      <c r="EI97" s="113" t="s">
        <v>271</v>
      </c>
      <c r="EJ97" s="113" t="s">
        <v>271</v>
      </c>
      <c r="EK97" s="113">
        <v>194</v>
      </c>
      <c r="EL97" s="113" t="s">
        <v>271</v>
      </c>
      <c r="EM97" s="113" t="s">
        <v>271</v>
      </c>
      <c r="EN97" s="113" t="s">
        <v>271</v>
      </c>
    </row>
    <row r="98" spans="1:144">
      <c r="A98" s="103" t="s">
        <v>2121</v>
      </c>
      <c r="B98" s="113">
        <v>-27</v>
      </c>
      <c r="C98" s="113">
        <v>-4</v>
      </c>
      <c r="D98" s="113">
        <v>-27</v>
      </c>
      <c r="E98" s="113">
        <v>12</v>
      </c>
      <c r="F98" s="113">
        <v>45</v>
      </c>
      <c r="G98" s="113">
        <v>-240</v>
      </c>
      <c r="H98" s="113">
        <v>-262</v>
      </c>
      <c r="I98" s="113">
        <v>-417</v>
      </c>
      <c r="J98" s="113">
        <v>0</v>
      </c>
      <c r="K98" s="113">
        <v>0</v>
      </c>
      <c r="L98" s="113">
        <v>0</v>
      </c>
      <c r="M98" s="113">
        <v>0</v>
      </c>
      <c r="N98" s="113">
        <v>0</v>
      </c>
      <c r="O98" s="113">
        <v>0</v>
      </c>
      <c r="P98" s="113">
        <v>0</v>
      </c>
      <c r="Q98" s="113">
        <v>0</v>
      </c>
      <c r="R98" s="113">
        <v>0</v>
      </c>
      <c r="S98" s="113">
        <v>513</v>
      </c>
      <c r="T98" s="113">
        <v>762</v>
      </c>
      <c r="U98" s="113">
        <v>-220</v>
      </c>
      <c r="V98" s="113">
        <v>2</v>
      </c>
      <c r="W98" s="113">
        <v>954</v>
      </c>
      <c r="X98" s="113">
        <v>-19</v>
      </c>
      <c r="Y98" s="113">
        <v>-331</v>
      </c>
      <c r="Z98" s="113">
        <v>224</v>
      </c>
      <c r="AA98" s="113">
        <v>2479</v>
      </c>
      <c r="AB98" s="113">
        <v>-829</v>
      </c>
      <c r="AC98" s="113">
        <v>-5143</v>
      </c>
      <c r="AD98" s="113">
        <v>-6463</v>
      </c>
      <c r="AE98" s="113">
        <v>-6463</v>
      </c>
      <c r="AG98" s="103" t="s">
        <v>2121</v>
      </c>
      <c r="AH98" s="113">
        <v>0</v>
      </c>
      <c r="AI98" s="113">
        <v>0</v>
      </c>
      <c r="AJ98" s="113">
        <v>0</v>
      </c>
      <c r="AK98" s="113">
        <v>-27</v>
      </c>
      <c r="AL98" s="113">
        <v>0</v>
      </c>
      <c r="AM98" s="113">
        <v>0</v>
      </c>
      <c r="AN98" s="113">
        <v>0</v>
      </c>
      <c r="AO98" s="113">
        <v>12</v>
      </c>
      <c r="AP98" s="113">
        <v>0</v>
      </c>
      <c r="AQ98" s="113">
        <v>0</v>
      </c>
      <c r="AR98" s="113">
        <v>0</v>
      </c>
      <c r="AS98" s="113">
        <v>45</v>
      </c>
      <c r="AT98" s="113">
        <v>0</v>
      </c>
      <c r="AU98" s="113">
        <v>0</v>
      </c>
      <c r="AV98" s="113">
        <v>0</v>
      </c>
      <c r="AW98" s="113">
        <v>-240</v>
      </c>
      <c r="AX98" s="113">
        <v>0</v>
      </c>
      <c r="AY98" s="113">
        <v>0</v>
      </c>
      <c r="AZ98" s="113">
        <v>0</v>
      </c>
      <c r="BA98" s="113">
        <v>-262</v>
      </c>
      <c r="BB98" s="113">
        <v>0</v>
      </c>
      <c r="BC98" s="113">
        <v>0</v>
      </c>
      <c r="BD98" s="113">
        <v>0</v>
      </c>
      <c r="BE98" s="113">
        <v>-417</v>
      </c>
      <c r="BF98" s="113">
        <v>0</v>
      </c>
      <c r="BG98" s="113">
        <v>0</v>
      </c>
      <c r="BH98" s="113">
        <v>0</v>
      </c>
      <c r="BI98" s="113">
        <v>-202</v>
      </c>
      <c r="BJ98" s="113">
        <v>0</v>
      </c>
      <c r="BK98" s="113">
        <v>0</v>
      </c>
      <c r="BL98" s="113">
        <v>0</v>
      </c>
      <c r="BM98" s="113">
        <v>0</v>
      </c>
      <c r="BN98" s="113">
        <v>0</v>
      </c>
      <c r="BO98" s="113">
        <v>0</v>
      </c>
      <c r="BP98" s="113">
        <v>0</v>
      </c>
      <c r="BQ98" s="113">
        <v>0</v>
      </c>
      <c r="BR98" s="113">
        <v>0</v>
      </c>
      <c r="BS98" s="113">
        <v>0</v>
      </c>
      <c r="BT98" s="113">
        <v>0</v>
      </c>
      <c r="BU98" s="113">
        <v>0</v>
      </c>
      <c r="BV98" s="113">
        <v>0</v>
      </c>
      <c r="BW98" s="113">
        <v>0</v>
      </c>
      <c r="BX98" s="113">
        <v>0</v>
      </c>
      <c r="BY98" s="113">
        <v>0</v>
      </c>
      <c r="BZ98" s="113">
        <v>0</v>
      </c>
      <c r="CA98" s="113">
        <v>0</v>
      </c>
      <c r="CB98" s="113">
        <v>0</v>
      </c>
      <c r="CC98" s="113">
        <v>0</v>
      </c>
      <c r="CD98" s="113">
        <v>0</v>
      </c>
      <c r="CE98" s="113">
        <v>0</v>
      </c>
      <c r="CF98" s="113">
        <v>0</v>
      </c>
      <c r="CG98" s="113">
        <v>0</v>
      </c>
      <c r="CH98" s="113">
        <v>0</v>
      </c>
      <c r="CI98" s="113">
        <v>0</v>
      </c>
      <c r="CJ98" s="113">
        <v>0</v>
      </c>
      <c r="CK98" s="113">
        <v>0</v>
      </c>
      <c r="CL98" s="113">
        <v>0</v>
      </c>
      <c r="CM98" s="113">
        <v>0</v>
      </c>
      <c r="CN98" s="113">
        <v>0</v>
      </c>
      <c r="CO98" s="113">
        <v>0</v>
      </c>
      <c r="CP98" s="113">
        <v>0</v>
      </c>
      <c r="CQ98" s="113">
        <v>0</v>
      </c>
      <c r="CR98" s="113">
        <v>0</v>
      </c>
      <c r="CS98" s="113">
        <v>0</v>
      </c>
      <c r="CT98" s="113">
        <v>0</v>
      </c>
      <c r="CU98" s="113">
        <v>0</v>
      </c>
      <c r="CV98" s="113">
        <v>0</v>
      </c>
      <c r="CW98" s="113">
        <v>762</v>
      </c>
      <c r="CX98" s="113">
        <v>0</v>
      </c>
      <c r="CY98" s="113">
        <v>0</v>
      </c>
      <c r="CZ98" s="113">
        <v>0</v>
      </c>
      <c r="DA98" s="113">
        <v>-220</v>
      </c>
      <c r="DB98" s="113">
        <v>0</v>
      </c>
      <c r="DC98" s="113">
        <v>0</v>
      </c>
      <c r="DD98" s="113">
        <v>0</v>
      </c>
      <c r="DE98" s="113">
        <v>2</v>
      </c>
      <c r="DF98" s="113">
        <v>0</v>
      </c>
      <c r="DG98" s="113">
        <v>0</v>
      </c>
      <c r="DH98" s="113">
        <v>0</v>
      </c>
      <c r="DI98" s="113">
        <v>954</v>
      </c>
      <c r="DJ98" s="113">
        <v>0</v>
      </c>
      <c r="DK98" s="113">
        <v>0</v>
      </c>
      <c r="DL98" s="113">
        <v>0</v>
      </c>
      <c r="DM98" s="113">
        <v>-19</v>
      </c>
      <c r="DN98" s="113">
        <v>0</v>
      </c>
      <c r="DO98" s="113">
        <v>0</v>
      </c>
      <c r="DP98" s="113">
        <v>0</v>
      </c>
      <c r="DQ98" s="113">
        <v>-331</v>
      </c>
      <c r="DR98" s="113">
        <v>0</v>
      </c>
      <c r="DS98" s="113">
        <v>0</v>
      </c>
      <c r="DT98" s="113">
        <v>0</v>
      </c>
      <c r="DU98" s="113">
        <v>224</v>
      </c>
      <c r="DV98" s="113">
        <v>0</v>
      </c>
      <c r="DW98" s="113">
        <v>0</v>
      </c>
      <c r="DX98" s="113">
        <v>0</v>
      </c>
      <c r="DY98" s="113">
        <v>332</v>
      </c>
      <c r="DZ98" s="113">
        <v>0</v>
      </c>
      <c r="EA98" s="113">
        <v>0</v>
      </c>
      <c r="EB98" s="113">
        <v>0</v>
      </c>
      <c r="EC98" s="113">
        <v>-829</v>
      </c>
      <c r="ED98" s="113">
        <v>0</v>
      </c>
      <c r="EE98" s="113">
        <v>0</v>
      </c>
      <c r="EF98" s="113">
        <v>0</v>
      </c>
      <c r="EG98" s="113">
        <v>-5143</v>
      </c>
      <c r="EH98" s="113">
        <v>0</v>
      </c>
      <c r="EI98" s="113">
        <v>0</v>
      </c>
      <c r="EJ98" s="113">
        <v>0</v>
      </c>
      <c r="EK98" s="113">
        <v>-6463</v>
      </c>
      <c r="EL98" s="113">
        <v>0</v>
      </c>
      <c r="EM98" s="113">
        <v>0</v>
      </c>
      <c r="EN98" s="113">
        <v>0</v>
      </c>
    </row>
    <row r="99" spans="1:144">
      <c r="A99" s="103"/>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c r="CR99" s="103"/>
      <c r="CS99" s="103"/>
      <c r="CT99" s="103"/>
      <c r="CU99" s="103"/>
      <c r="CV99" s="103"/>
      <c r="CW99" s="103"/>
      <c r="CX99" s="103"/>
      <c r="CY99" s="103"/>
      <c r="CZ99" s="103"/>
      <c r="DA99" s="103"/>
      <c r="DB99" s="103"/>
      <c r="DC99" s="103"/>
      <c r="DD99" s="103"/>
      <c r="DE99" s="103"/>
      <c r="DF99" s="103"/>
      <c r="DG99" s="103"/>
      <c r="DH99" s="103"/>
      <c r="DI99" s="103"/>
      <c r="DJ99" s="103"/>
      <c r="DK99" s="103"/>
      <c r="DL99" s="103"/>
      <c r="DM99" s="103"/>
      <c r="DN99" s="103"/>
      <c r="DO99" s="103"/>
      <c r="DP99" s="103"/>
      <c r="DQ99" s="103"/>
      <c r="DR99" s="103"/>
      <c r="DS99" s="103"/>
      <c r="DT99" s="103"/>
      <c r="DU99" s="103"/>
      <c r="DV99" s="103"/>
      <c r="DW99" s="103"/>
      <c r="DX99" s="103"/>
      <c r="DY99" s="103"/>
      <c r="DZ99" s="103"/>
      <c r="EA99" s="103"/>
      <c r="EB99" s="103"/>
      <c r="EC99" s="103"/>
      <c r="ED99" s="103"/>
      <c r="EE99" s="103"/>
      <c r="EF99" s="103"/>
      <c r="EG99" s="103"/>
      <c r="EH99" s="103"/>
      <c r="EI99" s="103"/>
      <c r="EJ99" s="103"/>
      <c r="EK99" s="103"/>
      <c r="EL99" s="103"/>
      <c r="EM99" s="103"/>
      <c r="EN99" s="103"/>
    </row>
    <row r="100" spans="1:144">
      <c r="A100" s="103" t="s">
        <v>2122</v>
      </c>
      <c r="B100" s="113">
        <v>419.375</v>
      </c>
      <c r="C100" s="113">
        <v>650.625</v>
      </c>
      <c r="D100" s="113">
        <v>875.625</v>
      </c>
      <c r="E100" s="113">
        <v>1132.5</v>
      </c>
      <c r="F100" s="113">
        <v>1383.125</v>
      </c>
      <c r="G100" s="113">
        <v>2111.875</v>
      </c>
      <c r="H100" s="113">
        <v>3321.25</v>
      </c>
      <c r="I100" s="113">
        <v>4633.125</v>
      </c>
      <c r="J100" s="113">
        <v>6930</v>
      </c>
      <c r="K100" s="113">
        <v>7839.375</v>
      </c>
      <c r="L100" s="113">
        <v>8591.25</v>
      </c>
      <c r="M100" s="113">
        <v>6436.875</v>
      </c>
      <c r="N100" s="113">
        <v>7350</v>
      </c>
      <c r="O100" s="113">
        <v>8340.625</v>
      </c>
      <c r="P100" s="113">
        <v>11301.25</v>
      </c>
      <c r="Q100" s="113">
        <v>12125.625</v>
      </c>
      <c r="R100" s="113">
        <v>12476.25</v>
      </c>
      <c r="S100" s="113">
        <v>15792.5</v>
      </c>
      <c r="T100" s="113">
        <v>12766.875</v>
      </c>
      <c r="U100" s="113">
        <v>15408.125</v>
      </c>
      <c r="V100" s="113">
        <v>17248.125</v>
      </c>
      <c r="W100" s="113">
        <v>17488.125</v>
      </c>
      <c r="X100" s="113">
        <v>17283.125</v>
      </c>
      <c r="Y100" s="113">
        <v>17239.375</v>
      </c>
      <c r="Z100" s="113">
        <v>17388.125</v>
      </c>
      <c r="AA100" s="113">
        <v>16320</v>
      </c>
      <c r="AB100" s="113">
        <v>17386.25</v>
      </c>
      <c r="AC100" s="113">
        <v>21301.25</v>
      </c>
      <c r="AD100" s="113">
        <v>26898.125</v>
      </c>
      <c r="AE100" s="113">
        <v>32460</v>
      </c>
      <c r="AG100" s="103" t="s">
        <v>2122</v>
      </c>
      <c r="AH100" s="113">
        <v>204.375</v>
      </c>
      <c r="AI100" s="113">
        <v>216.875</v>
      </c>
      <c r="AJ100" s="113">
        <v>223.125</v>
      </c>
      <c r="AK100" s="113">
        <v>243.75</v>
      </c>
      <c r="AL100" s="113">
        <v>226.25</v>
      </c>
      <c r="AM100" s="113">
        <v>273.75</v>
      </c>
      <c r="AN100" s="113">
        <v>313.75</v>
      </c>
      <c r="AO100" s="113">
        <v>318.75</v>
      </c>
      <c r="AP100" s="113">
        <v>294.375</v>
      </c>
      <c r="AQ100" s="113">
        <v>348.125</v>
      </c>
      <c r="AR100" s="113">
        <v>370</v>
      </c>
      <c r="AS100" s="113">
        <v>370.625</v>
      </c>
      <c r="AT100" s="113">
        <v>481.25</v>
      </c>
      <c r="AU100" s="113">
        <v>553.125</v>
      </c>
      <c r="AV100" s="113">
        <v>540</v>
      </c>
      <c r="AW100" s="113">
        <v>537.5</v>
      </c>
      <c r="AX100" s="113">
        <v>590.625</v>
      </c>
      <c r="AY100" s="113">
        <v>712.5</v>
      </c>
      <c r="AZ100" s="113">
        <v>1001.875</v>
      </c>
      <c r="BA100" s="113">
        <v>1016.25</v>
      </c>
      <c r="BB100" s="113">
        <v>936.25</v>
      </c>
      <c r="BC100" s="113">
        <v>1106.25</v>
      </c>
      <c r="BD100" s="113">
        <v>1285.625</v>
      </c>
      <c r="BE100" s="113">
        <v>1305</v>
      </c>
      <c r="BF100" s="113">
        <v>1464.375</v>
      </c>
      <c r="BG100" s="113">
        <v>1863.125</v>
      </c>
      <c r="BH100" s="113">
        <v>1624.375</v>
      </c>
      <c r="BI100" s="113">
        <v>1990.625</v>
      </c>
      <c r="BJ100" s="113">
        <v>1950</v>
      </c>
      <c r="BK100" s="113">
        <v>2057.5</v>
      </c>
      <c r="BL100" s="113">
        <v>1974.375</v>
      </c>
      <c r="BM100" s="113">
        <v>1873.125</v>
      </c>
      <c r="BN100" s="113">
        <v>2407.5</v>
      </c>
      <c r="BO100" s="113">
        <v>2448.125</v>
      </c>
      <c r="BP100" s="113">
        <v>2286.25</v>
      </c>
      <c r="BQ100" s="113">
        <v>1449.375</v>
      </c>
      <c r="BR100" s="113">
        <v>1791.875</v>
      </c>
      <c r="BS100" s="113">
        <v>2510.625</v>
      </c>
      <c r="BT100" s="113">
        <v>2516.25</v>
      </c>
      <c r="BU100" s="113">
        <v>2916.875</v>
      </c>
      <c r="BV100" s="113">
        <v>2201.25</v>
      </c>
      <c r="BW100" s="113">
        <v>1841.25</v>
      </c>
      <c r="BX100" s="113">
        <v>1987.5</v>
      </c>
      <c r="BY100" s="113">
        <v>1886.875</v>
      </c>
      <c r="BZ100" s="113">
        <v>2285</v>
      </c>
      <c r="CA100" s="113">
        <v>1251.25</v>
      </c>
      <c r="CB100" s="113">
        <v>2740.625</v>
      </c>
      <c r="CC100" s="113">
        <v>1946.875</v>
      </c>
      <c r="CD100" s="113">
        <v>2669.375</v>
      </c>
      <c r="CE100" s="113">
        <v>3170</v>
      </c>
      <c r="CF100" s="113">
        <v>3207.5</v>
      </c>
      <c r="CG100" s="113">
        <v>2284.375</v>
      </c>
      <c r="CH100" s="113">
        <v>3043.125</v>
      </c>
      <c r="CI100" s="113">
        <v>3125</v>
      </c>
      <c r="CJ100" s="113">
        <v>2903.125</v>
      </c>
      <c r="CK100" s="113">
        <v>3005.625</v>
      </c>
      <c r="CL100" s="113">
        <v>2978.125</v>
      </c>
      <c r="CM100" s="113">
        <v>2383.125</v>
      </c>
      <c r="CN100" s="113">
        <v>4517.5</v>
      </c>
      <c r="CO100" s="113">
        <v>2597.5</v>
      </c>
      <c r="CP100" s="113">
        <v>3790.625</v>
      </c>
      <c r="CQ100" s="113">
        <v>4208.125</v>
      </c>
      <c r="CR100" s="113">
        <v>3951.875</v>
      </c>
      <c r="CS100" s="113">
        <v>3691.25</v>
      </c>
      <c r="CT100" s="113">
        <v>3663.75</v>
      </c>
      <c r="CU100" s="113">
        <v>3355</v>
      </c>
      <c r="CV100" s="113">
        <v>3030.625</v>
      </c>
      <c r="CW100" s="113">
        <v>2892.5</v>
      </c>
      <c r="CX100" s="113">
        <v>2928.75</v>
      </c>
      <c r="CY100" s="113">
        <v>5490</v>
      </c>
      <c r="CZ100" s="113">
        <v>3247.5</v>
      </c>
      <c r="DA100" s="113">
        <v>3778.75</v>
      </c>
      <c r="DB100" s="113">
        <v>4476.875</v>
      </c>
      <c r="DC100" s="113">
        <v>5238.125</v>
      </c>
      <c r="DD100" s="113">
        <v>3765.625</v>
      </c>
      <c r="DE100" s="113">
        <v>3653.125</v>
      </c>
      <c r="DF100" s="113">
        <v>4557.5</v>
      </c>
      <c r="DG100" s="113">
        <v>5001.875</v>
      </c>
      <c r="DH100" s="113">
        <v>3952.5</v>
      </c>
      <c r="DI100" s="113">
        <v>3976.25</v>
      </c>
      <c r="DJ100" s="113">
        <v>3466.875</v>
      </c>
      <c r="DK100" s="113">
        <v>4820</v>
      </c>
      <c r="DL100" s="113">
        <v>5169.375</v>
      </c>
      <c r="DM100" s="113">
        <v>3826.875</v>
      </c>
      <c r="DN100" s="113">
        <v>4012.5</v>
      </c>
      <c r="DO100" s="113">
        <v>4921.875</v>
      </c>
      <c r="DP100" s="113">
        <v>4291.25</v>
      </c>
      <c r="DQ100" s="113">
        <v>4013.75</v>
      </c>
      <c r="DR100" s="113">
        <v>4344.375</v>
      </c>
      <c r="DS100" s="113">
        <v>4880.625</v>
      </c>
      <c r="DT100" s="113">
        <v>4085.625</v>
      </c>
      <c r="DU100" s="113">
        <v>4077.5</v>
      </c>
      <c r="DV100" s="113">
        <v>3411.25</v>
      </c>
      <c r="DW100" s="113">
        <v>3621.25</v>
      </c>
      <c r="DX100" s="113">
        <v>3113.75</v>
      </c>
      <c r="DY100" s="113">
        <v>2493.75</v>
      </c>
      <c r="DZ100" s="113">
        <v>4026.25</v>
      </c>
      <c r="EA100" s="113">
        <v>4593.75</v>
      </c>
      <c r="EB100" s="113">
        <v>3981.875</v>
      </c>
      <c r="EC100" s="113">
        <v>6216.25</v>
      </c>
      <c r="ED100" s="113">
        <v>4625</v>
      </c>
      <c r="EE100" s="113">
        <v>5268.75</v>
      </c>
      <c r="EF100" s="113">
        <v>5088.75</v>
      </c>
      <c r="EG100" s="113">
        <v>6318.75</v>
      </c>
      <c r="EH100" s="113">
        <v>6236.25</v>
      </c>
      <c r="EI100" s="113">
        <v>6431.875</v>
      </c>
      <c r="EJ100" s="113">
        <v>6526.25</v>
      </c>
      <c r="EK100" s="113">
        <v>7705.625</v>
      </c>
      <c r="EL100" s="113">
        <v>7964.375</v>
      </c>
      <c r="EM100" s="113">
        <v>8701.875</v>
      </c>
      <c r="EN100" s="113">
        <v>8090</v>
      </c>
    </row>
    <row r="101" spans="1:144">
      <c r="A101" s="103" t="s">
        <v>2123</v>
      </c>
      <c r="B101" s="113" t="s">
        <v>271</v>
      </c>
      <c r="C101" s="113" t="s">
        <v>271</v>
      </c>
      <c r="D101" s="113" t="s">
        <v>271</v>
      </c>
      <c r="E101" s="113" t="s">
        <v>271</v>
      </c>
      <c r="F101" s="113" t="s">
        <v>271</v>
      </c>
      <c r="G101" s="113" t="s">
        <v>271</v>
      </c>
      <c r="H101" s="113" t="s">
        <v>271</v>
      </c>
      <c r="I101" s="113">
        <v>3991</v>
      </c>
      <c r="J101" s="113">
        <v>7081</v>
      </c>
      <c r="K101" s="113">
        <v>8159</v>
      </c>
      <c r="L101" s="113">
        <v>5084</v>
      </c>
      <c r="M101" s="113" t="s">
        <v>271</v>
      </c>
      <c r="N101" s="113" t="s">
        <v>271</v>
      </c>
      <c r="O101" s="113" t="s">
        <v>271</v>
      </c>
      <c r="P101" s="113" t="s">
        <v>271</v>
      </c>
      <c r="Q101" s="113" t="s">
        <v>271</v>
      </c>
      <c r="R101" s="113" t="s">
        <v>271</v>
      </c>
      <c r="S101" s="113" t="s">
        <v>271</v>
      </c>
      <c r="T101" s="113" t="s">
        <v>271</v>
      </c>
      <c r="U101" s="113" t="s">
        <v>271</v>
      </c>
      <c r="V101" s="113" t="s">
        <v>271</v>
      </c>
      <c r="W101" s="113" t="s">
        <v>271</v>
      </c>
      <c r="X101" s="113" t="s">
        <v>271</v>
      </c>
      <c r="Y101" s="113" t="s">
        <v>271</v>
      </c>
      <c r="Z101" s="113" t="s">
        <v>271</v>
      </c>
      <c r="AA101" s="113" t="s">
        <v>271</v>
      </c>
      <c r="AB101" s="113" t="s">
        <v>271</v>
      </c>
      <c r="AC101" s="113" t="s">
        <v>271</v>
      </c>
      <c r="AD101" s="113" t="s">
        <v>271</v>
      </c>
      <c r="AE101" s="113" t="s">
        <v>271</v>
      </c>
      <c r="AG101" s="103" t="s">
        <v>2123</v>
      </c>
      <c r="AH101" s="113" t="s">
        <v>271</v>
      </c>
      <c r="AI101" s="113" t="s">
        <v>271</v>
      </c>
      <c r="AJ101" s="113" t="s">
        <v>271</v>
      </c>
      <c r="AK101" s="113" t="s">
        <v>271</v>
      </c>
      <c r="AL101" s="113" t="s">
        <v>271</v>
      </c>
      <c r="AM101" s="113" t="s">
        <v>271</v>
      </c>
      <c r="AN101" s="113" t="s">
        <v>271</v>
      </c>
      <c r="AO101" s="113" t="s">
        <v>271</v>
      </c>
      <c r="AP101" s="113" t="s">
        <v>271</v>
      </c>
      <c r="AQ101" s="113" t="s">
        <v>271</v>
      </c>
      <c r="AR101" s="113" t="s">
        <v>271</v>
      </c>
      <c r="AS101" s="113" t="s">
        <v>271</v>
      </c>
      <c r="AT101" s="113" t="s">
        <v>271</v>
      </c>
      <c r="AU101" s="113" t="s">
        <v>271</v>
      </c>
      <c r="AV101" s="113" t="s">
        <v>271</v>
      </c>
      <c r="AW101" s="113" t="s">
        <v>271</v>
      </c>
      <c r="AX101" s="113" t="s">
        <v>271</v>
      </c>
      <c r="AY101" s="113" t="s">
        <v>271</v>
      </c>
      <c r="AZ101" s="113" t="s">
        <v>271</v>
      </c>
      <c r="BA101" s="113" t="s">
        <v>271</v>
      </c>
      <c r="BB101" s="113" t="s">
        <v>271</v>
      </c>
      <c r="BC101" s="113" t="s">
        <v>271</v>
      </c>
      <c r="BD101" s="113" t="s">
        <v>271</v>
      </c>
      <c r="BE101" s="113" t="s">
        <v>271</v>
      </c>
      <c r="BF101" s="113" t="s">
        <v>271</v>
      </c>
      <c r="BG101" s="113" t="s">
        <v>271</v>
      </c>
      <c r="BH101" s="113" t="s">
        <v>271</v>
      </c>
      <c r="BI101" s="113" t="s">
        <v>271</v>
      </c>
      <c r="BJ101" s="113" t="s">
        <v>271</v>
      </c>
      <c r="BK101" s="113" t="s">
        <v>271</v>
      </c>
      <c r="BL101" s="113" t="s">
        <v>271</v>
      </c>
      <c r="BM101" s="113" t="s">
        <v>271</v>
      </c>
      <c r="BN101" s="113" t="s">
        <v>271</v>
      </c>
      <c r="BO101" s="113" t="s">
        <v>271</v>
      </c>
      <c r="BP101" s="113" t="s">
        <v>271</v>
      </c>
      <c r="BQ101" s="113" t="s">
        <v>271</v>
      </c>
      <c r="BR101" s="113" t="s">
        <v>271</v>
      </c>
      <c r="BS101" s="113" t="s">
        <v>271</v>
      </c>
      <c r="BT101" s="113">
        <v>2135</v>
      </c>
      <c r="BU101" s="113" t="s">
        <v>271</v>
      </c>
      <c r="BV101" s="113" t="s">
        <v>271</v>
      </c>
      <c r="BW101" s="113" t="s">
        <v>271</v>
      </c>
      <c r="BX101" s="113" t="s">
        <v>271</v>
      </c>
      <c r="BY101" s="113" t="s">
        <v>271</v>
      </c>
      <c r="BZ101" s="113" t="s">
        <v>271</v>
      </c>
      <c r="CA101" s="113" t="s">
        <v>271</v>
      </c>
      <c r="CB101" s="113" t="s">
        <v>271</v>
      </c>
      <c r="CC101" s="113" t="s">
        <v>271</v>
      </c>
      <c r="CD101" s="113" t="s">
        <v>271</v>
      </c>
      <c r="CE101" s="113" t="s">
        <v>271</v>
      </c>
      <c r="CF101" s="113" t="s">
        <v>271</v>
      </c>
      <c r="CG101" s="113" t="s">
        <v>271</v>
      </c>
      <c r="CH101" s="113" t="s">
        <v>271</v>
      </c>
      <c r="CI101" s="113" t="s">
        <v>271</v>
      </c>
      <c r="CJ101" s="113" t="s">
        <v>271</v>
      </c>
      <c r="CK101" s="113" t="s">
        <v>271</v>
      </c>
      <c r="CL101" s="113" t="s">
        <v>271</v>
      </c>
      <c r="CM101" s="113" t="s">
        <v>271</v>
      </c>
      <c r="CN101" s="113" t="s">
        <v>271</v>
      </c>
      <c r="CO101" s="113" t="s">
        <v>271</v>
      </c>
      <c r="CP101" s="113" t="s">
        <v>271</v>
      </c>
      <c r="CQ101" s="113" t="s">
        <v>271</v>
      </c>
      <c r="CR101" s="113" t="s">
        <v>271</v>
      </c>
      <c r="CS101" s="113" t="s">
        <v>271</v>
      </c>
      <c r="CT101" s="113" t="s">
        <v>271</v>
      </c>
      <c r="CU101" s="113" t="s">
        <v>271</v>
      </c>
      <c r="CV101" s="113" t="s">
        <v>271</v>
      </c>
      <c r="CW101" s="113" t="s">
        <v>271</v>
      </c>
      <c r="CX101" s="113" t="s">
        <v>271</v>
      </c>
      <c r="CY101" s="113" t="s">
        <v>271</v>
      </c>
      <c r="CZ101" s="113" t="s">
        <v>271</v>
      </c>
      <c r="DA101" s="113" t="s">
        <v>271</v>
      </c>
      <c r="DB101" s="113" t="s">
        <v>271</v>
      </c>
      <c r="DC101" s="113" t="s">
        <v>271</v>
      </c>
      <c r="DD101" s="113" t="s">
        <v>271</v>
      </c>
      <c r="DE101" s="113" t="s">
        <v>271</v>
      </c>
      <c r="DF101" s="113" t="s">
        <v>271</v>
      </c>
      <c r="DG101" s="113" t="s">
        <v>271</v>
      </c>
      <c r="DH101" s="113" t="s">
        <v>271</v>
      </c>
      <c r="DI101" s="113" t="s">
        <v>271</v>
      </c>
      <c r="DJ101" s="113" t="s">
        <v>271</v>
      </c>
      <c r="DK101" s="113" t="s">
        <v>271</v>
      </c>
      <c r="DL101" s="113" t="s">
        <v>271</v>
      </c>
      <c r="DM101" s="113" t="s">
        <v>271</v>
      </c>
      <c r="DN101" s="113" t="s">
        <v>271</v>
      </c>
      <c r="DO101" s="113" t="s">
        <v>271</v>
      </c>
      <c r="DP101" s="113" t="s">
        <v>271</v>
      </c>
      <c r="DQ101" s="113" t="s">
        <v>271</v>
      </c>
      <c r="DR101" s="113" t="s">
        <v>271</v>
      </c>
      <c r="DS101" s="113" t="s">
        <v>271</v>
      </c>
      <c r="DT101" s="113" t="s">
        <v>271</v>
      </c>
      <c r="DU101" s="113" t="s">
        <v>271</v>
      </c>
      <c r="DV101" s="113" t="s">
        <v>271</v>
      </c>
      <c r="DW101" s="113" t="s">
        <v>271</v>
      </c>
      <c r="DX101" s="113" t="s">
        <v>271</v>
      </c>
      <c r="DY101" s="113" t="s">
        <v>271</v>
      </c>
      <c r="DZ101" s="113" t="s">
        <v>271</v>
      </c>
      <c r="EA101" s="113" t="s">
        <v>271</v>
      </c>
      <c r="EB101" s="113" t="s">
        <v>271</v>
      </c>
      <c r="EC101" s="113" t="s">
        <v>271</v>
      </c>
      <c r="ED101" s="113" t="s">
        <v>271</v>
      </c>
      <c r="EE101" s="113" t="s">
        <v>271</v>
      </c>
      <c r="EF101" s="113" t="s">
        <v>271</v>
      </c>
      <c r="EG101" s="113" t="s">
        <v>271</v>
      </c>
      <c r="EH101" s="113" t="s">
        <v>271</v>
      </c>
      <c r="EI101" s="113" t="s">
        <v>271</v>
      </c>
      <c r="EJ101" s="113" t="s">
        <v>271</v>
      </c>
      <c r="EK101" s="113" t="s">
        <v>271</v>
      </c>
      <c r="EL101" s="113" t="s">
        <v>271</v>
      </c>
      <c r="EM101" s="113" t="s">
        <v>271</v>
      </c>
      <c r="EN101" s="113" t="s">
        <v>271</v>
      </c>
    </row>
    <row r="102" spans="1:144">
      <c r="A102" s="103" t="s">
        <v>2124</v>
      </c>
      <c r="B102" s="113" t="s">
        <v>271</v>
      </c>
      <c r="C102" s="113" t="s">
        <v>271</v>
      </c>
      <c r="D102" s="113" t="s">
        <v>271</v>
      </c>
      <c r="E102" s="113" t="s">
        <v>271</v>
      </c>
      <c r="F102" s="113" t="s">
        <v>271</v>
      </c>
      <c r="G102" s="113" t="s">
        <v>271</v>
      </c>
      <c r="H102" s="113" t="s">
        <v>271</v>
      </c>
      <c r="I102" s="113" t="s">
        <v>271</v>
      </c>
      <c r="J102" s="113" t="s">
        <v>271</v>
      </c>
      <c r="K102" s="113" t="s">
        <v>271</v>
      </c>
      <c r="L102" s="113" t="s">
        <v>271</v>
      </c>
      <c r="M102" s="113" t="s">
        <v>271</v>
      </c>
      <c r="N102" s="113" t="s">
        <v>271</v>
      </c>
      <c r="O102" s="113" t="s">
        <v>271</v>
      </c>
      <c r="P102" s="113" t="s">
        <v>271</v>
      </c>
      <c r="Q102" s="113" t="s">
        <v>271</v>
      </c>
      <c r="R102" s="113" t="s">
        <v>271</v>
      </c>
      <c r="S102" s="113" t="s">
        <v>271</v>
      </c>
      <c r="T102" s="113" t="s">
        <v>271</v>
      </c>
      <c r="U102" s="113" t="s">
        <v>271</v>
      </c>
      <c r="V102" s="113" t="s">
        <v>271</v>
      </c>
      <c r="W102" s="113" t="s">
        <v>271</v>
      </c>
      <c r="X102" s="113" t="s">
        <v>271</v>
      </c>
      <c r="Y102" s="113" t="s">
        <v>271</v>
      </c>
      <c r="Z102" s="113">
        <v>25</v>
      </c>
      <c r="AA102" s="113">
        <v>58</v>
      </c>
      <c r="AB102" s="113" t="s">
        <v>271</v>
      </c>
      <c r="AC102" s="113" t="s">
        <v>271</v>
      </c>
      <c r="AD102" s="113" t="s">
        <v>271</v>
      </c>
      <c r="AE102" s="113" t="s">
        <v>271</v>
      </c>
      <c r="AG102" s="103"/>
      <c r="AH102" s="113"/>
      <c r="AI102" s="113"/>
      <c r="AJ102" s="113"/>
      <c r="AK102" s="113"/>
      <c r="AL102" s="113"/>
      <c r="AM102" s="113"/>
      <c r="AN102" s="113"/>
      <c r="AO102" s="113"/>
      <c r="AP102" s="113"/>
      <c r="AQ102" s="113"/>
      <c r="AR102" s="113"/>
      <c r="AS102" s="113"/>
      <c r="AT102" s="113"/>
      <c r="AU102" s="113"/>
      <c r="AV102" s="113"/>
      <c r="AW102" s="113"/>
      <c r="AX102" s="113"/>
      <c r="AY102" s="113"/>
      <c r="AZ102" s="113"/>
      <c r="BA102" s="113"/>
      <c r="BB102" s="113"/>
      <c r="BC102" s="113"/>
      <c r="BD102" s="113"/>
      <c r="BE102" s="113"/>
      <c r="BF102" s="113"/>
      <c r="BG102" s="113"/>
      <c r="BH102" s="113"/>
      <c r="BI102" s="113"/>
      <c r="BJ102" s="113"/>
      <c r="BK102" s="113"/>
      <c r="BL102" s="113"/>
      <c r="BM102" s="113"/>
      <c r="BN102" s="113"/>
      <c r="BO102" s="113"/>
      <c r="BP102" s="113"/>
      <c r="BQ102" s="113"/>
      <c r="BR102" s="113"/>
      <c r="BS102" s="113"/>
      <c r="BT102" s="113"/>
      <c r="BU102" s="113"/>
      <c r="BV102" s="113"/>
      <c r="BW102" s="113"/>
      <c r="BX102" s="113"/>
      <c r="BY102" s="113"/>
      <c r="BZ102" s="113"/>
      <c r="CA102" s="113"/>
      <c r="CB102" s="113"/>
      <c r="CC102" s="113"/>
      <c r="CD102" s="113"/>
      <c r="CE102" s="113"/>
      <c r="CF102" s="113"/>
      <c r="CG102" s="113"/>
      <c r="CH102" s="113"/>
      <c r="CI102" s="113"/>
      <c r="CJ102" s="113"/>
      <c r="CK102" s="113"/>
      <c r="CL102" s="113"/>
      <c r="CM102" s="113"/>
      <c r="CN102" s="113"/>
      <c r="CO102" s="113"/>
      <c r="CP102" s="113"/>
      <c r="CQ102" s="113"/>
      <c r="CR102" s="113"/>
      <c r="CS102" s="113"/>
      <c r="CT102" s="113"/>
      <c r="CU102" s="113"/>
      <c r="CV102" s="113"/>
      <c r="CW102" s="113"/>
      <c r="CX102" s="113"/>
      <c r="CY102" s="113"/>
      <c r="CZ102" s="113"/>
      <c r="DA102" s="113"/>
      <c r="DB102" s="113"/>
      <c r="DC102" s="113"/>
      <c r="DD102" s="113"/>
      <c r="DE102" s="113"/>
      <c r="DF102" s="113"/>
      <c r="DG102" s="113"/>
      <c r="DH102" s="113"/>
      <c r="DI102" s="113"/>
      <c r="DJ102" s="113"/>
      <c r="DK102" s="113"/>
      <c r="DL102" s="113"/>
      <c r="DM102" s="113"/>
      <c r="DN102" s="113"/>
      <c r="DO102" s="113"/>
      <c r="DP102" s="113"/>
      <c r="DQ102" s="113"/>
      <c r="DR102" s="113"/>
      <c r="DS102" s="113"/>
      <c r="DT102" s="113"/>
      <c r="DU102" s="113"/>
      <c r="DV102" s="113"/>
      <c r="DW102" s="113"/>
      <c r="DX102" s="113"/>
      <c r="DY102" s="113"/>
      <c r="DZ102" s="113"/>
      <c r="EA102" s="113"/>
      <c r="EB102" s="113"/>
      <c r="EC102" s="113"/>
      <c r="ED102" s="113"/>
      <c r="EE102" s="113"/>
      <c r="EF102" s="113"/>
      <c r="EG102" s="113"/>
      <c r="EH102" s="113"/>
      <c r="EI102" s="113"/>
      <c r="EJ102" s="113"/>
      <c r="EK102" s="113"/>
      <c r="EL102" s="113"/>
      <c r="EM102" s="113"/>
      <c r="EN102" s="113"/>
    </row>
    <row r="103" spans="1:144">
      <c r="A103" s="103" t="s">
        <v>2125</v>
      </c>
      <c r="B103" s="113" t="s">
        <v>271</v>
      </c>
      <c r="C103" s="113" t="s">
        <v>271</v>
      </c>
      <c r="D103" s="113" t="s">
        <v>271</v>
      </c>
      <c r="E103" s="113" t="s">
        <v>271</v>
      </c>
      <c r="F103" s="113" t="s">
        <v>271</v>
      </c>
      <c r="G103" s="113" t="s">
        <v>271</v>
      </c>
      <c r="H103" s="113" t="s">
        <v>271</v>
      </c>
      <c r="I103" s="113" t="s">
        <v>271</v>
      </c>
      <c r="J103" s="113" t="s">
        <v>271</v>
      </c>
      <c r="K103" s="113" t="s">
        <v>271</v>
      </c>
      <c r="L103" s="113" t="s">
        <v>271</v>
      </c>
      <c r="M103" s="113" t="s">
        <v>271</v>
      </c>
      <c r="N103" s="113" t="s">
        <v>271</v>
      </c>
      <c r="O103" s="113" t="s">
        <v>271</v>
      </c>
      <c r="P103" s="113" t="s">
        <v>271</v>
      </c>
      <c r="Q103" s="113" t="s">
        <v>271</v>
      </c>
      <c r="R103" s="113" t="s">
        <v>271</v>
      </c>
      <c r="S103" s="113" t="s">
        <v>271</v>
      </c>
      <c r="T103" s="113" t="s">
        <v>271</v>
      </c>
      <c r="U103" s="113" t="s">
        <v>271</v>
      </c>
      <c r="V103" s="113" t="s">
        <v>271</v>
      </c>
      <c r="W103" s="113" t="s">
        <v>271</v>
      </c>
      <c r="X103" s="113" t="s">
        <v>271</v>
      </c>
      <c r="Y103" s="113" t="s">
        <v>271</v>
      </c>
      <c r="Z103" s="113" t="s">
        <v>271</v>
      </c>
      <c r="AA103" s="113">
        <v>28</v>
      </c>
      <c r="AB103" s="113">
        <v>68</v>
      </c>
      <c r="AC103" s="113">
        <v>175</v>
      </c>
      <c r="AD103" s="113">
        <v>247</v>
      </c>
      <c r="AE103" s="113" t="s">
        <v>271</v>
      </c>
      <c r="AG103" s="103" t="s">
        <v>2125</v>
      </c>
      <c r="AH103" s="113" t="s">
        <v>271</v>
      </c>
      <c r="AI103" s="113" t="s">
        <v>271</v>
      </c>
      <c r="AJ103" s="113" t="s">
        <v>271</v>
      </c>
      <c r="AK103" s="113" t="s">
        <v>271</v>
      </c>
      <c r="AL103" s="113" t="s">
        <v>271</v>
      </c>
      <c r="AM103" s="113" t="s">
        <v>271</v>
      </c>
      <c r="AN103" s="113" t="s">
        <v>271</v>
      </c>
      <c r="AO103" s="113" t="s">
        <v>271</v>
      </c>
      <c r="AP103" s="113" t="s">
        <v>271</v>
      </c>
      <c r="AQ103" s="113" t="s">
        <v>271</v>
      </c>
      <c r="AR103" s="113" t="s">
        <v>271</v>
      </c>
      <c r="AS103" s="113" t="s">
        <v>271</v>
      </c>
      <c r="AT103" s="113" t="s">
        <v>271</v>
      </c>
      <c r="AU103" s="113" t="s">
        <v>271</v>
      </c>
      <c r="AV103" s="113" t="s">
        <v>271</v>
      </c>
      <c r="AW103" s="113" t="s">
        <v>271</v>
      </c>
      <c r="AX103" s="113" t="s">
        <v>271</v>
      </c>
      <c r="AY103" s="113" t="s">
        <v>271</v>
      </c>
      <c r="AZ103" s="113" t="s">
        <v>271</v>
      </c>
      <c r="BA103" s="113" t="s">
        <v>271</v>
      </c>
      <c r="BB103" s="113" t="s">
        <v>271</v>
      </c>
      <c r="BC103" s="113" t="s">
        <v>271</v>
      </c>
      <c r="BD103" s="113" t="s">
        <v>271</v>
      </c>
      <c r="BE103" s="113" t="s">
        <v>271</v>
      </c>
      <c r="BF103" s="113" t="s">
        <v>271</v>
      </c>
      <c r="BG103" s="113" t="s">
        <v>271</v>
      </c>
      <c r="BH103" s="113" t="s">
        <v>271</v>
      </c>
      <c r="BI103" s="113" t="s">
        <v>271</v>
      </c>
      <c r="BJ103" s="113" t="s">
        <v>271</v>
      </c>
      <c r="BK103" s="113" t="s">
        <v>271</v>
      </c>
      <c r="BL103" s="113" t="s">
        <v>271</v>
      </c>
      <c r="BM103" s="113" t="s">
        <v>271</v>
      </c>
      <c r="BN103" s="113" t="s">
        <v>271</v>
      </c>
      <c r="BO103" s="113" t="s">
        <v>271</v>
      </c>
      <c r="BP103" s="113" t="s">
        <v>271</v>
      </c>
      <c r="BQ103" s="113" t="s">
        <v>271</v>
      </c>
      <c r="BR103" s="113" t="s">
        <v>271</v>
      </c>
      <c r="BS103" s="113" t="s">
        <v>271</v>
      </c>
      <c r="BT103" s="113" t="s">
        <v>271</v>
      </c>
      <c r="BU103" s="113" t="s">
        <v>271</v>
      </c>
      <c r="BV103" s="113" t="s">
        <v>271</v>
      </c>
      <c r="BW103" s="113" t="s">
        <v>271</v>
      </c>
      <c r="BX103" s="113" t="s">
        <v>271</v>
      </c>
      <c r="BY103" s="113" t="s">
        <v>271</v>
      </c>
      <c r="BZ103" s="113" t="s">
        <v>271</v>
      </c>
      <c r="CA103" s="113" t="s">
        <v>271</v>
      </c>
      <c r="CB103" s="113" t="s">
        <v>271</v>
      </c>
      <c r="CC103" s="113" t="s">
        <v>271</v>
      </c>
      <c r="CD103" s="113" t="s">
        <v>271</v>
      </c>
      <c r="CE103" s="113" t="s">
        <v>271</v>
      </c>
      <c r="CF103" s="113" t="s">
        <v>271</v>
      </c>
      <c r="CG103" s="113" t="s">
        <v>271</v>
      </c>
      <c r="CH103" s="113" t="s">
        <v>271</v>
      </c>
      <c r="CI103" s="113" t="s">
        <v>271</v>
      </c>
      <c r="CJ103" s="113" t="s">
        <v>271</v>
      </c>
      <c r="CK103" s="113" t="s">
        <v>271</v>
      </c>
      <c r="CL103" s="113" t="s">
        <v>271</v>
      </c>
      <c r="CM103" s="113" t="s">
        <v>271</v>
      </c>
      <c r="CN103" s="113" t="s">
        <v>271</v>
      </c>
      <c r="CO103" s="113" t="s">
        <v>271</v>
      </c>
      <c r="CP103" s="113" t="s">
        <v>271</v>
      </c>
      <c r="CQ103" s="113" t="s">
        <v>271</v>
      </c>
      <c r="CR103" s="113" t="s">
        <v>271</v>
      </c>
      <c r="CS103" s="113" t="s">
        <v>271</v>
      </c>
      <c r="CT103" s="113" t="s">
        <v>271</v>
      </c>
      <c r="CU103" s="113" t="s">
        <v>271</v>
      </c>
      <c r="CV103" s="113" t="s">
        <v>271</v>
      </c>
      <c r="CW103" s="113" t="s">
        <v>271</v>
      </c>
      <c r="CX103" s="113" t="s">
        <v>271</v>
      </c>
      <c r="CY103" s="113" t="s">
        <v>271</v>
      </c>
      <c r="CZ103" s="113" t="s">
        <v>271</v>
      </c>
      <c r="DA103" s="113" t="s">
        <v>271</v>
      </c>
      <c r="DB103" s="113" t="s">
        <v>271</v>
      </c>
      <c r="DC103" s="113" t="s">
        <v>271</v>
      </c>
      <c r="DD103" s="113" t="s">
        <v>271</v>
      </c>
      <c r="DE103" s="113" t="s">
        <v>271</v>
      </c>
      <c r="DF103" s="113" t="s">
        <v>271</v>
      </c>
      <c r="DG103" s="113" t="s">
        <v>271</v>
      </c>
      <c r="DH103" s="113" t="s">
        <v>271</v>
      </c>
      <c r="DI103" s="113" t="s">
        <v>271</v>
      </c>
      <c r="DJ103" s="113" t="s">
        <v>271</v>
      </c>
      <c r="DK103" s="113" t="s">
        <v>271</v>
      </c>
      <c r="DL103" s="113" t="s">
        <v>271</v>
      </c>
      <c r="DM103" s="113" t="s">
        <v>271</v>
      </c>
      <c r="DN103" s="113" t="s">
        <v>271</v>
      </c>
      <c r="DO103" s="113" t="s">
        <v>271</v>
      </c>
      <c r="DP103" s="113" t="s">
        <v>271</v>
      </c>
      <c r="DQ103" s="113" t="s">
        <v>271</v>
      </c>
      <c r="DR103" s="113" t="s">
        <v>271</v>
      </c>
      <c r="DS103" s="113" t="s">
        <v>271</v>
      </c>
      <c r="DT103" s="113" t="s">
        <v>271</v>
      </c>
      <c r="DU103" s="113" t="s">
        <v>271</v>
      </c>
      <c r="DV103" s="113" t="s">
        <v>271</v>
      </c>
      <c r="DW103" s="113" t="s">
        <v>271</v>
      </c>
      <c r="DX103" s="113" t="s">
        <v>271</v>
      </c>
      <c r="DY103" s="113" t="s">
        <v>271</v>
      </c>
      <c r="DZ103" s="113" t="s">
        <v>271</v>
      </c>
      <c r="EA103" s="113">
        <v>15</v>
      </c>
      <c r="EB103" s="113">
        <v>19</v>
      </c>
      <c r="EC103" s="113" t="s">
        <v>271</v>
      </c>
      <c r="ED103" s="113">
        <v>30</v>
      </c>
      <c r="EE103" s="113">
        <v>44</v>
      </c>
      <c r="EF103" s="113">
        <v>47</v>
      </c>
      <c r="EG103" s="113" t="s">
        <v>271</v>
      </c>
      <c r="EH103" s="113">
        <v>55</v>
      </c>
      <c r="EI103" s="113">
        <v>59</v>
      </c>
      <c r="EJ103" s="113">
        <v>65</v>
      </c>
      <c r="EK103" s="113" t="s">
        <v>271</v>
      </c>
      <c r="EL103" s="113">
        <v>78</v>
      </c>
      <c r="EM103" s="113">
        <v>84</v>
      </c>
      <c r="EN103" s="113">
        <v>87</v>
      </c>
    </row>
    <row r="104" spans="1:144">
      <c r="A104" s="103" t="s">
        <v>2126</v>
      </c>
      <c r="B104" s="122">
        <v>34243</v>
      </c>
      <c r="C104" s="122">
        <v>34604</v>
      </c>
      <c r="D104" s="122">
        <v>34967</v>
      </c>
      <c r="E104" s="122">
        <v>35335</v>
      </c>
      <c r="F104" s="122">
        <v>35702</v>
      </c>
      <c r="G104" s="122">
        <v>36063</v>
      </c>
      <c r="H104" s="122">
        <v>36431</v>
      </c>
      <c r="I104" s="122">
        <v>36797</v>
      </c>
      <c r="J104" s="122">
        <v>37152</v>
      </c>
      <c r="K104" s="122">
        <v>37505</v>
      </c>
      <c r="L104" s="122">
        <v>37869</v>
      </c>
      <c r="M104" s="122">
        <v>38231</v>
      </c>
      <c r="N104" s="122">
        <v>38590</v>
      </c>
      <c r="O104" s="122">
        <v>38954</v>
      </c>
      <c r="P104" s="122">
        <v>39297</v>
      </c>
      <c r="Q104" s="122">
        <v>39660</v>
      </c>
      <c r="R104" s="122">
        <v>40024</v>
      </c>
      <c r="S104" s="122">
        <v>40389</v>
      </c>
      <c r="T104" s="122">
        <v>40752</v>
      </c>
      <c r="U104" s="122">
        <v>41116</v>
      </c>
      <c r="V104" s="122">
        <v>41485</v>
      </c>
      <c r="W104" s="122">
        <v>41851</v>
      </c>
      <c r="X104" s="122">
        <v>42216</v>
      </c>
      <c r="Y104" s="122">
        <v>42579</v>
      </c>
      <c r="Z104" s="122">
        <v>42949</v>
      </c>
      <c r="AA104" s="122">
        <v>43315</v>
      </c>
      <c r="AB104" s="122">
        <v>43678</v>
      </c>
      <c r="AC104" s="122">
        <v>43678</v>
      </c>
      <c r="AD104" s="122">
        <v>43678</v>
      </c>
      <c r="AE104" s="122">
        <v>43950</v>
      </c>
      <c r="AG104" s="103" t="s">
        <v>2126</v>
      </c>
      <c r="AH104" s="122">
        <v>34379</v>
      </c>
      <c r="AI104" s="122">
        <v>34379</v>
      </c>
      <c r="AJ104" s="122">
        <v>34457</v>
      </c>
      <c r="AK104" s="122">
        <v>34604</v>
      </c>
      <c r="AL104" s="122">
        <v>34654</v>
      </c>
      <c r="AM104" s="122">
        <v>34744</v>
      </c>
      <c r="AN104" s="122">
        <v>34831</v>
      </c>
      <c r="AO104" s="122">
        <v>34967</v>
      </c>
      <c r="AP104" s="122">
        <v>35017</v>
      </c>
      <c r="AQ104" s="122">
        <v>35108</v>
      </c>
      <c r="AR104" s="122">
        <v>35200</v>
      </c>
      <c r="AS104" s="122">
        <v>35335</v>
      </c>
      <c r="AT104" s="122">
        <v>35383</v>
      </c>
      <c r="AU104" s="122">
        <v>35475</v>
      </c>
      <c r="AV104" s="122">
        <v>35565</v>
      </c>
      <c r="AW104" s="122">
        <v>35702</v>
      </c>
      <c r="AX104" s="122">
        <v>35732</v>
      </c>
      <c r="AY104" s="122">
        <v>35949</v>
      </c>
      <c r="AZ104" s="122">
        <v>35930</v>
      </c>
      <c r="BA104" s="122">
        <v>36063</v>
      </c>
      <c r="BB104" s="122">
        <v>36111</v>
      </c>
      <c r="BC104" s="122">
        <v>36203</v>
      </c>
      <c r="BD104" s="122">
        <v>36294</v>
      </c>
      <c r="BE104" s="122">
        <v>36431</v>
      </c>
      <c r="BF104" s="122">
        <v>36469</v>
      </c>
      <c r="BG104" s="122">
        <v>36567</v>
      </c>
      <c r="BH104" s="122">
        <v>36658</v>
      </c>
      <c r="BI104" s="122">
        <v>36797</v>
      </c>
      <c r="BJ104" s="122">
        <v>36844</v>
      </c>
      <c r="BK104" s="122">
        <v>36936</v>
      </c>
      <c r="BL104" s="122">
        <v>37026</v>
      </c>
      <c r="BM104" s="122">
        <v>37152</v>
      </c>
      <c r="BN104" s="122">
        <v>37340</v>
      </c>
      <c r="BO104" s="122">
        <v>37340</v>
      </c>
      <c r="BP104" s="122">
        <v>37376</v>
      </c>
      <c r="BQ104" s="122">
        <v>37505</v>
      </c>
      <c r="BR104" s="122">
        <v>37574</v>
      </c>
      <c r="BS104" s="122">
        <v>37652</v>
      </c>
      <c r="BT104" s="122">
        <v>37753</v>
      </c>
      <c r="BU104" s="122">
        <v>37869</v>
      </c>
      <c r="BV104" s="122">
        <v>37938</v>
      </c>
      <c r="BW104" s="122">
        <v>38023</v>
      </c>
      <c r="BX104" s="122">
        <v>38110</v>
      </c>
      <c r="BY104" s="122">
        <v>38231</v>
      </c>
      <c r="BZ104" s="122">
        <v>38300</v>
      </c>
      <c r="CA104" s="122">
        <v>38379</v>
      </c>
      <c r="CB104" s="122">
        <v>38470</v>
      </c>
      <c r="CC104" s="122">
        <v>38590</v>
      </c>
      <c r="CD104" s="122">
        <v>38652</v>
      </c>
      <c r="CE104" s="122">
        <v>38743</v>
      </c>
      <c r="CF104" s="122">
        <v>38834</v>
      </c>
      <c r="CG104" s="122">
        <v>38954</v>
      </c>
      <c r="CH104" s="122">
        <v>39016</v>
      </c>
      <c r="CI104" s="122">
        <v>39107</v>
      </c>
      <c r="CJ104" s="122">
        <v>39198</v>
      </c>
      <c r="CK104" s="122">
        <v>39297</v>
      </c>
      <c r="CL104" s="122">
        <v>39380</v>
      </c>
      <c r="CM104" s="122">
        <v>39471</v>
      </c>
      <c r="CN104" s="122">
        <v>39562</v>
      </c>
      <c r="CO104" s="122">
        <v>39660</v>
      </c>
      <c r="CP104" s="122">
        <v>39744</v>
      </c>
      <c r="CQ104" s="122">
        <v>39835</v>
      </c>
      <c r="CR104" s="122">
        <v>39926</v>
      </c>
      <c r="CS104" s="122">
        <v>40024</v>
      </c>
      <c r="CT104" s="122">
        <v>40109</v>
      </c>
      <c r="CU104" s="122">
        <v>40206</v>
      </c>
      <c r="CV104" s="122">
        <v>40290</v>
      </c>
      <c r="CW104" s="122">
        <v>40389</v>
      </c>
      <c r="CX104" s="122">
        <v>40479</v>
      </c>
      <c r="CY104" s="122">
        <v>40570</v>
      </c>
      <c r="CZ104" s="122">
        <v>40661</v>
      </c>
      <c r="DA104" s="122">
        <v>40752</v>
      </c>
      <c r="DB104" s="122">
        <v>40836</v>
      </c>
      <c r="DC104" s="122">
        <v>40927</v>
      </c>
      <c r="DD104" s="122">
        <v>41089</v>
      </c>
      <c r="DE104" s="122">
        <v>41116</v>
      </c>
      <c r="DF104" s="122">
        <v>41200</v>
      </c>
      <c r="DG104" s="122">
        <v>41298</v>
      </c>
      <c r="DH104" s="122">
        <v>41382</v>
      </c>
      <c r="DI104" s="122">
        <v>41485</v>
      </c>
      <c r="DJ104" s="122">
        <v>41571</v>
      </c>
      <c r="DK104" s="122">
        <v>41662</v>
      </c>
      <c r="DL104" s="122">
        <v>41753</v>
      </c>
      <c r="DM104" s="122">
        <v>41851</v>
      </c>
      <c r="DN104" s="122">
        <v>41935</v>
      </c>
      <c r="DO104" s="122">
        <v>42030</v>
      </c>
      <c r="DP104" s="122">
        <v>42117</v>
      </c>
      <c r="DQ104" s="122">
        <v>42216</v>
      </c>
      <c r="DR104" s="122">
        <v>42299</v>
      </c>
      <c r="DS104" s="122">
        <v>42397</v>
      </c>
      <c r="DT104" s="122">
        <v>42481</v>
      </c>
      <c r="DU104" s="122">
        <v>42579</v>
      </c>
      <c r="DV104" s="122">
        <v>42663</v>
      </c>
      <c r="DW104" s="122">
        <v>42761</v>
      </c>
      <c r="DX104" s="122">
        <v>42852</v>
      </c>
      <c r="DY104" s="122">
        <v>42949</v>
      </c>
      <c r="DZ104" s="122">
        <v>43034</v>
      </c>
      <c r="EA104" s="122">
        <v>43131</v>
      </c>
      <c r="EB104" s="122">
        <v>43216</v>
      </c>
      <c r="EC104" s="122">
        <v>43315</v>
      </c>
      <c r="ED104" s="122">
        <v>43397</v>
      </c>
      <c r="EE104" s="122">
        <v>43495</v>
      </c>
      <c r="EF104" s="122">
        <v>43579</v>
      </c>
      <c r="EG104" s="122">
        <v>43678</v>
      </c>
      <c r="EH104" s="122">
        <v>43761</v>
      </c>
      <c r="EI104" s="122">
        <v>43859</v>
      </c>
      <c r="EJ104" s="122">
        <v>43950</v>
      </c>
      <c r="EK104" s="122">
        <v>43678</v>
      </c>
      <c r="EL104" s="122">
        <v>43761</v>
      </c>
      <c r="EM104" s="122">
        <v>43859</v>
      </c>
      <c r="EN104" s="122">
        <v>43950</v>
      </c>
    </row>
    <row r="105" spans="1:144">
      <c r="A105" s="103" t="s">
        <v>2127</v>
      </c>
      <c r="B105" s="119" t="s">
        <v>2128</v>
      </c>
      <c r="C105" s="119" t="s">
        <v>2128</v>
      </c>
      <c r="D105" s="119" t="s">
        <v>2129</v>
      </c>
      <c r="E105" s="119" t="s">
        <v>2129</v>
      </c>
      <c r="F105" s="119" t="s">
        <v>2129</v>
      </c>
      <c r="G105" s="119" t="s">
        <v>2130</v>
      </c>
      <c r="H105" s="119" t="s">
        <v>2130</v>
      </c>
      <c r="I105" s="119" t="s">
        <v>2130</v>
      </c>
      <c r="J105" s="119" t="s">
        <v>2130</v>
      </c>
      <c r="K105" s="119" t="s">
        <v>2130</v>
      </c>
      <c r="L105" s="119" t="s">
        <v>2129</v>
      </c>
      <c r="M105" s="119" t="s">
        <v>2128</v>
      </c>
      <c r="N105" s="119" t="s">
        <v>2128</v>
      </c>
      <c r="O105" s="119" t="s">
        <v>2130</v>
      </c>
      <c r="P105" s="119" t="s">
        <v>2130</v>
      </c>
      <c r="Q105" s="119" t="s">
        <v>2130</v>
      </c>
      <c r="R105" s="119" t="s">
        <v>2130</v>
      </c>
      <c r="S105" s="119" t="s">
        <v>2130</v>
      </c>
      <c r="T105" s="119" t="s">
        <v>2130</v>
      </c>
      <c r="U105" s="119" t="s">
        <v>2130</v>
      </c>
      <c r="V105" s="119" t="s">
        <v>2129</v>
      </c>
      <c r="W105" s="119" t="s">
        <v>2129</v>
      </c>
      <c r="X105" s="119" t="s">
        <v>2130</v>
      </c>
      <c r="Y105" s="119" t="s">
        <v>2130</v>
      </c>
      <c r="Z105" s="119" t="s">
        <v>2129</v>
      </c>
      <c r="AA105" s="119" t="s">
        <v>2128</v>
      </c>
      <c r="AB105" s="119" t="s">
        <v>2128</v>
      </c>
      <c r="AC105" s="119" t="s">
        <v>2129</v>
      </c>
      <c r="AD105" s="119" t="s">
        <v>2131</v>
      </c>
      <c r="AE105" s="119" t="s">
        <v>2131</v>
      </c>
      <c r="AG105" s="103" t="s">
        <v>2127</v>
      </c>
      <c r="AH105" s="119" t="s">
        <v>2131</v>
      </c>
      <c r="AI105" s="119" t="s">
        <v>2131</v>
      </c>
      <c r="AJ105" s="119" t="s">
        <v>2131</v>
      </c>
      <c r="AK105" s="119" t="s">
        <v>2131</v>
      </c>
      <c r="AL105" s="119" t="s">
        <v>2132</v>
      </c>
      <c r="AM105" s="119" t="s">
        <v>2129</v>
      </c>
      <c r="AN105" s="119" t="s">
        <v>2129</v>
      </c>
      <c r="AO105" s="119" t="s">
        <v>2129</v>
      </c>
      <c r="AP105" s="119" t="s">
        <v>2129</v>
      </c>
      <c r="AQ105" s="119" t="s">
        <v>2129</v>
      </c>
      <c r="AR105" s="119" t="s">
        <v>2129</v>
      </c>
      <c r="AS105" s="119" t="s">
        <v>2129</v>
      </c>
      <c r="AT105" s="119" t="s">
        <v>2129</v>
      </c>
      <c r="AU105" s="119" t="s">
        <v>2129</v>
      </c>
      <c r="AV105" s="119" t="s">
        <v>2129</v>
      </c>
      <c r="AW105" s="119" t="s">
        <v>2129</v>
      </c>
      <c r="AX105" s="119" t="s">
        <v>2129</v>
      </c>
      <c r="AY105" s="119" t="s">
        <v>2132</v>
      </c>
      <c r="AZ105" s="119" t="s">
        <v>2129</v>
      </c>
      <c r="BA105" s="119" t="s">
        <v>2130</v>
      </c>
      <c r="BB105" s="119" t="s">
        <v>2130</v>
      </c>
      <c r="BC105" s="119" t="s">
        <v>2130</v>
      </c>
      <c r="BD105" s="119" t="s">
        <v>2130</v>
      </c>
      <c r="BE105" s="119" t="s">
        <v>2130</v>
      </c>
      <c r="BF105" s="119" t="s">
        <v>2130</v>
      </c>
      <c r="BG105" s="119" t="s">
        <v>2130</v>
      </c>
      <c r="BH105" s="119" t="s">
        <v>2130</v>
      </c>
      <c r="BI105" s="119" t="s">
        <v>2130</v>
      </c>
      <c r="BJ105" s="119" t="s">
        <v>2130</v>
      </c>
      <c r="BK105" s="119" t="s">
        <v>2130</v>
      </c>
      <c r="BL105" s="119" t="s">
        <v>2130</v>
      </c>
      <c r="BM105" s="119" t="s">
        <v>2130</v>
      </c>
      <c r="BN105" s="119" t="s">
        <v>2133</v>
      </c>
      <c r="BO105" s="119" t="s">
        <v>2133</v>
      </c>
      <c r="BP105" s="119" t="s">
        <v>2130</v>
      </c>
      <c r="BQ105" s="119" t="s">
        <v>2130</v>
      </c>
      <c r="BR105" s="119" t="s">
        <v>2129</v>
      </c>
      <c r="BS105" s="119" t="s">
        <v>2129</v>
      </c>
      <c r="BT105" s="119" t="s">
        <v>2129</v>
      </c>
      <c r="BU105" s="119" t="s">
        <v>2129</v>
      </c>
      <c r="BV105" s="119" t="s">
        <v>2128</v>
      </c>
      <c r="BW105" s="119" t="s">
        <v>2128</v>
      </c>
      <c r="BX105" s="119" t="s">
        <v>2128</v>
      </c>
      <c r="BY105" s="119" t="s">
        <v>2128</v>
      </c>
      <c r="BZ105" s="119" t="s">
        <v>2129</v>
      </c>
      <c r="CA105" s="119" t="s">
        <v>2129</v>
      </c>
      <c r="CB105" s="119" t="s">
        <v>2129</v>
      </c>
      <c r="CC105" s="119" t="s">
        <v>2129</v>
      </c>
      <c r="CD105" s="119" t="s">
        <v>2130</v>
      </c>
      <c r="CE105" s="119" t="s">
        <v>2130</v>
      </c>
      <c r="CF105" s="119" t="s">
        <v>2130</v>
      </c>
      <c r="CG105" s="119" t="s">
        <v>2130</v>
      </c>
      <c r="CH105" s="119" t="s">
        <v>2130</v>
      </c>
      <c r="CI105" s="119" t="s">
        <v>2130</v>
      </c>
      <c r="CJ105" s="119" t="s">
        <v>2129</v>
      </c>
      <c r="CK105" s="119" t="s">
        <v>2129</v>
      </c>
      <c r="CL105" s="119" t="s">
        <v>2129</v>
      </c>
      <c r="CM105" s="119" t="s">
        <v>2129</v>
      </c>
      <c r="CN105" s="119" t="s">
        <v>2129</v>
      </c>
      <c r="CO105" s="119" t="s">
        <v>2129</v>
      </c>
      <c r="CP105" s="119" t="s">
        <v>2130</v>
      </c>
      <c r="CQ105" s="119" t="s">
        <v>2130</v>
      </c>
      <c r="CR105" s="119" t="s">
        <v>2130</v>
      </c>
      <c r="CS105" s="119" t="s">
        <v>2130</v>
      </c>
      <c r="CT105" s="119" t="s">
        <v>2129</v>
      </c>
      <c r="CU105" s="119" t="s">
        <v>2129</v>
      </c>
      <c r="CV105" s="119" t="s">
        <v>2129</v>
      </c>
      <c r="CW105" s="119" t="s">
        <v>2129</v>
      </c>
      <c r="CX105" s="119" t="s">
        <v>2129</v>
      </c>
      <c r="CY105" s="119" t="s">
        <v>2130</v>
      </c>
      <c r="CZ105" s="119" t="s">
        <v>2130</v>
      </c>
      <c r="DA105" s="119" t="s">
        <v>2130</v>
      </c>
      <c r="DB105" s="119" t="s">
        <v>2129</v>
      </c>
      <c r="DC105" s="119" t="s">
        <v>2129</v>
      </c>
      <c r="DD105" s="119" t="s">
        <v>2132</v>
      </c>
      <c r="DE105" s="119" t="s">
        <v>2129</v>
      </c>
      <c r="DF105" s="119" t="s">
        <v>2129</v>
      </c>
      <c r="DG105" s="119" t="s">
        <v>2129</v>
      </c>
      <c r="DH105" s="119" t="s">
        <v>2129</v>
      </c>
      <c r="DI105" s="119" t="s">
        <v>2129</v>
      </c>
      <c r="DJ105" s="119" t="s">
        <v>2129</v>
      </c>
      <c r="DK105" s="119" t="s">
        <v>2129</v>
      </c>
      <c r="DL105" s="119" t="s">
        <v>2129</v>
      </c>
      <c r="DM105" s="119" t="s">
        <v>2129</v>
      </c>
      <c r="DN105" s="119" t="s">
        <v>2130</v>
      </c>
      <c r="DO105" s="119" t="s">
        <v>2130</v>
      </c>
      <c r="DP105" s="119" t="s">
        <v>2130</v>
      </c>
      <c r="DQ105" s="119" t="s">
        <v>2130</v>
      </c>
      <c r="DR105" s="119" t="s">
        <v>2129</v>
      </c>
      <c r="DS105" s="119" t="s">
        <v>2129</v>
      </c>
      <c r="DT105" s="119" t="s">
        <v>2129</v>
      </c>
      <c r="DU105" s="119" t="s">
        <v>2129</v>
      </c>
      <c r="DV105" s="119" t="s">
        <v>2128</v>
      </c>
      <c r="DW105" s="119" t="s">
        <v>2128</v>
      </c>
      <c r="DX105" s="119" t="s">
        <v>2129</v>
      </c>
      <c r="DY105" s="119" t="s">
        <v>2129</v>
      </c>
      <c r="DZ105" s="119" t="s">
        <v>2128</v>
      </c>
      <c r="EA105" s="119" t="s">
        <v>2128</v>
      </c>
      <c r="EB105" s="119" t="s">
        <v>2128</v>
      </c>
      <c r="EC105" s="119" t="s">
        <v>2128</v>
      </c>
      <c r="ED105" s="119" t="s">
        <v>2129</v>
      </c>
      <c r="EE105" s="119" t="s">
        <v>2129</v>
      </c>
      <c r="EF105" s="119" t="s">
        <v>2129</v>
      </c>
      <c r="EG105" s="119" t="s">
        <v>2129</v>
      </c>
      <c r="EH105" s="119" t="s">
        <v>2129</v>
      </c>
      <c r="EI105" s="119" t="s">
        <v>2129</v>
      </c>
      <c r="EJ105" s="119" t="s">
        <v>2129</v>
      </c>
      <c r="EK105" s="119" t="s">
        <v>2131</v>
      </c>
      <c r="EL105" s="119" t="s">
        <v>2131</v>
      </c>
      <c r="EM105" s="119" t="s">
        <v>2131</v>
      </c>
      <c r="EN105" s="119" t="s">
        <v>2131</v>
      </c>
    </row>
    <row r="106" spans="1:144">
      <c r="A106" s="103" t="s">
        <v>2134</v>
      </c>
      <c r="B106" s="119" t="s">
        <v>2135</v>
      </c>
      <c r="C106" s="119" t="s">
        <v>2135</v>
      </c>
      <c r="D106" s="119" t="s">
        <v>2135</v>
      </c>
      <c r="E106" s="119" t="s">
        <v>2135</v>
      </c>
      <c r="F106" s="119" t="s">
        <v>2135</v>
      </c>
      <c r="G106" s="119" t="s">
        <v>2135</v>
      </c>
      <c r="H106" s="119" t="s">
        <v>2135</v>
      </c>
      <c r="I106" s="119" t="s">
        <v>2135</v>
      </c>
      <c r="J106" s="119" t="s">
        <v>2135</v>
      </c>
      <c r="K106" s="119" t="s">
        <v>2135</v>
      </c>
      <c r="L106" s="119" t="s">
        <v>2135</v>
      </c>
      <c r="M106" s="119" t="s">
        <v>2135</v>
      </c>
      <c r="N106" s="119" t="s">
        <v>2135</v>
      </c>
      <c r="O106" s="119" t="s">
        <v>2135</v>
      </c>
      <c r="P106" s="119" t="s">
        <v>2135</v>
      </c>
      <c r="Q106" s="119" t="s">
        <v>2135</v>
      </c>
      <c r="R106" s="119" t="s">
        <v>2135</v>
      </c>
      <c r="S106" s="119" t="s">
        <v>2135</v>
      </c>
      <c r="T106" s="119" t="s">
        <v>2135</v>
      </c>
      <c r="U106" s="119" t="s">
        <v>2135</v>
      </c>
      <c r="V106" s="119" t="s">
        <v>2135</v>
      </c>
      <c r="W106" s="119" t="s">
        <v>2135</v>
      </c>
      <c r="X106" s="119" t="s">
        <v>2135</v>
      </c>
      <c r="Y106" s="119" t="s">
        <v>2135</v>
      </c>
      <c r="Z106" s="119" t="s">
        <v>2135</v>
      </c>
      <c r="AA106" s="119" t="s">
        <v>2135</v>
      </c>
      <c r="AB106" s="119" t="s">
        <v>2135</v>
      </c>
      <c r="AC106" s="119" t="s">
        <v>2135</v>
      </c>
      <c r="AD106" s="119" t="s">
        <v>2135</v>
      </c>
      <c r="AE106" s="119" t="s">
        <v>805</v>
      </c>
      <c r="AG106" s="103" t="s">
        <v>2134</v>
      </c>
      <c r="AH106" s="119" t="s">
        <v>2136</v>
      </c>
      <c r="AI106" s="119" t="s">
        <v>2135</v>
      </c>
      <c r="AJ106" s="119" t="s">
        <v>2135</v>
      </c>
      <c r="AK106" s="119" t="s">
        <v>2137</v>
      </c>
      <c r="AL106" s="119" t="s">
        <v>2135</v>
      </c>
      <c r="AM106" s="119" t="s">
        <v>2135</v>
      </c>
      <c r="AN106" s="119" t="s">
        <v>2135</v>
      </c>
      <c r="AO106" s="119" t="s">
        <v>2137</v>
      </c>
      <c r="AP106" s="119" t="s">
        <v>2135</v>
      </c>
      <c r="AQ106" s="119" t="s">
        <v>2135</v>
      </c>
      <c r="AR106" s="119" t="s">
        <v>2135</v>
      </c>
      <c r="AS106" s="119" t="s">
        <v>2137</v>
      </c>
      <c r="AT106" s="119" t="s">
        <v>2135</v>
      </c>
      <c r="AU106" s="119" t="s">
        <v>2135</v>
      </c>
      <c r="AV106" s="119" t="s">
        <v>2135</v>
      </c>
      <c r="AW106" s="119" t="s">
        <v>2137</v>
      </c>
      <c r="AX106" s="119" t="s">
        <v>2135</v>
      </c>
      <c r="AY106" s="119" t="s">
        <v>2135</v>
      </c>
      <c r="AZ106" s="119" t="s">
        <v>2135</v>
      </c>
      <c r="BA106" s="119" t="s">
        <v>2137</v>
      </c>
      <c r="BB106" s="119" t="s">
        <v>2135</v>
      </c>
      <c r="BC106" s="119" t="s">
        <v>2135</v>
      </c>
      <c r="BD106" s="119" t="s">
        <v>2135</v>
      </c>
      <c r="BE106" s="119" t="s">
        <v>2137</v>
      </c>
      <c r="BF106" s="119" t="s">
        <v>2135</v>
      </c>
      <c r="BG106" s="119" t="s">
        <v>2135</v>
      </c>
      <c r="BH106" s="119" t="s">
        <v>2135</v>
      </c>
      <c r="BI106" s="119" t="s">
        <v>2137</v>
      </c>
      <c r="BJ106" s="119" t="s">
        <v>2135</v>
      </c>
      <c r="BK106" s="119" t="s">
        <v>2135</v>
      </c>
      <c r="BL106" s="119" t="s">
        <v>2135</v>
      </c>
      <c r="BM106" s="119" t="s">
        <v>2137</v>
      </c>
      <c r="BN106" s="119" t="s">
        <v>2135</v>
      </c>
      <c r="BO106" s="119" t="s">
        <v>2135</v>
      </c>
      <c r="BP106" s="119" t="s">
        <v>2135</v>
      </c>
      <c r="BQ106" s="119" t="s">
        <v>2137</v>
      </c>
      <c r="BR106" s="119" t="s">
        <v>2135</v>
      </c>
      <c r="BS106" s="119" t="s">
        <v>2135</v>
      </c>
      <c r="BT106" s="119" t="s">
        <v>2135</v>
      </c>
      <c r="BU106" s="119" t="s">
        <v>2137</v>
      </c>
      <c r="BV106" s="119" t="s">
        <v>2135</v>
      </c>
      <c r="BW106" s="119" t="s">
        <v>2135</v>
      </c>
      <c r="BX106" s="119" t="s">
        <v>2135</v>
      </c>
      <c r="BY106" s="119" t="s">
        <v>2137</v>
      </c>
      <c r="BZ106" s="119" t="s">
        <v>2135</v>
      </c>
      <c r="CA106" s="119" t="s">
        <v>2135</v>
      </c>
      <c r="CB106" s="119" t="s">
        <v>2135</v>
      </c>
      <c r="CC106" s="119" t="s">
        <v>2137</v>
      </c>
      <c r="CD106" s="119" t="s">
        <v>2135</v>
      </c>
      <c r="CE106" s="119" t="s">
        <v>2135</v>
      </c>
      <c r="CF106" s="119" t="s">
        <v>2135</v>
      </c>
      <c r="CG106" s="119" t="s">
        <v>2137</v>
      </c>
      <c r="CH106" s="119" t="s">
        <v>2135</v>
      </c>
      <c r="CI106" s="119" t="s">
        <v>2135</v>
      </c>
      <c r="CJ106" s="119" t="s">
        <v>2135</v>
      </c>
      <c r="CK106" s="119" t="s">
        <v>2137</v>
      </c>
      <c r="CL106" s="119" t="s">
        <v>2135</v>
      </c>
      <c r="CM106" s="119" t="s">
        <v>2135</v>
      </c>
      <c r="CN106" s="119" t="s">
        <v>2135</v>
      </c>
      <c r="CO106" s="119" t="s">
        <v>2137</v>
      </c>
      <c r="CP106" s="119" t="s">
        <v>2135</v>
      </c>
      <c r="CQ106" s="119" t="s">
        <v>2135</v>
      </c>
      <c r="CR106" s="119" t="s">
        <v>2135</v>
      </c>
      <c r="CS106" s="119" t="s">
        <v>2137</v>
      </c>
      <c r="CT106" s="119" t="s">
        <v>2135</v>
      </c>
      <c r="CU106" s="119" t="s">
        <v>2135</v>
      </c>
      <c r="CV106" s="119" t="s">
        <v>2135</v>
      </c>
      <c r="CW106" s="119" t="s">
        <v>2137</v>
      </c>
      <c r="CX106" s="119" t="s">
        <v>2135</v>
      </c>
      <c r="CY106" s="119" t="s">
        <v>2135</v>
      </c>
      <c r="CZ106" s="119" t="s">
        <v>2135</v>
      </c>
      <c r="DA106" s="119" t="s">
        <v>2137</v>
      </c>
      <c r="DB106" s="119" t="s">
        <v>2135</v>
      </c>
      <c r="DC106" s="119" t="s">
        <v>2135</v>
      </c>
      <c r="DD106" s="119" t="s">
        <v>2135</v>
      </c>
      <c r="DE106" s="119" t="s">
        <v>2137</v>
      </c>
      <c r="DF106" s="119" t="s">
        <v>2135</v>
      </c>
      <c r="DG106" s="119" t="s">
        <v>2135</v>
      </c>
      <c r="DH106" s="119" t="s">
        <v>2135</v>
      </c>
      <c r="DI106" s="119" t="s">
        <v>2137</v>
      </c>
      <c r="DJ106" s="119" t="s">
        <v>2135</v>
      </c>
      <c r="DK106" s="119" t="s">
        <v>2135</v>
      </c>
      <c r="DL106" s="119" t="s">
        <v>2135</v>
      </c>
      <c r="DM106" s="119" t="s">
        <v>2137</v>
      </c>
      <c r="DN106" s="119" t="s">
        <v>2135</v>
      </c>
      <c r="DO106" s="119" t="s">
        <v>2135</v>
      </c>
      <c r="DP106" s="119" t="s">
        <v>2135</v>
      </c>
      <c r="DQ106" s="119" t="s">
        <v>2137</v>
      </c>
      <c r="DR106" s="119" t="s">
        <v>2135</v>
      </c>
      <c r="DS106" s="119" t="s">
        <v>2135</v>
      </c>
      <c r="DT106" s="119" t="s">
        <v>2135</v>
      </c>
      <c r="DU106" s="119" t="s">
        <v>2137</v>
      </c>
      <c r="DV106" s="119" t="s">
        <v>2135</v>
      </c>
      <c r="DW106" s="119" t="s">
        <v>2135</v>
      </c>
      <c r="DX106" s="119" t="s">
        <v>2135</v>
      </c>
      <c r="DY106" s="119" t="s">
        <v>2137</v>
      </c>
      <c r="DZ106" s="119" t="s">
        <v>2135</v>
      </c>
      <c r="EA106" s="119" t="s">
        <v>2135</v>
      </c>
      <c r="EB106" s="119" t="s">
        <v>2135</v>
      </c>
      <c r="EC106" s="119" t="s">
        <v>2137</v>
      </c>
      <c r="ED106" s="119" t="s">
        <v>2135</v>
      </c>
      <c r="EE106" s="119" t="s">
        <v>2135</v>
      </c>
      <c r="EF106" s="119" t="s">
        <v>2135</v>
      </c>
      <c r="EG106" s="119" t="s">
        <v>2137</v>
      </c>
      <c r="EH106" s="119" t="s">
        <v>2135</v>
      </c>
      <c r="EI106" s="119" t="s">
        <v>2135</v>
      </c>
      <c r="EJ106" s="119" t="s">
        <v>2135</v>
      </c>
      <c r="EK106" s="119" t="s">
        <v>2137</v>
      </c>
      <c r="EL106" s="119" t="s">
        <v>2135</v>
      </c>
      <c r="EM106" s="119" t="s">
        <v>2135</v>
      </c>
      <c r="EN106" s="119" t="s">
        <v>2135</v>
      </c>
    </row>
    <row r="107" spans="1:144">
      <c r="A107" s="103"/>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c r="CR107" s="103"/>
      <c r="CS107" s="103"/>
      <c r="CT107" s="103"/>
      <c r="CU107" s="103"/>
      <c r="CV107" s="103"/>
      <c r="CW107" s="103"/>
      <c r="CX107" s="103"/>
      <c r="CY107" s="103"/>
      <c r="CZ107" s="103"/>
      <c r="DA107" s="103"/>
      <c r="DB107" s="103"/>
      <c r="DC107" s="103"/>
      <c r="DD107" s="103"/>
      <c r="DE107" s="103"/>
      <c r="DF107" s="103"/>
      <c r="DG107" s="103"/>
      <c r="DH107" s="103"/>
      <c r="DI107" s="103"/>
      <c r="DJ107" s="103"/>
      <c r="DK107" s="103"/>
      <c r="DL107" s="103"/>
      <c r="DM107" s="103"/>
      <c r="DN107" s="103"/>
      <c r="DO107" s="103"/>
      <c r="DP107" s="103"/>
      <c r="DQ107" s="103"/>
      <c r="DR107" s="103"/>
      <c r="DS107" s="103"/>
      <c r="DT107" s="103"/>
      <c r="DU107" s="103"/>
      <c r="DV107" s="103"/>
      <c r="DW107" s="103"/>
      <c r="DX107" s="103"/>
      <c r="DY107" s="103"/>
      <c r="DZ107" s="103"/>
      <c r="EA107" s="103"/>
      <c r="EB107" s="103"/>
      <c r="EC107" s="103"/>
      <c r="ED107" s="103"/>
      <c r="EE107" s="103"/>
      <c r="EF107" s="103"/>
      <c r="EG107" s="103"/>
      <c r="EH107" s="103"/>
      <c r="EI107" s="103"/>
      <c r="EJ107" s="103"/>
      <c r="EK107" s="103"/>
      <c r="EL107" s="103"/>
      <c r="EM107" s="103"/>
      <c r="EN107" s="103"/>
    </row>
    <row r="108" spans="1:144" ht="10.5">
      <c r="A108" s="112" t="s">
        <v>2138</v>
      </c>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G108" s="112" t="s">
        <v>2138</v>
      </c>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c r="CR108" s="103"/>
      <c r="CS108" s="103"/>
      <c r="CT108" s="103"/>
      <c r="CU108" s="103"/>
      <c r="CV108" s="103"/>
      <c r="CW108" s="103"/>
      <c r="CX108" s="103"/>
      <c r="CY108" s="103"/>
      <c r="CZ108" s="103"/>
      <c r="DA108" s="103"/>
      <c r="DB108" s="103"/>
      <c r="DC108" s="103"/>
      <c r="DD108" s="103"/>
      <c r="DE108" s="103"/>
      <c r="DF108" s="103"/>
      <c r="DG108" s="103"/>
      <c r="DH108" s="103"/>
      <c r="DI108" s="103"/>
      <c r="DJ108" s="103"/>
      <c r="DK108" s="103"/>
      <c r="DL108" s="103"/>
      <c r="DM108" s="103"/>
      <c r="DN108" s="103"/>
      <c r="DO108" s="103"/>
      <c r="DP108" s="103"/>
      <c r="DQ108" s="103"/>
      <c r="DR108" s="103"/>
      <c r="DS108" s="103"/>
      <c r="DT108" s="103"/>
      <c r="DU108" s="103"/>
      <c r="DV108" s="103"/>
      <c r="DW108" s="103"/>
      <c r="DX108" s="103"/>
      <c r="DY108" s="103"/>
      <c r="DZ108" s="103"/>
      <c r="EA108" s="103"/>
      <c r="EB108" s="103"/>
      <c r="EC108" s="103"/>
      <c r="ED108" s="103"/>
      <c r="EE108" s="103"/>
      <c r="EF108" s="103"/>
      <c r="EG108" s="103"/>
      <c r="EH108" s="103"/>
      <c r="EI108" s="103"/>
      <c r="EJ108" s="103"/>
      <c r="EK108" s="103"/>
      <c r="EL108" s="103"/>
      <c r="EM108" s="103"/>
      <c r="EN108" s="103"/>
    </row>
    <row r="109" spans="1:144" ht="10.5">
      <c r="A109" s="103" t="s">
        <v>2139</v>
      </c>
      <c r="B109" s="113">
        <v>53</v>
      </c>
      <c r="C109" s="113">
        <v>87</v>
      </c>
      <c r="D109" s="113" t="s">
        <v>271</v>
      </c>
      <c r="E109" s="113" t="s">
        <v>271</v>
      </c>
      <c r="F109" s="113" t="s">
        <v>271</v>
      </c>
      <c r="G109" s="113" t="s">
        <v>271</v>
      </c>
      <c r="H109" s="113" t="s">
        <v>271</v>
      </c>
      <c r="I109" s="113">
        <v>732</v>
      </c>
      <c r="J109" s="113">
        <v>804</v>
      </c>
      <c r="K109" s="113">
        <v>1230</v>
      </c>
      <c r="L109" s="113">
        <v>1020</v>
      </c>
      <c r="M109" s="113">
        <v>1130</v>
      </c>
      <c r="N109" s="113">
        <v>1060</v>
      </c>
      <c r="O109" s="113">
        <v>904</v>
      </c>
      <c r="P109" s="113">
        <v>995</v>
      </c>
      <c r="Q109" s="113">
        <v>1200</v>
      </c>
      <c r="R109" s="113">
        <v>1300</v>
      </c>
      <c r="S109" s="113">
        <v>1200</v>
      </c>
      <c r="T109" s="113">
        <v>1400</v>
      </c>
      <c r="U109" s="113">
        <v>1600</v>
      </c>
      <c r="V109" s="113">
        <v>1900</v>
      </c>
      <c r="W109" s="113">
        <v>1600</v>
      </c>
      <c r="X109" s="113">
        <v>2600</v>
      </c>
      <c r="Y109" s="113">
        <v>2300</v>
      </c>
      <c r="Z109" s="113">
        <v>1900</v>
      </c>
      <c r="AA109" s="113">
        <v>1600</v>
      </c>
      <c r="AB109" s="113">
        <v>1500</v>
      </c>
      <c r="AC109" s="113">
        <v>1600</v>
      </c>
      <c r="AD109" s="113">
        <v>1600</v>
      </c>
      <c r="AE109" s="113" t="s">
        <v>271</v>
      </c>
      <c r="AG109" s="112"/>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c r="CR109" s="103"/>
      <c r="CS109" s="103"/>
      <c r="CT109" s="103"/>
      <c r="CU109" s="103"/>
      <c r="CV109" s="103"/>
      <c r="CW109" s="103"/>
      <c r="CX109" s="103"/>
      <c r="CY109" s="103"/>
      <c r="CZ109" s="103"/>
      <c r="DA109" s="103"/>
      <c r="DB109" s="103"/>
      <c r="DC109" s="103"/>
      <c r="DD109" s="103"/>
      <c r="DE109" s="103"/>
      <c r="DF109" s="103"/>
      <c r="DG109" s="103"/>
      <c r="DH109" s="103"/>
      <c r="DI109" s="103"/>
      <c r="DJ109" s="103"/>
      <c r="DK109" s="103"/>
      <c r="DL109" s="103"/>
      <c r="DM109" s="103"/>
      <c r="DN109" s="103"/>
      <c r="DO109" s="103"/>
      <c r="DP109" s="103"/>
      <c r="DQ109" s="103"/>
      <c r="DR109" s="103"/>
      <c r="DS109" s="103"/>
      <c r="DT109" s="103"/>
      <c r="DU109" s="103"/>
      <c r="DV109" s="103"/>
      <c r="DW109" s="103"/>
      <c r="DX109" s="103"/>
      <c r="DY109" s="103"/>
      <c r="DZ109" s="103"/>
      <c r="EA109" s="103"/>
      <c r="EB109" s="103"/>
      <c r="EC109" s="103"/>
      <c r="ED109" s="103"/>
      <c r="EE109" s="103"/>
      <c r="EF109" s="103"/>
      <c r="EG109" s="103"/>
      <c r="EH109" s="103"/>
      <c r="EI109" s="103"/>
      <c r="EJ109" s="103"/>
      <c r="EK109" s="103"/>
      <c r="EL109" s="103"/>
      <c r="EM109" s="103"/>
      <c r="EN109" s="103"/>
    </row>
    <row r="110" spans="1:144">
      <c r="A110" s="103" t="s">
        <v>2140</v>
      </c>
      <c r="B110" s="113">
        <v>534</v>
      </c>
      <c r="C110" s="113">
        <v>854</v>
      </c>
      <c r="D110" s="113">
        <v>1205</v>
      </c>
      <c r="E110" s="113">
        <v>1384</v>
      </c>
      <c r="F110" s="113">
        <v>1895</v>
      </c>
      <c r="G110" s="113">
        <v>2657</v>
      </c>
      <c r="H110" s="113">
        <v>2411</v>
      </c>
      <c r="I110" s="113">
        <v>2828</v>
      </c>
      <c r="J110" s="113">
        <v>3238</v>
      </c>
      <c r="K110" s="113">
        <v>4126</v>
      </c>
      <c r="L110" s="113">
        <v>4885</v>
      </c>
      <c r="M110" s="113">
        <v>6252</v>
      </c>
      <c r="N110" s="113">
        <v>7562</v>
      </c>
      <c r="O110" s="113">
        <v>8195</v>
      </c>
      <c r="P110" s="113">
        <v>8563</v>
      </c>
      <c r="Q110" s="113">
        <v>9818</v>
      </c>
      <c r="R110" s="113">
        <v>11541</v>
      </c>
      <c r="S110" s="113">
        <v>13260</v>
      </c>
      <c r="T110" s="113">
        <v>12879</v>
      </c>
      <c r="U110" s="113">
        <v>13214</v>
      </c>
      <c r="V110" s="113">
        <v>13940</v>
      </c>
      <c r="W110" s="113">
        <v>13857</v>
      </c>
      <c r="X110" s="113">
        <v>15276</v>
      </c>
      <c r="Y110" s="113">
        <v>15811</v>
      </c>
      <c r="Z110" s="113">
        <v>15713</v>
      </c>
      <c r="AA110" s="113">
        <v>14635</v>
      </c>
      <c r="AB110" s="113">
        <v>15461</v>
      </c>
      <c r="AC110" s="113">
        <v>17469</v>
      </c>
      <c r="AD110" s="113">
        <v>18213</v>
      </c>
      <c r="AE110" s="113">
        <v>19143</v>
      </c>
      <c r="AG110" s="103" t="s">
        <v>2140</v>
      </c>
      <c r="AH110" s="113">
        <v>289.5</v>
      </c>
      <c r="AI110" s="113">
        <v>315</v>
      </c>
      <c r="AJ110" s="113">
        <v>313</v>
      </c>
      <c r="AK110" s="113">
        <v>313</v>
      </c>
      <c r="AL110" s="113">
        <v>312</v>
      </c>
      <c r="AM110" s="113">
        <v>337</v>
      </c>
      <c r="AN110" s="113">
        <v>359</v>
      </c>
      <c r="AO110" s="113">
        <v>376</v>
      </c>
      <c r="AP110" s="113">
        <v>395</v>
      </c>
      <c r="AQ110" s="113">
        <v>479</v>
      </c>
      <c r="AR110" s="113">
        <v>516</v>
      </c>
      <c r="AS110" s="113">
        <v>505</v>
      </c>
      <c r="AT110" s="113">
        <v>621</v>
      </c>
      <c r="AU110" s="113">
        <v>690</v>
      </c>
      <c r="AV110" s="113">
        <v>685</v>
      </c>
      <c r="AW110" s="113">
        <v>661</v>
      </c>
      <c r="AX110" s="113">
        <v>625</v>
      </c>
      <c r="AY110" s="113">
        <v>737</v>
      </c>
      <c r="AZ110" s="113">
        <v>750</v>
      </c>
      <c r="BA110" s="113">
        <v>744</v>
      </c>
      <c r="BB110" s="113">
        <v>788</v>
      </c>
      <c r="BC110" s="113">
        <v>876</v>
      </c>
      <c r="BD110" s="113">
        <v>829</v>
      </c>
      <c r="BE110" s="113">
        <v>335</v>
      </c>
      <c r="BF110" s="113">
        <v>688</v>
      </c>
      <c r="BG110" s="113">
        <v>794</v>
      </c>
      <c r="BH110" s="113">
        <v>849</v>
      </c>
      <c r="BI110" s="113">
        <v>900</v>
      </c>
      <c r="BJ110" s="113">
        <v>922</v>
      </c>
      <c r="BK110" s="113">
        <v>1013</v>
      </c>
      <c r="BL110" s="113">
        <v>1010</v>
      </c>
      <c r="BM110" s="113">
        <v>1181</v>
      </c>
      <c r="BN110" s="113">
        <v>1038</v>
      </c>
      <c r="BO110" s="113">
        <v>1290</v>
      </c>
      <c r="BP110" s="113">
        <v>1198</v>
      </c>
      <c r="BQ110" s="113">
        <v>1359</v>
      </c>
      <c r="BR110" s="113">
        <v>1145</v>
      </c>
      <c r="BS110" s="113">
        <v>1479</v>
      </c>
      <c r="BT110" s="113">
        <v>1240</v>
      </c>
      <c r="BU110" s="113">
        <v>1543</v>
      </c>
      <c r="BV110" s="113">
        <v>1415</v>
      </c>
      <c r="BW110" s="113">
        <v>2159</v>
      </c>
      <c r="BX110" s="113">
        <v>1700</v>
      </c>
      <c r="BY110" s="113">
        <v>2288</v>
      </c>
      <c r="BZ110" s="113">
        <v>1505</v>
      </c>
      <c r="CA110" s="113">
        <v>2467</v>
      </c>
      <c r="CB110" s="113">
        <v>1928</v>
      </c>
      <c r="CC110" s="113">
        <v>2409</v>
      </c>
      <c r="CD110" s="113">
        <v>1664</v>
      </c>
      <c r="CE110" s="113">
        <v>2122</v>
      </c>
      <c r="CF110" s="113">
        <v>2070</v>
      </c>
      <c r="CG110" s="113">
        <v>2707</v>
      </c>
      <c r="CH110" s="113">
        <v>1945</v>
      </c>
      <c r="CI110" s="113">
        <v>2689</v>
      </c>
      <c r="CJ110" s="113">
        <v>2362</v>
      </c>
      <c r="CK110" s="113">
        <v>2822</v>
      </c>
      <c r="CL110" s="113">
        <v>2191</v>
      </c>
      <c r="CM110" s="113">
        <v>2999</v>
      </c>
      <c r="CN110" s="113">
        <v>2936</v>
      </c>
      <c r="CO110" s="113">
        <v>3329</v>
      </c>
      <c r="CP110" s="113">
        <v>2683</v>
      </c>
      <c r="CQ110" s="113">
        <v>3420</v>
      </c>
      <c r="CR110" s="113">
        <v>3274</v>
      </c>
      <c r="CS110" s="113">
        <v>3883</v>
      </c>
      <c r="CT110" s="113">
        <v>3044</v>
      </c>
      <c r="CU110" s="113">
        <v>3662</v>
      </c>
      <c r="CV110" s="113">
        <v>2981</v>
      </c>
      <c r="CW110" s="113">
        <v>3192</v>
      </c>
      <c r="CX110" s="113">
        <v>2790</v>
      </c>
      <c r="CY110" s="113">
        <v>3619</v>
      </c>
      <c r="CZ110" s="113">
        <v>3203</v>
      </c>
      <c r="DA110" s="113">
        <v>3602</v>
      </c>
      <c r="DB110" s="113">
        <v>2806</v>
      </c>
      <c r="DC110" s="113">
        <v>3825</v>
      </c>
      <c r="DD110" s="113">
        <v>3393</v>
      </c>
      <c r="DE110" s="113">
        <v>3916</v>
      </c>
      <c r="DF110" s="113">
        <v>2900</v>
      </c>
      <c r="DG110" s="113">
        <v>3762</v>
      </c>
      <c r="DH110" s="113">
        <v>3414</v>
      </c>
      <c r="DI110" s="113">
        <v>3781</v>
      </c>
      <c r="DJ110" s="113">
        <v>2945</v>
      </c>
      <c r="DK110" s="113">
        <v>4309</v>
      </c>
      <c r="DL110" s="113">
        <v>3794</v>
      </c>
      <c r="DM110" s="113">
        <v>4228</v>
      </c>
      <c r="DN110" s="113">
        <v>3304</v>
      </c>
      <c r="DO110" s="113">
        <v>4283</v>
      </c>
      <c r="DP110" s="113">
        <v>3542</v>
      </c>
      <c r="DQ110" s="113">
        <v>4682</v>
      </c>
      <c r="DR110" s="113">
        <v>3728</v>
      </c>
      <c r="DS110" s="113">
        <v>4315</v>
      </c>
      <c r="DT110" s="113">
        <v>3709</v>
      </c>
      <c r="DU110" s="113">
        <v>3961</v>
      </c>
      <c r="DV110" s="113">
        <v>3333</v>
      </c>
      <c r="DW110" s="113">
        <v>3960</v>
      </c>
      <c r="DX110" s="113">
        <v>3406</v>
      </c>
      <c r="DY110" s="113">
        <v>3998</v>
      </c>
      <c r="DZ110" s="113">
        <v>3218</v>
      </c>
      <c r="EA110" s="113">
        <v>4079</v>
      </c>
      <c r="EB110" s="113">
        <v>3872</v>
      </c>
      <c r="EC110" s="113">
        <v>3451</v>
      </c>
      <c r="ED110" s="113">
        <v>3812</v>
      </c>
      <c r="EE110" s="113">
        <v>4562</v>
      </c>
      <c r="EF110" s="113">
        <v>4335</v>
      </c>
      <c r="EG110" s="113">
        <v>4760</v>
      </c>
      <c r="EH110" s="113">
        <v>4098</v>
      </c>
      <c r="EI110" s="113">
        <v>4588</v>
      </c>
      <c r="EJ110" s="113">
        <v>4565</v>
      </c>
      <c r="EK110" s="113">
        <v>4962</v>
      </c>
      <c r="EL110" s="113">
        <v>4337</v>
      </c>
      <c r="EM110" s="113">
        <v>4933</v>
      </c>
      <c r="EN110" s="113">
        <v>4911</v>
      </c>
    </row>
    <row r="111" spans="1:144">
      <c r="A111" s="103" t="s">
        <v>2141</v>
      </c>
      <c r="B111" s="113">
        <v>62</v>
      </c>
      <c r="C111" s="113">
        <v>90</v>
      </c>
      <c r="D111" s="113">
        <v>119</v>
      </c>
      <c r="E111" s="113">
        <v>166</v>
      </c>
      <c r="F111" s="113">
        <v>267</v>
      </c>
      <c r="G111" s="113">
        <v>316</v>
      </c>
      <c r="H111" s="113">
        <v>362</v>
      </c>
      <c r="I111" s="113">
        <v>433</v>
      </c>
      <c r="J111" s="113">
        <v>715</v>
      </c>
      <c r="K111" s="113">
        <v>1050</v>
      </c>
      <c r="L111" s="113">
        <v>576</v>
      </c>
      <c r="M111" s="113">
        <v>1525</v>
      </c>
      <c r="N111" s="113">
        <v>1386</v>
      </c>
      <c r="O111" s="113">
        <v>2114</v>
      </c>
      <c r="P111" s="113">
        <v>1927</v>
      </c>
      <c r="Q111" s="113">
        <v>2187</v>
      </c>
      <c r="R111" s="113">
        <v>2493</v>
      </c>
      <c r="S111" s="113">
        <v>2929</v>
      </c>
      <c r="T111" s="113">
        <v>3225</v>
      </c>
      <c r="U111" s="113">
        <v>3533</v>
      </c>
      <c r="V111" s="113">
        <v>3697</v>
      </c>
      <c r="W111" s="113">
        <v>3930</v>
      </c>
      <c r="X111" s="113">
        <v>3569</v>
      </c>
      <c r="Y111" s="113">
        <v>3803</v>
      </c>
      <c r="Z111" s="113">
        <v>4611</v>
      </c>
      <c r="AA111" s="113">
        <v>4563</v>
      </c>
      <c r="AB111" s="113">
        <v>4481</v>
      </c>
      <c r="AC111" s="113">
        <v>4754</v>
      </c>
      <c r="AD111" s="113">
        <v>4885</v>
      </c>
      <c r="AE111" s="113">
        <v>4880</v>
      </c>
      <c r="AG111" s="103" t="s">
        <v>2141</v>
      </c>
      <c r="AH111" s="113">
        <v>27</v>
      </c>
      <c r="AI111" s="113">
        <v>29</v>
      </c>
      <c r="AJ111" s="113">
        <v>30</v>
      </c>
      <c r="AK111" s="113">
        <v>35</v>
      </c>
      <c r="AL111" s="113">
        <v>35</v>
      </c>
      <c r="AM111" s="113">
        <v>42</v>
      </c>
      <c r="AN111" s="113">
        <v>41</v>
      </c>
      <c r="AO111" s="113">
        <v>48</v>
      </c>
      <c r="AP111" s="113">
        <v>51</v>
      </c>
      <c r="AQ111" s="113">
        <v>62</v>
      </c>
      <c r="AR111" s="113">
        <v>68</v>
      </c>
      <c r="AS111" s="113">
        <v>86</v>
      </c>
      <c r="AT111" s="113">
        <v>63</v>
      </c>
      <c r="AU111" s="113">
        <v>76</v>
      </c>
      <c r="AV111" s="113">
        <v>87</v>
      </c>
      <c r="AW111" s="113">
        <v>90</v>
      </c>
      <c r="AX111" s="113">
        <v>86</v>
      </c>
      <c r="AY111" s="113">
        <v>81</v>
      </c>
      <c r="AZ111" s="113">
        <v>101</v>
      </c>
      <c r="BA111" s="113">
        <v>94</v>
      </c>
      <c r="BB111" s="113">
        <v>95</v>
      </c>
      <c r="BC111" s="113">
        <v>106</v>
      </c>
      <c r="BD111" s="113">
        <v>104</v>
      </c>
      <c r="BE111" s="113">
        <v>128</v>
      </c>
      <c r="BF111" s="113">
        <v>99</v>
      </c>
      <c r="BG111" s="113">
        <v>149</v>
      </c>
      <c r="BH111" s="113">
        <v>144</v>
      </c>
      <c r="BI111" s="113">
        <v>297</v>
      </c>
      <c r="BJ111" s="113">
        <v>148</v>
      </c>
      <c r="BK111" s="113">
        <v>514</v>
      </c>
      <c r="BL111" s="113">
        <v>185</v>
      </c>
      <c r="BM111" s="113">
        <v>203</v>
      </c>
      <c r="BN111" s="113">
        <v>170</v>
      </c>
      <c r="BO111" s="113">
        <v>212</v>
      </c>
      <c r="BP111" s="113">
        <v>239</v>
      </c>
      <c r="BQ111" s="113">
        <v>236</v>
      </c>
      <c r="BR111" s="113">
        <v>187</v>
      </c>
      <c r="BS111" s="113">
        <v>173</v>
      </c>
      <c r="BT111" s="113">
        <v>246</v>
      </c>
      <c r="BU111" s="113">
        <v>-34</v>
      </c>
      <c r="BV111" s="113">
        <v>252</v>
      </c>
      <c r="BW111" s="113">
        <v>287</v>
      </c>
      <c r="BX111" s="113">
        <v>425</v>
      </c>
      <c r="BY111" s="113">
        <v>-44</v>
      </c>
      <c r="BZ111" s="113">
        <v>471</v>
      </c>
      <c r="CA111" s="113">
        <v>896</v>
      </c>
      <c r="CB111" s="113">
        <v>495</v>
      </c>
      <c r="CC111" s="113">
        <v>279</v>
      </c>
      <c r="CD111" s="113">
        <v>560</v>
      </c>
      <c r="CE111" s="113">
        <v>651</v>
      </c>
      <c r="CF111" s="113">
        <v>-9</v>
      </c>
      <c r="CG111" s="113">
        <v>879</v>
      </c>
      <c r="CH111" s="113">
        <v>533</v>
      </c>
      <c r="CI111" s="113">
        <v>595</v>
      </c>
      <c r="CJ111" s="113">
        <v>608</v>
      </c>
      <c r="CK111" s="113">
        <v>427</v>
      </c>
      <c r="CL111" s="113">
        <v>577</v>
      </c>
      <c r="CM111" s="113">
        <v>703</v>
      </c>
      <c r="CN111" s="113">
        <v>687</v>
      </c>
      <c r="CO111" s="113">
        <v>526</v>
      </c>
      <c r="CP111" s="113">
        <v>718</v>
      </c>
      <c r="CQ111" s="113">
        <v>1066</v>
      </c>
      <c r="CR111" s="113">
        <v>841</v>
      </c>
      <c r="CS111" s="113">
        <v>604</v>
      </c>
      <c r="CT111" s="113">
        <v>887</v>
      </c>
      <c r="CU111" s="113">
        <v>831</v>
      </c>
      <c r="CV111" s="113">
        <v>856</v>
      </c>
      <c r="CW111" s="113">
        <v>401</v>
      </c>
      <c r="CX111" s="113">
        <v>741</v>
      </c>
      <c r="CY111" s="113">
        <v>1183</v>
      </c>
      <c r="CZ111" s="113">
        <v>1152</v>
      </c>
      <c r="DA111" s="113">
        <v>398</v>
      </c>
      <c r="DB111" s="113">
        <v>938</v>
      </c>
      <c r="DC111" s="113">
        <v>945</v>
      </c>
      <c r="DD111" s="113">
        <v>1160</v>
      </c>
      <c r="DE111" s="113">
        <v>654</v>
      </c>
      <c r="DF111" s="113">
        <v>1163</v>
      </c>
      <c r="DG111" s="113">
        <v>1120</v>
      </c>
      <c r="DH111" s="113">
        <v>1150</v>
      </c>
      <c r="DI111" s="113">
        <v>497</v>
      </c>
      <c r="DJ111" s="113">
        <v>1127</v>
      </c>
      <c r="DK111" s="113">
        <v>1156</v>
      </c>
      <c r="DL111" s="113">
        <v>923</v>
      </c>
      <c r="DM111" s="113">
        <v>499</v>
      </c>
      <c r="DN111" s="113">
        <v>979</v>
      </c>
      <c r="DO111" s="113">
        <v>1197</v>
      </c>
      <c r="DP111" s="113">
        <v>1166</v>
      </c>
      <c r="DQ111" s="113">
        <v>461</v>
      </c>
      <c r="DR111" s="113">
        <v>1151</v>
      </c>
      <c r="DS111" s="113">
        <v>1097</v>
      </c>
      <c r="DT111" s="113">
        <v>1091</v>
      </c>
      <c r="DU111" s="113">
        <v>283</v>
      </c>
      <c r="DV111" s="113">
        <v>1084</v>
      </c>
      <c r="DW111" s="113">
        <v>1038</v>
      </c>
      <c r="DX111" s="113">
        <v>1140</v>
      </c>
      <c r="DY111" s="113">
        <v>1301</v>
      </c>
      <c r="DZ111" s="113">
        <v>1045</v>
      </c>
      <c r="EA111" s="113">
        <v>879</v>
      </c>
      <c r="EB111" s="113">
        <v>1202</v>
      </c>
      <c r="EC111" s="113">
        <v>1061</v>
      </c>
      <c r="ED111" s="113">
        <v>1166</v>
      </c>
      <c r="EE111" s="113">
        <v>1109</v>
      </c>
      <c r="EF111" s="113">
        <v>1208</v>
      </c>
      <c r="EG111" s="113">
        <v>1271</v>
      </c>
      <c r="EH111" s="113">
        <v>1149</v>
      </c>
      <c r="EI111" s="113">
        <v>1132</v>
      </c>
      <c r="EJ111" s="113">
        <v>1179</v>
      </c>
      <c r="EK111" s="113">
        <v>1425</v>
      </c>
      <c r="EL111" s="113">
        <v>1061</v>
      </c>
      <c r="EM111" s="113">
        <v>1121</v>
      </c>
      <c r="EN111" s="113">
        <v>1273</v>
      </c>
    </row>
    <row r="112" spans="1:144">
      <c r="A112" s="103" t="s">
        <v>2142</v>
      </c>
      <c r="B112" s="113">
        <v>235</v>
      </c>
      <c r="C112" s="113">
        <v>352</v>
      </c>
      <c r="D112" s="113">
        <v>470</v>
      </c>
      <c r="E112" s="113">
        <v>610</v>
      </c>
      <c r="F112" s="113">
        <v>860</v>
      </c>
      <c r="G112" s="113">
        <v>1432</v>
      </c>
      <c r="H112" s="113">
        <v>1863</v>
      </c>
      <c r="I112" s="113">
        <v>2601</v>
      </c>
      <c r="J112" s="113">
        <v>2970</v>
      </c>
      <c r="K112" s="113">
        <v>3772</v>
      </c>
      <c r="L112" s="113">
        <v>4379</v>
      </c>
      <c r="M112" s="113">
        <v>6299</v>
      </c>
      <c r="N112" s="113">
        <v>6595</v>
      </c>
      <c r="O112" s="113">
        <v>7735</v>
      </c>
      <c r="P112" s="113">
        <v>6097</v>
      </c>
      <c r="Q112" s="113">
        <v>6584</v>
      </c>
      <c r="R112" s="113">
        <v>7121</v>
      </c>
      <c r="S112" s="113">
        <v>8164</v>
      </c>
      <c r="T112" s="113">
        <v>9010</v>
      </c>
      <c r="U112" s="113">
        <v>8714</v>
      </c>
      <c r="V112" s="113">
        <v>9043</v>
      </c>
      <c r="W112" s="113">
        <v>9811</v>
      </c>
      <c r="X112" s="113">
        <v>10411</v>
      </c>
      <c r="Y112" s="113">
        <v>11381</v>
      </c>
      <c r="Z112" s="113">
        <v>12046</v>
      </c>
      <c r="AA112" s="113">
        <v>11988</v>
      </c>
      <c r="AB112" s="113">
        <v>13037</v>
      </c>
      <c r="AC112" s="113">
        <v>14726</v>
      </c>
      <c r="AD112" s="113">
        <v>16876</v>
      </c>
      <c r="AE112" s="113">
        <v>18568</v>
      </c>
      <c r="AG112" s="103" t="s">
        <v>2142</v>
      </c>
      <c r="AH112" s="113">
        <v>108</v>
      </c>
      <c r="AI112" s="113">
        <v>111</v>
      </c>
      <c r="AJ112" s="113">
        <v>116</v>
      </c>
      <c r="AK112" s="113">
        <v>138</v>
      </c>
      <c r="AL112" s="113">
        <v>134</v>
      </c>
      <c r="AM112" s="113">
        <v>150</v>
      </c>
      <c r="AN112" s="113">
        <v>156</v>
      </c>
      <c r="AO112" s="113">
        <v>170</v>
      </c>
      <c r="AP112" s="113">
        <v>178</v>
      </c>
      <c r="AQ112" s="113">
        <v>199</v>
      </c>
      <c r="AR112" s="113">
        <v>219</v>
      </c>
      <c r="AS112" s="113">
        <v>264</v>
      </c>
      <c r="AT112" s="113">
        <v>302</v>
      </c>
      <c r="AU112" s="113">
        <v>313</v>
      </c>
      <c r="AV112" s="113">
        <v>364</v>
      </c>
      <c r="AW112" s="113">
        <v>453</v>
      </c>
      <c r="AX112" s="113">
        <v>432</v>
      </c>
      <c r="AY112" s="113">
        <v>485</v>
      </c>
      <c r="AZ112" s="113">
        <v>492</v>
      </c>
      <c r="BA112" s="113">
        <v>516</v>
      </c>
      <c r="BB112" s="113">
        <v>567</v>
      </c>
      <c r="BC112" s="113">
        <v>627</v>
      </c>
      <c r="BD112" s="113">
        <v>597</v>
      </c>
      <c r="BE112" s="113">
        <v>810</v>
      </c>
      <c r="BF112" s="113">
        <v>651</v>
      </c>
      <c r="BG112" s="113">
        <v>715</v>
      </c>
      <c r="BH112" s="113">
        <v>664</v>
      </c>
      <c r="BI112" s="113">
        <v>940</v>
      </c>
      <c r="BJ112" s="113">
        <v>813</v>
      </c>
      <c r="BK112" s="113">
        <v>898</v>
      </c>
      <c r="BL112" s="113">
        <v>974</v>
      </c>
      <c r="BM112" s="113">
        <v>1087</v>
      </c>
      <c r="BN112" s="113">
        <v>956</v>
      </c>
      <c r="BO112" s="113">
        <v>990</v>
      </c>
      <c r="BP112" s="113">
        <v>1069</v>
      </c>
      <c r="BQ112" s="113">
        <v>1364</v>
      </c>
      <c r="BR112" s="113">
        <v>1013</v>
      </c>
      <c r="BS112" s="113">
        <v>1044</v>
      </c>
      <c r="BT112" s="113">
        <v>1066</v>
      </c>
      <c r="BU112" s="113">
        <v>1184</v>
      </c>
      <c r="BV112" s="113">
        <v>1707</v>
      </c>
      <c r="BW112" s="113">
        <v>1515</v>
      </c>
      <c r="BX112" s="113">
        <v>1692</v>
      </c>
      <c r="BY112" s="113">
        <v>1681</v>
      </c>
      <c r="BZ112" s="113">
        <v>1611</v>
      </c>
      <c r="CA112" s="113">
        <v>2971</v>
      </c>
      <c r="CB112" s="113">
        <v>1538</v>
      </c>
      <c r="CC112" s="113">
        <v>1659</v>
      </c>
      <c r="CD112" s="113">
        <v>1530</v>
      </c>
      <c r="CE112" s="113">
        <v>1421</v>
      </c>
      <c r="CF112" s="113">
        <v>1482</v>
      </c>
      <c r="CG112" s="113">
        <v>1664</v>
      </c>
      <c r="CH112" s="113">
        <v>1515</v>
      </c>
      <c r="CI112" s="113">
        <v>1591</v>
      </c>
      <c r="CJ112" s="113">
        <v>1617</v>
      </c>
      <c r="CK112" s="113">
        <v>1861</v>
      </c>
      <c r="CL112" s="113">
        <v>1786</v>
      </c>
      <c r="CM112" s="113">
        <v>1637</v>
      </c>
      <c r="CN112" s="113">
        <v>1750</v>
      </c>
      <c r="CO112" s="113">
        <v>1948</v>
      </c>
      <c r="CP112" s="113">
        <v>1837</v>
      </c>
      <c r="CQ112" s="113">
        <v>1885</v>
      </c>
      <c r="CR112" s="113">
        <v>2035</v>
      </c>
      <c r="CS112" s="113">
        <v>2348</v>
      </c>
      <c r="CT112" s="113">
        <v>2283</v>
      </c>
      <c r="CU112" s="113">
        <v>2290</v>
      </c>
      <c r="CV112" s="113">
        <v>2212</v>
      </c>
      <c r="CW112" s="113">
        <v>2225</v>
      </c>
      <c r="CX112" s="113">
        <v>2065</v>
      </c>
      <c r="CY112" s="113">
        <v>2079</v>
      </c>
      <c r="CZ112" s="113">
        <v>2220</v>
      </c>
      <c r="DA112" s="113">
        <v>2350</v>
      </c>
      <c r="DB112" s="113">
        <v>2196</v>
      </c>
      <c r="DC112" s="113">
        <v>2185</v>
      </c>
      <c r="DD112" s="113">
        <v>2269</v>
      </c>
      <c r="DE112" s="113">
        <v>2393</v>
      </c>
      <c r="DF112" s="113">
        <v>2358</v>
      </c>
      <c r="DG112" s="113">
        <v>2371</v>
      </c>
      <c r="DH112" s="113">
        <v>2517</v>
      </c>
      <c r="DI112" s="113">
        <v>2594</v>
      </c>
      <c r="DJ112" s="113">
        <v>2460</v>
      </c>
      <c r="DK112" s="113">
        <v>2528</v>
      </c>
      <c r="DL112" s="113">
        <v>2640</v>
      </c>
      <c r="DM112" s="113">
        <v>2783</v>
      </c>
      <c r="DN112" s="113">
        <v>2767</v>
      </c>
      <c r="DO112" s="113">
        <v>2748</v>
      </c>
      <c r="DP112" s="113">
        <v>2743</v>
      </c>
      <c r="DQ112" s="113">
        <v>3123</v>
      </c>
      <c r="DR112" s="113">
        <v>3065</v>
      </c>
      <c r="DS112" s="113">
        <v>2903</v>
      </c>
      <c r="DT112" s="113">
        <v>2984</v>
      </c>
      <c r="DU112" s="113">
        <v>3094</v>
      </c>
      <c r="DV112" s="113">
        <v>2962</v>
      </c>
      <c r="DW112" s="113">
        <v>2900</v>
      </c>
      <c r="DX112" s="113">
        <v>2980</v>
      </c>
      <c r="DY112" s="113">
        <v>3146</v>
      </c>
      <c r="DZ112" s="113">
        <v>3106</v>
      </c>
      <c r="EA112" s="113">
        <v>3062</v>
      </c>
      <c r="EB112" s="113">
        <v>3355</v>
      </c>
      <c r="EC112" s="113">
        <v>3514</v>
      </c>
      <c r="ED112" s="113">
        <v>3574</v>
      </c>
      <c r="EE112" s="113">
        <v>3504</v>
      </c>
      <c r="EF112" s="113">
        <v>3715</v>
      </c>
      <c r="EG112" s="113">
        <v>3933</v>
      </c>
      <c r="EH112" s="113">
        <v>3977</v>
      </c>
      <c r="EI112" s="113">
        <v>4070</v>
      </c>
      <c r="EJ112" s="113">
        <v>4316</v>
      </c>
      <c r="EK112" s="113">
        <v>4513</v>
      </c>
      <c r="EL112" s="113">
        <v>4565</v>
      </c>
      <c r="EM112" s="113">
        <v>4603</v>
      </c>
      <c r="EN112" s="113">
        <v>4887</v>
      </c>
    </row>
    <row r="113" spans="1:255">
      <c r="A113" s="103" t="s">
        <v>2143</v>
      </c>
      <c r="B113" s="113">
        <v>28</v>
      </c>
      <c r="C113" s="113">
        <v>44</v>
      </c>
      <c r="D113" s="113">
        <v>54</v>
      </c>
      <c r="E113" s="113">
        <v>68</v>
      </c>
      <c r="F113" s="113">
        <v>86</v>
      </c>
      <c r="G113" s="113">
        <v>92</v>
      </c>
      <c r="H113" s="113">
        <v>92</v>
      </c>
      <c r="I113" s="113">
        <v>95</v>
      </c>
      <c r="J113" s="113">
        <v>135</v>
      </c>
      <c r="K113" s="113">
        <v>201</v>
      </c>
      <c r="L113" s="113">
        <v>281</v>
      </c>
      <c r="M113" s="113">
        <v>318</v>
      </c>
      <c r="N113" s="113">
        <v>290</v>
      </c>
      <c r="O113" s="113">
        <v>331</v>
      </c>
      <c r="P113" s="113">
        <v>299</v>
      </c>
      <c r="Q113" s="113">
        <v>271</v>
      </c>
      <c r="R113" s="113">
        <v>325</v>
      </c>
      <c r="S113" s="113">
        <v>398</v>
      </c>
      <c r="T113" s="113">
        <v>475</v>
      </c>
      <c r="U113" s="113">
        <v>530</v>
      </c>
      <c r="V113" s="113">
        <v>525</v>
      </c>
      <c r="W113" s="113">
        <v>639</v>
      </c>
      <c r="X113" s="113">
        <v>711</v>
      </c>
      <c r="Y113" s="113">
        <v>874</v>
      </c>
      <c r="Z113" s="113">
        <v>989</v>
      </c>
      <c r="AA113" s="113">
        <v>936</v>
      </c>
      <c r="AB113" s="113">
        <v>1412</v>
      </c>
      <c r="AC113" s="113">
        <v>1585</v>
      </c>
      <c r="AD113" s="113">
        <v>1707</v>
      </c>
      <c r="AE113" s="113" t="s">
        <v>271</v>
      </c>
      <c r="AG113" s="103" t="s">
        <v>2143</v>
      </c>
      <c r="AH113" s="113" t="s">
        <v>271</v>
      </c>
      <c r="AI113" s="113" t="s">
        <v>271</v>
      </c>
      <c r="AJ113" s="113" t="s">
        <v>271</v>
      </c>
      <c r="AK113" s="113" t="s">
        <v>271</v>
      </c>
      <c r="AL113" s="113" t="s">
        <v>271</v>
      </c>
      <c r="AM113" s="113" t="s">
        <v>271</v>
      </c>
      <c r="AN113" s="113" t="s">
        <v>271</v>
      </c>
      <c r="AO113" s="113" t="s">
        <v>271</v>
      </c>
      <c r="AP113" s="113" t="s">
        <v>271</v>
      </c>
      <c r="AQ113" s="113" t="s">
        <v>271</v>
      </c>
      <c r="AR113" s="113" t="s">
        <v>271</v>
      </c>
      <c r="AS113" s="113" t="s">
        <v>271</v>
      </c>
      <c r="AT113" s="113" t="s">
        <v>271</v>
      </c>
      <c r="AU113" s="113" t="s">
        <v>271</v>
      </c>
      <c r="AV113" s="113" t="s">
        <v>271</v>
      </c>
      <c r="AW113" s="113" t="s">
        <v>271</v>
      </c>
      <c r="AX113" s="113" t="s">
        <v>271</v>
      </c>
      <c r="AY113" s="113" t="s">
        <v>271</v>
      </c>
      <c r="AZ113" s="113" t="s">
        <v>271</v>
      </c>
      <c r="BA113" s="113" t="s">
        <v>271</v>
      </c>
      <c r="BB113" s="113" t="s">
        <v>271</v>
      </c>
      <c r="BC113" s="113" t="s">
        <v>271</v>
      </c>
      <c r="BD113" s="113" t="s">
        <v>271</v>
      </c>
      <c r="BE113" s="113" t="s">
        <v>271</v>
      </c>
      <c r="BF113" s="113" t="s">
        <v>271</v>
      </c>
      <c r="BG113" s="113" t="s">
        <v>271</v>
      </c>
      <c r="BH113" s="113" t="s">
        <v>271</v>
      </c>
      <c r="BI113" s="113" t="s">
        <v>271</v>
      </c>
      <c r="BJ113" s="113" t="s">
        <v>271</v>
      </c>
      <c r="BK113" s="113" t="s">
        <v>271</v>
      </c>
      <c r="BL113" s="113" t="s">
        <v>271</v>
      </c>
      <c r="BM113" s="113" t="s">
        <v>271</v>
      </c>
      <c r="BN113" s="113" t="s">
        <v>271</v>
      </c>
      <c r="BO113" s="113" t="s">
        <v>271</v>
      </c>
      <c r="BP113" s="113" t="s">
        <v>271</v>
      </c>
      <c r="BQ113" s="113" t="s">
        <v>271</v>
      </c>
      <c r="BR113" s="113" t="s">
        <v>271</v>
      </c>
      <c r="BS113" s="113" t="s">
        <v>271</v>
      </c>
      <c r="BT113" s="113" t="s">
        <v>271</v>
      </c>
      <c r="BU113" s="113" t="s">
        <v>271</v>
      </c>
      <c r="BV113" s="113" t="s">
        <v>271</v>
      </c>
      <c r="BW113" s="113" t="s">
        <v>271</v>
      </c>
      <c r="BX113" s="113" t="s">
        <v>271</v>
      </c>
      <c r="BY113" s="113" t="s">
        <v>271</v>
      </c>
      <c r="BZ113" s="113" t="s">
        <v>271</v>
      </c>
      <c r="CA113" s="113" t="s">
        <v>271</v>
      </c>
      <c r="CB113" s="113" t="s">
        <v>271</v>
      </c>
      <c r="CC113" s="113" t="s">
        <v>271</v>
      </c>
      <c r="CD113" s="113" t="s">
        <v>271</v>
      </c>
      <c r="CE113" s="113" t="s">
        <v>271</v>
      </c>
      <c r="CF113" s="113" t="s">
        <v>271</v>
      </c>
      <c r="CG113" s="113" t="s">
        <v>271</v>
      </c>
      <c r="CH113" s="113" t="s">
        <v>271</v>
      </c>
      <c r="CI113" s="113" t="s">
        <v>271</v>
      </c>
      <c r="CJ113" s="113" t="s">
        <v>271</v>
      </c>
      <c r="CK113" s="113" t="s">
        <v>271</v>
      </c>
      <c r="CL113" s="113" t="s">
        <v>271</v>
      </c>
      <c r="CM113" s="113" t="s">
        <v>271</v>
      </c>
      <c r="CN113" s="113" t="s">
        <v>271</v>
      </c>
      <c r="CO113" s="113" t="s">
        <v>271</v>
      </c>
      <c r="CP113" s="113" t="s">
        <v>271</v>
      </c>
      <c r="CQ113" s="113" t="s">
        <v>271</v>
      </c>
      <c r="CR113" s="113" t="s">
        <v>271</v>
      </c>
      <c r="CS113" s="113" t="s">
        <v>271</v>
      </c>
      <c r="CT113" s="113" t="s">
        <v>271</v>
      </c>
      <c r="CU113" s="113" t="s">
        <v>271</v>
      </c>
      <c r="CV113" s="113" t="s">
        <v>271</v>
      </c>
      <c r="CW113" s="113" t="s">
        <v>271</v>
      </c>
      <c r="CX113" s="113" t="s">
        <v>271</v>
      </c>
      <c r="CY113" s="113" t="s">
        <v>271</v>
      </c>
      <c r="CZ113" s="113" t="s">
        <v>271</v>
      </c>
      <c r="DA113" s="113" t="s">
        <v>271</v>
      </c>
      <c r="DB113" s="113" t="s">
        <v>271</v>
      </c>
      <c r="DC113" s="113" t="s">
        <v>271</v>
      </c>
      <c r="DD113" s="113" t="s">
        <v>271</v>
      </c>
      <c r="DE113" s="113" t="s">
        <v>271</v>
      </c>
      <c r="DF113" s="113" t="s">
        <v>271</v>
      </c>
      <c r="DG113" s="113" t="s">
        <v>271</v>
      </c>
      <c r="DH113" s="113" t="s">
        <v>271</v>
      </c>
      <c r="DI113" s="113" t="s">
        <v>271</v>
      </c>
      <c r="DJ113" s="113" t="s">
        <v>271</v>
      </c>
      <c r="DK113" s="113" t="s">
        <v>271</v>
      </c>
      <c r="DL113" s="113" t="s">
        <v>271</v>
      </c>
      <c r="DM113" s="113" t="s">
        <v>271</v>
      </c>
      <c r="DN113" s="113" t="s">
        <v>271</v>
      </c>
      <c r="DO113" s="113" t="s">
        <v>271</v>
      </c>
      <c r="DP113" s="113" t="s">
        <v>271</v>
      </c>
      <c r="DQ113" s="113" t="s">
        <v>271</v>
      </c>
      <c r="DR113" s="113" t="s">
        <v>271</v>
      </c>
      <c r="DS113" s="113" t="s">
        <v>271</v>
      </c>
      <c r="DT113" s="113" t="s">
        <v>271</v>
      </c>
      <c r="DU113" s="113" t="s">
        <v>271</v>
      </c>
      <c r="DV113" s="113" t="s">
        <v>271</v>
      </c>
      <c r="DW113" s="113" t="s">
        <v>271</v>
      </c>
      <c r="DX113" s="113" t="s">
        <v>271</v>
      </c>
      <c r="DY113" s="113" t="s">
        <v>271</v>
      </c>
      <c r="DZ113" s="113">
        <v>260</v>
      </c>
      <c r="EA113" s="113">
        <v>434</v>
      </c>
      <c r="EB113" s="113">
        <v>321</v>
      </c>
      <c r="EC113" s="113" t="s">
        <v>271</v>
      </c>
      <c r="ED113" s="113">
        <v>388</v>
      </c>
      <c r="EE113" s="113">
        <v>399</v>
      </c>
      <c r="EF113" s="113">
        <v>395</v>
      </c>
      <c r="EG113" s="113" t="s">
        <v>271</v>
      </c>
      <c r="EH113" s="113">
        <v>410</v>
      </c>
      <c r="EI113" s="113">
        <v>413</v>
      </c>
      <c r="EJ113" s="113">
        <v>431</v>
      </c>
      <c r="EK113" s="113" t="s">
        <v>271</v>
      </c>
      <c r="EL113" s="113">
        <v>465</v>
      </c>
      <c r="EM113" s="113">
        <v>478</v>
      </c>
      <c r="EN113" s="113">
        <v>522</v>
      </c>
    </row>
    <row r="114" spans="1:255">
      <c r="A114" s="103" t="s">
        <v>2144</v>
      </c>
      <c r="B114" s="113">
        <v>0</v>
      </c>
      <c r="C114" s="113">
        <v>0</v>
      </c>
      <c r="D114" s="113">
        <v>0</v>
      </c>
      <c r="E114" s="113">
        <v>0</v>
      </c>
      <c r="F114" s="113">
        <v>0</v>
      </c>
      <c r="G114" s="113">
        <v>0</v>
      </c>
      <c r="H114" s="113">
        <v>0</v>
      </c>
      <c r="I114" s="113">
        <v>0</v>
      </c>
      <c r="J114" s="113">
        <v>0</v>
      </c>
      <c r="K114" s="113">
        <v>0</v>
      </c>
      <c r="L114" s="113">
        <v>0</v>
      </c>
      <c r="M114" s="113">
        <v>0</v>
      </c>
      <c r="N114" s="113">
        <v>0</v>
      </c>
      <c r="O114" s="113">
        <v>0</v>
      </c>
      <c r="P114" s="113">
        <v>0</v>
      </c>
      <c r="Q114" s="113">
        <v>0</v>
      </c>
      <c r="R114" s="113">
        <v>0</v>
      </c>
      <c r="S114" s="113">
        <v>126.051376</v>
      </c>
      <c r="T114" s="113">
        <v>28.6938</v>
      </c>
      <c r="U114" s="113">
        <v>94.123760000000004</v>
      </c>
      <c r="V114" s="113">
        <v>128.4444</v>
      </c>
      <c r="W114" s="113">
        <v>149.924736</v>
      </c>
      <c r="X114" s="113">
        <v>167.90976000000001</v>
      </c>
      <c r="Y114" s="113">
        <v>211.38913600000001</v>
      </c>
      <c r="Z114" s="113">
        <v>217.69076799999999</v>
      </c>
      <c r="AA114" s="113">
        <v>216.66528</v>
      </c>
      <c r="AB114" s="113">
        <v>334.50844799999999</v>
      </c>
      <c r="AC114" s="113">
        <v>378.66284000000002</v>
      </c>
      <c r="AD114" s="113">
        <v>421.69727999999998</v>
      </c>
      <c r="AE114" s="113">
        <v>0</v>
      </c>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c r="CR114" s="103"/>
      <c r="CS114" s="103"/>
      <c r="CT114" s="103"/>
      <c r="CU114" s="103"/>
      <c r="CV114" s="103"/>
      <c r="CW114" s="103"/>
      <c r="CX114" s="103"/>
      <c r="CY114" s="103"/>
      <c r="CZ114" s="103"/>
      <c r="DA114" s="103"/>
      <c r="DB114" s="103"/>
      <c r="DC114" s="103"/>
      <c r="DD114" s="103"/>
      <c r="DE114" s="103"/>
      <c r="DF114" s="103"/>
      <c r="DG114" s="103"/>
      <c r="DH114" s="103"/>
      <c r="DI114" s="103"/>
      <c r="DJ114" s="103"/>
      <c r="DK114" s="103"/>
      <c r="DL114" s="103"/>
      <c r="DM114" s="103"/>
      <c r="DN114" s="103"/>
      <c r="DO114" s="103"/>
      <c r="DP114" s="103"/>
      <c r="DQ114" s="103"/>
      <c r="DR114" s="103"/>
      <c r="DS114" s="103"/>
      <c r="DT114" s="103"/>
      <c r="DU114" s="103"/>
      <c r="DV114" s="103"/>
      <c r="DW114" s="103"/>
      <c r="DX114" s="103"/>
      <c r="DY114" s="103"/>
      <c r="DZ114" s="103"/>
      <c r="EA114" s="103"/>
      <c r="EB114" s="103"/>
      <c r="EC114" s="103"/>
      <c r="ED114" s="103"/>
      <c r="EE114" s="103"/>
      <c r="EF114" s="103"/>
      <c r="EG114" s="103"/>
      <c r="EH114" s="103"/>
      <c r="EI114" s="103"/>
      <c r="EJ114" s="103"/>
      <c r="EK114" s="103"/>
      <c r="EL114" s="103"/>
      <c r="EM114" s="103"/>
      <c r="EN114" s="103"/>
    </row>
    <row r="115" spans="1:255">
      <c r="A115" s="103" t="s">
        <v>2145</v>
      </c>
      <c r="B115" s="113">
        <v>0</v>
      </c>
      <c r="C115" s="113">
        <v>0</v>
      </c>
      <c r="D115" s="113">
        <v>0</v>
      </c>
      <c r="E115" s="113">
        <v>0</v>
      </c>
      <c r="F115" s="113">
        <v>0</v>
      </c>
      <c r="G115" s="113">
        <v>0</v>
      </c>
      <c r="H115" s="113">
        <v>0</v>
      </c>
      <c r="I115" s="113">
        <v>0</v>
      </c>
      <c r="J115" s="113">
        <v>0</v>
      </c>
      <c r="K115" s="113">
        <v>0</v>
      </c>
      <c r="L115" s="113">
        <v>0</v>
      </c>
      <c r="M115" s="113">
        <v>0</v>
      </c>
      <c r="N115" s="113">
        <v>0</v>
      </c>
      <c r="O115" s="113">
        <v>0</v>
      </c>
      <c r="P115" s="113">
        <v>0</v>
      </c>
      <c r="Q115" s="113">
        <v>0</v>
      </c>
      <c r="R115" s="113">
        <v>0</v>
      </c>
      <c r="S115" s="113">
        <v>271.948624</v>
      </c>
      <c r="T115" s="113">
        <v>446.30619999999999</v>
      </c>
      <c r="U115" s="113">
        <v>435.87624</v>
      </c>
      <c r="V115" s="113">
        <v>396.55560000000003</v>
      </c>
      <c r="W115" s="113">
        <v>489.075264</v>
      </c>
      <c r="X115" s="113">
        <v>543.09023999999999</v>
      </c>
      <c r="Y115" s="113">
        <v>662.61086399999999</v>
      </c>
      <c r="Z115" s="113">
        <v>771.30923199999995</v>
      </c>
      <c r="AA115" s="113">
        <v>719.33471999999995</v>
      </c>
      <c r="AB115" s="113">
        <v>1077.491552</v>
      </c>
      <c r="AC115" s="113">
        <v>1206.33716</v>
      </c>
      <c r="AD115" s="113">
        <v>1285.3027199999999</v>
      </c>
      <c r="AE115" s="113">
        <v>0</v>
      </c>
      <c r="AG115" s="103"/>
      <c r="AH115" s="103"/>
      <c r="AI115" s="103"/>
      <c r="AJ115" s="103"/>
      <c r="AK115" s="103"/>
      <c r="AL115" s="103"/>
      <c r="AM115" s="103"/>
      <c r="AN115" s="103"/>
      <c r="AO115" s="103"/>
      <c r="AP115" s="103"/>
      <c r="AQ115" s="103"/>
      <c r="AR115" s="103"/>
      <c r="AS115" s="103"/>
      <c r="AT115" s="103"/>
      <c r="AU115" s="103"/>
      <c r="AV115" s="103"/>
      <c r="AW115" s="103"/>
      <c r="AX115" s="103"/>
      <c r="AY115" s="103"/>
      <c r="AZ115" s="103"/>
      <c r="BA115" s="103"/>
      <c r="BB115" s="103"/>
      <c r="BC115" s="103"/>
      <c r="BD115" s="103"/>
      <c r="BE115" s="103"/>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c r="CR115" s="103"/>
      <c r="CS115" s="103"/>
      <c r="CT115" s="103"/>
      <c r="CU115" s="103"/>
      <c r="CV115" s="103"/>
      <c r="CW115" s="103"/>
      <c r="CX115" s="103"/>
      <c r="CY115" s="103"/>
      <c r="CZ115" s="103"/>
      <c r="DA115" s="103"/>
      <c r="DB115" s="103"/>
      <c r="DC115" s="103"/>
      <c r="DD115" s="103"/>
      <c r="DE115" s="103"/>
      <c r="DF115" s="103"/>
      <c r="DG115" s="103"/>
      <c r="DH115" s="103"/>
      <c r="DI115" s="103"/>
      <c r="DJ115" s="103"/>
      <c r="DK115" s="103"/>
      <c r="DL115" s="103"/>
      <c r="DM115" s="103"/>
      <c r="DN115" s="103"/>
      <c r="DO115" s="103"/>
      <c r="DP115" s="103"/>
      <c r="DQ115" s="103"/>
      <c r="DR115" s="103"/>
      <c r="DS115" s="103"/>
      <c r="DT115" s="103"/>
      <c r="DU115" s="103"/>
      <c r="DV115" s="103"/>
      <c r="DW115" s="103"/>
      <c r="DX115" s="103"/>
      <c r="DY115" s="103"/>
      <c r="DZ115" s="103"/>
      <c r="EA115" s="103"/>
      <c r="EB115" s="103"/>
      <c r="EC115" s="103"/>
      <c r="ED115" s="103"/>
      <c r="EE115" s="103"/>
      <c r="EF115" s="103"/>
      <c r="EG115" s="103"/>
      <c r="EH115" s="103"/>
      <c r="EI115" s="103"/>
      <c r="EJ115" s="103"/>
      <c r="EK115" s="103"/>
      <c r="EL115" s="103"/>
      <c r="EM115" s="103"/>
      <c r="EN115" s="103"/>
    </row>
    <row r="116" spans="1:255">
      <c r="A116" s="103"/>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c r="AA116" s="103"/>
      <c r="AB116" s="103"/>
      <c r="AC116" s="103"/>
      <c r="AD116" s="103"/>
      <c r="AE116" s="103"/>
      <c r="AG116" s="103"/>
      <c r="AH116" s="103"/>
      <c r="AI116" s="103"/>
      <c r="AJ116" s="103"/>
      <c r="AK116" s="103"/>
      <c r="AL116" s="103"/>
      <c r="AM116" s="103"/>
      <c r="AN116" s="103"/>
      <c r="AO116" s="103"/>
      <c r="AP116" s="103"/>
      <c r="AQ116" s="103"/>
      <c r="AR116" s="103"/>
      <c r="AS116" s="103"/>
      <c r="AT116" s="103"/>
      <c r="AU116" s="103"/>
      <c r="AV116" s="103"/>
      <c r="AW116" s="103"/>
      <c r="AX116" s="103"/>
      <c r="AY116" s="103"/>
      <c r="AZ116" s="103"/>
      <c r="BA116" s="103"/>
      <c r="BB116" s="103"/>
      <c r="BC116" s="103"/>
      <c r="BD116" s="103"/>
      <c r="BE116" s="103"/>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c r="CR116" s="103"/>
      <c r="CS116" s="103"/>
      <c r="CT116" s="103"/>
      <c r="CU116" s="103"/>
      <c r="CV116" s="103"/>
      <c r="CW116" s="103"/>
      <c r="CX116" s="103"/>
      <c r="CY116" s="103"/>
      <c r="CZ116" s="103"/>
      <c r="DA116" s="103"/>
      <c r="DB116" s="103"/>
      <c r="DC116" s="103"/>
      <c r="DD116" s="103"/>
      <c r="DE116" s="103"/>
      <c r="DF116" s="103"/>
      <c r="DG116" s="103"/>
      <c r="DH116" s="103"/>
      <c r="DI116" s="103"/>
      <c r="DJ116" s="103"/>
      <c r="DK116" s="103"/>
      <c r="DL116" s="103"/>
      <c r="DM116" s="103"/>
      <c r="DN116" s="103"/>
      <c r="DO116" s="103"/>
      <c r="DP116" s="103"/>
      <c r="DQ116" s="103"/>
      <c r="DR116" s="103"/>
      <c r="DS116" s="103"/>
      <c r="DT116" s="103"/>
      <c r="DU116" s="103"/>
      <c r="DV116" s="103"/>
      <c r="DW116" s="103"/>
      <c r="DX116" s="103"/>
      <c r="DY116" s="103"/>
      <c r="DZ116" s="103"/>
      <c r="EA116" s="103"/>
      <c r="EB116" s="103"/>
      <c r="EC116" s="103"/>
      <c r="ED116" s="103"/>
      <c r="EE116" s="103"/>
      <c r="EF116" s="103"/>
      <c r="EG116" s="103"/>
      <c r="EH116" s="103"/>
      <c r="EI116" s="103"/>
      <c r="EJ116" s="103"/>
      <c r="EK116" s="103"/>
      <c r="EL116" s="103"/>
      <c r="EM116" s="103"/>
      <c r="EN116" s="103"/>
    </row>
    <row r="117" spans="1:255">
      <c r="A117" s="103" t="s">
        <v>2146</v>
      </c>
      <c r="B117" s="113">
        <v>0</v>
      </c>
      <c r="C117" s="113">
        <v>0</v>
      </c>
      <c r="D117" s="113">
        <v>0</v>
      </c>
      <c r="E117" s="113">
        <v>0</v>
      </c>
      <c r="F117" s="113">
        <v>0</v>
      </c>
      <c r="G117" s="113">
        <v>0</v>
      </c>
      <c r="H117" s="113">
        <v>0</v>
      </c>
      <c r="I117" s="113">
        <v>0</v>
      </c>
      <c r="J117" s="113">
        <v>0</v>
      </c>
      <c r="K117" s="113">
        <v>0</v>
      </c>
      <c r="L117" s="113">
        <v>0</v>
      </c>
      <c r="M117" s="113">
        <v>0</v>
      </c>
      <c r="N117" s="113">
        <v>0</v>
      </c>
      <c r="O117" s="113">
        <v>664</v>
      </c>
      <c r="P117" s="113">
        <v>0</v>
      </c>
      <c r="Q117" s="113">
        <v>0</v>
      </c>
      <c r="R117" s="113">
        <v>0</v>
      </c>
      <c r="S117" s="113">
        <v>0</v>
      </c>
      <c r="T117" s="113">
        <v>0</v>
      </c>
      <c r="U117" s="113">
        <v>0</v>
      </c>
      <c r="V117" s="113">
        <v>0</v>
      </c>
      <c r="W117" s="113">
        <v>0</v>
      </c>
      <c r="X117" s="113">
        <v>0</v>
      </c>
      <c r="Y117" s="113">
        <v>0</v>
      </c>
      <c r="Z117" s="113">
        <v>0</v>
      </c>
      <c r="AA117" s="113">
        <v>0</v>
      </c>
      <c r="AB117" s="113">
        <v>0</v>
      </c>
      <c r="AC117" s="113">
        <v>0</v>
      </c>
      <c r="AD117" s="113">
        <v>0</v>
      </c>
      <c r="AE117" s="113">
        <v>0</v>
      </c>
      <c r="AG117" s="103" t="s">
        <v>2146</v>
      </c>
      <c r="AH117" s="113">
        <v>0</v>
      </c>
      <c r="AI117" s="113">
        <v>0</v>
      </c>
      <c r="AJ117" s="113">
        <v>0</v>
      </c>
      <c r="AK117" s="113">
        <v>0</v>
      </c>
      <c r="AL117" s="113">
        <v>0</v>
      </c>
      <c r="AM117" s="113">
        <v>0</v>
      </c>
      <c r="AN117" s="113">
        <v>0</v>
      </c>
      <c r="AO117" s="113">
        <v>0</v>
      </c>
      <c r="AP117" s="113">
        <v>0</v>
      </c>
      <c r="AQ117" s="113">
        <v>0</v>
      </c>
      <c r="AR117" s="113">
        <v>0</v>
      </c>
      <c r="AS117" s="113">
        <v>0</v>
      </c>
      <c r="AT117" s="113">
        <v>0</v>
      </c>
      <c r="AU117" s="113">
        <v>0</v>
      </c>
      <c r="AV117" s="113">
        <v>0</v>
      </c>
      <c r="AW117" s="113">
        <v>0</v>
      </c>
      <c r="AX117" s="113">
        <v>0</v>
      </c>
      <c r="AY117" s="113">
        <v>0</v>
      </c>
      <c r="AZ117" s="113">
        <v>0</v>
      </c>
      <c r="BA117" s="113">
        <v>0</v>
      </c>
      <c r="BB117" s="113">
        <v>0</v>
      </c>
      <c r="BC117" s="113">
        <v>0</v>
      </c>
      <c r="BD117" s="113">
        <v>0</v>
      </c>
      <c r="BE117" s="113">
        <v>0</v>
      </c>
      <c r="BF117" s="113">
        <v>0</v>
      </c>
      <c r="BG117" s="113">
        <v>0</v>
      </c>
      <c r="BH117" s="113">
        <v>0</v>
      </c>
      <c r="BI117" s="113">
        <v>0</v>
      </c>
      <c r="BJ117" s="113">
        <v>0</v>
      </c>
      <c r="BK117" s="113">
        <v>0</v>
      </c>
      <c r="BL117" s="113">
        <v>0</v>
      </c>
      <c r="BM117" s="113">
        <v>0</v>
      </c>
      <c r="BN117" s="113">
        <v>0</v>
      </c>
      <c r="BO117" s="113">
        <v>0</v>
      </c>
      <c r="BP117" s="113">
        <v>0</v>
      </c>
      <c r="BQ117" s="113">
        <v>0</v>
      </c>
      <c r="BR117" s="113">
        <v>0</v>
      </c>
      <c r="BS117" s="113">
        <v>0</v>
      </c>
      <c r="BT117" s="113">
        <v>0</v>
      </c>
      <c r="BU117" s="113">
        <v>0</v>
      </c>
      <c r="BV117" s="113">
        <v>0</v>
      </c>
      <c r="BW117" s="113">
        <v>0</v>
      </c>
      <c r="BX117" s="113">
        <v>0</v>
      </c>
      <c r="BY117" s="113">
        <v>0</v>
      </c>
      <c r="BZ117" s="113">
        <v>0</v>
      </c>
      <c r="CA117" s="113">
        <v>0</v>
      </c>
      <c r="CB117" s="113">
        <v>0</v>
      </c>
      <c r="CC117" s="113">
        <v>0</v>
      </c>
      <c r="CD117" s="113">
        <v>0</v>
      </c>
      <c r="CE117" s="113">
        <v>0</v>
      </c>
      <c r="CF117" s="113">
        <v>0</v>
      </c>
      <c r="CG117" s="113">
        <v>277</v>
      </c>
      <c r="CH117" s="113">
        <v>0</v>
      </c>
      <c r="CI117" s="113">
        <v>0</v>
      </c>
      <c r="CJ117" s="113">
        <v>0</v>
      </c>
      <c r="CK117" s="113">
        <v>0</v>
      </c>
      <c r="CL117" s="113">
        <v>0</v>
      </c>
      <c r="CM117" s="113">
        <v>0</v>
      </c>
      <c r="CN117" s="113">
        <v>0</v>
      </c>
      <c r="CO117" s="113">
        <v>0</v>
      </c>
      <c r="CP117" s="113">
        <v>0</v>
      </c>
      <c r="CQ117" s="113">
        <v>0</v>
      </c>
      <c r="CR117" s="113">
        <v>0</v>
      </c>
      <c r="CS117" s="113">
        <v>0</v>
      </c>
      <c r="CT117" s="113">
        <v>0</v>
      </c>
      <c r="CU117" s="113">
        <v>0</v>
      </c>
      <c r="CV117" s="113">
        <v>0</v>
      </c>
      <c r="CW117" s="113">
        <v>0</v>
      </c>
      <c r="CX117" s="113">
        <v>0</v>
      </c>
      <c r="CY117" s="113">
        <v>0</v>
      </c>
      <c r="CZ117" s="113">
        <v>0</v>
      </c>
      <c r="DA117" s="113">
        <v>0</v>
      </c>
      <c r="DB117" s="113">
        <v>0</v>
      </c>
      <c r="DC117" s="113">
        <v>0</v>
      </c>
      <c r="DD117" s="113">
        <v>0</v>
      </c>
      <c r="DE117" s="113">
        <v>0</v>
      </c>
      <c r="DF117" s="113">
        <v>0</v>
      </c>
      <c r="DG117" s="113">
        <v>0</v>
      </c>
      <c r="DH117" s="113">
        <v>0</v>
      </c>
      <c r="DI117" s="113">
        <v>0</v>
      </c>
      <c r="DJ117" s="113">
        <v>0</v>
      </c>
      <c r="DK117" s="113">
        <v>0</v>
      </c>
      <c r="DL117" s="113">
        <v>0</v>
      </c>
      <c r="DM117" s="113">
        <v>0</v>
      </c>
      <c r="DN117" s="113">
        <v>0</v>
      </c>
      <c r="DO117" s="113">
        <v>0</v>
      </c>
      <c r="DP117" s="113">
        <v>0</v>
      </c>
      <c r="DQ117" s="113">
        <v>0</v>
      </c>
      <c r="DR117" s="113">
        <v>0</v>
      </c>
      <c r="DS117" s="113">
        <v>0</v>
      </c>
      <c r="DT117" s="113">
        <v>0</v>
      </c>
      <c r="DU117" s="113">
        <v>0</v>
      </c>
      <c r="DV117" s="113">
        <v>0</v>
      </c>
      <c r="DW117" s="113">
        <v>0</v>
      </c>
      <c r="DX117" s="113">
        <v>0</v>
      </c>
      <c r="DY117" s="113">
        <v>0</v>
      </c>
      <c r="DZ117" s="113">
        <v>0</v>
      </c>
      <c r="EA117" s="113">
        <v>0</v>
      </c>
      <c r="EB117" s="113">
        <v>0</v>
      </c>
      <c r="EC117" s="113">
        <v>0</v>
      </c>
      <c r="ED117" s="113">
        <v>0</v>
      </c>
      <c r="EE117" s="113">
        <v>0</v>
      </c>
      <c r="EF117" s="113">
        <v>0</v>
      </c>
      <c r="EG117" s="113">
        <v>0</v>
      </c>
      <c r="EH117" s="113">
        <v>0</v>
      </c>
      <c r="EI117" s="113">
        <v>0</v>
      </c>
      <c r="EJ117" s="113">
        <v>0</v>
      </c>
      <c r="EK117" s="113">
        <v>0</v>
      </c>
      <c r="EL117" s="113">
        <v>0</v>
      </c>
      <c r="EM117" s="113">
        <v>0</v>
      </c>
      <c r="EN117" s="113">
        <v>0</v>
      </c>
    </row>
    <row r="118" spans="1:255">
      <c r="A118" s="103" t="s">
        <v>2147</v>
      </c>
      <c r="B118" s="113">
        <v>0</v>
      </c>
      <c r="C118" s="113">
        <v>0</v>
      </c>
      <c r="D118" s="113">
        <v>0</v>
      </c>
      <c r="E118" s="113">
        <v>0</v>
      </c>
      <c r="F118" s="113">
        <v>0</v>
      </c>
      <c r="G118" s="113">
        <v>0</v>
      </c>
      <c r="H118" s="113">
        <v>0</v>
      </c>
      <c r="I118" s="113">
        <v>0</v>
      </c>
      <c r="J118" s="113">
        <v>0</v>
      </c>
      <c r="K118" s="113">
        <v>0</v>
      </c>
      <c r="L118" s="113">
        <v>0</v>
      </c>
      <c r="M118" s="113">
        <v>3784</v>
      </c>
      <c r="N118" s="113">
        <v>3749</v>
      </c>
      <c r="O118" s="113">
        <v>5070</v>
      </c>
      <c r="P118" s="113">
        <v>2448</v>
      </c>
      <c r="Q118" s="113">
        <v>1715</v>
      </c>
      <c r="R118" s="113">
        <v>1550</v>
      </c>
      <c r="S118" s="113">
        <v>1479</v>
      </c>
      <c r="T118" s="113">
        <v>1708</v>
      </c>
      <c r="U118" s="113">
        <v>1891</v>
      </c>
      <c r="V118" s="113">
        <v>2166</v>
      </c>
      <c r="W118" s="113">
        <v>2244</v>
      </c>
      <c r="X118" s="113">
        <v>2406</v>
      </c>
      <c r="Y118" s="113">
        <v>2446</v>
      </c>
      <c r="Z118" s="113">
        <v>2574</v>
      </c>
      <c r="AA118" s="113">
        <v>2668</v>
      </c>
      <c r="AB118" s="113">
        <v>3266</v>
      </c>
      <c r="AC118" s="113">
        <v>3940</v>
      </c>
      <c r="AD118" s="113">
        <v>4652</v>
      </c>
      <c r="AE118" s="113">
        <v>5130</v>
      </c>
      <c r="AG118" s="103" t="s">
        <v>2147</v>
      </c>
      <c r="AH118" s="113">
        <v>0</v>
      </c>
      <c r="AI118" s="113">
        <v>0</v>
      </c>
      <c r="AJ118" s="113">
        <v>0</v>
      </c>
      <c r="AK118" s="113">
        <v>0</v>
      </c>
      <c r="AL118" s="113">
        <v>0</v>
      </c>
      <c r="AM118" s="113">
        <v>0</v>
      </c>
      <c r="AN118" s="113">
        <v>0</v>
      </c>
      <c r="AO118" s="113">
        <v>0</v>
      </c>
      <c r="AP118" s="113">
        <v>0</v>
      </c>
      <c r="AQ118" s="113">
        <v>0</v>
      </c>
      <c r="AR118" s="113">
        <v>0</v>
      </c>
      <c r="AS118" s="113">
        <v>0</v>
      </c>
      <c r="AT118" s="113">
        <v>0</v>
      </c>
      <c r="AU118" s="113">
        <v>0</v>
      </c>
      <c r="AV118" s="113">
        <v>0</v>
      </c>
      <c r="AW118" s="113">
        <v>0</v>
      </c>
      <c r="AX118" s="113">
        <v>0</v>
      </c>
      <c r="AY118" s="113">
        <v>0</v>
      </c>
      <c r="AZ118" s="113">
        <v>0</v>
      </c>
      <c r="BA118" s="113">
        <v>0</v>
      </c>
      <c r="BB118" s="113">
        <v>0</v>
      </c>
      <c r="BC118" s="113">
        <v>0</v>
      </c>
      <c r="BD118" s="113">
        <v>0</v>
      </c>
      <c r="BE118" s="113">
        <v>0</v>
      </c>
      <c r="BF118" s="113">
        <v>0</v>
      </c>
      <c r="BG118" s="113">
        <v>0</v>
      </c>
      <c r="BH118" s="113">
        <v>0</v>
      </c>
      <c r="BI118" s="113">
        <v>0</v>
      </c>
      <c r="BJ118" s="113">
        <v>0</v>
      </c>
      <c r="BK118" s="113">
        <v>0</v>
      </c>
      <c r="BL118" s="113">
        <v>0</v>
      </c>
      <c r="BM118" s="113">
        <v>0</v>
      </c>
      <c r="BN118" s="113">
        <v>0</v>
      </c>
      <c r="BO118" s="113">
        <v>0</v>
      </c>
      <c r="BP118" s="113">
        <v>0</v>
      </c>
      <c r="BQ118" s="113">
        <v>0</v>
      </c>
      <c r="BR118" s="113">
        <v>0</v>
      </c>
      <c r="BS118" s="113">
        <v>0</v>
      </c>
      <c r="BT118" s="113">
        <v>0</v>
      </c>
      <c r="BU118" s="113">
        <v>0</v>
      </c>
      <c r="BV118" s="113">
        <v>1048</v>
      </c>
      <c r="BW118" s="113">
        <v>1058</v>
      </c>
      <c r="BX118" s="113">
        <v>978</v>
      </c>
      <c r="BY118" s="113">
        <v>665</v>
      </c>
      <c r="BZ118" s="113">
        <v>1015</v>
      </c>
      <c r="CA118" s="113">
        <v>3232</v>
      </c>
      <c r="CB118" s="113">
        <v>748</v>
      </c>
      <c r="CC118" s="113">
        <v>739</v>
      </c>
      <c r="CD118" s="113">
        <v>745</v>
      </c>
      <c r="CE118" s="113">
        <v>551</v>
      </c>
      <c r="CF118" s="113">
        <v>617</v>
      </c>
      <c r="CG118" s="113">
        <v>258</v>
      </c>
      <c r="CH118" s="113">
        <v>464</v>
      </c>
      <c r="CI118" s="113">
        <v>514</v>
      </c>
      <c r="CJ118" s="113">
        <v>374</v>
      </c>
      <c r="CK118" s="113">
        <v>363</v>
      </c>
      <c r="CL118" s="113">
        <v>456</v>
      </c>
      <c r="CM118" s="113">
        <v>437</v>
      </c>
      <c r="CN118" s="113">
        <v>321</v>
      </c>
      <c r="CO118" s="113">
        <v>336</v>
      </c>
      <c r="CP118" s="113">
        <v>333</v>
      </c>
      <c r="CQ118" s="113">
        <v>360</v>
      </c>
      <c r="CR118" s="113">
        <v>373</v>
      </c>
      <c r="CS118" s="113">
        <v>413</v>
      </c>
      <c r="CT118" s="113">
        <v>443</v>
      </c>
      <c r="CU118" s="113">
        <v>417</v>
      </c>
      <c r="CV118" s="113">
        <v>432</v>
      </c>
      <c r="CW118" s="113">
        <v>416</v>
      </c>
      <c r="CX118" s="113">
        <v>443</v>
      </c>
      <c r="CY118" s="113">
        <v>485</v>
      </c>
      <c r="CZ118" s="113">
        <v>481</v>
      </c>
      <c r="DA118" s="113">
        <v>482</v>
      </c>
      <c r="DB118" s="113">
        <v>528</v>
      </c>
      <c r="DC118" s="113">
        <v>553</v>
      </c>
      <c r="DD118" s="113">
        <v>541</v>
      </c>
      <c r="DE118" s="113">
        <v>544</v>
      </c>
      <c r="DF118" s="113">
        <v>558</v>
      </c>
      <c r="DG118" s="113">
        <v>575</v>
      </c>
      <c r="DH118" s="113">
        <v>591</v>
      </c>
      <c r="DI118" s="113">
        <v>520</v>
      </c>
      <c r="DJ118" s="113">
        <v>603</v>
      </c>
      <c r="DK118" s="113">
        <v>603</v>
      </c>
      <c r="DL118" s="113">
        <v>599</v>
      </c>
      <c r="DM118" s="113">
        <v>601</v>
      </c>
      <c r="DN118" s="113">
        <v>635</v>
      </c>
      <c r="DO118" s="113">
        <v>591</v>
      </c>
      <c r="DP118" s="113">
        <v>602</v>
      </c>
      <c r="DQ118" s="113">
        <v>618</v>
      </c>
      <c r="DR118" s="113">
        <v>646</v>
      </c>
      <c r="DS118" s="113">
        <v>633</v>
      </c>
      <c r="DT118" s="113">
        <v>641</v>
      </c>
      <c r="DU118" s="113">
        <v>654</v>
      </c>
      <c r="DV118" s="113">
        <v>674</v>
      </c>
      <c r="DW118" s="113">
        <v>658</v>
      </c>
      <c r="DX118" s="113">
        <v>672</v>
      </c>
      <c r="DY118" s="113">
        <v>664</v>
      </c>
      <c r="DZ118" s="113">
        <v>703</v>
      </c>
      <c r="EA118" s="113">
        <v>767</v>
      </c>
      <c r="EB118" s="113">
        <v>883</v>
      </c>
      <c r="EC118" s="113">
        <v>913</v>
      </c>
      <c r="ED118" s="113">
        <v>973</v>
      </c>
      <c r="EE118" s="113">
        <v>986</v>
      </c>
      <c r="EF118" s="113">
        <v>969</v>
      </c>
      <c r="EG118" s="113">
        <v>1012</v>
      </c>
      <c r="EH118" s="113">
        <v>1107</v>
      </c>
      <c r="EI118" s="113">
        <v>1183</v>
      </c>
      <c r="EJ118" s="113">
        <v>1172</v>
      </c>
      <c r="EK118" s="113">
        <v>1190</v>
      </c>
      <c r="EL118" s="113">
        <v>1262</v>
      </c>
      <c r="EM118" s="113">
        <v>1340</v>
      </c>
      <c r="EN118" s="113">
        <v>1338</v>
      </c>
    </row>
    <row r="119" spans="1:255" ht="10.5">
      <c r="A119" s="112" t="s">
        <v>2148</v>
      </c>
      <c r="B119" s="115">
        <v>0</v>
      </c>
      <c r="C119" s="115">
        <v>0</v>
      </c>
      <c r="D119" s="115">
        <v>0</v>
      </c>
      <c r="E119" s="115">
        <v>0</v>
      </c>
      <c r="F119" s="115">
        <v>0</v>
      </c>
      <c r="G119" s="115">
        <v>0</v>
      </c>
      <c r="H119" s="115">
        <v>0</v>
      </c>
      <c r="I119" s="115">
        <v>0</v>
      </c>
      <c r="J119" s="115">
        <v>0</v>
      </c>
      <c r="K119" s="115">
        <v>0</v>
      </c>
      <c r="L119" s="115">
        <v>0</v>
      </c>
      <c r="M119" s="115">
        <v>3784</v>
      </c>
      <c r="N119" s="115">
        <v>3749</v>
      </c>
      <c r="O119" s="115">
        <v>5734</v>
      </c>
      <c r="P119" s="115">
        <v>2448</v>
      </c>
      <c r="Q119" s="115">
        <v>1715</v>
      </c>
      <c r="R119" s="115">
        <v>1550</v>
      </c>
      <c r="S119" s="115">
        <v>1479</v>
      </c>
      <c r="T119" s="115">
        <v>1708</v>
      </c>
      <c r="U119" s="115">
        <v>1891</v>
      </c>
      <c r="V119" s="115">
        <v>2166</v>
      </c>
      <c r="W119" s="115">
        <v>2244</v>
      </c>
      <c r="X119" s="115">
        <v>2406</v>
      </c>
      <c r="Y119" s="115">
        <v>2446</v>
      </c>
      <c r="Z119" s="115">
        <v>2574</v>
      </c>
      <c r="AA119" s="115">
        <v>2668</v>
      </c>
      <c r="AB119" s="115">
        <v>3266</v>
      </c>
      <c r="AC119" s="115">
        <v>3940</v>
      </c>
      <c r="AD119" s="115">
        <v>4652</v>
      </c>
      <c r="AE119" s="115">
        <v>5130</v>
      </c>
      <c r="AG119" s="112" t="s">
        <v>2148</v>
      </c>
      <c r="AH119" s="115">
        <v>0</v>
      </c>
      <c r="AI119" s="115">
        <v>0</v>
      </c>
      <c r="AJ119" s="115">
        <v>0</v>
      </c>
      <c r="AK119" s="115">
        <v>0</v>
      </c>
      <c r="AL119" s="115">
        <v>0</v>
      </c>
      <c r="AM119" s="115">
        <v>0</v>
      </c>
      <c r="AN119" s="115">
        <v>0</v>
      </c>
      <c r="AO119" s="115">
        <v>0</v>
      </c>
      <c r="AP119" s="115">
        <v>0</v>
      </c>
      <c r="AQ119" s="115">
        <v>0</v>
      </c>
      <c r="AR119" s="115">
        <v>0</v>
      </c>
      <c r="AS119" s="115">
        <v>0</v>
      </c>
      <c r="AT119" s="115">
        <v>0</v>
      </c>
      <c r="AU119" s="115">
        <v>0</v>
      </c>
      <c r="AV119" s="115">
        <v>0</v>
      </c>
      <c r="AW119" s="115">
        <v>0</v>
      </c>
      <c r="AX119" s="115">
        <v>0</v>
      </c>
      <c r="AY119" s="115">
        <v>0</v>
      </c>
      <c r="AZ119" s="115">
        <v>0</v>
      </c>
      <c r="BA119" s="115">
        <v>0</v>
      </c>
      <c r="BB119" s="115">
        <v>0</v>
      </c>
      <c r="BC119" s="115">
        <v>0</v>
      </c>
      <c r="BD119" s="115">
        <v>0</v>
      </c>
      <c r="BE119" s="115">
        <v>0</v>
      </c>
      <c r="BF119" s="115">
        <v>0</v>
      </c>
      <c r="BG119" s="115">
        <v>0</v>
      </c>
      <c r="BH119" s="115">
        <v>0</v>
      </c>
      <c r="BI119" s="115">
        <v>0</v>
      </c>
      <c r="BJ119" s="115">
        <v>0</v>
      </c>
      <c r="BK119" s="115">
        <v>0</v>
      </c>
      <c r="BL119" s="115">
        <v>0</v>
      </c>
      <c r="BM119" s="115">
        <v>0</v>
      </c>
      <c r="BN119" s="115">
        <v>0</v>
      </c>
      <c r="BO119" s="115">
        <v>0</v>
      </c>
      <c r="BP119" s="115">
        <v>0</v>
      </c>
      <c r="BQ119" s="115">
        <v>0</v>
      </c>
      <c r="BR119" s="115">
        <v>0</v>
      </c>
      <c r="BS119" s="115">
        <v>0</v>
      </c>
      <c r="BT119" s="115">
        <v>0</v>
      </c>
      <c r="BU119" s="115">
        <v>0</v>
      </c>
      <c r="BV119" s="115">
        <v>1048</v>
      </c>
      <c r="BW119" s="115">
        <v>1058</v>
      </c>
      <c r="BX119" s="115">
        <v>978</v>
      </c>
      <c r="BY119" s="115">
        <v>665</v>
      </c>
      <c r="BZ119" s="115">
        <v>1015</v>
      </c>
      <c r="CA119" s="115">
        <v>3232</v>
      </c>
      <c r="CB119" s="115">
        <v>748</v>
      </c>
      <c r="CC119" s="115">
        <v>739</v>
      </c>
      <c r="CD119" s="115">
        <v>745</v>
      </c>
      <c r="CE119" s="115">
        <v>551</v>
      </c>
      <c r="CF119" s="115">
        <v>617</v>
      </c>
      <c r="CG119" s="115">
        <v>535</v>
      </c>
      <c r="CH119" s="115">
        <v>464</v>
      </c>
      <c r="CI119" s="115">
        <v>514</v>
      </c>
      <c r="CJ119" s="115">
        <v>374</v>
      </c>
      <c r="CK119" s="115">
        <v>363</v>
      </c>
      <c r="CL119" s="115">
        <v>456</v>
      </c>
      <c r="CM119" s="115">
        <v>437</v>
      </c>
      <c r="CN119" s="115">
        <v>321</v>
      </c>
      <c r="CO119" s="115">
        <v>336</v>
      </c>
      <c r="CP119" s="115">
        <v>333</v>
      </c>
      <c r="CQ119" s="115">
        <v>360</v>
      </c>
      <c r="CR119" s="115">
        <v>373</v>
      </c>
      <c r="CS119" s="115">
        <v>413</v>
      </c>
      <c r="CT119" s="115">
        <v>443</v>
      </c>
      <c r="CU119" s="115">
        <v>417</v>
      </c>
      <c r="CV119" s="115">
        <v>432</v>
      </c>
      <c r="CW119" s="115">
        <v>416</v>
      </c>
      <c r="CX119" s="115">
        <v>443</v>
      </c>
      <c r="CY119" s="115">
        <v>485</v>
      </c>
      <c r="CZ119" s="115">
        <v>481</v>
      </c>
      <c r="DA119" s="115">
        <v>482</v>
      </c>
      <c r="DB119" s="115">
        <v>528</v>
      </c>
      <c r="DC119" s="115">
        <v>553</v>
      </c>
      <c r="DD119" s="115">
        <v>541</v>
      </c>
      <c r="DE119" s="115">
        <v>544</v>
      </c>
      <c r="DF119" s="115">
        <v>558</v>
      </c>
      <c r="DG119" s="115">
        <v>575</v>
      </c>
      <c r="DH119" s="115">
        <v>591</v>
      </c>
      <c r="DI119" s="115">
        <v>520</v>
      </c>
      <c r="DJ119" s="115">
        <v>603</v>
      </c>
      <c r="DK119" s="115">
        <v>603</v>
      </c>
      <c r="DL119" s="115">
        <v>599</v>
      </c>
      <c r="DM119" s="115">
        <v>601</v>
      </c>
      <c r="DN119" s="115">
        <v>635</v>
      </c>
      <c r="DO119" s="115">
        <v>591</v>
      </c>
      <c r="DP119" s="115">
        <v>602</v>
      </c>
      <c r="DQ119" s="115">
        <v>618</v>
      </c>
      <c r="DR119" s="115">
        <v>646</v>
      </c>
      <c r="DS119" s="115">
        <v>633</v>
      </c>
      <c r="DT119" s="115">
        <v>641</v>
      </c>
      <c r="DU119" s="115">
        <v>654</v>
      </c>
      <c r="DV119" s="115">
        <v>674</v>
      </c>
      <c r="DW119" s="115">
        <v>658</v>
      </c>
      <c r="DX119" s="115">
        <v>672</v>
      </c>
      <c r="DY119" s="115">
        <v>664</v>
      </c>
      <c r="DZ119" s="115">
        <v>703</v>
      </c>
      <c r="EA119" s="115">
        <v>767</v>
      </c>
      <c r="EB119" s="115">
        <v>883</v>
      </c>
      <c r="EC119" s="115">
        <v>913</v>
      </c>
      <c r="ED119" s="115">
        <v>973</v>
      </c>
      <c r="EE119" s="115">
        <v>986</v>
      </c>
      <c r="EF119" s="115">
        <v>969</v>
      </c>
      <c r="EG119" s="115">
        <v>1012</v>
      </c>
      <c r="EH119" s="115">
        <v>1107</v>
      </c>
      <c r="EI119" s="115">
        <v>1183</v>
      </c>
      <c r="EJ119" s="115">
        <v>1172</v>
      </c>
      <c r="EK119" s="115">
        <v>1190</v>
      </c>
      <c r="EL119" s="115">
        <v>1262</v>
      </c>
      <c r="EM119" s="115">
        <v>1340</v>
      </c>
      <c r="EN119" s="115">
        <v>1338</v>
      </c>
    </row>
    <row r="120" spans="1:255">
      <c r="A120" s="103"/>
      <c r="B120" s="103"/>
      <c r="C120" s="103"/>
      <c r="D120" s="103"/>
      <c r="E120" s="103"/>
      <c r="F120" s="103"/>
      <c r="G120" s="103"/>
      <c r="H120" s="103"/>
      <c r="I120" s="103"/>
      <c r="J120" s="103"/>
      <c r="K120" s="103"/>
      <c r="L120" s="103"/>
      <c r="M120" s="103"/>
      <c r="N120" s="103"/>
      <c r="O120" s="103"/>
      <c r="P120" s="103"/>
      <c r="Q120" s="103"/>
      <c r="R120" s="103"/>
      <c r="S120" s="103"/>
      <c r="T120" s="103"/>
      <c r="U120" s="103"/>
      <c r="V120" s="103"/>
      <c r="W120" s="103"/>
      <c r="X120" s="103"/>
      <c r="Y120" s="103"/>
      <c r="Z120" s="103"/>
      <c r="AA120" s="103"/>
      <c r="AB120" s="103"/>
      <c r="AC120" s="103"/>
      <c r="AD120" s="103"/>
      <c r="AE120" s="103"/>
      <c r="AG120" s="103"/>
      <c r="AH120" s="103"/>
      <c r="AI120" s="103"/>
      <c r="AJ120" s="103"/>
      <c r="AK120" s="103"/>
      <c r="AL120" s="103"/>
      <c r="AM120" s="103"/>
      <c r="AN120" s="103"/>
      <c r="AO120" s="103"/>
      <c r="AP120" s="103"/>
      <c r="AQ120" s="103"/>
      <c r="AR120" s="103"/>
      <c r="AS120" s="103"/>
      <c r="AT120" s="103"/>
      <c r="AU120" s="103"/>
      <c r="AV120" s="103"/>
      <c r="AW120" s="103"/>
      <c r="AX120" s="103"/>
      <c r="AY120" s="103"/>
      <c r="AZ120" s="103"/>
      <c r="BA120" s="103"/>
      <c r="BB120" s="103"/>
      <c r="BC120" s="103"/>
      <c r="BD120" s="103"/>
      <c r="BE120" s="103"/>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c r="CR120" s="103"/>
      <c r="CS120" s="103"/>
      <c r="CT120" s="103"/>
      <c r="CU120" s="103"/>
      <c r="CV120" s="103"/>
      <c r="CW120" s="103"/>
      <c r="CX120" s="103"/>
      <c r="CY120" s="103"/>
      <c r="CZ120" s="103"/>
      <c r="DA120" s="103"/>
      <c r="DB120" s="103"/>
      <c r="DC120" s="103"/>
      <c r="DD120" s="103"/>
      <c r="DE120" s="103"/>
      <c r="DF120" s="103"/>
      <c r="DG120" s="103"/>
      <c r="DH120" s="103"/>
      <c r="DI120" s="103"/>
      <c r="DJ120" s="103"/>
      <c r="DK120" s="103"/>
      <c r="DL120" s="103"/>
      <c r="DM120" s="103"/>
      <c r="DN120" s="103"/>
      <c r="DO120" s="103"/>
      <c r="DP120" s="103"/>
      <c r="DQ120" s="103"/>
      <c r="DR120" s="103"/>
      <c r="DS120" s="103"/>
      <c r="DT120" s="103"/>
      <c r="DU120" s="103"/>
      <c r="DV120" s="103"/>
      <c r="DW120" s="103"/>
      <c r="DX120" s="103"/>
      <c r="DY120" s="103"/>
      <c r="DZ120" s="103"/>
      <c r="EA120" s="103"/>
      <c r="EB120" s="103"/>
      <c r="EC120" s="103"/>
      <c r="ED120" s="103"/>
      <c r="EE120" s="103"/>
      <c r="EF120" s="103"/>
      <c r="EG120" s="103"/>
      <c r="EH120" s="103"/>
      <c r="EI120" s="103"/>
      <c r="EJ120" s="103"/>
      <c r="EK120" s="103"/>
      <c r="EL120" s="103"/>
      <c r="EM120" s="103"/>
      <c r="EN120" s="103"/>
      <c r="EP120" s="107"/>
      <c r="EQ120" s="107"/>
      <c r="ER120" s="107"/>
      <c r="ES120" s="107"/>
      <c r="ET120" s="107"/>
      <c r="EU120" s="107"/>
      <c r="EV120" s="107"/>
      <c r="EW120" s="107"/>
      <c r="EX120" s="107"/>
      <c r="EY120" s="107"/>
      <c r="EZ120" s="107"/>
      <c r="FA120" s="107"/>
      <c r="FB120" s="107"/>
      <c r="FC120" s="107"/>
      <c r="FD120" s="107"/>
      <c r="FE120" s="107"/>
      <c r="FF120" s="107"/>
      <c r="FG120" s="107"/>
      <c r="FH120" s="107"/>
      <c r="FI120" s="107"/>
      <c r="FJ120" s="107"/>
      <c r="FK120" s="107"/>
      <c r="FL120" s="107"/>
      <c r="FM120" s="107"/>
      <c r="FN120" s="107"/>
      <c r="FO120" s="107"/>
      <c r="FP120" s="107"/>
      <c r="FQ120" s="107"/>
      <c r="FR120" s="107"/>
      <c r="FS120" s="107"/>
      <c r="FT120" s="107"/>
      <c r="FU120" s="107"/>
      <c r="FV120" s="107"/>
      <c r="FW120" s="107"/>
      <c r="FX120" s="107"/>
      <c r="FY120" s="107"/>
      <c r="FZ120" s="107"/>
      <c r="GA120" s="107"/>
      <c r="GB120" s="107"/>
      <c r="GC120" s="107"/>
      <c r="GD120" s="107"/>
      <c r="GE120" s="107"/>
      <c r="GF120" s="107"/>
      <c r="GG120" s="107"/>
      <c r="GH120" s="107"/>
      <c r="GI120" s="107"/>
      <c r="GJ120" s="107"/>
      <c r="GK120" s="107"/>
      <c r="GL120" s="107"/>
      <c r="GM120" s="107"/>
      <c r="GN120" s="107"/>
      <c r="GO120" s="107"/>
      <c r="GP120" s="107"/>
      <c r="GQ120" s="107"/>
      <c r="GR120" s="107"/>
      <c r="GS120" s="107"/>
      <c r="GT120" s="107"/>
      <c r="GU120" s="107"/>
      <c r="GV120" s="107"/>
      <c r="GW120" s="107"/>
      <c r="GX120" s="107"/>
      <c r="GY120" s="107"/>
      <c r="GZ120" s="107"/>
      <c r="HA120" s="107"/>
      <c r="HB120" s="107"/>
      <c r="HC120" s="107"/>
      <c r="HD120" s="107"/>
      <c r="HE120" s="107"/>
      <c r="HF120" s="107"/>
      <c r="HG120" s="107"/>
      <c r="HH120" s="107"/>
      <c r="HI120" s="107"/>
      <c r="HJ120" s="107"/>
      <c r="HK120" s="107"/>
      <c r="HL120" s="107"/>
      <c r="HM120" s="107"/>
      <c r="HN120" s="107"/>
      <c r="HO120" s="107"/>
      <c r="HP120" s="107"/>
      <c r="HQ120" s="107"/>
      <c r="HR120" s="107"/>
      <c r="HS120" s="107"/>
      <c r="HT120" s="107"/>
      <c r="HU120" s="107"/>
      <c r="HV120" s="107"/>
      <c r="HW120" s="107"/>
      <c r="HX120" s="107"/>
      <c r="HY120" s="107"/>
      <c r="HZ120" s="107"/>
      <c r="IA120" s="107"/>
      <c r="IB120" s="107"/>
      <c r="IC120" s="107"/>
      <c r="ID120" s="107"/>
      <c r="IE120" s="107"/>
      <c r="IF120" s="107"/>
      <c r="IG120" s="107"/>
      <c r="IH120" s="107"/>
      <c r="II120" s="107"/>
      <c r="IJ120" s="107"/>
      <c r="IK120" s="107"/>
      <c r="IL120" s="107"/>
      <c r="IM120" s="107"/>
      <c r="IN120" s="107"/>
      <c r="IO120" s="107"/>
      <c r="IP120" s="107"/>
      <c r="IQ120" s="107"/>
      <c r="IR120" s="107"/>
      <c r="IS120" s="107"/>
      <c r="IT120" s="107"/>
      <c r="IU120" s="107"/>
    </row>
    <row r="121" spans="1:255">
      <c r="A121" s="106" t="s">
        <v>572</v>
      </c>
      <c r="B121" s="106"/>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c r="AA121" s="106"/>
      <c r="AB121" s="106"/>
      <c r="AC121" s="106"/>
      <c r="AD121" s="106"/>
      <c r="AE121" s="106"/>
      <c r="AF121" s="107"/>
      <c r="AG121" s="106" t="s">
        <v>572</v>
      </c>
      <c r="AH121" s="106"/>
      <c r="AI121" s="106"/>
      <c r="AJ121" s="106"/>
      <c r="AK121" s="106"/>
      <c r="AL121" s="106"/>
      <c r="AM121" s="106"/>
      <c r="AN121" s="106"/>
      <c r="AO121" s="106"/>
      <c r="AP121" s="106"/>
      <c r="AQ121" s="106"/>
      <c r="AR121" s="106"/>
      <c r="AS121" s="106"/>
      <c r="AT121" s="106"/>
      <c r="AU121" s="106"/>
      <c r="AV121" s="106"/>
      <c r="AW121" s="106"/>
      <c r="AX121" s="106"/>
      <c r="AY121" s="106"/>
      <c r="AZ121" s="106"/>
      <c r="BA121" s="106"/>
      <c r="BB121" s="106"/>
      <c r="BC121" s="106"/>
      <c r="BD121" s="106"/>
      <c r="BE121" s="106"/>
      <c r="BF121" s="106"/>
      <c r="BG121" s="106"/>
      <c r="BH121" s="106"/>
      <c r="BI121" s="106"/>
      <c r="BJ121" s="106"/>
      <c r="BK121" s="106"/>
      <c r="BL121" s="106"/>
      <c r="BM121" s="106"/>
      <c r="BN121" s="106"/>
      <c r="BO121" s="106"/>
      <c r="BP121" s="106"/>
      <c r="BQ121" s="106"/>
      <c r="BR121" s="106"/>
      <c r="BS121" s="106"/>
      <c r="BT121" s="106"/>
      <c r="BU121" s="106"/>
      <c r="BV121" s="106"/>
      <c r="BW121" s="106"/>
      <c r="BX121" s="106"/>
      <c r="BY121" s="106"/>
      <c r="BZ121" s="106"/>
      <c r="CA121" s="106"/>
      <c r="CB121" s="106"/>
      <c r="CC121" s="106"/>
      <c r="CD121" s="106"/>
      <c r="CE121" s="106"/>
      <c r="CF121" s="106"/>
      <c r="CG121" s="106"/>
      <c r="CH121" s="106"/>
      <c r="CI121" s="106"/>
      <c r="CJ121" s="106"/>
      <c r="CK121" s="106"/>
      <c r="CL121" s="106"/>
      <c r="CM121" s="106"/>
      <c r="CN121" s="106"/>
      <c r="CO121" s="106"/>
      <c r="CP121" s="106"/>
      <c r="CQ121" s="106"/>
      <c r="CR121" s="106"/>
      <c r="CS121" s="106"/>
      <c r="CT121" s="106"/>
      <c r="CU121" s="106"/>
      <c r="CV121" s="106"/>
      <c r="CW121" s="106"/>
      <c r="CX121" s="106"/>
      <c r="CY121" s="106"/>
      <c r="CZ121" s="106"/>
      <c r="DA121" s="106"/>
      <c r="DB121" s="106"/>
      <c r="DC121" s="106"/>
      <c r="DD121" s="106"/>
      <c r="DE121" s="106"/>
      <c r="DF121" s="106"/>
      <c r="DG121" s="106"/>
      <c r="DH121" s="106"/>
      <c r="DI121" s="106"/>
      <c r="DJ121" s="106"/>
      <c r="DK121" s="106"/>
      <c r="DL121" s="106"/>
      <c r="DM121" s="106"/>
      <c r="DN121" s="106"/>
      <c r="DO121" s="106"/>
      <c r="DP121" s="106"/>
      <c r="DQ121" s="106"/>
      <c r="DR121" s="106"/>
      <c r="DS121" s="106"/>
      <c r="DT121" s="106"/>
      <c r="DU121" s="106"/>
      <c r="DV121" s="106"/>
      <c r="DW121" s="106"/>
      <c r="DX121" s="106"/>
      <c r="DY121" s="106"/>
      <c r="DZ121" s="106"/>
      <c r="EA121" s="106"/>
      <c r="EB121" s="106"/>
      <c r="EC121" s="106"/>
      <c r="ED121" s="106"/>
      <c r="EE121" s="106"/>
      <c r="EF121" s="106"/>
      <c r="EG121" s="106"/>
      <c r="EH121" s="106"/>
      <c r="EI121" s="106"/>
      <c r="EJ121" s="106"/>
      <c r="EK121" s="106"/>
      <c r="EL121" s="106"/>
      <c r="EM121" s="106"/>
      <c r="EN121" s="106"/>
      <c r="EO121" s="107"/>
    </row>
    <row r="122" spans="1:255" ht="31.5">
      <c r="A122" s="108" t="s">
        <v>2149</v>
      </c>
      <c r="B122" s="123">
        <v>33419</v>
      </c>
      <c r="C122" s="109" t="s">
        <v>2150</v>
      </c>
      <c r="D122" s="123">
        <v>34150</v>
      </c>
      <c r="E122" s="123">
        <v>34515</v>
      </c>
      <c r="F122" s="123">
        <v>34880</v>
      </c>
      <c r="G122" s="123">
        <v>35246</v>
      </c>
      <c r="H122" s="123">
        <v>35611</v>
      </c>
      <c r="I122" s="109" t="s">
        <v>2151</v>
      </c>
      <c r="J122" s="109" t="s">
        <v>2152</v>
      </c>
      <c r="K122" s="123">
        <v>36707</v>
      </c>
      <c r="L122" s="109" t="s">
        <v>2153</v>
      </c>
      <c r="M122" s="123">
        <v>37437</v>
      </c>
      <c r="N122" s="109" t="s">
        <v>2154</v>
      </c>
      <c r="O122" s="109" t="s">
        <v>2155</v>
      </c>
      <c r="P122" s="123">
        <v>38533</v>
      </c>
      <c r="Q122" s="123">
        <v>38898</v>
      </c>
      <c r="R122" s="123">
        <v>39263</v>
      </c>
      <c r="S122" s="123">
        <v>39629</v>
      </c>
      <c r="T122" s="123">
        <v>39994</v>
      </c>
      <c r="U122" s="123">
        <v>40359</v>
      </c>
      <c r="V122" s="123">
        <v>40724</v>
      </c>
      <c r="W122" s="123">
        <v>41090</v>
      </c>
      <c r="X122" s="123">
        <v>41455</v>
      </c>
      <c r="Y122" s="123">
        <v>41820</v>
      </c>
      <c r="Z122" s="109" t="s">
        <v>2156</v>
      </c>
      <c r="AA122" s="109" t="s">
        <v>2157</v>
      </c>
      <c r="AB122" s="109" t="s">
        <v>2158</v>
      </c>
      <c r="AC122" s="123">
        <v>43281</v>
      </c>
      <c r="AD122" s="123">
        <v>43646</v>
      </c>
      <c r="AE122" s="123">
        <v>43921</v>
      </c>
      <c r="AG122" s="108" t="s">
        <v>2149</v>
      </c>
      <c r="AH122" s="109" t="s">
        <v>2159</v>
      </c>
      <c r="AI122" s="109" t="s">
        <v>2160</v>
      </c>
      <c r="AJ122" s="109" t="s">
        <v>2161</v>
      </c>
      <c r="AK122" s="109" t="s">
        <v>2162</v>
      </c>
      <c r="AL122" s="109" t="s">
        <v>2163</v>
      </c>
      <c r="AM122" s="109" t="s">
        <v>2164</v>
      </c>
      <c r="AN122" s="109" t="s">
        <v>2165</v>
      </c>
      <c r="AO122" s="109" t="s">
        <v>2166</v>
      </c>
      <c r="AP122" s="109" t="s">
        <v>2167</v>
      </c>
      <c r="AQ122" s="109" t="s">
        <v>2168</v>
      </c>
      <c r="AR122" s="109" t="s">
        <v>2169</v>
      </c>
      <c r="AS122" s="109" t="s">
        <v>2170</v>
      </c>
      <c r="AT122" s="109" t="s">
        <v>2171</v>
      </c>
      <c r="AU122" s="109" t="s">
        <v>2172</v>
      </c>
      <c r="AV122" s="109" t="s">
        <v>2173</v>
      </c>
      <c r="AW122" s="109" t="s">
        <v>2174</v>
      </c>
      <c r="AX122" s="109" t="s">
        <v>2175</v>
      </c>
      <c r="AY122" s="109" t="s">
        <v>2176</v>
      </c>
      <c r="AZ122" s="109" t="s">
        <v>2177</v>
      </c>
      <c r="BA122" s="109" t="s">
        <v>2178</v>
      </c>
      <c r="BB122" s="109" t="s">
        <v>2179</v>
      </c>
      <c r="BC122" s="109" t="s">
        <v>2180</v>
      </c>
      <c r="BD122" s="109" t="s">
        <v>2181</v>
      </c>
      <c r="BE122" s="109" t="s">
        <v>2182</v>
      </c>
      <c r="BF122" s="109" t="s">
        <v>2183</v>
      </c>
      <c r="BG122" s="109" t="s">
        <v>2184</v>
      </c>
      <c r="BH122" s="109" t="s">
        <v>2185</v>
      </c>
      <c r="BI122" s="109" t="s">
        <v>2186</v>
      </c>
      <c r="BJ122" s="109" t="s">
        <v>2187</v>
      </c>
      <c r="BK122" s="109" t="s">
        <v>2188</v>
      </c>
      <c r="BL122" s="109" t="s">
        <v>2189</v>
      </c>
      <c r="BM122" s="109" t="s">
        <v>2190</v>
      </c>
      <c r="BN122" s="109" t="s">
        <v>2191</v>
      </c>
      <c r="BO122" s="109" t="s">
        <v>2192</v>
      </c>
      <c r="BP122" s="109" t="s">
        <v>2193</v>
      </c>
      <c r="BQ122" s="109" t="s">
        <v>2194</v>
      </c>
      <c r="BR122" s="109" t="s">
        <v>2195</v>
      </c>
      <c r="BS122" s="109" t="s">
        <v>2196</v>
      </c>
      <c r="BT122" s="109" t="s">
        <v>2197</v>
      </c>
      <c r="BU122" s="109" t="s">
        <v>2198</v>
      </c>
      <c r="BV122" s="109" t="s">
        <v>2199</v>
      </c>
      <c r="BW122" s="109" t="s">
        <v>2200</v>
      </c>
      <c r="BX122" s="109" t="s">
        <v>2201</v>
      </c>
      <c r="BY122" s="109" t="s">
        <v>2202</v>
      </c>
      <c r="BZ122" s="109" t="s">
        <v>2203</v>
      </c>
      <c r="CA122" s="109" t="s">
        <v>2204</v>
      </c>
      <c r="CB122" s="109" t="s">
        <v>2205</v>
      </c>
      <c r="CC122" s="109" t="s">
        <v>2206</v>
      </c>
      <c r="CD122" s="109" t="s">
        <v>2207</v>
      </c>
      <c r="CE122" s="109" t="s">
        <v>2208</v>
      </c>
      <c r="CF122" s="109" t="s">
        <v>2209</v>
      </c>
      <c r="CG122" s="109" t="s">
        <v>2210</v>
      </c>
      <c r="CH122" s="109" t="s">
        <v>2211</v>
      </c>
      <c r="CI122" s="109" t="s">
        <v>2212</v>
      </c>
      <c r="CJ122" s="109" t="s">
        <v>2213</v>
      </c>
      <c r="CK122" s="109" t="s">
        <v>2214</v>
      </c>
      <c r="CL122" s="109" t="s">
        <v>2215</v>
      </c>
      <c r="CM122" s="109" t="s">
        <v>2216</v>
      </c>
      <c r="CN122" s="109" t="s">
        <v>2217</v>
      </c>
      <c r="CO122" s="109" t="s">
        <v>2218</v>
      </c>
      <c r="CP122" s="109" t="s">
        <v>2219</v>
      </c>
      <c r="CQ122" s="109" t="s">
        <v>2220</v>
      </c>
      <c r="CR122" s="109" t="s">
        <v>2221</v>
      </c>
      <c r="CS122" s="109" t="s">
        <v>2222</v>
      </c>
      <c r="CT122" s="109" t="s">
        <v>2223</v>
      </c>
      <c r="CU122" s="109" t="s">
        <v>2224</v>
      </c>
      <c r="CV122" s="109" t="s">
        <v>2225</v>
      </c>
      <c r="CW122" s="109" t="s">
        <v>2226</v>
      </c>
      <c r="CX122" s="109" t="s">
        <v>2227</v>
      </c>
      <c r="CY122" s="109" t="s">
        <v>2228</v>
      </c>
      <c r="CZ122" s="109" t="s">
        <v>2229</v>
      </c>
      <c r="DA122" s="109" t="s">
        <v>2230</v>
      </c>
      <c r="DB122" s="109" t="s">
        <v>2231</v>
      </c>
      <c r="DC122" s="109" t="s">
        <v>2232</v>
      </c>
      <c r="DD122" s="109" t="s">
        <v>2233</v>
      </c>
      <c r="DE122" s="109" t="s">
        <v>2234</v>
      </c>
      <c r="DF122" s="109" t="s">
        <v>2235</v>
      </c>
      <c r="DG122" s="109" t="s">
        <v>2236</v>
      </c>
      <c r="DH122" s="109" t="s">
        <v>2237</v>
      </c>
      <c r="DI122" s="109" t="s">
        <v>2238</v>
      </c>
      <c r="DJ122" s="109" t="s">
        <v>2239</v>
      </c>
      <c r="DK122" s="109" t="s">
        <v>2240</v>
      </c>
      <c r="DL122" s="109" t="s">
        <v>2241</v>
      </c>
      <c r="DM122" s="109" t="s">
        <v>2242</v>
      </c>
      <c r="DN122" s="109" t="s">
        <v>2243</v>
      </c>
      <c r="DO122" s="109" t="s">
        <v>2244</v>
      </c>
      <c r="DP122" s="109" t="s">
        <v>2245</v>
      </c>
      <c r="DQ122" s="109" t="s">
        <v>2246</v>
      </c>
      <c r="DR122" s="109" t="s">
        <v>2247</v>
      </c>
      <c r="DS122" s="109" t="s">
        <v>2248</v>
      </c>
      <c r="DT122" s="109" t="s">
        <v>2249</v>
      </c>
      <c r="DU122" s="109" t="s">
        <v>2250</v>
      </c>
      <c r="DV122" s="109" t="s">
        <v>2251</v>
      </c>
      <c r="DW122" s="109" t="s">
        <v>2252</v>
      </c>
      <c r="DX122" s="109" t="s">
        <v>2253</v>
      </c>
      <c r="DY122" s="109" t="s">
        <v>2254</v>
      </c>
      <c r="DZ122" s="109" t="s">
        <v>2255</v>
      </c>
      <c r="EA122" s="109" t="s">
        <v>2256</v>
      </c>
      <c r="EB122" s="109" t="s">
        <v>2257</v>
      </c>
      <c r="EC122" s="109" t="s">
        <v>2258</v>
      </c>
      <c r="ED122" s="109" t="s">
        <v>2259</v>
      </c>
      <c r="EE122" s="109" t="s">
        <v>2260</v>
      </c>
      <c r="EF122" s="109" t="s">
        <v>2261</v>
      </c>
      <c r="EG122" s="109" t="s">
        <v>2262</v>
      </c>
      <c r="EH122" s="109" t="s">
        <v>2263</v>
      </c>
      <c r="EI122" s="109" t="s">
        <v>2264</v>
      </c>
      <c r="EJ122" s="109" t="s">
        <v>2265</v>
      </c>
      <c r="EK122" s="109" t="s">
        <v>2266</v>
      </c>
      <c r="EL122" s="109" t="s">
        <v>2267</v>
      </c>
      <c r="EM122" s="109" t="s">
        <v>2268</v>
      </c>
      <c r="EN122" s="109" t="s">
        <v>2269</v>
      </c>
    </row>
    <row r="123" spans="1:255">
      <c r="A123" s="110" t="s">
        <v>2061</v>
      </c>
      <c r="B123" s="111" t="s">
        <v>621</v>
      </c>
      <c r="C123" s="111" t="s">
        <v>621</v>
      </c>
      <c r="D123" s="111" t="s">
        <v>621</v>
      </c>
      <c r="E123" s="111" t="s">
        <v>621</v>
      </c>
      <c r="F123" s="111" t="s">
        <v>621</v>
      </c>
      <c r="G123" s="111" t="s">
        <v>621</v>
      </c>
      <c r="H123" s="111" t="s">
        <v>621</v>
      </c>
      <c r="I123" s="111" t="s">
        <v>621</v>
      </c>
      <c r="J123" s="111" t="s">
        <v>621</v>
      </c>
      <c r="K123" s="111" t="s">
        <v>621</v>
      </c>
      <c r="L123" s="111" t="s">
        <v>621</v>
      </c>
      <c r="M123" s="111" t="s">
        <v>621</v>
      </c>
      <c r="N123" s="111" t="s">
        <v>621</v>
      </c>
      <c r="O123" s="111" t="s">
        <v>621</v>
      </c>
      <c r="P123" s="111" t="s">
        <v>621</v>
      </c>
      <c r="Q123" s="111" t="s">
        <v>621</v>
      </c>
      <c r="R123" s="111" t="s">
        <v>621</v>
      </c>
      <c r="S123" s="111" t="s">
        <v>621</v>
      </c>
      <c r="T123" s="111" t="s">
        <v>621</v>
      </c>
      <c r="U123" s="111" t="s">
        <v>621</v>
      </c>
      <c r="V123" s="111" t="s">
        <v>621</v>
      </c>
      <c r="W123" s="111" t="s">
        <v>621</v>
      </c>
      <c r="X123" s="111" t="s">
        <v>621</v>
      </c>
      <c r="Y123" s="111" t="s">
        <v>621</v>
      </c>
      <c r="Z123" s="111" t="s">
        <v>621</v>
      </c>
      <c r="AA123" s="111" t="s">
        <v>621</v>
      </c>
      <c r="AB123" s="111" t="s">
        <v>621</v>
      </c>
      <c r="AC123" s="111" t="s">
        <v>621</v>
      </c>
      <c r="AD123" s="111" t="s">
        <v>621</v>
      </c>
      <c r="AE123" s="111" t="s">
        <v>621</v>
      </c>
      <c r="AG123" s="110" t="s">
        <v>2061</v>
      </c>
      <c r="AH123" s="111" t="s">
        <v>621</v>
      </c>
      <c r="AI123" s="111" t="s">
        <v>621</v>
      </c>
      <c r="AJ123" s="111" t="s">
        <v>621</v>
      </c>
      <c r="AK123" s="111" t="s">
        <v>621</v>
      </c>
      <c r="AL123" s="111" t="s">
        <v>621</v>
      </c>
      <c r="AM123" s="111" t="s">
        <v>621</v>
      </c>
      <c r="AN123" s="111" t="s">
        <v>621</v>
      </c>
      <c r="AO123" s="111" t="s">
        <v>621</v>
      </c>
      <c r="AP123" s="111" t="s">
        <v>621</v>
      </c>
      <c r="AQ123" s="111" t="s">
        <v>621</v>
      </c>
      <c r="AR123" s="111" t="s">
        <v>621</v>
      </c>
      <c r="AS123" s="111" t="s">
        <v>621</v>
      </c>
      <c r="AT123" s="111" t="s">
        <v>621</v>
      </c>
      <c r="AU123" s="111" t="s">
        <v>621</v>
      </c>
      <c r="AV123" s="111" t="s">
        <v>621</v>
      </c>
      <c r="AW123" s="111" t="s">
        <v>621</v>
      </c>
      <c r="AX123" s="111" t="s">
        <v>621</v>
      </c>
      <c r="AY123" s="111" t="s">
        <v>621</v>
      </c>
      <c r="AZ123" s="111" t="s">
        <v>621</v>
      </c>
      <c r="BA123" s="111" t="s">
        <v>621</v>
      </c>
      <c r="BB123" s="111" t="s">
        <v>621</v>
      </c>
      <c r="BC123" s="111" t="s">
        <v>621</v>
      </c>
      <c r="BD123" s="111" t="s">
        <v>621</v>
      </c>
      <c r="BE123" s="111" t="s">
        <v>621</v>
      </c>
      <c r="BF123" s="111" t="s">
        <v>621</v>
      </c>
      <c r="BG123" s="111" t="s">
        <v>621</v>
      </c>
      <c r="BH123" s="111" t="s">
        <v>621</v>
      </c>
      <c r="BI123" s="111" t="s">
        <v>621</v>
      </c>
      <c r="BJ123" s="111" t="s">
        <v>621</v>
      </c>
      <c r="BK123" s="111" t="s">
        <v>621</v>
      </c>
      <c r="BL123" s="111" t="s">
        <v>621</v>
      </c>
      <c r="BM123" s="111" t="s">
        <v>621</v>
      </c>
      <c r="BN123" s="111" t="s">
        <v>621</v>
      </c>
      <c r="BO123" s="111" t="s">
        <v>621</v>
      </c>
      <c r="BP123" s="111" t="s">
        <v>621</v>
      </c>
      <c r="BQ123" s="111" t="s">
        <v>621</v>
      </c>
      <c r="BR123" s="111" t="s">
        <v>621</v>
      </c>
      <c r="BS123" s="111" t="s">
        <v>621</v>
      </c>
      <c r="BT123" s="111" t="s">
        <v>621</v>
      </c>
      <c r="BU123" s="111" t="s">
        <v>621</v>
      </c>
      <c r="BV123" s="111" t="s">
        <v>621</v>
      </c>
      <c r="BW123" s="111" t="s">
        <v>621</v>
      </c>
      <c r="BX123" s="111" t="s">
        <v>621</v>
      </c>
      <c r="BY123" s="111" t="s">
        <v>621</v>
      </c>
      <c r="BZ123" s="111" t="s">
        <v>621</v>
      </c>
      <c r="CA123" s="111" t="s">
        <v>621</v>
      </c>
      <c r="CB123" s="111" t="s">
        <v>621</v>
      </c>
      <c r="CC123" s="111" t="s">
        <v>621</v>
      </c>
      <c r="CD123" s="111" t="s">
        <v>621</v>
      </c>
      <c r="CE123" s="111" t="s">
        <v>621</v>
      </c>
      <c r="CF123" s="111" t="s">
        <v>621</v>
      </c>
      <c r="CG123" s="111" t="s">
        <v>621</v>
      </c>
      <c r="CH123" s="111" t="s">
        <v>621</v>
      </c>
      <c r="CI123" s="111" t="s">
        <v>621</v>
      </c>
      <c r="CJ123" s="111" t="s">
        <v>621</v>
      </c>
      <c r="CK123" s="111" t="s">
        <v>621</v>
      </c>
      <c r="CL123" s="111" t="s">
        <v>621</v>
      </c>
      <c r="CM123" s="111" t="s">
        <v>621</v>
      </c>
      <c r="CN123" s="111" t="s">
        <v>621</v>
      </c>
      <c r="CO123" s="111" t="s">
        <v>621</v>
      </c>
      <c r="CP123" s="111" t="s">
        <v>621</v>
      </c>
      <c r="CQ123" s="111" t="s">
        <v>621</v>
      </c>
      <c r="CR123" s="111" t="s">
        <v>621</v>
      </c>
      <c r="CS123" s="111" t="s">
        <v>621</v>
      </c>
      <c r="CT123" s="111" t="s">
        <v>621</v>
      </c>
      <c r="CU123" s="111" t="s">
        <v>621</v>
      </c>
      <c r="CV123" s="111" t="s">
        <v>621</v>
      </c>
      <c r="CW123" s="111" t="s">
        <v>621</v>
      </c>
      <c r="CX123" s="111" t="s">
        <v>621</v>
      </c>
      <c r="CY123" s="111" t="s">
        <v>621</v>
      </c>
      <c r="CZ123" s="111" t="s">
        <v>621</v>
      </c>
      <c r="DA123" s="111" t="s">
        <v>621</v>
      </c>
      <c r="DB123" s="111" t="s">
        <v>621</v>
      </c>
      <c r="DC123" s="111" t="s">
        <v>621</v>
      </c>
      <c r="DD123" s="111" t="s">
        <v>621</v>
      </c>
      <c r="DE123" s="111" t="s">
        <v>621</v>
      </c>
      <c r="DF123" s="111" t="s">
        <v>621</v>
      </c>
      <c r="DG123" s="111" t="s">
        <v>621</v>
      </c>
      <c r="DH123" s="111" t="s">
        <v>621</v>
      </c>
      <c r="DI123" s="111" t="s">
        <v>621</v>
      </c>
      <c r="DJ123" s="111" t="s">
        <v>621</v>
      </c>
      <c r="DK123" s="111" t="s">
        <v>621</v>
      </c>
      <c r="DL123" s="111" t="s">
        <v>621</v>
      </c>
      <c r="DM123" s="111" t="s">
        <v>621</v>
      </c>
      <c r="DN123" s="111" t="s">
        <v>621</v>
      </c>
      <c r="DO123" s="111" t="s">
        <v>621</v>
      </c>
      <c r="DP123" s="111" t="s">
        <v>621</v>
      </c>
      <c r="DQ123" s="111" t="s">
        <v>621</v>
      </c>
      <c r="DR123" s="111" t="s">
        <v>621</v>
      </c>
      <c r="DS123" s="111" t="s">
        <v>621</v>
      </c>
      <c r="DT123" s="111" t="s">
        <v>621</v>
      </c>
      <c r="DU123" s="111" t="s">
        <v>621</v>
      </c>
      <c r="DV123" s="111" t="s">
        <v>621</v>
      </c>
      <c r="DW123" s="111" t="s">
        <v>621</v>
      </c>
      <c r="DX123" s="111" t="s">
        <v>621</v>
      </c>
      <c r="DY123" s="111" t="s">
        <v>621</v>
      </c>
      <c r="DZ123" s="111" t="s">
        <v>621</v>
      </c>
      <c r="EA123" s="111" t="s">
        <v>621</v>
      </c>
      <c r="EB123" s="111" t="s">
        <v>621</v>
      </c>
      <c r="EC123" s="111" t="s">
        <v>621</v>
      </c>
      <c r="ED123" s="111" t="s">
        <v>621</v>
      </c>
      <c r="EE123" s="111" t="s">
        <v>621</v>
      </c>
      <c r="EF123" s="111" t="s">
        <v>621</v>
      </c>
      <c r="EG123" s="111" t="s">
        <v>621</v>
      </c>
      <c r="EH123" s="111" t="s">
        <v>621</v>
      </c>
      <c r="EI123" s="111" t="s">
        <v>621</v>
      </c>
      <c r="EJ123" s="111" t="s">
        <v>621</v>
      </c>
      <c r="EK123" s="111" t="s">
        <v>621</v>
      </c>
      <c r="EL123" s="111" t="s">
        <v>621</v>
      </c>
      <c r="EM123" s="111" t="s">
        <v>621</v>
      </c>
      <c r="EN123" s="111" t="s">
        <v>621</v>
      </c>
    </row>
    <row r="124" spans="1:255" ht="10.5">
      <c r="A124" s="112" t="s">
        <v>1537</v>
      </c>
      <c r="B124" s="103"/>
      <c r="C124" s="103"/>
      <c r="D124" s="103"/>
      <c r="E124" s="103"/>
      <c r="F124" s="103"/>
      <c r="G124" s="103"/>
      <c r="H124" s="103"/>
      <c r="I124" s="103"/>
      <c r="J124" s="103"/>
      <c r="K124" s="103"/>
      <c r="L124" s="103"/>
      <c r="M124" s="103"/>
      <c r="N124" s="103"/>
      <c r="O124" s="103"/>
      <c r="P124" s="103"/>
      <c r="Q124" s="103"/>
      <c r="R124" s="103"/>
      <c r="S124" s="103"/>
      <c r="T124" s="103"/>
      <c r="U124" s="103"/>
      <c r="V124" s="103"/>
      <c r="W124" s="103"/>
      <c r="X124" s="103"/>
      <c r="Y124" s="103"/>
      <c r="Z124" s="103"/>
      <c r="AA124" s="103"/>
      <c r="AB124" s="103"/>
      <c r="AC124" s="103"/>
      <c r="AD124" s="103"/>
      <c r="AE124" s="103"/>
      <c r="AG124" s="112" t="s">
        <v>1537</v>
      </c>
      <c r="AH124" s="103"/>
      <c r="AI124" s="103"/>
      <c r="AJ124" s="103"/>
      <c r="AK124" s="103"/>
      <c r="AL124" s="103"/>
      <c r="AM124" s="103"/>
      <c r="AN124" s="103"/>
      <c r="AO124" s="103"/>
      <c r="AP124" s="103"/>
      <c r="AQ124" s="103"/>
      <c r="AR124" s="103"/>
      <c r="AS124" s="103"/>
      <c r="AT124" s="103"/>
      <c r="AU124" s="103"/>
      <c r="AV124" s="103"/>
      <c r="AW124" s="103"/>
      <c r="AX124" s="103"/>
      <c r="AY124" s="103"/>
      <c r="AZ124" s="103"/>
      <c r="BA124" s="103"/>
      <c r="BB124" s="103"/>
      <c r="BC124" s="103"/>
      <c r="BD124" s="103"/>
      <c r="BE124" s="103"/>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c r="CR124" s="103"/>
      <c r="CS124" s="103"/>
      <c r="CT124" s="103"/>
      <c r="CU124" s="103"/>
      <c r="CV124" s="103"/>
      <c r="CW124" s="103"/>
      <c r="CX124" s="103"/>
      <c r="CY124" s="103"/>
      <c r="CZ124" s="103"/>
      <c r="DA124" s="103"/>
      <c r="DB124" s="103"/>
      <c r="DC124" s="103"/>
      <c r="DD124" s="103"/>
      <c r="DE124" s="103"/>
      <c r="DF124" s="103"/>
      <c r="DG124" s="103"/>
      <c r="DH124" s="103"/>
      <c r="DI124" s="103"/>
      <c r="DJ124" s="103"/>
      <c r="DK124" s="103"/>
      <c r="DL124" s="103"/>
      <c r="DM124" s="103"/>
      <c r="DN124" s="103"/>
      <c r="DO124" s="103"/>
      <c r="DP124" s="103"/>
      <c r="DQ124" s="103"/>
      <c r="DR124" s="103"/>
      <c r="DS124" s="103"/>
      <c r="DT124" s="103"/>
      <c r="DU124" s="103"/>
      <c r="DV124" s="103"/>
      <c r="DW124" s="103"/>
      <c r="DX124" s="103"/>
      <c r="DY124" s="103"/>
      <c r="DZ124" s="103"/>
      <c r="EA124" s="103"/>
      <c r="EB124" s="103"/>
      <c r="EC124" s="103"/>
      <c r="ED124" s="103"/>
      <c r="EE124" s="103"/>
      <c r="EF124" s="103"/>
      <c r="EG124" s="103"/>
      <c r="EH124" s="103"/>
      <c r="EI124" s="103"/>
      <c r="EJ124" s="103"/>
      <c r="EK124" s="103"/>
      <c r="EL124" s="103"/>
      <c r="EM124" s="103"/>
      <c r="EN124" s="103"/>
    </row>
    <row r="125" spans="1:255">
      <c r="A125" s="103" t="s">
        <v>2270</v>
      </c>
      <c r="B125" s="113">
        <v>686.31399999999996</v>
      </c>
      <c r="C125" s="113">
        <v>791</v>
      </c>
      <c r="D125" s="113">
        <v>1013</v>
      </c>
      <c r="E125" s="113">
        <v>1477</v>
      </c>
      <c r="F125" s="113">
        <v>1962</v>
      </c>
      <c r="G125" s="113">
        <v>2601</v>
      </c>
      <c r="H125" s="113">
        <v>3706</v>
      </c>
      <c r="I125" s="113">
        <v>3839</v>
      </c>
      <c r="J125" s="113">
        <v>4975</v>
      </c>
      <c r="K125" s="113">
        <v>4846</v>
      </c>
      <c r="L125" s="113">
        <v>3922</v>
      </c>
      <c r="M125" s="113">
        <v>3016</v>
      </c>
      <c r="N125" s="113">
        <v>6438</v>
      </c>
      <c r="O125" s="113">
        <v>14304</v>
      </c>
      <c r="P125" s="113">
        <v>4851</v>
      </c>
      <c r="Q125" s="113">
        <v>6714</v>
      </c>
      <c r="R125" s="113">
        <v>6111</v>
      </c>
      <c r="S125" s="113">
        <v>10339</v>
      </c>
      <c r="T125" s="113">
        <v>6076</v>
      </c>
      <c r="U125" s="113">
        <v>5505</v>
      </c>
      <c r="V125" s="113">
        <v>9610</v>
      </c>
      <c r="W125" s="113">
        <v>6938</v>
      </c>
      <c r="X125" s="113">
        <v>3804</v>
      </c>
      <c r="Y125" s="113">
        <v>8669</v>
      </c>
      <c r="Z125" s="113">
        <v>5595</v>
      </c>
      <c r="AA125" s="113">
        <v>6510</v>
      </c>
      <c r="AB125" s="113">
        <v>7663</v>
      </c>
      <c r="AC125" s="113">
        <v>11946</v>
      </c>
      <c r="AD125" s="113">
        <v>11356</v>
      </c>
      <c r="AE125" s="113">
        <v>11710</v>
      </c>
      <c r="AG125" s="103" t="s">
        <v>2270</v>
      </c>
      <c r="AH125" s="113">
        <v>0</v>
      </c>
      <c r="AI125" s="113">
        <v>0</v>
      </c>
      <c r="AJ125" s="113">
        <v>0</v>
      </c>
      <c r="AK125" s="113">
        <v>1013</v>
      </c>
      <c r="AL125" s="113">
        <v>0</v>
      </c>
      <c r="AM125" s="113">
        <v>951</v>
      </c>
      <c r="AN125" s="113">
        <v>1152</v>
      </c>
      <c r="AO125" s="113">
        <v>1477</v>
      </c>
      <c r="AP125" s="113">
        <v>1326</v>
      </c>
      <c r="AQ125" s="113">
        <v>917</v>
      </c>
      <c r="AR125" s="113">
        <v>1205</v>
      </c>
      <c r="AS125" s="113">
        <v>1962</v>
      </c>
      <c r="AT125" s="113">
        <v>1906</v>
      </c>
      <c r="AU125" s="113">
        <v>2323</v>
      </c>
      <c r="AV125" s="113">
        <v>2937</v>
      </c>
      <c r="AW125" s="113">
        <v>2601</v>
      </c>
      <c r="AX125" s="113">
        <v>3018</v>
      </c>
      <c r="AY125" s="113">
        <v>3096</v>
      </c>
      <c r="AZ125" s="113">
        <v>3852</v>
      </c>
      <c r="BA125" s="113">
        <v>3706</v>
      </c>
      <c r="BB125" s="113">
        <v>3945</v>
      </c>
      <c r="BC125" s="113">
        <v>2582</v>
      </c>
      <c r="BD125" s="113">
        <v>4110</v>
      </c>
      <c r="BE125" s="113">
        <v>3839</v>
      </c>
      <c r="BF125" s="113">
        <v>5191</v>
      </c>
      <c r="BG125" s="113">
        <v>6113</v>
      </c>
      <c r="BH125" s="113">
        <v>6203</v>
      </c>
      <c r="BI125" s="113">
        <v>4975</v>
      </c>
      <c r="BJ125" s="113">
        <v>4789</v>
      </c>
      <c r="BK125" s="113">
        <v>5032</v>
      </c>
      <c r="BL125" s="113">
        <v>5192</v>
      </c>
      <c r="BM125" s="113">
        <v>4846</v>
      </c>
      <c r="BN125" s="113">
        <v>2641</v>
      </c>
      <c r="BO125" s="113">
        <v>3531</v>
      </c>
      <c r="BP125" s="113">
        <v>4149</v>
      </c>
      <c r="BQ125" s="113">
        <v>3922</v>
      </c>
      <c r="BR125" s="113">
        <v>3113</v>
      </c>
      <c r="BS125" s="113">
        <v>5256</v>
      </c>
      <c r="BT125" s="113">
        <v>5116</v>
      </c>
      <c r="BU125" s="113">
        <v>3016</v>
      </c>
      <c r="BV125" s="113">
        <v>5338</v>
      </c>
      <c r="BW125" s="113">
        <v>5552</v>
      </c>
      <c r="BX125" s="113">
        <v>4300</v>
      </c>
      <c r="BY125" s="113">
        <v>6438</v>
      </c>
      <c r="BZ125" s="113">
        <v>5768</v>
      </c>
      <c r="CA125" s="113">
        <v>6149</v>
      </c>
      <c r="CB125" s="113">
        <v>9348</v>
      </c>
      <c r="CC125" s="113">
        <v>14304</v>
      </c>
      <c r="CD125" s="113">
        <v>11141</v>
      </c>
      <c r="CE125" s="113">
        <v>4556</v>
      </c>
      <c r="CF125" s="113">
        <v>3782</v>
      </c>
      <c r="CG125" s="113">
        <v>4851</v>
      </c>
      <c r="CH125" s="113">
        <v>2974</v>
      </c>
      <c r="CI125" s="113">
        <v>4083</v>
      </c>
      <c r="CJ125" s="113">
        <v>4351</v>
      </c>
      <c r="CK125" s="113">
        <v>6714</v>
      </c>
      <c r="CL125" s="113">
        <v>9076</v>
      </c>
      <c r="CM125" s="113">
        <v>6859</v>
      </c>
      <c r="CN125" s="113">
        <v>7611</v>
      </c>
      <c r="CO125" s="113">
        <v>6111</v>
      </c>
      <c r="CP125" s="113">
        <v>6637</v>
      </c>
      <c r="CQ125" s="113">
        <v>7460</v>
      </c>
      <c r="CR125" s="113">
        <v>11820</v>
      </c>
      <c r="CS125" s="113">
        <v>10339</v>
      </c>
      <c r="CT125" s="113">
        <v>9004</v>
      </c>
      <c r="CU125" s="113">
        <v>8346</v>
      </c>
      <c r="CV125" s="113">
        <v>7285</v>
      </c>
      <c r="CW125" s="113">
        <v>6076</v>
      </c>
      <c r="CX125" s="113">
        <v>8823</v>
      </c>
      <c r="CY125" s="113">
        <v>9422</v>
      </c>
      <c r="CZ125" s="113">
        <v>8155</v>
      </c>
      <c r="DA125" s="113">
        <v>5505</v>
      </c>
      <c r="DB125" s="113">
        <v>8161</v>
      </c>
      <c r="DC125" s="113">
        <v>4023</v>
      </c>
      <c r="DD125" s="113">
        <v>7021</v>
      </c>
      <c r="DE125" s="113">
        <v>9610</v>
      </c>
      <c r="DF125" s="113">
        <v>12881</v>
      </c>
      <c r="DG125" s="113">
        <v>10610</v>
      </c>
      <c r="DH125" s="113">
        <v>6388</v>
      </c>
      <c r="DI125" s="113">
        <v>6938</v>
      </c>
      <c r="DJ125" s="113">
        <v>5036</v>
      </c>
      <c r="DK125" s="113">
        <v>6017</v>
      </c>
      <c r="DL125" s="113">
        <v>5240</v>
      </c>
      <c r="DM125" s="113">
        <v>3804</v>
      </c>
      <c r="DN125" s="113">
        <v>4023</v>
      </c>
      <c r="DO125" s="113">
        <v>10059</v>
      </c>
      <c r="DP125" s="113">
        <v>11572</v>
      </c>
      <c r="DQ125" s="113">
        <v>8669</v>
      </c>
      <c r="DR125" s="113">
        <v>6302</v>
      </c>
      <c r="DS125" s="113">
        <v>6426</v>
      </c>
      <c r="DT125" s="113">
        <v>7414</v>
      </c>
      <c r="DU125" s="113">
        <v>5595</v>
      </c>
      <c r="DV125" s="113">
        <v>5431</v>
      </c>
      <c r="DW125" s="113">
        <v>7185</v>
      </c>
      <c r="DX125" s="113">
        <v>7170</v>
      </c>
      <c r="DY125" s="113">
        <v>6510</v>
      </c>
      <c r="DZ125" s="113">
        <v>13928</v>
      </c>
      <c r="EA125" s="113">
        <v>8468</v>
      </c>
      <c r="EB125" s="113">
        <v>6713</v>
      </c>
      <c r="EC125" s="113">
        <v>7663</v>
      </c>
      <c r="ED125" s="113">
        <v>6884</v>
      </c>
      <c r="EE125" s="113">
        <v>12859</v>
      </c>
      <c r="EF125" s="113">
        <v>9221</v>
      </c>
      <c r="EG125" s="113">
        <v>11946</v>
      </c>
      <c r="EH125" s="113">
        <v>15137</v>
      </c>
      <c r="EI125" s="113">
        <v>6638</v>
      </c>
      <c r="EJ125" s="113">
        <v>11212</v>
      </c>
      <c r="EK125" s="113">
        <v>11356</v>
      </c>
      <c r="EL125" s="113">
        <v>13117</v>
      </c>
      <c r="EM125" s="113">
        <v>8864</v>
      </c>
      <c r="EN125" s="113">
        <v>11710</v>
      </c>
    </row>
    <row r="126" spans="1:255">
      <c r="A126" s="103" t="s">
        <v>1540</v>
      </c>
      <c r="B126" s="113">
        <v>0</v>
      </c>
      <c r="C126" s="113">
        <v>554</v>
      </c>
      <c r="D126" s="113">
        <v>1277</v>
      </c>
      <c r="E126" s="113">
        <v>2137</v>
      </c>
      <c r="F126" s="113">
        <v>2788</v>
      </c>
      <c r="G126" s="113">
        <v>4339</v>
      </c>
      <c r="H126" s="113">
        <v>5260</v>
      </c>
      <c r="I126" s="113">
        <v>10088</v>
      </c>
      <c r="J126" s="113">
        <v>12261</v>
      </c>
      <c r="K126" s="113">
        <v>18952</v>
      </c>
      <c r="L126" s="113">
        <v>27678</v>
      </c>
      <c r="M126" s="113">
        <v>35636</v>
      </c>
      <c r="N126" s="113">
        <v>42610</v>
      </c>
      <c r="O126" s="113">
        <v>46288</v>
      </c>
      <c r="P126" s="113">
        <v>32900</v>
      </c>
      <c r="Q126" s="113">
        <v>24382</v>
      </c>
      <c r="R126" s="113">
        <v>14944</v>
      </c>
      <c r="S126" s="113">
        <v>10832</v>
      </c>
      <c r="T126" s="113">
        <v>23665</v>
      </c>
      <c r="U126" s="113">
        <v>31042</v>
      </c>
      <c r="V126" s="113">
        <v>41761</v>
      </c>
      <c r="W126" s="113">
        <v>55096</v>
      </c>
      <c r="X126" s="113">
        <v>72606</v>
      </c>
      <c r="Y126" s="113">
        <v>76477</v>
      </c>
      <c r="Z126" s="113">
        <v>90796</v>
      </c>
      <c r="AA126" s="113">
        <v>106531</v>
      </c>
      <c r="AB126" s="113">
        <v>125238</v>
      </c>
      <c r="AC126" s="113">
        <v>121718</v>
      </c>
      <c r="AD126" s="113">
        <v>122476</v>
      </c>
      <c r="AE126" s="113">
        <v>125932</v>
      </c>
      <c r="AG126" s="103" t="s">
        <v>1540</v>
      </c>
      <c r="AH126" s="113">
        <v>0</v>
      </c>
      <c r="AI126" s="113">
        <v>0</v>
      </c>
      <c r="AJ126" s="113">
        <v>0</v>
      </c>
      <c r="AK126" s="113">
        <v>1277</v>
      </c>
      <c r="AL126" s="113">
        <v>0</v>
      </c>
      <c r="AM126" s="113">
        <v>1845</v>
      </c>
      <c r="AN126" s="113">
        <v>1991</v>
      </c>
      <c r="AO126" s="113">
        <v>2137</v>
      </c>
      <c r="AP126" s="113">
        <v>2450</v>
      </c>
      <c r="AQ126" s="113">
        <v>2922</v>
      </c>
      <c r="AR126" s="113">
        <v>3260</v>
      </c>
      <c r="AS126" s="113">
        <v>2788</v>
      </c>
      <c r="AT126" s="113">
        <v>3158</v>
      </c>
      <c r="AU126" s="113">
        <v>3694</v>
      </c>
      <c r="AV126" s="113">
        <v>3833</v>
      </c>
      <c r="AW126" s="113">
        <v>4339</v>
      </c>
      <c r="AX126" s="113">
        <v>4080</v>
      </c>
      <c r="AY126" s="113">
        <v>6064</v>
      </c>
      <c r="AZ126" s="113">
        <v>5234</v>
      </c>
      <c r="BA126" s="113">
        <v>5260</v>
      </c>
      <c r="BB126" s="113">
        <v>5689</v>
      </c>
      <c r="BC126" s="113">
        <v>7523</v>
      </c>
      <c r="BD126" s="113">
        <v>8212</v>
      </c>
      <c r="BE126" s="113">
        <v>10088</v>
      </c>
      <c r="BF126" s="113">
        <v>12051</v>
      </c>
      <c r="BG126" s="113">
        <v>13124</v>
      </c>
      <c r="BH126" s="113">
        <v>15558</v>
      </c>
      <c r="BI126" s="113">
        <v>12261</v>
      </c>
      <c r="BJ126" s="113">
        <v>14113</v>
      </c>
      <c r="BK126" s="113">
        <v>12811</v>
      </c>
      <c r="BL126" s="113">
        <v>16013</v>
      </c>
      <c r="BM126" s="113">
        <v>18952</v>
      </c>
      <c r="BN126" s="113">
        <v>22070</v>
      </c>
      <c r="BO126" s="113">
        <v>23358</v>
      </c>
      <c r="BP126" s="113">
        <v>25869</v>
      </c>
      <c r="BQ126" s="113">
        <v>27678</v>
      </c>
      <c r="BR126" s="113">
        <v>33050</v>
      </c>
      <c r="BS126" s="113">
        <v>32973</v>
      </c>
      <c r="BT126" s="113">
        <v>33577</v>
      </c>
      <c r="BU126" s="113">
        <v>35636</v>
      </c>
      <c r="BV126" s="113">
        <v>35137</v>
      </c>
      <c r="BW126" s="113">
        <v>37872</v>
      </c>
      <c r="BX126" s="113">
        <v>41878</v>
      </c>
      <c r="BY126" s="113">
        <v>42610</v>
      </c>
      <c r="BZ126" s="113">
        <v>45854</v>
      </c>
      <c r="CA126" s="113">
        <v>46628</v>
      </c>
      <c r="CB126" s="113">
        <v>47059</v>
      </c>
      <c r="CC126" s="113">
        <v>46288</v>
      </c>
      <c r="CD126" s="113">
        <v>53274</v>
      </c>
      <c r="CE126" s="113">
        <v>29948</v>
      </c>
      <c r="CF126" s="113">
        <v>33812</v>
      </c>
      <c r="CG126" s="113">
        <v>32900</v>
      </c>
      <c r="CH126" s="113">
        <v>37082</v>
      </c>
      <c r="CI126" s="113">
        <v>30618</v>
      </c>
      <c r="CJ126" s="113">
        <v>29154</v>
      </c>
      <c r="CK126" s="113">
        <v>24382</v>
      </c>
      <c r="CL126" s="113">
        <v>19176</v>
      </c>
      <c r="CM126" s="113">
        <v>19541</v>
      </c>
      <c r="CN126" s="113">
        <v>17867</v>
      </c>
      <c r="CO126" s="113">
        <v>14944</v>
      </c>
      <c r="CP126" s="113">
        <v>12241</v>
      </c>
      <c r="CQ126" s="113">
        <v>11632</v>
      </c>
      <c r="CR126" s="113">
        <v>12203</v>
      </c>
      <c r="CS126" s="113">
        <v>10832</v>
      </c>
      <c r="CT126" s="113">
        <v>10707</v>
      </c>
      <c r="CU126" s="113">
        <v>11952</v>
      </c>
      <c r="CV126" s="113">
        <v>16433</v>
      </c>
      <c r="CW126" s="113">
        <v>23665</v>
      </c>
      <c r="CX126" s="113">
        <v>24467</v>
      </c>
      <c r="CY126" s="113">
        <v>23773</v>
      </c>
      <c r="CZ126" s="113">
        <v>28863</v>
      </c>
      <c r="DA126" s="113">
        <v>31042</v>
      </c>
      <c r="DB126" s="113">
        <v>35078</v>
      </c>
      <c r="DC126" s="113">
        <v>35935</v>
      </c>
      <c r="DD126" s="113">
        <v>41677</v>
      </c>
      <c r="DE126" s="113">
        <v>41761</v>
      </c>
      <c r="DF126" s="113">
        <v>43050</v>
      </c>
      <c r="DG126" s="113">
        <v>40067</v>
      </c>
      <c r="DH126" s="113">
        <v>51960</v>
      </c>
      <c r="DI126" s="113">
        <v>55096</v>
      </c>
      <c r="DJ126" s="113">
        <v>61016</v>
      </c>
      <c r="DK126" s="113">
        <v>62073</v>
      </c>
      <c r="DL126" s="113">
        <v>68541</v>
      </c>
      <c r="DM126" s="113">
        <v>72606</v>
      </c>
      <c r="DN126" s="113">
        <v>75896</v>
      </c>
      <c r="DO126" s="113">
        <v>73076</v>
      </c>
      <c r="DP126" s="113">
        <v>76102</v>
      </c>
      <c r="DQ126" s="113">
        <v>76477</v>
      </c>
      <c r="DR126" s="113">
        <v>82419</v>
      </c>
      <c r="DS126" s="113">
        <v>83143</v>
      </c>
      <c r="DT126" s="113">
        <v>87874</v>
      </c>
      <c r="DU126" s="113">
        <v>90796</v>
      </c>
      <c r="DV126" s="113">
        <v>93846</v>
      </c>
      <c r="DW126" s="113">
        <v>95129</v>
      </c>
      <c r="DX126" s="113">
        <v>98168</v>
      </c>
      <c r="DY126" s="113">
        <v>106531</v>
      </c>
      <c r="DZ126" s="113">
        <v>122861</v>
      </c>
      <c r="EA126" s="113">
        <v>112737</v>
      </c>
      <c r="EB126" s="113">
        <v>114863</v>
      </c>
      <c r="EC126" s="113">
        <v>125238</v>
      </c>
      <c r="ED126" s="113">
        <v>126727</v>
      </c>
      <c r="EE126" s="113">
        <v>125676</v>
      </c>
      <c r="EF126" s="113">
        <v>123052</v>
      </c>
      <c r="EG126" s="113">
        <v>121718</v>
      </c>
      <c r="EH126" s="113">
        <v>120634</v>
      </c>
      <c r="EI126" s="113">
        <v>121035</v>
      </c>
      <c r="EJ126" s="113">
        <v>120324</v>
      </c>
      <c r="EK126" s="113">
        <v>122476</v>
      </c>
      <c r="EL126" s="113">
        <v>123492</v>
      </c>
      <c r="EM126" s="113">
        <v>125367</v>
      </c>
      <c r="EN126" s="113">
        <v>125932</v>
      </c>
    </row>
    <row r="127" spans="1:255">
      <c r="A127" s="103" t="s">
        <v>2271</v>
      </c>
      <c r="B127" s="113">
        <v>0</v>
      </c>
      <c r="C127" s="113">
        <v>0</v>
      </c>
      <c r="D127" s="113">
        <v>0</v>
      </c>
      <c r="E127" s="113">
        <v>0</v>
      </c>
      <c r="F127" s="113">
        <v>0</v>
      </c>
      <c r="G127" s="113">
        <v>0</v>
      </c>
      <c r="H127" s="113">
        <v>0</v>
      </c>
      <c r="I127" s="113">
        <v>0</v>
      </c>
      <c r="J127" s="113">
        <v>0</v>
      </c>
      <c r="K127" s="113">
        <v>0</v>
      </c>
      <c r="L127" s="113">
        <v>0</v>
      </c>
      <c r="M127" s="113">
        <v>0</v>
      </c>
      <c r="N127" s="113">
        <v>0</v>
      </c>
      <c r="O127" s="113">
        <v>0</v>
      </c>
      <c r="P127" s="113">
        <v>0</v>
      </c>
      <c r="Q127" s="113">
        <v>0</v>
      </c>
      <c r="R127" s="113">
        <v>0</v>
      </c>
      <c r="S127" s="113">
        <v>0</v>
      </c>
      <c r="T127" s="113">
        <v>44</v>
      </c>
      <c r="U127" s="113">
        <v>12</v>
      </c>
      <c r="V127" s="113">
        <v>0</v>
      </c>
      <c r="W127" s="113">
        <v>10</v>
      </c>
      <c r="X127" s="113">
        <v>0</v>
      </c>
      <c r="Y127" s="113">
        <v>0</v>
      </c>
      <c r="Z127" s="113">
        <v>0</v>
      </c>
      <c r="AA127" s="113">
        <v>0</v>
      </c>
      <c r="AB127" s="113">
        <v>0</v>
      </c>
      <c r="AC127" s="113">
        <v>0</v>
      </c>
      <c r="AD127" s="113">
        <v>0</v>
      </c>
      <c r="AE127" s="113">
        <v>0</v>
      </c>
      <c r="AG127" s="103" t="s">
        <v>2271</v>
      </c>
      <c r="AH127" s="113">
        <v>0</v>
      </c>
      <c r="AI127" s="113">
        <v>0</v>
      </c>
      <c r="AJ127" s="113">
        <v>0</v>
      </c>
      <c r="AK127" s="113">
        <v>0</v>
      </c>
      <c r="AL127" s="113">
        <v>0</v>
      </c>
      <c r="AM127" s="113">
        <v>0</v>
      </c>
      <c r="AN127" s="113">
        <v>0</v>
      </c>
      <c r="AO127" s="113">
        <v>0</v>
      </c>
      <c r="AP127" s="113">
        <v>0</v>
      </c>
      <c r="AQ127" s="113">
        <v>0</v>
      </c>
      <c r="AR127" s="113">
        <v>0</v>
      </c>
      <c r="AS127" s="113">
        <v>0</v>
      </c>
      <c r="AT127" s="113">
        <v>0</v>
      </c>
      <c r="AU127" s="113">
        <v>0</v>
      </c>
      <c r="AV127" s="113">
        <v>0</v>
      </c>
      <c r="AW127" s="113">
        <v>0</v>
      </c>
      <c r="AX127" s="113">
        <v>0</v>
      </c>
      <c r="AY127" s="113">
        <v>0</v>
      </c>
      <c r="AZ127" s="113">
        <v>0</v>
      </c>
      <c r="BA127" s="113">
        <v>0</v>
      </c>
      <c r="BB127" s="113">
        <v>0</v>
      </c>
      <c r="BC127" s="113">
        <v>0</v>
      </c>
      <c r="BD127" s="113">
        <v>0</v>
      </c>
      <c r="BE127" s="113">
        <v>0</v>
      </c>
      <c r="BF127" s="113">
        <v>0</v>
      </c>
      <c r="BG127" s="113">
        <v>0</v>
      </c>
      <c r="BH127" s="113">
        <v>0</v>
      </c>
      <c r="BI127" s="113">
        <v>0</v>
      </c>
      <c r="BJ127" s="113">
        <v>0</v>
      </c>
      <c r="BK127" s="113">
        <v>0</v>
      </c>
      <c r="BL127" s="113">
        <v>0</v>
      </c>
      <c r="BM127" s="113">
        <v>0</v>
      </c>
      <c r="BN127" s="113">
        <v>0</v>
      </c>
      <c r="BO127" s="113">
        <v>0</v>
      </c>
      <c r="BP127" s="113">
        <v>0</v>
      </c>
      <c r="BQ127" s="113">
        <v>0</v>
      </c>
      <c r="BR127" s="113">
        <v>0</v>
      </c>
      <c r="BS127" s="113">
        <v>0</v>
      </c>
      <c r="BT127" s="113">
        <v>0</v>
      </c>
      <c r="BU127" s="113">
        <v>0</v>
      </c>
      <c r="BV127" s="113">
        <v>0</v>
      </c>
      <c r="BW127" s="113">
        <v>0</v>
      </c>
      <c r="BX127" s="113">
        <v>0</v>
      </c>
      <c r="BY127" s="113">
        <v>0</v>
      </c>
      <c r="BZ127" s="113">
        <v>0</v>
      </c>
      <c r="CA127" s="113">
        <v>0</v>
      </c>
      <c r="CB127" s="113">
        <v>0</v>
      </c>
      <c r="CC127" s="113">
        <v>0</v>
      </c>
      <c r="CD127" s="113">
        <v>0</v>
      </c>
      <c r="CE127" s="113">
        <v>0</v>
      </c>
      <c r="CF127" s="113">
        <v>0</v>
      </c>
      <c r="CG127" s="113">
        <v>0</v>
      </c>
      <c r="CH127" s="113">
        <v>0</v>
      </c>
      <c r="CI127" s="113">
        <v>0</v>
      </c>
      <c r="CJ127" s="113">
        <v>0</v>
      </c>
      <c r="CK127" s="113">
        <v>0</v>
      </c>
      <c r="CL127" s="113">
        <v>0</v>
      </c>
      <c r="CM127" s="113">
        <v>0</v>
      </c>
      <c r="CN127" s="113">
        <v>0</v>
      </c>
      <c r="CO127" s="113">
        <v>0</v>
      </c>
      <c r="CP127" s="113">
        <v>0</v>
      </c>
      <c r="CQ127" s="113">
        <v>0</v>
      </c>
      <c r="CR127" s="113">
        <v>0</v>
      </c>
      <c r="CS127" s="113">
        <v>0</v>
      </c>
      <c r="CT127" s="113">
        <v>0</v>
      </c>
      <c r="CU127" s="113">
        <v>0</v>
      </c>
      <c r="CV127" s="113">
        <v>0</v>
      </c>
      <c r="CW127" s="113">
        <v>44</v>
      </c>
      <c r="CX127" s="113">
        <v>41</v>
      </c>
      <c r="CY127" s="113">
        <v>5</v>
      </c>
      <c r="CZ127" s="113">
        <v>8</v>
      </c>
      <c r="DA127" s="113">
        <v>12</v>
      </c>
      <c r="DB127" s="113">
        <v>14</v>
      </c>
      <c r="DC127" s="113">
        <v>18</v>
      </c>
      <c r="DD127" s="113">
        <v>19</v>
      </c>
      <c r="DE127" s="113">
        <v>0</v>
      </c>
      <c r="DF127" s="113">
        <v>8</v>
      </c>
      <c r="DG127" s="113">
        <v>14</v>
      </c>
      <c r="DH127" s="113">
        <v>0</v>
      </c>
      <c r="DI127" s="113">
        <v>10</v>
      </c>
      <c r="DJ127" s="113">
        <v>20</v>
      </c>
      <c r="DK127" s="113">
        <v>8</v>
      </c>
      <c r="DL127" s="113">
        <v>7</v>
      </c>
      <c r="DM127" s="113">
        <v>0</v>
      </c>
      <c r="DN127" s="113">
        <v>15</v>
      </c>
      <c r="DO127" s="113">
        <v>0</v>
      </c>
      <c r="DP127" s="113">
        <v>0</v>
      </c>
      <c r="DQ127" s="113">
        <v>0</v>
      </c>
      <c r="DR127" s="113">
        <v>0</v>
      </c>
      <c r="DS127" s="113">
        <v>0</v>
      </c>
      <c r="DT127" s="113">
        <v>0</v>
      </c>
      <c r="DU127" s="113">
        <v>0</v>
      </c>
      <c r="DV127" s="113">
        <v>0</v>
      </c>
      <c r="DW127" s="113">
        <v>0</v>
      </c>
      <c r="DX127" s="113">
        <v>0</v>
      </c>
      <c r="DY127" s="113">
        <v>0</v>
      </c>
      <c r="DZ127" s="113">
        <v>0</v>
      </c>
      <c r="EA127" s="113">
        <v>0</v>
      </c>
      <c r="EB127" s="113">
        <v>0</v>
      </c>
      <c r="EC127" s="113">
        <v>0</v>
      </c>
      <c r="ED127" s="113">
        <v>0</v>
      </c>
      <c r="EE127" s="113">
        <v>0</v>
      </c>
      <c r="EF127" s="113">
        <v>0</v>
      </c>
      <c r="EG127" s="113">
        <v>0</v>
      </c>
      <c r="EH127" s="113">
        <v>0</v>
      </c>
      <c r="EI127" s="113">
        <v>0</v>
      </c>
      <c r="EJ127" s="113">
        <v>0</v>
      </c>
      <c r="EK127" s="113">
        <v>0</v>
      </c>
      <c r="EL127" s="113">
        <v>0</v>
      </c>
      <c r="EM127" s="113">
        <v>0</v>
      </c>
      <c r="EN127" s="113">
        <v>0</v>
      </c>
    </row>
    <row r="128" spans="1:255" ht="10.5">
      <c r="A128" s="112" t="s">
        <v>2272</v>
      </c>
      <c r="B128" s="114">
        <v>686.31399999999996</v>
      </c>
      <c r="C128" s="114">
        <v>1345</v>
      </c>
      <c r="D128" s="114">
        <v>2290</v>
      </c>
      <c r="E128" s="114">
        <v>3614</v>
      </c>
      <c r="F128" s="114">
        <v>4750</v>
      </c>
      <c r="G128" s="114">
        <v>6940</v>
      </c>
      <c r="H128" s="114">
        <v>8966</v>
      </c>
      <c r="I128" s="114">
        <v>13927</v>
      </c>
      <c r="J128" s="114">
        <v>17236</v>
      </c>
      <c r="K128" s="114">
        <v>23798</v>
      </c>
      <c r="L128" s="114">
        <v>31600</v>
      </c>
      <c r="M128" s="114">
        <v>38652</v>
      </c>
      <c r="N128" s="114">
        <v>49048</v>
      </c>
      <c r="O128" s="114">
        <v>60592</v>
      </c>
      <c r="P128" s="114">
        <v>37751</v>
      </c>
      <c r="Q128" s="114">
        <v>31096</v>
      </c>
      <c r="R128" s="114">
        <v>21055</v>
      </c>
      <c r="S128" s="114">
        <v>21171</v>
      </c>
      <c r="T128" s="114">
        <v>29785</v>
      </c>
      <c r="U128" s="114">
        <v>36559</v>
      </c>
      <c r="V128" s="114">
        <v>51371</v>
      </c>
      <c r="W128" s="114">
        <v>62044</v>
      </c>
      <c r="X128" s="114">
        <v>76410</v>
      </c>
      <c r="Y128" s="114">
        <v>85146</v>
      </c>
      <c r="Z128" s="114">
        <v>96391</v>
      </c>
      <c r="AA128" s="114">
        <v>113041</v>
      </c>
      <c r="AB128" s="114">
        <v>132901</v>
      </c>
      <c r="AC128" s="114">
        <v>133664</v>
      </c>
      <c r="AD128" s="114">
        <v>133832</v>
      </c>
      <c r="AE128" s="114">
        <v>137642</v>
      </c>
      <c r="AG128" s="112" t="s">
        <v>2272</v>
      </c>
      <c r="AH128" s="114">
        <v>1345</v>
      </c>
      <c r="AI128" s="114">
        <v>0</v>
      </c>
      <c r="AJ128" s="114">
        <v>0</v>
      </c>
      <c r="AK128" s="114">
        <v>2290</v>
      </c>
      <c r="AL128" s="114">
        <v>2290</v>
      </c>
      <c r="AM128" s="114">
        <v>2796</v>
      </c>
      <c r="AN128" s="114">
        <v>3143</v>
      </c>
      <c r="AO128" s="114">
        <v>3614</v>
      </c>
      <c r="AP128" s="114">
        <v>3776</v>
      </c>
      <c r="AQ128" s="114">
        <v>3839</v>
      </c>
      <c r="AR128" s="114">
        <v>4465</v>
      </c>
      <c r="AS128" s="114">
        <v>4750</v>
      </c>
      <c r="AT128" s="114">
        <v>5064</v>
      </c>
      <c r="AU128" s="114">
        <v>6017</v>
      </c>
      <c r="AV128" s="114">
        <v>6770</v>
      </c>
      <c r="AW128" s="114">
        <v>6940</v>
      </c>
      <c r="AX128" s="114">
        <v>7098</v>
      </c>
      <c r="AY128" s="114">
        <v>9160</v>
      </c>
      <c r="AZ128" s="114">
        <v>9086</v>
      </c>
      <c r="BA128" s="114">
        <v>8966</v>
      </c>
      <c r="BB128" s="114">
        <v>9634</v>
      </c>
      <c r="BC128" s="114">
        <v>10105</v>
      </c>
      <c r="BD128" s="114">
        <v>12322</v>
      </c>
      <c r="BE128" s="114">
        <v>13927</v>
      </c>
      <c r="BF128" s="114">
        <v>17242</v>
      </c>
      <c r="BG128" s="114">
        <v>19237</v>
      </c>
      <c r="BH128" s="114">
        <v>21761</v>
      </c>
      <c r="BI128" s="114">
        <v>17236</v>
      </c>
      <c r="BJ128" s="114">
        <v>18902</v>
      </c>
      <c r="BK128" s="114">
        <v>17843</v>
      </c>
      <c r="BL128" s="114">
        <v>21205</v>
      </c>
      <c r="BM128" s="114">
        <v>23798</v>
      </c>
      <c r="BN128" s="114">
        <v>24711</v>
      </c>
      <c r="BO128" s="114">
        <v>26889</v>
      </c>
      <c r="BP128" s="114">
        <v>30018</v>
      </c>
      <c r="BQ128" s="114">
        <v>31600</v>
      </c>
      <c r="BR128" s="114">
        <v>36163</v>
      </c>
      <c r="BS128" s="114">
        <v>38229</v>
      </c>
      <c r="BT128" s="114">
        <v>38693</v>
      </c>
      <c r="BU128" s="114">
        <v>38652</v>
      </c>
      <c r="BV128" s="114">
        <v>40475</v>
      </c>
      <c r="BW128" s="114">
        <v>43424</v>
      </c>
      <c r="BX128" s="114">
        <v>46178</v>
      </c>
      <c r="BY128" s="114">
        <v>49048</v>
      </c>
      <c r="BZ128" s="114">
        <v>51622</v>
      </c>
      <c r="CA128" s="114">
        <v>52777</v>
      </c>
      <c r="CB128" s="114">
        <v>56407</v>
      </c>
      <c r="CC128" s="114">
        <v>60592</v>
      </c>
      <c r="CD128" s="114">
        <v>64415</v>
      </c>
      <c r="CE128" s="114">
        <v>34504</v>
      </c>
      <c r="CF128" s="114">
        <v>37594</v>
      </c>
      <c r="CG128" s="114">
        <v>37751</v>
      </c>
      <c r="CH128" s="114">
        <v>40056</v>
      </c>
      <c r="CI128" s="114">
        <v>34701</v>
      </c>
      <c r="CJ128" s="114">
        <v>33505</v>
      </c>
      <c r="CK128" s="114">
        <v>31096</v>
      </c>
      <c r="CL128" s="114">
        <v>28252</v>
      </c>
      <c r="CM128" s="114">
        <v>26400</v>
      </c>
      <c r="CN128" s="114">
        <v>25478</v>
      </c>
      <c r="CO128" s="114">
        <v>21055</v>
      </c>
      <c r="CP128" s="114">
        <v>18878</v>
      </c>
      <c r="CQ128" s="114">
        <v>19092</v>
      </c>
      <c r="CR128" s="114">
        <v>24023</v>
      </c>
      <c r="CS128" s="114">
        <v>21171</v>
      </c>
      <c r="CT128" s="114">
        <v>19711</v>
      </c>
      <c r="CU128" s="114">
        <v>20298</v>
      </c>
      <c r="CV128" s="114">
        <v>23718</v>
      </c>
      <c r="CW128" s="114">
        <v>29785</v>
      </c>
      <c r="CX128" s="114">
        <v>33331</v>
      </c>
      <c r="CY128" s="114">
        <v>33200</v>
      </c>
      <c r="CZ128" s="114">
        <v>37026</v>
      </c>
      <c r="DA128" s="114">
        <v>36559</v>
      </c>
      <c r="DB128" s="114">
        <v>43253</v>
      </c>
      <c r="DC128" s="114">
        <v>39976</v>
      </c>
      <c r="DD128" s="114">
        <v>48717</v>
      </c>
      <c r="DE128" s="114">
        <v>51371</v>
      </c>
      <c r="DF128" s="114">
        <v>55939</v>
      </c>
      <c r="DG128" s="114">
        <v>50691</v>
      </c>
      <c r="DH128" s="114">
        <v>58348</v>
      </c>
      <c r="DI128" s="114">
        <v>62044</v>
      </c>
      <c r="DJ128" s="114">
        <v>66072</v>
      </c>
      <c r="DK128" s="114">
        <v>68098</v>
      </c>
      <c r="DL128" s="114">
        <v>73788</v>
      </c>
      <c r="DM128" s="114">
        <v>76410</v>
      </c>
      <c r="DN128" s="114">
        <v>79934</v>
      </c>
      <c r="DO128" s="114">
        <v>83135</v>
      </c>
      <c r="DP128" s="114">
        <v>87674</v>
      </c>
      <c r="DQ128" s="114">
        <v>85146</v>
      </c>
      <c r="DR128" s="114">
        <v>88721</v>
      </c>
      <c r="DS128" s="114">
        <v>89569</v>
      </c>
      <c r="DT128" s="114">
        <v>95288</v>
      </c>
      <c r="DU128" s="114">
        <v>96391</v>
      </c>
      <c r="DV128" s="114">
        <v>99277</v>
      </c>
      <c r="DW128" s="114">
        <v>102314</v>
      </c>
      <c r="DX128" s="114">
        <v>105338</v>
      </c>
      <c r="DY128" s="114">
        <v>113041</v>
      </c>
      <c r="DZ128" s="114">
        <v>136789</v>
      </c>
      <c r="EA128" s="114">
        <v>121205</v>
      </c>
      <c r="EB128" s="114">
        <v>121576</v>
      </c>
      <c r="EC128" s="114">
        <v>132901</v>
      </c>
      <c r="ED128" s="114">
        <v>133611</v>
      </c>
      <c r="EE128" s="114">
        <v>138535</v>
      </c>
      <c r="EF128" s="114">
        <v>132273</v>
      </c>
      <c r="EG128" s="114">
        <v>133664</v>
      </c>
      <c r="EH128" s="114">
        <v>135771</v>
      </c>
      <c r="EI128" s="114">
        <v>127673</v>
      </c>
      <c r="EJ128" s="114">
        <v>131536</v>
      </c>
      <c r="EK128" s="114">
        <v>133832</v>
      </c>
      <c r="EL128" s="114">
        <v>136609</v>
      </c>
      <c r="EM128" s="114">
        <v>134231</v>
      </c>
      <c r="EN128" s="114">
        <v>137642</v>
      </c>
    </row>
    <row r="129" spans="1:144">
      <c r="A129" s="103"/>
      <c r="B129" s="103"/>
      <c r="C129" s="103"/>
      <c r="D129" s="103"/>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c r="CR129" s="103"/>
      <c r="CS129" s="103"/>
      <c r="CT129" s="103"/>
      <c r="CU129" s="103"/>
      <c r="CV129" s="103"/>
      <c r="CW129" s="103"/>
      <c r="CX129" s="103"/>
      <c r="CY129" s="103"/>
      <c r="CZ129" s="103"/>
      <c r="DA129" s="103"/>
      <c r="DB129" s="103"/>
      <c r="DC129" s="103"/>
      <c r="DD129" s="103"/>
      <c r="DE129" s="103"/>
      <c r="DF129" s="103"/>
      <c r="DG129" s="103"/>
      <c r="DH129" s="103"/>
      <c r="DI129" s="103"/>
      <c r="DJ129" s="103"/>
      <c r="DK129" s="103"/>
      <c r="DL129" s="103"/>
      <c r="DM129" s="103"/>
      <c r="DN129" s="103"/>
      <c r="DO129" s="103"/>
      <c r="DP129" s="103"/>
      <c r="DQ129" s="103"/>
      <c r="DR129" s="103"/>
      <c r="DS129" s="103"/>
      <c r="DT129" s="103"/>
      <c r="DU129" s="103"/>
      <c r="DV129" s="103"/>
      <c r="DW129" s="103"/>
      <c r="DX129" s="103"/>
      <c r="DY129" s="103"/>
      <c r="DZ129" s="103"/>
      <c r="EA129" s="103"/>
      <c r="EB129" s="103"/>
      <c r="EC129" s="103"/>
      <c r="ED129" s="103"/>
      <c r="EE129" s="103"/>
      <c r="EF129" s="103"/>
      <c r="EG129" s="103"/>
      <c r="EH129" s="103"/>
      <c r="EI129" s="103"/>
      <c r="EJ129" s="103"/>
      <c r="EK129" s="103"/>
      <c r="EL129" s="103"/>
      <c r="EM129" s="103"/>
      <c r="EN129" s="103"/>
    </row>
    <row r="130" spans="1:144">
      <c r="A130" s="103" t="s">
        <v>2273</v>
      </c>
      <c r="B130" s="113">
        <v>243.304</v>
      </c>
      <c r="C130" s="113">
        <v>270</v>
      </c>
      <c r="D130" s="113">
        <v>338</v>
      </c>
      <c r="E130" s="113">
        <v>475</v>
      </c>
      <c r="F130" s="113">
        <v>581</v>
      </c>
      <c r="G130" s="113">
        <v>639</v>
      </c>
      <c r="H130" s="113">
        <v>980</v>
      </c>
      <c r="I130" s="113">
        <v>1460</v>
      </c>
      <c r="J130" s="113">
        <v>2245</v>
      </c>
      <c r="K130" s="113">
        <v>3250</v>
      </c>
      <c r="L130" s="113">
        <v>3671</v>
      </c>
      <c r="M130" s="113">
        <v>5129</v>
      </c>
      <c r="N130" s="113">
        <v>5196</v>
      </c>
      <c r="O130" s="113">
        <v>5890</v>
      </c>
      <c r="P130" s="113">
        <v>7180</v>
      </c>
      <c r="Q130" s="113">
        <v>9316</v>
      </c>
      <c r="R130" s="113">
        <v>11338</v>
      </c>
      <c r="S130" s="113">
        <v>13589</v>
      </c>
      <c r="T130" s="113">
        <v>11192</v>
      </c>
      <c r="U130" s="113">
        <v>13014</v>
      </c>
      <c r="V130" s="113">
        <v>14987</v>
      </c>
      <c r="W130" s="113">
        <v>15780</v>
      </c>
      <c r="X130" s="113">
        <v>17486</v>
      </c>
      <c r="Y130" s="113">
        <v>19544</v>
      </c>
      <c r="Z130" s="113">
        <v>17908</v>
      </c>
      <c r="AA130" s="113">
        <v>18277</v>
      </c>
      <c r="AB130" s="113">
        <v>22431</v>
      </c>
      <c r="AC130" s="113">
        <v>26481</v>
      </c>
      <c r="AD130" s="113">
        <v>29524</v>
      </c>
      <c r="AE130" s="113">
        <v>22699</v>
      </c>
      <c r="AG130" s="103" t="s">
        <v>2273</v>
      </c>
      <c r="AH130" s="113">
        <v>0</v>
      </c>
      <c r="AI130" s="113">
        <v>0</v>
      </c>
      <c r="AJ130" s="113">
        <v>0</v>
      </c>
      <c r="AK130" s="113">
        <v>338</v>
      </c>
      <c r="AL130" s="113">
        <v>0</v>
      </c>
      <c r="AM130" s="113">
        <v>460</v>
      </c>
      <c r="AN130" s="113">
        <v>522</v>
      </c>
      <c r="AO130" s="113">
        <v>475</v>
      </c>
      <c r="AP130" s="113">
        <v>527</v>
      </c>
      <c r="AQ130" s="113">
        <v>591</v>
      </c>
      <c r="AR130" s="113">
        <v>580</v>
      </c>
      <c r="AS130" s="113">
        <v>581</v>
      </c>
      <c r="AT130" s="113">
        <v>1052</v>
      </c>
      <c r="AU130" s="113">
        <v>771</v>
      </c>
      <c r="AV130" s="113">
        <v>681</v>
      </c>
      <c r="AW130" s="113">
        <v>639</v>
      </c>
      <c r="AX130" s="113">
        <v>855</v>
      </c>
      <c r="AY130" s="113">
        <v>975</v>
      </c>
      <c r="AZ130" s="113">
        <v>866</v>
      </c>
      <c r="BA130" s="113">
        <v>980</v>
      </c>
      <c r="BB130" s="113">
        <v>788</v>
      </c>
      <c r="BC130" s="113">
        <v>1081</v>
      </c>
      <c r="BD130" s="113">
        <v>1055</v>
      </c>
      <c r="BE130" s="113">
        <v>1460</v>
      </c>
      <c r="BF130" s="113">
        <v>1153</v>
      </c>
      <c r="BG130" s="113">
        <v>2029</v>
      </c>
      <c r="BH130" s="113">
        <v>1689</v>
      </c>
      <c r="BI130" s="113">
        <v>2245</v>
      </c>
      <c r="BJ130" s="113">
        <v>2207</v>
      </c>
      <c r="BK130" s="113">
        <v>3284</v>
      </c>
      <c r="BL130" s="113">
        <v>2902</v>
      </c>
      <c r="BM130" s="113">
        <v>3250</v>
      </c>
      <c r="BN130" s="113">
        <v>3172</v>
      </c>
      <c r="BO130" s="113">
        <v>4143</v>
      </c>
      <c r="BP130" s="113">
        <v>3532</v>
      </c>
      <c r="BQ130" s="113">
        <v>3671</v>
      </c>
      <c r="BR130" s="113">
        <v>3615</v>
      </c>
      <c r="BS130" s="113">
        <v>5095</v>
      </c>
      <c r="BT130" s="113">
        <v>4230</v>
      </c>
      <c r="BU130" s="113">
        <v>5129</v>
      </c>
      <c r="BV130" s="113">
        <v>4450</v>
      </c>
      <c r="BW130" s="113">
        <v>4894</v>
      </c>
      <c r="BX130" s="113">
        <v>4075</v>
      </c>
      <c r="BY130" s="113">
        <v>5196</v>
      </c>
      <c r="BZ130" s="113">
        <v>4533</v>
      </c>
      <c r="CA130" s="113">
        <v>5608</v>
      </c>
      <c r="CB130" s="113">
        <v>4937</v>
      </c>
      <c r="CC130" s="113">
        <v>5890</v>
      </c>
      <c r="CD130" s="113">
        <v>5106</v>
      </c>
      <c r="CE130" s="113">
        <v>6646</v>
      </c>
      <c r="CF130" s="113">
        <v>5610</v>
      </c>
      <c r="CG130" s="113">
        <v>7180</v>
      </c>
      <c r="CH130" s="113">
        <v>5799</v>
      </c>
      <c r="CI130" s="113">
        <v>7758</v>
      </c>
      <c r="CJ130" s="113">
        <v>6818</v>
      </c>
      <c r="CK130" s="113">
        <v>9316</v>
      </c>
      <c r="CL130" s="113">
        <v>6879</v>
      </c>
      <c r="CM130" s="113">
        <v>9895</v>
      </c>
      <c r="CN130" s="113">
        <v>8454</v>
      </c>
      <c r="CO130" s="113">
        <v>11338</v>
      </c>
      <c r="CP130" s="113">
        <v>8982</v>
      </c>
      <c r="CQ130" s="113">
        <v>11621</v>
      </c>
      <c r="CR130" s="113">
        <v>9871</v>
      </c>
      <c r="CS130" s="113">
        <v>13589</v>
      </c>
      <c r="CT130" s="113">
        <v>9535</v>
      </c>
      <c r="CU130" s="113">
        <v>10953</v>
      </c>
      <c r="CV130" s="113">
        <v>9182</v>
      </c>
      <c r="CW130" s="113">
        <v>11192</v>
      </c>
      <c r="CX130" s="113">
        <v>8587</v>
      </c>
      <c r="CY130" s="113">
        <v>11196</v>
      </c>
      <c r="CZ130" s="113">
        <v>9137</v>
      </c>
      <c r="DA130" s="113">
        <v>13014</v>
      </c>
      <c r="DB130" s="113">
        <v>9646</v>
      </c>
      <c r="DC130" s="113">
        <v>12874</v>
      </c>
      <c r="DD130" s="113">
        <v>10033</v>
      </c>
      <c r="DE130" s="113">
        <v>14987</v>
      </c>
      <c r="DF130" s="113">
        <v>10153</v>
      </c>
      <c r="DG130" s="113">
        <v>13643</v>
      </c>
      <c r="DH130" s="113">
        <v>10961</v>
      </c>
      <c r="DI130" s="113">
        <v>15780</v>
      </c>
      <c r="DJ130" s="113">
        <v>9871</v>
      </c>
      <c r="DK130" s="113">
        <v>14317</v>
      </c>
      <c r="DL130" s="113">
        <v>11991</v>
      </c>
      <c r="DM130" s="113">
        <v>17486</v>
      </c>
      <c r="DN130" s="113">
        <v>11007</v>
      </c>
      <c r="DO130" s="113">
        <v>15986</v>
      </c>
      <c r="DP130" s="113">
        <v>13497</v>
      </c>
      <c r="DQ130" s="113">
        <v>19544</v>
      </c>
      <c r="DR130" s="113">
        <v>12887</v>
      </c>
      <c r="DS130" s="113">
        <v>16186</v>
      </c>
      <c r="DT130" s="113">
        <v>12427</v>
      </c>
      <c r="DU130" s="113">
        <v>17908</v>
      </c>
      <c r="DV130" s="113">
        <v>11444</v>
      </c>
      <c r="DW130" s="113">
        <v>14507</v>
      </c>
      <c r="DX130" s="113">
        <v>12247</v>
      </c>
      <c r="DY130" s="113">
        <v>18277</v>
      </c>
      <c r="DZ130" s="113">
        <v>11129</v>
      </c>
      <c r="EA130" s="113">
        <v>14343</v>
      </c>
      <c r="EB130" s="113">
        <v>12882</v>
      </c>
      <c r="EC130" s="113">
        <v>22431</v>
      </c>
      <c r="ED130" s="113">
        <v>14561</v>
      </c>
      <c r="EE130" s="113">
        <v>18428</v>
      </c>
      <c r="EF130" s="113">
        <v>17208</v>
      </c>
      <c r="EG130" s="113">
        <v>26481</v>
      </c>
      <c r="EH130" s="113">
        <v>17390</v>
      </c>
      <c r="EI130" s="113">
        <v>19680</v>
      </c>
      <c r="EJ130" s="113">
        <v>19269</v>
      </c>
      <c r="EK130" s="113">
        <v>29524</v>
      </c>
      <c r="EL130" s="113">
        <v>19087</v>
      </c>
      <c r="EM130" s="113">
        <v>23525</v>
      </c>
      <c r="EN130" s="113">
        <v>22699</v>
      </c>
    </row>
    <row r="131" spans="1:144" ht="10.5">
      <c r="A131" s="112" t="s">
        <v>2274</v>
      </c>
      <c r="B131" s="114">
        <v>243.304</v>
      </c>
      <c r="C131" s="114">
        <v>270</v>
      </c>
      <c r="D131" s="114">
        <v>338</v>
      </c>
      <c r="E131" s="114">
        <v>475</v>
      </c>
      <c r="F131" s="114">
        <v>581</v>
      </c>
      <c r="G131" s="114">
        <v>639</v>
      </c>
      <c r="H131" s="114">
        <v>980</v>
      </c>
      <c r="I131" s="114">
        <v>1460</v>
      </c>
      <c r="J131" s="114">
        <v>2245</v>
      </c>
      <c r="K131" s="114">
        <v>3250</v>
      </c>
      <c r="L131" s="114">
        <v>3671</v>
      </c>
      <c r="M131" s="114">
        <v>5129</v>
      </c>
      <c r="N131" s="114">
        <v>5196</v>
      </c>
      <c r="O131" s="114">
        <v>5890</v>
      </c>
      <c r="P131" s="114">
        <v>7180</v>
      </c>
      <c r="Q131" s="114">
        <v>9316</v>
      </c>
      <c r="R131" s="114">
        <v>11338</v>
      </c>
      <c r="S131" s="114">
        <v>13589</v>
      </c>
      <c r="T131" s="114">
        <v>11192</v>
      </c>
      <c r="U131" s="114">
        <v>13014</v>
      </c>
      <c r="V131" s="114">
        <v>14987</v>
      </c>
      <c r="W131" s="114">
        <v>15780</v>
      </c>
      <c r="X131" s="114">
        <v>17486</v>
      </c>
      <c r="Y131" s="114">
        <v>19544</v>
      </c>
      <c r="Z131" s="114">
        <v>17908</v>
      </c>
      <c r="AA131" s="114">
        <v>18277</v>
      </c>
      <c r="AB131" s="114">
        <v>22431</v>
      </c>
      <c r="AC131" s="114">
        <v>26481</v>
      </c>
      <c r="AD131" s="114">
        <v>29524</v>
      </c>
      <c r="AE131" s="114">
        <v>22699</v>
      </c>
      <c r="AG131" s="112" t="s">
        <v>2274</v>
      </c>
      <c r="AH131" s="114">
        <v>0</v>
      </c>
      <c r="AI131" s="114">
        <v>0</v>
      </c>
      <c r="AJ131" s="114">
        <v>0</v>
      </c>
      <c r="AK131" s="114">
        <v>338</v>
      </c>
      <c r="AL131" s="114">
        <v>0</v>
      </c>
      <c r="AM131" s="114">
        <v>460</v>
      </c>
      <c r="AN131" s="114">
        <v>522</v>
      </c>
      <c r="AO131" s="114">
        <v>475</v>
      </c>
      <c r="AP131" s="114">
        <v>527</v>
      </c>
      <c r="AQ131" s="114">
        <v>591</v>
      </c>
      <c r="AR131" s="114">
        <v>580</v>
      </c>
      <c r="AS131" s="114">
        <v>581</v>
      </c>
      <c r="AT131" s="114">
        <v>1052</v>
      </c>
      <c r="AU131" s="114">
        <v>771</v>
      </c>
      <c r="AV131" s="114">
        <v>681</v>
      </c>
      <c r="AW131" s="114">
        <v>639</v>
      </c>
      <c r="AX131" s="114">
        <v>855</v>
      </c>
      <c r="AY131" s="114">
        <v>975</v>
      </c>
      <c r="AZ131" s="114">
        <v>866</v>
      </c>
      <c r="BA131" s="114">
        <v>980</v>
      </c>
      <c r="BB131" s="114">
        <v>788</v>
      </c>
      <c r="BC131" s="114">
        <v>1081</v>
      </c>
      <c r="BD131" s="114">
        <v>1055</v>
      </c>
      <c r="BE131" s="114">
        <v>1460</v>
      </c>
      <c r="BF131" s="114">
        <v>1153</v>
      </c>
      <c r="BG131" s="114">
        <v>2029</v>
      </c>
      <c r="BH131" s="114">
        <v>1689</v>
      </c>
      <c r="BI131" s="114">
        <v>2245</v>
      </c>
      <c r="BJ131" s="114">
        <v>2207</v>
      </c>
      <c r="BK131" s="114">
        <v>3284</v>
      </c>
      <c r="BL131" s="114">
        <v>2902</v>
      </c>
      <c r="BM131" s="114">
        <v>3250</v>
      </c>
      <c r="BN131" s="114">
        <v>3172</v>
      </c>
      <c r="BO131" s="114">
        <v>4143</v>
      </c>
      <c r="BP131" s="114">
        <v>3532</v>
      </c>
      <c r="BQ131" s="114">
        <v>3671</v>
      </c>
      <c r="BR131" s="114">
        <v>3615</v>
      </c>
      <c r="BS131" s="114">
        <v>5095</v>
      </c>
      <c r="BT131" s="114">
        <v>4230</v>
      </c>
      <c r="BU131" s="114">
        <v>5129</v>
      </c>
      <c r="BV131" s="114">
        <v>4450</v>
      </c>
      <c r="BW131" s="114">
        <v>4894</v>
      </c>
      <c r="BX131" s="114">
        <v>4075</v>
      </c>
      <c r="BY131" s="114">
        <v>5196</v>
      </c>
      <c r="BZ131" s="114">
        <v>4533</v>
      </c>
      <c r="CA131" s="114">
        <v>5608</v>
      </c>
      <c r="CB131" s="114">
        <v>4937</v>
      </c>
      <c r="CC131" s="114">
        <v>5890</v>
      </c>
      <c r="CD131" s="114">
        <v>5106</v>
      </c>
      <c r="CE131" s="114">
        <v>6646</v>
      </c>
      <c r="CF131" s="114">
        <v>5610</v>
      </c>
      <c r="CG131" s="114">
        <v>7180</v>
      </c>
      <c r="CH131" s="114">
        <v>5799</v>
      </c>
      <c r="CI131" s="114">
        <v>7758</v>
      </c>
      <c r="CJ131" s="114">
        <v>6818</v>
      </c>
      <c r="CK131" s="114">
        <v>9316</v>
      </c>
      <c r="CL131" s="114">
        <v>6879</v>
      </c>
      <c r="CM131" s="114">
        <v>9895</v>
      </c>
      <c r="CN131" s="114">
        <v>8454</v>
      </c>
      <c r="CO131" s="114">
        <v>11338</v>
      </c>
      <c r="CP131" s="114">
        <v>8982</v>
      </c>
      <c r="CQ131" s="114">
        <v>11621</v>
      </c>
      <c r="CR131" s="114">
        <v>9871</v>
      </c>
      <c r="CS131" s="114">
        <v>13589</v>
      </c>
      <c r="CT131" s="114">
        <v>9535</v>
      </c>
      <c r="CU131" s="114">
        <v>10953</v>
      </c>
      <c r="CV131" s="114">
        <v>9182</v>
      </c>
      <c r="CW131" s="114">
        <v>11192</v>
      </c>
      <c r="CX131" s="114">
        <v>8587</v>
      </c>
      <c r="CY131" s="114">
        <v>11196</v>
      </c>
      <c r="CZ131" s="114">
        <v>9137</v>
      </c>
      <c r="DA131" s="114">
        <v>13014</v>
      </c>
      <c r="DB131" s="114">
        <v>9646</v>
      </c>
      <c r="DC131" s="114">
        <v>12874</v>
      </c>
      <c r="DD131" s="114">
        <v>10033</v>
      </c>
      <c r="DE131" s="114">
        <v>14987</v>
      </c>
      <c r="DF131" s="114">
        <v>10153</v>
      </c>
      <c r="DG131" s="114">
        <v>13643</v>
      </c>
      <c r="DH131" s="114">
        <v>10961</v>
      </c>
      <c r="DI131" s="114">
        <v>15780</v>
      </c>
      <c r="DJ131" s="114">
        <v>9871</v>
      </c>
      <c r="DK131" s="114">
        <v>14317</v>
      </c>
      <c r="DL131" s="114">
        <v>11991</v>
      </c>
      <c r="DM131" s="114">
        <v>17486</v>
      </c>
      <c r="DN131" s="114">
        <v>11007</v>
      </c>
      <c r="DO131" s="114">
        <v>15986</v>
      </c>
      <c r="DP131" s="114">
        <v>13497</v>
      </c>
      <c r="DQ131" s="114">
        <v>19544</v>
      </c>
      <c r="DR131" s="114">
        <v>12887</v>
      </c>
      <c r="DS131" s="114">
        <v>16186</v>
      </c>
      <c r="DT131" s="114">
        <v>12427</v>
      </c>
      <c r="DU131" s="114">
        <v>17908</v>
      </c>
      <c r="DV131" s="114">
        <v>11444</v>
      </c>
      <c r="DW131" s="114">
        <v>14507</v>
      </c>
      <c r="DX131" s="114">
        <v>12247</v>
      </c>
      <c r="DY131" s="114">
        <v>18277</v>
      </c>
      <c r="DZ131" s="114">
        <v>11129</v>
      </c>
      <c r="EA131" s="114">
        <v>14343</v>
      </c>
      <c r="EB131" s="114">
        <v>12882</v>
      </c>
      <c r="EC131" s="114">
        <v>22431</v>
      </c>
      <c r="ED131" s="114">
        <v>14561</v>
      </c>
      <c r="EE131" s="114">
        <v>18428</v>
      </c>
      <c r="EF131" s="114">
        <v>17208</v>
      </c>
      <c r="EG131" s="114">
        <v>26481</v>
      </c>
      <c r="EH131" s="114">
        <v>17390</v>
      </c>
      <c r="EI131" s="114">
        <v>19680</v>
      </c>
      <c r="EJ131" s="114">
        <v>19269</v>
      </c>
      <c r="EK131" s="114">
        <v>29524</v>
      </c>
      <c r="EL131" s="114">
        <v>19087</v>
      </c>
      <c r="EM131" s="114">
        <v>23525</v>
      </c>
      <c r="EN131" s="114">
        <v>22699</v>
      </c>
    </row>
    <row r="132" spans="1:144">
      <c r="A132" s="103"/>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c r="CR132" s="103"/>
      <c r="CS132" s="103"/>
      <c r="CT132" s="103"/>
      <c r="CU132" s="103"/>
      <c r="CV132" s="103"/>
      <c r="CW132" s="103"/>
      <c r="CX132" s="103"/>
      <c r="CY132" s="103"/>
      <c r="CZ132" s="103"/>
      <c r="DA132" s="103"/>
      <c r="DB132" s="103"/>
      <c r="DC132" s="103"/>
      <c r="DD132" s="103"/>
      <c r="DE132" s="103"/>
      <c r="DF132" s="103"/>
      <c r="DG132" s="103"/>
      <c r="DH132" s="103"/>
      <c r="DI132" s="103"/>
      <c r="DJ132" s="103"/>
      <c r="DK132" s="103"/>
      <c r="DL132" s="103"/>
      <c r="DM132" s="103"/>
      <c r="DN132" s="103"/>
      <c r="DO132" s="103"/>
      <c r="DP132" s="103"/>
      <c r="DQ132" s="103"/>
      <c r="DR132" s="103"/>
      <c r="DS132" s="103"/>
      <c r="DT132" s="103"/>
      <c r="DU132" s="103"/>
      <c r="DV132" s="103"/>
      <c r="DW132" s="103"/>
      <c r="DX132" s="103"/>
      <c r="DY132" s="103"/>
      <c r="DZ132" s="103"/>
      <c r="EA132" s="103"/>
      <c r="EB132" s="103"/>
      <c r="EC132" s="103"/>
      <c r="ED132" s="103"/>
      <c r="EE132" s="103"/>
      <c r="EF132" s="103"/>
      <c r="EG132" s="103"/>
      <c r="EH132" s="103"/>
      <c r="EI132" s="103"/>
      <c r="EJ132" s="103"/>
      <c r="EK132" s="103"/>
      <c r="EL132" s="103"/>
      <c r="EM132" s="103"/>
      <c r="EN132" s="103"/>
    </row>
    <row r="133" spans="1:144">
      <c r="A133" s="103" t="s">
        <v>2275</v>
      </c>
      <c r="B133" s="113">
        <v>47.106000000000002</v>
      </c>
      <c r="C133" s="113">
        <v>86</v>
      </c>
      <c r="D133" s="113">
        <v>127</v>
      </c>
      <c r="E133" s="113">
        <v>102</v>
      </c>
      <c r="F133" s="113">
        <v>0</v>
      </c>
      <c r="G133" s="113">
        <v>0</v>
      </c>
      <c r="H133" s="113">
        <v>0</v>
      </c>
      <c r="I133" s="113">
        <v>0</v>
      </c>
      <c r="J133" s="113">
        <v>0</v>
      </c>
      <c r="K133" s="113">
        <v>0</v>
      </c>
      <c r="L133" s="113">
        <v>83</v>
      </c>
      <c r="M133" s="113">
        <v>673</v>
      </c>
      <c r="N133" s="113">
        <v>640</v>
      </c>
      <c r="O133" s="113">
        <v>421</v>
      </c>
      <c r="P133" s="113">
        <v>491</v>
      </c>
      <c r="Q133" s="113">
        <v>1478</v>
      </c>
      <c r="R133" s="113">
        <v>1127</v>
      </c>
      <c r="S133" s="113">
        <v>985</v>
      </c>
      <c r="T133" s="113">
        <v>717</v>
      </c>
      <c r="U133" s="113">
        <v>740</v>
      </c>
      <c r="V133" s="113">
        <v>1372</v>
      </c>
      <c r="W133" s="113">
        <v>1137</v>
      </c>
      <c r="X133" s="113">
        <v>1938</v>
      </c>
      <c r="Y133" s="113">
        <v>2660</v>
      </c>
      <c r="Z133" s="113">
        <v>2902</v>
      </c>
      <c r="AA133" s="113">
        <v>2251</v>
      </c>
      <c r="AB133" s="113">
        <v>2181</v>
      </c>
      <c r="AC133" s="113">
        <v>2662</v>
      </c>
      <c r="AD133" s="113">
        <v>2063</v>
      </c>
      <c r="AE133" s="113">
        <v>1644</v>
      </c>
      <c r="AG133" s="103" t="s">
        <v>2275</v>
      </c>
      <c r="AH133" s="113">
        <v>0</v>
      </c>
      <c r="AI133" s="113">
        <v>0</v>
      </c>
      <c r="AJ133" s="113">
        <v>0</v>
      </c>
      <c r="AK133" s="113">
        <v>127</v>
      </c>
      <c r="AL133" s="113">
        <v>0</v>
      </c>
      <c r="AM133" s="113">
        <v>130</v>
      </c>
      <c r="AN133" s="113">
        <v>131</v>
      </c>
      <c r="AO133" s="113">
        <v>102</v>
      </c>
      <c r="AP133" s="113">
        <v>108</v>
      </c>
      <c r="AQ133" s="113">
        <v>117</v>
      </c>
      <c r="AR133" s="113">
        <v>87</v>
      </c>
      <c r="AS133" s="113">
        <v>0</v>
      </c>
      <c r="AT133" s="113">
        <v>125</v>
      </c>
      <c r="AU133" s="113">
        <v>108</v>
      </c>
      <c r="AV133" s="113">
        <v>33</v>
      </c>
      <c r="AW133" s="113">
        <v>0</v>
      </c>
      <c r="AX133" s="113">
        <v>0</v>
      </c>
      <c r="AY133" s="113">
        <v>0</v>
      </c>
      <c r="AZ133" s="113">
        <v>0</v>
      </c>
      <c r="BA133" s="113">
        <v>0</v>
      </c>
      <c r="BB133" s="113">
        <v>0</v>
      </c>
      <c r="BC133" s="113">
        <v>0</v>
      </c>
      <c r="BD133" s="113">
        <v>0</v>
      </c>
      <c r="BE133" s="113">
        <v>0</v>
      </c>
      <c r="BF133" s="113">
        <v>0</v>
      </c>
      <c r="BG133" s="113">
        <v>0</v>
      </c>
      <c r="BH133" s="113">
        <v>0</v>
      </c>
      <c r="BI133" s="113">
        <v>0</v>
      </c>
      <c r="BJ133" s="113">
        <v>0</v>
      </c>
      <c r="BK133" s="113">
        <v>0</v>
      </c>
      <c r="BL133" s="113">
        <v>0</v>
      </c>
      <c r="BM133" s="113">
        <v>0</v>
      </c>
      <c r="BN133" s="113">
        <v>0</v>
      </c>
      <c r="BO133" s="113">
        <v>0</v>
      </c>
      <c r="BP133" s="113">
        <v>0</v>
      </c>
      <c r="BQ133" s="113">
        <v>83</v>
      </c>
      <c r="BR133" s="113">
        <v>0</v>
      </c>
      <c r="BS133" s="113">
        <v>0</v>
      </c>
      <c r="BT133" s="113">
        <v>0</v>
      </c>
      <c r="BU133" s="113">
        <v>673</v>
      </c>
      <c r="BV133" s="113">
        <v>959</v>
      </c>
      <c r="BW133" s="113">
        <v>650</v>
      </c>
      <c r="BX133" s="113">
        <v>604</v>
      </c>
      <c r="BY133" s="113">
        <v>640</v>
      </c>
      <c r="BZ133" s="113">
        <v>1099</v>
      </c>
      <c r="CA133" s="113">
        <v>621</v>
      </c>
      <c r="CB133" s="113">
        <v>542</v>
      </c>
      <c r="CC133" s="113">
        <v>421</v>
      </c>
      <c r="CD133" s="113">
        <v>608</v>
      </c>
      <c r="CE133" s="113">
        <v>304</v>
      </c>
      <c r="CF133" s="113">
        <v>340</v>
      </c>
      <c r="CG133" s="113">
        <v>491</v>
      </c>
      <c r="CH133" s="113">
        <v>726</v>
      </c>
      <c r="CI133" s="113">
        <v>1003</v>
      </c>
      <c r="CJ133" s="113">
        <v>1113</v>
      </c>
      <c r="CK133" s="113">
        <v>1478</v>
      </c>
      <c r="CL133" s="113">
        <v>2521</v>
      </c>
      <c r="CM133" s="113">
        <v>1725</v>
      </c>
      <c r="CN133" s="113">
        <v>1750</v>
      </c>
      <c r="CO133" s="113">
        <v>1127</v>
      </c>
      <c r="CP133" s="113">
        <v>1178</v>
      </c>
      <c r="CQ133" s="113">
        <v>755</v>
      </c>
      <c r="CR133" s="113">
        <v>774</v>
      </c>
      <c r="CS133" s="113">
        <v>985</v>
      </c>
      <c r="CT133" s="113">
        <v>1640</v>
      </c>
      <c r="CU133" s="113">
        <v>968</v>
      </c>
      <c r="CV133" s="113">
        <v>657</v>
      </c>
      <c r="CW133" s="113">
        <v>717</v>
      </c>
      <c r="CX133" s="113">
        <v>1150</v>
      </c>
      <c r="CY133" s="113">
        <v>589</v>
      </c>
      <c r="CZ133" s="113">
        <v>501</v>
      </c>
      <c r="DA133" s="113">
        <v>740</v>
      </c>
      <c r="DB133" s="113">
        <v>1242</v>
      </c>
      <c r="DC133" s="113">
        <v>861</v>
      </c>
      <c r="DD133" s="113">
        <v>1056</v>
      </c>
      <c r="DE133" s="113">
        <v>1372</v>
      </c>
      <c r="DF133" s="113">
        <v>2270</v>
      </c>
      <c r="DG133" s="113">
        <v>1351</v>
      </c>
      <c r="DH133" s="113">
        <v>1412</v>
      </c>
      <c r="DI133" s="113">
        <v>1137</v>
      </c>
      <c r="DJ133" s="113">
        <v>1624</v>
      </c>
      <c r="DK133" s="113">
        <v>1661</v>
      </c>
      <c r="DL133" s="113">
        <v>2133</v>
      </c>
      <c r="DM133" s="113">
        <v>1938</v>
      </c>
      <c r="DN133" s="113">
        <v>2613</v>
      </c>
      <c r="DO133" s="113">
        <v>1594</v>
      </c>
      <c r="DP133" s="113">
        <v>1920</v>
      </c>
      <c r="DQ133" s="113">
        <v>2660</v>
      </c>
      <c r="DR133" s="113">
        <v>3141</v>
      </c>
      <c r="DS133" s="113">
        <v>2053</v>
      </c>
      <c r="DT133" s="113">
        <v>2469</v>
      </c>
      <c r="DU133" s="113">
        <v>2902</v>
      </c>
      <c r="DV133" s="113">
        <v>3816</v>
      </c>
      <c r="DW133" s="113">
        <v>2702</v>
      </c>
      <c r="DX133" s="113">
        <v>2450</v>
      </c>
      <c r="DY133" s="113">
        <v>2251</v>
      </c>
      <c r="DZ133" s="113">
        <v>3122</v>
      </c>
      <c r="EA133" s="113">
        <v>1961</v>
      </c>
      <c r="EB133" s="113">
        <v>1979</v>
      </c>
      <c r="EC133" s="113">
        <v>2181</v>
      </c>
      <c r="ED133" s="113">
        <v>3211</v>
      </c>
      <c r="EE133" s="113">
        <v>2003</v>
      </c>
      <c r="EF133" s="113">
        <v>2084</v>
      </c>
      <c r="EG133" s="113">
        <v>2662</v>
      </c>
      <c r="EH133" s="113">
        <v>3614</v>
      </c>
      <c r="EI133" s="113">
        <v>1961</v>
      </c>
      <c r="EJ133" s="113">
        <v>1951</v>
      </c>
      <c r="EK133" s="113">
        <v>2063</v>
      </c>
      <c r="EL133" s="113">
        <v>2622</v>
      </c>
      <c r="EM133" s="113">
        <v>1823</v>
      </c>
      <c r="EN133" s="113">
        <v>1644</v>
      </c>
    </row>
    <row r="134" spans="1:144">
      <c r="A134" s="103" t="s">
        <v>2276</v>
      </c>
      <c r="B134" s="113">
        <v>0</v>
      </c>
      <c r="C134" s="113">
        <v>0</v>
      </c>
      <c r="D134" s="113">
        <v>0</v>
      </c>
      <c r="E134" s="113">
        <v>0</v>
      </c>
      <c r="F134" s="113">
        <v>0</v>
      </c>
      <c r="G134" s="113">
        <v>0</v>
      </c>
      <c r="H134" s="113">
        <v>0</v>
      </c>
      <c r="I134" s="113">
        <v>0</v>
      </c>
      <c r="J134" s="113">
        <v>1469</v>
      </c>
      <c r="K134" s="113">
        <v>1708</v>
      </c>
      <c r="L134" s="113">
        <v>1522</v>
      </c>
      <c r="M134" s="113">
        <v>2112</v>
      </c>
      <c r="N134" s="113">
        <v>2506</v>
      </c>
      <c r="O134" s="113">
        <v>2097</v>
      </c>
      <c r="P134" s="113">
        <v>1701</v>
      </c>
      <c r="Q134" s="113">
        <v>1940</v>
      </c>
      <c r="R134" s="113">
        <v>1899</v>
      </c>
      <c r="S134" s="113">
        <v>2017</v>
      </c>
      <c r="T134" s="113">
        <v>2213</v>
      </c>
      <c r="U134" s="113">
        <v>2184</v>
      </c>
      <c r="V134" s="113">
        <v>2467</v>
      </c>
      <c r="W134" s="113">
        <v>2035</v>
      </c>
      <c r="X134" s="113">
        <v>1632</v>
      </c>
      <c r="Y134" s="113">
        <v>1941</v>
      </c>
      <c r="Z134" s="113">
        <v>0</v>
      </c>
      <c r="AA134" s="113">
        <v>0</v>
      </c>
      <c r="AB134" s="113">
        <v>0</v>
      </c>
      <c r="AC134" s="113">
        <v>0</v>
      </c>
      <c r="AD134" s="113">
        <v>0</v>
      </c>
      <c r="AE134" s="113">
        <v>0</v>
      </c>
      <c r="AG134" s="103" t="s">
        <v>2276</v>
      </c>
      <c r="AH134" s="113">
        <v>0</v>
      </c>
      <c r="AI134" s="113">
        <v>0</v>
      </c>
      <c r="AJ134" s="113">
        <v>0</v>
      </c>
      <c r="AK134" s="113">
        <v>0</v>
      </c>
      <c r="AL134" s="113">
        <v>0</v>
      </c>
      <c r="AM134" s="113">
        <v>0</v>
      </c>
      <c r="AN134" s="113">
        <v>0</v>
      </c>
      <c r="AO134" s="113">
        <v>0</v>
      </c>
      <c r="AP134" s="113">
        <v>0</v>
      </c>
      <c r="AQ134" s="113">
        <v>0</v>
      </c>
      <c r="AR134" s="113">
        <v>0</v>
      </c>
      <c r="AS134" s="113">
        <v>0</v>
      </c>
      <c r="AT134" s="113">
        <v>0</v>
      </c>
      <c r="AU134" s="113">
        <v>0</v>
      </c>
      <c r="AV134" s="113">
        <v>0</v>
      </c>
      <c r="AW134" s="113">
        <v>0</v>
      </c>
      <c r="AX134" s="113">
        <v>0</v>
      </c>
      <c r="AY134" s="113">
        <v>0</v>
      </c>
      <c r="AZ134" s="113">
        <v>0</v>
      </c>
      <c r="BA134" s="113">
        <v>0</v>
      </c>
      <c r="BB134" s="113">
        <v>0</v>
      </c>
      <c r="BC134" s="113">
        <v>0</v>
      </c>
      <c r="BD134" s="113">
        <v>0</v>
      </c>
      <c r="BE134" s="113">
        <v>0</v>
      </c>
      <c r="BF134" s="113">
        <v>0</v>
      </c>
      <c r="BG134" s="113">
        <v>0</v>
      </c>
      <c r="BH134" s="113">
        <v>0</v>
      </c>
      <c r="BI134" s="113">
        <v>1469</v>
      </c>
      <c r="BJ134" s="113">
        <v>0</v>
      </c>
      <c r="BK134" s="113">
        <v>0</v>
      </c>
      <c r="BL134" s="113">
        <v>0</v>
      </c>
      <c r="BM134" s="113">
        <v>1708</v>
      </c>
      <c r="BN134" s="113">
        <v>1734</v>
      </c>
      <c r="BO134" s="113">
        <v>1984</v>
      </c>
      <c r="BP134" s="113">
        <v>1841</v>
      </c>
      <c r="BQ134" s="113">
        <v>1522</v>
      </c>
      <c r="BR134" s="113">
        <v>1993</v>
      </c>
      <c r="BS134" s="113">
        <v>1972</v>
      </c>
      <c r="BT134" s="113">
        <v>2086</v>
      </c>
      <c r="BU134" s="113">
        <v>2112</v>
      </c>
      <c r="BV134" s="113">
        <v>2401</v>
      </c>
      <c r="BW134" s="113">
        <v>2347</v>
      </c>
      <c r="BX134" s="113">
        <v>2257</v>
      </c>
      <c r="BY134" s="113">
        <v>2506</v>
      </c>
      <c r="BZ134" s="113">
        <v>2206</v>
      </c>
      <c r="CA134" s="113">
        <v>2068</v>
      </c>
      <c r="CB134" s="113">
        <v>1748</v>
      </c>
      <c r="CC134" s="113">
        <v>2097</v>
      </c>
      <c r="CD134" s="113">
        <v>1522</v>
      </c>
      <c r="CE134" s="113">
        <v>1301</v>
      </c>
      <c r="CF134" s="113">
        <v>1780</v>
      </c>
      <c r="CG134" s="113">
        <v>1701</v>
      </c>
      <c r="CH134" s="113">
        <v>1480</v>
      </c>
      <c r="CI134" s="113">
        <v>1487</v>
      </c>
      <c r="CJ134" s="113">
        <v>2036</v>
      </c>
      <c r="CK134" s="113">
        <v>1940</v>
      </c>
      <c r="CL134" s="113">
        <v>2068</v>
      </c>
      <c r="CM134" s="113">
        <v>2607</v>
      </c>
      <c r="CN134" s="113">
        <v>1969</v>
      </c>
      <c r="CO134" s="113">
        <v>1899</v>
      </c>
      <c r="CP134" s="113">
        <v>1571</v>
      </c>
      <c r="CQ134" s="113">
        <v>1483</v>
      </c>
      <c r="CR134" s="113">
        <v>1721</v>
      </c>
      <c r="CS134" s="113">
        <v>2017</v>
      </c>
      <c r="CT134" s="113">
        <v>1974</v>
      </c>
      <c r="CU134" s="113">
        <v>1504</v>
      </c>
      <c r="CV134" s="113">
        <v>1926</v>
      </c>
      <c r="CW134" s="113">
        <v>2213</v>
      </c>
      <c r="CX134" s="113">
        <v>2441</v>
      </c>
      <c r="CY134" s="113">
        <v>2056</v>
      </c>
      <c r="CZ134" s="113">
        <v>2222</v>
      </c>
      <c r="DA134" s="113">
        <v>2184</v>
      </c>
      <c r="DB134" s="113">
        <v>2344</v>
      </c>
      <c r="DC134" s="113">
        <v>2548</v>
      </c>
      <c r="DD134" s="113">
        <v>2586</v>
      </c>
      <c r="DE134" s="113">
        <v>2467</v>
      </c>
      <c r="DF134" s="113">
        <v>2190</v>
      </c>
      <c r="DG134" s="113">
        <v>2169</v>
      </c>
      <c r="DH134" s="113">
        <v>2350</v>
      </c>
      <c r="DI134" s="113">
        <v>2035</v>
      </c>
      <c r="DJ134" s="113">
        <v>2052</v>
      </c>
      <c r="DK134" s="113">
        <v>1983</v>
      </c>
      <c r="DL134" s="113">
        <v>1676</v>
      </c>
      <c r="DM134" s="113">
        <v>1632</v>
      </c>
      <c r="DN134" s="113">
        <v>1258</v>
      </c>
      <c r="DO134" s="113">
        <v>1328</v>
      </c>
      <c r="DP134" s="113">
        <v>1424</v>
      </c>
      <c r="DQ134" s="113">
        <v>1941</v>
      </c>
      <c r="DR134" s="113">
        <v>1784</v>
      </c>
      <c r="DS134" s="113">
        <v>1701</v>
      </c>
      <c r="DT134" s="113">
        <v>1688</v>
      </c>
      <c r="DU134" s="113">
        <v>0</v>
      </c>
      <c r="DV134" s="113">
        <v>1447</v>
      </c>
      <c r="DW134" s="113">
        <v>1618</v>
      </c>
      <c r="DX134" s="113">
        <v>1574</v>
      </c>
      <c r="DY134" s="113">
        <v>0</v>
      </c>
      <c r="DZ134" s="113">
        <v>0</v>
      </c>
      <c r="EA134" s="113">
        <v>0</v>
      </c>
      <c r="EB134" s="113">
        <v>0</v>
      </c>
      <c r="EC134" s="113">
        <v>0</v>
      </c>
      <c r="ED134" s="113">
        <v>0</v>
      </c>
      <c r="EE134" s="113">
        <v>0</v>
      </c>
      <c r="EF134" s="113">
        <v>0</v>
      </c>
      <c r="EG134" s="113">
        <v>0</v>
      </c>
      <c r="EH134" s="113">
        <v>0</v>
      </c>
      <c r="EI134" s="113">
        <v>0</v>
      </c>
      <c r="EJ134" s="113">
        <v>0</v>
      </c>
      <c r="EK134" s="113">
        <v>0</v>
      </c>
      <c r="EL134" s="113">
        <v>0</v>
      </c>
      <c r="EM134" s="113">
        <v>0</v>
      </c>
      <c r="EN134" s="113">
        <v>0</v>
      </c>
    </row>
    <row r="135" spans="1:144">
      <c r="A135" s="103" t="s">
        <v>1545</v>
      </c>
      <c r="B135" s="113">
        <v>51.779000000000003</v>
      </c>
      <c r="C135" s="113">
        <v>69</v>
      </c>
      <c r="D135" s="113">
        <v>95</v>
      </c>
      <c r="E135" s="113">
        <v>121</v>
      </c>
      <c r="F135" s="113">
        <v>289</v>
      </c>
      <c r="G135" s="113">
        <v>260</v>
      </c>
      <c r="H135" s="113">
        <v>427</v>
      </c>
      <c r="I135" s="113">
        <v>502</v>
      </c>
      <c r="J135" s="113">
        <v>752</v>
      </c>
      <c r="K135" s="113">
        <v>1552</v>
      </c>
      <c r="L135" s="113">
        <v>2334</v>
      </c>
      <c r="M135" s="113">
        <v>2010</v>
      </c>
      <c r="N135" s="113">
        <v>1583</v>
      </c>
      <c r="O135" s="113">
        <v>1566</v>
      </c>
      <c r="P135" s="113">
        <v>1614</v>
      </c>
      <c r="Q135" s="113">
        <v>5180</v>
      </c>
      <c r="R135" s="113">
        <v>4749</v>
      </c>
      <c r="S135" s="113">
        <v>5480</v>
      </c>
      <c r="T135" s="113">
        <v>5373</v>
      </c>
      <c r="U135" s="113">
        <v>3179</v>
      </c>
      <c r="V135" s="113">
        <v>4721</v>
      </c>
      <c r="W135" s="113">
        <v>4088</v>
      </c>
      <c r="X135" s="113">
        <v>4000</v>
      </c>
      <c r="Y135" s="113">
        <v>4955</v>
      </c>
      <c r="Z135" s="113">
        <v>5596</v>
      </c>
      <c r="AA135" s="113">
        <v>6091</v>
      </c>
      <c r="AB135" s="113">
        <v>5183</v>
      </c>
      <c r="AC135" s="113">
        <v>6855</v>
      </c>
      <c r="AD135" s="113">
        <v>10133</v>
      </c>
      <c r="AE135" s="113">
        <v>8520</v>
      </c>
      <c r="AG135" s="103" t="s">
        <v>1545</v>
      </c>
      <c r="AH135" s="113">
        <v>0</v>
      </c>
      <c r="AI135" s="113">
        <v>0</v>
      </c>
      <c r="AJ135" s="113">
        <v>0</v>
      </c>
      <c r="AK135" s="113">
        <v>95</v>
      </c>
      <c r="AL135" s="113">
        <v>0</v>
      </c>
      <c r="AM135" s="113">
        <v>96</v>
      </c>
      <c r="AN135" s="113">
        <v>116</v>
      </c>
      <c r="AO135" s="113">
        <v>121</v>
      </c>
      <c r="AP135" s="113">
        <v>143</v>
      </c>
      <c r="AQ135" s="113">
        <v>149</v>
      </c>
      <c r="AR135" s="113">
        <v>155</v>
      </c>
      <c r="AS135" s="113">
        <v>289</v>
      </c>
      <c r="AT135" s="113">
        <v>176</v>
      </c>
      <c r="AU135" s="113">
        <v>207</v>
      </c>
      <c r="AV135" s="113">
        <v>212</v>
      </c>
      <c r="AW135" s="113">
        <v>260</v>
      </c>
      <c r="AX135" s="113">
        <v>279</v>
      </c>
      <c r="AY135" s="113">
        <v>307</v>
      </c>
      <c r="AZ135" s="113">
        <v>272</v>
      </c>
      <c r="BA135" s="113">
        <v>427</v>
      </c>
      <c r="BB135" s="113">
        <v>416</v>
      </c>
      <c r="BC135" s="113">
        <v>450</v>
      </c>
      <c r="BD135" s="113">
        <v>358</v>
      </c>
      <c r="BE135" s="113">
        <v>502</v>
      </c>
      <c r="BF135" s="113">
        <v>569</v>
      </c>
      <c r="BG135" s="113">
        <v>543</v>
      </c>
      <c r="BH135" s="113">
        <v>608</v>
      </c>
      <c r="BI135" s="113">
        <v>752</v>
      </c>
      <c r="BJ135" s="113">
        <v>854</v>
      </c>
      <c r="BK135" s="113">
        <v>893</v>
      </c>
      <c r="BL135" s="113">
        <v>1110</v>
      </c>
      <c r="BM135" s="113">
        <v>1552</v>
      </c>
      <c r="BN135" s="113">
        <v>1776</v>
      </c>
      <c r="BO135" s="113">
        <v>2000</v>
      </c>
      <c r="BP135" s="113">
        <v>2398</v>
      </c>
      <c r="BQ135" s="113">
        <v>2334</v>
      </c>
      <c r="BR135" s="113">
        <v>2561</v>
      </c>
      <c r="BS135" s="113">
        <v>2692</v>
      </c>
      <c r="BT135" s="113">
        <v>2818</v>
      </c>
      <c r="BU135" s="113">
        <v>2010</v>
      </c>
      <c r="BV135" s="113">
        <v>1758</v>
      </c>
      <c r="BW135" s="113">
        <v>1616</v>
      </c>
      <c r="BX135" s="113">
        <v>1558</v>
      </c>
      <c r="BY135" s="113">
        <v>1583</v>
      </c>
      <c r="BZ135" s="113">
        <v>1450</v>
      </c>
      <c r="CA135" s="113">
        <v>1326</v>
      </c>
      <c r="CB135" s="113">
        <v>1636</v>
      </c>
      <c r="CC135" s="113">
        <v>1566</v>
      </c>
      <c r="CD135" s="113">
        <v>1245</v>
      </c>
      <c r="CE135" s="113">
        <v>1644</v>
      </c>
      <c r="CF135" s="113">
        <v>1269</v>
      </c>
      <c r="CG135" s="113">
        <v>1614</v>
      </c>
      <c r="CH135" s="113">
        <v>1770</v>
      </c>
      <c r="CI135" s="113">
        <v>1745</v>
      </c>
      <c r="CJ135" s="113">
        <v>3156</v>
      </c>
      <c r="CK135" s="113">
        <v>5180</v>
      </c>
      <c r="CL135" s="113">
        <v>5638</v>
      </c>
      <c r="CM135" s="113">
        <v>4553</v>
      </c>
      <c r="CN135" s="113">
        <v>5132</v>
      </c>
      <c r="CO135" s="113">
        <v>4749</v>
      </c>
      <c r="CP135" s="113">
        <v>5244</v>
      </c>
      <c r="CQ135" s="113">
        <v>4824</v>
      </c>
      <c r="CR135" s="113">
        <v>5100</v>
      </c>
      <c r="CS135" s="113">
        <v>5480</v>
      </c>
      <c r="CT135" s="113">
        <v>4342</v>
      </c>
      <c r="CU135" s="113">
        <v>4007</v>
      </c>
      <c r="CV135" s="113">
        <v>5241</v>
      </c>
      <c r="CW135" s="113">
        <v>5373</v>
      </c>
      <c r="CX135" s="113">
        <v>6722</v>
      </c>
      <c r="CY135" s="113">
        <v>5446</v>
      </c>
      <c r="CZ135" s="113">
        <v>5632</v>
      </c>
      <c r="DA135" s="113">
        <v>3179</v>
      </c>
      <c r="DB135" s="113">
        <v>3096</v>
      </c>
      <c r="DC135" s="113">
        <v>3425</v>
      </c>
      <c r="DD135" s="113">
        <v>3871</v>
      </c>
      <c r="DE135" s="113">
        <v>4721</v>
      </c>
      <c r="DF135" s="113">
        <v>4719</v>
      </c>
      <c r="DG135" s="113">
        <v>4659</v>
      </c>
      <c r="DH135" s="113">
        <v>3789</v>
      </c>
      <c r="DI135" s="113">
        <v>4088</v>
      </c>
      <c r="DJ135" s="113">
        <v>4432</v>
      </c>
      <c r="DK135" s="113">
        <v>3515</v>
      </c>
      <c r="DL135" s="113">
        <v>3936</v>
      </c>
      <c r="DM135" s="113">
        <v>4000</v>
      </c>
      <c r="DN135" s="113">
        <v>4638</v>
      </c>
      <c r="DO135" s="113">
        <v>4827</v>
      </c>
      <c r="DP135" s="113">
        <v>4491</v>
      </c>
      <c r="DQ135" s="113">
        <v>4955</v>
      </c>
      <c r="DR135" s="113">
        <v>5906</v>
      </c>
      <c r="DS135" s="113">
        <v>6853</v>
      </c>
      <c r="DT135" s="113">
        <v>6526</v>
      </c>
      <c r="DU135" s="113">
        <v>5596</v>
      </c>
      <c r="DV135" s="113">
        <v>5672</v>
      </c>
      <c r="DW135" s="113">
        <v>6671</v>
      </c>
      <c r="DX135" s="113">
        <v>6812</v>
      </c>
      <c r="DY135" s="113">
        <v>6091</v>
      </c>
      <c r="DZ135" s="113">
        <v>6869</v>
      </c>
      <c r="EA135" s="113">
        <v>7440</v>
      </c>
      <c r="EB135" s="113">
        <v>9876</v>
      </c>
      <c r="EC135" s="113">
        <v>5183</v>
      </c>
      <c r="ED135" s="113">
        <v>9648</v>
      </c>
      <c r="EE135" s="113">
        <v>8667</v>
      </c>
      <c r="EF135" s="113">
        <v>5094</v>
      </c>
      <c r="EG135" s="113">
        <v>6855</v>
      </c>
      <c r="EH135" s="113">
        <v>7420</v>
      </c>
      <c r="EI135" s="113">
        <v>7560</v>
      </c>
      <c r="EJ135" s="113">
        <v>7131</v>
      </c>
      <c r="EK135" s="113">
        <v>10133</v>
      </c>
      <c r="EL135" s="113">
        <v>7578</v>
      </c>
      <c r="EM135" s="113">
        <v>7495</v>
      </c>
      <c r="EN135" s="113">
        <v>8520</v>
      </c>
    </row>
    <row r="136" spans="1:144" ht="10.5">
      <c r="A136" s="112" t="s">
        <v>2277</v>
      </c>
      <c r="B136" s="114">
        <v>1028.5029999999999</v>
      </c>
      <c r="C136" s="114">
        <v>1770</v>
      </c>
      <c r="D136" s="114">
        <v>2850</v>
      </c>
      <c r="E136" s="114">
        <v>4312</v>
      </c>
      <c r="F136" s="114">
        <v>5620</v>
      </c>
      <c r="G136" s="114">
        <v>7839</v>
      </c>
      <c r="H136" s="114">
        <v>10373</v>
      </c>
      <c r="I136" s="114">
        <v>15889</v>
      </c>
      <c r="J136" s="114">
        <v>21702</v>
      </c>
      <c r="K136" s="114">
        <v>30308</v>
      </c>
      <c r="L136" s="114">
        <v>39210</v>
      </c>
      <c r="M136" s="114">
        <v>48576</v>
      </c>
      <c r="N136" s="114">
        <v>58973</v>
      </c>
      <c r="O136" s="114">
        <v>70566</v>
      </c>
      <c r="P136" s="114">
        <v>48737</v>
      </c>
      <c r="Q136" s="114">
        <v>49010</v>
      </c>
      <c r="R136" s="114">
        <v>40168</v>
      </c>
      <c r="S136" s="114">
        <v>43242</v>
      </c>
      <c r="T136" s="114">
        <v>49280</v>
      </c>
      <c r="U136" s="114">
        <v>55676</v>
      </c>
      <c r="V136" s="114">
        <v>74918</v>
      </c>
      <c r="W136" s="114">
        <v>85084</v>
      </c>
      <c r="X136" s="114">
        <v>101466</v>
      </c>
      <c r="Y136" s="114">
        <v>114246</v>
      </c>
      <c r="Z136" s="114">
        <v>122797</v>
      </c>
      <c r="AA136" s="114">
        <v>139660</v>
      </c>
      <c r="AB136" s="114">
        <v>162696</v>
      </c>
      <c r="AC136" s="114">
        <v>169662</v>
      </c>
      <c r="AD136" s="114">
        <v>175552</v>
      </c>
      <c r="AE136" s="114">
        <v>170505</v>
      </c>
      <c r="AG136" s="112" t="s">
        <v>2277</v>
      </c>
      <c r="AH136" s="114">
        <v>0</v>
      </c>
      <c r="AI136" s="114">
        <v>0</v>
      </c>
      <c r="AJ136" s="114">
        <v>0</v>
      </c>
      <c r="AK136" s="114">
        <v>2850</v>
      </c>
      <c r="AL136" s="114">
        <v>0</v>
      </c>
      <c r="AM136" s="114">
        <v>3482</v>
      </c>
      <c r="AN136" s="114">
        <v>3912</v>
      </c>
      <c r="AO136" s="114">
        <v>4312</v>
      </c>
      <c r="AP136" s="114">
        <v>4554</v>
      </c>
      <c r="AQ136" s="114">
        <v>4696</v>
      </c>
      <c r="AR136" s="114">
        <v>5287</v>
      </c>
      <c r="AS136" s="114">
        <v>5620</v>
      </c>
      <c r="AT136" s="114">
        <v>6417</v>
      </c>
      <c r="AU136" s="114">
        <v>7103</v>
      </c>
      <c r="AV136" s="114">
        <v>7696</v>
      </c>
      <c r="AW136" s="114">
        <v>7839</v>
      </c>
      <c r="AX136" s="114">
        <v>8232</v>
      </c>
      <c r="AY136" s="114">
        <v>10442</v>
      </c>
      <c r="AZ136" s="114">
        <v>10224</v>
      </c>
      <c r="BA136" s="114">
        <v>10373</v>
      </c>
      <c r="BB136" s="114">
        <v>10838</v>
      </c>
      <c r="BC136" s="114">
        <v>11636</v>
      </c>
      <c r="BD136" s="114">
        <v>13735</v>
      </c>
      <c r="BE136" s="114">
        <v>15889</v>
      </c>
      <c r="BF136" s="114">
        <v>18964</v>
      </c>
      <c r="BG136" s="114">
        <v>21809</v>
      </c>
      <c r="BH136" s="114">
        <v>24058</v>
      </c>
      <c r="BI136" s="114">
        <v>21702</v>
      </c>
      <c r="BJ136" s="114">
        <v>21963</v>
      </c>
      <c r="BK136" s="114">
        <v>22020</v>
      </c>
      <c r="BL136" s="114">
        <v>25217</v>
      </c>
      <c r="BM136" s="114">
        <v>30308</v>
      </c>
      <c r="BN136" s="114">
        <v>31393</v>
      </c>
      <c r="BO136" s="114">
        <v>35016</v>
      </c>
      <c r="BP136" s="114">
        <v>37789</v>
      </c>
      <c r="BQ136" s="114">
        <v>39210</v>
      </c>
      <c r="BR136" s="114">
        <v>44332</v>
      </c>
      <c r="BS136" s="114">
        <v>47988</v>
      </c>
      <c r="BT136" s="114">
        <v>47827</v>
      </c>
      <c r="BU136" s="114">
        <v>48576</v>
      </c>
      <c r="BV136" s="114">
        <v>50043</v>
      </c>
      <c r="BW136" s="114">
        <v>52931</v>
      </c>
      <c r="BX136" s="114">
        <v>54672</v>
      </c>
      <c r="BY136" s="114">
        <v>58973</v>
      </c>
      <c r="BZ136" s="114">
        <v>60910</v>
      </c>
      <c r="CA136" s="114">
        <v>62400</v>
      </c>
      <c r="CB136" s="114">
        <v>65270</v>
      </c>
      <c r="CC136" s="114">
        <v>70566</v>
      </c>
      <c r="CD136" s="114">
        <v>72896</v>
      </c>
      <c r="CE136" s="114">
        <v>44399</v>
      </c>
      <c r="CF136" s="114">
        <v>46593</v>
      </c>
      <c r="CG136" s="114">
        <v>48737</v>
      </c>
      <c r="CH136" s="114">
        <v>49831</v>
      </c>
      <c r="CI136" s="114">
        <v>46694</v>
      </c>
      <c r="CJ136" s="114">
        <v>46628</v>
      </c>
      <c r="CK136" s="114">
        <v>49010</v>
      </c>
      <c r="CL136" s="114">
        <v>45358</v>
      </c>
      <c r="CM136" s="114">
        <v>45180</v>
      </c>
      <c r="CN136" s="114">
        <v>42783</v>
      </c>
      <c r="CO136" s="114">
        <v>40168</v>
      </c>
      <c r="CP136" s="114">
        <v>35853</v>
      </c>
      <c r="CQ136" s="114">
        <v>37775</v>
      </c>
      <c r="CR136" s="114">
        <v>41489</v>
      </c>
      <c r="CS136" s="114">
        <v>43242</v>
      </c>
      <c r="CT136" s="114">
        <v>37202</v>
      </c>
      <c r="CU136" s="114">
        <v>37730</v>
      </c>
      <c r="CV136" s="114">
        <v>40724</v>
      </c>
      <c r="CW136" s="114">
        <v>49280</v>
      </c>
      <c r="CX136" s="114">
        <v>52231</v>
      </c>
      <c r="CY136" s="114">
        <v>52487</v>
      </c>
      <c r="CZ136" s="114">
        <v>54518</v>
      </c>
      <c r="DA136" s="114">
        <v>55676</v>
      </c>
      <c r="DB136" s="114">
        <v>59581</v>
      </c>
      <c r="DC136" s="114">
        <v>59684</v>
      </c>
      <c r="DD136" s="114">
        <v>66263</v>
      </c>
      <c r="DE136" s="114">
        <v>74918</v>
      </c>
      <c r="DF136" s="114">
        <v>75271</v>
      </c>
      <c r="DG136" s="114">
        <v>72513</v>
      </c>
      <c r="DH136" s="114">
        <v>76860</v>
      </c>
      <c r="DI136" s="114">
        <v>85084</v>
      </c>
      <c r="DJ136" s="114">
        <v>84051</v>
      </c>
      <c r="DK136" s="114">
        <v>89574</v>
      </c>
      <c r="DL136" s="114">
        <v>93524</v>
      </c>
      <c r="DM136" s="114">
        <v>101466</v>
      </c>
      <c r="DN136" s="114">
        <v>99450</v>
      </c>
      <c r="DO136" s="114">
        <v>106870</v>
      </c>
      <c r="DP136" s="114">
        <v>109006</v>
      </c>
      <c r="DQ136" s="114">
        <v>114246</v>
      </c>
      <c r="DR136" s="114">
        <v>112439</v>
      </c>
      <c r="DS136" s="114">
        <v>116362</v>
      </c>
      <c r="DT136" s="114">
        <v>118398</v>
      </c>
      <c r="DU136" s="114">
        <v>122797</v>
      </c>
      <c r="DV136" s="114">
        <v>121656</v>
      </c>
      <c r="DW136" s="114">
        <v>127812</v>
      </c>
      <c r="DX136" s="114">
        <v>128421</v>
      </c>
      <c r="DY136" s="114">
        <v>139660</v>
      </c>
      <c r="DZ136" s="114">
        <v>157909</v>
      </c>
      <c r="EA136" s="114">
        <v>144949</v>
      </c>
      <c r="EB136" s="114">
        <v>146313</v>
      </c>
      <c r="EC136" s="114">
        <v>162696</v>
      </c>
      <c r="ED136" s="114">
        <v>161031</v>
      </c>
      <c r="EE136" s="114">
        <v>167633</v>
      </c>
      <c r="EF136" s="114">
        <v>156659</v>
      </c>
      <c r="EG136" s="114">
        <v>169662</v>
      </c>
      <c r="EH136" s="114">
        <v>164195</v>
      </c>
      <c r="EI136" s="114">
        <v>156874</v>
      </c>
      <c r="EJ136" s="114">
        <v>159887</v>
      </c>
      <c r="EK136" s="114">
        <v>175552</v>
      </c>
      <c r="EL136" s="114">
        <v>165896</v>
      </c>
      <c r="EM136" s="114">
        <v>167074</v>
      </c>
      <c r="EN136" s="114">
        <v>170505</v>
      </c>
    </row>
    <row r="137" spans="1:144">
      <c r="A137" s="103"/>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c r="CR137" s="103"/>
      <c r="CS137" s="103"/>
      <c r="CT137" s="103"/>
      <c r="CU137" s="103"/>
      <c r="CV137" s="103"/>
      <c r="CW137" s="103"/>
      <c r="CX137" s="103"/>
      <c r="CY137" s="103"/>
      <c r="CZ137" s="103"/>
      <c r="DA137" s="103"/>
      <c r="DB137" s="103"/>
      <c r="DC137" s="103"/>
      <c r="DD137" s="103"/>
      <c r="DE137" s="103"/>
      <c r="DF137" s="103"/>
      <c r="DG137" s="103"/>
      <c r="DH137" s="103"/>
      <c r="DI137" s="103"/>
      <c r="DJ137" s="103"/>
      <c r="DK137" s="103"/>
      <c r="DL137" s="103"/>
      <c r="DM137" s="103"/>
      <c r="DN137" s="103"/>
      <c r="DO137" s="103"/>
      <c r="DP137" s="103"/>
      <c r="DQ137" s="103"/>
      <c r="DR137" s="103"/>
      <c r="DS137" s="103"/>
      <c r="DT137" s="103"/>
      <c r="DU137" s="103"/>
      <c r="DV137" s="103"/>
      <c r="DW137" s="103"/>
      <c r="DX137" s="103"/>
      <c r="DY137" s="103"/>
      <c r="DZ137" s="103"/>
      <c r="EA137" s="103"/>
      <c r="EB137" s="103"/>
      <c r="EC137" s="103"/>
      <c r="ED137" s="103"/>
      <c r="EE137" s="103"/>
      <c r="EF137" s="103"/>
      <c r="EG137" s="103"/>
      <c r="EH137" s="103"/>
      <c r="EI137" s="103"/>
      <c r="EJ137" s="103"/>
      <c r="EK137" s="103"/>
      <c r="EL137" s="103"/>
      <c r="EM137" s="103"/>
      <c r="EN137" s="103"/>
    </row>
    <row r="138" spans="1:144">
      <c r="A138" s="103" t="s">
        <v>2278</v>
      </c>
      <c r="B138" s="113">
        <v>648.649</v>
      </c>
      <c r="C138" s="113">
        <v>977</v>
      </c>
      <c r="D138" s="113">
        <v>1181</v>
      </c>
      <c r="E138" s="113">
        <v>1445</v>
      </c>
      <c r="F138" s="113">
        <v>1907</v>
      </c>
      <c r="G138" s="113">
        <v>2346</v>
      </c>
      <c r="H138" s="113">
        <v>2777</v>
      </c>
      <c r="I138" s="113">
        <v>3052</v>
      </c>
      <c r="J138" s="113">
        <v>3516</v>
      </c>
      <c r="K138" s="113">
        <v>4314</v>
      </c>
      <c r="L138" s="113">
        <v>5275</v>
      </c>
      <c r="M138" s="113">
        <v>5891</v>
      </c>
      <c r="N138" s="113">
        <v>6078</v>
      </c>
      <c r="O138" s="113">
        <v>6489</v>
      </c>
      <c r="P138" s="113">
        <v>6375</v>
      </c>
      <c r="Q138" s="113">
        <v>7223</v>
      </c>
      <c r="R138" s="113">
        <v>9366</v>
      </c>
      <c r="S138" s="113">
        <v>12544</v>
      </c>
      <c r="T138" s="113">
        <v>15082</v>
      </c>
      <c r="U138" s="113">
        <v>16259</v>
      </c>
      <c r="V138" s="113">
        <v>17991</v>
      </c>
      <c r="W138" s="113">
        <v>19231</v>
      </c>
      <c r="X138" s="113">
        <v>22504</v>
      </c>
      <c r="Y138" s="113">
        <v>27804</v>
      </c>
      <c r="Z138" s="113">
        <v>32337</v>
      </c>
      <c r="AA138" s="113">
        <v>38156</v>
      </c>
      <c r="AB138" s="113">
        <v>54468</v>
      </c>
      <c r="AC138" s="113">
        <v>65369</v>
      </c>
      <c r="AD138" s="113">
        <v>79186</v>
      </c>
      <c r="AE138" s="113">
        <v>91181</v>
      </c>
      <c r="AG138" s="103" t="s">
        <v>2278</v>
      </c>
      <c r="AH138" s="113">
        <v>0</v>
      </c>
      <c r="AI138" s="113">
        <v>0</v>
      </c>
      <c r="AJ138" s="113">
        <v>0</v>
      </c>
      <c r="AK138" s="113">
        <v>1181</v>
      </c>
      <c r="AL138" s="113">
        <v>0</v>
      </c>
      <c r="AM138" s="113">
        <v>0</v>
      </c>
      <c r="AN138" s="113">
        <v>0</v>
      </c>
      <c r="AO138" s="113">
        <v>1445</v>
      </c>
      <c r="AP138" s="113">
        <v>0</v>
      </c>
      <c r="AQ138" s="113">
        <v>0</v>
      </c>
      <c r="AR138" s="113">
        <v>0</v>
      </c>
      <c r="AS138" s="113">
        <v>1907</v>
      </c>
      <c r="AT138" s="113">
        <v>0</v>
      </c>
      <c r="AU138" s="113">
        <v>0</v>
      </c>
      <c r="AV138" s="113">
        <v>0</v>
      </c>
      <c r="AW138" s="113">
        <v>2346</v>
      </c>
      <c r="AX138" s="113">
        <v>0</v>
      </c>
      <c r="AY138" s="113">
        <v>0</v>
      </c>
      <c r="AZ138" s="113">
        <v>0</v>
      </c>
      <c r="BA138" s="113">
        <v>2777</v>
      </c>
      <c r="BB138" s="113">
        <v>0</v>
      </c>
      <c r="BC138" s="113">
        <v>0</v>
      </c>
      <c r="BD138" s="113">
        <v>0</v>
      </c>
      <c r="BE138" s="113">
        <v>3052</v>
      </c>
      <c r="BF138" s="113">
        <v>0</v>
      </c>
      <c r="BG138" s="113">
        <v>0</v>
      </c>
      <c r="BH138" s="113">
        <v>0</v>
      </c>
      <c r="BI138" s="113">
        <v>3516</v>
      </c>
      <c r="BJ138" s="113">
        <v>0</v>
      </c>
      <c r="BK138" s="113">
        <v>0</v>
      </c>
      <c r="BL138" s="113">
        <v>0</v>
      </c>
      <c r="BM138" s="113">
        <v>4314</v>
      </c>
      <c r="BN138" s="113">
        <v>0</v>
      </c>
      <c r="BO138" s="113">
        <v>0</v>
      </c>
      <c r="BP138" s="113">
        <v>0</v>
      </c>
      <c r="BQ138" s="113">
        <v>5275</v>
      </c>
      <c r="BR138" s="113">
        <v>0</v>
      </c>
      <c r="BS138" s="113">
        <v>0</v>
      </c>
      <c r="BT138" s="113">
        <v>0</v>
      </c>
      <c r="BU138" s="113">
        <v>5891</v>
      </c>
      <c r="BV138" s="113">
        <v>0</v>
      </c>
      <c r="BW138" s="113">
        <v>0</v>
      </c>
      <c r="BX138" s="113">
        <v>0</v>
      </c>
      <c r="BY138" s="113">
        <v>6078</v>
      </c>
      <c r="BZ138" s="113">
        <v>0</v>
      </c>
      <c r="CA138" s="113">
        <v>0</v>
      </c>
      <c r="CB138" s="113">
        <v>0</v>
      </c>
      <c r="CC138" s="113">
        <v>6489</v>
      </c>
      <c r="CD138" s="113">
        <v>0</v>
      </c>
      <c r="CE138" s="113">
        <v>0</v>
      </c>
      <c r="CF138" s="113">
        <v>0</v>
      </c>
      <c r="CG138" s="113">
        <v>6375</v>
      </c>
      <c r="CH138" s="113">
        <v>0</v>
      </c>
      <c r="CI138" s="113">
        <v>0</v>
      </c>
      <c r="CJ138" s="113">
        <v>0</v>
      </c>
      <c r="CK138" s="113">
        <v>7223</v>
      </c>
      <c r="CL138" s="113">
        <v>0</v>
      </c>
      <c r="CM138" s="113">
        <v>0</v>
      </c>
      <c r="CN138" s="113">
        <v>0</v>
      </c>
      <c r="CO138" s="113">
        <v>9366</v>
      </c>
      <c r="CP138" s="113">
        <v>0</v>
      </c>
      <c r="CQ138" s="113">
        <v>0</v>
      </c>
      <c r="CR138" s="113">
        <v>0</v>
      </c>
      <c r="CS138" s="113">
        <v>12544</v>
      </c>
      <c r="CT138" s="113">
        <v>13174</v>
      </c>
      <c r="CU138" s="113">
        <v>13955</v>
      </c>
      <c r="CV138" s="113">
        <v>14348</v>
      </c>
      <c r="CW138" s="113">
        <v>15082</v>
      </c>
      <c r="CX138" s="113">
        <v>15365</v>
      </c>
      <c r="CY138" s="113">
        <v>15572</v>
      </c>
      <c r="CZ138" s="113">
        <v>15765</v>
      </c>
      <c r="DA138" s="113">
        <v>16259</v>
      </c>
      <c r="DB138" s="113">
        <v>16713</v>
      </c>
      <c r="DC138" s="113">
        <v>17078</v>
      </c>
      <c r="DD138" s="113">
        <v>17533</v>
      </c>
      <c r="DE138" s="113">
        <v>17991</v>
      </c>
      <c r="DF138" s="113">
        <v>18242</v>
      </c>
      <c r="DG138" s="113">
        <v>18556</v>
      </c>
      <c r="DH138" s="113">
        <v>19177</v>
      </c>
      <c r="DI138" s="113">
        <v>19231</v>
      </c>
      <c r="DJ138" s="113">
        <v>19730</v>
      </c>
      <c r="DK138" s="113">
        <v>20471</v>
      </c>
      <c r="DL138" s="113">
        <v>21451</v>
      </c>
      <c r="DM138" s="113">
        <v>22504</v>
      </c>
      <c r="DN138" s="113">
        <v>23812</v>
      </c>
      <c r="DO138" s="113">
        <v>25253</v>
      </c>
      <c r="DP138" s="113">
        <v>26212</v>
      </c>
      <c r="DQ138" s="113">
        <v>27804</v>
      </c>
      <c r="DR138" s="113">
        <v>28602</v>
      </c>
      <c r="DS138" s="113">
        <v>29799</v>
      </c>
      <c r="DT138" s="113">
        <v>31214</v>
      </c>
      <c r="DU138" s="113">
        <v>32337</v>
      </c>
      <c r="DV138" s="113">
        <v>33055</v>
      </c>
      <c r="DW138" s="113">
        <v>33797</v>
      </c>
      <c r="DX138" s="113">
        <v>35716</v>
      </c>
      <c r="DY138" s="113">
        <v>38156</v>
      </c>
      <c r="DZ138" s="113">
        <v>40109</v>
      </c>
      <c r="EA138" s="113">
        <v>43267</v>
      </c>
      <c r="EB138" s="113">
        <v>44954</v>
      </c>
      <c r="EC138" s="113">
        <v>54468</v>
      </c>
      <c r="ED138" s="113">
        <v>57176</v>
      </c>
      <c r="EE138" s="113">
        <v>59902</v>
      </c>
      <c r="EF138" s="113">
        <v>63165</v>
      </c>
      <c r="EG138" s="113">
        <v>65369</v>
      </c>
      <c r="EH138" s="113">
        <v>69117</v>
      </c>
      <c r="EI138" s="113">
        <v>72605</v>
      </c>
      <c r="EJ138" s="113">
        <v>76200</v>
      </c>
      <c r="EK138" s="113">
        <v>79186</v>
      </c>
      <c r="EL138" s="113">
        <v>83270</v>
      </c>
      <c r="EM138" s="113">
        <v>88558</v>
      </c>
      <c r="EN138" s="113">
        <v>91181</v>
      </c>
    </row>
    <row r="139" spans="1:144">
      <c r="A139" s="103" t="s">
        <v>937</v>
      </c>
      <c r="B139" s="113">
        <v>-118.5</v>
      </c>
      <c r="C139" s="113">
        <v>-210</v>
      </c>
      <c r="D139" s="113">
        <v>-314</v>
      </c>
      <c r="E139" s="113">
        <v>-515</v>
      </c>
      <c r="F139" s="113">
        <v>-715</v>
      </c>
      <c r="G139" s="113">
        <v>-1020</v>
      </c>
      <c r="H139" s="113">
        <v>-1312</v>
      </c>
      <c r="I139" s="113">
        <v>-1547</v>
      </c>
      <c r="J139" s="113">
        <v>-1905</v>
      </c>
      <c r="K139" s="113">
        <v>-2411</v>
      </c>
      <c r="L139" s="113">
        <v>-2966</v>
      </c>
      <c r="M139" s="113">
        <v>-3623</v>
      </c>
      <c r="N139" s="113">
        <v>-3855</v>
      </c>
      <c r="O139" s="113">
        <v>-4163</v>
      </c>
      <c r="P139" s="113">
        <v>-4029</v>
      </c>
      <c r="Q139" s="113">
        <v>-4179</v>
      </c>
      <c r="R139" s="113">
        <v>-5016</v>
      </c>
      <c r="S139" s="113">
        <v>-6302</v>
      </c>
      <c r="T139" s="113">
        <v>-7547</v>
      </c>
      <c r="U139" s="113">
        <v>-8629</v>
      </c>
      <c r="V139" s="113">
        <v>-9829</v>
      </c>
      <c r="W139" s="113">
        <v>-10962</v>
      </c>
      <c r="X139" s="113">
        <v>-12513</v>
      </c>
      <c r="Y139" s="113">
        <v>-14793</v>
      </c>
      <c r="Z139" s="113">
        <v>-17606</v>
      </c>
      <c r="AA139" s="113">
        <v>-19800</v>
      </c>
      <c r="AB139" s="113">
        <v>-24179</v>
      </c>
      <c r="AC139" s="113">
        <v>-29223</v>
      </c>
      <c r="AD139" s="113">
        <v>-35330</v>
      </c>
      <c r="AE139" s="113">
        <v>-41512</v>
      </c>
      <c r="AG139" s="103" t="s">
        <v>937</v>
      </c>
      <c r="AH139" s="113">
        <v>0</v>
      </c>
      <c r="AI139" s="113">
        <v>0</v>
      </c>
      <c r="AJ139" s="113">
        <v>0</v>
      </c>
      <c r="AK139" s="113">
        <v>-314</v>
      </c>
      <c r="AL139" s="113">
        <v>0</v>
      </c>
      <c r="AM139" s="113">
        <v>0</v>
      </c>
      <c r="AN139" s="113">
        <v>0</v>
      </c>
      <c r="AO139" s="113">
        <v>-515</v>
      </c>
      <c r="AP139" s="113">
        <v>0</v>
      </c>
      <c r="AQ139" s="113">
        <v>0</v>
      </c>
      <c r="AR139" s="113">
        <v>0</v>
      </c>
      <c r="AS139" s="113">
        <v>-715</v>
      </c>
      <c r="AT139" s="113">
        <v>0</v>
      </c>
      <c r="AU139" s="113">
        <v>0</v>
      </c>
      <c r="AV139" s="113">
        <v>0</v>
      </c>
      <c r="AW139" s="113">
        <v>-1020</v>
      </c>
      <c r="AX139" s="113">
        <v>0</v>
      </c>
      <c r="AY139" s="113">
        <v>0</v>
      </c>
      <c r="AZ139" s="113">
        <v>0</v>
      </c>
      <c r="BA139" s="113">
        <v>-1312</v>
      </c>
      <c r="BB139" s="113">
        <v>0</v>
      </c>
      <c r="BC139" s="113">
        <v>0</v>
      </c>
      <c r="BD139" s="113">
        <v>0</v>
      </c>
      <c r="BE139" s="113">
        <v>-1547</v>
      </c>
      <c r="BF139" s="113">
        <v>0</v>
      </c>
      <c r="BG139" s="113">
        <v>0</v>
      </c>
      <c r="BH139" s="113">
        <v>0</v>
      </c>
      <c r="BI139" s="113">
        <v>-1905</v>
      </c>
      <c r="BJ139" s="113">
        <v>0</v>
      </c>
      <c r="BK139" s="113">
        <v>0</v>
      </c>
      <c r="BL139" s="113">
        <v>0</v>
      </c>
      <c r="BM139" s="113">
        <v>-2411</v>
      </c>
      <c r="BN139" s="113">
        <v>0</v>
      </c>
      <c r="BO139" s="113">
        <v>0</v>
      </c>
      <c r="BP139" s="113">
        <v>0</v>
      </c>
      <c r="BQ139" s="113">
        <v>-2966</v>
      </c>
      <c r="BR139" s="113">
        <v>0</v>
      </c>
      <c r="BS139" s="113">
        <v>0</v>
      </c>
      <c r="BT139" s="113">
        <v>0</v>
      </c>
      <c r="BU139" s="113">
        <v>-3623</v>
      </c>
      <c r="BV139" s="113">
        <v>0</v>
      </c>
      <c r="BW139" s="113">
        <v>0</v>
      </c>
      <c r="BX139" s="113">
        <v>0</v>
      </c>
      <c r="BY139" s="113">
        <v>-3855</v>
      </c>
      <c r="BZ139" s="113">
        <v>0</v>
      </c>
      <c r="CA139" s="113">
        <v>0</v>
      </c>
      <c r="CB139" s="113">
        <v>0</v>
      </c>
      <c r="CC139" s="113">
        <v>-4163</v>
      </c>
      <c r="CD139" s="113">
        <v>0</v>
      </c>
      <c r="CE139" s="113">
        <v>0</v>
      </c>
      <c r="CF139" s="113">
        <v>0</v>
      </c>
      <c r="CG139" s="113">
        <v>-4029</v>
      </c>
      <c r="CH139" s="113">
        <v>0</v>
      </c>
      <c r="CI139" s="113">
        <v>0</v>
      </c>
      <c r="CJ139" s="113">
        <v>0</v>
      </c>
      <c r="CK139" s="113">
        <v>-4179</v>
      </c>
      <c r="CL139" s="113">
        <v>0</v>
      </c>
      <c r="CM139" s="113">
        <v>0</v>
      </c>
      <c r="CN139" s="113">
        <v>0</v>
      </c>
      <c r="CO139" s="113">
        <v>-5016</v>
      </c>
      <c r="CP139" s="113">
        <v>0</v>
      </c>
      <c r="CQ139" s="113">
        <v>0</v>
      </c>
      <c r="CR139" s="113">
        <v>0</v>
      </c>
      <c r="CS139" s="113">
        <v>-6302</v>
      </c>
      <c r="CT139" s="113">
        <v>-6622</v>
      </c>
      <c r="CU139" s="113">
        <v>-6959</v>
      </c>
      <c r="CV139" s="113">
        <v>-7236</v>
      </c>
      <c r="CW139" s="113">
        <v>-7547</v>
      </c>
      <c r="CX139" s="113">
        <v>-7853</v>
      </c>
      <c r="CY139" s="113">
        <v>-8170</v>
      </c>
      <c r="CZ139" s="113">
        <v>-8393</v>
      </c>
      <c r="DA139" s="113">
        <v>-8629</v>
      </c>
      <c r="DB139" s="113">
        <v>-8942</v>
      </c>
      <c r="DC139" s="113">
        <v>-9279</v>
      </c>
      <c r="DD139" s="113">
        <v>-9564</v>
      </c>
      <c r="DE139" s="113">
        <v>-9829</v>
      </c>
      <c r="DF139" s="113">
        <v>-10209</v>
      </c>
      <c r="DG139" s="113">
        <v>-10546</v>
      </c>
      <c r="DH139" s="113">
        <v>-10952</v>
      </c>
      <c r="DI139" s="113">
        <v>-10962</v>
      </c>
      <c r="DJ139" s="113">
        <v>-11401</v>
      </c>
      <c r="DK139" s="113">
        <v>-11773</v>
      </c>
      <c r="DL139" s="113">
        <v>-12247</v>
      </c>
      <c r="DM139" s="113">
        <v>-12513</v>
      </c>
      <c r="DN139" s="113">
        <v>-13038</v>
      </c>
      <c r="DO139" s="113">
        <v>-13686</v>
      </c>
      <c r="DP139" s="113">
        <v>-14441</v>
      </c>
      <c r="DQ139" s="113">
        <v>-14793</v>
      </c>
      <c r="DR139" s="113">
        <v>-15373</v>
      </c>
      <c r="DS139" s="113">
        <v>-16192</v>
      </c>
      <c r="DT139" s="113">
        <v>-16839</v>
      </c>
      <c r="DU139" s="113">
        <v>-17606</v>
      </c>
      <c r="DV139" s="113">
        <v>-18009</v>
      </c>
      <c r="DW139" s="113">
        <v>-18008</v>
      </c>
      <c r="DX139" s="113">
        <v>-18885</v>
      </c>
      <c r="DY139" s="113">
        <v>-19800</v>
      </c>
      <c r="DZ139" s="113">
        <v>-20885</v>
      </c>
      <c r="EA139" s="113">
        <v>-21888</v>
      </c>
      <c r="EB139" s="113">
        <v>-22992</v>
      </c>
      <c r="EC139" s="113">
        <v>-24179</v>
      </c>
      <c r="ED139" s="113">
        <v>-25523</v>
      </c>
      <c r="EE139" s="113">
        <v>-26849</v>
      </c>
      <c r="EF139" s="113">
        <v>-28377</v>
      </c>
      <c r="EG139" s="113">
        <v>-29223</v>
      </c>
      <c r="EH139" s="113">
        <v>-30953</v>
      </c>
      <c r="EI139" s="113">
        <v>-33082</v>
      </c>
      <c r="EJ139" s="113">
        <v>-35431</v>
      </c>
      <c r="EK139" s="113">
        <v>-35330</v>
      </c>
      <c r="EL139" s="113">
        <v>-36971</v>
      </c>
      <c r="EM139" s="113">
        <v>-39597</v>
      </c>
      <c r="EN139" s="113">
        <v>-41512</v>
      </c>
    </row>
    <row r="140" spans="1:144" ht="10.5">
      <c r="A140" s="112" t="s">
        <v>2279</v>
      </c>
      <c r="B140" s="114">
        <v>530.19100000000003</v>
      </c>
      <c r="C140" s="114">
        <v>767</v>
      </c>
      <c r="D140" s="114">
        <v>867</v>
      </c>
      <c r="E140" s="114">
        <v>930</v>
      </c>
      <c r="F140" s="114">
        <v>1192</v>
      </c>
      <c r="G140" s="114">
        <v>1326</v>
      </c>
      <c r="H140" s="114">
        <v>1465</v>
      </c>
      <c r="I140" s="114">
        <v>1505</v>
      </c>
      <c r="J140" s="114">
        <v>1611</v>
      </c>
      <c r="K140" s="114">
        <v>1903</v>
      </c>
      <c r="L140" s="114">
        <v>2309</v>
      </c>
      <c r="M140" s="114">
        <v>2268</v>
      </c>
      <c r="N140" s="114">
        <v>2223</v>
      </c>
      <c r="O140" s="114">
        <v>2326</v>
      </c>
      <c r="P140" s="114">
        <v>2346</v>
      </c>
      <c r="Q140" s="114">
        <v>3044</v>
      </c>
      <c r="R140" s="114">
        <v>4350</v>
      </c>
      <c r="S140" s="114">
        <v>6242</v>
      </c>
      <c r="T140" s="114">
        <v>7535</v>
      </c>
      <c r="U140" s="114">
        <v>7630</v>
      </c>
      <c r="V140" s="114">
        <v>8162</v>
      </c>
      <c r="W140" s="114">
        <v>8269</v>
      </c>
      <c r="X140" s="114">
        <v>9991</v>
      </c>
      <c r="Y140" s="114">
        <v>13011</v>
      </c>
      <c r="Z140" s="114">
        <v>14731</v>
      </c>
      <c r="AA140" s="114">
        <v>18356</v>
      </c>
      <c r="AB140" s="114">
        <v>30289</v>
      </c>
      <c r="AC140" s="114">
        <v>36146</v>
      </c>
      <c r="AD140" s="114">
        <v>43856</v>
      </c>
      <c r="AE140" s="114">
        <v>49669</v>
      </c>
      <c r="AG140" s="112" t="s">
        <v>2279</v>
      </c>
      <c r="AH140" s="114">
        <v>0</v>
      </c>
      <c r="AI140" s="114">
        <v>0</v>
      </c>
      <c r="AJ140" s="114">
        <v>0</v>
      </c>
      <c r="AK140" s="114">
        <v>867</v>
      </c>
      <c r="AL140" s="114">
        <v>0</v>
      </c>
      <c r="AM140" s="114">
        <v>913</v>
      </c>
      <c r="AN140" s="114">
        <v>918</v>
      </c>
      <c r="AO140" s="114">
        <v>930</v>
      </c>
      <c r="AP140" s="114">
        <v>936</v>
      </c>
      <c r="AQ140" s="114">
        <v>977</v>
      </c>
      <c r="AR140" s="114">
        <v>1027</v>
      </c>
      <c r="AS140" s="114">
        <v>1192</v>
      </c>
      <c r="AT140" s="114">
        <v>1265</v>
      </c>
      <c r="AU140" s="114">
        <v>1297</v>
      </c>
      <c r="AV140" s="114">
        <v>1281</v>
      </c>
      <c r="AW140" s="114">
        <v>1326</v>
      </c>
      <c r="AX140" s="114">
        <v>1304</v>
      </c>
      <c r="AY140" s="114">
        <v>1322</v>
      </c>
      <c r="AZ140" s="114">
        <v>1371</v>
      </c>
      <c r="BA140" s="114">
        <v>1465</v>
      </c>
      <c r="BB140" s="114">
        <v>1484</v>
      </c>
      <c r="BC140" s="114">
        <v>1478</v>
      </c>
      <c r="BD140" s="114">
        <v>1416</v>
      </c>
      <c r="BE140" s="114">
        <v>1505</v>
      </c>
      <c r="BF140" s="114">
        <v>1466</v>
      </c>
      <c r="BG140" s="114">
        <v>1495</v>
      </c>
      <c r="BH140" s="114">
        <v>1445</v>
      </c>
      <c r="BI140" s="114">
        <v>1611</v>
      </c>
      <c r="BJ140" s="114">
        <v>1657</v>
      </c>
      <c r="BK140" s="114">
        <v>1739</v>
      </c>
      <c r="BL140" s="114">
        <v>1835</v>
      </c>
      <c r="BM140" s="114">
        <v>1903</v>
      </c>
      <c r="BN140" s="114">
        <v>1973</v>
      </c>
      <c r="BO140" s="114">
        <v>2098</v>
      </c>
      <c r="BP140" s="114">
        <v>2159</v>
      </c>
      <c r="BQ140" s="114">
        <v>2309</v>
      </c>
      <c r="BR140" s="114">
        <v>2261</v>
      </c>
      <c r="BS140" s="114">
        <v>2240</v>
      </c>
      <c r="BT140" s="114">
        <v>2182</v>
      </c>
      <c r="BU140" s="114">
        <v>2268</v>
      </c>
      <c r="BV140" s="114">
        <v>2189</v>
      </c>
      <c r="BW140" s="114">
        <v>2257</v>
      </c>
      <c r="BX140" s="114">
        <v>2208</v>
      </c>
      <c r="BY140" s="114">
        <v>2223</v>
      </c>
      <c r="BZ140" s="114">
        <v>2193</v>
      </c>
      <c r="CA140" s="114">
        <v>2178</v>
      </c>
      <c r="CB140" s="114">
        <v>2258</v>
      </c>
      <c r="CC140" s="114">
        <v>2326</v>
      </c>
      <c r="CD140" s="114">
        <v>2317</v>
      </c>
      <c r="CE140" s="114">
        <v>2336</v>
      </c>
      <c r="CF140" s="114">
        <v>2321</v>
      </c>
      <c r="CG140" s="114">
        <v>2346</v>
      </c>
      <c r="CH140" s="114">
        <v>2351</v>
      </c>
      <c r="CI140" s="114">
        <v>2452</v>
      </c>
      <c r="CJ140" s="114">
        <v>2543</v>
      </c>
      <c r="CK140" s="114">
        <v>3044</v>
      </c>
      <c r="CL140" s="114">
        <v>3193</v>
      </c>
      <c r="CM140" s="114">
        <v>3686</v>
      </c>
      <c r="CN140" s="114">
        <v>3923</v>
      </c>
      <c r="CO140" s="114">
        <v>4350</v>
      </c>
      <c r="CP140" s="114">
        <v>4615</v>
      </c>
      <c r="CQ140" s="114">
        <v>4965</v>
      </c>
      <c r="CR140" s="114">
        <v>5516</v>
      </c>
      <c r="CS140" s="114">
        <v>6242</v>
      </c>
      <c r="CT140" s="114">
        <v>6552</v>
      </c>
      <c r="CU140" s="114">
        <v>6996</v>
      </c>
      <c r="CV140" s="114">
        <v>7112</v>
      </c>
      <c r="CW140" s="114">
        <v>7535</v>
      </c>
      <c r="CX140" s="114">
        <v>7512</v>
      </c>
      <c r="CY140" s="114">
        <v>7402</v>
      </c>
      <c r="CZ140" s="114">
        <v>7372</v>
      </c>
      <c r="DA140" s="114">
        <v>7630</v>
      </c>
      <c r="DB140" s="114">
        <v>7771</v>
      </c>
      <c r="DC140" s="114">
        <v>7799</v>
      </c>
      <c r="DD140" s="114">
        <v>7969</v>
      </c>
      <c r="DE140" s="114">
        <v>8162</v>
      </c>
      <c r="DF140" s="114">
        <v>8033</v>
      </c>
      <c r="DG140" s="114">
        <v>8010</v>
      </c>
      <c r="DH140" s="114">
        <v>8225</v>
      </c>
      <c r="DI140" s="114">
        <v>8269</v>
      </c>
      <c r="DJ140" s="114">
        <v>8329</v>
      </c>
      <c r="DK140" s="114">
        <v>8698</v>
      </c>
      <c r="DL140" s="114">
        <v>9204</v>
      </c>
      <c r="DM140" s="114">
        <v>9991</v>
      </c>
      <c r="DN140" s="114">
        <v>10774</v>
      </c>
      <c r="DO140" s="114">
        <v>11567</v>
      </c>
      <c r="DP140" s="114">
        <v>11771</v>
      </c>
      <c r="DQ140" s="114">
        <v>13011</v>
      </c>
      <c r="DR140" s="114">
        <v>13229</v>
      </c>
      <c r="DS140" s="114">
        <v>13607</v>
      </c>
      <c r="DT140" s="114">
        <v>14375</v>
      </c>
      <c r="DU140" s="114">
        <v>14731</v>
      </c>
      <c r="DV140" s="114">
        <v>15046</v>
      </c>
      <c r="DW140" s="114">
        <v>15789</v>
      </c>
      <c r="DX140" s="114">
        <v>16831</v>
      </c>
      <c r="DY140" s="114">
        <v>18356</v>
      </c>
      <c r="DZ140" s="114">
        <v>19224</v>
      </c>
      <c r="EA140" s="114">
        <v>21379</v>
      </c>
      <c r="EB140" s="114">
        <v>21962</v>
      </c>
      <c r="EC140" s="114">
        <v>30289</v>
      </c>
      <c r="ED140" s="114">
        <v>31653</v>
      </c>
      <c r="EE140" s="114">
        <v>33053</v>
      </c>
      <c r="EF140" s="114">
        <v>34788</v>
      </c>
      <c r="EG140" s="114">
        <v>36146</v>
      </c>
      <c r="EH140" s="114">
        <v>38164</v>
      </c>
      <c r="EI140" s="114">
        <v>39523</v>
      </c>
      <c r="EJ140" s="114">
        <v>40769</v>
      </c>
      <c r="EK140" s="114">
        <v>43856</v>
      </c>
      <c r="EL140" s="114">
        <v>46299</v>
      </c>
      <c r="EM140" s="114">
        <v>48961</v>
      </c>
      <c r="EN140" s="114">
        <v>49669</v>
      </c>
    </row>
    <row r="141" spans="1:144">
      <c r="A141" s="103"/>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c r="CR141" s="103"/>
      <c r="CS141" s="103"/>
      <c r="CT141" s="103"/>
      <c r="CU141" s="103"/>
      <c r="CV141" s="103"/>
      <c r="CW141" s="103"/>
      <c r="CX141" s="103"/>
      <c r="CY141" s="103"/>
      <c r="CZ141" s="103"/>
      <c r="DA141" s="103"/>
      <c r="DB141" s="103"/>
      <c r="DC141" s="103"/>
      <c r="DD141" s="103"/>
      <c r="DE141" s="103"/>
      <c r="DF141" s="103"/>
      <c r="DG141" s="103"/>
      <c r="DH141" s="103"/>
      <c r="DI141" s="103"/>
      <c r="DJ141" s="103"/>
      <c r="DK141" s="103"/>
      <c r="DL141" s="103"/>
      <c r="DM141" s="103"/>
      <c r="DN141" s="103"/>
      <c r="DO141" s="103"/>
      <c r="DP141" s="103"/>
      <c r="DQ141" s="103"/>
      <c r="DR141" s="103"/>
      <c r="DS141" s="103"/>
      <c r="DT141" s="103"/>
      <c r="DU141" s="103"/>
      <c r="DV141" s="103"/>
      <c r="DW141" s="103"/>
      <c r="DX141" s="103"/>
      <c r="DY141" s="103"/>
      <c r="DZ141" s="103"/>
      <c r="EA141" s="103"/>
      <c r="EB141" s="103"/>
      <c r="EC141" s="103"/>
      <c r="ED141" s="103"/>
      <c r="EE141" s="103"/>
      <c r="EF141" s="103"/>
      <c r="EG141" s="103"/>
      <c r="EH141" s="103"/>
      <c r="EI141" s="103"/>
      <c r="EJ141" s="103"/>
      <c r="EK141" s="103"/>
      <c r="EL141" s="103"/>
      <c r="EM141" s="103"/>
      <c r="EN141" s="103"/>
    </row>
    <row r="142" spans="1:144">
      <c r="A142" s="103" t="s">
        <v>2280</v>
      </c>
      <c r="B142" s="113">
        <v>0</v>
      </c>
      <c r="C142" s="113">
        <v>0</v>
      </c>
      <c r="D142" s="113">
        <v>0</v>
      </c>
      <c r="E142" s="113">
        <v>0</v>
      </c>
      <c r="F142" s="113">
        <v>0</v>
      </c>
      <c r="G142" s="113">
        <v>675</v>
      </c>
      <c r="H142" s="113">
        <v>2346</v>
      </c>
      <c r="I142" s="113">
        <v>4703</v>
      </c>
      <c r="J142" s="113">
        <v>14372</v>
      </c>
      <c r="K142" s="113">
        <v>17726</v>
      </c>
      <c r="L142" s="113">
        <v>14361</v>
      </c>
      <c r="M142" s="113">
        <v>14191</v>
      </c>
      <c r="N142" s="113">
        <v>13692</v>
      </c>
      <c r="O142" s="113">
        <v>12210</v>
      </c>
      <c r="P142" s="113">
        <v>11004</v>
      </c>
      <c r="Q142" s="113">
        <v>9232</v>
      </c>
      <c r="R142" s="113">
        <v>10117</v>
      </c>
      <c r="S142" s="113">
        <v>6588</v>
      </c>
      <c r="T142" s="113">
        <v>4933</v>
      </c>
      <c r="U142" s="113">
        <v>7754</v>
      </c>
      <c r="V142" s="113">
        <v>10865</v>
      </c>
      <c r="W142" s="113">
        <v>9776</v>
      </c>
      <c r="X142" s="113">
        <v>10844</v>
      </c>
      <c r="Y142" s="113">
        <v>14597</v>
      </c>
      <c r="Z142" s="113">
        <v>12053</v>
      </c>
      <c r="AA142" s="113">
        <v>10438</v>
      </c>
      <c r="AB142" s="113">
        <v>6023</v>
      </c>
      <c r="AC142" s="113">
        <v>1862</v>
      </c>
      <c r="AD142" s="113">
        <v>2649</v>
      </c>
      <c r="AE142" s="113">
        <v>2660</v>
      </c>
      <c r="AG142" s="103" t="s">
        <v>2280</v>
      </c>
      <c r="AH142" s="113">
        <v>0</v>
      </c>
      <c r="AI142" s="113">
        <v>0</v>
      </c>
      <c r="AJ142" s="113">
        <v>0</v>
      </c>
      <c r="AK142" s="113">
        <v>0</v>
      </c>
      <c r="AL142" s="113">
        <v>0</v>
      </c>
      <c r="AM142" s="113">
        <v>0</v>
      </c>
      <c r="AN142" s="113">
        <v>0</v>
      </c>
      <c r="AO142" s="113">
        <v>0</v>
      </c>
      <c r="AP142" s="113">
        <v>0</v>
      </c>
      <c r="AQ142" s="113">
        <v>0</v>
      </c>
      <c r="AR142" s="113">
        <v>0</v>
      </c>
      <c r="AS142" s="113">
        <v>0</v>
      </c>
      <c r="AT142" s="113">
        <v>0</v>
      </c>
      <c r="AU142" s="113">
        <v>0</v>
      </c>
      <c r="AV142" s="113">
        <v>613</v>
      </c>
      <c r="AW142" s="113">
        <v>675</v>
      </c>
      <c r="AX142" s="113">
        <v>896</v>
      </c>
      <c r="AY142" s="113">
        <v>804</v>
      </c>
      <c r="AZ142" s="113">
        <v>819</v>
      </c>
      <c r="BA142" s="113">
        <v>2346</v>
      </c>
      <c r="BB142" s="113">
        <v>2733</v>
      </c>
      <c r="BC142" s="113">
        <v>3476</v>
      </c>
      <c r="BD142" s="113">
        <v>4122</v>
      </c>
      <c r="BE142" s="113">
        <v>4703</v>
      </c>
      <c r="BF142" s="113">
        <v>4905</v>
      </c>
      <c r="BG142" s="113">
        <v>6262</v>
      </c>
      <c r="BH142" s="113">
        <v>7474</v>
      </c>
      <c r="BI142" s="113">
        <v>14372</v>
      </c>
      <c r="BJ142" s="113">
        <v>14910</v>
      </c>
      <c r="BK142" s="113">
        <v>19801</v>
      </c>
      <c r="BL142" s="113">
        <v>21322</v>
      </c>
      <c r="BM142" s="113">
        <v>17726</v>
      </c>
      <c r="BN142" s="113">
        <v>20525</v>
      </c>
      <c r="BO142" s="113">
        <v>18281</v>
      </c>
      <c r="BP142" s="113">
        <v>17463</v>
      </c>
      <c r="BQ142" s="113">
        <v>14361</v>
      </c>
      <c r="BR142" s="113">
        <v>12035</v>
      </c>
      <c r="BS142" s="113">
        <v>12212</v>
      </c>
      <c r="BT142" s="113">
        <v>15694</v>
      </c>
      <c r="BU142" s="113">
        <v>14191</v>
      </c>
      <c r="BV142" s="113">
        <v>13580</v>
      </c>
      <c r="BW142" s="113">
        <v>12647</v>
      </c>
      <c r="BX142" s="113">
        <v>13052</v>
      </c>
      <c r="BY142" s="113">
        <v>13692</v>
      </c>
      <c r="BZ142" s="113">
        <v>13962</v>
      </c>
      <c r="CA142" s="113">
        <v>14901</v>
      </c>
      <c r="CB142" s="113">
        <v>15155</v>
      </c>
      <c r="CC142" s="113">
        <v>12210</v>
      </c>
      <c r="CD142" s="113">
        <v>12185</v>
      </c>
      <c r="CE142" s="113">
        <v>12160</v>
      </c>
      <c r="CF142" s="113">
        <v>11772</v>
      </c>
      <c r="CG142" s="113">
        <v>11004</v>
      </c>
      <c r="CH142" s="113">
        <v>10062</v>
      </c>
      <c r="CI142" s="113">
        <v>9095</v>
      </c>
      <c r="CJ142" s="113">
        <v>8888</v>
      </c>
      <c r="CK142" s="113">
        <v>9232</v>
      </c>
      <c r="CL142" s="113">
        <v>8762</v>
      </c>
      <c r="CM142" s="113">
        <v>9631</v>
      </c>
      <c r="CN142" s="113">
        <v>9624</v>
      </c>
      <c r="CO142" s="113">
        <v>10117</v>
      </c>
      <c r="CP142" s="113">
        <v>9707</v>
      </c>
      <c r="CQ142" s="113">
        <v>9413</v>
      </c>
      <c r="CR142" s="113">
        <v>8659</v>
      </c>
      <c r="CS142" s="113">
        <v>6588</v>
      </c>
      <c r="CT142" s="113">
        <v>4381</v>
      </c>
      <c r="CU142" s="113">
        <v>3922</v>
      </c>
      <c r="CV142" s="113">
        <v>4112</v>
      </c>
      <c r="CW142" s="113">
        <v>4933</v>
      </c>
      <c r="CX142" s="113">
        <v>6006</v>
      </c>
      <c r="CY142" s="113">
        <v>6976</v>
      </c>
      <c r="CZ142" s="113">
        <v>7797</v>
      </c>
      <c r="DA142" s="113">
        <v>7754</v>
      </c>
      <c r="DB142" s="113">
        <v>9211</v>
      </c>
      <c r="DC142" s="113">
        <v>10022</v>
      </c>
      <c r="DD142" s="113">
        <v>10748</v>
      </c>
      <c r="DE142" s="113">
        <v>10865</v>
      </c>
      <c r="DF142" s="113">
        <v>8576</v>
      </c>
      <c r="DG142" s="113">
        <v>7550</v>
      </c>
      <c r="DH142" s="113">
        <v>9068</v>
      </c>
      <c r="DI142" s="113">
        <v>9776</v>
      </c>
      <c r="DJ142" s="113">
        <v>10038</v>
      </c>
      <c r="DK142" s="113">
        <v>10707</v>
      </c>
      <c r="DL142" s="113">
        <v>11193</v>
      </c>
      <c r="DM142" s="113">
        <v>10844</v>
      </c>
      <c r="DN142" s="113">
        <v>11995</v>
      </c>
      <c r="DO142" s="113">
        <v>14607</v>
      </c>
      <c r="DP142" s="113">
        <v>14792</v>
      </c>
      <c r="DQ142" s="113">
        <v>14597</v>
      </c>
      <c r="DR142" s="113">
        <v>13943</v>
      </c>
      <c r="DS142" s="113">
        <v>12665</v>
      </c>
      <c r="DT142" s="113">
        <v>12019</v>
      </c>
      <c r="DU142" s="113">
        <v>12053</v>
      </c>
      <c r="DV142" s="113">
        <v>11427</v>
      </c>
      <c r="DW142" s="113">
        <v>11514</v>
      </c>
      <c r="DX142" s="113">
        <v>11319</v>
      </c>
      <c r="DY142" s="113">
        <v>10438</v>
      </c>
      <c r="DZ142" s="113">
        <v>10501</v>
      </c>
      <c r="EA142" s="113">
        <v>8936</v>
      </c>
      <c r="EB142" s="113">
        <v>7385</v>
      </c>
      <c r="EC142" s="113">
        <v>6023</v>
      </c>
      <c r="ED142" s="113">
        <v>5343</v>
      </c>
      <c r="EE142" s="113">
        <v>3961</v>
      </c>
      <c r="EF142" s="113">
        <v>2818</v>
      </c>
      <c r="EG142" s="113">
        <v>1862</v>
      </c>
      <c r="EH142" s="113">
        <v>2034</v>
      </c>
      <c r="EI142" s="113">
        <v>2274</v>
      </c>
      <c r="EJ142" s="113">
        <v>2403</v>
      </c>
      <c r="EK142" s="113">
        <v>2649</v>
      </c>
      <c r="EL142" s="113">
        <v>2684</v>
      </c>
      <c r="EM142" s="113">
        <v>2755</v>
      </c>
      <c r="EN142" s="113">
        <v>2660</v>
      </c>
    </row>
    <row r="143" spans="1:144">
      <c r="A143" s="103" t="s">
        <v>179</v>
      </c>
      <c r="B143" s="113">
        <v>0</v>
      </c>
      <c r="C143" s="113">
        <v>0</v>
      </c>
      <c r="D143" s="113">
        <v>0</v>
      </c>
      <c r="E143" s="113">
        <v>0</v>
      </c>
      <c r="F143" s="113">
        <v>0</v>
      </c>
      <c r="G143" s="113">
        <v>0</v>
      </c>
      <c r="H143" s="113">
        <v>0</v>
      </c>
      <c r="I143" s="113">
        <v>0</v>
      </c>
      <c r="J143" s="113">
        <v>0</v>
      </c>
      <c r="K143" s="113">
        <v>0</v>
      </c>
      <c r="L143" s="113">
        <v>1511</v>
      </c>
      <c r="M143" s="113">
        <v>1426</v>
      </c>
      <c r="N143" s="113">
        <v>3128</v>
      </c>
      <c r="O143" s="113">
        <v>3115</v>
      </c>
      <c r="P143" s="113">
        <v>3309</v>
      </c>
      <c r="Q143" s="113">
        <v>3866</v>
      </c>
      <c r="R143" s="113">
        <v>4760</v>
      </c>
      <c r="S143" s="113">
        <v>12108</v>
      </c>
      <c r="T143" s="113">
        <v>12503</v>
      </c>
      <c r="U143" s="113">
        <v>12394</v>
      </c>
      <c r="V143" s="113">
        <v>12581</v>
      </c>
      <c r="W143" s="113">
        <v>13452</v>
      </c>
      <c r="X143" s="113">
        <v>14655</v>
      </c>
      <c r="Y143" s="113">
        <v>20127</v>
      </c>
      <c r="Z143" s="113">
        <v>16939</v>
      </c>
      <c r="AA143" s="113">
        <v>17872</v>
      </c>
      <c r="AB143" s="113">
        <v>35122</v>
      </c>
      <c r="AC143" s="113">
        <v>35683</v>
      </c>
      <c r="AD143" s="113">
        <v>42026</v>
      </c>
      <c r="AE143" s="113">
        <v>42064</v>
      </c>
      <c r="AG143" s="103" t="s">
        <v>179</v>
      </c>
      <c r="AH143" s="113">
        <v>0</v>
      </c>
      <c r="AI143" s="113">
        <v>0</v>
      </c>
      <c r="AJ143" s="113">
        <v>0</v>
      </c>
      <c r="AK143" s="113">
        <v>0</v>
      </c>
      <c r="AL143" s="113">
        <v>0</v>
      </c>
      <c r="AM143" s="113">
        <v>0</v>
      </c>
      <c r="AN143" s="113">
        <v>0</v>
      </c>
      <c r="AO143" s="113">
        <v>0</v>
      </c>
      <c r="AP143" s="113">
        <v>0</v>
      </c>
      <c r="AQ143" s="113">
        <v>0</v>
      </c>
      <c r="AR143" s="113">
        <v>0</v>
      </c>
      <c r="AS143" s="113">
        <v>0</v>
      </c>
      <c r="AT143" s="113">
        <v>0</v>
      </c>
      <c r="AU143" s="113">
        <v>0</v>
      </c>
      <c r="AV143" s="113">
        <v>0</v>
      </c>
      <c r="AW143" s="113">
        <v>0</v>
      </c>
      <c r="AX143" s="113">
        <v>0</v>
      </c>
      <c r="AY143" s="113">
        <v>0</v>
      </c>
      <c r="AZ143" s="113">
        <v>0</v>
      </c>
      <c r="BA143" s="113">
        <v>0</v>
      </c>
      <c r="BB143" s="113">
        <v>0</v>
      </c>
      <c r="BC143" s="113">
        <v>0</v>
      </c>
      <c r="BD143" s="113">
        <v>0</v>
      </c>
      <c r="BE143" s="113">
        <v>0</v>
      </c>
      <c r="BF143" s="113">
        <v>0</v>
      </c>
      <c r="BG143" s="113">
        <v>0</v>
      </c>
      <c r="BH143" s="113">
        <v>0</v>
      </c>
      <c r="BI143" s="113">
        <v>0</v>
      </c>
      <c r="BJ143" s="113">
        <v>0</v>
      </c>
      <c r="BK143" s="113">
        <v>0</v>
      </c>
      <c r="BL143" s="113">
        <v>0</v>
      </c>
      <c r="BM143" s="113">
        <v>0</v>
      </c>
      <c r="BN143" s="113">
        <v>0</v>
      </c>
      <c r="BO143" s="113">
        <v>0</v>
      </c>
      <c r="BP143" s="113">
        <v>0</v>
      </c>
      <c r="BQ143" s="113">
        <v>1511</v>
      </c>
      <c r="BR143" s="113">
        <v>1511</v>
      </c>
      <c r="BS143" s="113">
        <v>1511</v>
      </c>
      <c r="BT143" s="113">
        <v>1433</v>
      </c>
      <c r="BU143" s="113">
        <v>1426</v>
      </c>
      <c r="BV143" s="113">
        <v>2855</v>
      </c>
      <c r="BW143" s="113">
        <v>2757</v>
      </c>
      <c r="BX143" s="113">
        <v>2782</v>
      </c>
      <c r="BY143" s="113">
        <v>3128</v>
      </c>
      <c r="BZ143" s="113">
        <v>3128</v>
      </c>
      <c r="CA143" s="113">
        <v>3110</v>
      </c>
      <c r="CB143" s="113">
        <v>3110</v>
      </c>
      <c r="CC143" s="113">
        <v>3115</v>
      </c>
      <c r="CD143" s="113">
        <v>3115</v>
      </c>
      <c r="CE143" s="113">
        <v>3105</v>
      </c>
      <c r="CF143" s="113">
        <v>3111</v>
      </c>
      <c r="CG143" s="113">
        <v>3309</v>
      </c>
      <c r="CH143" s="113">
        <v>3504</v>
      </c>
      <c r="CI143" s="113">
        <v>3553</v>
      </c>
      <c r="CJ143" s="113">
        <v>3609</v>
      </c>
      <c r="CK143" s="113">
        <v>3866</v>
      </c>
      <c r="CL143" s="113">
        <v>4153</v>
      </c>
      <c r="CM143" s="113">
        <v>4189</v>
      </c>
      <c r="CN143" s="113">
        <v>4217</v>
      </c>
      <c r="CO143" s="113">
        <v>4760</v>
      </c>
      <c r="CP143" s="113">
        <v>10151</v>
      </c>
      <c r="CQ143" s="113">
        <v>10309</v>
      </c>
      <c r="CR143" s="113">
        <v>10346</v>
      </c>
      <c r="CS143" s="113">
        <v>12108</v>
      </c>
      <c r="CT143" s="113">
        <v>12291</v>
      </c>
      <c r="CU143" s="113">
        <v>12490</v>
      </c>
      <c r="CV143" s="113">
        <v>12554</v>
      </c>
      <c r="CW143" s="113">
        <v>12503</v>
      </c>
      <c r="CX143" s="113">
        <v>12582</v>
      </c>
      <c r="CY143" s="113">
        <v>12368</v>
      </c>
      <c r="CZ143" s="113">
        <v>12463</v>
      </c>
      <c r="DA143" s="113">
        <v>12394</v>
      </c>
      <c r="DB143" s="113">
        <v>12471</v>
      </c>
      <c r="DC143" s="113">
        <v>12502</v>
      </c>
      <c r="DD143" s="113">
        <v>12554</v>
      </c>
      <c r="DE143" s="113">
        <v>12581</v>
      </c>
      <c r="DF143" s="113">
        <v>12537</v>
      </c>
      <c r="DG143" s="113">
        <v>19670</v>
      </c>
      <c r="DH143" s="113">
        <v>19698</v>
      </c>
      <c r="DI143" s="113">
        <v>13452</v>
      </c>
      <c r="DJ143" s="113">
        <v>14466</v>
      </c>
      <c r="DK143" s="113">
        <v>14727</v>
      </c>
      <c r="DL143" s="113">
        <v>14682</v>
      </c>
      <c r="DM143" s="113">
        <v>14655</v>
      </c>
      <c r="DN143" s="113">
        <v>14667</v>
      </c>
      <c r="DO143" s="113">
        <v>14680</v>
      </c>
      <c r="DP143" s="113">
        <v>14751</v>
      </c>
      <c r="DQ143" s="113">
        <v>20127</v>
      </c>
      <c r="DR143" s="113">
        <v>20081</v>
      </c>
      <c r="DS143" s="113">
        <v>21855</v>
      </c>
      <c r="DT143" s="113">
        <v>21728</v>
      </c>
      <c r="DU143" s="113">
        <v>16939</v>
      </c>
      <c r="DV143" s="113">
        <v>17142</v>
      </c>
      <c r="DW143" s="113">
        <v>17436</v>
      </c>
      <c r="DX143" s="113">
        <v>17948</v>
      </c>
      <c r="DY143" s="113">
        <v>17872</v>
      </c>
      <c r="DZ143" s="113">
        <v>17907</v>
      </c>
      <c r="EA143" s="113">
        <v>34524</v>
      </c>
      <c r="EB143" s="113">
        <v>34668</v>
      </c>
      <c r="EC143" s="113">
        <v>35122</v>
      </c>
      <c r="ED143" s="113">
        <v>35389</v>
      </c>
      <c r="EE143" s="113">
        <v>35355</v>
      </c>
      <c r="EF143" s="113">
        <v>35582</v>
      </c>
      <c r="EG143" s="113">
        <v>35683</v>
      </c>
      <c r="EH143" s="113">
        <v>35855</v>
      </c>
      <c r="EI143" s="113">
        <v>41577</v>
      </c>
      <c r="EJ143" s="113">
        <v>41861</v>
      </c>
      <c r="EK143" s="113">
        <v>42026</v>
      </c>
      <c r="EL143" s="113">
        <v>42113</v>
      </c>
      <c r="EM143" s="113">
        <v>42248</v>
      </c>
      <c r="EN143" s="113">
        <v>42064</v>
      </c>
    </row>
    <row r="144" spans="1:144">
      <c r="A144" s="103" t="s">
        <v>2281</v>
      </c>
      <c r="B144" s="113">
        <v>0</v>
      </c>
      <c r="C144" s="113">
        <v>0</v>
      </c>
      <c r="D144" s="113">
        <v>0</v>
      </c>
      <c r="E144" s="113">
        <v>0</v>
      </c>
      <c r="F144" s="113">
        <v>0</v>
      </c>
      <c r="G144" s="113">
        <v>0</v>
      </c>
      <c r="H144" s="113">
        <v>0</v>
      </c>
      <c r="I144" s="113">
        <v>0</v>
      </c>
      <c r="J144" s="113">
        <v>0</v>
      </c>
      <c r="K144" s="113">
        <v>0</v>
      </c>
      <c r="L144" s="113">
        <v>401</v>
      </c>
      <c r="M144" s="113">
        <v>243</v>
      </c>
      <c r="N144" s="113">
        <v>384</v>
      </c>
      <c r="O144" s="113">
        <v>569</v>
      </c>
      <c r="P144" s="113">
        <v>499</v>
      </c>
      <c r="Q144" s="113">
        <v>539</v>
      </c>
      <c r="R144" s="113">
        <v>878</v>
      </c>
      <c r="S144" s="113">
        <v>1973</v>
      </c>
      <c r="T144" s="113">
        <v>1759</v>
      </c>
      <c r="U144" s="113">
        <v>1158</v>
      </c>
      <c r="V144" s="113">
        <v>744</v>
      </c>
      <c r="W144" s="113">
        <v>3170</v>
      </c>
      <c r="X144" s="113">
        <v>3083</v>
      </c>
      <c r="Y144" s="113">
        <v>6981</v>
      </c>
      <c r="Z144" s="113">
        <v>4835</v>
      </c>
      <c r="AA144" s="113">
        <v>3733</v>
      </c>
      <c r="AB144" s="113">
        <v>10106</v>
      </c>
      <c r="AC144" s="113">
        <v>8053</v>
      </c>
      <c r="AD144" s="113">
        <v>7750</v>
      </c>
      <c r="AE144" s="113">
        <v>6855</v>
      </c>
      <c r="AG144" s="103" t="s">
        <v>2281</v>
      </c>
      <c r="AH144" s="113">
        <v>0</v>
      </c>
      <c r="AI144" s="113">
        <v>0</v>
      </c>
      <c r="AJ144" s="113">
        <v>0</v>
      </c>
      <c r="AK144" s="113">
        <v>0</v>
      </c>
      <c r="AL144" s="113">
        <v>0</v>
      </c>
      <c r="AM144" s="113">
        <v>0</v>
      </c>
      <c r="AN144" s="113">
        <v>0</v>
      </c>
      <c r="AO144" s="113">
        <v>0</v>
      </c>
      <c r="AP144" s="113">
        <v>0</v>
      </c>
      <c r="AQ144" s="113">
        <v>0</v>
      </c>
      <c r="AR144" s="113">
        <v>0</v>
      </c>
      <c r="AS144" s="113">
        <v>0</v>
      </c>
      <c r="AT144" s="113">
        <v>0</v>
      </c>
      <c r="AU144" s="113">
        <v>0</v>
      </c>
      <c r="AV144" s="113">
        <v>0</v>
      </c>
      <c r="AW144" s="113">
        <v>0</v>
      </c>
      <c r="AX144" s="113">
        <v>0</v>
      </c>
      <c r="AY144" s="113">
        <v>0</v>
      </c>
      <c r="AZ144" s="113">
        <v>0</v>
      </c>
      <c r="BA144" s="113">
        <v>0</v>
      </c>
      <c r="BB144" s="113">
        <v>0</v>
      </c>
      <c r="BC144" s="113">
        <v>0</v>
      </c>
      <c r="BD144" s="113">
        <v>0</v>
      </c>
      <c r="BE144" s="113">
        <v>0</v>
      </c>
      <c r="BF144" s="113">
        <v>0</v>
      </c>
      <c r="BG144" s="113">
        <v>0</v>
      </c>
      <c r="BH144" s="113">
        <v>0</v>
      </c>
      <c r="BI144" s="113">
        <v>0</v>
      </c>
      <c r="BJ144" s="113">
        <v>0</v>
      </c>
      <c r="BK144" s="113">
        <v>0</v>
      </c>
      <c r="BL144" s="113">
        <v>0</v>
      </c>
      <c r="BM144" s="113">
        <v>0</v>
      </c>
      <c r="BN144" s="113">
        <v>0</v>
      </c>
      <c r="BO144" s="113">
        <v>0</v>
      </c>
      <c r="BP144" s="113">
        <v>0</v>
      </c>
      <c r="BQ144" s="113">
        <v>401</v>
      </c>
      <c r="BR144" s="113">
        <v>394</v>
      </c>
      <c r="BS144" s="113">
        <v>344</v>
      </c>
      <c r="BT144" s="113">
        <v>277</v>
      </c>
      <c r="BU144" s="113">
        <v>243</v>
      </c>
      <c r="BV144" s="113">
        <v>642</v>
      </c>
      <c r="BW144" s="113">
        <v>607</v>
      </c>
      <c r="BX144" s="113">
        <v>575</v>
      </c>
      <c r="BY144" s="113">
        <v>384</v>
      </c>
      <c r="BZ144" s="113">
        <v>378</v>
      </c>
      <c r="CA144" s="113">
        <v>345</v>
      </c>
      <c r="CB144" s="113">
        <v>599</v>
      </c>
      <c r="CC144" s="113">
        <v>569</v>
      </c>
      <c r="CD144" s="113">
        <v>534</v>
      </c>
      <c r="CE144" s="113">
        <v>494</v>
      </c>
      <c r="CF144" s="113">
        <v>468</v>
      </c>
      <c r="CG144" s="113">
        <v>499</v>
      </c>
      <c r="CH144" s="113">
        <v>502</v>
      </c>
      <c r="CI144" s="113">
        <v>466</v>
      </c>
      <c r="CJ144" s="113">
        <v>461</v>
      </c>
      <c r="CK144" s="113">
        <v>539</v>
      </c>
      <c r="CL144" s="113">
        <v>720</v>
      </c>
      <c r="CM144" s="113">
        <v>745</v>
      </c>
      <c r="CN144" s="113">
        <v>699</v>
      </c>
      <c r="CO144" s="113">
        <v>878</v>
      </c>
      <c r="CP144" s="113">
        <v>1718</v>
      </c>
      <c r="CQ144" s="113">
        <v>1717</v>
      </c>
      <c r="CR144" s="113">
        <v>1639</v>
      </c>
      <c r="CS144" s="113">
        <v>1973</v>
      </c>
      <c r="CT144" s="113">
        <v>1899</v>
      </c>
      <c r="CU144" s="113">
        <v>1815</v>
      </c>
      <c r="CV144" s="113">
        <v>1756</v>
      </c>
      <c r="CW144" s="113">
        <v>1759</v>
      </c>
      <c r="CX144" s="113">
        <v>1653</v>
      </c>
      <c r="CY144" s="113">
        <v>1346</v>
      </c>
      <c r="CZ144" s="113">
        <v>1282</v>
      </c>
      <c r="DA144" s="113">
        <v>1158</v>
      </c>
      <c r="DB144" s="113">
        <v>1077</v>
      </c>
      <c r="DC144" s="113">
        <v>992</v>
      </c>
      <c r="DD144" s="113">
        <v>840</v>
      </c>
      <c r="DE144" s="113">
        <v>744</v>
      </c>
      <c r="DF144" s="113">
        <v>1026</v>
      </c>
      <c r="DG144" s="113">
        <v>2581</v>
      </c>
      <c r="DH144" s="113">
        <v>2756</v>
      </c>
      <c r="DI144" s="113">
        <v>3170</v>
      </c>
      <c r="DJ144" s="113">
        <v>3423</v>
      </c>
      <c r="DK144" s="113">
        <v>3341</v>
      </c>
      <c r="DL144" s="113">
        <v>3240</v>
      </c>
      <c r="DM144" s="113">
        <v>3083</v>
      </c>
      <c r="DN144" s="113">
        <v>2982</v>
      </c>
      <c r="DO144" s="113">
        <v>2945</v>
      </c>
      <c r="DP144" s="113">
        <v>2901</v>
      </c>
      <c r="DQ144" s="113">
        <v>6981</v>
      </c>
      <c r="DR144" s="113">
        <v>6693</v>
      </c>
      <c r="DS144" s="113">
        <v>7299</v>
      </c>
      <c r="DT144" s="113">
        <v>6963</v>
      </c>
      <c r="DU144" s="113">
        <v>4835</v>
      </c>
      <c r="DV144" s="113">
        <v>4745</v>
      </c>
      <c r="DW144" s="113">
        <v>4619</v>
      </c>
      <c r="DX144" s="113">
        <v>4459</v>
      </c>
      <c r="DY144" s="113">
        <v>3733</v>
      </c>
      <c r="DZ144" s="113">
        <v>3522</v>
      </c>
      <c r="EA144" s="113">
        <v>11001</v>
      </c>
      <c r="EB144" s="113">
        <v>10547</v>
      </c>
      <c r="EC144" s="113">
        <v>10106</v>
      </c>
      <c r="ED144" s="113">
        <v>9598</v>
      </c>
      <c r="EE144" s="113">
        <v>9034</v>
      </c>
      <c r="EF144" s="113">
        <v>8544</v>
      </c>
      <c r="EG144" s="113">
        <v>8053</v>
      </c>
      <c r="EH144" s="113">
        <v>7579</v>
      </c>
      <c r="EI144" s="113">
        <v>8482</v>
      </c>
      <c r="EJ144" s="113">
        <v>8103</v>
      </c>
      <c r="EK144" s="113">
        <v>7750</v>
      </c>
      <c r="EL144" s="113">
        <v>7508</v>
      </c>
      <c r="EM144" s="113">
        <v>7126</v>
      </c>
      <c r="EN144" s="113">
        <v>6855</v>
      </c>
    </row>
    <row r="145" spans="1:144">
      <c r="A145" s="103" t="s">
        <v>2282</v>
      </c>
      <c r="B145" s="113">
        <v>0</v>
      </c>
      <c r="C145" s="113">
        <v>0</v>
      </c>
      <c r="D145" s="113">
        <v>0</v>
      </c>
      <c r="E145" s="113">
        <v>0</v>
      </c>
      <c r="F145" s="113">
        <v>0</v>
      </c>
      <c r="G145" s="113">
        <v>0</v>
      </c>
      <c r="H145" s="113">
        <v>0</v>
      </c>
      <c r="I145" s="113">
        <v>0</v>
      </c>
      <c r="J145" s="113">
        <v>0</v>
      </c>
      <c r="K145" s="113">
        <v>0</v>
      </c>
      <c r="L145" s="113">
        <v>0</v>
      </c>
      <c r="M145" s="113">
        <v>0</v>
      </c>
      <c r="N145" s="113">
        <v>0</v>
      </c>
      <c r="O145" s="113">
        <v>0</v>
      </c>
      <c r="P145" s="113">
        <v>0</v>
      </c>
      <c r="Q145" s="113">
        <v>0</v>
      </c>
      <c r="R145" s="113">
        <v>0</v>
      </c>
      <c r="S145" s="113">
        <v>0</v>
      </c>
      <c r="T145" s="113">
        <v>0</v>
      </c>
      <c r="U145" s="113">
        <v>0</v>
      </c>
      <c r="V145" s="113">
        <v>0</v>
      </c>
      <c r="W145" s="113">
        <v>0</v>
      </c>
      <c r="X145" s="113">
        <v>0</v>
      </c>
      <c r="Y145" s="113">
        <v>0</v>
      </c>
      <c r="Z145" s="113">
        <v>0</v>
      </c>
      <c r="AA145" s="113">
        <v>0</v>
      </c>
      <c r="AB145" s="113">
        <v>1700</v>
      </c>
      <c r="AC145" s="113">
        <v>1800</v>
      </c>
      <c r="AD145" s="113">
        <v>2200</v>
      </c>
      <c r="AE145" s="113">
        <v>2500</v>
      </c>
      <c r="AG145" s="103" t="s">
        <v>2282</v>
      </c>
      <c r="AH145" s="113">
        <v>0</v>
      </c>
      <c r="AI145" s="113">
        <v>0</v>
      </c>
      <c r="AJ145" s="113">
        <v>0</v>
      </c>
      <c r="AK145" s="113">
        <v>0</v>
      </c>
      <c r="AL145" s="113">
        <v>0</v>
      </c>
      <c r="AM145" s="113">
        <v>0</v>
      </c>
      <c r="AN145" s="113">
        <v>0</v>
      </c>
      <c r="AO145" s="113">
        <v>0</v>
      </c>
      <c r="AP145" s="113">
        <v>0</v>
      </c>
      <c r="AQ145" s="113">
        <v>0</v>
      </c>
      <c r="AR145" s="113">
        <v>0</v>
      </c>
      <c r="AS145" s="113">
        <v>0</v>
      </c>
      <c r="AT145" s="113">
        <v>0</v>
      </c>
      <c r="AU145" s="113">
        <v>0</v>
      </c>
      <c r="AV145" s="113">
        <v>0</v>
      </c>
      <c r="AW145" s="113">
        <v>0</v>
      </c>
      <c r="AX145" s="113">
        <v>0</v>
      </c>
      <c r="AY145" s="113">
        <v>0</v>
      </c>
      <c r="AZ145" s="113">
        <v>0</v>
      </c>
      <c r="BA145" s="113">
        <v>0</v>
      </c>
      <c r="BB145" s="113">
        <v>0</v>
      </c>
      <c r="BC145" s="113">
        <v>0</v>
      </c>
      <c r="BD145" s="113">
        <v>0</v>
      </c>
      <c r="BE145" s="113">
        <v>0</v>
      </c>
      <c r="BF145" s="113">
        <v>0</v>
      </c>
      <c r="BG145" s="113">
        <v>0</v>
      </c>
      <c r="BH145" s="113">
        <v>0</v>
      </c>
      <c r="BI145" s="113">
        <v>0</v>
      </c>
      <c r="BJ145" s="113">
        <v>0</v>
      </c>
      <c r="BK145" s="113">
        <v>0</v>
      </c>
      <c r="BL145" s="113">
        <v>0</v>
      </c>
      <c r="BM145" s="113">
        <v>0</v>
      </c>
      <c r="BN145" s="113">
        <v>0</v>
      </c>
      <c r="BO145" s="113">
        <v>0</v>
      </c>
      <c r="BP145" s="113">
        <v>0</v>
      </c>
      <c r="BQ145" s="113">
        <v>0</v>
      </c>
      <c r="BR145" s="113">
        <v>0</v>
      </c>
      <c r="BS145" s="113">
        <v>0</v>
      </c>
      <c r="BT145" s="113">
        <v>0</v>
      </c>
      <c r="BU145" s="113">
        <v>0</v>
      </c>
      <c r="BV145" s="113">
        <v>0</v>
      </c>
      <c r="BW145" s="113">
        <v>0</v>
      </c>
      <c r="BX145" s="113">
        <v>0</v>
      </c>
      <c r="BY145" s="113">
        <v>0</v>
      </c>
      <c r="BZ145" s="113">
        <v>0</v>
      </c>
      <c r="CA145" s="113">
        <v>0</v>
      </c>
      <c r="CB145" s="113">
        <v>0</v>
      </c>
      <c r="CC145" s="113">
        <v>0</v>
      </c>
      <c r="CD145" s="113">
        <v>0</v>
      </c>
      <c r="CE145" s="113">
        <v>0</v>
      </c>
      <c r="CF145" s="113">
        <v>0</v>
      </c>
      <c r="CG145" s="113">
        <v>0</v>
      </c>
      <c r="CH145" s="113">
        <v>0</v>
      </c>
      <c r="CI145" s="113">
        <v>0</v>
      </c>
      <c r="CJ145" s="113">
        <v>0</v>
      </c>
      <c r="CK145" s="113">
        <v>0</v>
      </c>
      <c r="CL145" s="113">
        <v>0</v>
      </c>
      <c r="CM145" s="113">
        <v>0</v>
      </c>
      <c r="CN145" s="113">
        <v>0</v>
      </c>
      <c r="CO145" s="113">
        <v>0</v>
      </c>
      <c r="CP145" s="113">
        <v>0</v>
      </c>
      <c r="CQ145" s="113">
        <v>0</v>
      </c>
      <c r="CR145" s="113">
        <v>0</v>
      </c>
      <c r="CS145" s="113">
        <v>0</v>
      </c>
      <c r="CT145" s="113">
        <v>0</v>
      </c>
      <c r="CU145" s="113">
        <v>0</v>
      </c>
      <c r="CV145" s="113">
        <v>0</v>
      </c>
      <c r="CW145" s="113">
        <v>0</v>
      </c>
      <c r="CX145" s="113">
        <v>0</v>
      </c>
      <c r="CY145" s="113">
        <v>0</v>
      </c>
      <c r="CZ145" s="113">
        <v>0</v>
      </c>
      <c r="DA145" s="113">
        <v>0</v>
      </c>
      <c r="DB145" s="113">
        <v>0</v>
      </c>
      <c r="DC145" s="113">
        <v>0</v>
      </c>
      <c r="DD145" s="113">
        <v>0</v>
      </c>
      <c r="DE145" s="113">
        <v>0</v>
      </c>
      <c r="DF145" s="113">
        <v>0</v>
      </c>
      <c r="DG145" s="113">
        <v>0</v>
      </c>
      <c r="DH145" s="113">
        <v>0</v>
      </c>
      <c r="DI145" s="113">
        <v>0</v>
      </c>
      <c r="DJ145" s="113">
        <v>0</v>
      </c>
      <c r="DK145" s="113">
        <v>0</v>
      </c>
      <c r="DL145" s="113">
        <v>0</v>
      </c>
      <c r="DM145" s="113">
        <v>0</v>
      </c>
      <c r="DN145" s="113">
        <v>0</v>
      </c>
      <c r="DO145" s="113">
        <v>0</v>
      </c>
      <c r="DP145" s="113">
        <v>0</v>
      </c>
      <c r="DQ145" s="113">
        <v>0</v>
      </c>
      <c r="DR145" s="113">
        <v>0</v>
      </c>
      <c r="DS145" s="113">
        <v>0</v>
      </c>
      <c r="DT145" s="113">
        <v>0</v>
      </c>
      <c r="DU145" s="113">
        <v>0</v>
      </c>
      <c r="DV145" s="113">
        <v>0</v>
      </c>
      <c r="DW145" s="113">
        <v>0</v>
      </c>
      <c r="DX145" s="113">
        <v>0</v>
      </c>
      <c r="DY145" s="113">
        <v>0</v>
      </c>
      <c r="DZ145" s="113">
        <v>0</v>
      </c>
      <c r="EA145" s="113">
        <v>0</v>
      </c>
      <c r="EB145" s="113">
        <v>0</v>
      </c>
      <c r="EC145" s="113">
        <v>1700</v>
      </c>
      <c r="ED145" s="113">
        <v>1600</v>
      </c>
      <c r="EE145" s="113">
        <v>1600</v>
      </c>
      <c r="EF145" s="113">
        <v>1600</v>
      </c>
      <c r="EG145" s="113">
        <v>1800</v>
      </c>
      <c r="EH145" s="113">
        <v>1800</v>
      </c>
      <c r="EI145" s="113">
        <v>1900</v>
      </c>
      <c r="EJ145" s="113">
        <v>2000</v>
      </c>
      <c r="EK145" s="113">
        <v>2200</v>
      </c>
      <c r="EL145" s="113">
        <v>2300</v>
      </c>
      <c r="EM145" s="113">
        <v>2400</v>
      </c>
      <c r="EN145" s="113">
        <v>2500</v>
      </c>
    </row>
    <row r="146" spans="1:144">
      <c r="A146" s="103" t="s">
        <v>2283</v>
      </c>
      <c r="B146" s="113">
        <v>0</v>
      </c>
      <c r="C146" s="113">
        <v>0</v>
      </c>
      <c r="D146" s="113">
        <v>0</v>
      </c>
      <c r="E146" s="113">
        <v>0</v>
      </c>
      <c r="F146" s="113">
        <v>0</v>
      </c>
      <c r="G146" s="113">
        <v>0</v>
      </c>
      <c r="H146" s="113">
        <v>0</v>
      </c>
      <c r="I146" s="113">
        <v>0</v>
      </c>
      <c r="J146" s="113">
        <v>0</v>
      </c>
      <c r="K146" s="113">
        <v>0</v>
      </c>
      <c r="L146" s="113">
        <v>0</v>
      </c>
      <c r="M146" s="113">
        <v>0</v>
      </c>
      <c r="N146" s="113">
        <v>2161</v>
      </c>
      <c r="O146" s="113">
        <v>3808</v>
      </c>
      <c r="P146" s="113">
        <v>3621</v>
      </c>
      <c r="Q146" s="113">
        <v>2611</v>
      </c>
      <c r="R146" s="113">
        <v>1389</v>
      </c>
      <c r="S146" s="113">
        <v>949</v>
      </c>
      <c r="T146" s="113">
        <v>279</v>
      </c>
      <c r="U146" s="113">
        <v>0</v>
      </c>
      <c r="V146" s="113">
        <v>0</v>
      </c>
      <c r="W146" s="113">
        <v>0</v>
      </c>
      <c r="X146" s="113">
        <v>0</v>
      </c>
      <c r="Y146" s="113">
        <v>131</v>
      </c>
      <c r="Z146" s="113">
        <v>228</v>
      </c>
      <c r="AA146" s="113">
        <v>219</v>
      </c>
      <c r="AB146" s="113">
        <v>248</v>
      </c>
      <c r="AC146" s="113">
        <v>1369</v>
      </c>
      <c r="AD146" s="113">
        <v>7536</v>
      </c>
      <c r="AE146" s="113">
        <v>0</v>
      </c>
      <c r="AG146" s="103" t="s">
        <v>2283</v>
      </c>
      <c r="AH146" s="113">
        <v>0</v>
      </c>
      <c r="AI146" s="113">
        <v>0</v>
      </c>
      <c r="AJ146" s="113">
        <v>0</v>
      </c>
      <c r="AK146" s="113">
        <v>0</v>
      </c>
      <c r="AL146" s="113">
        <v>0</v>
      </c>
      <c r="AM146" s="113">
        <v>0</v>
      </c>
      <c r="AN146" s="113">
        <v>0</v>
      </c>
      <c r="AO146" s="113">
        <v>0</v>
      </c>
      <c r="AP146" s="113">
        <v>0</v>
      </c>
      <c r="AQ146" s="113">
        <v>0</v>
      </c>
      <c r="AR146" s="113">
        <v>0</v>
      </c>
      <c r="AS146" s="113">
        <v>0</v>
      </c>
      <c r="AT146" s="113">
        <v>0</v>
      </c>
      <c r="AU146" s="113">
        <v>0</v>
      </c>
      <c r="AV146" s="113">
        <v>0</v>
      </c>
      <c r="AW146" s="113">
        <v>0</v>
      </c>
      <c r="AX146" s="113">
        <v>0</v>
      </c>
      <c r="AY146" s="113">
        <v>0</v>
      </c>
      <c r="AZ146" s="113">
        <v>0</v>
      </c>
      <c r="BA146" s="113">
        <v>0</v>
      </c>
      <c r="BB146" s="113">
        <v>0</v>
      </c>
      <c r="BC146" s="113">
        <v>0</v>
      </c>
      <c r="BD146" s="113">
        <v>0</v>
      </c>
      <c r="BE146" s="113">
        <v>0</v>
      </c>
      <c r="BF146" s="113">
        <v>0</v>
      </c>
      <c r="BG146" s="113">
        <v>0</v>
      </c>
      <c r="BH146" s="113">
        <v>0</v>
      </c>
      <c r="BI146" s="113">
        <v>0</v>
      </c>
      <c r="BJ146" s="113">
        <v>0</v>
      </c>
      <c r="BK146" s="113">
        <v>0</v>
      </c>
      <c r="BL146" s="113">
        <v>0</v>
      </c>
      <c r="BM146" s="113">
        <v>0</v>
      </c>
      <c r="BN146" s="113">
        <v>0</v>
      </c>
      <c r="BO146" s="113">
        <v>0</v>
      </c>
      <c r="BP146" s="113">
        <v>0</v>
      </c>
      <c r="BQ146" s="113">
        <v>0</v>
      </c>
      <c r="BR146" s="113">
        <v>0</v>
      </c>
      <c r="BS146" s="113">
        <v>141</v>
      </c>
      <c r="BT146" s="113">
        <v>0</v>
      </c>
      <c r="BU146" s="113">
        <v>0</v>
      </c>
      <c r="BV146" s="113">
        <v>0</v>
      </c>
      <c r="BW146" s="113">
        <v>265</v>
      </c>
      <c r="BX146" s="113">
        <v>0</v>
      </c>
      <c r="BY146" s="113">
        <v>2161</v>
      </c>
      <c r="BZ146" s="113">
        <v>2507</v>
      </c>
      <c r="CA146" s="113">
        <v>1259</v>
      </c>
      <c r="CB146" s="113">
        <v>1583</v>
      </c>
      <c r="CC146" s="113">
        <v>3808</v>
      </c>
      <c r="CD146" s="113">
        <v>1545</v>
      </c>
      <c r="CE146" s="113">
        <v>1127</v>
      </c>
      <c r="CF146" s="113">
        <v>714</v>
      </c>
      <c r="CG146" s="113">
        <v>3621</v>
      </c>
      <c r="CH146" s="113">
        <v>3920</v>
      </c>
      <c r="CI146" s="113">
        <v>3713</v>
      </c>
      <c r="CJ146" s="113">
        <v>3436</v>
      </c>
      <c r="CK146" s="113">
        <v>2611</v>
      </c>
      <c r="CL146" s="113">
        <v>1881</v>
      </c>
      <c r="CM146" s="113">
        <v>1656</v>
      </c>
      <c r="CN146" s="113">
        <v>1417</v>
      </c>
      <c r="CO146" s="113">
        <v>1389</v>
      </c>
      <c r="CP146" s="113">
        <v>1587</v>
      </c>
      <c r="CQ146" s="113">
        <v>1200</v>
      </c>
      <c r="CR146" s="113">
        <v>1367</v>
      </c>
      <c r="CS146" s="113">
        <v>949</v>
      </c>
      <c r="CT146" s="113">
        <v>1041</v>
      </c>
      <c r="CU146" s="113">
        <v>1109</v>
      </c>
      <c r="CV146" s="113">
        <v>956</v>
      </c>
      <c r="CW146" s="113">
        <v>279</v>
      </c>
      <c r="CX146" s="113">
        <v>0</v>
      </c>
      <c r="CY146" s="113">
        <v>0</v>
      </c>
      <c r="CZ146" s="113">
        <v>0</v>
      </c>
      <c r="DA146" s="113">
        <v>0</v>
      </c>
      <c r="DB146" s="113">
        <v>0</v>
      </c>
      <c r="DC146" s="113">
        <v>0</v>
      </c>
      <c r="DD146" s="113">
        <v>0</v>
      </c>
      <c r="DE146" s="113">
        <v>0</v>
      </c>
      <c r="DF146" s="113">
        <v>0</v>
      </c>
      <c r="DG146" s="113">
        <v>0</v>
      </c>
      <c r="DH146" s="113">
        <v>0</v>
      </c>
      <c r="DI146" s="113">
        <v>0</v>
      </c>
      <c r="DJ146" s="113">
        <v>0</v>
      </c>
      <c r="DK146" s="113">
        <v>0</v>
      </c>
      <c r="DL146" s="113">
        <v>0</v>
      </c>
      <c r="DM146" s="113">
        <v>0</v>
      </c>
      <c r="DN146" s="113">
        <v>0</v>
      </c>
      <c r="DO146" s="113">
        <v>0</v>
      </c>
      <c r="DP146" s="113">
        <v>0</v>
      </c>
      <c r="DQ146" s="113">
        <v>131</v>
      </c>
      <c r="DR146" s="113">
        <v>0</v>
      </c>
      <c r="DS146" s="113">
        <v>0</v>
      </c>
      <c r="DT146" s="113">
        <v>0</v>
      </c>
      <c r="DU146" s="113">
        <v>228</v>
      </c>
      <c r="DV146" s="113">
        <v>0</v>
      </c>
      <c r="DW146" s="113">
        <v>0</v>
      </c>
      <c r="DX146" s="113">
        <v>0</v>
      </c>
      <c r="DY146" s="113">
        <v>219</v>
      </c>
      <c r="DZ146" s="113">
        <v>0</v>
      </c>
      <c r="EA146" s="113">
        <v>0</v>
      </c>
      <c r="EB146" s="113">
        <v>0</v>
      </c>
      <c r="EC146" s="113">
        <v>248</v>
      </c>
      <c r="ED146" s="113">
        <v>0</v>
      </c>
      <c r="EE146" s="113">
        <v>0</v>
      </c>
      <c r="EF146" s="113">
        <v>0</v>
      </c>
      <c r="EG146" s="113">
        <v>1369</v>
      </c>
      <c r="EH146" s="113">
        <v>0</v>
      </c>
      <c r="EI146" s="113">
        <v>0</v>
      </c>
      <c r="EJ146" s="113">
        <v>0</v>
      </c>
      <c r="EK146" s="113">
        <v>7536</v>
      </c>
      <c r="EL146" s="113">
        <v>0</v>
      </c>
      <c r="EM146" s="113">
        <v>0</v>
      </c>
      <c r="EN146" s="113">
        <v>0</v>
      </c>
    </row>
    <row r="147" spans="1:144">
      <c r="A147" s="103" t="s">
        <v>2284</v>
      </c>
      <c r="B147" s="113">
        <v>85.49</v>
      </c>
      <c r="C147" s="113">
        <v>103</v>
      </c>
      <c r="D147" s="113">
        <v>88</v>
      </c>
      <c r="E147" s="113">
        <v>121</v>
      </c>
      <c r="F147" s="113">
        <v>398</v>
      </c>
      <c r="G147" s="113">
        <v>253</v>
      </c>
      <c r="H147" s="113">
        <v>203</v>
      </c>
      <c r="I147" s="113">
        <v>260</v>
      </c>
      <c r="J147" s="113">
        <v>940</v>
      </c>
      <c r="K147" s="113">
        <v>2213</v>
      </c>
      <c r="L147" s="113">
        <v>1038</v>
      </c>
      <c r="M147" s="113">
        <v>942</v>
      </c>
      <c r="N147" s="113">
        <v>1171</v>
      </c>
      <c r="O147" s="113">
        <v>1774</v>
      </c>
      <c r="P147" s="113">
        <v>1299</v>
      </c>
      <c r="Q147" s="113">
        <v>1295</v>
      </c>
      <c r="R147" s="113">
        <v>1509</v>
      </c>
      <c r="S147" s="113">
        <v>1691</v>
      </c>
      <c r="T147" s="113">
        <v>1599</v>
      </c>
      <c r="U147" s="113">
        <v>1501</v>
      </c>
      <c r="V147" s="113">
        <v>1434</v>
      </c>
      <c r="W147" s="113">
        <v>1520</v>
      </c>
      <c r="X147" s="113">
        <v>2392</v>
      </c>
      <c r="Y147" s="113">
        <v>3291</v>
      </c>
      <c r="Z147" s="113">
        <v>2889</v>
      </c>
      <c r="AA147" s="113">
        <v>3190</v>
      </c>
      <c r="AB147" s="113">
        <v>4128</v>
      </c>
      <c r="AC147" s="113">
        <v>4273</v>
      </c>
      <c r="AD147" s="113">
        <v>4987</v>
      </c>
      <c r="AE147" s="113">
        <v>11196</v>
      </c>
      <c r="AG147" s="103" t="s">
        <v>2284</v>
      </c>
      <c r="AH147" s="113">
        <v>0</v>
      </c>
      <c r="AI147" s="113">
        <v>0</v>
      </c>
      <c r="AJ147" s="113">
        <v>0</v>
      </c>
      <c r="AK147" s="113">
        <v>88</v>
      </c>
      <c r="AL147" s="113">
        <v>0</v>
      </c>
      <c r="AM147" s="113">
        <v>91</v>
      </c>
      <c r="AN147" s="113">
        <v>96</v>
      </c>
      <c r="AO147" s="113">
        <v>121</v>
      </c>
      <c r="AP147" s="113">
        <v>147</v>
      </c>
      <c r="AQ147" s="113">
        <v>288</v>
      </c>
      <c r="AR147" s="113">
        <v>278</v>
      </c>
      <c r="AS147" s="113">
        <v>398</v>
      </c>
      <c r="AT147" s="113">
        <v>478</v>
      </c>
      <c r="AU147" s="113">
        <v>706</v>
      </c>
      <c r="AV147" s="113">
        <v>0</v>
      </c>
      <c r="AW147" s="113">
        <v>253</v>
      </c>
      <c r="AX147" s="113">
        <v>308</v>
      </c>
      <c r="AY147" s="113">
        <v>218</v>
      </c>
      <c r="AZ147" s="113">
        <v>199</v>
      </c>
      <c r="BA147" s="113">
        <v>203</v>
      </c>
      <c r="BB147" s="113">
        <v>311</v>
      </c>
      <c r="BC147" s="113">
        <v>250</v>
      </c>
      <c r="BD147" s="113">
        <v>272</v>
      </c>
      <c r="BE147" s="113">
        <v>260</v>
      </c>
      <c r="BF147" s="113">
        <v>234</v>
      </c>
      <c r="BG147" s="113">
        <v>483</v>
      </c>
      <c r="BH147" s="113">
        <v>584</v>
      </c>
      <c r="BI147" s="113">
        <v>940</v>
      </c>
      <c r="BJ147" s="113">
        <v>1142</v>
      </c>
      <c r="BK147" s="113">
        <v>1533</v>
      </c>
      <c r="BL147" s="113">
        <v>2521</v>
      </c>
      <c r="BM147" s="113">
        <v>2213</v>
      </c>
      <c r="BN147" s="113">
        <v>2198</v>
      </c>
      <c r="BO147" s="113">
        <v>2296</v>
      </c>
      <c r="BP147" s="113">
        <v>2194</v>
      </c>
      <c r="BQ147" s="113">
        <v>1038</v>
      </c>
      <c r="BR147" s="113">
        <v>834</v>
      </c>
      <c r="BS147" s="113">
        <v>951</v>
      </c>
      <c r="BT147" s="113">
        <v>966</v>
      </c>
      <c r="BU147" s="113">
        <v>942</v>
      </c>
      <c r="BV147" s="113">
        <v>926</v>
      </c>
      <c r="BW147" s="113">
        <v>895</v>
      </c>
      <c r="BX147" s="113">
        <v>1193</v>
      </c>
      <c r="BY147" s="113">
        <v>1171</v>
      </c>
      <c r="BZ147" s="113">
        <v>1203</v>
      </c>
      <c r="CA147" s="113">
        <v>1744</v>
      </c>
      <c r="CB147" s="113">
        <v>1792</v>
      </c>
      <c r="CC147" s="113">
        <v>1774</v>
      </c>
      <c r="CD147" s="113">
        <v>1676</v>
      </c>
      <c r="CE147" s="113">
        <v>1320</v>
      </c>
      <c r="CF147" s="113">
        <v>1296</v>
      </c>
      <c r="CG147" s="113">
        <v>1299</v>
      </c>
      <c r="CH147" s="113">
        <v>1292</v>
      </c>
      <c r="CI147" s="113">
        <v>1284</v>
      </c>
      <c r="CJ147" s="113">
        <v>1289</v>
      </c>
      <c r="CK147" s="113">
        <v>1295</v>
      </c>
      <c r="CL147" s="113">
        <v>1287</v>
      </c>
      <c r="CM147" s="113">
        <v>1284</v>
      </c>
      <c r="CN147" s="113">
        <v>1228</v>
      </c>
      <c r="CO147" s="113">
        <v>1509</v>
      </c>
      <c r="CP147" s="113">
        <v>2014</v>
      </c>
      <c r="CQ147" s="113">
        <v>1960</v>
      </c>
      <c r="CR147" s="113">
        <v>1731</v>
      </c>
      <c r="CS147" s="113">
        <v>1691</v>
      </c>
      <c r="CT147" s="113">
        <v>1751</v>
      </c>
      <c r="CU147" s="113">
        <v>1724</v>
      </c>
      <c r="CV147" s="113">
        <v>1639</v>
      </c>
      <c r="CW147" s="113">
        <v>1599</v>
      </c>
      <c r="CX147" s="113">
        <v>1628</v>
      </c>
      <c r="CY147" s="113">
        <v>1517</v>
      </c>
      <c r="CZ147" s="113">
        <v>1478</v>
      </c>
      <c r="DA147" s="113">
        <v>1501</v>
      </c>
      <c r="DB147" s="113">
        <v>1429</v>
      </c>
      <c r="DC147" s="113">
        <v>1307</v>
      </c>
      <c r="DD147" s="113">
        <v>1353</v>
      </c>
      <c r="DE147" s="113">
        <v>1434</v>
      </c>
      <c r="DF147" s="113">
        <v>1972</v>
      </c>
      <c r="DG147" s="113">
        <v>1919</v>
      </c>
      <c r="DH147" s="113">
        <v>1403</v>
      </c>
      <c r="DI147" s="113">
        <v>1520</v>
      </c>
      <c r="DJ147" s="113">
        <v>1569</v>
      </c>
      <c r="DK147" s="113">
        <v>1636</v>
      </c>
      <c r="DL147" s="113">
        <v>2262</v>
      </c>
      <c r="DM147" s="113">
        <v>2392</v>
      </c>
      <c r="DN147" s="113">
        <v>2480</v>
      </c>
      <c r="DO147" s="113">
        <v>2874</v>
      </c>
      <c r="DP147" s="113">
        <v>2898</v>
      </c>
      <c r="DQ147" s="113">
        <v>3291</v>
      </c>
      <c r="DR147" s="113">
        <v>3271</v>
      </c>
      <c r="DS147" s="113">
        <v>3060</v>
      </c>
      <c r="DT147" s="113">
        <v>3200</v>
      </c>
      <c r="DU147" s="113">
        <v>2889</v>
      </c>
      <c r="DV147" s="113">
        <v>2880</v>
      </c>
      <c r="DW147" s="113">
        <v>2928</v>
      </c>
      <c r="DX147" s="113">
        <v>2891</v>
      </c>
      <c r="DY147" s="113">
        <v>3190</v>
      </c>
      <c r="DZ147" s="113">
        <v>3461</v>
      </c>
      <c r="EA147" s="113">
        <v>3821</v>
      </c>
      <c r="EB147" s="113">
        <v>4142</v>
      </c>
      <c r="EC147" s="113">
        <v>4128</v>
      </c>
      <c r="ED147" s="113">
        <v>4483</v>
      </c>
      <c r="EE147" s="113">
        <v>5367</v>
      </c>
      <c r="EF147" s="113">
        <v>5506</v>
      </c>
      <c r="EG147" s="113">
        <v>4273</v>
      </c>
      <c r="EH147" s="113">
        <v>7992</v>
      </c>
      <c r="EI147" s="113">
        <v>8229</v>
      </c>
      <c r="EJ147" s="113">
        <v>8258</v>
      </c>
      <c r="EK147" s="113">
        <v>4987</v>
      </c>
      <c r="EL147" s="113">
        <v>12155</v>
      </c>
      <c r="EM147" s="113">
        <v>12230</v>
      </c>
      <c r="EN147" s="113">
        <v>11196</v>
      </c>
    </row>
    <row r="148" spans="1:144" ht="10.5">
      <c r="A148" s="112" t="s">
        <v>967</v>
      </c>
      <c r="B148" s="116">
        <v>1644.184</v>
      </c>
      <c r="C148" s="116">
        <v>2640</v>
      </c>
      <c r="D148" s="116">
        <v>3805</v>
      </c>
      <c r="E148" s="116">
        <v>5363</v>
      </c>
      <c r="F148" s="116">
        <v>7210</v>
      </c>
      <c r="G148" s="116">
        <v>10093</v>
      </c>
      <c r="H148" s="116">
        <v>14387</v>
      </c>
      <c r="I148" s="116">
        <v>22357</v>
      </c>
      <c r="J148" s="116">
        <v>38625</v>
      </c>
      <c r="K148" s="116">
        <v>52150</v>
      </c>
      <c r="L148" s="116">
        <v>58830</v>
      </c>
      <c r="M148" s="116">
        <v>67646</v>
      </c>
      <c r="N148" s="116">
        <v>81732</v>
      </c>
      <c r="O148" s="116">
        <v>94368</v>
      </c>
      <c r="P148" s="116">
        <v>70815</v>
      </c>
      <c r="Q148" s="116">
        <v>69597</v>
      </c>
      <c r="R148" s="116">
        <v>63171</v>
      </c>
      <c r="S148" s="116">
        <v>72793</v>
      </c>
      <c r="T148" s="116">
        <v>77888</v>
      </c>
      <c r="U148" s="116">
        <v>86113</v>
      </c>
      <c r="V148" s="116">
        <v>108704</v>
      </c>
      <c r="W148" s="116">
        <v>121271</v>
      </c>
      <c r="X148" s="116">
        <v>142431</v>
      </c>
      <c r="Y148" s="116">
        <v>172384</v>
      </c>
      <c r="Z148" s="116">
        <v>174472</v>
      </c>
      <c r="AA148" s="116">
        <v>193468</v>
      </c>
      <c r="AB148" s="116">
        <v>250312</v>
      </c>
      <c r="AC148" s="116">
        <v>258848</v>
      </c>
      <c r="AD148" s="116">
        <v>286556</v>
      </c>
      <c r="AE148" s="116">
        <v>285449</v>
      </c>
      <c r="AG148" s="112" t="s">
        <v>967</v>
      </c>
      <c r="AH148" s="116">
        <v>0</v>
      </c>
      <c r="AI148" s="116">
        <v>0</v>
      </c>
      <c r="AJ148" s="116">
        <v>0</v>
      </c>
      <c r="AK148" s="116">
        <v>3805</v>
      </c>
      <c r="AL148" s="116">
        <v>0</v>
      </c>
      <c r="AM148" s="116">
        <v>4486</v>
      </c>
      <c r="AN148" s="116">
        <v>4926</v>
      </c>
      <c r="AO148" s="116">
        <v>5363</v>
      </c>
      <c r="AP148" s="116">
        <v>5637</v>
      </c>
      <c r="AQ148" s="116">
        <v>5961</v>
      </c>
      <c r="AR148" s="116">
        <v>6592</v>
      </c>
      <c r="AS148" s="116">
        <v>7210</v>
      </c>
      <c r="AT148" s="116">
        <v>8160</v>
      </c>
      <c r="AU148" s="116">
        <v>9106</v>
      </c>
      <c r="AV148" s="116">
        <v>9590</v>
      </c>
      <c r="AW148" s="116">
        <v>10093</v>
      </c>
      <c r="AX148" s="116">
        <v>10740</v>
      </c>
      <c r="AY148" s="116">
        <v>12786</v>
      </c>
      <c r="AZ148" s="116">
        <v>12613</v>
      </c>
      <c r="BA148" s="116">
        <v>14387</v>
      </c>
      <c r="BB148" s="116">
        <v>15366</v>
      </c>
      <c r="BC148" s="116">
        <v>16840</v>
      </c>
      <c r="BD148" s="116">
        <v>19545</v>
      </c>
      <c r="BE148" s="116">
        <v>22357</v>
      </c>
      <c r="BF148" s="116">
        <v>25569</v>
      </c>
      <c r="BG148" s="116">
        <v>30049</v>
      </c>
      <c r="BH148" s="116">
        <v>33561</v>
      </c>
      <c r="BI148" s="116">
        <v>38625</v>
      </c>
      <c r="BJ148" s="116">
        <v>39672</v>
      </c>
      <c r="BK148" s="116">
        <v>45093</v>
      </c>
      <c r="BL148" s="116">
        <v>50895</v>
      </c>
      <c r="BM148" s="116">
        <v>52150</v>
      </c>
      <c r="BN148" s="116">
        <v>56089</v>
      </c>
      <c r="BO148" s="116">
        <v>57691</v>
      </c>
      <c r="BP148" s="116">
        <v>59605</v>
      </c>
      <c r="BQ148" s="116">
        <v>58830</v>
      </c>
      <c r="BR148" s="116">
        <v>61367</v>
      </c>
      <c r="BS148" s="116">
        <v>65387</v>
      </c>
      <c r="BT148" s="116">
        <v>68379</v>
      </c>
      <c r="BU148" s="116">
        <v>67646</v>
      </c>
      <c r="BV148" s="116">
        <v>70235</v>
      </c>
      <c r="BW148" s="116">
        <v>72359</v>
      </c>
      <c r="BX148" s="116">
        <v>74482</v>
      </c>
      <c r="BY148" s="116">
        <v>81732</v>
      </c>
      <c r="BZ148" s="116">
        <v>84281</v>
      </c>
      <c r="CA148" s="116">
        <v>85937</v>
      </c>
      <c r="CB148" s="116">
        <v>89767</v>
      </c>
      <c r="CC148" s="116">
        <v>94368</v>
      </c>
      <c r="CD148" s="116">
        <v>94268</v>
      </c>
      <c r="CE148" s="116">
        <v>64941</v>
      </c>
      <c r="CF148" s="116">
        <v>66275</v>
      </c>
      <c r="CG148" s="116">
        <v>70815</v>
      </c>
      <c r="CH148" s="116">
        <v>71462</v>
      </c>
      <c r="CI148" s="116">
        <v>67257</v>
      </c>
      <c r="CJ148" s="116">
        <v>66854</v>
      </c>
      <c r="CK148" s="116">
        <v>69597</v>
      </c>
      <c r="CL148" s="116">
        <v>65354</v>
      </c>
      <c r="CM148" s="116">
        <v>66371</v>
      </c>
      <c r="CN148" s="116">
        <v>63891</v>
      </c>
      <c r="CO148" s="116">
        <v>63171</v>
      </c>
      <c r="CP148" s="116">
        <v>65645</v>
      </c>
      <c r="CQ148" s="116">
        <v>67339</v>
      </c>
      <c r="CR148" s="116">
        <v>70747</v>
      </c>
      <c r="CS148" s="116">
        <v>72793</v>
      </c>
      <c r="CT148" s="116">
        <v>65117</v>
      </c>
      <c r="CU148" s="116">
        <v>65786</v>
      </c>
      <c r="CV148" s="116">
        <v>68853</v>
      </c>
      <c r="CW148" s="116">
        <v>77888</v>
      </c>
      <c r="CX148" s="116">
        <v>81612</v>
      </c>
      <c r="CY148" s="116">
        <v>82096</v>
      </c>
      <c r="CZ148" s="116">
        <v>84910</v>
      </c>
      <c r="DA148" s="116">
        <v>86113</v>
      </c>
      <c r="DB148" s="116">
        <v>91540</v>
      </c>
      <c r="DC148" s="116">
        <v>92306</v>
      </c>
      <c r="DD148" s="116">
        <v>99727</v>
      </c>
      <c r="DE148" s="116">
        <v>108704</v>
      </c>
      <c r="DF148" s="116">
        <v>107415</v>
      </c>
      <c r="DG148" s="116">
        <v>112243</v>
      </c>
      <c r="DH148" s="116">
        <v>118010</v>
      </c>
      <c r="DI148" s="116">
        <v>121271</v>
      </c>
      <c r="DJ148" s="116">
        <v>121876</v>
      </c>
      <c r="DK148" s="116">
        <v>128683</v>
      </c>
      <c r="DL148" s="116">
        <v>134105</v>
      </c>
      <c r="DM148" s="116">
        <v>142431</v>
      </c>
      <c r="DN148" s="116">
        <v>142348</v>
      </c>
      <c r="DO148" s="116">
        <v>153543</v>
      </c>
      <c r="DP148" s="116">
        <v>156119</v>
      </c>
      <c r="DQ148" s="116">
        <v>172384</v>
      </c>
      <c r="DR148" s="116">
        <v>169656</v>
      </c>
      <c r="DS148" s="116">
        <v>174848</v>
      </c>
      <c r="DT148" s="116">
        <v>176683</v>
      </c>
      <c r="DU148" s="116">
        <v>174472</v>
      </c>
      <c r="DV148" s="116">
        <v>172896</v>
      </c>
      <c r="DW148" s="116">
        <v>180098</v>
      </c>
      <c r="DX148" s="116">
        <v>181869</v>
      </c>
      <c r="DY148" s="116">
        <v>193468</v>
      </c>
      <c r="DZ148" s="116">
        <v>212524</v>
      </c>
      <c r="EA148" s="116">
        <v>224610</v>
      </c>
      <c r="EB148" s="116">
        <v>225017</v>
      </c>
      <c r="EC148" s="116">
        <v>250312</v>
      </c>
      <c r="ED148" s="116">
        <v>249097</v>
      </c>
      <c r="EE148" s="116">
        <v>256003</v>
      </c>
      <c r="EF148" s="116">
        <v>245497</v>
      </c>
      <c r="EG148" s="116">
        <v>258848</v>
      </c>
      <c r="EH148" s="116">
        <v>257619</v>
      </c>
      <c r="EI148" s="116">
        <v>258859</v>
      </c>
      <c r="EJ148" s="116">
        <v>263281</v>
      </c>
      <c r="EK148" s="116">
        <v>286556</v>
      </c>
      <c r="EL148" s="116">
        <v>278955</v>
      </c>
      <c r="EM148" s="116">
        <v>282794</v>
      </c>
      <c r="EN148" s="116">
        <v>285449</v>
      </c>
    </row>
    <row r="149" spans="1:144">
      <c r="A149" s="103"/>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c r="CR149" s="103"/>
      <c r="CS149" s="103"/>
      <c r="CT149" s="103"/>
      <c r="CU149" s="103"/>
      <c r="CV149" s="103"/>
      <c r="CW149" s="103"/>
      <c r="CX149" s="103"/>
      <c r="CY149" s="103"/>
      <c r="CZ149" s="103"/>
      <c r="DA149" s="103"/>
      <c r="DB149" s="103"/>
      <c r="DC149" s="103"/>
      <c r="DD149" s="103"/>
      <c r="DE149" s="103"/>
      <c r="DF149" s="103"/>
      <c r="DG149" s="103"/>
      <c r="DH149" s="103"/>
      <c r="DI149" s="103"/>
      <c r="DJ149" s="103"/>
      <c r="DK149" s="103"/>
      <c r="DL149" s="103"/>
      <c r="DM149" s="103"/>
      <c r="DN149" s="103"/>
      <c r="DO149" s="103"/>
      <c r="DP149" s="103"/>
      <c r="DQ149" s="103"/>
      <c r="DR149" s="103"/>
      <c r="DS149" s="103"/>
      <c r="DT149" s="103"/>
      <c r="DU149" s="103"/>
      <c r="DV149" s="103"/>
      <c r="DW149" s="103"/>
      <c r="DX149" s="103"/>
      <c r="DY149" s="103"/>
      <c r="DZ149" s="103"/>
      <c r="EA149" s="103"/>
      <c r="EB149" s="103"/>
      <c r="EC149" s="103"/>
      <c r="ED149" s="103"/>
      <c r="EE149" s="103"/>
      <c r="EF149" s="103"/>
      <c r="EG149" s="103"/>
      <c r="EH149" s="103"/>
      <c r="EI149" s="103"/>
      <c r="EJ149" s="103"/>
      <c r="EK149" s="103"/>
      <c r="EL149" s="103"/>
      <c r="EM149" s="103"/>
      <c r="EN149" s="103"/>
    </row>
    <row r="150" spans="1:144" ht="10.5">
      <c r="A150" s="112" t="s">
        <v>2285</v>
      </c>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G150" s="112" t="s">
        <v>2285</v>
      </c>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c r="CR150" s="103"/>
      <c r="CS150" s="103"/>
      <c r="CT150" s="103"/>
      <c r="CU150" s="103"/>
      <c r="CV150" s="103"/>
      <c r="CW150" s="103"/>
      <c r="CX150" s="103"/>
      <c r="CY150" s="103"/>
      <c r="CZ150" s="103"/>
      <c r="DA150" s="103"/>
      <c r="DB150" s="103"/>
      <c r="DC150" s="103"/>
      <c r="DD150" s="103"/>
      <c r="DE150" s="103"/>
      <c r="DF150" s="103"/>
      <c r="DG150" s="103"/>
      <c r="DH150" s="103"/>
      <c r="DI150" s="103"/>
      <c r="DJ150" s="103"/>
      <c r="DK150" s="103"/>
      <c r="DL150" s="103"/>
      <c r="DM150" s="103"/>
      <c r="DN150" s="103"/>
      <c r="DO150" s="103"/>
      <c r="DP150" s="103"/>
      <c r="DQ150" s="103"/>
      <c r="DR150" s="103"/>
      <c r="DS150" s="103"/>
      <c r="DT150" s="103"/>
      <c r="DU150" s="103"/>
      <c r="DV150" s="103"/>
      <c r="DW150" s="103"/>
      <c r="DX150" s="103"/>
      <c r="DY150" s="103"/>
      <c r="DZ150" s="103"/>
      <c r="EA150" s="103"/>
      <c r="EB150" s="103"/>
      <c r="EC150" s="103"/>
      <c r="ED150" s="103"/>
      <c r="EE150" s="103"/>
      <c r="EF150" s="103"/>
      <c r="EG150" s="103"/>
      <c r="EH150" s="103"/>
      <c r="EI150" s="103"/>
      <c r="EJ150" s="103"/>
      <c r="EK150" s="103"/>
      <c r="EL150" s="103"/>
      <c r="EM150" s="103"/>
      <c r="EN150" s="103"/>
    </row>
    <row r="151" spans="1:144">
      <c r="A151" s="103" t="s">
        <v>1554</v>
      </c>
      <c r="B151" s="113">
        <v>85.923000000000002</v>
      </c>
      <c r="C151" s="113">
        <v>196</v>
      </c>
      <c r="D151" s="113">
        <v>239</v>
      </c>
      <c r="E151" s="113">
        <v>324</v>
      </c>
      <c r="F151" s="113">
        <v>563</v>
      </c>
      <c r="G151" s="113">
        <v>808</v>
      </c>
      <c r="H151" s="113">
        <v>721</v>
      </c>
      <c r="I151" s="113">
        <v>759</v>
      </c>
      <c r="J151" s="113">
        <v>874</v>
      </c>
      <c r="K151" s="113">
        <v>1083</v>
      </c>
      <c r="L151" s="113">
        <v>1188</v>
      </c>
      <c r="M151" s="113">
        <v>1208</v>
      </c>
      <c r="N151" s="113">
        <v>1573</v>
      </c>
      <c r="O151" s="113">
        <v>1717</v>
      </c>
      <c r="P151" s="113">
        <v>2086</v>
      </c>
      <c r="Q151" s="113">
        <v>2909</v>
      </c>
      <c r="R151" s="113">
        <v>3247</v>
      </c>
      <c r="S151" s="113">
        <v>4034</v>
      </c>
      <c r="T151" s="113">
        <v>3324</v>
      </c>
      <c r="U151" s="113">
        <v>4025</v>
      </c>
      <c r="V151" s="113">
        <v>4197</v>
      </c>
      <c r="W151" s="113">
        <v>4175</v>
      </c>
      <c r="X151" s="113">
        <v>4828</v>
      </c>
      <c r="Y151" s="113">
        <v>7432</v>
      </c>
      <c r="Z151" s="113">
        <v>6591</v>
      </c>
      <c r="AA151" s="113">
        <v>6898</v>
      </c>
      <c r="AB151" s="113">
        <v>7390</v>
      </c>
      <c r="AC151" s="113">
        <v>8617</v>
      </c>
      <c r="AD151" s="113">
        <v>9382</v>
      </c>
      <c r="AE151" s="113">
        <v>9246</v>
      </c>
      <c r="AG151" s="103" t="s">
        <v>1554</v>
      </c>
      <c r="AH151" s="113">
        <v>0</v>
      </c>
      <c r="AI151" s="113">
        <v>0</v>
      </c>
      <c r="AJ151" s="113">
        <v>0</v>
      </c>
      <c r="AK151" s="113">
        <v>239</v>
      </c>
      <c r="AL151" s="113">
        <v>0</v>
      </c>
      <c r="AM151" s="113">
        <v>242</v>
      </c>
      <c r="AN151" s="113">
        <v>296</v>
      </c>
      <c r="AO151" s="113">
        <v>324</v>
      </c>
      <c r="AP151" s="113">
        <v>354</v>
      </c>
      <c r="AQ151" s="113">
        <v>431</v>
      </c>
      <c r="AR151" s="113">
        <v>524</v>
      </c>
      <c r="AS151" s="113">
        <v>563</v>
      </c>
      <c r="AT151" s="113">
        <v>621</v>
      </c>
      <c r="AU151" s="113">
        <v>651</v>
      </c>
      <c r="AV151" s="113">
        <v>652</v>
      </c>
      <c r="AW151" s="113">
        <v>808</v>
      </c>
      <c r="AX151" s="113">
        <v>887</v>
      </c>
      <c r="AY151" s="113">
        <v>848</v>
      </c>
      <c r="AZ151" s="113">
        <v>864</v>
      </c>
      <c r="BA151" s="113">
        <v>721</v>
      </c>
      <c r="BB151" s="113">
        <v>761</v>
      </c>
      <c r="BC151" s="113">
        <v>867</v>
      </c>
      <c r="BD151" s="113">
        <v>908</v>
      </c>
      <c r="BE151" s="113">
        <v>759</v>
      </c>
      <c r="BF151" s="113">
        <v>845</v>
      </c>
      <c r="BG151" s="113">
        <v>989</v>
      </c>
      <c r="BH151" s="113">
        <v>1016</v>
      </c>
      <c r="BI151" s="113">
        <v>874</v>
      </c>
      <c r="BJ151" s="113">
        <v>997</v>
      </c>
      <c r="BK151" s="113">
        <v>1233</v>
      </c>
      <c r="BL151" s="113">
        <v>1073</v>
      </c>
      <c r="BM151" s="113">
        <v>1083</v>
      </c>
      <c r="BN151" s="113">
        <v>1101</v>
      </c>
      <c r="BO151" s="113">
        <v>1262</v>
      </c>
      <c r="BP151" s="113">
        <v>1246</v>
      </c>
      <c r="BQ151" s="113">
        <v>1188</v>
      </c>
      <c r="BR151" s="113">
        <v>1143</v>
      </c>
      <c r="BS151" s="113">
        <v>1229</v>
      </c>
      <c r="BT151" s="113">
        <v>1136</v>
      </c>
      <c r="BU151" s="113">
        <v>1208</v>
      </c>
      <c r="BV151" s="113">
        <v>1189</v>
      </c>
      <c r="BW151" s="113">
        <v>1342</v>
      </c>
      <c r="BX151" s="113">
        <v>1310</v>
      </c>
      <c r="BY151" s="113">
        <v>1573</v>
      </c>
      <c r="BZ151" s="113">
        <v>1341</v>
      </c>
      <c r="CA151" s="113">
        <v>1360</v>
      </c>
      <c r="CB151" s="113">
        <v>1412</v>
      </c>
      <c r="CC151" s="113">
        <v>1717</v>
      </c>
      <c r="CD151" s="113">
        <v>1439</v>
      </c>
      <c r="CE151" s="113">
        <v>1573</v>
      </c>
      <c r="CF151" s="113">
        <v>1636</v>
      </c>
      <c r="CG151" s="113">
        <v>2086</v>
      </c>
      <c r="CH151" s="113">
        <v>1852</v>
      </c>
      <c r="CI151" s="113">
        <v>2477</v>
      </c>
      <c r="CJ151" s="113">
        <v>2354</v>
      </c>
      <c r="CK151" s="113">
        <v>2909</v>
      </c>
      <c r="CL151" s="113">
        <v>2406</v>
      </c>
      <c r="CM151" s="113">
        <v>2944</v>
      </c>
      <c r="CN151" s="113">
        <v>2843</v>
      </c>
      <c r="CO151" s="113">
        <v>3247</v>
      </c>
      <c r="CP151" s="113">
        <v>3206</v>
      </c>
      <c r="CQ151" s="113">
        <v>3612</v>
      </c>
      <c r="CR151" s="113">
        <v>3600</v>
      </c>
      <c r="CS151" s="113">
        <v>4034</v>
      </c>
      <c r="CT151" s="113">
        <v>3351</v>
      </c>
      <c r="CU151" s="113">
        <v>3533</v>
      </c>
      <c r="CV151" s="113">
        <v>3017</v>
      </c>
      <c r="CW151" s="113">
        <v>3324</v>
      </c>
      <c r="CX151" s="113">
        <v>3287</v>
      </c>
      <c r="CY151" s="113">
        <v>3171</v>
      </c>
      <c r="CZ151" s="113">
        <v>3279</v>
      </c>
      <c r="DA151" s="113">
        <v>4025</v>
      </c>
      <c r="DB151" s="113">
        <v>3654</v>
      </c>
      <c r="DC151" s="113">
        <v>3863</v>
      </c>
      <c r="DD151" s="113">
        <v>3829</v>
      </c>
      <c r="DE151" s="113">
        <v>4197</v>
      </c>
      <c r="DF151" s="113">
        <v>3719</v>
      </c>
      <c r="DG151" s="113">
        <v>3884</v>
      </c>
      <c r="DH151" s="113">
        <v>3790</v>
      </c>
      <c r="DI151" s="113">
        <v>4175</v>
      </c>
      <c r="DJ151" s="113">
        <v>3631</v>
      </c>
      <c r="DK151" s="113">
        <v>4356</v>
      </c>
      <c r="DL151" s="113">
        <v>4532</v>
      </c>
      <c r="DM151" s="113">
        <v>4828</v>
      </c>
      <c r="DN151" s="113">
        <v>4841</v>
      </c>
      <c r="DO151" s="113">
        <v>5398</v>
      </c>
      <c r="DP151" s="113">
        <v>4583</v>
      </c>
      <c r="DQ151" s="113">
        <v>7432</v>
      </c>
      <c r="DR151" s="113">
        <v>6769</v>
      </c>
      <c r="DS151" s="113">
        <v>6932</v>
      </c>
      <c r="DT151" s="113">
        <v>6690</v>
      </c>
      <c r="DU151" s="113">
        <v>6591</v>
      </c>
      <c r="DV151" s="113">
        <v>6630</v>
      </c>
      <c r="DW151" s="113">
        <v>6936</v>
      </c>
      <c r="DX151" s="113">
        <v>6759</v>
      </c>
      <c r="DY151" s="113">
        <v>6898</v>
      </c>
      <c r="DZ151" s="113">
        <v>6296</v>
      </c>
      <c r="EA151" s="113">
        <v>6580</v>
      </c>
      <c r="EB151" s="113">
        <v>6217</v>
      </c>
      <c r="EC151" s="113">
        <v>7390</v>
      </c>
      <c r="ED151" s="113">
        <v>6866</v>
      </c>
      <c r="EE151" s="113">
        <v>7850</v>
      </c>
      <c r="EF151" s="113">
        <v>7623</v>
      </c>
      <c r="EG151" s="113">
        <v>8617</v>
      </c>
      <c r="EH151" s="113">
        <v>8511</v>
      </c>
      <c r="EI151" s="113">
        <v>7563</v>
      </c>
      <c r="EJ151" s="113">
        <v>7544</v>
      </c>
      <c r="EK151" s="113">
        <v>9382</v>
      </c>
      <c r="EL151" s="113">
        <v>8574</v>
      </c>
      <c r="EM151" s="113">
        <v>8811</v>
      </c>
      <c r="EN151" s="113">
        <v>9246</v>
      </c>
    </row>
    <row r="152" spans="1:144">
      <c r="A152" s="103" t="s">
        <v>2286</v>
      </c>
      <c r="B152" s="113">
        <v>41.643000000000001</v>
      </c>
      <c r="C152" s="113">
        <v>62</v>
      </c>
      <c r="D152" s="113">
        <v>86</v>
      </c>
      <c r="E152" s="113">
        <v>96</v>
      </c>
      <c r="F152" s="113">
        <v>130</v>
      </c>
      <c r="G152" s="113">
        <v>202</v>
      </c>
      <c r="H152" s="113">
        <v>336</v>
      </c>
      <c r="I152" s="113">
        <v>359</v>
      </c>
      <c r="J152" s="113">
        <v>396</v>
      </c>
      <c r="K152" s="113">
        <v>557</v>
      </c>
      <c r="L152" s="113">
        <v>742</v>
      </c>
      <c r="M152" s="113">
        <v>1145</v>
      </c>
      <c r="N152" s="113">
        <v>1416</v>
      </c>
      <c r="O152" s="113">
        <v>1339</v>
      </c>
      <c r="P152" s="113">
        <v>1662</v>
      </c>
      <c r="Q152" s="113">
        <v>1938</v>
      </c>
      <c r="R152" s="113">
        <v>2325</v>
      </c>
      <c r="S152" s="113">
        <v>2934</v>
      </c>
      <c r="T152" s="113">
        <v>3156</v>
      </c>
      <c r="U152" s="113">
        <v>3283</v>
      </c>
      <c r="V152" s="113">
        <v>3575</v>
      </c>
      <c r="W152" s="113">
        <v>3875</v>
      </c>
      <c r="X152" s="113">
        <v>4117</v>
      </c>
      <c r="Y152" s="113">
        <v>4797</v>
      </c>
      <c r="Z152" s="113">
        <v>5096</v>
      </c>
      <c r="AA152" s="113">
        <v>5264</v>
      </c>
      <c r="AB152" s="113">
        <v>5819</v>
      </c>
      <c r="AC152" s="113">
        <v>6103</v>
      </c>
      <c r="AD152" s="113">
        <v>6830</v>
      </c>
      <c r="AE152" s="113">
        <v>6254</v>
      </c>
      <c r="AG152" s="103" t="s">
        <v>2286</v>
      </c>
      <c r="AH152" s="113">
        <v>0</v>
      </c>
      <c r="AI152" s="113">
        <v>0</v>
      </c>
      <c r="AJ152" s="113">
        <v>0</v>
      </c>
      <c r="AK152" s="113">
        <v>86</v>
      </c>
      <c r="AL152" s="113">
        <v>0</v>
      </c>
      <c r="AM152" s="113">
        <v>99</v>
      </c>
      <c r="AN152" s="113">
        <v>71</v>
      </c>
      <c r="AO152" s="113">
        <v>96</v>
      </c>
      <c r="AP152" s="113">
        <v>81</v>
      </c>
      <c r="AQ152" s="113">
        <v>110</v>
      </c>
      <c r="AR152" s="113">
        <v>89</v>
      </c>
      <c r="AS152" s="113">
        <v>130</v>
      </c>
      <c r="AT152" s="113">
        <v>103</v>
      </c>
      <c r="AU152" s="113">
        <v>148</v>
      </c>
      <c r="AV152" s="113">
        <v>142</v>
      </c>
      <c r="AW152" s="113">
        <v>202</v>
      </c>
      <c r="AX152" s="113">
        <v>196</v>
      </c>
      <c r="AY152" s="113">
        <v>289</v>
      </c>
      <c r="AZ152" s="113">
        <v>209</v>
      </c>
      <c r="BA152" s="113">
        <v>336</v>
      </c>
      <c r="BB152" s="113">
        <v>193</v>
      </c>
      <c r="BC152" s="113">
        <v>248</v>
      </c>
      <c r="BD152" s="113">
        <v>225</v>
      </c>
      <c r="BE152" s="113">
        <v>359</v>
      </c>
      <c r="BF152" s="113">
        <v>307</v>
      </c>
      <c r="BG152" s="113">
        <v>392</v>
      </c>
      <c r="BH152" s="113">
        <v>289</v>
      </c>
      <c r="BI152" s="113">
        <v>396</v>
      </c>
      <c r="BJ152" s="113">
        <v>313</v>
      </c>
      <c r="BK152" s="113">
        <v>533</v>
      </c>
      <c r="BL152" s="113">
        <v>373</v>
      </c>
      <c r="BM152" s="113">
        <v>557</v>
      </c>
      <c r="BN152" s="113">
        <v>420</v>
      </c>
      <c r="BO152" s="113">
        <v>564</v>
      </c>
      <c r="BP152" s="113">
        <v>501</v>
      </c>
      <c r="BQ152" s="113">
        <v>742</v>
      </c>
      <c r="BR152" s="113">
        <v>586</v>
      </c>
      <c r="BS152" s="113">
        <v>899</v>
      </c>
      <c r="BT152" s="113">
        <v>822</v>
      </c>
      <c r="BU152" s="113">
        <v>1145</v>
      </c>
      <c r="BV152" s="113">
        <v>851</v>
      </c>
      <c r="BW152" s="113">
        <v>1060</v>
      </c>
      <c r="BX152" s="113">
        <v>1129</v>
      </c>
      <c r="BY152" s="113">
        <v>1416</v>
      </c>
      <c r="BZ152" s="113">
        <v>869</v>
      </c>
      <c r="CA152" s="113">
        <v>1143</v>
      </c>
      <c r="CB152" s="113">
        <v>1224</v>
      </c>
      <c r="CC152" s="113">
        <v>1339</v>
      </c>
      <c r="CD152" s="113">
        <v>918</v>
      </c>
      <c r="CE152" s="113">
        <v>1098</v>
      </c>
      <c r="CF152" s="113">
        <v>1289</v>
      </c>
      <c r="CG152" s="113">
        <v>1662</v>
      </c>
      <c r="CH152" s="113">
        <v>1196</v>
      </c>
      <c r="CI152" s="113">
        <v>1249</v>
      </c>
      <c r="CJ152" s="113">
        <v>1516</v>
      </c>
      <c r="CK152" s="113">
        <v>1938</v>
      </c>
      <c r="CL152" s="113">
        <v>1401</v>
      </c>
      <c r="CM152" s="113">
        <v>1559</v>
      </c>
      <c r="CN152" s="113">
        <v>1878</v>
      </c>
      <c r="CO152" s="113">
        <v>2325</v>
      </c>
      <c r="CP152" s="113">
        <v>1796</v>
      </c>
      <c r="CQ152" s="113">
        <v>1977</v>
      </c>
      <c r="CR152" s="113">
        <v>2427</v>
      </c>
      <c r="CS152" s="113">
        <v>2934</v>
      </c>
      <c r="CT152" s="113">
        <v>2138</v>
      </c>
      <c r="CU152" s="113">
        <v>2239</v>
      </c>
      <c r="CV152" s="113">
        <v>2644</v>
      </c>
      <c r="CW152" s="113">
        <v>3156</v>
      </c>
      <c r="CX152" s="113">
        <v>2224</v>
      </c>
      <c r="CY152" s="113">
        <v>2417</v>
      </c>
      <c r="CZ152" s="113">
        <v>2885</v>
      </c>
      <c r="DA152" s="113">
        <v>3283</v>
      </c>
      <c r="DB152" s="113">
        <v>2252</v>
      </c>
      <c r="DC152" s="113">
        <v>2402</v>
      </c>
      <c r="DD152" s="113">
        <v>2917</v>
      </c>
      <c r="DE152" s="113">
        <v>3575</v>
      </c>
      <c r="DF152" s="113">
        <v>2388</v>
      </c>
      <c r="DG152" s="113">
        <v>2677</v>
      </c>
      <c r="DH152" s="113">
        <v>3272</v>
      </c>
      <c r="DI152" s="113">
        <v>3875</v>
      </c>
      <c r="DJ152" s="113">
        <v>2666</v>
      </c>
      <c r="DK152" s="113">
        <v>2942</v>
      </c>
      <c r="DL152" s="113">
        <v>3474</v>
      </c>
      <c r="DM152" s="113">
        <v>4117</v>
      </c>
      <c r="DN152" s="113">
        <v>2856</v>
      </c>
      <c r="DO152" s="113">
        <v>3169</v>
      </c>
      <c r="DP152" s="113">
        <v>3887</v>
      </c>
      <c r="DQ152" s="113">
        <v>4797</v>
      </c>
      <c r="DR152" s="113">
        <v>3740</v>
      </c>
      <c r="DS152" s="113">
        <v>3479</v>
      </c>
      <c r="DT152" s="113">
        <v>3902</v>
      </c>
      <c r="DU152" s="113">
        <v>5096</v>
      </c>
      <c r="DV152" s="113">
        <v>3450</v>
      </c>
      <c r="DW152" s="113">
        <v>3649</v>
      </c>
      <c r="DX152" s="113">
        <v>4276</v>
      </c>
      <c r="DY152" s="113">
        <v>5264</v>
      </c>
      <c r="DZ152" s="113">
        <v>3621</v>
      </c>
      <c r="EA152" s="113">
        <v>3982</v>
      </c>
      <c r="EB152" s="113">
        <v>4604</v>
      </c>
      <c r="EC152" s="113">
        <v>5819</v>
      </c>
      <c r="ED152" s="113">
        <v>4108</v>
      </c>
      <c r="EE152" s="113">
        <v>4427</v>
      </c>
      <c r="EF152" s="113">
        <v>5149</v>
      </c>
      <c r="EG152" s="113">
        <v>6103</v>
      </c>
      <c r="EH152" s="113">
        <v>4271</v>
      </c>
      <c r="EI152" s="113">
        <v>4624</v>
      </c>
      <c r="EJ152" s="113">
        <v>5764</v>
      </c>
      <c r="EK152" s="113">
        <v>6830</v>
      </c>
      <c r="EL152" s="113">
        <v>4676</v>
      </c>
      <c r="EM152" s="113">
        <v>5421</v>
      </c>
      <c r="EN152" s="113">
        <v>6254</v>
      </c>
    </row>
    <row r="153" spans="1:144">
      <c r="A153" s="103" t="s">
        <v>2287</v>
      </c>
      <c r="B153" s="113">
        <v>19.456</v>
      </c>
      <c r="C153" s="113">
        <v>0</v>
      </c>
      <c r="D153" s="113">
        <v>0</v>
      </c>
      <c r="E153" s="113">
        <v>0</v>
      </c>
      <c r="F153" s="113">
        <v>0</v>
      </c>
      <c r="G153" s="113">
        <v>0</v>
      </c>
      <c r="H153" s="113">
        <v>0</v>
      </c>
      <c r="I153" s="113">
        <v>0</v>
      </c>
      <c r="J153" s="113">
        <v>0</v>
      </c>
      <c r="K153" s="113">
        <v>0</v>
      </c>
      <c r="L153" s="113">
        <v>0</v>
      </c>
      <c r="M153" s="113">
        <v>0</v>
      </c>
      <c r="N153" s="113">
        <v>0</v>
      </c>
      <c r="O153" s="113">
        <v>0</v>
      </c>
      <c r="P153" s="113">
        <v>0</v>
      </c>
      <c r="Q153" s="113">
        <v>0</v>
      </c>
      <c r="R153" s="113">
        <v>2741</v>
      </c>
      <c r="S153" s="113">
        <v>2614</v>
      </c>
      <c r="T153" s="113">
        <v>3684</v>
      </c>
      <c r="U153" s="113">
        <v>1182</v>
      </c>
      <c r="V153" s="113">
        <v>1208</v>
      </c>
      <c r="W153" s="113">
        <v>814</v>
      </c>
      <c r="X153" s="113">
        <v>645</v>
      </c>
      <c r="Y153" s="113">
        <v>2558</v>
      </c>
      <c r="Z153" s="113">
        <v>5077</v>
      </c>
      <c r="AA153" s="113">
        <v>13198</v>
      </c>
      <c r="AB153" s="113">
        <v>9072</v>
      </c>
      <c r="AC153" s="113">
        <v>0</v>
      </c>
      <c r="AD153" s="113">
        <v>0</v>
      </c>
      <c r="AE153" s="113">
        <v>0</v>
      </c>
      <c r="AG153" s="103" t="s">
        <v>2287</v>
      </c>
      <c r="AH153" s="113">
        <v>0</v>
      </c>
      <c r="AI153" s="113">
        <v>0</v>
      </c>
      <c r="AJ153" s="113">
        <v>0</v>
      </c>
      <c r="AK153" s="113">
        <v>0</v>
      </c>
      <c r="AL153" s="113">
        <v>0</v>
      </c>
      <c r="AM153" s="113">
        <v>0</v>
      </c>
      <c r="AN153" s="113">
        <v>0</v>
      </c>
      <c r="AO153" s="113">
        <v>0</v>
      </c>
      <c r="AP153" s="113">
        <v>0</v>
      </c>
      <c r="AQ153" s="113">
        <v>0</v>
      </c>
      <c r="AR153" s="113">
        <v>0</v>
      </c>
      <c r="AS153" s="113">
        <v>0</v>
      </c>
      <c r="AT153" s="113">
        <v>0</v>
      </c>
      <c r="AU153" s="113">
        <v>0</v>
      </c>
      <c r="AV153" s="113">
        <v>0</v>
      </c>
      <c r="AW153" s="113">
        <v>0</v>
      </c>
      <c r="AX153" s="113">
        <v>0</v>
      </c>
      <c r="AY153" s="113">
        <v>0</v>
      </c>
      <c r="AZ153" s="113">
        <v>0</v>
      </c>
      <c r="BA153" s="113">
        <v>0</v>
      </c>
      <c r="BB153" s="113">
        <v>0</v>
      </c>
      <c r="BC153" s="113">
        <v>0</v>
      </c>
      <c r="BD153" s="113">
        <v>0</v>
      </c>
      <c r="BE153" s="113">
        <v>0</v>
      </c>
      <c r="BF153" s="113">
        <v>0</v>
      </c>
      <c r="BG153" s="113">
        <v>0</v>
      </c>
      <c r="BH153" s="113">
        <v>0</v>
      </c>
      <c r="BI153" s="113">
        <v>0</v>
      </c>
      <c r="BJ153" s="113">
        <v>0</v>
      </c>
      <c r="BK153" s="113">
        <v>0</v>
      </c>
      <c r="BL153" s="113">
        <v>0</v>
      </c>
      <c r="BM153" s="113">
        <v>0</v>
      </c>
      <c r="BN153" s="113">
        <v>0</v>
      </c>
      <c r="BO153" s="113">
        <v>0</v>
      </c>
      <c r="BP153" s="113">
        <v>0</v>
      </c>
      <c r="BQ153" s="113">
        <v>0</v>
      </c>
      <c r="BR153" s="113">
        <v>0</v>
      </c>
      <c r="BS153" s="113">
        <v>0</v>
      </c>
      <c r="BT153" s="113">
        <v>0</v>
      </c>
      <c r="BU153" s="113">
        <v>0</v>
      </c>
      <c r="BV153" s="113">
        <v>0</v>
      </c>
      <c r="BW153" s="113">
        <v>0</v>
      </c>
      <c r="BX153" s="113">
        <v>0</v>
      </c>
      <c r="BY153" s="113">
        <v>0</v>
      </c>
      <c r="BZ153" s="113">
        <v>0</v>
      </c>
      <c r="CA153" s="113">
        <v>0</v>
      </c>
      <c r="CB153" s="113">
        <v>0</v>
      </c>
      <c r="CC153" s="113">
        <v>0</v>
      </c>
      <c r="CD153" s="113">
        <v>0</v>
      </c>
      <c r="CE153" s="113">
        <v>0</v>
      </c>
      <c r="CF153" s="113">
        <v>0</v>
      </c>
      <c r="CG153" s="113">
        <v>0</v>
      </c>
      <c r="CH153" s="113">
        <v>0</v>
      </c>
      <c r="CI153" s="113">
        <v>0</v>
      </c>
      <c r="CJ153" s="113">
        <v>0</v>
      </c>
      <c r="CK153" s="113">
        <v>0</v>
      </c>
      <c r="CL153" s="113">
        <v>0</v>
      </c>
      <c r="CM153" s="113">
        <v>0</v>
      </c>
      <c r="CN153" s="113">
        <v>0</v>
      </c>
      <c r="CO153" s="113">
        <v>2741</v>
      </c>
      <c r="CP153" s="113">
        <v>0</v>
      </c>
      <c r="CQ153" s="113">
        <v>0</v>
      </c>
      <c r="CR153" s="113">
        <v>0</v>
      </c>
      <c r="CS153" s="113">
        <v>2614</v>
      </c>
      <c r="CT153" s="113">
        <v>3045</v>
      </c>
      <c r="CU153" s="113">
        <v>2000</v>
      </c>
      <c r="CV153" s="113">
        <v>3532</v>
      </c>
      <c r="CW153" s="113">
        <v>3684</v>
      </c>
      <c r="CX153" s="113">
        <v>5784</v>
      </c>
      <c r="CY153" s="113">
        <v>5160</v>
      </c>
      <c r="CZ153" s="113">
        <v>5043</v>
      </c>
      <c r="DA153" s="113">
        <v>1182</v>
      </c>
      <c r="DB153" s="113">
        <v>1909</v>
      </c>
      <c r="DC153" s="113">
        <v>1355</v>
      </c>
      <c r="DD153" s="113">
        <v>1245</v>
      </c>
      <c r="DE153" s="113">
        <v>1208</v>
      </c>
      <c r="DF153" s="113">
        <v>1141</v>
      </c>
      <c r="DG153" s="113">
        <v>849</v>
      </c>
      <c r="DH153" s="113">
        <v>1210</v>
      </c>
      <c r="DI153" s="113">
        <v>814</v>
      </c>
      <c r="DJ153" s="113">
        <v>415</v>
      </c>
      <c r="DK153" s="113">
        <v>21</v>
      </c>
      <c r="DL153" s="113">
        <v>564</v>
      </c>
      <c r="DM153" s="113">
        <v>645</v>
      </c>
      <c r="DN153" s="113">
        <v>1882</v>
      </c>
      <c r="DO153" s="113">
        <v>1048</v>
      </c>
      <c r="DP153" s="113">
        <v>794</v>
      </c>
      <c r="DQ153" s="113">
        <v>2558</v>
      </c>
      <c r="DR153" s="113">
        <v>3691</v>
      </c>
      <c r="DS153" s="113">
        <v>8729</v>
      </c>
      <c r="DT153" s="113">
        <v>1821</v>
      </c>
      <c r="DU153" s="113">
        <v>5077</v>
      </c>
      <c r="DV153" s="113">
        <v>10152</v>
      </c>
      <c r="DW153" s="113">
        <v>3439</v>
      </c>
      <c r="DX153" s="113">
        <v>5871</v>
      </c>
      <c r="DY153" s="113">
        <v>13198</v>
      </c>
      <c r="DZ153" s="113">
        <v>14746</v>
      </c>
      <c r="EA153" s="113">
        <v>26345</v>
      </c>
      <c r="EB153" s="113">
        <v>7388</v>
      </c>
      <c r="EC153" s="113">
        <v>9072</v>
      </c>
      <c r="ED153" s="113">
        <v>8373</v>
      </c>
      <c r="EE153" s="113">
        <v>12492</v>
      </c>
      <c r="EF153" s="113">
        <v>230</v>
      </c>
      <c r="EG153" s="113">
        <v>0</v>
      </c>
      <c r="EH153" s="113">
        <v>0</v>
      </c>
      <c r="EI153" s="113">
        <v>0</v>
      </c>
      <c r="EJ153" s="113">
        <v>0</v>
      </c>
      <c r="EK153" s="113">
        <v>0</v>
      </c>
      <c r="EL153" s="113">
        <v>0</v>
      </c>
      <c r="EM153" s="113">
        <v>0</v>
      </c>
      <c r="EN153" s="113">
        <v>0</v>
      </c>
    </row>
    <row r="154" spans="1:144">
      <c r="A154" s="103" t="s">
        <v>2288</v>
      </c>
      <c r="B154" s="113">
        <v>0</v>
      </c>
      <c r="C154" s="113">
        <v>0</v>
      </c>
      <c r="D154" s="113">
        <v>0</v>
      </c>
      <c r="E154" s="113">
        <v>0</v>
      </c>
      <c r="F154" s="113">
        <v>0</v>
      </c>
      <c r="G154" s="113">
        <v>0</v>
      </c>
      <c r="H154" s="113">
        <v>0</v>
      </c>
      <c r="I154" s="113">
        <v>0</v>
      </c>
      <c r="J154" s="113">
        <v>0</v>
      </c>
      <c r="K154" s="113">
        <v>0</v>
      </c>
      <c r="L154" s="113">
        <v>0</v>
      </c>
      <c r="M154" s="113">
        <v>0</v>
      </c>
      <c r="N154" s="113">
        <v>0</v>
      </c>
      <c r="O154" s="113">
        <v>0</v>
      </c>
      <c r="P154" s="113">
        <v>0</v>
      </c>
      <c r="Q154" s="113">
        <v>0</v>
      </c>
      <c r="R154" s="113">
        <v>0</v>
      </c>
      <c r="S154" s="113">
        <v>0</v>
      </c>
      <c r="T154" s="113">
        <v>20</v>
      </c>
      <c r="U154" s="113">
        <v>33</v>
      </c>
      <c r="V154" s="113">
        <v>9</v>
      </c>
      <c r="W154" s="113">
        <v>1248</v>
      </c>
      <c r="X154" s="113">
        <v>3044</v>
      </c>
      <c r="Y154" s="113">
        <v>0</v>
      </c>
      <c r="Z154" s="113">
        <v>2499</v>
      </c>
      <c r="AA154" s="113">
        <v>0</v>
      </c>
      <c r="AB154" s="113">
        <v>1049</v>
      </c>
      <c r="AC154" s="113">
        <v>3998</v>
      </c>
      <c r="AD154" s="113">
        <v>5516</v>
      </c>
      <c r="AE154" s="113">
        <v>3748</v>
      </c>
      <c r="AG154" s="103" t="s">
        <v>2288</v>
      </c>
      <c r="AH154" s="113">
        <v>0</v>
      </c>
      <c r="AI154" s="113">
        <v>0</v>
      </c>
      <c r="AJ154" s="113">
        <v>0</v>
      </c>
      <c r="AK154" s="113">
        <v>0</v>
      </c>
      <c r="AL154" s="113">
        <v>0</v>
      </c>
      <c r="AM154" s="113">
        <v>0</v>
      </c>
      <c r="AN154" s="113">
        <v>0</v>
      </c>
      <c r="AO154" s="113">
        <v>0</v>
      </c>
      <c r="AP154" s="113">
        <v>0</v>
      </c>
      <c r="AQ154" s="113">
        <v>0</v>
      </c>
      <c r="AR154" s="113">
        <v>0</v>
      </c>
      <c r="AS154" s="113">
        <v>0</v>
      </c>
      <c r="AT154" s="113">
        <v>0</v>
      </c>
      <c r="AU154" s="113">
        <v>0</v>
      </c>
      <c r="AV154" s="113">
        <v>0</v>
      </c>
      <c r="AW154" s="113">
        <v>0</v>
      </c>
      <c r="AX154" s="113">
        <v>0</v>
      </c>
      <c r="AY154" s="113">
        <v>0</v>
      </c>
      <c r="AZ154" s="113">
        <v>0</v>
      </c>
      <c r="BA154" s="113">
        <v>0</v>
      </c>
      <c r="BB154" s="113">
        <v>0</v>
      </c>
      <c r="BC154" s="113">
        <v>0</v>
      </c>
      <c r="BD154" s="113">
        <v>0</v>
      </c>
      <c r="BE154" s="113">
        <v>0</v>
      </c>
      <c r="BF154" s="113">
        <v>0</v>
      </c>
      <c r="BG154" s="113">
        <v>0</v>
      </c>
      <c r="BH154" s="113">
        <v>0</v>
      </c>
      <c r="BI154" s="113">
        <v>0</v>
      </c>
      <c r="BJ154" s="113">
        <v>0</v>
      </c>
      <c r="BK154" s="113">
        <v>0</v>
      </c>
      <c r="BL154" s="113">
        <v>0</v>
      </c>
      <c r="BM154" s="113">
        <v>0</v>
      </c>
      <c r="BN154" s="113">
        <v>0</v>
      </c>
      <c r="BO154" s="113">
        <v>0</v>
      </c>
      <c r="BP154" s="113">
        <v>0</v>
      </c>
      <c r="BQ154" s="113">
        <v>0</v>
      </c>
      <c r="BR154" s="113">
        <v>0</v>
      </c>
      <c r="BS154" s="113">
        <v>0</v>
      </c>
      <c r="BT154" s="113">
        <v>0</v>
      </c>
      <c r="BU154" s="113">
        <v>0</v>
      </c>
      <c r="BV154" s="113">
        <v>0</v>
      </c>
      <c r="BW154" s="113">
        <v>0</v>
      </c>
      <c r="BX154" s="113">
        <v>0</v>
      </c>
      <c r="BY154" s="113">
        <v>0</v>
      </c>
      <c r="BZ154" s="113">
        <v>0</v>
      </c>
      <c r="CA154" s="113">
        <v>0</v>
      </c>
      <c r="CB154" s="113">
        <v>0</v>
      </c>
      <c r="CC154" s="113">
        <v>0</v>
      </c>
      <c r="CD154" s="113">
        <v>0</v>
      </c>
      <c r="CE154" s="113">
        <v>0</v>
      </c>
      <c r="CF154" s="113">
        <v>0</v>
      </c>
      <c r="CG154" s="113">
        <v>0</v>
      </c>
      <c r="CH154" s="113">
        <v>0</v>
      </c>
      <c r="CI154" s="113">
        <v>0</v>
      </c>
      <c r="CJ154" s="113">
        <v>0</v>
      </c>
      <c r="CK154" s="113">
        <v>0</v>
      </c>
      <c r="CL154" s="113">
        <v>0</v>
      </c>
      <c r="CM154" s="113">
        <v>0</v>
      </c>
      <c r="CN154" s="113">
        <v>0</v>
      </c>
      <c r="CO154" s="113">
        <v>0</v>
      </c>
      <c r="CP154" s="113">
        <v>0</v>
      </c>
      <c r="CQ154" s="113">
        <v>0</v>
      </c>
      <c r="CR154" s="113">
        <v>0</v>
      </c>
      <c r="CS154" s="113">
        <v>0</v>
      </c>
      <c r="CT154" s="113">
        <v>0</v>
      </c>
      <c r="CU154" s="113">
        <v>0</v>
      </c>
      <c r="CV154" s="113">
        <v>0</v>
      </c>
      <c r="CW154" s="113">
        <v>20</v>
      </c>
      <c r="CX154" s="113">
        <v>0</v>
      </c>
      <c r="CY154" s="113">
        <v>6</v>
      </c>
      <c r="CZ154" s="113">
        <v>6</v>
      </c>
      <c r="DA154" s="113">
        <v>33</v>
      </c>
      <c r="DB154" s="113">
        <v>0</v>
      </c>
      <c r="DC154" s="113">
        <v>6</v>
      </c>
      <c r="DD154" s="113">
        <v>5</v>
      </c>
      <c r="DE154" s="113">
        <v>9</v>
      </c>
      <c r="DF154" s="113">
        <v>29</v>
      </c>
      <c r="DG154" s="113">
        <v>22</v>
      </c>
      <c r="DH154" s="113">
        <v>0</v>
      </c>
      <c r="DI154" s="113">
        <v>1248</v>
      </c>
      <c r="DJ154" s="113">
        <v>2245</v>
      </c>
      <c r="DK154" s="113">
        <v>2250</v>
      </c>
      <c r="DL154" s="113">
        <v>2252</v>
      </c>
      <c r="DM154" s="113">
        <v>3044</v>
      </c>
      <c r="DN154" s="113">
        <v>2011</v>
      </c>
      <c r="DO154" s="113">
        <v>2000</v>
      </c>
      <c r="DP154" s="113">
        <v>2000</v>
      </c>
      <c r="DQ154" s="113">
        <v>0</v>
      </c>
      <c r="DR154" s="113">
        <v>1748</v>
      </c>
      <c r="DS154" s="113">
        <v>1749</v>
      </c>
      <c r="DT154" s="113">
        <v>2499</v>
      </c>
      <c r="DU154" s="113">
        <v>2499</v>
      </c>
      <c r="DV154" s="113">
        <v>750</v>
      </c>
      <c r="DW154" s="113">
        <v>750</v>
      </c>
      <c r="DX154" s="113">
        <v>0</v>
      </c>
      <c r="DY154" s="113">
        <v>0</v>
      </c>
      <c r="DZ154" s="113">
        <v>0</v>
      </c>
      <c r="EA154" s="113">
        <v>599</v>
      </c>
      <c r="EB154" s="113">
        <v>599</v>
      </c>
      <c r="EC154" s="113">
        <v>1049</v>
      </c>
      <c r="ED154" s="113">
        <v>1050</v>
      </c>
      <c r="EE154" s="113">
        <v>3446</v>
      </c>
      <c r="EF154" s="113">
        <v>3447</v>
      </c>
      <c r="EG154" s="113">
        <v>3998</v>
      </c>
      <c r="EH154" s="113">
        <v>6497</v>
      </c>
      <c r="EI154" s="113">
        <v>3516</v>
      </c>
      <c r="EJ154" s="113">
        <v>6515</v>
      </c>
      <c r="EK154" s="113">
        <v>5516</v>
      </c>
      <c r="EL154" s="113">
        <v>3017</v>
      </c>
      <c r="EM154" s="113">
        <v>6247</v>
      </c>
      <c r="EN154" s="113">
        <v>3748</v>
      </c>
    </row>
    <row r="155" spans="1:144">
      <c r="A155" s="103" t="s">
        <v>2289</v>
      </c>
      <c r="B155" s="113">
        <v>0</v>
      </c>
      <c r="C155" s="113">
        <v>0</v>
      </c>
      <c r="D155" s="113">
        <v>0</v>
      </c>
      <c r="E155" s="113">
        <v>0</v>
      </c>
      <c r="F155" s="113">
        <v>0</v>
      </c>
      <c r="G155" s="113">
        <v>0</v>
      </c>
      <c r="H155" s="113">
        <v>0</v>
      </c>
      <c r="I155" s="113">
        <v>0</v>
      </c>
      <c r="J155" s="113">
        <v>0</v>
      </c>
      <c r="K155" s="113">
        <v>0</v>
      </c>
      <c r="L155" s="113">
        <v>0</v>
      </c>
      <c r="M155" s="113">
        <v>0</v>
      </c>
      <c r="N155" s="113">
        <v>0</v>
      </c>
      <c r="O155" s="113">
        <v>0</v>
      </c>
      <c r="P155" s="113">
        <v>0</v>
      </c>
      <c r="Q155" s="113">
        <v>0</v>
      </c>
      <c r="R155" s="113">
        <v>0</v>
      </c>
      <c r="S155" s="113">
        <v>0</v>
      </c>
      <c r="T155" s="113">
        <v>0</v>
      </c>
      <c r="U155" s="113">
        <v>0</v>
      </c>
      <c r="V155" s="113">
        <v>0</v>
      </c>
      <c r="W155" s="113">
        <v>0</v>
      </c>
      <c r="X155" s="113">
        <v>0</v>
      </c>
      <c r="Y155" s="113">
        <v>0</v>
      </c>
      <c r="Z155" s="113">
        <v>0</v>
      </c>
      <c r="AA155" s="113">
        <v>25</v>
      </c>
      <c r="AB155" s="113">
        <v>1536</v>
      </c>
      <c r="AC155" s="113">
        <v>1575</v>
      </c>
      <c r="AD155" s="113">
        <v>1832</v>
      </c>
      <c r="AE155" s="113">
        <v>2027</v>
      </c>
      <c r="AG155" s="103" t="s">
        <v>2289</v>
      </c>
      <c r="AH155" s="113">
        <v>0</v>
      </c>
      <c r="AI155" s="113">
        <v>0</v>
      </c>
      <c r="AJ155" s="113">
        <v>0</v>
      </c>
      <c r="AK155" s="113">
        <v>0</v>
      </c>
      <c r="AL155" s="113">
        <v>0</v>
      </c>
      <c r="AM155" s="113">
        <v>0</v>
      </c>
      <c r="AN155" s="113">
        <v>0</v>
      </c>
      <c r="AO155" s="113">
        <v>0</v>
      </c>
      <c r="AP155" s="113">
        <v>0</v>
      </c>
      <c r="AQ155" s="113">
        <v>0</v>
      </c>
      <c r="AR155" s="113">
        <v>0</v>
      </c>
      <c r="AS155" s="113">
        <v>0</v>
      </c>
      <c r="AT155" s="113">
        <v>0</v>
      </c>
      <c r="AU155" s="113">
        <v>0</v>
      </c>
      <c r="AV155" s="113">
        <v>0</v>
      </c>
      <c r="AW155" s="113">
        <v>0</v>
      </c>
      <c r="AX155" s="113">
        <v>0</v>
      </c>
      <c r="AY155" s="113">
        <v>0</v>
      </c>
      <c r="AZ155" s="113">
        <v>0</v>
      </c>
      <c r="BA155" s="113">
        <v>0</v>
      </c>
      <c r="BB155" s="113">
        <v>0</v>
      </c>
      <c r="BC155" s="113">
        <v>0</v>
      </c>
      <c r="BD155" s="113">
        <v>0</v>
      </c>
      <c r="BE155" s="113">
        <v>0</v>
      </c>
      <c r="BF155" s="113">
        <v>0</v>
      </c>
      <c r="BG155" s="113">
        <v>0</v>
      </c>
      <c r="BH155" s="113">
        <v>0</v>
      </c>
      <c r="BI155" s="113">
        <v>0</v>
      </c>
      <c r="BJ155" s="113">
        <v>0</v>
      </c>
      <c r="BK155" s="113">
        <v>0</v>
      </c>
      <c r="BL155" s="113">
        <v>0</v>
      </c>
      <c r="BM155" s="113">
        <v>0</v>
      </c>
      <c r="BN155" s="113">
        <v>0</v>
      </c>
      <c r="BO155" s="113">
        <v>0</v>
      </c>
      <c r="BP155" s="113">
        <v>0</v>
      </c>
      <c r="BQ155" s="113">
        <v>0</v>
      </c>
      <c r="BR155" s="113">
        <v>0</v>
      </c>
      <c r="BS155" s="113">
        <v>0</v>
      </c>
      <c r="BT155" s="113">
        <v>0</v>
      </c>
      <c r="BU155" s="113">
        <v>0</v>
      </c>
      <c r="BV155" s="113">
        <v>0</v>
      </c>
      <c r="BW155" s="113">
        <v>0</v>
      </c>
      <c r="BX155" s="113">
        <v>0</v>
      </c>
      <c r="BY155" s="113">
        <v>0</v>
      </c>
      <c r="BZ155" s="113">
        <v>0</v>
      </c>
      <c r="CA155" s="113">
        <v>0</v>
      </c>
      <c r="CB155" s="113">
        <v>0</v>
      </c>
      <c r="CC155" s="113">
        <v>0</v>
      </c>
      <c r="CD155" s="113">
        <v>0</v>
      </c>
      <c r="CE155" s="113">
        <v>0</v>
      </c>
      <c r="CF155" s="113">
        <v>0</v>
      </c>
      <c r="CG155" s="113">
        <v>0</v>
      </c>
      <c r="CH155" s="113">
        <v>0</v>
      </c>
      <c r="CI155" s="113">
        <v>0</v>
      </c>
      <c r="CJ155" s="113">
        <v>0</v>
      </c>
      <c r="CK155" s="113">
        <v>0</v>
      </c>
      <c r="CL155" s="113">
        <v>0</v>
      </c>
      <c r="CM155" s="113">
        <v>0</v>
      </c>
      <c r="CN155" s="113">
        <v>0</v>
      </c>
      <c r="CO155" s="113">
        <v>0</v>
      </c>
      <c r="CP155" s="113">
        <v>0</v>
      </c>
      <c r="CQ155" s="113">
        <v>0</v>
      </c>
      <c r="CR155" s="113">
        <v>0</v>
      </c>
      <c r="CS155" s="113">
        <v>0</v>
      </c>
      <c r="CT155" s="113">
        <v>0</v>
      </c>
      <c r="CU155" s="113">
        <v>0</v>
      </c>
      <c r="CV155" s="113">
        <v>0</v>
      </c>
      <c r="CW155" s="113">
        <v>0</v>
      </c>
      <c r="CX155" s="113">
        <v>0</v>
      </c>
      <c r="CY155" s="113">
        <v>0</v>
      </c>
      <c r="CZ155" s="113">
        <v>0</v>
      </c>
      <c r="DA155" s="113">
        <v>0</v>
      </c>
      <c r="DB155" s="113">
        <v>0</v>
      </c>
      <c r="DC155" s="113">
        <v>0</v>
      </c>
      <c r="DD155" s="113">
        <v>0</v>
      </c>
      <c r="DE155" s="113">
        <v>0</v>
      </c>
      <c r="DF155" s="113">
        <v>0</v>
      </c>
      <c r="DG155" s="113">
        <v>0</v>
      </c>
      <c r="DH155" s="113">
        <v>0</v>
      </c>
      <c r="DI155" s="113">
        <v>0</v>
      </c>
      <c r="DJ155" s="113">
        <v>0</v>
      </c>
      <c r="DK155" s="113">
        <v>0</v>
      </c>
      <c r="DL155" s="113">
        <v>0</v>
      </c>
      <c r="DM155" s="113">
        <v>0</v>
      </c>
      <c r="DN155" s="113">
        <v>0</v>
      </c>
      <c r="DO155" s="113">
        <v>0</v>
      </c>
      <c r="DP155" s="113">
        <v>0</v>
      </c>
      <c r="DQ155" s="113">
        <v>0</v>
      </c>
      <c r="DR155" s="113">
        <v>0</v>
      </c>
      <c r="DS155" s="113">
        <v>0</v>
      </c>
      <c r="DT155" s="113">
        <v>0</v>
      </c>
      <c r="DU155" s="113">
        <v>0</v>
      </c>
      <c r="DV155" s="113">
        <v>0</v>
      </c>
      <c r="DW155" s="113">
        <v>0</v>
      </c>
      <c r="DX155" s="113">
        <v>0</v>
      </c>
      <c r="DY155" s="113">
        <v>25</v>
      </c>
      <c r="DZ155" s="113">
        <v>32</v>
      </c>
      <c r="EA155" s="113">
        <v>56</v>
      </c>
      <c r="EB155" s="113">
        <v>86</v>
      </c>
      <c r="EC155" s="113">
        <v>1536</v>
      </c>
      <c r="ED155" s="113">
        <v>1398</v>
      </c>
      <c r="EE155" s="113">
        <v>1499</v>
      </c>
      <c r="EF155" s="113">
        <v>1563</v>
      </c>
      <c r="EG155" s="113">
        <v>1575</v>
      </c>
      <c r="EH155" s="113">
        <v>1575</v>
      </c>
      <c r="EI155" s="113">
        <v>1666</v>
      </c>
      <c r="EJ155" s="113">
        <v>1743</v>
      </c>
      <c r="EK155" s="113">
        <v>1832</v>
      </c>
      <c r="EL155" s="113">
        <v>1955</v>
      </c>
      <c r="EM155" s="113">
        <v>2080</v>
      </c>
      <c r="EN155" s="113">
        <v>2027</v>
      </c>
    </row>
    <row r="156" spans="1:144">
      <c r="A156" s="103" t="s">
        <v>2290</v>
      </c>
      <c r="B156" s="113">
        <v>44.445</v>
      </c>
      <c r="C156" s="113">
        <v>73</v>
      </c>
      <c r="D156" s="113">
        <v>127</v>
      </c>
      <c r="E156" s="113">
        <v>305</v>
      </c>
      <c r="F156" s="113">
        <v>410</v>
      </c>
      <c r="G156" s="113">
        <v>484</v>
      </c>
      <c r="H156" s="113">
        <v>466</v>
      </c>
      <c r="I156" s="113">
        <v>915</v>
      </c>
      <c r="J156" s="113">
        <v>1691</v>
      </c>
      <c r="K156" s="113">
        <v>585</v>
      </c>
      <c r="L156" s="113">
        <v>1468</v>
      </c>
      <c r="M156" s="113">
        <v>2022</v>
      </c>
      <c r="N156" s="113">
        <v>2044</v>
      </c>
      <c r="O156" s="113">
        <v>3478</v>
      </c>
      <c r="P156" s="113">
        <v>2020</v>
      </c>
      <c r="Q156" s="113">
        <v>1557</v>
      </c>
      <c r="R156" s="113">
        <v>1040</v>
      </c>
      <c r="S156" s="113">
        <v>3248</v>
      </c>
      <c r="T156" s="113">
        <v>725</v>
      </c>
      <c r="U156" s="113">
        <v>1074</v>
      </c>
      <c r="V156" s="113">
        <v>580</v>
      </c>
      <c r="W156" s="113">
        <v>789</v>
      </c>
      <c r="X156" s="113">
        <v>592</v>
      </c>
      <c r="Y156" s="113">
        <v>782</v>
      </c>
      <c r="Z156" s="113">
        <v>606</v>
      </c>
      <c r="AA156" s="113">
        <v>580</v>
      </c>
      <c r="AB156" s="113">
        <v>718</v>
      </c>
      <c r="AC156" s="113">
        <v>2121</v>
      </c>
      <c r="AD156" s="113">
        <v>5665</v>
      </c>
      <c r="AE156" s="113">
        <v>3296</v>
      </c>
      <c r="AG156" s="103" t="s">
        <v>2290</v>
      </c>
      <c r="AH156" s="113">
        <v>0</v>
      </c>
      <c r="AI156" s="113">
        <v>0</v>
      </c>
      <c r="AJ156" s="113">
        <v>0</v>
      </c>
      <c r="AK156" s="113">
        <v>127</v>
      </c>
      <c r="AL156" s="113">
        <v>0</v>
      </c>
      <c r="AM156" s="113">
        <v>211</v>
      </c>
      <c r="AN156" s="113">
        <v>219</v>
      </c>
      <c r="AO156" s="113">
        <v>305</v>
      </c>
      <c r="AP156" s="113">
        <v>369</v>
      </c>
      <c r="AQ156" s="113">
        <v>364</v>
      </c>
      <c r="AR156" s="113">
        <v>385</v>
      </c>
      <c r="AS156" s="113">
        <v>410</v>
      </c>
      <c r="AT156" s="113">
        <v>522</v>
      </c>
      <c r="AU156" s="113">
        <v>680</v>
      </c>
      <c r="AV156" s="113">
        <v>616</v>
      </c>
      <c r="AW156" s="113">
        <v>484</v>
      </c>
      <c r="AX156" s="113">
        <v>514</v>
      </c>
      <c r="AY156" s="113">
        <v>480</v>
      </c>
      <c r="AZ156" s="113">
        <v>463</v>
      </c>
      <c r="BA156" s="113">
        <v>466</v>
      </c>
      <c r="BB156" s="113">
        <v>554</v>
      </c>
      <c r="BC156" s="113">
        <v>631</v>
      </c>
      <c r="BD156" s="113">
        <v>527</v>
      </c>
      <c r="BE156" s="113">
        <v>915</v>
      </c>
      <c r="BF156" s="113">
        <v>1244</v>
      </c>
      <c r="BG156" s="113">
        <v>1642</v>
      </c>
      <c r="BH156" s="113">
        <v>1347</v>
      </c>
      <c r="BI156" s="113">
        <v>1691</v>
      </c>
      <c r="BJ156" s="113">
        <v>1136</v>
      </c>
      <c r="BK156" s="113">
        <v>2103</v>
      </c>
      <c r="BL156" s="113">
        <v>1931</v>
      </c>
      <c r="BM156" s="113">
        <v>585</v>
      </c>
      <c r="BN156" s="113">
        <v>442</v>
      </c>
      <c r="BO156" s="113">
        <v>656</v>
      </c>
      <c r="BP156" s="113">
        <v>753</v>
      </c>
      <c r="BQ156" s="113">
        <v>1468</v>
      </c>
      <c r="BR156" s="113">
        <v>2131</v>
      </c>
      <c r="BS156" s="113">
        <v>2396</v>
      </c>
      <c r="BT156" s="113">
        <v>2477</v>
      </c>
      <c r="BU156" s="113">
        <v>2022</v>
      </c>
      <c r="BV156" s="113">
        <v>3307</v>
      </c>
      <c r="BW156" s="113">
        <v>2954</v>
      </c>
      <c r="BX156" s="113">
        <v>2546</v>
      </c>
      <c r="BY156" s="113">
        <v>2044</v>
      </c>
      <c r="BZ156" s="113">
        <v>2600</v>
      </c>
      <c r="CA156" s="113">
        <v>3500</v>
      </c>
      <c r="CB156" s="113">
        <v>3175</v>
      </c>
      <c r="CC156" s="113">
        <v>3478</v>
      </c>
      <c r="CD156" s="113">
        <v>3456</v>
      </c>
      <c r="CE156" s="113">
        <v>3506</v>
      </c>
      <c r="CF156" s="113">
        <v>3479</v>
      </c>
      <c r="CG156" s="113">
        <v>2020</v>
      </c>
      <c r="CH156" s="113">
        <v>3123</v>
      </c>
      <c r="CI156" s="113">
        <v>2787</v>
      </c>
      <c r="CJ156" s="113">
        <v>2805</v>
      </c>
      <c r="CK156" s="113">
        <v>1557</v>
      </c>
      <c r="CL156" s="113">
        <v>1994</v>
      </c>
      <c r="CM156" s="113">
        <v>1337</v>
      </c>
      <c r="CN156" s="113">
        <v>1930</v>
      </c>
      <c r="CO156" s="113">
        <v>1040</v>
      </c>
      <c r="CP156" s="113">
        <v>1410</v>
      </c>
      <c r="CQ156" s="113">
        <v>863</v>
      </c>
      <c r="CR156" s="113">
        <v>3765</v>
      </c>
      <c r="CS156" s="113">
        <v>3248</v>
      </c>
      <c r="CT156" s="113">
        <v>514</v>
      </c>
      <c r="CU156" s="113">
        <v>848</v>
      </c>
      <c r="CV156" s="113">
        <v>773</v>
      </c>
      <c r="CW156" s="113">
        <v>725</v>
      </c>
      <c r="CX156" s="113">
        <v>847</v>
      </c>
      <c r="CY156" s="113">
        <v>721</v>
      </c>
      <c r="CZ156" s="113">
        <v>901</v>
      </c>
      <c r="DA156" s="113">
        <v>1074</v>
      </c>
      <c r="DB156" s="113">
        <v>2136</v>
      </c>
      <c r="DC156" s="113">
        <v>1439</v>
      </c>
      <c r="DD156" s="113">
        <v>839</v>
      </c>
      <c r="DE156" s="113">
        <v>580</v>
      </c>
      <c r="DF156" s="113">
        <v>705</v>
      </c>
      <c r="DG156" s="113">
        <v>921</v>
      </c>
      <c r="DH156" s="113">
        <v>958</v>
      </c>
      <c r="DI156" s="113">
        <v>789</v>
      </c>
      <c r="DJ156" s="113">
        <v>847</v>
      </c>
      <c r="DK156" s="113">
        <v>630</v>
      </c>
      <c r="DL156" s="113">
        <v>689</v>
      </c>
      <c r="DM156" s="113">
        <v>592</v>
      </c>
      <c r="DN156" s="113">
        <v>834</v>
      </c>
      <c r="DO156" s="113">
        <v>591</v>
      </c>
      <c r="DP156" s="113">
        <v>694</v>
      </c>
      <c r="DQ156" s="113">
        <v>782</v>
      </c>
      <c r="DR156" s="113">
        <v>903</v>
      </c>
      <c r="DS156" s="113">
        <v>711</v>
      </c>
      <c r="DT156" s="113">
        <v>758</v>
      </c>
      <c r="DU156" s="113">
        <v>606</v>
      </c>
      <c r="DV156" s="113">
        <v>607</v>
      </c>
      <c r="DW156" s="113">
        <v>493</v>
      </c>
      <c r="DX156" s="113">
        <v>685</v>
      </c>
      <c r="DY156" s="113">
        <v>580</v>
      </c>
      <c r="DZ156" s="113">
        <v>720</v>
      </c>
      <c r="EA156" s="113">
        <v>508</v>
      </c>
      <c r="EB156" s="113">
        <v>654</v>
      </c>
      <c r="EC156" s="113">
        <v>718</v>
      </c>
      <c r="ED156" s="113">
        <v>920</v>
      </c>
      <c r="EE156" s="113">
        <v>788</v>
      </c>
      <c r="EF156" s="113">
        <v>814</v>
      </c>
      <c r="EG156" s="113">
        <v>2121</v>
      </c>
      <c r="EH156" s="113">
        <v>2341</v>
      </c>
      <c r="EI156" s="113">
        <v>2033</v>
      </c>
      <c r="EJ156" s="113">
        <v>1950</v>
      </c>
      <c r="EK156" s="113">
        <v>5665</v>
      </c>
      <c r="EL156" s="113">
        <v>3440</v>
      </c>
      <c r="EM156" s="113">
        <v>2687</v>
      </c>
      <c r="EN156" s="113">
        <v>3296</v>
      </c>
    </row>
    <row r="157" spans="1:144">
      <c r="A157" s="103" t="s">
        <v>2291</v>
      </c>
      <c r="B157" s="113">
        <v>0</v>
      </c>
      <c r="C157" s="113">
        <v>0</v>
      </c>
      <c r="D157" s="113">
        <v>0</v>
      </c>
      <c r="E157" s="113">
        <v>0</v>
      </c>
      <c r="F157" s="113">
        <v>54</v>
      </c>
      <c r="G157" s="113">
        <v>560</v>
      </c>
      <c r="H157" s="113">
        <v>1418</v>
      </c>
      <c r="I157" s="113">
        <v>2888</v>
      </c>
      <c r="J157" s="113">
        <v>4239</v>
      </c>
      <c r="K157" s="113">
        <v>4816</v>
      </c>
      <c r="L157" s="113">
        <v>4395</v>
      </c>
      <c r="M157" s="113">
        <v>5920</v>
      </c>
      <c r="N157" s="113">
        <v>7225</v>
      </c>
      <c r="O157" s="113">
        <v>6514</v>
      </c>
      <c r="P157" s="113">
        <v>7502</v>
      </c>
      <c r="Q157" s="113">
        <v>9138</v>
      </c>
      <c r="R157" s="113">
        <v>10779</v>
      </c>
      <c r="S157" s="113">
        <v>13397</v>
      </c>
      <c r="T157" s="113">
        <v>13003</v>
      </c>
      <c r="U157" s="113">
        <v>13652</v>
      </c>
      <c r="V157" s="113">
        <v>15722</v>
      </c>
      <c r="W157" s="113">
        <v>18653</v>
      </c>
      <c r="X157" s="113">
        <v>20639</v>
      </c>
      <c r="Y157" s="113">
        <v>23150</v>
      </c>
      <c r="Z157" s="113">
        <v>23223</v>
      </c>
      <c r="AA157" s="113">
        <v>27468</v>
      </c>
      <c r="AB157" s="113">
        <v>24013</v>
      </c>
      <c r="AC157" s="113">
        <v>28905</v>
      </c>
      <c r="AD157" s="113">
        <v>32676</v>
      </c>
      <c r="AE157" s="113">
        <v>27012</v>
      </c>
      <c r="AG157" s="103" t="s">
        <v>2291</v>
      </c>
      <c r="AH157" s="113">
        <v>0</v>
      </c>
      <c r="AI157" s="113">
        <v>0</v>
      </c>
      <c r="AJ157" s="113">
        <v>0</v>
      </c>
      <c r="AK157" s="113">
        <v>0</v>
      </c>
      <c r="AL157" s="113">
        <v>0</v>
      </c>
      <c r="AM157" s="113">
        <v>0</v>
      </c>
      <c r="AN157" s="113">
        <v>0</v>
      </c>
      <c r="AO157" s="113">
        <v>0</v>
      </c>
      <c r="AP157" s="113">
        <v>0</v>
      </c>
      <c r="AQ157" s="113">
        <v>0</v>
      </c>
      <c r="AR157" s="113">
        <v>0</v>
      </c>
      <c r="AS157" s="113">
        <v>54</v>
      </c>
      <c r="AT157" s="113">
        <v>307</v>
      </c>
      <c r="AU157" s="113">
        <v>495</v>
      </c>
      <c r="AV157" s="113">
        <v>545</v>
      </c>
      <c r="AW157" s="113">
        <v>560</v>
      </c>
      <c r="AX157" s="113">
        <v>651</v>
      </c>
      <c r="AY157" s="113">
        <v>1013</v>
      </c>
      <c r="AZ157" s="113">
        <v>1285</v>
      </c>
      <c r="BA157" s="113">
        <v>1418</v>
      </c>
      <c r="BB157" s="113">
        <v>1671</v>
      </c>
      <c r="BC157" s="113">
        <v>2038</v>
      </c>
      <c r="BD157" s="113">
        <v>2463</v>
      </c>
      <c r="BE157" s="113">
        <v>2888</v>
      </c>
      <c r="BF157" s="113">
        <v>3133</v>
      </c>
      <c r="BG157" s="113">
        <v>3552</v>
      </c>
      <c r="BH157" s="113">
        <v>4195</v>
      </c>
      <c r="BI157" s="113">
        <v>4239</v>
      </c>
      <c r="BJ157" s="113">
        <v>4129</v>
      </c>
      <c r="BK157" s="113">
        <v>4259</v>
      </c>
      <c r="BL157" s="113">
        <v>4459</v>
      </c>
      <c r="BM157" s="113">
        <v>4816</v>
      </c>
      <c r="BN157" s="113">
        <v>4766</v>
      </c>
      <c r="BO157" s="113">
        <v>5124</v>
      </c>
      <c r="BP157" s="113">
        <v>5305</v>
      </c>
      <c r="BQ157" s="113">
        <v>4395</v>
      </c>
      <c r="BR157" s="113">
        <v>5849</v>
      </c>
      <c r="BS157" s="113">
        <v>5300</v>
      </c>
      <c r="BT157" s="113">
        <v>5568</v>
      </c>
      <c r="BU157" s="113">
        <v>5920</v>
      </c>
      <c r="BV157" s="113">
        <v>6841</v>
      </c>
      <c r="BW157" s="113">
        <v>6810</v>
      </c>
      <c r="BX157" s="113">
        <v>6798</v>
      </c>
      <c r="BY157" s="113">
        <v>7225</v>
      </c>
      <c r="BZ157" s="113">
        <v>6620</v>
      </c>
      <c r="CA157" s="113">
        <v>6229</v>
      </c>
      <c r="CB157" s="113">
        <v>5949</v>
      </c>
      <c r="CC157" s="113">
        <v>6514</v>
      </c>
      <c r="CD157" s="113">
        <v>6149</v>
      </c>
      <c r="CE157" s="113">
        <v>6267</v>
      </c>
      <c r="CF157" s="113">
        <v>6275</v>
      </c>
      <c r="CG157" s="113">
        <v>7502</v>
      </c>
      <c r="CH157" s="113">
        <v>7148</v>
      </c>
      <c r="CI157" s="113">
        <v>7118</v>
      </c>
      <c r="CJ157" s="113">
        <v>7215</v>
      </c>
      <c r="CK157" s="113">
        <v>9138</v>
      </c>
      <c r="CL157" s="113">
        <v>8310</v>
      </c>
      <c r="CM157" s="113">
        <v>10023</v>
      </c>
      <c r="CN157" s="113">
        <v>8551</v>
      </c>
      <c r="CO157" s="113">
        <v>10779</v>
      </c>
      <c r="CP157" s="113">
        <v>9787</v>
      </c>
      <c r="CQ157" s="113">
        <v>10221</v>
      </c>
      <c r="CR157" s="113">
        <v>10385</v>
      </c>
      <c r="CS157" s="113">
        <v>13397</v>
      </c>
      <c r="CT157" s="113">
        <v>11815</v>
      </c>
      <c r="CU157" s="113">
        <v>11532</v>
      </c>
      <c r="CV157" s="113">
        <v>10924</v>
      </c>
      <c r="CW157" s="113">
        <v>13003</v>
      </c>
      <c r="CX157" s="113">
        <v>13567</v>
      </c>
      <c r="CY157" s="113">
        <v>11361</v>
      </c>
      <c r="CZ157" s="113">
        <v>11171</v>
      </c>
      <c r="DA157" s="113">
        <v>13652</v>
      </c>
      <c r="DB157" s="113">
        <v>12767</v>
      </c>
      <c r="DC157" s="113">
        <v>12063</v>
      </c>
      <c r="DD157" s="113">
        <v>11887</v>
      </c>
      <c r="DE157" s="113">
        <v>15722</v>
      </c>
      <c r="DF157" s="113">
        <v>14345</v>
      </c>
      <c r="DG157" s="113">
        <v>13985</v>
      </c>
      <c r="DH157" s="113">
        <v>13929</v>
      </c>
      <c r="DI157" s="113">
        <v>18653</v>
      </c>
      <c r="DJ157" s="113">
        <v>18295</v>
      </c>
      <c r="DK157" s="113">
        <v>18354</v>
      </c>
      <c r="DL157" s="113">
        <v>16511</v>
      </c>
      <c r="DM157" s="113">
        <v>20639</v>
      </c>
      <c r="DN157" s="113">
        <v>18585</v>
      </c>
      <c r="DO157" s="113">
        <v>17616</v>
      </c>
      <c r="DP157" s="113">
        <v>17670</v>
      </c>
      <c r="DQ157" s="113">
        <v>23150</v>
      </c>
      <c r="DR157" s="113">
        <v>20713</v>
      </c>
      <c r="DS157" s="113">
        <v>19192</v>
      </c>
      <c r="DT157" s="113">
        <v>18232</v>
      </c>
      <c r="DU157" s="113">
        <v>23223</v>
      </c>
      <c r="DV157" s="113">
        <v>21603</v>
      </c>
      <c r="DW157" s="113">
        <v>20929</v>
      </c>
      <c r="DX157" s="113">
        <v>20876</v>
      </c>
      <c r="DY157" s="113">
        <v>27468</v>
      </c>
      <c r="DZ157" s="113">
        <v>26304</v>
      </c>
      <c r="EA157" s="113">
        <v>26085</v>
      </c>
      <c r="EB157" s="113">
        <v>26518</v>
      </c>
      <c r="EC157" s="113">
        <v>24013</v>
      </c>
      <c r="ED157" s="113">
        <v>22778</v>
      </c>
      <c r="EE157" s="113">
        <v>21309</v>
      </c>
      <c r="EF157" s="113">
        <v>21370</v>
      </c>
      <c r="EG157" s="113">
        <v>28905</v>
      </c>
      <c r="EH157" s="113">
        <v>26704</v>
      </c>
      <c r="EI157" s="113">
        <v>24285</v>
      </c>
      <c r="EJ157" s="113">
        <v>24251</v>
      </c>
      <c r="EK157" s="113">
        <v>32676</v>
      </c>
      <c r="EL157" s="113">
        <v>29904</v>
      </c>
      <c r="EM157" s="113">
        <v>27343</v>
      </c>
      <c r="EN157" s="113">
        <v>27012</v>
      </c>
    </row>
    <row r="158" spans="1:144">
      <c r="A158" s="103" t="s">
        <v>2292</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0</v>
      </c>
      <c r="V158" s="113">
        <v>0</v>
      </c>
      <c r="W158" s="113">
        <v>0</v>
      </c>
      <c r="X158" s="113">
        <v>0</v>
      </c>
      <c r="Y158" s="113">
        <v>125</v>
      </c>
      <c r="Z158" s="113">
        <v>0</v>
      </c>
      <c r="AA158" s="113">
        <v>0</v>
      </c>
      <c r="AB158" s="113">
        <v>0</v>
      </c>
      <c r="AC158" s="113">
        <v>0</v>
      </c>
      <c r="AD158" s="113">
        <v>0</v>
      </c>
      <c r="AE158" s="113">
        <v>0</v>
      </c>
      <c r="AG158" s="103" t="s">
        <v>2292</v>
      </c>
      <c r="AH158" s="113">
        <v>0</v>
      </c>
      <c r="AI158" s="113">
        <v>0</v>
      </c>
      <c r="AJ158" s="113">
        <v>0</v>
      </c>
      <c r="AK158" s="113">
        <v>0</v>
      </c>
      <c r="AL158" s="113">
        <v>0</v>
      </c>
      <c r="AM158" s="113">
        <v>0</v>
      </c>
      <c r="AN158" s="113">
        <v>0</v>
      </c>
      <c r="AO158" s="113">
        <v>0</v>
      </c>
      <c r="AP158" s="113">
        <v>0</v>
      </c>
      <c r="AQ158" s="113">
        <v>0</v>
      </c>
      <c r="AR158" s="113">
        <v>0</v>
      </c>
      <c r="AS158" s="113">
        <v>0</v>
      </c>
      <c r="AT158" s="113">
        <v>0</v>
      </c>
      <c r="AU158" s="113">
        <v>0</v>
      </c>
      <c r="AV158" s="113">
        <v>0</v>
      </c>
      <c r="AW158" s="113">
        <v>0</v>
      </c>
      <c r="AX158" s="113">
        <v>0</v>
      </c>
      <c r="AY158" s="113">
        <v>0</v>
      </c>
      <c r="AZ158" s="113">
        <v>0</v>
      </c>
      <c r="BA158" s="113">
        <v>0</v>
      </c>
      <c r="BB158" s="113">
        <v>0</v>
      </c>
      <c r="BC158" s="113">
        <v>0</v>
      </c>
      <c r="BD158" s="113">
        <v>0</v>
      </c>
      <c r="BE158" s="113">
        <v>0</v>
      </c>
      <c r="BF158" s="113">
        <v>0</v>
      </c>
      <c r="BG158" s="113">
        <v>0</v>
      </c>
      <c r="BH158" s="113">
        <v>0</v>
      </c>
      <c r="BI158" s="113">
        <v>0</v>
      </c>
      <c r="BJ158" s="113">
        <v>0</v>
      </c>
      <c r="BK158" s="113">
        <v>0</v>
      </c>
      <c r="BL158" s="113">
        <v>0</v>
      </c>
      <c r="BM158" s="113">
        <v>0</v>
      </c>
      <c r="BN158" s="113">
        <v>0</v>
      </c>
      <c r="BO158" s="113">
        <v>0</v>
      </c>
      <c r="BP158" s="113">
        <v>0</v>
      </c>
      <c r="BQ158" s="113">
        <v>0</v>
      </c>
      <c r="BR158" s="113">
        <v>0</v>
      </c>
      <c r="BS158" s="113">
        <v>0</v>
      </c>
      <c r="BT158" s="113">
        <v>0</v>
      </c>
      <c r="BU158" s="113">
        <v>0</v>
      </c>
      <c r="BV158" s="113">
        <v>0</v>
      </c>
      <c r="BW158" s="113">
        <v>0</v>
      </c>
      <c r="BX158" s="113">
        <v>0</v>
      </c>
      <c r="BY158" s="113">
        <v>0</v>
      </c>
      <c r="BZ158" s="113">
        <v>0</v>
      </c>
      <c r="CA158" s="113">
        <v>0</v>
      </c>
      <c r="CB158" s="113">
        <v>0</v>
      </c>
      <c r="CC158" s="113">
        <v>0</v>
      </c>
      <c r="CD158" s="113">
        <v>0</v>
      </c>
      <c r="CE158" s="113">
        <v>0</v>
      </c>
      <c r="CF158" s="113">
        <v>0</v>
      </c>
      <c r="CG158" s="113">
        <v>0</v>
      </c>
      <c r="CH158" s="113">
        <v>0</v>
      </c>
      <c r="CI158" s="113">
        <v>0</v>
      </c>
      <c r="CJ158" s="113">
        <v>0</v>
      </c>
      <c r="CK158" s="113">
        <v>0</v>
      </c>
      <c r="CL158" s="113">
        <v>0</v>
      </c>
      <c r="CM158" s="113">
        <v>0</v>
      </c>
      <c r="CN158" s="113">
        <v>0</v>
      </c>
      <c r="CO158" s="113">
        <v>0</v>
      </c>
      <c r="CP158" s="113">
        <v>0</v>
      </c>
      <c r="CQ158" s="113">
        <v>0</v>
      </c>
      <c r="CR158" s="113">
        <v>0</v>
      </c>
      <c r="CS158" s="113">
        <v>0</v>
      </c>
      <c r="CT158" s="113">
        <v>0</v>
      </c>
      <c r="CU158" s="113">
        <v>0</v>
      </c>
      <c r="CV158" s="113">
        <v>0</v>
      </c>
      <c r="CW158" s="113">
        <v>0</v>
      </c>
      <c r="CX158" s="113">
        <v>0</v>
      </c>
      <c r="CY158" s="113">
        <v>0</v>
      </c>
      <c r="CZ158" s="113">
        <v>0</v>
      </c>
      <c r="DA158" s="113">
        <v>0</v>
      </c>
      <c r="DB158" s="113">
        <v>0</v>
      </c>
      <c r="DC158" s="113">
        <v>0</v>
      </c>
      <c r="DD158" s="113">
        <v>0</v>
      </c>
      <c r="DE158" s="113">
        <v>0</v>
      </c>
      <c r="DF158" s="113">
        <v>0</v>
      </c>
      <c r="DG158" s="113">
        <v>0</v>
      </c>
      <c r="DH158" s="113">
        <v>0</v>
      </c>
      <c r="DI158" s="113">
        <v>0</v>
      </c>
      <c r="DJ158" s="113">
        <v>0</v>
      </c>
      <c r="DK158" s="113">
        <v>0</v>
      </c>
      <c r="DL158" s="113">
        <v>0</v>
      </c>
      <c r="DM158" s="113">
        <v>0</v>
      </c>
      <c r="DN158" s="113">
        <v>0</v>
      </c>
      <c r="DO158" s="113">
        <v>0</v>
      </c>
      <c r="DP158" s="113">
        <v>0</v>
      </c>
      <c r="DQ158" s="113">
        <v>125</v>
      </c>
      <c r="DR158" s="113">
        <v>0</v>
      </c>
      <c r="DS158" s="113">
        <v>0</v>
      </c>
      <c r="DT158" s="113">
        <v>0</v>
      </c>
      <c r="DU158" s="113">
        <v>0</v>
      </c>
      <c r="DV158" s="113">
        <v>0</v>
      </c>
      <c r="DW158" s="113">
        <v>0</v>
      </c>
      <c r="DX158" s="113">
        <v>0</v>
      </c>
      <c r="DY158" s="113">
        <v>0</v>
      </c>
      <c r="DZ158" s="113">
        <v>0</v>
      </c>
      <c r="EA158" s="113">
        <v>0</v>
      </c>
      <c r="EB158" s="113">
        <v>0</v>
      </c>
      <c r="EC158" s="113">
        <v>0</v>
      </c>
      <c r="ED158" s="113">
        <v>0</v>
      </c>
      <c r="EE158" s="113">
        <v>0</v>
      </c>
      <c r="EF158" s="113">
        <v>0</v>
      </c>
      <c r="EG158" s="113">
        <v>0</v>
      </c>
      <c r="EH158" s="113">
        <v>0</v>
      </c>
      <c r="EI158" s="113">
        <v>0</v>
      </c>
      <c r="EJ158" s="113">
        <v>0</v>
      </c>
      <c r="EK158" s="113">
        <v>0</v>
      </c>
      <c r="EL158" s="113">
        <v>0</v>
      </c>
      <c r="EM158" s="113">
        <v>0</v>
      </c>
      <c r="EN158" s="113">
        <v>0</v>
      </c>
    </row>
    <row r="159" spans="1:144">
      <c r="A159" s="103" t="s">
        <v>2293</v>
      </c>
      <c r="B159" s="113">
        <v>101.886</v>
      </c>
      <c r="C159" s="113">
        <v>116</v>
      </c>
      <c r="D159" s="113">
        <v>111</v>
      </c>
      <c r="E159" s="113">
        <v>188</v>
      </c>
      <c r="F159" s="113">
        <v>190</v>
      </c>
      <c r="G159" s="113">
        <v>371</v>
      </c>
      <c r="H159" s="113">
        <v>669</v>
      </c>
      <c r="I159" s="113">
        <v>809</v>
      </c>
      <c r="J159" s="113">
        <v>1602</v>
      </c>
      <c r="K159" s="113">
        <v>2714</v>
      </c>
      <c r="L159" s="113">
        <v>1461</v>
      </c>
      <c r="M159" s="113">
        <v>2449</v>
      </c>
      <c r="N159" s="113">
        <v>1716</v>
      </c>
      <c r="O159" s="113">
        <v>1921</v>
      </c>
      <c r="P159" s="113">
        <v>3607</v>
      </c>
      <c r="Q159" s="113">
        <v>6900</v>
      </c>
      <c r="R159" s="113">
        <v>3622</v>
      </c>
      <c r="S159" s="113">
        <v>3659</v>
      </c>
      <c r="T159" s="113">
        <v>3122</v>
      </c>
      <c r="U159" s="113">
        <v>2898</v>
      </c>
      <c r="V159" s="113">
        <v>3483</v>
      </c>
      <c r="W159" s="113">
        <v>3134</v>
      </c>
      <c r="X159" s="113">
        <v>3552</v>
      </c>
      <c r="Y159" s="113">
        <v>6781</v>
      </c>
      <c r="Z159" s="113">
        <v>6555</v>
      </c>
      <c r="AA159" s="113">
        <v>5924</v>
      </c>
      <c r="AB159" s="113">
        <v>6148</v>
      </c>
      <c r="AC159" s="113">
        <v>7169</v>
      </c>
      <c r="AD159" s="113">
        <v>7519</v>
      </c>
      <c r="AE159" s="113">
        <v>7124</v>
      </c>
      <c r="AG159" s="103" t="s">
        <v>2293</v>
      </c>
      <c r="AH159" s="113">
        <v>0</v>
      </c>
      <c r="AI159" s="113">
        <v>0</v>
      </c>
      <c r="AJ159" s="113">
        <v>0</v>
      </c>
      <c r="AK159" s="113">
        <v>111</v>
      </c>
      <c r="AL159" s="113">
        <v>0</v>
      </c>
      <c r="AM159" s="113">
        <v>188</v>
      </c>
      <c r="AN159" s="113">
        <v>328</v>
      </c>
      <c r="AO159" s="113">
        <v>188</v>
      </c>
      <c r="AP159" s="113">
        <v>200</v>
      </c>
      <c r="AQ159" s="113">
        <v>191</v>
      </c>
      <c r="AR159" s="113">
        <v>187</v>
      </c>
      <c r="AS159" s="113">
        <v>190</v>
      </c>
      <c r="AT159" s="113">
        <v>206</v>
      </c>
      <c r="AU159" s="113">
        <v>267</v>
      </c>
      <c r="AV159" s="113">
        <v>309</v>
      </c>
      <c r="AW159" s="113">
        <v>371</v>
      </c>
      <c r="AX159" s="113">
        <v>415</v>
      </c>
      <c r="AY159" s="113">
        <v>514</v>
      </c>
      <c r="AZ159" s="113">
        <v>658</v>
      </c>
      <c r="BA159" s="113">
        <v>669</v>
      </c>
      <c r="BB159" s="113">
        <v>723</v>
      </c>
      <c r="BC159" s="113">
        <v>712</v>
      </c>
      <c r="BD159" s="113">
        <v>746</v>
      </c>
      <c r="BE159" s="113">
        <v>809</v>
      </c>
      <c r="BF159" s="113">
        <v>916</v>
      </c>
      <c r="BG159" s="113">
        <v>896</v>
      </c>
      <c r="BH159" s="113">
        <v>992</v>
      </c>
      <c r="BI159" s="113">
        <v>1602</v>
      </c>
      <c r="BJ159" s="113">
        <v>1757</v>
      </c>
      <c r="BK159" s="113">
        <v>2376</v>
      </c>
      <c r="BL159" s="113">
        <v>3267</v>
      </c>
      <c r="BM159" s="113">
        <v>2714</v>
      </c>
      <c r="BN159" s="113">
        <v>2577</v>
      </c>
      <c r="BO159" s="113">
        <v>2019</v>
      </c>
      <c r="BP159" s="113">
        <v>1935</v>
      </c>
      <c r="BQ159" s="113">
        <v>1461</v>
      </c>
      <c r="BR159" s="113">
        <v>3153</v>
      </c>
      <c r="BS159" s="113">
        <v>1743</v>
      </c>
      <c r="BT159" s="113">
        <v>1839</v>
      </c>
      <c r="BU159" s="113">
        <v>2449</v>
      </c>
      <c r="BV159" s="113">
        <v>1569</v>
      </c>
      <c r="BW159" s="113">
        <v>1451</v>
      </c>
      <c r="BX159" s="113">
        <v>1378</v>
      </c>
      <c r="BY159" s="113">
        <v>1716</v>
      </c>
      <c r="BZ159" s="113">
        <v>3668</v>
      </c>
      <c r="CA159" s="113">
        <v>1695</v>
      </c>
      <c r="CB159" s="113">
        <v>4224</v>
      </c>
      <c r="CC159" s="113">
        <v>1921</v>
      </c>
      <c r="CD159" s="113">
        <v>3849</v>
      </c>
      <c r="CE159" s="113">
        <v>2601</v>
      </c>
      <c r="CF159" s="113">
        <v>3460</v>
      </c>
      <c r="CG159" s="113">
        <v>3607</v>
      </c>
      <c r="CH159" s="113">
        <v>3703</v>
      </c>
      <c r="CI159" s="113">
        <v>3116</v>
      </c>
      <c r="CJ159" s="113">
        <v>4477</v>
      </c>
      <c r="CK159" s="113">
        <v>6900</v>
      </c>
      <c r="CL159" s="113">
        <v>7861</v>
      </c>
      <c r="CM159" s="113">
        <v>6352</v>
      </c>
      <c r="CN159" s="113">
        <v>6425</v>
      </c>
      <c r="CO159" s="113">
        <v>3622</v>
      </c>
      <c r="CP159" s="113">
        <v>6545</v>
      </c>
      <c r="CQ159" s="113">
        <v>5385</v>
      </c>
      <c r="CR159" s="113">
        <v>6851</v>
      </c>
      <c r="CS159" s="113">
        <v>3659</v>
      </c>
      <c r="CT159" s="113">
        <v>3520</v>
      </c>
      <c r="CU159" s="113">
        <v>3558</v>
      </c>
      <c r="CV159" s="113">
        <v>2933</v>
      </c>
      <c r="CW159" s="113">
        <v>3122</v>
      </c>
      <c r="CX159" s="113">
        <v>3052</v>
      </c>
      <c r="CY159" s="113">
        <v>2879</v>
      </c>
      <c r="CZ159" s="113">
        <v>3139</v>
      </c>
      <c r="DA159" s="113">
        <v>2898</v>
      </c>
      <c r="DB159" s="113">
        <v>3139</v>
      </c>
      <c r="DC159" s="113">
        <v>3184</v>
      </c>
      <c r="DD159" s="113">
        <v>3320</v>
      </c>
      <c r="DE159" s="113">
        <v>3483</v>
      </c>
      <c r="DF159" s="113">
        <v>3216</v>
      </c>
      <c r="DG159" s="113">
        <v>3035</v>
      </c>
      <c r="DH159" s="113">
        <v>3011</v>
      </c>
      <c r="DI159" s="113">
        <v>3134</v>
      </c>
      <c r="DJ159" s="113">
        <v>3303</v>
      </c>
      <c r="DK159" s="113">
        <v>3357</v>
      </c>
      <c r="DL159" s="113">
        <v>3907</v>
      </c>
      <c r="DM159" s="113">
        <v>3552</v>
      </c>
      <c r="DN159" s="113">
        <v>3614</v>
      </c>
      <c r="DO159" s="113">
        <v>3920</v>
      </c>
      <c r="DP159" s="113">
        <v>4275</v>
      </c>
      <c r="DQ159" s="113">
        <v>6781</v>
      </c>
      <c r="DR159" s="113">
        <v>7130</v>
      </c>
      <c r="DS159" s="113">
        <v>6623</v>
      </c>
      <c r="DT159" s="113">
        <v>6846</v>
      </c>
      <c r="DU159" s="113">
        <v>6555</v>
      </c>
      <c r="DV159" s="113">
        <v>6207</v>
      </c>
      <c r="DW159" s="113">
        <v>6447</v>
      </c>
      <c r="DX159" s="113">
        <v>5887</v>
      </c>
      <c r="DY159" s="113">
        <v>5924</v>
      </c>
      <c r="DZ159" s="113">
        <v>7091</v>
      </c>
      <c r="EA159" s="113">
        <v>6632</v>
      </c>
      <c r="EB159" s="113">
        <v>5939</v>
      </c>
      <c r="EC159" s="113">
        <v>6148</v>
      </c>
      <c r="ED159" s="113">
        <v>6122</v>
      </c>
      <c r="EE159" s="113">
        <v>6288</v>
      </c>
      <c r="EF159" s="113">
        <v>5937</v>
      </c>
      <c r="EG159" s="113">
        <v>7169</v>
      </c>
      <c r="EH159" s="113">
        <v>6378</v>
      </c>
      <c r="EI159" s="113">
        <v>6631</v>
      </c>
      <c r="EJ159" s="113">
        <v>6094</v>
      </c>
      <c r="EK159" s="113">
        <v>7519</v>
      </c>
      <c r="EL159" s="113">
        <v>6552</v>
      </c>
      <c r="EM159" s="113">
        <v>7051</v>
      </c>
      <c r="EN159" s="113">
        <v>7124</v>
      </c>
    </row>
    <row r="160" spans="1:144" ht="10.5">
      <c r="A160" s="112" t="s">
        <v>2294</v>
      </c>
      <c r="B160" s="114">
        <v>293.35300000000001</v>
      </c>
      <c r="C160" s="114">
        <v>447</v>
      </c>
      <c r="D160" s="114">
        <v>563</v>
      </c>
      <c r="E160" s="114">
        <v>913</v>
      </c>
      <c r="F160" s="114">
        <v>1347</v>
      </c>
      <c r="G160" s="114">
        <v>2425</v>
      </c>
      <c r="H160" s="114">
        <v>3610</v>
      </c>
      <c r="I160" s="114">
        <v>5730</v>
      </c>
      <c r="J160" s="114">
        <v>8802</v>
      </c>
      <c r="K160" s="114">
        <v>9755</v>
      </c>
      <c r="L160" s="114">
        <v>9254</v>
      </c>
      <c r="M160" s="114">
        <v>12744</v>
      </c>
      <c r="N160" s="114">
        <v>13974</v>
      </c>
      <c r="O160" s="114">
        <v>14969</v>
      </c>
      <c r="P160" s="114">
        <v>16877</v>
      </c>
      <c r="Q160" s="114">
        <v>22442</v>
      </c>
      <c r="R160" s="114">
        <v>23754</v>
      </c>
      <c r="S160" s="114">
        <v>29886</v>
      </c>
      <c r="T160" s="114">
        <v>27034</v>
      </c>
      <c r="U160" s="114">
        <v>26147</v>
      </c>
      <c r="V160" s="114">
        <v>28774</v>
      </c>
      <c r="W160" s="114">
        <v>32688</v>
      </c>
      <c r="X160" s="114">
        <v>37417</v>
      </c>
      <c r="Y160" s="114">
        <v>45625</v>
      </c>
      <c r="Z160" s="114">
        <v>49647</v>
      </c>
      <c r="AA160" s="114">
        <v>59357</v>
      </c>
      <c r="AB160" s="114">
        <v>55745</v>
      </c>
      <c r="AC160" s="114">
        <v>58488</v>
      </c>
      <c r="AD160" s="114">
        <v>69420</v>
      </c>
      <c r="AE160" s="114">
        <v>58707</v>
      </c>
      <c r="AG160" s="112" t="s">
        <v>2294</v>
      </c>
      <c r="AH160" s="114">
        <v>0</v>
      </c>
      <c r="AI160" s="114">
        <v>0</v>
      </c>
      <c r="AJ160" s="114">
        <v>0</v>
      </c>
      <c r="AK160" s="114">
        <v>563</v>
      </c>
      <c r="AL160" s="114">
        <v>0</v>
      </c>
      <c r="AM160" s="114">
        <v>740</v>
      </c>
      <c r="AN160" s="114">
        <v>914</v>
      </c>
      <c r="AO160" s="114">
        <v>913</v>
      </c>
      <c r="AP160" s="114">
        <v>1004</v>
      </c>
      <c r="AQ160" s="114">
        <v>1096</v>
      </c>
      <c r="AR160" s="114">
        <v>1185</v>
      </c>
      <c r="AS160" s="114">
        <v>1347</v>
      </c>
      <c r="AT160" s="114">
        <v>1759</v>
      </c>
      <c r="AU160" s="114">
        <v>2241</v>
      </c>
      <c r="AV160" s="114">
        <v>2264</v>
      </c>
      <c r="AW160" s="114">
        <v>2425</v>
      </c>
      <c r="AX160" s="114">
        <v>2663</v>
      </c>
      <c r="AY160" s="114">
        <v>3144</v>
      </c>
      <c r="AZ160" s="114">
        <v>3479</v>
      </c>
      <c r="BA160" s="114">
        <v>3610</v>
      </c>
      <c r="BB160" s="114">
        <v>3902</v>
      </c>
      <c r="BC160" s="114">
        <v>4496</v>
      </c>
      <c r="BD160" s="114">
        <v>4869</v>
      </c>
      <c r="BE160" s="114">
        <v>5730</v>
      </c>
      <c r="BF160" s="114">
        <v>6445</v>
      </c>
      <c r="BG160" s="114">
        <v>7471</v>
      </c>
      <c r="BH160" s="114">
        <v>7839</v>
      </c>
      <c r="BI160" s="114">
        <v>8802</v>
      </c>
      <c r="BJ160" s="114">
        <v>8332</v>
      </c>
      <c r="BK160" s="114">
        <v>10504</v>
      </c>
      <c r="BL160" s="114">
        <v>11103</v>
      </c>
      <c r="BM160" s="114">
        <v>9755</v>
      </c>
      <c r="BN160" s="114">
        <v>9306</v>
      </c>
      <c r="BO160" s="114">
        <v>9625</v>
      </c>
      <c r="BP160" s="114">
        <v>9740</v>
      </c>
      <c r="BQ160" s="114">
        <v>9254</v>
      </c>
      <c r="BR160" s="114">
        <v>12862</v>
      </c>
      <c r="BS160" s="114">
        <v>11567</v>
      </c>
      <c r="BT160" s="114">
        <v>11842</v>
      </c>
      <c r="BU160" s="114">
        <v>12744</v>
      </c>
      <c r="BV160" s="114">
        <v>13757</v>
      </c>
      <c r="BW160" s="114">
        <v>13617</v>
      </c>
      <c r="BX160" s="114">
        <v>13161</v>
      </c>
      <c r="BY160" s="114">
        <v>13974</v>
      </c>
      <c r="BZ160" s="114">
        <v>15098</v>
      </c>
      <c r="CA160" s="114">
        <v>13927</v>
      </c>
      <c r="CB160" s="114">
        <v>15984</v>
      </c>
      <c r="CC160" s="114">
        <v>14969</v>
      </c>
      <c r="CD160" s="114">
        <v>15811</v>
      </c>
      <c r="CE160" s="114">
        <v>15045</v>
      </c>
      <c r="CF160" s="114">
        <v>16139</v>
      </c>
      <c r="CG160" s="114">
        <v>16877</v>
      </c>
      <c r="CH160" s="114">
        <v>17022</v>
      </c>
      <c r="CI160" s="114">
        <v>16747</v>
      </c>
      <c r="CJ160" s="114">
        <v>18367</v>
      </c>
      <c r="CK160" s="114">
        <v>22442</v>
      </c>
      <c r="CL160" s="114">
        <v>21972</v>
      </c>
      <c r="CM160" s="114">
        <v>22215</v>
      </c>
      <c r="CN160" s="114">
        <v>21627</v>
      </c>
      <c r="CO160" s="114">
        <v>23754</v>
      </c>
      <c r="CP160" s="114">
        <v>22744</v>
      </c>
      <c r="CQ160" s="114">
        <v>22058</v>
      </c>
      <c r="CR160" s="114">
        <v>27028</v>
      </c>
      <c r="CS160" s="114">
        <v>29886</v>
      </c>
      <c r="CT160" s="114">
        <v>24383</v>
      </c>
      <c r="CU160" s="114">
        <v>23710</v>
      </c>
      <c r="CV160" s="114">
        <v>23823</v>
      </c>
      <c r="CW160" s="114">
        <v>27034</v>
      </c>
      <c r="CX160" s="114">
        <v>28761</v>
      </c>
      <c r="CY160" s="114">
        <v>25715</v>
      </c>
      <c r="CZ160" s="114">
        <v>26424</v>
      </c>
      <c r="DA160" s="114">
        <v>26147</v>
      </c>
      <c r="DB160" s="114">
        <v>25857</v>
      </c>
      <c r="DC160" s="114">
        <v>24312</v>
      </c>
      <c r="DD160" s="114">
        <v>24042</v>
      </c>
      <c r="DE160" s="114">
        <v>28774</v>
      </c>
      <c r="DF160" s="114">
        <v>25543</v>
      </c>
      <c r="DG160" s="114">
        <v>25373</v>
      </c>
      <c r="DH160" s="114">
        <v>26170</v>
      </c>
      <c r="DI160" s="114">
        <v>32688</v>
      </c>
      <c r="DJ160" s="114">
        <v>31402</v>
      </c>
      <c r="DK160" s="114">
        <v>31910</v>
      </c>
      <c r="DL160" s="114">
        <v>31929</v>
      </c>
      <c r="DM160" s="114">
        <v>37417</v>
      </c>
      <c r="DN160" s="114">
        <v>34623</v>
      </c>
      <c r="DO160" s="114">
        <v>33742</v>
      </c>
      <c r="DP160" s="114">
        <v>33903</v>
      </c>
      <c r="DQ160" s="114">
        <v>45625</v>
      </c>
      <c r="DR160" s="114">
        <v>44694</v>
      </c>
      <c r="DS160" s="114">
        <v>47415</v>
      </c>
      <c r="DT160" s="114">
        <v>40748</v>
      </c>
      <c r="DU160" s="114">
        <v>49647</v>
      </c>
      <c r="DV160" s="114">
        <v>49399</v>
      </c>
      <c r="DW160" s="114">
        <v>42643</v>
      </c>
      <c r="DX160" s="114">
        <v>44354</v>
      </c>
      <c r="DY160" s="114">
        <v>59357</v>
      </c>
      <c r="DZ160" s="114">
        <v>58810</v>
      </c>
      <c r="EA160" s="114">
        <v>70787</v>
      </c>
      <c r="EB160" s="114">
        <v>52005</v>
      </c>
      <c r="EC160" s="114">
        <v>55745</v>
      </c>
      <c r="ED160" s="114">
        <v>51615</v>
      </c>
      <c r="EE160" s="114">
        <v>58099</v>
      </c>
      <c r="EF160" s="114">
        <v>46133</v>
      </c>
      <c r="EG160" s="114">
        <v>58488</v>
      </c>
      <c r="EH160" s="114">
        <v>56277</v>
      </c>
      <c r="EI160" s="114">
        <v>50318</v>
      </c>
      <c r="EJ160" s="114">
        <v>53861</v>
      </c>
      <c r="EK160" s="114">
        <v>69420</v>
      </c>
      <c r="EL160" s="114">
        <v>58118</v>
      </c>
      <c r="EM160" s="114">
        <v>59640</v>
      </c>
      <c r="EN160" s="114">
        <v>58707</v>
      </c>
    </row>
    <row r="161" spans="1:144">
      <c r="A161" s="103"/>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G161" s="103"/>
      <c r="AH161" s="103"/>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c r="CR161" s="103"/>
      <c r="CS161" s="103"/>
      <c r="CT161" s="103"/>
      <c r="CU161" s="103"/>
      <c r="CV161" s="103"/>
      <c r="CW161" s="103"/>
      <c r="CX161" s="103"/>
      <c r="CY161" s="103"/>
      <c r="CZ161" s="103"/>
      <c r="DA161" s="103"/>
      <c r="DB161" s="103"/>
      <c r="DC161" s="103"/>
      <c r="DD161" s="103"/>
      <c r="DE161" s="103"/>
      <c r="DF161" s="103"/>
      <c r="DG161" s="103"/>
      <c r="DH161" s="103"/>
      <c r="DI161" s="103"/>
      <c r="DJ161" s="103"/>
      <c r="DK161" s="103"/>
      <c r="DL161" s="103"/>
      <c r="DM161" s="103"/>
      <c r="DN161" s="103"/>
      <c r="DO161" s="103"/>
      <c r="DP161" s="103"/>
      <c r="DQ161" s="103"/>
      <c r="DR161" s="103"/>
      <c r="DS161" s="103"/>
      <c r="DT161" s="103"/>
      <c r="DU161" s="103"/>
      <c r="DV161" s="103"/>
      <c r="DW161" s="103"/>
      <c r="DX161" s="103"/>
      <c r="DY161" s="103"/>
      <c r="DZ161" s="103"/>
      <c r="EA161" s="103"/>
      <c r="EB161" s="103"/>
      <c r="EC161" s="103"/>
      <c r="ED161" s="103"/>
      <c r="EE161" s="103"/>
      <c r="EF161" s="103"/>
      <c r="EG161" s="103"/>
      <c r="EH161" s="103"/>
      <c r="EI161" s="103"/>
      <c r="EJ161" s="103"/>
      <c r="EK161" s="103"/>
      <c r="EL161" s="103"/>
      <c r="EM161" s="103"/>
      <c r="EN161" s="103"/>
    </row>
    <row r="162" spans="1:144">
      <c r="A162" s="103" t="s">
        <v>2295</v>
      </c>
      <c r="B162" s="113">
        <v>0</v>
      </c>
      <c r="C162" s="113">
        <v>0</v>
      </c>
      <c r="D162" s="113">
        <v>0</v>
      </c>
      <c r="E162" s="113">
        <v>0</v>
      </c>
      <c r="F162" s="113">
        <v>0</v>
      </c>
      <c r="G162" s="113">
        <v>0</v>
      </c>
      <c r="H162" s="113">
        <v>0</v>
      </c>
      <c r="I162" s="113">
        <v>0</v>
      </c>
      <c r="J162" s="113">
        <v>0</v>
      </c>
      <c r="K162" s="113">
        <v>0</v>
      </c>
      <c r="L162" s="113">
        <v>0</v>
      </c>
      <c r="M162" s="113">
        <v>0</v>
      </c>
      <c r="N162" s="113">
        <v>0</v>
      </c>
      <c r="O162" s="113">
        <v>0</v>
      </c>
      <c r="P162" s="113">
        <v>0</v>
      </c>
      <c r="Q162" s="113">
        <v>0</v>
      </c>
      <c r="R162" s="113">
        <v>0</v>
      </c>
      <c r="S162" s="113">
        <v>0</v>
      </c>
      <c r="T162" s="113">
        <v>3746</v>
      </c>
      <c r="U162" s="113">
        <v>4939</v>
      </c>
      <c r="V162" s="113">
        <v>11921</v>
      </c>
      <c r="W162" s="113">
        <v>10713</v>
      </c>
      <c r="X162" s="113">
        <v>12601</v>
      </c>
      <c r="Y162" s="113">
        <v>20645</v>
      </c>
      <c r="Z162" s="113">
        <v>27808</v>
      </c>
      <c r="AA162" s="113">
        <v>40557</v>
      </c>
      <c r="AB162" s="113">
        <v>76073</v>
      </c>
      <c r="AC162" s="113">
        <v>72242</v>
      </c>
      <c r="AD162" s="113">
        <v>66662</v>
      </c>
      <c r="AE162" s="113">
        <v>62862</v>
      </c>
      <c r="AG162" s="103" t="s">
        <v>2295</v>
      </c>
      <c r="AH162" s="113">
        <v>0</v>
      </c>
      <c r="AI162" s="113">
        <v>0</v>
      </c>
      <c r="AJ162" s="113">
        <v>0</v>
      </c>
      <c r="AK162" s="113">
        <v>0</v>
      </c>
      <c r="AL162" s="113">
        <v>0</v>
      </c>
      <c r="AM162" s="113">
        <v>0</v>
      </c>
      <c r="AN162" s="113">
        <v>0</v>
      </c>
      <c r="AO162" s="113">
        <v>0</v>
      </c>
      <c r="AP162" s="113">
        <v>0</v>
      </c>
      <c r="AQ162" s="113">
        <v>0</v>
      </c>
      <c r="AR162" s="113">
        <v>0</v>
      </c>
      <c r="AS162" s="113">
        <v>0</v>
      </c>
      <c r="AT162" s="113">
        <v>0</v>
      </c>
      <c r="AU162" s="113">
        <v>0</v>
      </c>
      <c r="AV162" s="113">
        <v>0</v>
      </c>
      <c r="AW162" s="113">
        <v>0</v>
      </c>
      <c r="AX162" s="113">
        <v>0</v>
      </c>
      <c r="AY162" s="113">
        <v>0</v>
      </c>
      <c r="AZ162" s="113">
        <v>0</v>
      </c>
      <c r="BA162" s="113">
        <v>0</v>
      </c>
      <c r="BB162" s="113">
        <v>0</v>
      </c>
      <c r="BC162" s="113">
        <v>0</v>
      </c>
      <c r="BD162" s="113">
        <v>0</v>
      </c>
      <c r="BE162" s="113">
        <v>0</v>
      </c>
      <c r="BF162" s="113">
        <v>0</v>
      </c>
      <c r="BG162" s="113">
        <v>0</v>
      </c>
      <c r="BH162" s="113">
        <v>0</v>
      </c>
      <c r="BI162" s="113">
        <v>0</v>
      </c>
      <c r="BJ162" s="113">
        <v>0</v>
      </c>
      <c r="BK162" s="113">
        <v>0</v>
      </c>
      <c r="BL162" s="113">
        <v>0</v>
      </c>
      <c r="BM162" s="113">
        <v>0</v>
      </c>
      <c r="BN162" s="113">
        <v>0</v>
      </c>
      <c r="BO162" s="113">
        <v>0</v>
      </c>
      <c r="BP162" s="113">
        <v>0</v>
      </c>
      <c r="BQ162" s="113">
        <v>0</v>
      </c>
      <c r="BR162" s="113">
        <v>0</v>
      </c>
      <c r="BS162" s="113">
        <v>0</v>
      </c>
      <c r="BT162" s="113">
        <v>0</v>
      </c>
      <c r="BU162" s="113">
        <v>0</v>
      </c>
      <c r="BV162" s="113">
        <v>0</v>
      </c>
      <c r="BW162" s="113">
        <v>0</v>
      </c>
      <c r="BX162" s="113">
        <v>0</v>
      </c>
      <c r="BY162" s="113">
        <v>0</v>
      </c>
      <c r="BZ162" s="113">
        <v>0</v>
      </c>
      <c r="CA162" s="113">
        <v>0</v>
      </c>
      <c r="CB162" s="113">
        <v>0</v>
      </c>
      <c r="CC162" s="113">
        <v>0</v>
      </c>
      <c r="CD162" s="113">
        <v>0</v>
      </c>
      <c r="CE162" s="113">
        <v>0</v>
      </c>
      <c r="CF162" s="113">
        <v>0</v>
      </c>
      <c r="CG162" s="113">
        <v>0</v>
      </c>
      <c r="CH162" s="113">
        <v>0</v>
      </c>
      <c r="CI162" s="113">
        <v>0</v>
      </c>
      <c r="CJ162" s="113">
        <v>0</v>
      </c>
      <c r="CK162" s="113">
        <v>0</v>
      </c>
      <c r="CL162" s="113">
        <v>0</v>
      </c>
      <c r="CM162" s="113">
        <v>0</v>
      </c>
      <c r="CN162" s="113">
        <v>0</v>
      </c>
      <c r="CO162" s="113">
        <v>0</v>
      </c>
      <c r="CP162" s="113">
        <v>0</v>
      </c>
      <c r="CQ162" s="113">
        <v>0</v>
      </c>
      <c r="CR162" s="113">
        <v>0</v>
      </c>
      <c r="CS162" s="113">
        <v>0</v>
      </c>
      <c r="CT162" s="113">
        <v>0</v>
      </c>
      <c r="CU162" s="113">
        <v>0</v>
      </c>
      <c r="CV162" s="113">
        <v>0</v>
      </c>
      <c r="CW162" s="113">
        <v>3746</v>
      </c>
      <c r="CX162" s="113">
        <v>3746</v>
      </c>
      <c r="CY162" s="113">
        <v>3746</v>
      </c>
      <c r="CZ162" s="113">
        <v>3746</v>
      </c>
      <c r="DA162" s="113">
        <v>4939</v>
      </c>
      <c r="DB162" s="113">
        <v>9665</v>
      </c>
      <c r="DC162" s="113">
        <v>9671</v>
      </c>
      <c r="DD162" s="113">
        <v>11915</v>
      </c>
      <c r="DE162" s="113">
        <v>11921</v>
      </c>
      <c r="DF162" s="113">
        <v>11927</v>
      </c>
      <c r="DG162" s="113">
        <v>11932</v>
      </c>
      <c r="DH162" s="113">
        <v>11938</v>
      </c>
      <c r="DI162" s="113">
        <v>10713</v>
      </c>
      <c r="DJ162" s="113">
        <v>9714</v>
      </c>
      <c r="DK162" s="113">
        <v>11947</v>
      </c>
      <c r="DL162" s="113">
        <v>11949</v>
      </c>
      <c r="DM162" s="113">
        <v>12601</v>
      </c>
      <c r="DN162" s="113">
        <v>12632</v>
      </c>
      <c r="DO162" s="113">
        <v>20676</v>
      </c>
      <c r="DP162" s="113">
        <v>20679</v>
      </c>
      <c r="DQ162" s="113">
        <v>20645</v>
      </c>
      <c r="DR162" s="113">
        <v>18472</v>
      </c>
      <c r="DS162" s="113">
        <v>18260</v>
      </c>
      <c r="DT162" s="113">
        <v>27644</v>
      </c>
      <c r="DU162" s="113">
        <v>27808</v>
      </c>
      <c r="DV162" s="113">
        <v>27819</v>
      </c>
      <c r="DW162" s="113">
        <v>40679</v>
      </c>
      <c r="DX162" s="113">
        <v>40896</v>
      </c>
      <c r="DY162" s="113">
        <v>40557</v>
      </c>
      <c r="DZ162" s="113">
        <v>60154</v>
      </c>
      <c r="EA162" s="113">
        <v>59306</v>
      </c>
      <c r="EB162" s="113">
        <v>76222</v>
      </c>
      <c r="EC162" s="113">
        <v>76073</v>
      </c>
      <c r="ED162" s="113">
        <v>76255</v>
      </c>
      <c r="EE162" s="113">
        <v>73348</v>
      </c>
      <c r="EF162" s="113">
        <v>73480</v>
      </c>
      <c r="EG162" s="113">
        <v>72242</v>
      </c>
      <c r="EH162" s="113">
        <v>69733</v>
      </c>
      <c r="EI162" s="113">
        <v>69653</v>
      </c>
      <c r="EJ162" s="113">
        <v>66585</v>
      </c>
      <c r="EK162" s="113">
        <v>66662</v>
      </c>
      <c r="EL162" s="113">
        <v>66478</v>
      </c>
      <c r="EM162" s="113">
        <v>63361</v>
      </c>
      <c r="EN162" s="113">
        <v>62862</v>
      </c>
    </row>
    <row r="163" spans="1:144">
      <c r="A163" s="103" t="s">
        <v>2296</v>
      </c>
      <c r="B163" s="113">
        <v>0</v>
      </c>
      <c r="C163" s="113">
        <v>0</v>
      </c>
      <c r="D163" s="113">
        <v>0</v>
      </c>
      <c r="E163" s="113">
        <v>0</v>
      </c>
      <c r="F163" s="113">
        <v>0</v>
      </c>
      <c r="G163" s="113">
        <v>0</v>
      </c>
      <c r="H163" s="113">
        <v>0</v>
      </c>
      <c r="I163" s="113">
        <v>0</v>
      </c>
      <c r="J163" s="113">
        <v>0</v>
      </c>
      <c r="K163" s="113">
        <v>0</v>
      </c>
      <c r="L163" s="113">
        <v>0</v>
      </c>
      <c r="M163" s="113">
        <v>0</v>
      </c>
      <c r="N163" s="113">
        <v>0</v>
      </c>
      <c r="O163" s="113">
        <v>0</v>
      </c>
      <c r="P163" s="113">
        <v>0</v>
      </c>
      <c r="Q163" s="113">
        <v>0</v>
      </c>
      <c r="R163" s="113">
        <v>0</v>
      </c>
      <c r="S163" s="113">
        <v>0</v>
      </c>
      <c r="T163" s="113">
        <v>0</v>
      </c>
      <c r="U163" s="113">
        <v>0</v>
      </c>
      <c r="V163" s="113">
        <v>0</v>
      </c>
      <c r="W163" s="113">
        <v>0</v>
      </c>
      <c r="X163" s="113">
        <v>0</v>
      </c>
      <c r="Y163" s="113">
        <v>0</v>
      </c>
      <c r="Z163" s="113">
        <v>0</v>
      </c>
      <c r="AA163" s="113">
        <v>761</v>
      </c>
      <c r="AB163" s="113">
        <v>7797</v>
      </c>
      <c r="AC163" s="113">
        <v>9693</v>
      </c>
      <c r="AD163" s="113">
        <v>12445</v>
      </c>
      <c r="AE163" s="113">
        <v>15388</v>
      </c>
      <c r="AG163" s="103" t="s">
        <v>2296</v>
      </c>
      <c r="AH163" s="113">
        <v>0</v>
      </c>
      <c r="AI163" s="113">
        <v>0</v>
      </c>
      <c r="AJ163" s="113">
        <v>0</v>
      </c>
      <c r="AK163" s="113">
        <v>0</v>
      </c>
      <c r="AL163" s="113">
        <v>0</v>
      </c>
      <c r="AM163" s="113">
        <v>0</v>
      </c>
      <c r="AN163" s="113">
        <v>0</v>
      </c>
      <c r="AO163" s="113">
        <v>0</v>
      </c>
      <c r="AP163" s="113">
        <v>0</v>
      </c>
      <c r="AQ163" s="113">
        <v>0</v>
      </c>
      <c r="AR163" s="113">
        <v>0</v>
      </c>
      <c r="AS163" s="113">
        <v>0</v>
      </c>
      <c r="AT163" s="113">
        <v>0</v>
      </c>
      <c r="AU163" s="113">
        <v>0</v>
      </c>
      <c r="AV163" s="113">
        <v>0</v>
      </c>
      <c r="AW163" s="113">
        <v>0</v>
      </c>
      <c r="AX163" s="113">
        <v>0</v>
      </c>
      <c r="AY163" s="113">
        <v>0</v>
      </c>
      <c r="AZ163" s="113">
        <v>0</v>
      </c>
      <c r="BA163" s="113">
        <v>0</v>
      </c>
      <c r="BB163" s="113">
        <v>0</v>
      </c>
      <c r="BC163" s="113">
        <v>0</v>
      </c>
      <c r="BD163" s="113">
        <v>0</v>
      </c>
      <c r="BE163" s="113">
        <v>0</v>
      </c>
      <c r="BF163" s="113">
        <v>0</v>
      </c>
      <c r="BG163" s="113">
        <v>0</v>
      </c>
      <c r="BH163" s="113">
        <v>0</v>
      </c>
      <c r="BI163" s="113">
        <v>0</v>
      </c>
      <c r="BJ163" s="113">
        <v>0</v>
      </c>
      <c r="BK163" s="113">
        <v>0</v>
      </c>
      <c r="BL163" s="113">
        <v>0</v>
      </c>
      <c r="BM163" s="113">
        <v>0</v>
      </c>
      <c r="BN163" s="113">
        <v>0</v>
      </c>
      <c r="BO163" s="113">
        <v>0</v>
      </c>
      <c r="BP163" s="113">
        <v>0</v>
      </c>
      <c r="BQ163" s="113">
        <v>0</v>
      </c>
      <c r="BR163" s="113">
        <v>0</v>
      </c>
      <c r="BS163" s="113">
        <v>0</v>
      </c>
      <c r="BT163" s="113">
        <v>0</v>
      </c>
      <c r="BU163" s="113">
        <v>0</v>
      </c>
      <c r="BV163" s="113">
        <v>0</v>
      </c>
      <c r="BW163" s="113">
        <v>0</v>
      </c>
      <c r="BX163" s="113">
        <v>0</v>
      </c>
      <c r="BY163" s="113">
        <v>0</v>
      </c>
      <c r="BZ163" s="113">
        <v>0</v>
      </c>
      <c r="CA163" s="113">
        <v>0</v>
      </c>
      <c r="CB163" s="113">
        <v>0</v>
      </c>
      <c r="CC163" s="113">
        <v>0</v>
      </c>
      <c r="CD163" s="113">
        <v>0</v>
      </c>
      <c r="CE163" s="113">
        <v>0</v>
      </c>
      <c r="CF163" s="113">
        <v>0</v>
      </c>
      <c r="CG163" s="113">
        <v>0</v>
      </c>
      <c r="CH163" s="113">
        <v>0</v>
      </c>
      <c r="CI163" s="113">
        <v>0</v>
      </c>
      <c r="CJ163" s="113">
        <v>0</v>
      </c>
      <c r="CK163" s="113">
        <v>0</v>
      </c>
      <c r="CL163" s="113">
        <v>0</v>
      </c>
      <c r="CM163" s="113">
        <v>0</v>
      </c>
      <c r="CN163" s="113">
        <v>0</v>
      </c>
      <c r="CO163" s="113">
        <v>0</v>
      </c>
      <c r="CP163" s="113">
        <v>0</v>
      </c>
      <c r="CQ163" s="113">
        <v>0</v>
      </c>
      <c r="CR163" s="113">
        <v>0</v>
      </c>
      <c r="CS163" s="113">
        <v>0</v>
      </c>
      <c r="CT163" s="113">
        <v>0</v>
      </c>
      <c r="CU163" s="113">
        <v>0</v>
      </c>
      <c r="CV163" s="113">
        <v>0</v>
      </c>
      <c r="CW163" s="113">
        <v>0</v>
      </c>
      <c r="CX163" s="113">
        <v>0</v>
      </c>
      <c r="CY163" s="113">
        <v>0</v>
      </c>
      <c r="CZ163" s="113">
        <v>0</v>
      </c>
      <c r="DA163" s="113">
        <v>0</v>
      </c>
      <c r="DB163" s="113">
        <v>0</v>
      </c>
      <c r="DC163" s="113">
        <v>0</v>
      </c>
      <c r="DD163" s="113">
        <v>0</v>
      </c>
      <c r="DE163" s="113">
        <v>0</v>
      </c>
      <c r="DF163" s="113">
        <v>0</v>
      </c>
      <c r="DG163" s="113">
        <v>0</v>
      </c>
      <c r="DH163" s="113">
        <v>0</v>
      </c>
      <c r="DI163" s="113">
        <v>0</v>
      </c>
      <c r="DJ163" s="113">
        <v>0</v>
      </c>
      <c r="DK163" s="113">
        <v>0</v>
      </c>
      <c r="DL163" s="113">
        <v>0</v>
      </c>
      <c r="DM163" s="113">
        <v>0</v>
      </c>
      <c r="DN163" s="113">
        <v>0</v>
      </c>
      <c r="DO163" s="113">
        <v>0</v>
      </c>
      <c r="DP163" s="113">
        <v>0</v>
      </c>
      <c r="DQ163" s="113">
        <v>0</v>
      </c>
      <c r="DR163" s="113">
        <v>0</v>
      </c>
      <c r="DS163" s="113">
        <v>0</v>
      </c>
      <c r="DT163" s="113">
        <v>0</v>
      </c>
      <c r="DU163" s="113">
        <v>0</v>
      </c>
      <c r="DV163" s="113">
        <v>0</v>
      </c>
      <c r="DW163" s="113">
        <v>0</v>
      </c>
      <c r="DX163" s="113">
        <v>0</v>
      </c>
      <c r="DY163" s="113">
        <v>761</v>
      </c>
      <c r="DZ163" s="113">
        <v>1000</v>
      </c>
      <c r="EA163" s="113">
        <v>1500</v>
      </c>
      <c r="EB163" s="113">
        <v>1700</v>
      </c>
      <c r="EC163" s="113">
        <v>7797</v>
      </c>
      <c r="ED163" s="113">
        <v>8895</v>
      </c>
      <c r="EE163" s="113">
        <v>9386</v>
      </c>
      <c r="EF163" s="113">
        <v>9901</v>
      </c>
      <c r="EG163" s="113">
        <v>9693</v>
      </c>
      <c r="EH163" s="113">
        <v>10123</v>
      </c>
      <c r="EI163" s="113">
        <v>10648</v>
      </c>
      <c r="EJ163" s="113">
        <v>11500</v>
      </c>
      <c r="EK163" s="113">
        <v>12445</v>
      </c>
      <c r="EL163" s="113">
        <v>14120</v>
      </c>
      <c r="EM163" s="113">
        <v>15459</v>
      </c>
      <c r="EN163" s="113">
        <v>15388</v>
      </c>
    </row>
    <row r="164" spans="1:144">
      <c r="A164" s="103" t="s">
        <v>2297</v>
      </c>
      <c r="B164" s="113">
        <v>0</v>
      </c>
      <c r="C164" s="113">
        <v>0</v>
      </c>
      <c r="D164" s="113">
        <v>0</v>
      </c>
      <c r="E164" s="113">
        <v>0</v>
      </c>
      <c r="F164" s="113">
        <v>0</v>
      </c>
      <c r="G164" s="113">
        <v>0</v>
      </c>
      <c r="H164" s="113">
        <v>0</v>
      </c>
      <c r="I164" s="113">
        <v>0</v>
      </c>
      <c r="J164" s="113">
        <v>0</v>
      </c>
      <c r="K164" s="113">
        <v>0</v>
      </c>
      <c r="L164" s="113">
        <v>1219</v>
      </c>
      <c r="M164" s="113">
        <v>1823</v>
      </c>
      <c r="N164" s="113">
        <v>1790</v>
      </c>
      <c r="O164" s="113">
        <v>1663</v>
      </c>
      <c r="P164" s="113">
        <v>1665</v>
      </c>
      <c r="Q164" s="113">
        <v>1764</v>
      </c>
      <c r="R164" s="113">
        <v>1867</v>
      </c>
      <c r="S164" s="113">
        <v>1900</v>
      </c>
      <c r="T164" s="113">
        <v>1281</v>
      </c>
      <c r="U164" s="113">
        <v>1178</v>
      </c>
      <c r="V164" s="113">
        <v>1398</v>
      </c>
      <c r="W164" s="113">
        <v>1406</v>
      </c>
      <c r="X164" s="113">
        <v>1760</v>
      </c>
      <c r="Y164" s="113">
        <v>2008</v>
      </c>
      <c r="Z164" s="113">
        <v>2095</v>
      </c>
      <c r="AA164" s="113">
        <v>6441</v>
      </c>
      <c r="AB164" s="113">
        <v>2643</v>
      </c>
      <c r="AC164" s="113">
        <v>3815</v>
      </c>
      <c r="AD164" s="113">
        <v>4530</v>
      </c>
      <c r="AE164" s="113">
        <v>3385</v>
      </c>
      <c r="AG164" s="103" t="s">
        <v>2297</v>
      </c>
      <c r="AH164" s="113">
        <v>0</v>
      </c>
      <c r="AI164" s="113">
        <v>0</v>
      </c>
      <c r="AJ164" s="113">
        <v>0</v>
      </c>
      <c r="AK164" s="113">
        <v>0</v>
      </c>
      <c r="AL164" s="113">
        <v>0</v>
      </c>
      <c r="AM164" s="113">
        <v>0</v>
      </c>
      <c r="AN164" s="113">
        <v>0</v>
      </c>
      <c r="AO164" s="113">
        <v>0</v>
      </c>
      <c r="AP164" s="113">
        <v>0</v>
      </c>
      <c r="AQ164" s="113">
        <v>0</v>
      </c>
      <c r="AR164" s="113">
        <v>0</v>
      </c>
      <c r="AS164" s="113">
        <v>0</v>
      </c>
      <c r="AT164" s="113">
        <v>0</v>
      </c>
      <c r="AU164" s="113">
        <v>0</v>
      </c>
      <c r="AV164" s="113">
        <v>0</v>
      </c>
      <c r="AW164" s="113">
        <v>0</v>
      </c>
      <c r="AX164" s="113">
        <v>0</v>
      </c>
      <c r="AY164" s="113">
        <v>0</v>
      </c>
      <c r="AZ164" s="113">
        <v>0</v>
      </c>
      <c r="BA164" s="113">
        <v>0</v>
      </c>
      <c r="BB164" s="113">
        <v>0</v>
      </c>
      <c r="BC164" s="113">
        <v>0</v>
      </c>
      <c r="BD164" s="113">
        <v>0</v>
      </c>
      <c r="BE164" s="113">
        <v>0</v>
      </c>
      <c r="BF164" s="113">
        <v>0</v>
      </c>
      <c r="BG164" s="113">
        <v>0</v>
      </c>
      <c r="BH164" s="113">
        <v>0</v>
      </c>
      <c r="BI164" s="113">
        <v>0</v>
      </c>
      <c r="BJ164" s="113">
        <v>0</v>
      </c>
      <c r="BK164" s="113">
        <v>0</v>
      </c>
      <c r="BL164" s="113">
        <v>0</v>
      </c>
      <c r="BM164" s="113">
        <v>0</v>
      </c>
      <c r="BN164" s="113">
        <v>0</v>
      </c>
      <c r="BO164" s="113">
        <v>0</v>
      </c>
      <c r="BP164" s="113">
        <v>0</v>
      </c>
      <c r="BQ164" s="113">
        <v>1219</v>
      </c>
      <c r="BR164" s="113">
        <v>0</v>
      </c>
      <c r="BS164" s="113">
        <v>1321</v>
      </c>
      <c r="BT164" s="113">
        <v>1346</v>
      </c>
      <c r="BU164" s="113">
        <v>1823</v>
      </c>
      <c r="BV164" s="113">
        <v>2290</v>
      </c>
      <c r="BW164" s="113">
        <v>2026</v>
      </c>
      <c r="BX164" s="113">
        <v>1734</v>
      </c>
      <c r="BY164" s="113">
        <v>1790</v>
      </c>
      <c r="BZ164" s="113">
        <v>1627</v>
      </c>
      <c r="CA164" s="113">
        <v>1623</v>
      </c>
      <c r="CB164" s="113">
        <v>1577</v>
      </c>
      <c r="CC164" s="113">
        <v>1663</v>
      </c>
      <c r="CD164" s="113">
        <v>1633</v>
      </c>
      <c r="CE164" s="113">
        <v>1699</v>
      </c>
      <c r="CF164" s="113">
        <v>1666</v>
      </c>
      <c r="CG164" s="113">
        <v>1665</v>
      </c>
      <c r="CH164" s="113">
        <v>1658</v>
      </c>
      <c r="CI164" s="113">
        <v>1720</v>
      </c>
      <c r="CJ164" s="113">
        <v>1686</v>
      </c>
      <c r="CK164" s="113">
        <v>1764</v>
      </c>
      <c r="CL164" s="113">
        <v>1787</v>
      </c>
      <c r="CM164" s="113">
        <v>1838</v>
      </c>
      <c r="CN164" s="113">
        <v>1732</v>
      </c>
      <c r="CO164" s="113">
        <v>1867</v>
      </c>
      <c r="CP164" s="113">
        <v>1785</v>
      </c>
      <c r="CQ164" s="113">
        <v>1957</v>
      </c>
      <c r="CR164" s="113">
        <v>1754</v>
      </c>
      <c r="CS164" s="113">
        <v>1900</v>
      </c>
      <c r="CT164" s="113">
        <v>1662</v>
      </c>
      <c r="CU164" s="113">
        <v>1534</v>
      </c>
      <c r="CV164" s="113">
        <v>1388</v>
      </c>
      <c r="CW164" s="113">
        <v>1281</v>
      </c>
      <c r="CX164" s="113">
        <v>1201</v>
      </c>
      <c r="CY164" s="113">
        <v>1167</v>
      </c>
      <c r="CZ164" s="113">
        <v>1089</v>
      </c>
      <c r="DA164" s="113">
        <v>1178</v>
      </c>
      <c r="DB164" s="113">
        <v>1152</v>
      </c>
      <c r="DC164" s="113">
        <v>1354</v>
      </c>
      <c r="DD164" s="113">
        <v>1132</v>
      </c>
      <c r="DE164" s="113">
        <v>1398</v>
      </c>
      <c r="DF164" s="113">
        <v>1313</v>
      </c>
      <c r="DG164" s="113">
        <v>1349</v>
      </c>
      <c r="DH164" s="113">
        <v>1262</v>
      </c>
      <c r="DI164" s="113">
        <v>1406</v>
      </c>
      <c r="DJ164" s="113">
        <v>1292</v>
      </c>
      <c r="DK164" s="113">
        <v>1459</v>
      </c>
      <c r="DL164" s="113">
        <v>1394</v>
      </c>
      <c r="DM164" s="113">
        <v>1760</v>
      </c>
      <c r="DN164" s="113">
        <v>1629</v>
      </c>
      <c r="DO164" s="113">
        <v>1858</v>
      </c>
      <c r="DP164" s="113">
        <v>1842</v>
      </c>
      <c r="DQ164" s="113">
        <v>2008</v>
      </c>
      <c r="DR164" s="113">
        <v>1825</v>
      </c>
      <c r="DS164" s="113">
        <v>2051</v>
      </c>
      <c r="DT164" s="113">
        <v>1966</v>
      </c>
      <c r="DU164" s="113">
        <v>2095</v>
      </c>
      <c r="DV164" s="113">
        <v>2784</v>
      </c>
      <c r="DW164" s="113">
        <v>4102</v>
      </c>
      <c r="DX164" s="113">
        <v>5017</v>
      </c>
      <c r="DY164" s="113">
        <v>6441</v>
      </c>
      <c r="DZ164" s="113">
        <v>7284</v>
      </c>
      <c r="EA164" s="113">
        <v>8595</v>
      </c>
      <c r="EB164" s="113">
        <v>9215</v>
      </c>
      <c r="EC164" s="113">
        <v>2643</v>
      </c>
      <c r="ED164" s="113">
        <v>2126</v>
      </c>
      <c r="EE164" s="113">
        <v>2500</v>
      </c>
      <c r="EF164" s="113">
        <v>2585</v>
      </c>
      <c r="EG164" s="113">
        <v>3815</v>
      </c>
      <c r="EH164" s="113">
        <v>3538</v>
      </c>
      <c r="EI164" s="113">
        <v>3799</v>
      </c>
      <c r="EJ164" s="113">
        <v>3884</v>
      </c>
      <c r="EK164" s="113">
        <v>4530</v>
      </c>
      <c r="EL164" s="113">
        <v>4122</v>
      </c>
      <c r="EM164" s="113">
        <v>3878</v>
      </c>
      <c r="EN164" s="113">
        <v>3385</v>
      </c>
    </row>
    <row r="165" spans="1:144">
      <c r="A165" s="103" t="s">
        <v>2298</v>
      </c>
      <c r="B165" s="113">
        <v>0</v>
      </c>
      <c r="C165" s="113">
        <v>0</v>
      </c>
      <c r="D165" s="113">
        <v>0</v>
      </c>
      <c r="E165" s="113">
        <v>0</v>
      </c>
      <c r="F165" s="113">
        <v>0</v>
      </c>
      <c r="G165" s="113">
        <v>0</v>
      </c>
      <c r="H165" s="113">
        <v>0</v>
      </c>
      <c r="I165" s="113">
        <v>0</v>
      </c>
      <c r="J165" s="113">
        <v>1385</v>
      </c>
      <c r="K165" s="113">
        <v>1027</v>
      </c>
      <c r="L165" s="113">
        <v>409</v>
      </c>
      <c r="M165" s="113">
        <v>398</v>
      </c>
      <c r="N165" s="113">
        <v>0</v>
      </c>
      <c r="O165" s="113">
        <v>0</v>
      </c>
      <c r="P165" s="113">
        <v>0</v>
      </c>
      <c r="Q165" s="113">
        <v>0</v>
      </c>
      <c r="R165" s="113">
        <v>0</v>
      </c>
      <c r="S165" s="113">
        <v>0</v>
      </c>
      <c r="T165" s="113">
        <v>0</v>
      </c>
      <c r="U165" s="113">
        <v>229</v>
      </c>
      <c r="V165" s="113">
        <v>1456</v>
      </c>
      <c r="W165" s="113">
        <v>1893</v>
      </c>
      <c r="X165" s="113">
        <v>1709</v>
      </c>
      <c r="Y165" s="113">
        <v>2728</v>
      </c>
      <c r="Z165" s="113">
        <v>1295</v>
      </c>
      <c r="AA165" s="113">
        <v>1476</v>
      </c>
      <c r="AB165" s="113">
        <v>5734</v>
      </c>
      <c r="AC165" s="113">
        <v>541</v>
      </c>
      <c r="AD165" s="113">
        <v>233</v>
      </c>
      <c r="AE165" s="113">
        <v>185</v>
      </c>
      <c r="AG165" s="103" t="s">
        <v>2298</v>
      </c>
      <c r="AH165" s="113">
        <v>0</v>
      </c>
      <c r="AI165" s="113">
        <v>0</v>
      </c>
      <c r="AJ165" s="113">
        <v>0</v>
      </c>
      <c r="AK165" s="113">
        <v>0</v>
      </c>
      <c r="AL165" s="113">
        <v>0</v>
      </c>
      <c r="AM165" s="113">
        <v>0</v>
      </c>
      <c r="AN165" s="113">
        <v>0</v>
      </c>
      <c r="AO165" s="113">
        <v>0</v>
      </c>
      <c r="AP165" s="113">
        <v>0</v>
      </c>
      <c r="AQ165" s="113">
        <v>0</v>
      </c>
      <c r="AR165" s="113">
        <v>0</v>
      </c>
      <c r="AS165" s="113">
        <v>0</v>
      </c>
      <c r="AT165" s="113">
        <v>0</v>
      </c>
      <c r="AU165" s="113">
        <v>0</v>
      </c>
      <c r="AV165" s="113">
        <v>0</v>
      </c>
      <c r="AW165" s="113">
        <v>0</v>
      </c>
      <c r="AX165" s="113">
        <v>0</v>
      </c>
      <c r="AY165" s="113">
        <v>0</v>
      </c>
      <c r="AZ165" s="113">
        <v>0</v>
      </c>
      <c r="BA165" s="113">
        <v>0</v>
      </c>
      <c r="BB165" s="113">
        <v>0</v>
      </c>
      <c r="BC165" s="113">
        <v>0</v>
      </c>
      <c r="BD165" s="113">
        <v>0</v>
      </c>
      <c r="BE165" s="113">
        <v>0</v>
      </c>
      <c r="BF165" s="113">
        <v>0</v>
      </c>
      <c r="BG165" s="113">
        <v>0</v>
      </c>
      <c r="BH165" s="113">
        <v>0</v>
      </c>
      <c r="BI165" s="113">
        <v>1385</v>
      </c>
      <c r="BJ165" s="113">
        <v>0</v>
      </c>
      <c r="BK165" s="113">
        <v>0</v>
      </c>
      <c r="BL165" s="113">
        <v>0</v>
      </c>
      <c r="BM165" s="113">
        <v>1027</v>
      </c>
      <c r="BN165" s="113">
        <v>1440</v>
      </c>
      <c r="BO165" s="113">
        <v>1644</v>
      </c>
      <c r="BP165" s="113">
        <v>1775</v>
      </c>
      <c r="BQ165" s="113">
        <v>409</v>
      </c>
      <c r="BR165" s="113">
        <v>0</v>
      </c>
      <c r="BS165" s="113">
        <v>0</v>
      </c>
      <c r="BT165" s="113">
        <v>59</v>
      </c>
      <c r="BU165" s="113">
        <v>398</v>
      </c>
      <c r="BV165" s="113">
        <v>152</v>
      </c>
      <c r="BW165" s="113">
        <v>0</v>
      </c>
      <c r="BX165" s="113">
        <v>369</v>
      </c>
      <c r="BY165" s="113">
        <v>0</v>
      </c>
      <c r="BZ165" s="113">
        <v>0</v>
      </c>
      <c r="CA165" s="113">
        <v>0</v>
      </c>
      <c r="CB165" s="113">
        <v>0</v>
      </c>
      <c r="CC165" s="113">
        <v>0</v>
      </c>
      <c r="CD165" s="113">
        <v>0</v>
      </c>
      <c r="CE165" s="113">
        <v>0</v>
      </c>
      <c r="CF165" s="113">
        <v>0</v>
      </c>
      <c r="CG165" s="113">
        <v>0</v>
      </c>
      <c r="CH165" s="113">
        <v>0</v>
      </c>
      <c r="CI165" s="113">
        <v>0</v>
      </c>
      <c r="CJ165" s="113">
        <v>0</v>
      </c>
      <c r="CK165" s="113">
        <v>0</v>
      </c>
      <c r="CL165" s="113">
        <v>0</v>
      </c>
      <c r="CM165" s="113">
        <v>0</v>
      </c>
      <c r="CN165" s="113">
        <v>0</v>
      </c>
      <c r="CO165" s="113">
        <v>0</v>
      </c>
      <c r="CP165" s="113">
        <v>0</v>
      </c>
      <c r="CQ165" s="113">
        <v>0</v>
      </c>
      <c r="CR165" s="113">
        <v>0</v>
      </c>
      <c r="CS165" s="113">
        <v>0</v>
      </c>
      <c r="CT165" s="113">
        <v>0</v>
      </c>
      <c r="CU165" s="113">
        <v>0</v>
      </c>
      <c r="CV165" s="113">
        <v>0</v>
      </c>
      <c r="CW165" s="113">
        <v>0</v>
      </c>
      <c r="CX165" s="113">
        <v>155</v>
      </c>
      <c r="CY165" s="113">
        <v>377</v>
      </c>
      <c r="CZ165" s="113">
        <v>828</v>
      </c>
      <c r="DA165" s="113">
        <v>229</v>
      </c>
      <c r="DB165" s="113">
        <v>540</v>
      </c>
      <c r="DC165" s="113">
        <v>826</v>
      </c>
      <c r="DD165" s="113">
        <v>1185</v>
      </c>
      <c r="DE165" s="113">
        <v>1456</v>
      </c>
      <c r="DF165" s="113">
        <v>1040</v>
      </c>
      <c r="DG165" s="113">
        <v>1082</v>
      </c>
      <c r="DH165" s="113">
        <v>1456</v>
      </c>
      <c r="DI165" s="113">
        <v>1893</v>
      </c>
      <c r="DJ165" s="113">
        <v>2209</v>
      </c>
      <c r="DK165" s="113">
        <v>2394</v>
      </c>
      <c r="DL165" s="113">
        <v>2424</v>
      </c>
      <c r="DM165" s="113">
        <v>1709</v>
      </c>
      <c r="DN165" s="113">
        <v>2236</v>
      </c>
      <c r="DO165" s="113">
        <v>2377</v>
      </c>
      <c r="DP165" s="113">
        <v>2318</v>
      </c>
      <c r="DQ165" s="113">
        <v>2728</v>
      </c>
      <c r="DR165" s="113">
        <v>2714</v>
      </c>
      <c r="DS165" s="113">
        <v>2820</v>
      </c>
      <c r="DT165" s="113">
        <v>2919</v>
      </c>
      <c r="DU165" s="113">
        <v>1295</v>
      </c>
      <c r="DV165" s="113">
        <v>2169</v>
      </c>
      <c r="DW165" s="113">
        <v>2194</v>
      </c>
      <c r="DX165" s="113">
        <v>2674</v>
      </c>
      <c r="DY165" s="113">
        <v>1476</v>
      </c>
      <c r="DZ165" s="113">
        <v>1564</v>
      </c>
      <c r="EA165" s="113">
        <v>1133</v>
      </c>
      <c r="EB165" s="113">
        <v>465</v>
      </c>
      <c r="EC165" s="113">
        <v>5734</v>
      </c>
      <c r="ED165" s="113">
        <v>5513</v>
      </c>
      <c r="EE165" s="113">
        <v>3186</v>
      </c>
      <c r="EF165" s="113">
        <v>2417</v>
      </c>
      <c r="EG165" s="113">
        <v>541</v>
      </c>
      <c r="EH165" s="113">
        <v>1977</v>
      </c>
      <c r="EI165" s="113">
        <v>2062</v>
      </c>
      <c r="EJ165" s="113">
        <v>1838</v>
      </c>
      <c r="EK165" s="113">
        <v>233</v>
      </c>
      <c r="EL165" s="113">
        <v>234</v>
      </c>
      <c r="EM165" s="113">
        <v>222</v>
      </c>
      <c r="EN165" s="113">
        <v>185</v>
      </c>
    </row>
    <row r="166" spans="1:144">
      <c r="A166" s="103" t="s">
        <v>2299</v>
      </c>
      <c r="B166" s="113">
        <v>0</v>
      </c>
      <c r="C166" s="113">
        <v>0</v>
      </c>
      <c r="D166" s="113">
        <v>0</v>
      </c>
      <c r="E166" s="113">
        <v>0</v>
      </c>
      <c r="F166" s="113">
        <v>405</v>
      </c>
      <c r="G166" s="113">
        <v>635</v>
      </c>
      <c r="H166" s="113">
        <v>0</v>
      </c>
      <c r="I166" s="113">
        <v>0</v>
      </c>
      <c r="J166" s="113">
        <v>0</v>
      </c>
      <c r="K166" s="113">
        <v>0</v>
      </c>
      <c r="L166" s="113">
        <v>659</v>
      </c>
      <c r="M166" s="113">
        <v>501</v>
      </c>
      <c r="N166" s="113">
        <v>1056</v>
      </c>
      <c r="O166" s="113">
        <v>2911</v>
      </c>
      <c r="P166" s="113">
        <v>4158</v>
      </c>
      <c r="Q166" s="113">
        <v>5287</v>
      </c>
      <c r="R166" s="113">
        <v>6453</v>
      </c>
      <c r="S166" s="113">
        <v>4721</v>
      </c>
      <c r="T166" s="113">
        <v>6269</v>
      </c>
      <c r="U166" s="113">
        <v>7445</v>
      </c>
      <c r="V166" s="113">
        <v>8072</v>
      </c>
      <c r="W166" s="113">
        <v>8208</v>
      </c>
      <c r="X166" s="113">
        <v>10000</v>
      </c>
      <c r="Y166" s="113">
        <v>11594</v>
      </c>
      <c r="Z166" s="113">
        <v>13544</v>
      </c>
      <c r="AA166" s="113">
        <v>12879</v>
      </c>
      <c r="AB166" s="113">
        <v>14609</v>
      </c>
      <c r="AC166" s="113">
        <v>31351</v>
      </c>
      <c r="AD166" s="113">
        <v>30936</v>
      </c>
      <c r="AE166" s="113">
        <v>30421</v>
      </c>
      <c r="AG166" s="103" t="s">
        <v>2299</v>
      </c>
      <c r="AH166" s="113">
        <v>0</v>
      </c>
      <c r="AI166" s="113">
        <v>0</v>
      </c>
      <c r="AJ166" s="113">
        <v>0</v>
      </c>
      <c r="AK166" s="113">
        <v>0</v>
      </c>
      <c r="AL166" s="113">
        <v>0</v>
      </c>
      <c r="AM166" s="113">
        <v>0</v>
      </c>
      <c r="AN166" s="113">
        <v>0</v>
      </c>
      <c r="AO166" s="113">
        <v>0</v>
      </c>
      <c r="AP166" s="113">
        <v>203</v>
      </c>
      <c r="AQ166" s="113">
        <v>0</v>
      </c>
      <c r="AR166" s="113">
        <v>0</v>
      </c>
      <c r="AS166" s="113">
        <v>405</v>
      </c>
      <c r="AT166" s="113">
        <v>0</v>
      </c>
      <c r="AU166" s="113">
        <v>0</v>
      </c>
      <c r="AV166" s="113">
        <v>0</v>
      </c>
      <c r="AW166" s="113">
        <v>635</v>
      </c>
      <c r="AX166" s="113">
        <v>0</v>
      </c>
      <c r="AY166" s="113">
        <v>0</v>
      </c>
      <c r="AZ166" s="113">
        <v>0</v>
      </c>
      <c r="BA166" s="113">
        <v>0</v>
      </c>
      <c r="BB166" s="113">
        <v>0</v>
      </c>
      <c r="BC166" s="113">
        <v>0</v>
      </c>
      <c r="BD166" s="113">
        <v>0</v>
      </c>
      <c r="BE166" s="113">
        <v>0</v>
      </c>
      <c r="BF166" s="113">
        <v>0</v>
      </c>
      <c r="BG166" s="113">
        <v>0</v>
      </c>
      <c r="BH166" s="113">
        <v>0</v>
      </c>
      <c r="BI166" s="113">
        <v>0</v>
      </c>
      <c r="BJ166" s="113">
        <v>0</v>
      </c>
      <c r="BK166" s="113">
        <v>0</v>
      </c>
      <c r="BL166" s="113">
        <v>0</v>
      </c>
      <c r="BM166" s="113">
        <v>0</v>
      </c>
      <c r="BN166" s="113">
        <v>0</v>
      </c>
      <c r="BO166" s="113">
        <v>0</v>
      </c>
      <c r="BP166" s="113">
        <v>0</v>
      </c>
      <c r="BQ166" s="113">
        <v>659</v>
      </c>
      <c r="BR166" s="113">
        <v>0</v>
      </c>
      <c r="BS166" s="113">
        <v>951</v>
      </c>
      <c r="BT166" s="113">
        <v>832</v>
      </c>
      <c r="BU166" s="113">
        <v>501</v>
      </c>
      <c r="BV166" s="113">
        <v>520</v>
      </c>
      <c r="BW166" s="113">
        <v>904</v>
      </c>
      <c r="BX166" s="113">
        <v>936</v>
      </c>
      <c r="BY166" s="113">
        <v>1056</v>
      </c>
      <c r="BZ166" s="113">
        <v>876</v>
      </c>
      <c r="CA166" s="113">
        <v>1044</v>
      </c>
      <c r="CB166" s="113">
        <v>1626</v>
      </c>
      <c r="CC166" s="113">
        <v>2911</v>
      </c>
      <c r="CD166" s="113">
        <v>878</v>
      </c>
      <c r="CE166" s="113">
        <v>965</v>
      </c>
      <c r="CF166" s="113">
        <v>1097</v>
      </c>
      <c r="CG166" s="113">
        <v>4158</v>
      </c>
      <c r="CH166" s="113">
        <v>4455</v>
      </c>
      <c r="CI166" s="113">
        <v>4582</v>
      </c>
      <c r="CJ166" s="113">
        <v>4763</v>
      </c>
      <c r="CK166" s="113">
        <v>5287</v>
      </c>
      <c r="CL166" s="113">
        <v>5494</v>
      </c>
      <c r="CM166" s="113">
        <v>5684</v>
      </c>
      <c r="CN166" s="113">
        <v>5559</v>
      </c>
      <c r="CO166" s="113">
        <v>6453</v>
      </c>
      <c r="CP166" s="113">
        <v>8981</v>
      </c>
      <c r="CQ166" s="113">
        <v>8893</v>
      </c>
      <c r="CR166" s="113">
        <v>4411</v>
      </c>
      <c r="CS166" s="113">
        <v>4721</v>
      </c>
      <c r="CT166" s="113">
        <v>5478</v>
      </c>
      <c r="CU166" s="113">
        <v>6064</v>
      </c>
      <c r="CV166" s="113">
        <v>6699</v>
      </c>
      <c r="CW166" s="113">
        <v>6269</v>
      </c>
      <c r="CX166" s="113">
        <v>6537</v>
      </c>
      <c r="CY166" s="113">
        <v>6808</v>
      </c>
      <c r="CZ166" s="113">
        <v>7113</v>
      </c>
      <c r="DA166" s="113">
        <v>7445</v>
      </c>
      <c r="DB166" s="113">
        <v>7384</v>
      </c>
      <c r="DC166" s="113">
        <v>7662</v>
      </c>
      <c r="DD166" s="113">
        <v>8001</v>
      </c>
      <c r="DE166" s="113">
        <v>8072</v>
      </c>
      <c r="DF166" s="113">
        <v>8201</v>
      </c>
      <c r="DG166" s="113">
        <v>8386</v>
      </c>
      <c r="DH166" s="113">
        <v>8525</v>
      </c>
      <c r="DI166" s="113">
        <v>8208</v>
      </c>
      <c r="DJ166" s="113">
        <v>8423</v>
      </c>
      <c r="DK166" s="113">
        <v>8397</v>
      </c>
      <c r="DL166" s="113">
        <v>9721</v>
      </c>
      <c r="DM166" s="113">
        <v>10000</v>
      </c>
      <c r="DN166" s="113">
        <v>9587</v>
      </c>
      <c r="DO166" s="113">
        <v>9790</v>
      </c>
      <c r="DP166" s="113">
        <v>9953</v>
      </c>
      <c r="DQ166" s="113">
        <v>11594</v>
      </c>
      <c r="DR166" s="113">
        <v>11781</v>
      </c>
      <c r="DS166" s="113">
        <v>12423</v>
      </c>
      <c r="DT166" s="113">
        <v>13274</v>
      </c>
      <c r="DU166" s="113">
        <v>13544</v>
      </c>
      <c r="DV166" s="113">
        <v>13280</v>
      </c>
      <c r="DW166" s="113">
        <v>13700</v>
      </c>
      <c r="DX166" s="113">
        <v>14122</v>
      </c>
      <c r="DY166" s="113">
        <v>12879</v>
      </c>
      <c r="DZ166" s="113">
        <v>13340</v>
      </c>
      <c r="EA166" s="113">
        <v>14480</v>
      </c>
      <c r="EB166" s="113">
        <v>15681</v>
      </c>
      <c r="EC166" s="113">
        <v>14609</v>
      </c>
      <c r="ED166" s="113">
        <v>15046</v>
      </c>
      <c r="EE166" s="113">
        <v>31124</v>
      </c>
      <c r="EF166" s="113">
        <v>31742</v>
      </c>
      <c r="EG166" s="113">
        <v>31351</v>
      </c>
      <c r="EH166" s="113">
        <v>30004</v>
      </c>
      <c r="EI166" s="113">
        <v>30251</v>
      </c>
      <c r="EJ166" s="113">
        <v>30749</v>
      </c>
      <c r="EK166" s="113">
        <v>30936</v>
      </c>
      <c r="EL166" s="113">
        <v>29822</v>
      </c>
      <c r="EM166" s="113">
        <v>30125</v>
      </c>
      <c r="EN166" s="113">
        <v>30421</v>
      </c>
    </row>
    <row r="167" spans="1:144" ht="10.5">
      <c r="A167" s="112" t="s">
        <v>1561</v>
      </c>
      <c r="B167" s="114">
        <v>293.35300000000001</v>
      </c>
      <c r="C167" s="114">
        <v>447</v>
      </c>
      <c r="D167" s="114">
        <v>563</v>
      </c>
      <c r="E167" s="114">
        <v>913</v>
      </c>
      <c r="F167" s="114">
        <v>1752</v>
      </c>
      <c r="G167" s="114">
        <v>3060</v>
      </c>
      <c r="H167" s="114">
        <v>3610</v>
      </c>
      <c r="I167" s="114">
        <v>5730</v>
      </c>
      <c r="J167" s="114">
        <v>10187</v>
      </c>
      <c r="K167" s="114">
        <v>10782</v>
      </c>
      <c r="L167" s="114">
        <v>11541</v>
      </c>
      <c r="M167" s="114">
        <v>15466</v>
      </c>
      <c r="N167" s="114">
        <v>16820</v>
      </c>
      <c r="O167" s="114">
        <v>19543</v>
      </c>
      <c r="P167" s="114">
        <v>22700</v>
      </c>
      <c r="Q167" s="114">
        <v>29493</v>
      </c>
      <c r="R167" s="114">
        <v>32074</v>
      </c>
      <c r="S167" s="114">
        <v>36507</v>
      </c>
      <c r="T167" s="114">
        <v>38330</v>
      </c>
      <c r="U167" s="114">
        <v>39938</v>
      </c>
      <c r="V167" s="114">
        <v>51621</v>
      </c>
      <c r="W167" s="114">
        <v>54908</v>
      </c>
      <c r="X167" s="114">
        <v>63487</v>
      </c>
      <c r="Y167" s="114">
        <v>82600</v>
      </c>
      <c r="Z167" s="114">
        <v>94389</v>
      </c>
      <c r="AA167" s="114">
        <v>121471</v>
      </c>
      <c r="AB167" s="114">
        <v>162601</v>
      </c>
      <c r="AC167" s="114">
        <v>176130</v>
      </c>
      <c r="AD167" s="114">
        <v>184226</v>
      </c>
      <c r="AE167" s="114">
        <v>170948</v>
      </c>
      <c r="AG167" s="112" t="s">
        <v>1561</v>
      </c>
      <c r="AH167" s="114">
        <v>0</v>
      </c>
      <c r="AI167" s="114">
        <v>0</v>
      </c>
      <c r="AJ167" s="114">
        <v>0</v>
      </c>
      <c r="AK167" s="114">
        <v>563</v>
      </c>
      <c r="AL167" s="114">
        <v>0</v>
      </c>
      <c r="AM167" s="114">
        <v>740</v>
      </c>
      <c r="AN167" s="114">
        <v>914</v>
      </c>
      <c r="AO167" s="114">
        <v>913</v>
      </c>
      <c r="AP167" s="114">
        <v>1207</v>
      </c>
      <c r="AQ167" s="114">
        <v>1096</v>
      </c>
      <c r="AR167" s="114">
        <v>1185</v>
      </c>
      <c r="AS167" s="114">
        <v>1752</v>
      </c>
      <c r="AT167" s="114">
        <v>1759</v>
      </c>
      <c r="AU167" s="114">
        <v>2241</v>
      </c>
      <c r="AV167" s="114">
        <v>2264</v>
      </c>
      <c r="AW167" s="114">
        <v>3060</v>
      </c>
      <c r="AX167" s="114">
        <v>2663</v>
      </c>
      <c r="AY167" s="114">
        <v>3144</v>
      </c>
      <c r="AZ167" s="114">
        <v>3479</v>
      </c>
      <c r="BA167" s="114">
        <v>3610</v>
      </c>
      <c r="BB167" s="114">
        <v>3902</v>
      </c>
      <c r="BC167" s="114">
        <v>4496</v>
      </c>
      <c r="BD167" s="114">
        <v>4869</v>
      </c>
      <c r="BE167" s="114">
        <v>5730</v>
      </c>
      <c r="BF167" s="114">
        <v>6445</v>
      </c>
      <c r="BG167" s="114">
        <v>7471</v>
      </c>
      <c r="BH167" s="114">
        <v>7839</v>
      </c>
      <c r="BI167" s="114">
        <v>10187</v>
      </c>
      <c r="BJ167" s="114">
        <v>8332</v>
      </c>
      <c r="BK167" s="114">
        <v>10504</v>
      </c>
      <c r="BL167" s="114">
        <v>11103</v>
      </c>
      <c r="BM167" s="114">
        <v>10782</v>
      </c>
      <c r="BN167" s="114">
        <v>10746</v>
      </c>
      <c r="BO167" s="114">
        <v>11269</v>
      </c>
      <c r="BP167" s="114">
        <v>11515</v>
      </c>
      <c r="BQ167" s="114">
        <v>11541</v>
      </c>
      <c r="BR167" s="114">
        <v>12862</v>
      </c>
      <c r="BS167" s="114">
        <v>13839</v>
      </c>
      <c r="BT167" s="114">
        <v>14079</v>
      </c>
      <c r="BU167" s="114">
        <v>15466</v>
      </c>
      <c r="BV167" s="114">
        <v>16719</v>
      </c>
      <c r="BW167" s="114">
        <v>16547</v>
      </c>
      <c r="BX167" s="114">
        <v>16200</v>
      </c>
      <c r="BY167" s="114">
        <v>16820</v>
      </c>
      <c r="BZ167" s="114">
        <v>17601</v>
      </c>
      <c r="CA167" s="114">
        <v>16594</v>
      </c>
      <c r="CB167" s="114">
        <v>19187</v>
      </c>
      <c r="CC167" s="114">
        <v>19543</v>
      </c>
      <c r="CD167" s="114">
        <v>18322</v>
      </c>
      <c r="CE167" s="114">
        <v>17709</v>
      </c>
      <c r="CF167" s="114">
        <v>18902</v>
      </c>
      <c r="CG167" s="114">
        <v>22700</v>
      </c>
      <c r="CH167" s="114">
        <v>23135</v>
      </c>
      <c r="CI167" s="114">
        <v>23049</v>
      </c>
      <c r="CJ167" s="114">
        <v>24816</v>
      </c>
      <c r="CK167" s="114">
        <v>29493</v>
      </c>
      <c r="CL167" s="114">
        <v>29253</v>
      </c>
      <c r="CM167" s="114">
        <v>29737</v>
      </c>
      <c r="CN167" s="114">
        <v>28918</v>
      </c>
      <c r="CO167" s="114">
        <v>32074</v>
      </c>
      <c r="CP167" s="114">
        <v>33510</v>
      </c>
      <c r="CQ167" s="114">
        <v>32908</v>
      </c>
      <c r="CR167" s="114">
        <v>33193</v>
      </c>
      <c r="CS167" s="114">
        <v>36507</v>
      </c>
      <c r="CT167" s="114">
        <v>31523</v>
      </c>
      <c r="CU167" s="114">
        <v>31308</v>
      </c>
      <c r="CV167" s="114">
        <v>31910</v>
      </c>
      <c r="CW167" s="114">
        <v>38330</v>
      </c>
      <c r="CX167" s="114">
        <v>40400</v>
      </c>
      <c r="CY167" s="114">
        <v>37813</v>
      </c>
      <c r="CZ167" s="114">
        <v>39200</v>
      </c>
      <c r="DA167" s="114">
        <v>39938</v>
      </c>
      <c r="DB167" s="114">
        <v>44598</v>
      </c>
      <c r="DC167" s="114">
        <v>43825</v>
      </c>
      <c r="DD167" s="114">
        <v>46275</v>
      </c>
      <c r="DE167" s="114">
        <v>51621</v>
      </c>
      <c r="DF167" s="114">
        <v>48024</v>
      </c>
      <c r="DG167" s="114">
        <v>48122</v>
      </c>
      <c r="DH167" s="114">
        <v>49351</v>
      </c>
      <c r="DI167" s="114">
        <v>54908</v>
      </c>
      <c r="DJ167" s="114">
        <v>53040</v>
      </c>
      <c r="DK167" s="114">
        <v>56107</v>
      </c>
      <c r="DL167" s="114">
        <v>57417</v>
      </c>
      <c r="DM167" s="114">
        <v>63487</v>
      </c>
      <c r="DN167" s="114">
        <v>60707</v>
      </c>
      <c r="DO167" s="114">
        <v>68443</v>
      </c>
      <c r="DP167" s="114">
        <v>68695</v>
      </c>
      <c r="DQ167" s="114">
        <v>82600</v>
      </c>
      <c r="DR167" s="114">
        <v>79486</v>
      </c>
      <c r="DS167" s="114">
        <v>82969</v>
      </c>
      <c r="DT167" s="114">
        <v>86551</v>
      </c>
      <c r="DU167" s="114">
        <v>94389</v>
      </c>
      <c r="DV167" s="114">
        <v>95451</v>
      </c>
      <c r="DW167" s="114">
        <v>103318</v>
      </c>
      <c r="DX167" s="114">
        <v>107063</v>
      </c>
      <c r="DY167" s="114">
        <v>121471</v>
      </c>
      <c r="DZ167" s="114">
        <v>142152</v>
      </c>
      <c r="EA167" s="114">
        <v>155801</v>
      </c>
      <c r="EB167" s="114">
        <v>155288</v>
      </c>
      <c r="EC167" s="114">
        <v>162601</v>
      </c>
      <c r="ED167" s="114">
        <v>159450</v>
      </c>
      <c r="EE167" s="114">
        <v>177643</v>
      </c>
      <c r="EF167" s="114">
        <v>166258</v>
      </c>
      <c r="EG167" s="114">
        <v>176130</v>
      </c>
      <c r="EH167" s="114">
        <v>171652</v>
      </c>
      <c r="EI167" s="114">
        <v>166731</v>
      </c>
      <c r="EJ167" s="114">
        <v>168417</v>
      </c>
      <c r="EK167" s="114">
        <v>184226</v>
      </c>
      <c r="EL167" s="114">
        <v>172894</v>
      </c>
      <c r="EM167" s="114">
        <v>172685</v>
      </c>
      <c r="EN167" s="114">
        <v>170948</v>
      </c>
    </row>
    <row r="168" spans="1:144">
      <c r="A168" s="103"/>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G168" s="103"/>
      <c r="AH168" s="103"/>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c r="CR168" s="103"/>
      <c r="CS168" s="103"/>
      <c r="CT168" s="103"/>
      <c r="CU168" s="103"/>
      <c r="CV168" s="103"/>
      <c r="CW168" s="103"/>
      <c r="CX168" s="103"/>
      <c r="CY168" s="103"/>
      <c r="CZ168" s="103"/>
      <c r="DA168" s="103"/>
      <c r="DB168" s="103"/>
      <c r="DC168" s="103"/>
      <c r="DD168" s="103"/>
      <c r="DE168" s="103"/>
      <c r="DF168" s="103"/>
      <c r="DG168" s="103"/>
      <c r="DH168" s="103"/>
      <c r="DI168" s="103"/>
      <c r="DJ168" s="103"/>
      <c r="DK168" s="103"/>
      <c r="DL168" s="103"/>
      <c r="DM168" s="103"/>
      <c r="DN168" s="103"/>
      <c r="DO168" s="103"/>
      <c r="DP168" s="103"/>
      <c r="DQ168" s="103"/>
      <c r="DR168" s="103"/>
      <c r="DS168" s="103"/>
      <c r="DT168" s="103"/>
      <c r="DU168" s="103"/>
      <c r="DV168" s="103"/>
      <c r="DW168" s="103"/>
      <c r="DX168" s="103"/>
      <c r="DY168" s="103"/>
      <c r="DZ168" s="103"/>
      <c r="EA168" s="103"/>
      <c r="EB168" s="103"/>
      <c r="EC168" s="103"/>
      <c r="ED168" s="103"/>
      <c r="EE168" s="103"/>
      <c r="EF168" s="103"/>
      <c r="EG168" s="103"/>
      <c r="EH168" s="103"/>
      <c r="EI168" s="103"/>
      <c r="EJ168" s="103"/>
      <c r="EK168" s="103"/>
      <c r="EL168" s="103"/>
      <c r="EM168" s="103"/>
      <c r="EN168" s="103"/>
    </row>
    <row r="169" spans="1:144">
      <c r="A169" s="103" t="s">
        <v>2300</v>
      </c>
      <c r="B169" s="113">
        <v>0</v>
      </c>
      <c r="C169" s="113">
        <v>0</v>
      </c>
      <c r="D169" s="113">
        <v>0</v>
      </c>
      <c r="E169" s="113">
        <v>0</v>
      </c>
      <c r="F169" s="113">
        <v>0</v>
      </c>
      <c r="G169" s="113">
        <v>0</v>
      </c>
      <c r="H169" s="113">
        <v>980</v>
      </c>
      <c r="I169" s="113">
        <v>980</v>
      </c>
      <c r="J169" s="113">
        <v>980</v>
      </c>
      <c r="K169" s="113">
        <v>0</v>
      </c>
      <c r="L169" s="113">
        <v>0</v>
      </c>
      <c r="M169" s="113">
        <v>0</v>
      </c>
      <c r="N169" s="113">
        <v>0</v>
      </c>
      <c r="O169" s="113">
        <v>0</v>
      </c>
      <c r="P169" s="113">
        <v>0</v>
      </c>
      <c r="Q169" s="113">
        <v>0</v>
      </c>
      <c r="R169" s="113">
        <v>0</v>
      </c>
      <c r="S169" s="113">
        <v>0</v>
      </c>
      <c r="T169" s="113">
        <v>0</v>
      </c>
      <c r="U169" s="113">
        <v>0</v>
      </c>
      <c r="V169" s="113">
        <v>0</v>
      </c>
      <c r="W169" s="113">
        <v>0</v>
      </c>
      <c r="X169" s="113">
        <v>0</v>
      </c>
      <c r="Y169" s="113">
        <v>0</v>
      </c>
      <c r="Z169" s="113">
        <v>0</v>
      </c>
      <c r="AA169" s="113">
        <v>0</v>
      </c>
      <c r="AB169" s="113">
        <v>0</v>
      </c>
      <c r="AC169" s="113">
        <v>0</v>
      </c>
      <c r="AD169" s="113">
        <v>0</v>
      </c>
      <c r="AE169" s="113">
        <v>0</v>
      </c>
      <c r="AG169" s="103" t="s">
        <v>2300</v>
      </c>
      <c r="AH169" s="113">
        <v>0</v>
      </c>
      <c r="AI169" s="113">
        <v>0</v>
      </c>
      <c r="AJ169" s="113">
        <v>0</v>
      </c>
      <c r="AK169" s="113">
        <v>0</v>
      </c>
      <c r="AL169" s="113">
        <v>0</v>
      </c>
      <c r="AM169" s="113">
        <v>0</v>
      </c>
      <c r="AN169" s="113">
        <v>0</v>
      </c>
      <c r="AO169" s="113">
        <v>0</v>
      </c>
      <c r="AP169" s="113">
        <v>0</v>
      </c>
      <c r="AQ169" s="113">
        <v>0</v>
      </c>
      <c r="AR169" s="113">
        <v>0</v>
      </c>
      <c r="AS169" s="113">
        <v>0</v>
      </c>
      <c r="AT169" s="113">
        <v>0</v>
      </c>
      <c r="AU169" s="113">
        <v>0</v>
      </c>
      <c r="AV169" s="113">
        <v>0</v>
      </c>
      <c r="AW169" s="113">
        <v>0</v>
      </c>
      <c r="AX169" s="113">
        <v>0</v>
      </c>
      <c r="AY169" s="113">
        <v>980</v>
      </c>
      <c r="AZ169" s="113">
        <v>980</v>
      </c>
      <c r="BA169" s="113">
        <v>980</v>
      </c>
      <c r="BB169" s="113">
        <v>980</v>
      </c>
      <c r="BC169" s="113">
        <v>980</v>
      </c>
      <c r="BD169" s="113">
        <v>980</v>
      </c>
      <c r="BE169" s="113">
        <v>980</v>
      </c>
      <c r="BF169" s="113">
        <v>980</v>
      </c>
      <c r="BG169" s="113">
        <v>980</v>
      </c>
      <c r="BH169" s="113">
        <v>980</v>
      </c>
      <c r="BI169" s="113">
        <v>980</v>
      </c>
      <c r="BJ169" s="113">
        <v>980</v>
      </c>
      <c r="BK169" s="113">
        <v>0</v>
      </c>
      <c r="BL169" s="113">
        <v>0</v>
      </c>
      <c r="BM169" s="113">
        <v>0</v>
      </c>
      <c r="BN169" s="113">
        <v>0</v>
      </c>
      <c r="BO169" s="113">
        <v>0</v>
      </c>
      <c r="BP169" s="113">
        <v>0</v>
      </c>
      <c r="BQ169" s="113">
        <v>0</v>
      </c>
      <c r="BR169" s="113">
        <v>0</v>
      </c>
      <c r="BS169" s="113">
        <v>0</v>
      </c>
      <c r="BT169" s="113">
        <v>0</v>
      </c>
      <c r="BU169" s="113">
        <v>0</v>
      </c>
      <c r="BV169" s="113">
        <v>0</v>
      </c>
      <c r="BW169" s="113">
        <v>0</v>
      </c>
      <c r="BX169" s="113">
        <v>0</v>
      </c>
      <c r="BY169" s="113">
        <v>0</v>
      </c>
      <c r="BZ169" s="113">
        <v>0</v>
      </c>
      <c r="CA169" s="113">
        <v>0</v>
      </c>
      <c r="CB169" s="113">
        <v>0</v>
      </c>
      <c r="CC169" s="113">
        <v>0</v>
      </c>
      <c r="CD169" s="113">
        <v>0</v>
      </c>
      <c r="CE169" s="113">
        <v>0</v>
      </c>
      <c r="CF169" s="113">
        <v>0</v>
      </c>
      <c r="CG169" s="113">
        <v>0</v>
      </c>
      <c r="CH169" s="113">
        <v>0</v>
      </c>
      <c r="CI169" s="113">
        <v>0</v>
      </c>
      <c r="CJ169" s="113">
        <v>0</v>
      </c>
      <c r="CK169" s="113">
        <v>0</v>
      </c>
      <c r="CL169" s="113">
        <v>0</v>
      </c>
      <c r="CM169" s="113">
        <v>0</v>
      </c>
      <c r="CN169" s="113">
        <v>0</v>
      </c>
      <c r="CO169" s="113">
        <v>0</v>
      </c>
      <c r="CP169" s="113">
        <v>0</v>
      </c>
      <c r="CQ169" s="113">
        <v>0</v>
      </c>
      <c r="CR169" s="113">
        <v>0</v>
      </c>
      <c r="CS169" s="113">
        <v>0</v>
      </c>
      <c r="CT169" s="113">
        <v>0</v>
      </c>
      <c r="CU169" s="113">
        <v>0</v>
      </c>
      <c r="CV169" s="113">
        <v>0</v>
      </c>
      <c r="CW169" s="113">
        <v>0</v>
      </c>
      <c r="CX169" s="113">
        <v>0</v>
      </c>
      <c r="CY169" s="113">
        <v>0</v>
      </c>
      <c r="CZ169" s="113">
        <v>0</v>
      </c>
      <c r="DA169" s="113">
        <v>0</v>
      </c>
      <c r="DB169" s="113">
        <v>0</v>
      </c>
      <c r="DC169" s="113">
        <v>0</v>
      </c>
      <c r="DD169" s="113">
        <v>0</v>
      </c>
      <c r="DE169" s="113">
        <v>0</v>
      </c>
      <c r="DF169" s="113">
        <v>0</v>
      </c>
      <c r="DG169" s="113">
        <v>0</v>
      </c>
      <c r="DH169" s="113">
        <v>0</v>
      </c>
      <c r="DI169" s="113">
        <v>0</v>
      </c>
      <c r="DJ169" s="113">
        <v>0</v>
      </c>
      <c r="DK169" s="113">
        <v>0</v>
      </c>
      <c r="DL169" s="113">
        <v>0</v>
      </c>
      <c r="DM169" s="113">
        <v>0</v>
      </c>
      <c r="DN169" s="113">
        <v>0</v>
      </c>
      <c r="DO169" s="113">
        <v>0</v>
      </c>
      <c r="DP169" s="113">
        <v>0</v>
      </c>
      <c r="DQ169" s="113">
        <v>0</v>
      </c>
      <c r="DR169" s="113">
        <v>0</v>
      </c>
      <c r="DS169" s="113">
        <v>0</v>
      </c>
      <c r="DT169" s="113">
        <v>0</v>
      </c>
      <c r="DU169" s="113">
        <v>0</v>
      </c>
      <c r="DV169" s="113">
        <v>0</v>
      </c>
      <c r="DW169" s="113">
        <v>0</v>
      </c>
      <c r="DX169" s="113">
        <v>0</v>
      </c>
      <c r="DY169" s="113">
        <v>0</v>
      </c>
      <c r="DZ169" s="113">
        <v>0</v>
      </c>
      <c r="EA169" s="113">
        <v>0</v>
      </c>
      <c r="EB169" s="113">
        <v>0</v>
      </c>
      <c r="EC169" s="113">
        <v>0</v>
      </c>
      <c r="ED169" s="113">
        <v>0</v>
      </c>
      <c r="EE169" s="113">
        <v>0</v>
      </c>
      <c r="EF169" s="113">
        <v>0</v>
      </c>
      <c r="EG169" s="113">
        <v>0</v>
      </c>
      <c r="EH169" s="113">
        <v>0</v>
      </c>
      <c r="EI169" s="113">
        <v>0</v>
      </c>
      <c r="EJ169" s="113">
        <v>0</v>
      </c>
      <c r="EK169" s="113">
        <v>0</v>
      </c>
      <c r="EL169" s="113">
        <v>0</v>
      </c>
      <c r="EM169" s="113">
        <v>0</v>
      </c>
      <c r="EN169" s="113">
        <v>0</v>
      </c>
    </row>
    <row r="170" spans="1:144" ht="10.5">
      <c r="A170" s="112" t="s">
        <v>2301</v>
      </c>
      <c r="B170" s="114">
        <v>0</v>
      </c>
      <c r="C170" s="114">
        <v>0</v>
      </c>
      <c r="D170" s="114">
        <v>0</v>
      </c>
      <c r="E170" s="114">
        <v>0</v>
      </c>
      <c r="F170" s="114">
        <v>0</v>
      </c>
      <c r="G170" s="114">
        <v>0</v>
      </c>
      <c r="H170" s="114">
        <v>980</v>
      </c>
      <c r="I170" s="114">
        <v>980</v>
      </c>
      <c r="J170" s="114">
        <v>980</v>
      </c>
      <c r="K170" s="114">
        <v>0</v>
      </c>
      <c r="L170" s="114">
        <v>0</v>
      </c>
      <c r="M170" s="114">
        <v>0</v>
      </c>
      <c r="N170" s="114">
        <v>0</v>
      </c>
      <c r="O170" s="114">
        <v>0</v>
      </c>
      <c r="P170" s="114">
        <v>0</v>
      </c>
      <c r="Q170" s="114">
        <v>0</v>
      </c>
      <c r="R170" s="114">
        <v>0</v>
      </c>
      <c r="S170" s="114">
        <v>0</v>
      </c>
      <c r="T170" s="114">
        <v>0</v>
      </c>
      <c r="U170" s="114">
        <v>0</v>
      </c>
      <c r="V170" s="114">
        <v>0</v>
      </c>
      <c r="W170" s="114">
        <v>0</v>
      </c>
      <c r="X170" s="114">
        <v>0</v>
      </c>
      <c r="Y170" s="114">
        <v>0</v>
      </c>
      <c r="Z170" s="114">
        <v>0</v>
      </c>
      <c r="AA170" s="114">
        <v>0</v>
      </c>
      <c r="AB170" s="114">
        <v>0</v>
      </c>
      <c r="AC170" s="114">
        <v>0</v>
      </c>
      <c r="AD170" s="114">
        <v>0</v>
      </c>
      <c r="AE170" s="114">
        <v>0</v>
      </c>
      <c r="AG170" s="112" t="s">
        <v>2301</v>
      </c>
      <c r="AH170" s="114">
        <v>0</v>
      </c>
      <c r="AI170" s="114">
        <v>0</v>
      </c>
      <c r="AJ170" s="114">
        <v>0</v>
      </c>
      <c r="AK170" s="114">
        <v>0</v>
      </c>
      <c r="AL170" s="114">
        <v>0</v>
      </c>
      <c r="AM170" s="114">
        <v>0</v>
      </c>
      <c r="AN170" s="114">
        <v>0</v>
      </c>
      <c r="AO170" s="114">
        <v>0</v>
      </c>
      <c r="AP170" s="114">
        <v>0</v>
      </c>
      <c r="AQ170" s="114">
        <v>0</v>
      </c>
      <c r="AR170" s="114">
        <v>0</v>
      </c>
      <c r="AS170" s="114">
        <v>0</v>
      </c>
      <c r="AT170" s="114">
        <v>0</v>
      </c>
      <c r="AU170" s="114">
        <v>0</v>
      </c>
      <c r="AV170" s="114">
        <v>0</v>
      </c>
      <c r="AW170" s="114">
        <v>0</v>
      </c>
      <c r="AX170" s="114">
        <v>0</v>
      </c>
      <c r="AY170" s="114">
        <v>980</v>
      </c>
      <c r="AZ170" s="114">
        <v>980</v>
      </c>
      <c r="BA170" s="114">
        <v>980</v>
      </c>
      <c r="BB170" s="114">
        <v>980</v>
      </c>
      <c r="BC170" s="114">
        <v>980</v>
      </c>
      <c r="BD170" s="114">
        <v>980</v>
      </c>
      <c r="BE170" s="114">
        <v>980</v>
      </c>
      <c r="BF170" s="114">
        <v>980</v>
      </c>
      <c r="BG170" s="114">
        <v>980</v>
      </c>
      <c r="BH170" s="114">
        <v>980</v>
      </c>
      <c r="BI170" s="114">
        <v>980</v>
      </c>
      <c r="BJ170" s="114">
        <v>980</v>
      </c>
      <c r="BK170" s="114">
        <v>0</v>
      </c>
      <c r="BL170" s="114">
        <v>0</v>
      </c>
      <c r="BM170" s="114">
        <v>0</v>
      </c>
      <c r="BN170" s="114">
        <v>0</v>
      </c>
      <c r="BO170" s="114">
        <v>0</v>
      </c>
      <c r="BP170" s="114">
        <v>0</v>
      </c>
      <c r="BQ170" s="114">
        <v>0</v>
      </c>
      <c r="BR170" s="114">
        <v>0</v>
      </c>
      <c r="BS170" s="114">
        <v>0</v>
      </c>
      <c r="BT170" s="114">
        <v>0</v>
      </c>
      <c r="BU170" s="114">
        <v>0</v>
      </c>
      <c r="BV170" s="114">
        <v>0</v>
      </c>
      <c r="BW170" s="114">
        <v>0</v>
      </c>
      <c r="BX170" s="114">
        <v>0</v>
      </c>
      <c r="BY170" s="114">
        <v>0</v>
      </c>
      <c r="BZ170" s="114">
        <v>0</v>
      </c>
      <c r="CA170" s="114">
        <v>0</v>
      </c>
      <c r="CB170" s="114">
        <v>0</v>
      </c>
      <c r="CC170" s="114">
        <v>0</v>
      </c>
      <c r="CD170" s="114">
        <v>0</v>
      </c>
      <c r="CE170" s="114">
        <v>0</v>
      </c>
      <c r="CF170" s="114">
        <v>0</v>
      </c>
      <c r="CG170" s="114">
        <v>0</v>
      </c>
      <c r="CH170" s="114">
        <v>0</v>
      </c>
      <c r="CI170" s="114">
        <v>0</v>
      </c>
      <c r="CJ170" s="114">
        <v>0</v>
      </c>
      <c r="CK170" s="114">
        <v>0</v>
      </c>
      <c r="CL170" s="114">
        <v>0</v>
      </c>
      <c r="CM170" s="114">
        <v>0</v>
      </c>
      <c r="CN170" s="114">
        <v>0</v>
      </c>
      <c r="CO170" s="114">
        <v>0</v>
      </c>
      <c r="CP170" s="114">
        <v>0</v>
      </c>
      <c r="CQ170" s="114">
        <v>0</v>
      </c>
      <c r="CR170" s="114">
        <v>0</v>
      </c>
      <c r="CS170" s="114">
        <v>0</v>
      </c>
      <c r="CT170" s="114">
        <v>0</v>
      </c>
      <c r="CU170" s="114">
        <v>0</v>
      </c>
      <c r="CV170" s="114">
        <v>0</v>
      </c>
      <c r="CW170" s="114">
        <v>0</v>
      </c>
      <c r="CX170" s="114">
        <v>0</v>
      </c>
      <c r="CY170" s="114">
        <v>0</v>
      </c>
      <c r="CZ170" s="114">
        <v>0</v>
      </c>
      <c r="DA170" s="114">
        <v>0</v>
      </c>
      <c r="DB170" s="114">
        <v>0</v>
      </c>
      <c r="DC170" s="114">
        <v>0</v>
      </c>
      <c r="DD170" s="114">
        <v>0</v>
      </c>
      <c r="DE170" s="114">
        <v>0</v>
      </c>
      <c r="DF170" s="114">
        <v>0</v>
      </c>
      <c r="DG170" s="114">
        <v>0</v>
      </c>
      <c r="DH170" s="114">
        <v>0</v>
      </c>
      <c r="DI170" s="114">
        <v>0</v>
      </c>
      <c r="DJ170" s="114">
        <v>0</v>
      </c>
      <c r="DK170" s="114">
        <v>0</v>
      </c>
      <c r="DL170" s="114">
        <v>0</v>
      </c>
      <c r="DM170" s="114">
        <v>0</v>
      </c>
      <c r="DN170" s="114">
        <v>0</v>
      </c>
      <c r="DO170" s="114">
        <v>0</v>
      </c>
      <c r="DP170" s="114">
        <v>0</v>
      </c>
      <c r="DQ170" s="114">
        <v>0</v>
      </c>
      <c r="DR170" s="114">
        <v>0</v>
      </c>
      <c r="DS170" s="114">
        <v>0</v>
      </c>
      <c r="DT170" s="114">
        <v>0</v>
      </c>
      <c r="DU170" s="114">
        <v>0</v>
      </c>
      <c r="DV170" s="114">
        <v>0</v>
      </c>
      <c r="DW170" s="114">
        <v>0</v>
      </c>
      <c r="DX170" s="114">
        <v>0</v>
      </c>
      <c r="DY170" s="114">
        <v>0</v>
      </c>
      <c r="DZ170" s="114">
        <v>0</v>
      </c>
      <c r="EA170" s="114">
        <v>0</v>
      </c>
      <c r="EB170" s="114">
        <v>0</v>
      </c>
      <c r="EC170" s="114">
        <v>0</v>
      </c>
      <c r="ED170" s="114">
        <v>0</v>
      </c>
      <c r="EE170" s="114">
        <v>0</v>
      </c>
      <c r="EF170" s="114">
        <v>0</v>
      </c>
      <c r="EG170" s="114">
        <v>0</v>
      </c>
      <c r="EH170" s="114">
        <v>0</v>
      </c>
      <c r="EI170" s="114">
        <v>0</v>
      </c>
      <c r="EJ170" s="114">
        <v>0</v>
      </c>
      <c r="EK170" s="114">
        <v>0</v>
      </c>
      <c r="EL170" s="114">
        <v>0</v>
      </c>
      <c r="EM170" s="114">
        <v>0</v>
      </c>
      <c r="EN170" s="114">
        <v>0</v>
      </c>
    </row>
    <row r="171" spans="1:144">
      <c r="A171" s="103"/>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c r="CR171" s="103"/>
      <c r="CS171" s="103"/>
      <c r="CT171" s="103"/>
      <c r="CU171" s="103"/>
      <c r="CV171" s="103"/>
      <c r="CW171" s="103"/>
      <c r="CX171" s="103"/>
      <c r="CY171" s="103"/>
      <c r="CZ171" s="103"/>
      <c r="DA171" s="103"/>
      <c r="DB171" s="103"/>
      <c r="DC171" s="103"/>
      <c r="DD171" s="103"/>
      <c r="DE171" s="103"/>
      <c r="DF171" s="103"/>
      <c r="DG171" s="103"/>
      <c r="DH171" s="103"/>
      <c r="DI171" s="103"/>
      <c r="DJ171" s="103"/>
      <c r="DK171" s="103"/>
      <c r="DL171" s="103"/>
      <c r="DM171" s="103"/>
      <c r="DN171" s="103"/>
      <c r="DO171" s="103"/>
      <c r="DP171" s="103"/>
      <c r="DQ171" s="103"/>
      <c r="DR171" s="103"/>
      <c r="DS171" s="103"/>
      <c r="DT171" s="103"/>
      <c r="DU171" s="103"/>
      <c r="DV171" s="103"/>
      <c r="DW171" s="103"/>
      <c r="DX171" s="103"/>
      <c r="DY171" s="103"/>
      <c r="DZ171" s="103"/>
      <c r="EA171" s="103"/>
      <c r="EB171" s="103"/>
      <c r="EC171" s="103"/>
      <c r="ED171" s="103"/>
      <c r="EE171" s="103"/>
      <c r="EF171" s="103"/>
      <c r="EG171" s="103"/>
      <c r="EH171" s="103"/>
      <c r="EI171" s="103"/>
      <c r="EJ171" s="103"/>
      <c r="EK171" s="103"/>
      <c r="EL171" s="103"/>
      <c r="EM171" s="103"/>
      <c r="EN171" s="103"/>
    </row>
    <row r="172" spans="1:144">
      <c r="A172" s="103" t="s">
        <v>1563</v>
      </c>
      <c r="B172" s="113">
        <v>394.54199999999997</v>
      </c>
      <c r="C172" s="113">
        <v>657</v>
      </c>
      <c r="D172" s="113">
        <v>1086</v>
      </c>
      <c r="E172" s="113">
        <v>1500</v>
      </c>
      <c r="F172" s="113">
        <v>2005</v>
      </c>
      <c r="G172" s="113">
        <v>2924</v>
      </c>
      <c r="H172" s="113">
        <v>4509</v>
      </c>
      <c r="I172" s="113">
        <v>8025</v>
      </c>
      <c r="J172" s="113">
        <v>13844</v>
      </c>
      <c r="K172" s="113">
        <v>23195</v>
      </c>
      <c r="L172" s="113">
        <v>28390</v>
      </c>
      <c r="M172" s="113">
        <v>31647</v>
      </c>
      <c r="N172" s="113">
        <v>49234</v>
      </c>
      <c r="O172" s="113">
        <v>56396</v>
      </c>
      <c r="P172" s="113">
        <v>60413</v>
      </c>
      <c r="Q172" s="113">
        <v>59005</v>
      </c>
      <c r="R172" s="113">
        <v>60557</v>
      </c>
      <c r="S172" s="113">
        <v>62849</v>
      </c>
      <c r="T172" s="113">
        <v>62382</v>
      </c>
      <c r="U172" s="113">
        <v>62856</v>
      </c>
      <c r="V172" s="113">
        <v>63415</v>
      </c>
      <c r="W172" s="113">
        <v>65797</v>
      </c>
      <c r="X172" s="113">
        <v>67306</v>
      </c>
      <c r="Y172" s="113">
        <v>68366</v>
      </c>
      <c r="Z172" s="113">
        <v>68465</v>
      </c>
      <c r="AA172" s="113">
        <v>68178</v>
      </c>
      <c r="AB172" s="113">
        <v>69315</v>
      </c>
      <c r="AC172" s="113">
        <v>71223</v>
      </c>
      <c r="AD172" s="113">
        <v>78520</v>
      </c>
      <c r="AE172" s="113">
        <v>79813</v>
      </c>
      <c r="AG172" s="103" t="s">
        <v>1563</v>
      </c>
      <c r="AH172" s="113">
        <v>0</v>
      </c>
      <c r="AI172" s="113">
        <v>0</v>
      </c>
      <c r="AJ172" s="113">
        <v>0</v>
      </c>
      <c r="AK172" s="113">
        <v>1086</v>
      </c>
      <c r="AL172" s="113">
        <v>0</v>
      </c>
      <c r="AM172" s="113">
        <v>1232</v>
      </c>
      <c r="AN172" s="113">
        <v>1373</v>
      </c>
      <c r="AO172" s="113">
        <v>1500</v>
      </c>
      <c r="AP172" s="113">
        <v>1606</v>
      </c>
      <c r="AQ172" s="113">
        <v>1699</v>
      </c>
      <c r="AR172" s="113">
        <v>1862</v>
      </c>
      <c r="AS172" s="113">
        <v>2005</v>
      </c>
      <c r="AT172" s="113">
        <v>2172</v>
      </c>
      <c r="AU172" s="113">
        <v>2285</v>
      </c>
      <c r="AV172" s="113">
        <v>2678</v>
      </c>
      <c r="AW172" s="113">
        <v>2924</v>
      </c>
      <c r="AX172" s="113">
        <v>3220</v>
      </c>
      <c r="AY172" s="113">
        <v>3541</v>
      </c>
      <c r="AZ172" s="113">
        <v>4036</v>
      </c>
      <c r="BA172" s="113">
        <v>4509</v>
      </c>
      <c r="BB172" s="113">
        <v>5630</v>
      </c>
      <c r="BC172" s="113">
        <v>6104</v>
      </c>
      <c r="BD172" s="113">
        <v>6984</v>
      </c>
      <c r="BE172" s="113">
        <v>8025</v>
      </c>
      <c r="BF172" s="113">
        <v>9161</v>
      </c>
      <c r="BG172" s="113">
        <v>10443</v>
      </c>
      <c r="BH172" s="113">
        <v>12418</v>
      </c>
      <c r="BI172" s="113">
        <v>13844</v>
      </c>
      <c r="BJ172" s="113">
        <v>15878</v>
      </c>
      <c r="BK172" s="113">
        <v>18878</v>
      </c>
      <c r="BL172" s="113">
        <v>20975</v>
      </c>
      <c r="BM172" s="113">
        <v>23195</v>
      </c>
      <c r="BN172" s="113">
        <v>26661</v>
      </c>
      <c r="BO172" s="113">
        <v>27178</v>
      </c>
      <c r="BP172" s="113">
        <v>27647</v>
      </c>
      <c r="BQ172" s="113">
        <v>28390</v>
      </c>
      <c r="BR172" s="113">
        <v>29296</v>
      </c>
      <c r="BS172" s="113">
        <v>30175</v>
      </c>
      <c r="BT172" s="113">
        <v>30904</v>
      </c>
      <c r="BU172" s="113">
        <v>31647</v>
      </c>
      <c r="BV172" s="113">
        <v>33013</v>
      </c>
      <c r="BW172" s="113">
        <v>33605</v>
      </c>
      <c r="BX172" s="113">
        <v>34332</v>
      </c>
      <c r="BY172" s="113">
        <v>49234</v>
      </c>
      <c r="BZ172" s="113">
        <v>51298</v>
      </c>
      <c r="CA172" s="113">
        <v>52676</v>
      </c>
      <c r="CB172" s="113">
        <v>53975</v>
      </c>
      <c r="CC172" s="113">
        <v>56396</v>
      </c>
      <c r="CD172" s="113">
        <v>57147</v>
      </c>
      <c r="CE172" s="113">
        <v>58403</v>
      </c>
      <c r="CF172" s="113">
        <v>58829</v>
      </c>
      <c r="CG172" s="113">
        <v>60413</v>
      </c>
      <c r="CH172" s="113">
        <v>60862</v>
      </c>
      <c r="CI172" s="113">
        <v>60140</v>
      </c>
      <c r="CJ172" s="113">
        <v>59850</v>
      </c>
      <c r="CK172" s="113">
        <v>59005</v>
      </c>
      <c r="CL172" s="113">
        <v>57657</v>
      </c>
      <c r="CM172" s="113">
        <v>61152</v>
      </c>
      <c r="CN172" s="113">
        <v>60827</v>
      </c>
      <c r="CO172" s="113">
        <v>60557</v>
      </c>
      <c r="CP172" s="113">
        <v>60699</v>
      </c>
      <c r="CQ172" s="113">
        <v>62528</v>
      </c>
      <c r="CR172" s="113">
        <v>63375</v>
      </c>
      <c r="CS172" s="113">
        <v>62849</v>
      </c>
      <c r="CT172" s="113">
        <v>61655</v>
      </c>
      <c r="CU172" s="113">
        <v>61392</v>
      </c>
      <c r="CV172" s="113">
        <v>61896</v>
      </c>
      <c r="CW172" s="113">
        <v>62382</v>
      </c>
      <c r="CX172" s="113">
        <v>62293</v>
      </c>
      <c r="CY172" s="113">
        <v>62566</v>
      </c>
      <c r="CZ172" s="113">
        <v>62517</v>
      </c>
      <c r="DA172" s="113">
        <v>62856</v>
      </c>
      <c r="DB172" s="113">
        <v>61935</v>
      </c>
      <c r="DC172" s="113">
        <v>61646</v>
      </c>
      <c r="DD172" s="113">
        <v>63234</v>
      </c>
      <c r="DE172" s="113">
        <v>63415</v>
      </c>
      <c r="DF172" s="113">
        <v>63492</v>
      </c>
      <c r="DG172" s="113">
        <v>63902</v>
      </c>
      <c r="DH172" s="113">
        <v>65273</v>
      </c>
      <c r="DI172" s="113">
        <v>65797</v>
      </c>
      <c r="DJ172" s="113">
        <v>66084</v>
      </c>
      <c r="DK172" s="113">
        <v>66334</v>
      </c>
      <c r="DL172" s="113">
        <v>66826</v>
      </c>
      <c r="DM172" s="113">
        <v>67306</v>
      </c>
      <c r="DN172" s="113">
        <v>67230</v>
      </c>
      <c r="DO172" s="113">
        <v>67476</v>
      </c>
      <c r="DP172" s="113">
        <v>67803</v>
      </c>
      <c r="DQ172" s="113">
        <v>68366</v>
      </c>
      <c r="DR172" s="113">
        <v>68362</v>
      </c>
      <c r="DS172" s="113">
        <v>68765</v>
      </c>
      <c r="DT172" s="113">
        <v>68475</v>
      </c>
      <c r="DU172" s="113">
        <v>68465</v>
      </c>
      <c r="DV172" s="113">
        <v>68093</v>
      </c>
      <c r="DW172" s="113">
        <v>68279</v>
      </c>
      <c r="DX172" s="113">
        <v>68012</v>
      </c>
      <c r="DY172" s="113">
        <v>68178</v>
      </c>
      <c r="DZ172" s="113">
        <v>67747</v>
      </c>
      <c r="EA172" s="113">
        <v>68177</v>
      </c>
      <c r="EB172" s="113">
        <v>68554</v>
      </c>
      <c r="EC172" s="113">
        <v>69315</v>
      </c>
      <c r="ED172" s="113">
        <v>69419</v>
      </c>
      <c r="EE172" s="113">
        <v>70192</v>
      </c>
      <c r="EF172" s="113">
        <v>70418</v>
      </c>
      <c r="EG172" s="113">
        <v>71223</v>
      </c>
      <c r="EH172" s="113">
        <v>71303</v>
      </c>
      <c r="EI172" s="113">
        <v>77556</v>
      </c>
      <c r="EJ172" s="113">
        <v>77791</v>
      </c>
      <c r="EK172" s="113">
        <v>78520</v>
      </c>
      <c r="EL172" s="113">
        <v>78882</v>
      </c>
      <c r="EM172" s="113">
        <v>79625</v>
      </c>
      <c r="EN172" s="113">
        <v>79813</v>
      </c>
    </row>
    <row r="173" spans="1:144">
      <c r="A173" s="103" t="s">
        <v>2302</v>
      </c>
      <c r="B173" s="113">
        <v>0</v>
      </c>
      <c r="C173" s="113">
        <v>0</v>
      </c>
      <c r="D173" s="113">
        <v>0</v>
      </c>
      <c r="E173" s="113">
        <v>0</v>
      </c>
      <c r="F173" s="113">
        <v>0</v>
      </c>
      <c r="G173" s="113">
        <v>0</v>
      </c>
      <c r="H173" s="113">
        <v>0</v>
      </c>
      <c r="I173" s="113">
        <v>0</v>
      </c>
      <c r="J173" s="113">
        <v>0</v>
      </c>
      <c r="K173" s="113">
        <v>0</v>
      </c>
      <c r="L173" s="113">
        <v>0</v>
      </c>
      <c r="M173" s="113">
        <v>0</v>
      </c>
      <c r="N173" s="113">
        <v>0</v>
      </c>
      <c r="O173" s="113">
        <v>0</v>
      </c>
      <c r="P173" s="113">
        <v>0</v>
      </c>
      <c r="Q173" s="113">
        <v>0</v>
      </c>
      <c r="R173" s="113">
        <v>0</v>
      </c>
      <c r="S173" s="113">
        <v>0</v>
      </c>
      <c r="T173" s="113">
        <v>0</v>
      </c>
      <c r="U173" s="113">
        <v>0</v>
      </c>
      <c r="V173" s="113">
        <v>0</v>
      </c>
      <c r="W173" s="113">
        <v>0</v>
      </c>
      <c r="X173" s="113">
        <v>0</v>
      </c>
      <c r="Y173" s="113">
        <v>0</v>
      </c>
      <c r="Z173" s="113">
        <v>0</v>
      </c>
      <c r="AA173" s="113">
        <v>0</v>
      </c>
      <c r="AB173" s="113">
        <v>0</v>
      </c>
      <c r="AC173" s="113">
        <v>0</v>
      </c>
      <c r="AD173" s="113">
        <v>0</v>
      </c>
      <c r="AE173" s="113">
        <v>0</v>
      </c>
      <c r="AG173" s="103" t="s">
        <v>2302</v>
      </c>
      <c r="AH173" s="113">
        <v>0</v>
      </c>
      <c r="AI173" s="113">
        <v>0</v>
      </c>
      <c r="AJ173" s="113">
        <v>0</v>
      </c>
      <c r="AK173" s="113">
        <v>0</v>
      </c>
      <c r="AL173" s="113">
        <v>0</v>
      </c>
      <c r="AM173" s="113">
        <v>0</v>
      </c>
      <c r="AN173" s="113">
        <v>0</v>
      </c>
      <c r="AO173" s="113">
        <v>0</v>
      </c>
      <c r="AP173" s="113">
        <v>0</v>
      </c>
      <c r="AQ173" s="113">
        <v>0</v>
      </c>
      <c r="AR173" s="113">
        <v>0</v>
      </c>
      <c r="AS173" s="113">
        <v>0</v>
      </c>
      <c r="AT173" s="113">
        <v>0</v>
      </c>
      <c r="AU173" s="113">
        <v>0</v>
      </c>
      <c r="AV173" s="113">
        <v>0</v>
      </c>
      <c r="AW173" s="113">
        <v>0</v>
      </c>
      <c r="AX173" s="113">
        <v>0</v>
      </c>
      <c r="AY173" s="113">
        <v>0</v>
      </c>
      <c r="AZ173" s="113">
        <v>0</v>
      </c>
      <c r="BA173" s="113">
        <v>0</v>
      </c>
      <c r="BB173" s="113">
        <v>0</v>
      </c>
      <c r="BC173" s="113">
        <v>0</v>
      </c>
      <c r="BD173" s="113">
        <v>0</v>
      </c>
      <c r="BE173" s="113">
        <v>0</v>
      </c>
      <c r="BF173" s="113">
        <v>0</v>
      </c>
      <c r="BG173" s="113">
        <v>0</v>
      </c>
      <c r="BH173" s="113">
        <v>0</v>
      </c>
      <c r="BI173" s="113">
        <v>0</v>
      </c>
      <c r="BJ173" s="113">
        <v>0</v>
      </c>
      <c r="BK173" s="113">
        <v>0</v>
      </c>
      <c r="BL173" s="113">
        <v>0</v>
      </c>
      <c r="BM173" s="113">
        <v>0</v>
      </c>
      <c r="BN173" s="113">
        <v>0</v>
      </c>
      <c r="BO173" s="113">
        <v>0</v>
      </c>
      <c r="BP173" s="113">
        <v>0</v>
      </c>
      <c r="BQ173" s="113">
        <v>0</v>
      </c>
      <c r="BR173" s="113">
        <v>0</v>
      </c>
      <c r="BS173" s="113">
        <v>0</v>
      </c>
      <c r="BT173" s="113">
        <v>0</v>
      </c>
      <c r="BU173" s="113">
        <v>0</v>
      </c>
      <c r="BV173" s="113">
        <v>0</v>
      </c>
      <c r="BW173" s="113">
        <v>0</v>
      </c>
      <c r="BX173" s="113">
        <v>0</v>
      </c>
      <c r="BY173" s="113">
        <v>0</v>
      </c>
      <c r="BZ173" s="113">
        <v>0</v>
      </c>
      <c r="CA173" s="113">
        <v>0</v>
      </c>
      <c r="CB173" s="113">
        <v>0</v>
      </c>
      <c r="CC173" s="113">
        <v>0</v>
      </c>
      <c r="CD173" s="113">
        <v>0</v>
      </c>
      <c r="CE173" s="113">
        <v>0</v>
      </c>
      <c r="CF173" s="113">
        <v>0</v>
      </c>
      <c r="CG173" s="113">
        <v>0</v>
      </c>
      <c r="CH173" s="113">
        <v>0</v>
      </c>
      <c r="CI173" s="113">
        <v>0</v>
      </c>
      <c r="CJ173" s="113">
        <v>0</v>
      </c>
      <c r="CK173" s="113">
        <v>0</v>
      </c>
      <c r="CL173" s="113">
        <v>0</v>
      </c>
      <c r="CM173" s="113">
        <v>0</v>
      </c>
      <c r="CN173" s="113">
        <v>0</v>
      </c>
      <c r="CO173" s="113">
        <v>0</v>
      </c>
      <c r="CP173" s="113">
        <v>0</v>
      </c>
      <c r="CQ173" s="113">
        <v>0</v>
      </c>
      <c r="CR173" s="113">
        <v>0</v>
      </c>
      <c r="CS173" s="113">
        <v>0</v>
      </c>
      <c r="CT173" s="113">
        <v>0</v>
      </c>
      <c r="CU173" s="113">
        <v>0</v>
      </c>
      <c r="CV173" s="113">
        <v>0</v>
      </c>
      <c r="CW173" s="113">
        <v>0</v>
      </c>
      <c r="CX173" s="113">
        <v>0</v>
      </c>
      <c r="CY173" s="113">
        <v>0</v>
      </c>
      <c r="CZ173" s="113">
        <v>0</v>
      </c>
      <c r="DA173" s="113">
        <v>0</v>
      </c>
      <c r="DB173" s="113">
        <v>0</v>
      </c>
      <c r="DC173" s="113">
        <v>0</v>
      </c>
      <c r="DD173" s="113">
        <v>0</v>
      </c>
      <c r="DE173" s="113">
        <v>0</v>
      </c>
      <c r="DF173" s="113">
        <v>0</v>
      </c>
      <c r="DG173" s="113">
        <v>0</v>
      </c>
      <c r="DH173" s="113">
        <v>0</v>
      </c>
      <c r="DI173" s="113">
        <v>0</v>
      </c>
      <c r="DJ173" s="113">
        <v>0</v>
      </c>
      <c r="DK173" s="113">
        <v>0</v>
      </c>
      <c r="DL173" s="113">
        <v>0</v>
      </c>
      <c r="DM173" s="113">
        <v>0</v>
      </c>
      <c r="DN173" s="113">
        <v>0</v>
      </c>
      <c r="DO173" s="113">
        <v>0</v>
      </c>
      <c r="DP173" s="113">
        <v>0</v>
      </c>
      <c r="DQ173" s="113">
        <v>0</v>
      </c>
      <c r="DR173" s="113">
        <v>0</v>
      </c>
      <c r="DS173" s="113">
        <v>0</v>
      </c>
      <c r="DT173" s="113">
        <v>0</v>
      </c>
      <c r="DU173" s="113">
        <v>0</v>
      </c>
      <c r="DV173" s="113">
        <v>0</v>
      </c>
      <c r="DW173" s="113">
        <v>0</v>
      </c>
      <c r="DX173" s="113">
        <v>0</v>
      </c>
      <c r="DY173" s="113">
        <v>0</v>
      </c>
      <c r="DZ173" s="113">
        <v>0</v>
      </c>
      <c r="EA173" s="113">
        <v>0</v>
      </c>
      <c r="EB173" s="113">
        <v>0</v>
      </c>
      <c r="EC173" s="113">
        <v>0</v>
      </c>
      <c r="ED173" s="113">
        <v>0</v>
      </c>
      <c r="EE173" s="113">
        <v>0</v>
      </c>
      <c r="EF173" s="113">
        <v>0</v>
      </c>
      <c r="EG173" s="113">
        <v>0</v>
      </c>
      <c r="EH173" s="113">
        <v>0</v>
      </c>
      <c r="EI173" s="113">
        <v>0</v>
      </c>
      <c r="EJ173" s="113">
        <v>0</v>
      </c>
      <c r="EK173" s="113">
        <v>0</v>
      </c>
      <c r="EL173" s="113">
        <v>0</v>
      </c>
      <c r="EM173" s="113">
        <v>0</v>
      </c>
      <c r="EN173" s="113">
        <v>0</v>
      </c>
    </row>
    <row r="174" spans="1:144">
      <c r="A174" s="103" t="s">
        <v>2303</v>
      </c>
      <c r="B174" s="113">
        <v>956.28899999999999</v>
      </c>
      <c r="C174" s="113">
        <v>1536</v>
      </c>
      <c r="D174" s="113">
        <v>2156</v>
      </c>
      <c r="E174" s="113">
        <v>2950</v>
      </c>
      <c r="F174" s="113">
        <v>3328</v>
      </c>
      <c r="G174" s="113">
        <v>3984</v>
      </c>
      <c r="H174" s="113">
        <v>5288</v>
      </c>
      <c r="I174" s="113">
        <v>6956</v>
      </c>
      <c r="J174" s="113">
        <v>11827</v>
      </c>
      <c r="K174" s="113">
        <v>16646</v>
      </c>
      <c r="L174" s="113">
        <v>18312</v>
      </c>
      <c r="M174" s="113">
        <v>19950</v>
      </c>
      <c r="N174" s="113">
        <v>13838</v>
      </c>
      <c r="O174" s="113">
        <v>17310</v>
      </c>
      <c r="P174" s="113">
        <v>-13724</v>
      </c>
      <c r="Q174" s="113">
        <v>-20130</v>
      </c>
      <c r="R174" s="113">
        <v>-31114</v>
      </c>
      <c r="S174" s="113">
        <v>-27703</v>
      </c>
      <c r="T174" s="113">
        <v>-23793</v>
      </c>
      <c r="U174" s="113">
        <v>-17736</v>
      </c>
      <c r="V174" s="113">
        <v>-8195</v>
      </c>
      <c r="W174" s="113">
        <v>-856</v>
      </c>
      <c r="X174" s="113">
        <v>9895</v>
      </c>
      <c r="Y174" s="113">
        <v>17710</v>
      </c>
      <c r="Z174" s="113">
        <v>9096</v>
      </c>
      <c r="AA174" s="113">
        <v>2282</v>
      </c>
      <c r="AB174" s="113">
        <v>17769</v>
      </c>
      <c r="AC174" s="113">
        <v>13682</v>
      </c>
      <c r="AD174" s="113">
        <v>24150</v>
      </c>
      <c r="AE174" s="113">
        <v>32012</v>
      </c>
      <c r="AG174" s="103" t="s">
        <v>2303</v>
      </c>
      <c r="AH174" s="113">
        <v>0</v>
      </c>
      <c r="AI174" s="113">
        <v>0</v>
      </c>
      <c r="AJ174" s="113">
        <v>0</v>
      </c>
      <c r="AK174" s="113">
        <v>2156</v>
      </c>
      <c r="AL174" s="113">
        <v>0</v>
      </c>
      <c r="AM174" s="113">
        <v>2514</v>
      </c>
      <c r="AN174" s="113">
        <v>2639</v>
      </c>
      <c r="AO174" s="113">
        <v>2950</v>
      </c>
      <c r="AP174" s="113">
        <v>2824</v>
      </c>
      <c r="AQ174" s="113">
        <v>2744</v>
      </c>
      <c r="AR174" s="113">
        <v>3068</v>
      </c>
      <c r="AS174" s="113">
        <v>3328</v>
      </c>
      <c r="AT174" s="113">
        <v>3567</v>
      </c>
      <c r="AU174" s="113">
        <v>3895</v>
      </c>
      <c r="AV174" s="113">
        <v>3917</v>
      </c>
      <c r="AW174" s="113">
        <v>3984</v>
      </c>
      <c r="AX174" s="113">
        <v>4057</v>
      </c>
      <c r="AY174" s="113">
        <v>5121</v>
      </c>
      <c r="AZ174" s="113">
        <v>4118</v>
      </c>
      <c r="BA174" s="113">
        <v>5288</v>
      </c>
      <c r="BB174" s="113">
        <v>4854</v>
      </c>
      <c r="BC174" s="113">
        <v>5260</v>
      </c>
      <c r="BD174" s="113">
        <v>6712</v>
      </c>
      <c r="BE174" s="113">
        <v>6956</v>
      </c>
      <c r="BF174" s="113">
        <v>8983</v>
      </c>
      <c r="BG174" s="113">
        <v>11155</v>
      </c>
      <c r="BH174" s="113">
        <v>12324</v>
      </c>
      <c r="BI174" s="113">
        <v>11827</v>
      </c>
      <c r="BJ174" s="113">
        <v>14482</v>
      </c>
      <c r="BK174" s="113">
        <v>15711</v>
      </c>
      <c r="BL174" s="113">
        <v>18817</v>
      </c>
      <c r="BM174" s="113">
        <v>16646</v>
      </c>
      <c r="BN174" s="113">
        <v>17223</v>
      </c>
      <c r="BO174" s="113">
        <v>18471</v>
      </c>
      <c r="BP174" s="113">
        <v>19839</v>
      </c>
      <c r="BQ174" s="113">
        <v>18312</v>
      </c>
      <c r="BR174" s="113">
        <v>18588</v>
      </c>
      <c r="BS174" s="113">
        <v>20619</v>
      </c>
      <c r="BT174" s="113">
        <v>22742</v>
      </c>
      <c r="BU174" s="113">
        <v>19950</v>
      </c>
      <c r="BV174" s="113">
        <v>20021</v>
      </c>
      <c r="BW174" s="113">
        <v>21687</v>
      </c>
      <c r="BX174" s="113">
        <v>22975</v>
      </c>
      <c r="BY174" s="113">
        <v>13838</v>
      </c>
      <c r="BZ174" s="113">
        <v>13663</v>
      </c>
      <c r="CA174" s="113">
        <v>14472</v>
      </c>
      <c r="CB174" s="113">
        <v>14580</v>
      </c>
      <c r="CC174" s="113">
        <v>17310</v>
      </c>
      <c r="CD174" s="113">
        <v>17591</v>
      </c>
      <c r="CE174" s="113">
        <v>-12974</v>
      </c>
      <c r="CF174" s="113">
        <v>-13200</v>
      </c>
      <c r="CG174" s="113">
        <v>-13724</v>
      </c>
      <c r="CH174" s="113">
        <v>-13820</v>
      </c>
      <c r="CI174" s="113">
        <v>-17052</v>
      </c>
      <c r="CJ174" s="113">
        <v>-18909</v>
      </c>
      <c r="CK174" s="113">
        <v>-20130</v>
      </c>
      <c r="CL174" s="113">
        <v>-22920</v>
      </c>
      <c r="CM174" s="113">
        <v>-26100</v>
      </c>
      <c r="CN174" s="113">
        <v>-27389</v>
      </c>
      <c r="CO174" s="113">
        <v>-31114</v>
      </c>
      <c r="CP174" s="113">
        <v>-30094</v>
      </c>
      <c r="CQ174" s="113">
        <v>-29725</v>
      </c>
      <c r="CR174" s="113">
        <v>-27176</v>
      </c>
      <c r="CS174" s="113">
        <v>-27703</v>
      </c>
      <c r="CT174" s="113">
        <v>-28938</v>
      </c>
      <c r="CU174" s="113">
        <v>-27499</v>
      </c>
      <c r="CV174" s="113">
        <v>-25679</v>
      </c>
      <c r="CW174" s="113">
        <v>-23793</v>
      </c>
      <c r="CX174" s="113">
        <v>-22415</v>
      </c>
      <c r="CY174" s="113">
        <v>-19605</v>
      </c>
      <c r="CZ174" s="113">
        <v>-18260</v>
      </c>
      <c r="DA174" s="113">
        <v>-17736</v>
      </c>
      <c r="DB174" s="113">
        <v>-16512</v>
      </c>
      <c r="DC174" s="113">
        <v>-14862</v>
      </c>
      <c r="DD174" s="113">
        <v>-11592</v>
      </c>
      <c r="DE174" s="113">
        <v>-8195</v>
      </c>
      <c r="DF174" s="113">
        <v>-4852</v>
      </c>
      <c r="DG174" s="113">
        <v>-607</v>
      </c>
      <c r="DH174" s="113">
        <v>2054</v>
      </c>
      <c r="DI174" s="113">
        <v>-856</v>
      </c>
      <c r="DJ174" s="113">
        <v>932</v>
      </c>
      <c r="DK174" s="113">
        <v>4236</v>
      </c>
      <c r="DL174" s="113">
        <v>7657</v>
      </c>
      <c r="DM174" s="113">
        <v>9895</v>
      </c>
      <c r="DN174" s="113">
        <v>11680</v>
      </c>
      <c r="DO174" s="113">
        <v>14347</v>
      </c>
      <c r="DP174" s="113">
        <v>16289</v>
      </c>
      <c r="DQ174" s="113">
        <v>17710</v>
      </c>
      <c r="DR174" s="113">
        <v>18051</v>
      </c>
      <c r="DS174" s="113">
        <v>19731</v>
      </c>
      <c r="DT174" s="113">
        <v>18186</v>
      </c>
      <c r="DU174" s="113">
        <v>9096</v>
      </c>
      <c r="DV174" s="113">
        <v>7614</v>
      </c>
      <c r="DW174" s="113">
        <v>6728</v>
      </c>
      <c r="DX174" s="113">
        <v>4954</v>
      </c>
      <c r="DY174" s="113">
        <v>2282</v>
      </c>
      <c r="DZ174" s="113">
        <v>944</v>
      </c>
      <c r="EA174" s="113">
        <v>120</v>
      </c>
      <c r="EB174" s="113">
        <v>531</v>
      </c>
      <c r="EC174" s="113">
        <v>17769</v>
      </c>
      <c r="ED174" s="113">
        <v>19702</v>
      </c>
      <c r="EE174" s="113">
        <v>8567</v>
      </c>
      <c r="EF174" s="113">
        <v>9974</v>
      </c>
      <c r="EG174" s="113">
        <v>13682</v>
      </c>
      <c r="EH174" s="113">
        <v>17279</v>
      </c>
      <c r="EI174" s="113">
        <v>16585</v>
      </c>
      <c r="EJ174" s="113">
        <v>18338</v>
      </c>
      <c r="EK174" s="113">
        <v>24150</v>
      </c>
      <c r="EL174" s="113">
        <v>27240</v>
      </c>
      <c r="EM174" s="113">
        <v>30739</v>
      </c>
      <c r="EN174" s="113">
        <v>32012</v>
      </c>
    </row>
    <row r="175" spans="1:144">
      <c r="A175" s="103" t="s">
        <v>2304</v>
      </c>
      <c r="B175" s="113">
        <v>0</v>
      </c>
      <c r="C175" s="113">
        <v>0</v>
      </c>
      <c r="D175" s="113">
        <v>0</v>
      </c>
      <c r="E175" s="113">
        <v>0</v>
      </c>
      <c r="F175" s="113">
        <v>0</v>
      </c>
      <c r="G175" s="113">
        <v>0</v>
      </c>
      <c r="H175" s="113">
        <v>0</v>
      </c>
      <c r="I175" s="113">
        <v>0</v>
      </c>
      <c r="J175" s="113">
        <v>0</v>
      </c>
      <c r="K175" s="113">
        <v>0</v>
      </c>
      <c r="L175" s="113">
        <v>0</v>
      </c>
      <c r="M175" s="113">
        <v>0</v>
      </c>
      <c r="N175" s="113">
        <v>0</v>
      </c>
      <c r="O175" s="113">
        <v>0</v>
      </c>
      <c r="P175" s="113">
        <v>0</v>
      </c>
      <c r="Q175" s="113">
        <v>0</v>
      </c>
      <c r="R175" s="113">
        <v>0</v>
      </c>
      <c r="S175" s="113">
        <v>0</v>
      </c>
      <c r="T175" s="113">
        <v>0</v>
      </c>
      <c r="U175" s="113">
        <v>0</v>
      </c>
      <c r="V175" s="113">
        <v>0</v>
      </c>
      <c r="W175" s="113">
        <v>0</v>
      </c>
      <c r="X175" s="113">
        <v>0</v>
      </c>
      <c r="Y175" s="113">
        <v>0</v>
      </c>
      <c r="Z175" s="113">
        <v>0</v>
      </c>
      <c r="AA175" s="113">
        <v>0</v>
      </c>
      <c r="AB175" s="113">
        <v>0</v>
      </c>
      <c r="AC175" s="113">
        <v>0</v>
      </c>
      <c r="AD175" s="113">
        <v>0</v>
      </c>
      <c r="AE175" s="113">
        <v>0</v>
      </c>
      <c r="AG175" s="103" t="s">
        <v>2304</v>
      </c>
      <c r="AH175" s="113">
        <v>0</v>
      </c>
      <c r="AI175" s="113">
        <v>0</v>
      </c>
      <c r="AJ175" s="113">
        <v>0</v>
      </c>
      <c r="AK175" s="113">
        <v>0</v>
      </c>
      <c r="AL175" s="113">
        <v>0</v>
      </c>
      <c r="AM175" s="113">
        <v>0</v>
      </c>
      <c r="AN175" s="113">
        <v>0</v>
      </c>
      <c r="AO175" s="113">
        <v>0</v>
      </c>
      <c r="AP175" s="113">
        <v>0</v>
      </c>
      <c r="AQ175" s="113">
        <v>0</v>
      </c>
      <c r="AR175" s="113">
        <v>0</v>
      </c>
      <c r="AS175" s="113">
        <v>0</v>
      </c>
      <c r="AT175" s="113">
        <v>0</v>
      </c>
      <c r="AU175" s="113">
        <v>0</v>
      </c>
      <c r="AV175" s="113">
        <v>0</v>
      </c>
      <c r="AW175" s="113">
        <v>0</v>
      </c>
      <c r="AX175" s="113">
        <v>0</v>
      </c>
      <c r="AY175" s="113">
        <v>0</v>
      </c>
      <c r="AZ175" s="113">
        <v>0</v>
      </c>
      <c r="BA175" s="113">
        <v>0</v>
      </c>
      <c r="BB175" s="113">
        <v>0</v>
      </c>
      <c r="BC175" s="113">
        <v>0</v>
      </c>
      <c r="BD175" s="113">
        <v>0</v>
      </c>
      <c r="BE175" s="113">
        <v>0</v>
      </c>
      <c r="BF175" s="113">
        <v>0</v>
      </c>
      <c r="BG175" s="113">
        <v>0</v>
      </c>
      <c r="BH175" s="113">
        <v>0</v>
      </c>
      <c r="BI175" s="113">
        <v>0</v>
      </c>
      <c r="BJ175" s="113">
        <v>0</v>
      </c>
      <c r="BK175" s="113">
        <v>0</v>
      </c>
      <c r="BL175" s="113">
        <v>0</v>
      </c>
      <c r="BM175" s="113">
        <v>0</v>
      </c>
      <c r="BN175" s="113">
        <v>0</v>
      </c>
      <c r="BO175" s="113">
        <v>0</v>
      </c>
      <c r="BP175" s="113">
        <v>0</v>
      </c>
      <c r="BQ175" s="113">
        <v>0</v>
      </c>
      <c r="BR175" s="113">
        <v>0</v>
      </c>
      <c r="BS175" s="113">
        <v>0</v>
      </c>
      <c r="BT175" s="113">
        <v>0</v>
      </c>
      <c r="BU175" s="113">
        <v>0</v>
      </c>
      <c r="BV175" s="113">
        <v>0</v>
      </c>
      <c r="BW175" s="113">
        <v>0</v>
      </c>
      <c r="BX175" s="113">
        <v>0</v>
      </c>
      <c r="BY175" s="113">
        <v>0</v>
      </c>
      <c r="BZ175" s="113">
        <v>0</v>
      </c>
      <c r="CA175" s="113">
        <v>0</v>
      </c>
      <c r="CB175" s="113">
        <v>0</v>
      </c>
      <c r="CC175" s="113">
        <v>0</v>
      </c>
      <c r="CD175" s="113">
        <v>0</v>
      </c>
      <c r="CE175" s="113">
        <v>0</v>
      </c>
      <c r="CF175" s="113">
        <v>0</v>
      </c>
      <c r="CG175" s="113">
        <v>0</v>
      </c>
      <c r="CH175" s="113">
        <v>0</v>
      </c>
      <c r="CI175" s="113">
        <v>0</v>
      </c>
      <c r="CJ175" s="113">
        <v>0</v>
      </c>
      <c r="CK175" s="113">
        <v>0</v>
      </c>
      <c r="CL175" s="113">
        <v>0</v>
      </c>
      <c r="CM175" s="113">
        <v>0</v>
      </c>
      <c r="CN175" s="113">
        <v>0</v>
      </c>
      <c r="CO175" s="113">
        <v>0</v>
      </c>
      <c r="CP175" s="113">
        <v>0</v>
      </c>
      <c r="CQ175" s="113">
        <v>0</v>
      </c>
      <c r="CR175" s="113">
        <v>0</v>
      </c>
      <c r="CS175" s="113">
        <v>0</v>
      </c>
      <c r="CT175" s="113">
        <v>0</v>
      </c>
      <c r="CU175" s="113">
        <v>0</v>
      </c>
      <c r="CV175" s="113">
        <v>0</v>
      </c>
      <c r="CW175" s="113">
        <v>0</v>
      </c>
      <c r="CX175" s="113">
        <v>0</v>
      </c>
      <c r="CY175" s="113">
        <v>0</v>
      </c>
      <c r="CZ175" s="113">
        <v>0</v>
      </c>
      <c r="DA175" s="113">
        <v>0</v>
      </c>
      <c r="DB175" s="113">
        <v>0</v>
      </c>
      <c r="DC175" s="113">
        <v>0</v>
      </c>
      <c r="DD175" s="113">
        <v>0</v>
      </c>
      <c r="DE175" s="113">
        <v>0</v>
      </c>
      <c r="DF175" s="113">
        <v>0</v>
      </c>
      <c r="DG175" s="113">
        <v>0</v>
      </c>
      <c r="DH175" s="113">
        <v>0</v>
      </c>
      <c r="DI175" s="113">
        <v>0</v>
      </c>
      <c r="DJ175" s="113">
        <v>0</v>
      </c>
      <c r="DK175" s="113">
        <v>0</v>
      </c>
      <c r="DL175" s="113">
        <v>0</v>
      </c>
      <c r="DM175" s="113">
        <v>0</v>
      </c>
      <c r="DN175" s="113">
        <v>0</v>
      </c>
      <c r="DO175" s="113">
        <v>0</v>
      </c>
      <c r="DP175" s="113">
        <v>0</v>
      </c>
      <c r="DQ175" s="113">
        <v>0</v>
      </c>
      <c r="DR175" s="113">
        <v>0</v>
      </c>
      <c r="DS175" s="113">
        <v>0</v>
      </c>
      <c r="DT175" s="113">
        <v>0</v>
      </c>
      <c r="DU175" s="113">
        <v>0</v>
      </c>
      <c r="DV175" s="113">
        <v>0</v>
      </c>
      <c r="DW175" s="113">
        <v>0</v>
      </c>
      <c r="DX175" s="113">
        <v>0</v>
      </c>
      <c r="DY175" s="113">
        <v>0</v>
      </c>
      <c r="DZ175" s="113">
        <v>0</v>
      </c>
      <c r="EA175" s="113">
        <v>0</v>
      </c>
      <c r="EB175" s="113">
        <v>0</v>
      </c>
      <c r="EC175" s="113">
        <v>0</v>
      </c>
      <c r="ED175" s="113">
        <v>0</v>
      </c>
      <c r="EE175" s="113">
        <v>0</v>
      </c>
      <c r="EF175" s="113">
        <v>0</v>
      </c>
      <c r="EG175" s="113">
        <v>0</v>
      </c>
      <c r="EH175" s="113">
        <v>0</v>
      </c>
      <c r="EI175" s="113">
        <v>0</v>
      </c>
      <c r="EJ175" s="113">
        <v>0</v>
      </c>
      <c r="EK175" s="113">
        <v>0</v>
      </c>
      <c r="EL175" s="113">
        <v>0</v>
      </c>
      <c r="EM175" s="113">
        <v>0</v>
      </c>
      <c r="EN175" s="113">
        <v>0</v>
      </c>
    </row>
    <row r="176" spans="1:144">
      <c r="A176" s="103" t="s">
        <v>2305</v>
      </c>
      <c r="B176" s="113">
        <v>0</v>
      </c>
      <c r="C176" s="113">
        <v>0</v>
      </c>
      <c r="D176" s="113">
        <v>0</v>
      </c>
      <c r="E176" s="113">
        <v>0</v>
      </c>
      <c r="F176" s="113">
        <v>0</v>
      </c>
      <c r="G176" s="113">
        <v>0</v>
      </c>
      <c r="H176" s="113">
        <v>0</v>
      </c>
      <c r="I176" s="113">
        <v>666</v>
      </c>
      <c r="J176" s="113">
        <v>1787</v>
      </c>
      <c r="K176" s="113">
        <v>1527</v>
      </c>
      <c r="L176" s="113">
        <v>587</v>
      </c>
      <c r="M176" s="113">
        <v>583</v>
      </c>
      <c r="N176" s="113">
        <v>1840</v>
      </c>
      <c r="O176" s="113">
        <v>1119</v>
      </c>
      <c r="P176" s="113">
        <v>1426</v>
      </c>
      <c r="Q176" s="113">
        <v>1229</v>
      </c>
      <c r="R176" s="113">
        <v>1654</v>
      </c>
      <c r="S176" s="113">
        <v>1140</v>
      </c>
      <c r="T176" s="113">
        <v>969</v>
      </c>
      <c r="U176" s="113">
        <v>1055</v>
      </c>
      <c r="V176" s="113">
        <v>1863</v>
      </c>
      <c r="W176" s="113">
        <v>1422</v>
      </c>
      <c r="X176" s="113">
        <v>1743</v>
      </c>
      <c r="Y176" s="113">
        <v>3708</v>
      </c>
      <c r="Z176" s="113">
        <v>2522</v>
      </c>
      <c r="AA176" s="113">
        <v>1537</v>
      </c>
      <c r="AB176" s="113">
        <v>627</v>
      </c>
      <c r="AC176" s="113">
        <v>-2187</v>
      </c>
      <c r="AD176" s="113">
        <v>-340</v>
      </c>
      <c r="AE176" s="113">
        <v>2676</v>
      </c>
      <c r="AG176" s="103" t="s">
        <v>2305</v>
      </c>
      <c r="AH176" s="113">
        <v>0</v>
      </c>
      <c r="AI176" s="113">
        <v>0</v>
      </c>
      <c r="AJ176" s="113">
        <v>0</v>
      </c>
      <c r="AK176" s="113">
        <v>0</v>
      </c>
      <c r="AL176" s="113">
        <v>0</v>
      </c>
      <c r="AM176" s="113">
        <v>0</v>
      </c>
      <c r="AN176" s="113">
        <v>0</v>
      </c>
      <c r="AO176" s="113">
        <v>0</v>
      </c>
      <c r="AP176" s="113">
        <v>0</v>
      </c>
      <c r="AQ176" s="113">
        <v>297</v>
      </c>
      <c r="AR176" s="113">
        <v>352</v>
      </c>
      <c r="AS176" s="113">
        <v>0</v>
      </c>
      <c r="AT176" s="113">
        <v>537</v>
      </c>
      <c r="AU176" s="113">
        <v>560</v>
      </c>
      <c r="AV176" s="113">
        <v>606</v>
      </c>
      <c r="AW176" s="113">
        <v>0</v>
      </c>
      <c r="AX176" s="113">
        <v>675</v>
      </c>
      <c r="AY176" s="113">
        <v>0</v>
      </c>
      <c r="AZ176" s="113">
        <v>0</v>
      </c>
      <c r="BA176" s="113">
        <v>0</v>
      </c>
      <c r="BB176" s="113">
        <v>0</v>
      </c>
      <c r="BC176" s="113">
        <v>0</v>
      </c>
      <c r="BD176" s="113">
        <v>0</v>
      </c>
      <c r="BE176" s="113">
        <v>666</v>
      </c>
      <c r="BF176" s="113">
        <v>0</v>
      </c>
      <c r="BG176" s="113">
        <v>0</v>
      </c>
      <c r="BH176" s="113">
        <v>0</v>
      </c>
      <c r="BI176" s="113">
        <v>1787</v>
      </c>
      <c r="BJ176" s="113">
        <v>0</v>
      </c>
      <c r="BK176" s="113">
        <v>0</v>
      </c>
      <c r="BL176" s="113">
        <v>0</v>
      </c>
      <c r="BM176" s="113">
        <v>1527</v>
      </c>
      <c r="BN176" s="113">
        <v>1459</v>
      </c>
      <c r="BO176" s="113">
        <v>773</v>
      </c>
      <c r="BP176" s="113">
        <v>604</v>
      </c>
      <c r="BQ176" s="113">
        <v>587</v>
      </c>
      <c r="BR176" s="113">
        <v>621</v>
      </c>
      <c r="BS176" s="113">
        <v>754</v>
      </c>
      <c r="BT176" s="113">
        <v>654</v>
      </c>
      <c r="BU176" s="113">
        <v>583</v>
      </c>
      <c r="BV176" s="113">
        <v>482</v>
      </c>
      <c r="BW176" s="113">
        <v>520</v>
      </c>
      <c r="BX176" s="113">
        <v>975</v>
      </c>
      <c r="BY176" s="113">
        <v>1840</v>
      </c>
      <c r="BZ176" s="113">
        <v>1719</v>
      </c>
      <c r="CA176" s="113">
        <v>2195</v>
      </c>
      <c r="CB176" s="113">
        <v>2025</v>
      </c>
      <c r="CC176" s="113">
        <v>1119</v>
      </c>
      <c r="CD176" s="113">
        <v>1208</v>
      </c>
      <c r="CE176" s="113">
        <v>1803</v>
      </c>
      <c r="CF176" s="113">
        <v>1744</v>
      </c>
      <c r="CG176" s="113">
        <v>1426</v>
      </c>
      <c r="CH176" s="113">
        <v>1285</v>
      </c>
      <c r="CI176" s="113">
        <v>1120</v>
      </c>
      <c r="CJ176" s="113">
        <v>1097</v>
      </c>
      <c r="CK176" s="113">
        <v>1229</v>
      </c>
      <c r="CL176" s="113">
        <v>1364</v>
      </c>
      <c r="CM176" s="113">
        <v>1582</v>
      </c>
      <c r="CN176" s="113">
        <v>1535</v>
      </c>
      <c r="CO176" s="113">
        <v>1654</v>
      </c>
      <c r="CP176" s="113">
        <v>1530</v>
      </c>
      <c r="CQ176" s="113">
        <v>1628</v>
      </c>
      <c r="CR176" s="113">
        <v>1355</v>
      </c>
      <c r="CS176" s="113">
        <v>1140</v>
      </c>
      <c r="CT176" s="113">
        <v>877</v>
      </c>
      <c r="CU176" s="113">
        <v>585</v>
      </c>
      <c r="CV176" s="113">
        <v>726</v>
      </c>
      <c r="CW176" s="113">
        <v>969</v>
      </c>
      <c r="CX176" s="113">
        <v>1334</v>
      </c>
      <c r="CY176" s="113">
        <v>1322</v>
      </c>
      <c r="CZ176" s="113">
        <v>1453</v>
      </c>
      <c r="DA176" s="113">
        <v>1055</v>
      </c>
      <c r="DB176" s="113">
        <v>1519</v>
      </c>
      <c r="DC176" s="113">
        <v>1697</v>
      </c>
      <c r="DD176" s="113">
        <v>1810</v>
      </c>
      <c r="DE176" s="113">
        <v>1863</v>
      </c>
      <c r="DF176" s="113">
        <v>751</v>
      </c>
      <c r="DG176" s="113">
        <v>826</v>
      </c>
      <c r="DH176" s="113">
        <v>1332</v>
      </c>
      <c r="DI176" s="113">
        <v>1422</v>
      </c>
      <c r="DJ176" s="113">
        <v>1820</v>
      </c>
      <c r="DK176" s="113">
        <v>2006</v>
      </c>
      <c r="DL176" s="113">
        <v>2205</v>
      </c>
      <c r="DM176" s="113">
        <v>1743</v>
      </c>
      <c r="DN176" s="113">
        <v>2731</v>
      </c>
      <c r="DO176" s="113">
        <v>3277</v>
      </c>
      <c r="DP176" s="113">
        <v>3332</v>
      </c>
      <c r="DQ176" s="113">
        <v>3708</v>
      </c>
      <c r="DR176" s="113">
        <v>3757</v>
      </c>
      <c r="DS176" s="113">
        <v>3383</v>
      </c>
      <c r="DT176" s="113">
        <v>3471</v>
      </c>
      <c r="DU176" s="113">
        <v>2522</v>
      </c>
      <c r="DV176" s="113">
        <v>1738</v>
      </c>
      <c r="DW176" s="113">
        <v>1773</v>
      </c>
      <c r="DX176" s="113">
        <v>1840</v>
      </c>
      <c r="DY176" s="113">
        <v>1537</v>
      </c>
      <c r="DZ176" s="113">
        <v>1681</v>
      </c>
      <c r="EA176" s="113">
        <v>512</v>
      </c>
      <c r="EB176" s="113">
        <v>644</v>
      </c>
      <c r="EC176" s="113">
        <v>627</v>
      </c>
      <c r="ED176" s="113">
        <v>526</v>
      </c>
      <c r="EE176" s="113">
        <v>-399</v>
      </c>
      <c r="EF176" s="113">
        <v>-1153</v>
      </c>
      <c r="EG176" s="113">
        <v>-2187</v>
      </c>
      <c r="EH176" s="113">
        <v>-2615</v>
      </c>
      <c r="EI176" s="113">
        <v>-2013</v>
      </c>
      <c r="EJ176" s="113">
        <v>-1265</v>
      </c>
      <c r="EK176" s="113">
        <v>-340</v>
      </c>
      <c r="EL176" s="113">
        <v>-61</v>
      </c>
      <c r="EM176" s="113">
        <v>-255</v>
      </c>
      <c r="EN176" s="113">
        <v>2676</v>
      </c>
    </row>
    <row r="177" spans="1:144" ht="10.5">
      <c r="A177" s="112" t="s">
        <v>2306</v>
      </c>
      <c r="B177" s="114">
        <v>1350.8309999999999</v>
      </c>
      <c r="C177" s="114">
        <v>2193</v>
      </c>
      <c r="D177" s="114">
        <v>3242</v>
      </c>
      <c r="E177" s="114">
        <v>4450</v>
      </c>
      <c r="F177" s="114">
        <v>5333</v>
      </c>
      <c r="G177" s="114">
        <v>6908</v>
      </c>
      <c r="H177" s="114">
        <v>9797</v>
      </c>
      <c r="I177" s="114">
        <v>15647</v>
      </c>
      <c r="J177" s="114">
        <v>27458</v>
      </c>
      <c r="K177" s="114">
        <v>41368</v>
      </c>
      <c r="L177" s="114">
        <v>47289</v>
      </c>
      <c r="M177" s="114">
        <v>52180</v>
      </c>
      <c r="N177" s="114">
        <v>64912</v>
      </c>
      <c r="O177" s="114">
        <v>74825</v>
      </c>
      <c r="P177" s="114">
        <v>48115</v>
      </c>
      <c r="Q177" s="114">
        <v>40104</v>
      </c>
      <c r="R177" s="114">
        <v>31097</v>
      </c>
      <c r="S177" s="114">
        <v>36286</v>
      </c>
      <c r="T177" s="114">
        <v>39558</v>
      </c>
      <c r="U177" s="114">
        <v>46175</v>
      </c>
      <c r="V177" s="114">
        <v>57083</v>
      </c>
      <c r="W177" s="114">
        <v>66363</v>
      </c>
      <c r="X177" s="114">
        <v>78944</v>
      </c>
      <c r="Y177" s="114">
        <v>89784</v>
      </c>
      <c r="Z177" s="114">
        <v>80083</v>
      </c>
      <c r="AA177" s="114">
        <v>71997</v>
      </c>
      <c r="AB177" s="114">
        <v>87711</v>
      </c>
      <c r="AC177" s="114">
        <v>82718</v>
      </c>
      <c r="AD177" s="114">
        <v>102330</v>
      </c>
      <c r="AE177" s="114">
        <v>114501</v>
      </c>
      <c r="AG177" s="112" t="s">
        <v>2306</v>
      </c>
      <c r="AH177" s="114">
        <v>2193</v>
      </c>
      <c r="AI177" s="114">
        <v>0</v>
      </c>
      <c r="AJ177" s="114">
        <v>0</v>
      </c>
      <c r="AK177" s="114">
        <v>3242</v>
      </c>
      <c r="AL177" s="114">
        <v>3242</v>
      </c>
      <c r="AM177" s="114">
        <v>3746</v>
      </c>
      <c r="AN177" s="114">
        <v>4012</v>
      </c>
      <c r="AO177" s="114">
        <v>4450</v>
      </c>
      <c r="AP177" s="114">
        <v>4430</v>
      </c>
      <c r="AQ177" s="114">
        <v>4740</v>
      </c>
      <c r="AR177" s="114">
        <v>5282</v>
      </c>
      <c r="AS177" s="114">
        <v>5333</v>
      </c>
      <c r="AT177" s="114">
        <v>6276</v>
      </c>
      <c r="AU177" s="114">
        <v>6740</v>
      </c>
      <c r="AV177" s="114">
        <v>7201</v>
      </c>
      <c r="AW177" s="114">
        <v>6908</v>
      </c>
      <c r="AX177" s="114">
        <v>7952</v>
      </c>
      <c r="AY177" s="114">
        <v>8662</v>
      </c>
      <c r="AZ177" s="114">
        <v>8154</v>
      </c>
      <c r="BA177" s="114">
        <v>9797</v>
      </c>
      <c r="BB177" s="114">
        <v>10484</v>
      </c>
      <c r="BC177" s="114">
        <v>11364</v>
      </c>
      <c r="BD177" s="114">
        <v>13696</v>
      </c>
      <c r="BE177" s="114">
        <v>15647</v>
      </c>
      <c r="BF177" s="114">
        <v>18144</v>
      </c>
      <c r="BG177" s="114">
        <v>21598</v>
      </c>
      <c r="BH177" s="114">
        <v>24742</v>
      </c>
      <c r="BI177" s="114">
        <v>27458</v>
      </c>
      <c r="BJ177" s="114">
        <v>30360</v>
      </c>
      <c r="BK177" s="114">
        <v>34589</v>
      </c>
      <c r="BL177" s="114">
        <v>39792</v>
      </c>
      <c r="BM177" s="114">
        <v>41368</v>
      </c>
      <c r="BN177" s="114">
        <v>45343</v>
      </c>
      <c r="BO177" s="114">
        <v>46422</v>
      </c>
      <c r="BP177" s="114">
        <v>48090</v>
      </c>
      <c r="BQ177" s="114">
        <v>47289</v>
      </c>
      <c r="BR177" s="114">
        <v>48505</v>
      </c>
      <c r="BS177" s="114">
        <v>51548</v>
      </c>
      <c r="BT177" s="114">
        <v>54300</v>
      </c>
      <c r="BU177" s="114">
        <v>52180</v>
      </c>
      <c r="BV177" s="114">
        <v>53516</v>
      </c>
      <c r="BW177" s="114">
        <v>55812</v>
      </c>
      <c r="BX177" s="114">
        <v>58282</v>
      </c>
      <c r="BY177" s="114">
        <v>64912</v>
      </c>
      <c r="BZ177" s="114">
        <v>66680</v>
      </c>
      <c r="CA177" s="114">
        <v>69343</v>
      </c>
      <c r="CB177" s="114">
        <v>70580</v>
      </c>
      <c r="CC177" s="114">
        <v>74825</v>
      </c>
      <c r="CD177" s="114">
        <v>75946</v>
      </c>
      <c r="CE177" s="114">
        <v>47232</v>
      </c>
      <c r="CF177" s="114">
        <v>47373</v>
      </c>
      <c r="CG177" s="114">
        <v>48115</v>
      </c>
      <c r="CH177" s="114">
        <v>48327</v>
      </c>
      <c r="CI177" s="114">
        <v>44208</v>
      </c>
      <c r="CJ177" s="114">
        <v>42038</v>
      </c>
      <c r="CK177" s="114">
        <v>40104</v>
      </c>
      <c r="CL177" s="114">
        <v>36101</v>
      </c>
      <c r="CM177" s="114">
        <v>36634</v>
      </c>
      <c r="CN177" s="114">
        <v>34973</v>
      </c>
      <c r="CO177" s="114">
        <v>31097</v>
      </c>
      <c r="CP177" s="114">
        <v>32135</v>
      </c>
      <c r="CQ177" s="114">
        <v>34431</v>
      </c>
      <c r="CR177" s="114">
        <v>37554</v>
      </c>
      <c r="CS177" s="114">
        <v>36286</v>
      </c>
      <c r="CT177" s="114">
        <v>33594</v>
      </c>
      <c r="CU177" s="114">
        <v>34478</v>
      </c>
      <c r="CV177" s="114">
        <v>36943</v>
      </c>
      <c r="CW177" s="114">
        <v>39558</v>
      </c>
      <c r="CX177" s="114">
        <v>41212</v>
      </c>
      <c r="CY177" s="114">
        <v>44283</v>
      </c>
      <c r="CZ177" s="114">
        <v>45710</v>
      </c>
      <c r="DA177" s="114">
        <v>46175</v>
      </c>
      <c r="DB177" s="114">
        <v>46942</v>
      </c>
      <c r="DC177" s="114">
        <v>48481</v>
      </c>
      <c r="DD177" s="114">
        <v>53452</v>
      </c>
      <c r="DE177" s="114">
        <v>57083</v>
      </c>
      <c r="DF177" s="114">
        <v>59391</v>
      </c>
      <c r="DG177" s="114">
        <v>64121</v>
      </c>
      <c r="DH177" s="114">
        <v>68659</v>
      </c>
      <c r="DI177" s="114">
        <v>66363</v>
      </c>
      <c r="DJ177" s="114">
        <v>68836</v>
      </c>
      <c r="DK177" s="114">
        <v>72576</v>
      </c>
      <c r="DL177" s="114">
        <v>76688</v>
      </c>
      <c r="DM177" s="114">
        <v>78944</v>
      </c>
      <c r="DN177" s="114">
        <v>81641</v>
      </c>
      <c r="DO177" s="114">
        <v>85100</v>
      </c>
      <c r="DP177" s="114">
        <v>87424</v>
      </c>
      <c r="DQ177" s="114">
        <v>89784</v>
      </c>
      <c r="DR177" s="114">
        <v>90170</v>
      </c>
      <c r="DS177" s="114">
        <v>91879</v>
      </c>
      <c r="DT177" s="114">
        <v>90132</v>
      </c>
      <c r="DU177" s="114">
        <v>80083</v>
      </c>
      <c r="DV177" s="114">
        <v>77445</v>
      </c>
      <c r="DW177" s="114">
        <v>76780</v>
      </c>
      <c r="DX177" s="114">
        <v>74806</v>
      </c>
      <c r="DY177" s="114">
        <v>71997</v>
      </c>
      <c r="DZ177" s="114">
        <v>70372</v>
      </c>
      <c r="EA177" s="114">
        <v>68809</v>
      </c>
      <c r="EB177" s="114">
        <v>69729</v>
      </c>
      <c r="EC177" s="114">
        <v>87711</v>
      </c>
      <c r="ED177" s="114">
        <v>89647</v>
      </c>
      <c r="EE177" s="114">
        <v>78360</v>
      </c>
      <c r="EF177" s="114">
        <v>79239</v>
      </c>
      <c r="EG177" s="114">
        <v>82718</v>
      </c>
      <c r="EH177" s="114">
        <v>85967</v>
      </c>
      <c r="EI177" s="114">
        <v>92128</v>
      </c>
      <c r="EJ177" s="114">
        <v>94864</v>
      </c>
      <c r="EK177" s="114">
        <v>102330</v>
      </c>
      <c r="EL177" s="114">
        <v>106061</v>
      </c>
      <c r="EM177" s="114">
        <v>110109</v>
      </c>
      <c r="EN177" s="114">
        <v>114501</v>
      </c>
    </row>
    <row r="178" spans="1:144">
      <c r="A178" s="103"/>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c r="CR178" s="103"/>
      <c r="CS178" s="103"/>
      <c r="CT178" s="103"/>
      <c r="CU178" s="103"/>
      <c r="CV178" s="103"/>
      <c r="CW178" s="103"/>
      <c r="CX178" s="103"/>
      <c r="CY178" s="103"/>
      <c r="CZ178" s="103"/>
      <c r="DA178" s="103"/>
      <c r="DB178" s="103"/>
      <c r="DC178" s="103"/>
      <c r="DD178" s="103"/>
      <c r="DE178" s="103"/>
      <c r="DF178" s="103"/>
      <c r="DG178" s="103"/>
      <c r="DH178" s="103"/>
      <c r="DI178" s="103"/>
      <c r="DJ178" s="103"/>
      <c r="DK178" s="103"/>
      <c r="DL178" s="103"/>
      <c r="DM178" s="103"/>
      <c r="DN178" s="103"/>
      <c r="DO178" s="103"/>
      <c r="DP178" s="103"/>
      <c r="DQ178" s="103"/>
      <c r="DR178" s="103"/>
      <c r="DS178" s="103"/>
      <c r="DT178" s="103"/>
      <c r="DU178" s="103"/>
      <c r="DV178" s="103"/>
      <c r="DW178" s="103"/>
      <c r="DX178" s="103"/>
      <c r="DY178" s="103"/>
      <c r="DZ178" s="103"/>
      <c r="EA178" s="103"/>
      <c r="EB178" s="103"/>
      <c r="EC178" s="103"/>
      <c r="ED178" s="103"/>
      <c r="EE178" s="103"/>
      <c r="EF178" s="103"/>
      <c r="EG178" s="103"/>
      <c r="EH178" s="103"/>
      <c r="EI178" s="103"/>
      <c r="EJ178" s="103"/>
      <c r="EK178" s="103"/>
      <c r="EL178" s="103"/>
      <c r="EM178" s="103"/>
      <c r="EN178" s="103"/>
    </row>
    <row r="179" spans="1:144">
      <c r="A179" s="103" t="s">
        <v>2307</v>
      </c>
      <c r="B179" s="113">
        <v>0</v>
      </c>
      <c r="C179" s="113">
        <v>0</v>
      </c>
      <c r="D179" s="113">
        <v>0</v>
      </c>
      <c r="E179" s="113">
        <v>0</v>
      </c>
      <c r="F179" s="113">
        <v>125</v>
      </c>
      <c r="G179" s="113">
        <v>125</v>
      </c>
      <c r="H179" s="113">
        <v>0</v>
      </c>
      <c r="I179" s="113">
        <v>0</v>
      </c>
      <c r="J179" s="113">
        <v>0</v>
      </c>
      <c r="K179" s="113">
        <v>0</v>
      </c>
      <c r="L179" s="113">
        <v>0</v>
      </c>
      <c r="M179" s="113">
        <v>0</v>
      </c>
      <c r="N179" s="113">
        <v>0</v>
      </c>
      <c r="O179" s="113">
        <v>0</v>
      </c>
      <c r="P179" s="113">
        <v>0</v>
      </c>
      <c r="Q179" s="113">
        <v>0</v>
      </c>
      <c r="R179" s="113">
        <v>0</v>
      </c>
      <c r="S179" s="113">
        <v>0</v>
      </c>
      <c r="T179" s="113">
        <v>0</v>
      </c>
      <c r="U179" s="113">
        <v>0</v>
      </c>
      <c r="V179" s="113">
        <v>0</v>
      </c>
      <c r="W179" s="113">
        <v>0</v>
      </c>
      <c r="X179" s="113">
        <v>0</v>
      </c>
      <c r="Y179" s="113">
        <v>0</v>
      </c>
      <c r="Z179" s="113">
        <v>0</v>
      </c>
      <c r="AA179" s="113">
        <v>0</v>
      </c>
      <c r="AB179" s="113">
        <v>0</v>
      </c>
      <c r="AC179" s="113">
        <v>0</v>
      </c>
      <c r="AD179" s="113">
        <v>0</v>
      </c>
      <c r="AE179" s="113">
        <v>0</v>
      </c>
      <c r="AG179" s="103" t="s">
        <v>2307</v>
      </c>
      <c r="AH179" s="113">
        <v>0</v>
      </c>
      <c r="AI179" s="113">
        <v>0</v>
      </c>
      <c r="AJ179" s="113">
        <v>0</v>
      </c>
      <c r="AK179" s="113">
        <v>0</v>
      </c>
      <c r="AL179" s="113">
        <v>0</v>
      </c>
      <c r="AM179" s="113">
        <v>0</v>
      </c>
      <c r="AN179" s="113">
        <v>0</v>
      </c>
      <c r="AO179" s="113">
        <v>0</v>
      </c>
      <c r="AP179" s="113">
        <v>0</v>
      </c>
      <c r="AQ179" s="113">
        <v>125</v>
      </c>
      <c r="AR179" s="113">
        <v>125</v>
      </c>
      <c r="AS179" s="113">
        <v>125</v>
      </c>
      <c r="AT179" s="113">
        <v>125</v>
      </c>
      <c r="AU179" s="113">
        <v>125</v>
      </c>
      <c r="AV179" s="113">
        <v>125</v>
      </c>
      <c r="AW179" s="113">
        <v>125</v>
      </c>
      <c r="AX179" s="113">
        <v>125</v>
      </c>
      <c r="AY179" s="113">
        <v>0</v>
      </c>
      <c r="AZ179" s="113">
        <v>0</v>
      </c>
      <c r="BA179" s="113">
        <v>0</v>
      </c>
      <c r="BB179" s="113">
        <v>0</v>
      </c>
      <c r="BC179" s="113">
        <v>0</v>
      </c>
      <c r="BD179" s="113">
        <v>0</v>
      </c>
      <c r="BE179" s="113">
        <v>0</v>
      </c>
      <c r="BF179" s="113">
        <v>0</v>
      </c>
      <c r="BG179" s="113">
        <v>0</v>
      </c>
      <c r="BH179" s="113">
        <v>0</v>
      </c>
      <c r="BI179" s="113">
        <v>0</v>
      </c>
      <c r="BJ179" s="113">
        <v>0</v>
      </c>
      <c r="BK179" s="113">
        <v>0</v>
      </c>
      <c r="BL179" s="113">
        <v>0</v>
      </c>
      <c r="BM179" s="113">
        <v>0</v>
      </c>
      <c r="BN179" s="113">
        <v>0</v>
      </c>
      <c r="BO179" s="113">
        <v>0</v>
      </c>
      <c r="BP179" s="113">
        <v>0</v>
      </c>
      <c r="BQ179" s="113">
        <v>0</v>
      </c>
      <c r="BR179" s="113">
        <v>0</v>
      </c>
      <c r="BS179" s="113">
        <v>0</v>
      </c>
      <c r="BT179" s="113">
        <v>0</v>
      </c>
      <c r="BU179" s="113">
        <v>0</v>
      </c>
      <c r="BV179" s="113">
        <v>0</v>
      </c>
      <c r="BW179" s="113">
        <v>0</v>
      </c>
      <c r="BX179" s="113">
        <v>0</v>
      </c>
      <c r="BY179" s="113">
        <v>0</v>
      </c>
      <c r="BZ179" s="113">
        <v>0</v>
      </c>
      <c r="CA179" s="113">
        <v>0</v>
      </c>
      <c r="CB179" s="113">
        <v>0</v>
      </c>
      <c r="CC179" s="113">
        <v>0</v>
      </c>
      <c r="CD179" s="113">
        <v>0</v>
      </c>
      <c r="CE179" s="113">
        <v>0</v>
      </c>
      <c r="CF179" s="113">
        <v>0</v>
      </c>
      <c r="CG179" s="113">
        <v>0</v>
      </c>
      <c r="CH179" s="113">
        <v>0</v>
      </c>
      <c r="CI179" s="113">
        <v>0</v>
      </c>
      <c r="CJ179" s="113">
        <v>0</v>
      </c>
      <c r="CK179" s="113">
        <v>0</v>
      </c>
      <c r="CL179" s="113">
        <v>0</v>
      </c>
      <c r="CM179" s="113">
        <v>0</v>
      </c>
      <c r="CN179" s="113">
        <v>0</v>
      </c>
      <c r="CO179" s="113">
        <v>0</v>
      </c>
      <c r="CP179" s="113">
        <v>0</v>
      </c>
      <c r="CQ179" s="113">
        <v>0</v>
      </c>
      <c r="CR179" s="113">
        <v>0</v>
      </c>
      <c r="CS179" s="113">
        <v>0</v>
      </c>
      <c r="CT179" s="113">
        <v>0</v>
      </c>
      <c r="CU179" s="113">
        <v>0</v>
      </c>
      <c r="CV179" s="113">
        <v>0</v>
      </c>
      <c r="CW179" s="113">
        <v>0</v>
      </c>
      <c r="CX179" s="113">
        <v>0</v>
      </c>
      <c r="CY179" s="113">
        <v>0</v>
      </c>
      <c r="CZ179" s="113">
        <v>0</v>
      </c>
      <c r="DA179" s="113">
        <v>0</v>
      </c>
      <c r="DB179" s="113">
        <v>0</v>
      </c>
      <c r="DC179" s="113">
        <v>0</v>
      </c>
      <c r="DD179" s="113">
        <v>0</v>
      </c>
      <c r="DE179" s="113">
        <v>0</v>
      </c>
      <c r="DF179" s="113">
        <v>0</v>
      </c>
      <c r="DG179" s="113">
        <v>0</v>
      </c>
      <c r="DH179" s="113">
        <v>0</v>
      </c>
      <c r="DI179" s="113">
        <v>0</v>
      </c>
      <c r="DJ179" s="113">
        <v>0</v>
      </c>
      <c r="DK179" s="113">
        <v>0</v>
      </c>
      <c r="DL179" s="113">
        <v>0</v>
      </c>
      <c r="DM179" s="113">
        <v>0</v>
      </c>
      <c r="DN179" s="113">
        <v>0</v>
      </c>
      <c r="DO179" s="113">
        <v>0</v>
      </c>
      <c r="DP179" s="113">
        <v>0</v>
      </c>
      <c r="DQ179" s="113">
        <v>0</v>
      </c>
      <c r="DR179" s="113">
        <v>0</v>
      </c>
      <c r="DS179" s="113">
        <v>0</v>
      </c>
      <c r="DT179" s="113">
        <v>0</v>
      </c>
      <c r="DU179" s="113">
        <v>0</v>
      </c>
      <c r="DV179" s="113">
        <v>0</v>
      </c>
      <c r="DW179" s="113">
        <v>0</v>
      </c>
      <c r="DX179" s="113">
        <v>0</v>
      </c>
      <c r="DY179" s="113">
        <v>0</v>
      </c>
      <c r="DZ179" s="113">
        <v>0</v>
      </c>
      <c r="EA179" s="113">
        <v>0</v>
      </c>
      <c r="EB179" s="113">
        <v>0</v>
      </c>
      <c r="EC179" s="113">
        <v>0</v>
      </c>
      <c r="ED179" s="113">
        <v>0</v>
      </c>
      <c r="EE179" s="113">
        <v>0</v>
      </c>
      <c r="EF179" s="113">
        <v>0</v>
      </c>
      <c r="EG179" s="113">
        <v>0</v>
      </c>
      <c r="EH179" s="113">
        <v>0</v>
      </c>
      <c r="EI179" s="113">
        <v>0</v>
      </c>
      <c r="EJ179" s="113">
        <v>0</v>
      </c>
      <c r="EK179" s="113">
        <v>0</v>
      </c>
      <c r="EL179" s="113">
        <v>0</v>
      </c>
      <c r="EM179" s="113">
        <v>0</v>
      </c>
      <c r="EN179" s="113">
        <v>0</v>
      </c>
    </row>
    <row r="180" spans="1:144">
      <c r="A180" s="103"/>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G180" s="103"/>
      <c r="AH180" s="103"/>
      <c r="AI180" s="103"/>
      <c r="AJ180" s="103"/>
      <c r="AK180" s="103"/>
      <c r="AL180" s="103"/>
      <c r="AM180" s="103"/>
      <c r="AN180" s="103"/>
      <c r="AO180" s="103"/>
      <c r="AP180" s="103"/>
      <c r="AQ180" s="103"/>
      <c r="AR180" s="103"/>
      <c r="AS180" s="103"/>
      <c r="AT180" s="103"/>
      <c r="AU180" s="103"/>
      <c r="AV180" s="103"/>
      <c r="AW180" s="103"/>
      <c r="AX180" s="103"/>
      <c r="AY180" s="103"/>
      <c r="AZ180" s="103"/>
      <c r="BA180" s="103"/>
      <c r="BB180" s="103"/>
      <c r="BC180" s="103"/>
      <c r="BD180" s="103"/>
      <c r="BE180" s="103"/>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c r="CR180" s="103"/>
      <c r="CS180" s="103"/>
      <c r="CT180" s="103"/>
      <c r="CU180" s="103"/>
      <c r="CV180" s="103"/>
      <c r="CW180" s="103"/>
      <c r="CX180" s="103"/>
      <c r="CY180" s="103"/>
      <c r="CZ180" s="103"/>
      <c r="DA180" s="103"/>
      <c r="DB180" s="103"/>
      <c r="DC180" s="103"/>
      <c r="DD180" s="103"/>
      <c r="DE180" s="103"/>
      <c r="DF180" s="103"/>
      <c r="DG180" s="103"/>
      <c r="DH180" s="103"/>
      <c r="DI180" s="103"/>
      <c r="DJ180" s="103"/>
      <c r="DK180" s="103"/>
      <c r="DL180" s="103"/>
      <c r="DM180" s="103"/>
      <c r="DN180" s="103"/>
      <c r="DO180" s="103"/>
      <c r="DP180" s="103"/>
      <c r="DQ180" s="103"/>
      <c r="DR180" s="103"/>
      <c r="DS180" s="103"/>
      <c r="DT180" s="103"/>
      <c r="DU180" s="103"/>
      <c r="DV180" s="103"/>
      <c r="DW180" s="103"/>
      <c r="DX180" s="103"/>
      <c r="DY180" s="103"/>
      <c r="DZ180" s="103"/>
      <c r="EA180" s="103"/>
      <c r="EB180" s="103"/>
      <c r="EC180" s="103"/>
      <c r="ED180" s="103"/>
      <c r="EE180" s="103"/>
      <c r="EF180" s="103"/>
      <c r="EG180" s="103"/>
      <c r="EH180" s="103"/>
      <c r="EI180" s="103"/>
      <c r="EJ180" s="103"/>
      <c r="EK180" s="103"/>
      <c r="EL180" s="103"/>
      <c r="EM180" s="103"/>
      <c r="EN180" s="103"/>
    </row>
    <row r="181" spans="1:144" ht="10.5">
      <c r="A181" s="112" t="s">
        <v>2308</v>
      </c>
      <c r="B181" s="124">
        <v>1350.8309999999999</v>
      </c>
      <c r="C181" s="124">
        <v>2193</v>
      </c>
      <c r="D181" s="124">
        <v>3242</v>
      </c>
      <c r="E181" s="124">
        <v>4450</v>
      </c>
      <c r="F181" s="124">
        <v>5458</v>
      </c>
      <c r="G181" s="124">
        <v>7033</v>
      </c>
      <c r="H181" s="124">
        <v>10777</v>
      </c>
      <c r="I181" s="124">
        <v>16627</v>
      </c>
      <c r="J181" s="124">
        <v>28438</v>
      </c>
      <c r="K181" s="124">
        <v>41368</v>
      </c>
      <c r="L181" s="124">
        <v>47289</v>
      </c>
      <c r="M181" s="124">
        <v>52180</v>
      </c>
      <c r="N181" s="124">
        <v>64912</v>
      </c>
      <c r="O181" s="124">
        <v>74825</v>
      </c>
      <c r="P181" s="124">
        <v>48115</v>
      </c>
      <c r="Q181" s="124">
        <v>40104</v>
      </c>
      <c r="R181" s="124">
        <v>31097</v>
      </c>
      <c r="S181" s="124">
        <v>36286</v>
      </c>
      <c r="T181" s="124">
        <v>39558</v>
      </c>
      <c r="U181" s="124">
        <v>46175</v>
      </c>
      <c r="V181" s="124">
        <v>57083</v>
      </c>
      <c r="W181" s="124">
        <v>66363</v>
      </c>
      <c r="X181" s="124">
        <v>78944</v>
      </c>
      <c r="Y181" s="124">
        <v>89784</v>
      </c>
      <c r="Z181" s="124">
        <v>80083</v>
      </c>
      <c r="AA181" s="124">
        <v>71997</v>
      </c>
      <c r="AB181" s="124">
        <v>87711</v>
      </c>
      <c r="AC181" s="124">
        <v>82718</v>
      </c>
      <c r="AD181" s="124">
        <v>102330</v>
      </c>
      <c r="AE181" s="124">
        <v>114501</v>
      </c>
      <c r="AG181" s="112" t="s">
        <v>2308</v>
      </c>
      <c r="AH181" s="124">
        <v>2193</v>
      </c>
      <c r="AI181" s="124">
        <v>0</v>
      </c>
      <c r="AJ181" s="124">
        <v>0</v>
      </c>
      <c r="AK181" s="124">
        <v>3242</v>
      </c>
      <c r="AL181" s="124">
        <v>3242</v>
      </c>
      <c r="AM181" s="124">
        <v>3746</v>
      </c>
      <c r="AN181" s="124">
        <v>4012</v>
      </c>
      <c r="AO181" s="124">
        <v>4450</v>
      </c>
      <c r="AP181" s="124">
        <v>4430</v>
      </c>
      <c r="AQ181" s="124">
        <v>4865</v>
      </c>
      <c r="AR181" s="124">
        <v>5407</v>
      </c>
      <c r="AS181" s="124">
        <v>5458</v>
      </c>
      <c r="AT181" s="124">
        <v>6401</v>
      </c>
      <c r="AU181" s="124">
        <v>6865</v>
      </c>
      <c r="AV181" s="124">
        <v>7326</v>
      </c>
      <c r="AW181" s="124">
        <v>7033</v>
      </c>
      <c r="AX181" s="124">
        <v>8077</v>
      </c>
      <c r="AY181" s="124">
        <v>9642</v>
      </c>
      <c r="AZ181" s="124">
        <v>9134</v>
      </c>
      <c r="BA181" s="124">
        <v>10777</v>
      </c>
      <c r="BB181" s="124">
        <v>11464</v>
      </c>
      <c r="BC181" s="124">
        <v>12344</v>
      </c>
      <c r="BD181" s="124">
        <v>14676</v>
      </c>
      <c r="BE181" s="124">
        <v>16627</v>
      </c>
      <c r="BF181" s="124">
        <v>19124</v>
      </c>
      <c r="BG181" s="124">
        <v>22578</v>
      </c>
      <c r="BH181" s="124">
        <v>25722</v>
      </c>
      <c r="BI181" s="124">
        <v>28438</v>
      </c>
      <c r="BJ181" s="124">
        <v>31340</v>
      </c>
      <c r="BK181" s="124">
        <v>34589</v>
      </c>
      <c r="BL181" s="124">
        <v>39792</v>
      </c>
      <c r="BM181" s="124">
        <v>41368</v>
      </c>
      <c r="BN181" s="124">
        <v>45343</v>
      </c>
      <c r="BO181" s="124">
        <v>46422</v>
      </c>
      <c r="BP181" s="124">
        <v>48090</v>
      </c>
      <c r="BQ181" s="124">
        <v>47289</v>
      </c>
      <c r="BR181" s="124">
        <v>48505</v>
      </c>
      <c r="BS181" s="124">
        <v>51548</v>
      </c>
      <c r="BT181" s="124">
        <v>54300</v>
      </c>
      <c r="BU181" s="124">
        <v>52180</v>
      </c>
      <c r="BV181" s="124">
        <v>53516</v>
      </c>
      <c r="BW181" s="124">
        <v>55812</v>
      </c>
      <c r="BX181" s="124">
        <v>58282</v>
      </c>
      <c r="BY181" s="124">
        <v>64912</v>
      </c>
      <c r="BZ181" s="124">
        <v>66680</v>
      </c>
      <c r="CA181" s="124">
        <v>69343</v>
      </c>
      <c r="CB181" s="124">
        <v>70580</v>
      </c>
      <c r="CC181" s="124">
        <v>74825</v>
      </c>
      <c r="CD181" s="124">
        <v>75946</v>
      </c>
      <c r="CE181" s="124">
        <v>47232</v>
      </c>
      <c r="CF181" s="124">
        <v>47373</v>
      </c>
      <c r="CG181" s="124">
        <v>48115</v>
      </c>
      <c r="CH181" s="124">
        <v>48327</v>
      </c>
      <c r="CI181" s="124">
        <v>44208</v>
      </c>
      <c r="CJ181" s="124">
        <v>42038</v>
      </c>
      <c r="CK181" s="124">
        <v>40104</v>
      </c>
      <c r="CL181" s="124">
        <v>36101</v>
      </c>
      <c r="CM181" s="124">
        <v>36634</v>
      </c>
      <c r="CN181" s="124">
        <v>34973</v>
      </c>
      <c r="CO181" s="124">
        <v>31097</v>
      </c>
      <c r="CP181" s="124">
        <v>32135</v>
      </c>
      <c r="CQ181" s="124">
        <v>34431</v>
      </c>
      <c r="CR181" s="124">
        <v>37554</v>
      </c>
      <c r="CS181" s="124">
        <v>36286</v>
      </c>
      <c r="CT181" s="124">
        <v>33594</v>
      </c>
      <c r="CU181" s="124">
        <v>34478</v>
      </c>
      <c r="CV181" s="124">
        <v>36943</v>
      </c>
      <c r="CW181" s="124">
        <v>39558</v>
      </c>
      <c r="CX181" s="124">
        <v>41212</v>
      </c>
      <c r="CY181" s="124">
        <v>44283</v>
      </c>
      <c r="CZ181" s="124">
        <v>45710</v>
      </c>
      <c r="DA181" s="124">
        <v>46175</v>
      </c>
      <c r="DB181" s="124">
        <v>46942</v>
      </c>
      <c r="DC181" s="124">
        <v>48481</v>
      </c>
      <c r="DD181" s="124">
        <v>53452</v>
      </c>
      <c r="DE181" s="124">
        <v>57083</v>
      </c>
      <c r="DF181" s="124">
        <v>59391</v>
      </c>
      <c r="DG181" s="124">
        <v>64121</v>
      </c>
      <c r="DH181" s="124">
        <v>68659</v>
      </c>
      <c r="DI181" s="124">
        <v>66363</v>
      </c>
      <c r="DJ181" s="124">
        <v>68836</v>
      </c>
      <c r="DK181" s="124">
        <v>72576</v>
      </c>
      <c r="DL181" s="124">
        <v>76688</v>
      </c>
      <c r="DM181" s="124">
        <v>78944</v>
      </c>
      <c r="DN181" s="124">
        <v>81641</v>
      </c>
      <c r="DO181" s="124">
        <v>85100</v>
      </c>
      <c r="DP181" s="124">
        <v>87424</v>
      </c>
      <c r="DQ181" s="124">
        <v>89784</v>
      </c>
      <c r="DR181" s="124">
        <v>90170</v>
      </c>
      <c r="DS181" s="124">
        <v>91879</v>
      </c>
      <c r="DT181" s="124">
        <v>90132</v>
      </c>
      <c r="DU181" s="124">
        <v>80083</v>
      </c>
      <c r="DV181" s="124">
        <v>77445</v>
      </c>
      <c r="DW181" s="124">
        <v>76780</v>
      </c>
      <c r="DX181" s="124">
        <v>74806</v>
      </c>
      <c r="DY181" s="124">
        <v>71997</v>
      </c>
      <c r="DZ181" s="124">
        <v>70372</v>
      </c>
      <c r="EA181" s="124">
        <v>68809</v>
      </c>
      <c r="EB181" s="124">
        <v>69729</v>
      </c>
      <c r="EC181" s="124">
        <v>87711</v>
      </c>
      <c r="ED181" s="124">
        <v>89647</v>
      </c>
      <c r="EE181" s="124">
        <v>78360</v>
      </c>
      <c r="EF181" s="124">
        <v>79239</v>
      </c>
      <c r="EG181" s="124">
        <v>82718</v>
      </c>
      <c r="EH181" s="124">
        <v>85967</v>
      </c>
      <c r="EI181" s="124">
        <v>92128</v>
      </c>
      <c r="EJ181" s="124">
        <v>94864</v>
      </c>
      <c r="EK181" s="124">
        <v>102330</v>
      </c>
      <c r="EL181" s="124">
        <v>106061</v>
      </c>
      <c r="EM181" s="124">
        <v>110109</v>
      </c>
      <c r="EN181" s="124">
        <v>114501</v>
      </c>
    </row>
    <row r="182" spans="1:144">
      <c r="A182" s="103"/>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c r="CR182" s="103"/>
      <c r="CS182" s="103"/>
      <c r="CT182" s="103"/>
      <c r="CU182" s="103"/>
      <c r="CV182" s="103"/>
      <c r="CW182" s="103"/>
      <c r="CX182" s="103"/>
      <c r="CY182" s="103"/>
      <c r="CZ182" s="103"/>
      <c r="DA182" s="103"/>
      <c r="DB182" s="103"/>
      <c r="DC182" s="103"/>
      <c r="DD182" s="103"/>
      <c r="DE182" s="103"/>
      <c r="DF182" s="103"/>
      <c r="DG182" s="103"/>
      <c r="DH182" s="103"/>
      <c r="DI182" s="103"/>
      <c r="DJ182" s="103"/>
      <c r="DK182" s="103"/>
      <c r="DL182" s="103"/>
      <c r="DM182" s="103"/>
      <c r="DN182" s="103"/>
      <c r="DO182" s="103"/>
      <c r="DP182" s="103"/>
      <c r="DQ182" s="103"/>
      <c r="DR182" s="103"/>
      <c r="DS182" s="103"/>
      <c r="DT182" s="103"/>
      <c r="DU182" s="103"/>
      <c r="DV182" s="103"/>
      <c r="DW182" s="103"/>
      <c r="DX182" s="103"/>
      <c r="DY182" s="103"/>
      <c r="DZ182" s="103"/>
      <c r="EA182" s="103"/>
      <c r="EB182" s="103"/>
      <c r="EC182" s="103"/>
      <c r="ED182" s="103"/>
      <c r="EE182" s="103"/>
      <c r="EF182" s="103"/>
      <c r="EG182" s="103"/>
      <c r="EH182" s="103"/>
      <c r="EI182" s="103"/>
      <c r="EJ182" s="103"/>
      <c r="EK182" s="103"/>
      <c r="EL182" s="103"/>
      <c r="EM182" s="103"/>
      <c r="EN182" s="103"/>
    </row>
    <row r="183" spans="1:144" ht="10.5">
      <c r="A183" s="112" t="s">
        <v>2309</v>
      </c>
      <c r="B183" s="125">
        <v>1644.184</v>
      </c>
      <c r="C183" s="125">
        <v>2640</v>
      </c>
      <c r="D183" s="125">
        <v>3805</v>
      </c>
      <c r="E183" s="125">
        <v>5363</v>
      </c>
      <c r="F183" s="125">
        <v>7210</v>
      </c>
      <c r="G183" s="125">
        <v>10093</v>
      </c>
      <c r="H183" s="125">
        <v>14387</v>
      </c>
      <c r="I183" s="125">
        <v>22357</v>
      </c>
      <c r="J183" s="125">
        <v>38625</v>
      </c>
      <c r="K183" s="125">
        <v>52150</v>
      </c>
      <c r="L183" s="125">
        <v>58830</v>
      </c>
      <c r="M183" s="125">
        <v>67646</v>
      </c>
      <c r="N183" s="125">
        <v>81732</v>
      </c>
      <c r="O183" s="125">
        <v>94368</v>
      </c>
      <c r="P183" s="125">
        <v>70815</v>
      </c>
      <c r="Q183" s="125">
        <v>69597</v>
      </c>
      <c r="R183" s="125">
        <v>63171</v>
      </c>
      <c r="S183" s="125">
        <v>72793</v>
      </c>
      <c r="T183" s="125">
        <v>77888</v>
      </c>
      <c r="U183" s="125">
        <v>86113</v>
      </c>
      <c r="V183" s="125">
        <v>108704</v>
      </c>
      <c r="W183" s="125">
        <v>121271</v>
      </c>
      <c r="X183" s="125">
        <v>142431</v>
      </c>
      <c r="Y183" s="125">
        <v>172384</v>
      </c>
      <c r="Z183" s="125">
        <v>174472</v>
      </c>
      <c r="AA183" s="125">
        <v>193468</v>
      </c>
      <c r="AB183" s="125">
        <v>250312</v>
      </c>
      <c r="AC183" s="125">
        <v>258848</v>
      </c>
      <c r="AD183" s="125">
        <v>286556</v>
      </c>
      <c r="AE183" s="125">
        <v>285449</v>
      </c>
      <c r="AG183" s="112" t="s">
        <v>2309</v>
      </c>
      <c r="AH183" s="125">
        <v>0</v>
      </c>
      <c r="AI183" s="125">
        <v>0</v>
      </c>
      <c r="AJ183" s="125">
        <v>0</v>
      </c>
      <c r="AK183" s="125">
        <v>3805</v>
      </c>
      <c r="AL183" s="125">
        <v>0</v>
      </c>
      <c r="AM183" s="125">
        <v>4486</v>
      </c>
      <c r="AN183" s="125">
        <v>4926</v>
      </c>
      <c r="AO183" s="125">
        <v>5363</v>
      </c>
      <c r="AP183" s="125">
        <v>5637</v>
      </c>
      <c r="AQ183" s="125">
        <v>5961</v>
      </c>
      <c r="AR183" s="125">
        <v>6592</v>
      </c>
      <c r="AS183" s="125">
        <v>7210</v>
      </c>
      <c r="AT183" s="125">
        <v>8160</v>
      </c>
      <c r="AU183" s="125">
        <v>9106</v>
      </c>
      <c r="AV183" s="125">
        <v>9590</v>
      </c>
      <c r="AW183" s="125">
        <v>10093</v>
      </c>
      <c r="AX183" s="125">
        <v>10740</v>
      </c>
      <c r="AY183" s="125">
        <v>12786</v>
      </c>
      <c r="AZ183" s="125">
        <v>12613</v>
      </c>
      <c r="BA183" s="125">
        <v>14387</v>
      </c>
      <c r="BB183" s="125">
        <v>15366</v>
      </c>
      <c r="BC183" s="125">
        <v>16840</v>
      </c>
      <c r="BD183" s="125">
        <v>19545</v>
      </c>
      <c r="BE183" s="125">
        <v>22357</v>
      </c>
      <c r="BF183" s="125">
        <v>25569</v>
      </c>
      <c r="BG183" s="125">
        <v>30049</v>
      </c>
      <c r="BH183" s="125">
        <v>33561</v>
      </c>
      <c r="BI183" s="125">
        <v>38625</v>
      </c>
      <c r="BJ183" s="125">
        <v>39672</v>
      </c>
      <c r="BK183" s="125">
        <v>45093</v>
      </c>
      <c r="BL183" s="125">
        <v>50895</v>
      </c>
      <c r="BM183" s="125">
        <v>52150</v>
      </c>
      <c r="BN183" s="125">
        <v>56089</v>
      </c>
      <c r="BO183" s="125">
        <v>57691</v>
      </c>
      <c r="BP183" s="125">
        <v>59605</v>
      </c>
      <c r="BQ183" s="125">
        <v>58830</v>
      </c>
      <c r="BR183" s="125">
        <v>61367</v>
      </c>
      <c r="BS183" s="125">
        <v>65387</v>
      </c>
      <c r="BT183" s="125">
        <v>68379</v>
      </c>
      <c r="BU183" s="125">
        <v>67646</v>
      </c>
      <c r="BV183" s="125">
        <v>70235</v>
      </c>
      <c r="BW183" s="125">
        <v>72359</v>
      </c>
      <c r="BX183" s="125">
        <v>74482</v>
      </c>
      <c r="BY183" s="125">
        <v>81732</v>
      </c>
      <c r="BZ183" s="125">
        <v>84281</v>
      </c>
      <c r="CA183" s="125">
        <v>85937</v>
      </c>
      <c r="CB183" s="125">
        <v>89767</v>
      </c>
      <c r="CC183" s="125">
        <v>94368</v>
      </c>
      <c r="CD183" s="125">
        <v>94268</v>
      </c>
      <c r="CE183" s="125">
        <v>64941</v>
      </c>
      <c r="CF183" s="125">
        <v>66275</v>
      </c>
      <c r="CG183" s="125">
        <v>70815</v>
      </c>
      <c r="CH183" s="125">
        <v>71462</v>
      </c>
      <c r="CI183" s="125">
        <v>67257</v>
      </c>
      <c r="CJ183" s="125">
        <v>66854</v>
      </c>
      <c r="CK183" s="125">
        <v>69597</v>
      </c>
      <c r="CL183" s="125">
        <v>65354</v>
      </c>
      <c r="CM183" s="125">
        <v>66371</v>
      </c>
      <c r="CN183" s="125">
        <v>63891</v>
      </c>
      <c r="CO183" s="125">
        <v>63171</v>
      </c>
      <c r="CP183" s="125">
        <v>65645</v>
      </c>
      <c r="CQ183" s="125">
        <v>67339</v>
      </c>
      <c r="CR183" s="125">
        <v>70747</v>
      </c>
      <c r="CS183" s="125">
        <v>72793</v>
      </c>
      <c r="CT183" s="125">
        <v>65117</v>
      </c>
      <c r="CU183" s="125">
        <v>65786</v>
      </c>
      <c r="CV183" s="125">
        <v>68853</v>
      </c>
      <c r="CW183" s="125">
        <v>77888</v>
      </c>
      <c r="CX183" s="125">
        <v>81612</v>
      </c>
      <c r="CY183" s="125">
        <v>82096</v>
      </c>
      <c r="CZ183" s="125">
        <v>84910</v>
      </c>
      <c r="DA183" s="125">
        <v>86113</v>
      </c>
      <c r="DB183" s="125">
        <v>91540</v>
      </c>
      <c r="DC183" s="125">
        <v>92306</v>
      </c>
      <c r="DD183" s="125">
        <v>99727</v>
      </c>
      <c r="DE183" s="125">
        <v>108704</v>
      </c>
      <c r="DF183" s="125">
        <v>107415</v>
      </c>
      <c r="DG183" s="125">
        <v>112243</v>
      </c>
      <c r="DH183" s="125">
        <v>118010</v>
      </c>
      <c r="DI183" s="125">
        <v>121271</v>
      </c>
      <c r="DJ183" s="125">
        <v>121876</v>
      </c>
      <c r="DK183" s="125">
        <v>128683</v>
      </c>
      <c r="DL183" s="125">
        <v>134105</v>
      </c>
      <c r="DM183" s="125">
        <v>142431</v>
      </c>
      <c r="DN183" s="125">
        <v>142348</v>
      </c>
      <c r="DO183" s="125">
        <v>153543</v>
      </c>
      <c r="DP183" s="125">
        <v>156119</v>
      </c>
      <c r="DQ183" s="125">
        <v>172384</v>
      </c>
      <c r="DR183" s="125">
        <v>169656</v>
      </c>
      <c r="DS183" s="125">
        <v>174848</v>
      </c>
      <c r="DT183" s="125">
        <v>176683</v>
      </c>
      <c r="DU183" s="125">
        <v>174472</v>
      </c>
      <c r="DV183" s="125">
        <v>172896</v>
      </c>
      <c r="DW183" s="125">
        <v>180098</v>
      </c>
      <c r="DX183" s="125">
        <v>181869</v>
      </c>
      <c r="DY183" s="125">
        <v>193468</v>
      </c>
      <c r="DZ183" s="125">
        <v>212524</v>
      </c>
      <c r="EA183" s="125">
        <v>224610</v>
      </c>
      <c r="EB183" s="125">
        <v>225017</v>
      </c>
      <c r="EC183" s="125">
        <v>250312</v>
      </c>
      <c r="ED183" s="125">
        <v>249097</v>
      </c>
      <c r="EE183" s="125">
        <v>256003</v>
      </c>
      <c r="EF183" s="125">
        <v>245497</v>
      </c>
      <c r="EG183" s="125">
        <v>258848</v>
      </c>
      <c r="EH183" s="125">
        <v>257619</v>
      </c>
      <c r="EI183" s="125">
        <v>258859</v>
      </c>
      <c r="EJ183" s="125">
        <v>263281</v>
      </c>
      <c r="EK183" s="125">
        <v>286556</v>
      </c>
      <c r="EL183" s="125">
        <v>278955</v>
      </c>
      <c r="EM183" s="125">
        <v>282794</v>
      </c>
      <c r="EN183" s="125">
        <v>285449</v>
      </c>
    </row>
    <row r="184" spans="1:144">
      <c r="A184" s="103"/>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G184" s="103"/>
      <c r="AH184" s="103"/>
      <c r="AI184" s="103"/>
      <c r="AJ184" s="103"/>
      <c r="AK184" s="103"/>
      <c r="AL184" s="103"/>
      <c r="AM184" s="103"/>
      <c r="AN184" s="103"/>
      <c r="AO184" s="103"/>
      <c r="AP184" s="103"/>
      <c r="AQ184" s="103"/>
      <c r="AR184" s="103"/>
      <c r="AS184" s="103"/>
      <c r="AT184" s="103"/>
      <c r="AU184" s="103"/>
      <c r="AV184" s="103"/>
      <c r="AW184" s="103"/>
      <c r="AX184" s="103"/>
      <c r="AY184" s="103"/>
      <c r="AZ184" s="103"/>
      <c r="BA184" s="103"/>
      <c r="BB184" s="103"/>
      <c r="BC184" s="103"/>
      <c r="BD184" s="103"/>
      <c r="BE184" s="103"/>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c r="CR184" s="103"/>
      <c r="CS184" s="103"/>
      <c r="CT184" s="103"/>
      <c r="CU184" s="103"/>
      <c r="CV184" s="103"/>
      <c r="CW184" s="103"/>
      <c r="CX184" s="103"/>
      <c r="CY184" s="103"/>
      <c r="CZ184" s="103"/>
      <c r="DA184" s="103"/>
      <c r="DB184" s="103"/>
      <c r="DC184" s="103"/>
      <c r="DD184" s="103"/>
      <c r="DE184" s="103"/>
      <c r="DF184" s="103"/>
      <c r="DG184" s="103"/>
      <c r="DH184" s="103"/>
      <c r="DI184" s="103"/>
      <c r="DJ184" s="103"/>
      <c r="DK184" s="103"/>
      <c r="DL184" s="103"/>
      <c r="DM184" s="103"/>
      <c r="DN184" s="103"/>
      <c r="DO184" s="103"/>
      <c r="DP184" s="103"/>
      <c r="DQ184" s="103"/>
      <c r="DR184" s="103"/>
      <c r="DS184" s="103"/>
      <c r="DT184" s="103"/>
      <c r="DU184" s="103"/>
      <c r="DV184" s="103"/>
      <c r="DW184" s="103"/>
      <c r="DX184" s="103"/>
      <c r="DY184" s="103"/>
      <c r="DZ184" s="103"/>
      <c r="EA184" s="103"/>
      <c r="EB184" s="103"/>
      <c r="EC184" s="103"/>
      <c r="ED184" s="103"/>
      <c r="EE184" s="103"/>
      <c r="EF184" s="103"/>
      <c r="EG184" s="103"/>
      <c r="EH184" s="103"/>
      <c r="EI184" s="103"/>
      <c r="EJ184" s="103"/>
      <c r="EK184" s="103"/>
      <c r="EL184" s="103"/>
      <c r="EM184" s="103"/>
      <c r="EN184" s="103"/>
    </row>
    <row r="185" spans="1:144" ht="10.5">
      <c r="A185" s="112" t="s">
        <v>2111</v>
      </c>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G185" s="112" t="s">
        <v>2111</v>
      </c>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c r="CR185" s="103"/>
      <c r="CS185" s="103"/>
      <c r="CT185" s="103"/>
      <c r="CU185" s="103"/>
      <c r="CV185" s="103"/>
      <c r="CW185" s="103"/>
      <c r="CX185" s="103"/>
      <c r="CY185" s="103"/>
      <c r="CZ185" s="103"/>
      <c r="DA185" s="103"/>
      <c r="DB185" s="103"/>
      <c r="DC185" s="103"/>
      <c r="DD185" s="103"/>
      <c r="DE185" s="103"/>
      <c r="DF185" s="103"/>
      <c r="DG185" s="103"/>
      <c r="DH185" s="103"/>
      <c r="DI185" s="103"/>
      <c r="DJ185" s="103"/>
      <c r="DK185" s="103"/>
      <c r="DL185" s="103"/>
      <c r="DM185" s="103"/>
      <c r="DN185" s="103"/>
      <c r="DO185" s="103"/>
      <c r="DP185" s="103"/>
      <c r="DQ185" s="103"/>
      <c r="DR185" s="103"/>
      <c r="DS185" s="103"/>
      <c r="DT185" s="103"/>
      <c r="DU185" s="103"/>
      <c r="DV185" s="103"/>
      <c r="DW185" s="103"/>
      <c r="DX185" s="103"/>
      <c r="DY185" s="103"/>
      <c r="DZ185" s="103"/>
      <c r="EA185" s="103"/>
      <c r="EB185" s="103"/>
      <c r="EC185" s="103"/>
      <c r="ED185" s="103"/>
      <c r="EE185" s="103"/>
      <c r="EF185" s="103"/>
      <c r="EG185" s="103"/>
      <c r="EH185" s="103"/>
      <c r="EI185" s="103"/>
      <c r="EJ185" s="103"/>
      <c r="EK185" s="103"/>
      <c r="EL185" s="103"/>
      <c r="EM185" s="103"/>
      <c r="EN185" s="103"/>
    </row>
    <row r="186" spans="1:144">
      <c r="A186" s="103" t="s">
        <v>2310</v>
      </c>
      <c r="B186" s="113">
        <v>8363.232</v>
      </c>
      <c r="C186" s="113">
        <v>8704</v>
      </c>
      <c r="D186" s="113">
        <v>9048.3221439999998</v>
      </c>
      <c r="E186" s="113">
        <v>9285.5337760000002</v>
      </c>
      <c r="F186" s="113">
        <v>9439.2341120000001</v>
      </c>
      <c r="G186" s="113">
        <v>9539.6311519999999</v>
      </c>
      <c r="H186" s="113">
        <v>9700.5417359999992</v>
      </c>
      <c r="I186" s="113">
        <v>9938.5426800000005</v>
      </c>
      <c r="J186" s="113">
        <v>10283.016248</v>
      </c>
      <c r="K186" s="113">
        <v>10710.753632</v>
      </c>
      <c r="L186" s="113">
        <v>10803.889902000001</v>
      </c>
      <c r="M186" s="113">
        <v>10757.493705999999</v>
      </c>
      <c r="N186" s="113">
        <v>10813.984831</v>
      </c>
      <c r="O186" s="113">
        <v>10872.704667</v>
      </c>
      <c r="P186" s="113">
        <v>10712.706028000001</v>
      </c>
      <c r="Q186" s="113">
        <v>9969.9917999999998</v>
      </c>
      <c r="R186" s="113">
        <v>9375.4924960000008</v>
      </c>
      <c r="S186" s="113">
        <v>9130.2930739999993</v>
      </c>
      <c r="T186" s="113">
        <v>8910.6738170000008</v>
      </c>
      <c r="U186" s="113">
        <v>8653.5673310000002</v>
      </c>
      <c r="V186" s="113">
        <v>8378.2657820000004</v>
      </c>
      <c r="W186" s="113">
        <v>8383.3965750000007</v>
      </c>
      <c r="X186" s="113">
        <v>8329.9564019999998</v>
      </c>
      <c r="Y186" s="113">
        <v>8239.8487889999997</v>
      </c>
      <c r="Z186" s="113">
        <v>7997.9809690000002</v>
      </c>
      <c r="AA186" s="113">
        <v>7792.5155729999997</v>
      </c>
      <c r="AB186" s="113">
        <v>7702.2439789999999</v>
      </c>
      <c r="AC186" s="113">
        <v>7677</v>
      </c>
      <c r="AD186" s="113">
        <v>7635.4093999999996</v>
      </c>
      <c r="AE186" s="113">
        <v>7583.4402470000005</v>
      </c>
      <c r="AG186" s="103" t="s">
        <v>2310</v>
      </c>
      <c r="AH186" s="113">
        <v>9632</v>
      </c>
      <c r="AI186" s="113">
        <v>9696</v>
      </c>
      <c r="AJ186" s="113">
        <v>9728</v>
      </c>
      <c r="AK186" s="113">
        <v>9040</v>
      </c>
      <c r="AL186" s="113">
        <v>9696</v>
      </c>
      <c r="AM186" s="113">
        <v>9150.5694079999994</v>
      </c>
      <c r="AN186" s="113">
        <v>9214.3359999999993</v>
      </c>
      <c r="AO186" s="113">
        <v>9296</v>
      </c>
      <c r="AP186" s="113">
        <v>9318.1452000000008</v>
      </c>
      <c r="AQ186" s="113">
        <v>9299.6542239999999</v>
      </c>
      <c r="AR186" s="113">
        <v>9370.2434720000001</v>
      </c>
      <c r="AS186" s="113">
        <v>9408</v>
      </c>
      <c r="AT186" s="113">
        <v>9476.8944159999992</v>
      </c>
      <c r="AU186" s="113">
        <v>9504.0584479999998</v>
      </c>
      <c r="AV186" s="113">
        <v>9571.9881760000007</v>
      </c>
      <c r="AW186" s="113">
        <v>9552</v>
      </c>
      <c r="AX186" s="113">
        <v>9561.5035040000002</v>
      </c>
      <c r="AY186" s="113">
        <v>9625.2441999999992</v>
      </c>
      <c r="AZ186" s="113">
        <v>9586.6181519999991</v>
      </c>
      <c r="BA186" s="113">
        <v>9632</v>
      </c>
      <c r="BB186" s="113">
        <v>9653.5315360000004</v>
      </c>
      <c r="BC186" s="113">
        <v>9856.2890200000002</v>
      </c>
      <c r="BD186" s="113">
        <v>9856.2890200000002</v>
      </c>
      <c r="BE186" s="113">
        <v>9880</v>
      </c>
      <c r="BF186" s="113">
        <v>9974.2677960000001</v>
      </c>
      <c r="BG186" s="113">
        <v>10093.837928000001</v>
      </c>
      <c r="BH186" s="113">
        <v>10207.718464</v>
      </c>
      <c r="BI186" s="113">
        <v>10218</v>
      </c>
      <c r="BJ186" s="113">
        <v>10320.049186</v>
      </c>
      <c r="BK186" s="113">
        <v>10409.706666</v>
      </c>
      <c r="BL186" s="113">
        <v>10524.810818</v>
      </c>
      <c r="BM186" s="113">
        <v>10566</v>
      </c>
      <c r="BN186" s="113">
        <v>10664.675848000001</v>
      </c>
      <c r="BO186" s="113">
        <v>10670.781728</v>
      </c>
      <c r="BP186" s="113">
        <v>10764.203812</v>
      </c>
      <c r="BQ186" s="113">
        <v>10766</v>
      </c>
      <c r="BR186" s="113">
        <v>10832.013086000001</v>
      </c>
      <c r="BS186" s="113">
        <v>10832.013086000001</v>
      </c>
      <c r="BT186" s="113">
        <v>10830.925504000001</v>
      </c>
      <c r="BU186" s="113">
        <v>10718</v>
      </c>
      <c r="BV186" s="113">
        <v>10692.899744</v>
      </c>
      <c r="BW186" s="113">
        <v>10701.385302000001</v>
      </c>
      <c r="BX186" s="113">
        <v>10736.261053</v>
      </c>
      <c r="BY186" s="113">
        <v>10771</v>
      </c>
      <c r="BZ186" s="113">
        <v>10812.468881000001</v>
      </c>
      <c r="CA186" s="113">
        <v>10794.392603</v>
      </c>
      <c r="CB186" s="113">
        <v>10794.69269</v>
      </c>
      <c r="CC186" s="113">
        <v>10862</v>
      </c>
      <c r="CD186" s="113">
        <v>10871.589882</v>
      </c>
      <c r="CE186" s="113">
        <v>10880.222153000001</v>
      </c>
      <c r="CF186" s="113">
        <v>10804.353235</v>
      </c>
      <c r="CG186" s="113">
        <v>10710</v>
      </c>
      <c r="CH186" s="113">
        <v>10644.674213</v>
      </c>
      <c r="CI186" s="113">
        <v>10333.368967</v>
      </c>
      <c r="CJ186" s="113">
        <v>10201.202877</v>
      </c>
      <c r="CK186" s="113">
        <v>10062</v>
      </c>
      <c r="CL186" s="113">
        <v>9830.4600929999997</v>
      </c>
      <c r="CM186" s="113">
        <v>9792.3144049999992</v>
      </c>
      <c r="CN186" s="113">
        <v>9566.8083829999996</v>
      </c>
      <c r="CO186" s="113">
        <v>9380</v>
      </c>
      <c r="CP186" s="113">
        <v>9355.4389119999996</v>
      </c>
      <c r="CQ186" s="113">
        <v>9306.9797460000009</v>
      </c>
      <c r="CR186" s="113">
        <v>9313.2928329999995</v>
      </c>
      <c r="CS186" s="113">
        <v>9151</v>
      </c>
      <c r="CT186" s="113">
        <v>8895.5727200000001</v>
      </c>
      <c r="CU186" s="113">
        <v>8890.5628730000008</v>
      </c>
      <c r="CV186" s="113">
        <v>8899.7200219999995</v>
      </c>
      <c r="CW186" s="113">
        <v>8908</v>
      </c>
      <c r="CX186" s="113">
        <v>8879.1213779999998</v>
      </c>
      <c r="CY186" s="113">
        <v>8770.4609220000002</v>
      </c>
      <c r="CZ186" s="113">
        <v>8763.8393290000004</v>
      </c>
      <c r="DA186" s="113">
        <v>8668</v>
      </c>
      <c r="DB186" s="113">
        <v>8555.5232419999993</v>
      </c>
      <c r="DC186" s="113">
        <v>8402.3820309999992</v>
      </c>
      <c r="DD186" s="113">
        <v>8432.7673070000001</v>
      </c>
      <c r="DE186" s="113">
        <v>8376</v>
      </c>
      <c r="DF186" s="113">
        <v>8412.1822769999999</v>
      </c>
      <c r="DG186" s="113">
        <v>8390.7713879999992</v>
      </c>
      <c r="DH186" s="113">
        <v>8400.8661030000003</v>
      </c>
      <c r="DI186" s="113">
        <v>8381</v>
      </c>
      <c r="DJ186" s="113">
        <v>8416.4624910000002</v>
      </c>
      <c r="DK186" s="113">
        <v>8376.2449099999994</v>
      </c>
      <c r="DL186" s="113">
        <v>8351.1065899999994</v>
      </c>
      <c r="DM186" s="113">
        <v>8328</v>
      </c>
      <c r="DN186" s="113">
        <v>8347.9683480000003</v>
      </c>
      <c r="DO186" s="113">
        <v>8300.7237249999998</v>
      </c>
      <c r="DP186" s="113">
        <v>8260.411967</v>
      </c>
      <c r="DQ186" s="113">
        <v>8239</v>
      </c>
      <c r="DR186" s="113">
        <v>8242.8528270000006</v>
      </c>
      <c r="DS186" s="113">
        <v>8203.7853410000007</v>
      </c>
      <c r="DT186" s="113">
        <v>8089.5752769999999</v>
      </c>
      <c r="DU186" s="113">
        <v>8027</v>
      </c>
      <c r="DV186" s="113">
        <v>7987.9131520000001</v>
      </c>
      <c r="DW186" s="113">
        <v>7909.3027739999998</v>
      </c>
      <c r="DX186" s="113">
        <v>7860.466856</v>
      </c>
      <c r="DY186" s="113">
        <v>7808</v>
      </c>
      <c r="DZ186" s="113">
        <v>7775.3505009999999</v>
      </c>
      <c r="EA186" s="113">
        <v>7727.5298199999997</v>
      </c>
      <c r="EB186" s="113">
        <v>7720.5147310000002</v>
      </c>
      <c r="EC186" s="113">
        <v>7708</v>
      </c>
      <c r="ED186" s="113">
        <v>7714.5901949999998</v>
      </c>
      <c r="EE186" s="113">
        <v>7699.7928519999996</v>
      </c>
      <c r="EF186" s="113">
        <v>7683.1975030000003</v>
      </c>
      <c r="EG186" s="113">
        <v>7677</v>
      </c>
      <c r="EH186" s="113">
        <v>7676.2187359999998</v>
      </c>
      <c r="EI186" s="113">
        <v>7672.2134459999997</v>
      </c>
      <c r="EJ186" s="113">
        <v>7662.8179200000004</v>
      </c>
      <c r="EK186" s="113">
        <v>7635.4093999999996</v>
      </c>
      <c r="EL186" s="113">
        <v>7628.8056180000003</v>
      </c>
      <c r="EM186" s="113">
        <v>7606.0470100000002</v>
      </c>
      <c r="EN186" s="113">
        <v>7583.4402470000005</v>
      </c>
    </row>
    <row r="187" spans="1:144">
      <c r="A187" s="103" t="s">
        <v>2311</v>
      </c>
      <c r="B187" s="113">
        <v>8363.232</v>
      </c>
      <c r="C187" s="113">
        <v>8704</v>
      </c>
      <c r="D187" s="113">
        <v>9040</v>
      </c>
      <c r="E187" s="113">
        <v>9296</v>
      </c>
      <c r="F187" s="113">
        <v>9408</v>
      </c>
      <c r="G187" s="113">
        <v>9552</v>
      </c>
      <c r="H187" s="113">
        <v>9632</v>
      </c>
      <c r="I187" s="113">
        <v>9880</v>
      </c>
      <c r="J187" s="113">
        <v>10218</v>
      </c>
      <c r="K187" s="113">
        <v>10566</v>
      </c>
      <c r="L187" s="113">
        <v>10766</v>
      </c>
      <c r="M187" s="113">
        <v>10718</v>
      </c>
      <c r="N187" s="113">
        <v>10771</v>
      </c>
      <c r="O187" s="113">
        <v>10862</v>
      </c>
      <c r="P187" s="113">
        <v>10710</v>
      </c>
      <c r="Q187" s="113">
        <v>10062</v>
      </c>
      <c r="R187" s="113">
        <v>9380</v>
      </c>
      <c r="S187" s="113">
        <v>9151</v>
      </c>
      <c r="T187" s="113">
        <v>8908</v>
      </c>
      <c r="U187" s="113">
        <v>8668</v>
      </c>
      <c r="V187" s="113">
        <v>8376</v>
      </c>
      <c r="W187" s="113">
        <v>8381</v>
      </c>
      <c r="X187" s="113">
        <v>8328</v>
      </c>
      <c r="Y187" s="113">
        <v>8239</v>
      </c>
      <c r="Z187" s="113">
        <v>8027</v>
      </c>
      <c r="AA187" s="113">
        <v>7808</v>
      </c>
      <c r="AB187" s="113">
        <v>7708</v>
      </c>
      <c r="AC187" s="113">
        <v>7677</v>
      </c>
      <c r="AD187" s="113">
        <v>7643</v>
      </c>
      <c r="AE187" s="113">
        <v>7590</v>
      </c>
      <c r="AG187" s="103" t="s">
        <v>2311</v>
      </c>
      <c r="AH187" s="113">
        <v>9632</v>
      </c>
      <c r="AI187" s="113">
        <v>9696</v>
      </c>
      <c r="AJ187" s="113">
        <v>9728</v>
      </c>
      <c r="AK187" s="113">
        <v>9040</v>
      </c>
      <c r="AL187" s="113">
        <v>9696</v>
      </c>
      <c r="AM187" s="113">
        <v>9088</v>
      </c>
      <c r="AN187" s="113">
        <v>9152</v>
      </c>
      <c r="AO187" s="113">
        <v>9296</v>
      </c>
      <c r="AP187" s="113">
        <v>9296</v>
      </c>
      <c r="AQ187" s="113">
        <v>9296</v>
      </c>
      <c r="AR187" s="113">
        <v>9344</v>
      </c>
      <c r="AS187" s="113">
        <v>9408</v>
      </c>
      <c r="AT187" s="113">
        <v>9440</v>
      </c>
      <c r="AU187" s="113">
        <v>9440</v>
      </c>
      <c r="AV187" s="113">
        <v>9520</v>
      </c>
      <c r="AW187" s="113">
        <v>9552</v>
      </c>
      <c r="AX187" s="113">
        <v>9552</v>
      </c>
      <c r="AY187" s="113">
        <v>9584</v>
      </c>
      <c r="AZ187" s="113">
        <v>9528</v>
      </c>
      <c r="BA187" s="113">
        <v>9632</v>
      </c>
      <c r="BB187" s="113">
        <v>9656</v>
      </c>
      <c r="BC187" s="113">
        <v>9692</v>
      </c>
      <c r="BD187" s="113">
        <v>9816</v>
      </c>
      <c r="BE187" s="113">
        <v>9880</v>
      </c>
      <c r="BF187" s="113">
        <v>9952</v>
      </c>
      <c r="BG187" s="113">
        <v>10040</v>
      </c>
      <c r="BH187" s="113">
        <v>10182</v>
      </c>
      <c r="BI187" s="113">
        <v>10218</v>
      </c>
      <c r="BJ187" s="113">
        <v>10296</v>
      </c>
      <c r="BK187" s="113">
        <v>10354</v>
      </c>
      <c r="BL187" s="113">
        <v>10484</v>
      </c>
      <c r="BM187" s="113">
        <v>10566</v>
      </c>
      <c r="BN187" s="113">
        <v>10632</v>
      </c>
      <c r="BO187" s="113">
        <v>10642</v>
      </c>
      <c r="BP187" s="113">
        <v>10672</v>
      </c>
      <c r="BQ187" s="113">
        <v>10766</v>
      </c>
      <c r="BR187" s="113">
        <v>10772</v>
      </c>
      <c r="BS187" s="113">
        <v>10806</v>
      </c>
      <c r="BT187" s="113">
        <v>10830</v>
      </c>
      <c r="BU187" s="113">
        <v>10718</v>
      </c>
      <c r="BV187" s="113">
        <v>10692</v>
      </c>
      <c r="BW187" s="113">
        <v>10701.385302000001</v>
      </c>
      <c r="BX187" s="113">
        <v>10722</v>
      </c>
      <c r="BY187" s="113">
        <v>10771</v>
      </c>
      <c r="BZ187" s="113">
        <v>10805</v>
      </c>
      <c r="CA187" s="113">
        <v>10789</v>
      </c>
      <c r="CB187" s="113">
        <v>10777</v>
      </c>
      <c r="CC187" s="113">
        <v>10862</v>
      </c>
      <c r="CD187" s="113">
        <v>10865</v>
      </c>
      <c r="CE187" s="113">
        <v>10880.222153000001</v>
      </c>
      <c r="CF187" s="113">
        <v>10804.353235</v>
      </c>
      <c r="CG187" s="113">
        <v>10710</v>
      </c>
      <c r="CH187" s="113">
        <v>10645</v>
      </c>
      <c r="CI187" s="113">
        <v>10384</v>
      </c>
      <c r="CJ187" s="113">
        <v>10225</v>
      </c>
      <c r="CK187" s="113">
        <v>10062</v>
      </c>
      <c r="CL187" s="113">
        <v>9820</v>
      </c>
      <c r="CM187" s="113">
        <v>9777</v>
      </c>
      <c r="CN187" s="113">
        <v>9572</v>
      </c>
      <c r="CO187" s="113">
        <v>9380</v>
      </c>
      <c r="CP187" s="113">
        <v>9355</v>
      </c>
      <c r="CQ187" s="113">
        <v>9329</v>
      </c>
      <c r="CR187" s="113">
        <v>9310</v>
      </c>
      <c r="CS187" s="113">
        <v>9151</v>
      </c>
      <c r="CT187" s="113">
        <v>8977</v>
      </c>
      <c r="CU187" s="113">
        <v>8889</v>
      </c>
      <c r="CV187" s="113">
        <v>8898</v>
      </c>
      <c r="CW187" s="113">
        <v>8908</v>
      </c>
      <c r="CX187" s="113">
        <v>8900</v>
      </c>
      <c r="CY187" s="113">
        <v>8811</v>
      </c>
      <c r="CZ187" s="113">
        <v>8762</v>
      </c>
      <c r="DA187" s="113">
        <v>8668</v>
      </c>
      <c r="DB187" s="113">
        <v>8562</v>
      </c>
      <c r="DC187" s="113">
        <v>8403</v>
      </c>
      <c r="DD187" s="113">
        <v>8431</v>
      </c>
      <c r="DE187" s="113">
        <v>8376</v>
      </c>
      <c r="DF187" s="113">
        <v>8410</v>
      </c>
      <c r="DG187" s="113">
        <v>8382</v>
      </c>
      <c r="DH187" s="113">
        <v>8400</v>
      </c>
      <c r="DI187" s="113">
        <v>8381</v>
      </c>
      <c r="DJ187" s="113">
        <v>8422</v>
      </c>
      <c r="DK187" s="113">
        <v>8374</v>
      </c>
      <c r="DL187" s="113">
        <v>8349</v>
      </c>
      <c r="DM187" s="113">
        <v>8328</v>
      </c>
      <c r="DN187" s="113">
        <v>8346</v>
      </c>
      <c r="DO187" s="113">
        <v>8300</v>
      </c>
      <c r="DP187" s="113">
        <v>8260</v>
      </c>
      <c r="DQ187" s="113">
        <v>8239</v>
      </c>
      <c r="DR187" s="113">
        <v>8255</v>
      </c>
      <c r="DS187" s="113">
        <v>8218</v>
      </c>
      <c r="DT187" s="113">
        <v>8113</v>
      </c>
      <c r="DU187" s="113">
        <v>8027</v>
      </c>
      <c r="DV187" s="113">
        <v>7986</v>
      </c>
      <c r="DW187" s="113">
        <v>7925</v>
      </c>
      <c r="DX187" s="113">
        <v>7870</v>
      </c>
      <c r="DY187" s="113">
        <v>7808</v>
      </c>
      <c r="DZ187" s="113">
        <v>7784</v>
      </c>
      <c r="EA187" s="113">
        <v>7730</v>
      </c>
      <c r="EB187" s="113">
        <v>7723</v>
      </c>
      <c r="EC187" s="113">
        <v>7708</v>
      </c>
      <c r="ED187" s="113">
        <v>7720</v>
      </c>
      <c r="EE187" s="113">
        <v>7705</v>
      </c>
      <c r="EF187" s="113">
        <v>7690</v>
      </c>
      <c r="EG187" s="113">
        <v>7677</v>
      </c>
      <c r="EH187" s="113">
        <v>7680</v>
      </c>
      <c r="EI187" s="113">
        <v>7683</v>
      </c>
      <c r="EJ187" s="113">
        <v>7666</v>
      </c>
      <c r="EK187" s="113">
        <v>7643</v>
      </c>
      <c r="EL187" s="113">
        <v>7634</v>
      </c>
      <c r="EM187" s="113">
        <v>7611</v>
      </c>
      <c r="EN187" s="113">
        <v>7590</v>
      </c>
    </row>
    <row r="188" spans="1:144">
      <c r="A188" s="103" t="s">
        <v>2312</v>
      </c>
      <c r="B188" s="117">
        <v>0.16</v>
      </c>
      <c r="C188" s="117">
        <v>0.25</v>
      </c>
      <c r="D188" s="117">
        <v>0.36</v>
      </c>
      <c r="E188" s="117">
        <v>0.48</v>
      </c>
      <c r="F188" s="117">
        <v>0.56999999999999995</v>
      </c>
      <c r="G188" s="117">
        <v>0.72</v>
      </c>
      <c r="H188" s="117">
        <v>1.02</v>
      </c>
      <c r="I188" s="117">
        <v>1.58</v>
      </c>
      <c r="J188" s="117">
        <v>2.69</v>
      </c>
      <c r="K188" s="117">
        <v>3.92</v>
      </c>
      <c r="L188" s="117">
        <v>4.3899999999999997</v>
      </c>
      <c r="M188" s="117">
        <v>4.87</v>
      </c>
      <c r="N188" s="117">
        <v>6.03</v>
      </c>
      <c r="O188" s="117">
        <v>6.89</v>
      </c>
      <c r="P188" s="117">
        <v>4.49</v>
      </c>
      <c r="Q188" s="117">
        <v>3.99</v>
      </c>
      <c r="R188" s="117">
        <v>3.32</v>
      </c>
      <c r="S188" s="117">
        <v>3.97</v>
      </c>
      <c r="T188" s="117">
        <v>4.4400000000000004</v>
      </c>
      <c r="U188" s="117">
        <v>5.33</v>
      </c>
      <c r="V188" s="117">
        <v>6.82</v>
      </c>
      <c r="W188" s="117">
        <v>7.92</v>
      </c>
      <c r="X188" s="117">
        <v>9.48</v>
      </c>
      <c r="Y188" s="117">
        <v>10.9</v>
      </c>
      <c r="Z188" s="117">
        <v>9.98</v>
      </c>
      <c r="AA188" s="117">
        <v>9.2200000000000006</v>
      </c>
      <c r="AB188" s="117">
        <v>11.38</v>
      </c>
      <c r="AC188" s="117">
        <v>10.77</v>
      </c>
      <c r="AD188" s="117">
        <v>13.39</v>
      </c>
      <c r="AE188" s="117">
        <v>15.09</v>
      </c>
      <c r="AG188" s="103" t="s">
        <v>2312</v>
      </c>
      <c r="AH188" s="117">
        <v>0.25</v>
      </c>
      <c r="AI188" s="118" t="s">
        <v>271</v>
      </c>
      <c r="AJ188" s="118" t="s">
        <v>271</v>
      </c>
      <c r="AK188" s="117">
        <v>0.36</v>
      </c>
      <c r="AL188" s="117">
        <v>0.36</v>
      </c>
      <c r="AM188" s="117">
        <v>0.41</v>
      </c>
      <c r="AN188" s="117">
        <v>0.44</v>
      </c>
      <c r="AO188" s="117">
        <v>0.48</v>
      </c>
      <c r="AP188" s="117">
        <v>0.48</v>
      </c>
      <c r="AQ188" s="117">
        <v>0.51</v>
      </c>
      <c r="AR188" s="117">
        <v>0.56999999999999995</v>
      </c>
      <c r="AS188" s="117">
        <v>0.56999999999999995</v>
      </c>
      <c r="AT188" s="117">
        <v>0.66</v>
      </c>
      <c r="AU188" s="117">
        <v>0.71</v>
      </c>
      <c r="AV188" s="117">
        <v>0.76</v>
      </c>
      <c r="AW188" s="117">
        <v>0.72</v>
      </c>
      <c r="AX188" s="117">
        <v>0.83</v>
      </c>
      <c r="AY188" s="117">
        <v>0.9</v>
      </c>
      <c r="AZ188" s="117">
        <v>0.86</v>
      </c>
      <c r="BA188" s="117">
        <v>1.02</v>
      </c>
      <c r="BB188" s="117">
        <v>1.0900000000000001</v>
      </c>
      <c r="BC188" s="117">
        <v>1.17</v>
      </c>
      <c r="BD188" s="117">
        <v>1.4</v>
      </c>
      <c r="BE188" s="117">
        <v>1.58</v>
      </c>
      <c r="BF188" s="117">
        <v>1.82</v>
      </c>
      <c r="BG188" s="117">
        <v>2.15</v>
      </c>
      <c r="BH188" s="117">
        <v>2.4300000000000002</v>
      </c>
      <c r="BI188" s="117">
        <v>2.69</v>
      </c>
      <c r="BJ188" s="117">
        <v>2.95</v>
      </c>
      <c r="BK188" s="117">
        <v>3.34</v>
      </c>
      <c r="BL188" s="117">
        <v>3.8</v>
      </c>
      <c r="BM188" s="117">
        <v>3.92</v>
      </c>
      <c r="BN188" s="117">
        <v>4.26</v>
      </c>
      <c r="BO188" s="117">
        <v>4.3600000000000003</v>
      </c>
      <c r="BP188" s="117">
        <v>4.51</v>
      </c>
      <c r="BQ188" s="117">
        <v>4.3899999999999997</v>
      </c>
      <c r="BR188" s="117">
        <v>4.5</v>
      </c>
      <c r="BS188" s="117">
        <v>4.7699999999999996</v>
      </c>
      <c r="BT188" s="117">
        <v>5.01</v>
      </c>
      <c r="BU188" s="117">
        <v>4.87</v>
      </c>
      <c r="BV188" s="117">
        <v>5.01</v>
      </c>
      <c r="BW188" s="117">
        <v>5.22</v>
      </c>
      <c r="BX188" s="117">
        <v>5.44</v>
      </c>
      <c r="BY188" s="117">
        <v>6.03</v>
      </c>
      <c r="BZ188" s="117">
        <v>6.17</v>
      </c>
      <c r="CA188" s="117">
        <v>6.43</v>
      </c>
      <c r="CB188" s="117">
        <v>6.55</v>
      </c>
      <c r="CC188" s="117">
        <v>6.89</v>
      </c>
      <c r="CD188" s="117">
        <v>6.99</v>
      </c>
      <c r="CE188" s="117">
        <v>4.34</v>
      </c>
      <c r="CF188" s="117">
        <v>4.38</v>
      </c>
      <c r="CG188" s="117">
        <v>4.49</v>
      </c>
      <c r="CH188" s="117">
        <v>4.54</v>
      </c>
      <c r="CI188" s="117">
        <v>4.26</v>
      </c>
      <c r="CJ188" s="117">
        <v>4.1100000000000003</v>
      </c>
      <c r="CK188" s="117">
        <v>3.99</v>
      </c>
      <c r="CL188" s="117">
        <v>3.68</v>
      </c>
      <c r="CM188" s="117">
        <v>3.75</v>
      </c>
      <c r="CN188" s="117">
        <v>3.65</v>
      </c>
      <c r="CO188" s="117">
        <v>3.32</v>
      </c>
      <c r="CP188" s="117">
        <v>3.44</v>
      </c>
      <c r="CQ188" s="117">
        <v>3.69</v>
      </c>
      <c r="CR188" s="117">
        <v>4.03</v>
      </c>
      <c r="CS188" s="117">
        <v>3.97</v>
      </c>
      <c r="CT188" s="117">
        <v>3.74</v>
      </c>
      <c r="CU188" s="117">
        <v>3.88</v>
      </c>
      <c r="CV188" s="117">
        <v>4.1500000000000004</v>
      </c>
      <c r="CW188" s="117">
        <v>4.4400000000000004</v>
      </c>
      <c r="CX188" s="117">
        <v>4.63</v>
      </c>
      <c r="CY188" s="117">
        <v>5.03</v>
      </c>
      <c r="CZ188" s="117">
        <v>5.22</v>
      </c>
      <c r="DA188" s="117">
        <v>5.33</v>
      </c>
      <c r="DB188" s="117">
        <v>5.48</v>
      </c>
      <c r="DC188" s="117">
        <v>5.77</v>
      </c>
      <c r="DD188" s="117">
        <v>6.34</v>
      </c>
      <c r="DE188" s="117">
        <v>6.82</v>
      </c>
      <c r="DF188" s="117">
        <v>7.06</v>
      </c>
      <c r="DG188" s="117">
        <v>7.65</v>
      </c>
      <c r="DH188" s="117">
        <v>8.17</v>
      </c>
      <c r="DI188" s="117">
        <v>7.92</v>
      </c>
      <c r="DJ188" s="117">
        <v>8.17</v>
      </c>
      <c r="DK188" s="117">
        <v>8.67</v>
      </c>
      <c r="DL188" s="117">
        <v>9.19</v>
      </c>
      <c r="DM188" s="117">
        <v>9.48</v>
      </c>
      <c r="DN188" s="117">
        <v>9.7799999999999994</v>
      </c>
      <c r="DO188" s="117">
        <v>10.25</v>
      </c>
      <c r="DP188" s="117">
        <v>10.58</v>
      </c>
      <c r="DQ188" s="117">
        <v>10.9</v>
      </c>
      <c r="DR188" s="117">
        <v>10.92</v>
      </c>
      <c r="DS188" s="117">
        <v>11.18</v>
      </c>
      <c r="DT188" s="117">
        <v>11.11</v>
      </c>
      <c r="DU188" s="117">
        <v>9.98</v>
      </c>
      <c r="DV188" s="117">
        <v>9.6999999999999993</v>
      </c>
      <c r="DW188" s="117">
        <v>9.69</v>
      </c>
      <c r="DX188" s="117">
        <v>9.51</v>
      </c>
      <c r="DY188" s="117">
        <v>9.2200000000000006</v>
      </c>
      <c r="DZ188" s="117">
        <v>9.0399999999999991</v>
      </c>
      <c r="EA188" s="117">
        <v>8.9</v>
      </c>
      <c r="EB188" s="117">
        <v>9.0299999999999994</v>
      </c>
      <c r="EC188" s="117">
        <v>11.38</v>
      </c>
      <c r="ED188" s="117">
        <v>11.61</v>
      </c>
      <c r="EE188" s="117">
        <v>10.17</v>
      </c>
      <c r="EF188" s="117">
        <v>10.3</v>
      </c>
      <c r="EG188" s="117">
        <v>10.77</v>
      </c>
      <c r="EH188" s="117">
        <v>11.19</v>
      </c>
      <c r="EI188" s="117">
        <v>11.99</v>
      </c>
      <c r="EJ188" s="117">
        <v>12.37</v>
      </c>
      <c r="EK188" s="117">
        <v>13.39</v>
      </c>
      <c r="EL188" s="117">
        <v>13.89</v>
      </c>
      <c r="EM188" s="117">
        <v>14.47</v>
      </c>
      <c r="EN188" s="117">
        <v>15.09</v>
      </c>
    </row>
    <row r="189" spans="1:144">
      <c r="A189" s="103" t="s">
        <v>2313</v>
      </c>
      <c r="B189" s="113">
        <v>1350.8309999999999</v>
      </c>
      <c r="C189" s="113">
        <v>2193</v>
      </c>
      <c r="D189" s="113">
        <v>3242</v>
      </c>
      <c r="E189" s="113">
        <v>4450</v>
      </c>
      <c r="F189" s="113">
        <v>5333</v>
      </c>
      <c r="G189" s="113">
        <v>6908</v>
      </c>
      <c r="H189" s="113">
        <v>9797</v>
      </c>
      <c r="I189" s="113">
        <v>15647</v>
      </c>
      <c r="J189" s="113">
        <v>27458</v>
      </c>
      <c r="K189" s="113">
        <v>41368</v>
      </c>
      <c r="L189" s="113">
        <v>45377</v>
      </c>
      <c r="M189" s="113">
        <v>50511</v>
      </c>
      <c r="N189" s="113">
        <v>61400</v>
      </c>
      <c r="O189" s="113">
        <v>71141</v>
      </c>
      <c r="P189" s="113">
        <v>44307</v>
      </c>
      <c r="Q189" s="113">
        <v>35699</v>
      </c>
      <c r="R189" s="113">
        <v>25459</v>
      </c>
      <c r="S189" s="113">
        <v>22205</v>
      </c>
      <c r="T189" s="113">
        <v>25296</v>
      </c>
      <c r="U189" s="113">
        <v>32623</v>
      </c>
      <c r="V189" s="113">
        <v>43758</v>
      </c>
      <c r="W189" s="113">
        <v>49741</v>
      </c>
      <c r="X189" s="113">
        <v>61206</v>
      </c>
      <c r="Y189" s="113">
        <v>62676</v>
      </c>
      <c r="Z189" s="113">
        <v>58309</v>
      </c>
      <c r="AA189" s="113">
        <v>50392</v>
      </c>
      <c r="AB189" s="113">
        <v>42483</v>
      </c>
      <c r="AC189" s="113">
        <v>38982</v>
      </c>
      <c r="AD189" s="113">
        <v>52554</v>
      </c>
      <c r="AE189" s="113">
        <v>65582</v>
      </c>
      <c r="AG189" s="103" t="s">
        <v>2313</v>
      </c>
      <c r="AH189" s="113">
        <v>2193</v>
      </c>
      <c r="AI189" s="113" t="s">
        <v>271</v>
      </c>
      <c r="AJ189" s="113" t="s">
        <v>271</v>
      </c>
      <c r="AK189" s="113">
        <v>3242</v>
      </c>
      <c r="AL189" s="113">
        <v>3242</v>
      </c>
      <c r="AM189" s="113">
        <v>3746</v>
      </c>
      <c r="AN189" s="113">
        <v>4012</v>
      </c>
      <c r="AO189" s="113">
        <v>4450</v>
      </c>
      <c r="AP189" s="113">
        <v>4430</v>
      </c>
      <c r="AQ189" s="113">
        <v>4740</v>
      </c>
      <c r="AR189" s="113">
        <v>5282</v>
      </c>
      <c r="AS189" s="113">
        <v>5333</v>
      </c>
      <c r="AT189" s="113">
        <v>6276</v>
      </c>
      <c r="AU189" s="113">
        <v>6740</v>
      </c>
      <c r="AV189" s="113">
        <v>7201</v>
      </c>
      <c r="AW189" s="113">
        <v>6908</v>
      </c>
      <c r="AX189" s="113">
        <v>7952</v>
      </c>
      <c r="AY189" s="113">
        <v>8662</v>
      </c>
      <c r="AZ189" s="113">
        <v>8154</v>
      </c>
      <c r="BA189" s="113">
        <v>9797</v>
      </c>
      <c r="BB189" s="113">
        <v>10484</v>
      </c>
      <c r="BC189" s="113">
        <v>11364</v>
      </c>
      <c r="BD189" s="113">
        <v>13696</v>
      </c>
      <c r="BE189" s="113">
        <v>15647</v>
      </c>
      <c r="BF189" s="113">
        <v>18144</v>
      </c>
      <c r="BG189" s="113">
        <v>21598</v>
      </c>
      <c r="BH189" s="113">
        <v>24742</v>
      </c>
      <c r="BI189" s="113">
        <v>27458</v>
      </c>
      <c r="BJ189" s="113">
        <v>30360</v>
      </c>
      <c r="BK189" s="113">
        <v>34589</v>
      </c>
      <c r="BL189" s="113">
        <v>39792</v>
      </c>
      <c r="BM189" s="113">
        <v>41368</v>
      </c>
      <c r="BN189" s="113">
        <v>45343</v>
      </c>
      <c r="BO189" s="113">
        <v>46422</v>
      </c>
      <c r="BP189" s="113">
        <v>48090</v>
      </c>
      <c r="BQ189" s="113">
        <v>45377</v>
      </c>
      <c r="BR189" s="113">
        <v>46600</v>
      </c>
      <c r="BS189" s="113">
        <v>49693</v>
      </c>
      <c r="BT189" s="113">
        <v>52590</v>
      </c>
      <c r="BU189" s="113">
        <v>50511</v>
      </c>
      <c r="BV189" s="113">
        <v>50019</v>
      </c>
      <c r="BW189" s="113">
        <v>52448</v>
      </c>
      <c r="BX189" s="113">
        <v>54925</v>
      </c>
      <c r="BY189" s="113">
        <v>61400</v>
      </c>
      <c r="BZ189" s="113">
        <v>63174</v>
      </c>
      <c r="CA189" s="113">
        <v>65888</v>
      </c>
      <c r="CB189" s="113">
        <v>66871</v>
      </c>
      <c r="CC189" s="113">
        <v>71141</v>
      </c>
      <c r="CD189" s="113">
        <v>72297</v>
      </c>
      <c r="CE189" s="113">
        <v>43633</v>
      </c>
      <c r="CF189" s="113">
        <v>43794</v>
      </c>
      <c r="CG189" s="113">
        <v>44307</v>
      </c>
      <c r="CH189" s="113">
        <v>44321</v>
      </c>
      <c r="CI189" s="113">
        <v>40189</v>
      </c>
      <c r="CJ189" s="113">
        <v>37968</v>
      </c>
      <c r="CK189" s="113">
        <v>35699</v>
      </c>
      <c r="CL189" s="113">
        <v>31228</v>
      </c>
      <c r="CM189" s="113">
        <v>31700</v>
      </c>
      <c r="CN189" s="113">
        <v>30057</v>
      </c>
      <c r="CO189" s="113">
        <v>25459</v>
      </c>
      <c r="CP189" s="113">
        <v>20266</v>
      </c>
      <c r="CQ189" s="113">
        <v>22405</v>
      </c>
      <c r="CR189" s="113">
        <v>25569</v>
      </c>
      <c r="CS189" s="113">
        <v>22205</v>
      </c>
      <c r="CT189" s="113">
        <v>19404</v>
      </c>
      <c r="CU189" s="113">
        <v>20173</v>
      </c>
      <c r="CV189" s="113">
        <v>22633</v>
      </c>
      <c r="CW189" s="113">
        <v>25296</v>
      </c>
      <c r="CX189" s="113">
        <v>26977</v>
      </c>
      <c r="CY189" s="113">
        <v>30569</v>
      </c>
      <c r="CZ189" s="113">
        <v>31965</v>
      </c>
      <c r="DA189" s="113">
        <v>32623</v>
      </c>
      <c r="DB189" s="113">
        <v>33394</v>
      </c>
      <c r="DC189" s="113">
        <v>34987</v>
      </c>
      <c r="DD189" s="113">
        <v>40058</v>
      </c>
      <c r="DE189" s="113">
        <v>43758</v>
      </c>
      <c r="DF189" s="113">
        <v>45828</v>
      </c>
      <c r="DG189" s="113">
        <v>41870</v>
      </c>
      <c r="DH189" s="113">
        <v>46205</v>
      </c>
      <c r="DI189" s="113">
        <v>49741</v>
      </c>
      <c r="DJ189" s="113">
        <v>50947</v>
      </c>
      <c r="DK189" s="113">
        <v>54508</v>
      </c>
      <c r="DL189" s="113">
        <v>58766</v>
      </c>
      <c r="DM189" s="113">
        <v>61206</v>
      </c>
      <c r="DN189" s="113">
        <v>63992</v>
      </c>
      <c r="DO189" s="113">
        <v>67475</v>
      </c>
      <c r="DP189" s="113">
        <v>69772</v>
      </c>
      <c r="DQ189" s="113">
        <v>62676</v>
      </c>
      <c r="DR189" s="113">
        <v>63396</v>
      </c>
      <c r="DS189" s="113">
        <v>62725</v>
      </c>
      <c r="DT189" s="113">
        <v>61441</v>
      </c>
      <c r="DU189" s="113">
        <v>58309</v>
      </c>
      <c r="DV189" s="113">
        <v>55558</v>
      </c>
      <c r="DW189" s="113">
        <v>54725</v>
      </c>
      <c r="DX189" s="113">
        <v>52399</v>
      </c>
      <c r="DY189" s="113">
        <v>50392</v>
      </c>
      <c r="DZ189" s="113">
        <v>48943</v>
      </c>
      <c r="EA189" s="113">
        <v>23284</v>
      </c>
      <c r="EB189" s="113">
        <v>24514</v>
      </c>
      <c r="EC189" s="113">
        <v>42483</v>
      </c>
      <c r="ED189" s="113">
        <v>44660</v>
      </c>
      <c r="EE189" s="113">
        <v>33971</v>
      </c>
      <c r="EF189" s="113">
        <v>35113</v>
      </c>
      <c r="EG189" s="113">
        <v>38982</v>
      </c>
      <c r="EH189" s="113">
        <v>42533</v>
      </c>
      <c r="EI189" s="113">
        <v>42069</v>
      </c>
      <c r="EJ189" s="113">
        <v>44900</v>
      </c>
      <c r="EK189" s="113">
        <v>52554</v>
      </c>
      <c r="EL189" s="113">
        <v>56440</v>
      </c>
      <c r="EM189" s="113">
        <v>60735</v>
      </c>
      <c r="EN189" s="113">
        <v>65582</v>
      </c>
    </row>
    <row r="190" spans="1:144">
      <c r="A190" s="103" t="s">
        <v>2314</v>
      </c>
      <c r="B190" s="117">
        <v>0.16</v>
      </c>
      <c r="C190" s="117">
        <v>0.25</v>
      </c>
      <c r="D190" s="117">
        <v>0.36</v>
      </c>
      <c r="E190" s="117">
        <v>0.48</v>
      </c>
      <c r="F190" s="117">
        <v>0.56999999999999995</v>
      </c>
      <c r="G190" s="117">
        <v>0.72</v>
      </c>
      <c r="H190" s="117">
        <v>1.02</v>
      </c>
      <c r="I190" s="117">
        <v>1.58</v>
      </c>
      <c r="J190" s="117">
        <v>2.69</v>
      </c>
      <c r="K190" s="117">
        <v>3.92</v>
      </c>
      <c r="L190" s="117">
        <v>4.21</v>
      </c>
      <c r="M190" s="117">
        <v>4.71</v>
      </c>
      <c r="N190" s="117">
        <v>5.7</v>
      </c>
      <c r="O190" s="117">
        <v>6.55</v>
      </c>
      <c r="P190" s="117">
        <v>4.1399999999999997</v>
      </c>
      <c r="Q190" s="117">
        <v>3.55</v>
      </c>
      <c r="R190" s="117">
        <v>2.71</v>
      </c>
      <c r="S190" s="117">
        <v>2.4300000000000002</v>
      </c>
      <c r="T190" s="117">
        <v>2.84</v>
      </c>
      <c r="U190" s="117">
        <v>3.76</v>
      </c>
      <c r="V190" s="117">
        <v>5.22</v>
      </c>
      <c r="W190" s="117">
        <v>5.93</v>
      </c>
      <c r="X190" s="117">
        <v>7.35</v>
      </c>
      <c r="Y190" s="117">
        <v>7.61</v>
      </c>
      <c r="Z190" s="117">
        <v>7.26</v>
      </c>
      <c r="AA190" s="117">
        <v>6.45</v>
      </c>
      <c r="AB190" s="117">
        <v>5.51</v>
      </c>
      <c r="AC190" s="117">
        <v>5.08</v>
      </c>
      <c r="AD190" s="117">
        <v>6.88</v>
      </c>
      <c r="AE190" s="117">
        <v>8.64</v>
      </c>
      <c r="AG190" s="103" t="s">
        <v>2314</v>
      </c>
      <c r="AH190" s="117">
        <v>0.25</v>
      </c>
      <c r="AI190" s="118" t="s">
        <v>271</v>
      </c>
      <c r="AJ190" s="118" t="s">
        <v>271</v>
      </c>
      <c r="AK190" s="117">
        <v>0.36</v>
      </c>
      <c r="AL190" s="117">
        <v>0.36</v>
      </c>
      <c r="AM190" s="117">
        <v>0.41</v>
      </c>
      <c r="AN190" s="117">
        <v>0.44</v>
      </c>
      <c r="AO190" s="117">
        <v>0.48</v>
      </c>
      <c r="AP190" s="117">
        <v>0.48</v>
      </c>
      <c r="AQ190" s="117">
        <v>0.51</v>
      </c>
      <c r="AR190" s="117">
        <v>0.56999999999999995</v>
      </c>
      <c r="AS190" s="117">
        <v>0.56999999999999995</v>
      </c>
      <c r="AT190" s="117">
        <v>0.66</v>
      </c>
      <c r="AU190" s="117">
        <v>0.71</v>
      </c>
      <c r="AV190" s="117">
        <v>0.76</v>
      </c>
      <c r="AW190" s="117">
        <v>0.72</v>
      </c>
      <c r="AX190" s="117">
        <v>0.83</v>
      </c>
      <c r="AY190" s="117">
        <v>0.9</v>
      </c>
      <c r="AZ190" s="117">
        <v>0.86</v>
      </c>
      <c r="BA190" s="117">
        <v>1.02</v>
      </c>
      <c r="BB190" s="117">
        <v>1.0900000000000001</v>
      </c>
      <c r="BC190" s="117">
        <v>1.17</v>
      </c>
      <c r="BD190" s="117">
        <v>1.4</v>
      </c>
      <c r="BE190" s="117">
        <v>1.58</v>
      </c>
      <c r="BF190" s="117">
        <v>1.82</v>
      </c>
      <c r="BG190" s="117">
        <v>2.15</v>
      </c>
      <c r="BH190" s="117">
        <v>2.4300000000000002</v>
      </c>
      <c r="BI190" s="117">
        <v>2.69</v>
      </c>
      <c r="BJ190" s="117">
        <v>2.95</v>
      </c>
      <c r="BK190" s="117">
        <v>3.34</v>
      </c>
      <c r="BL190" s="117">
        <v>3.8</v>
      </c>
      <c r="BM190" s="117">
        <v>3.92</v>
      </c>
      <c r="BN190" s="117">
        <v>4.26</v>
      </c>
      <c r="BO190" s="117">
        <v>4.3600000000000003</v>
      </c>
      <c r="BP190" s="117">
        <v>4.51</v>
      </c>
      <c r="BQ190" s="117">
        <v>4.21</v>
      </c>
      <c r="BR190" s="117">
        <v>4.33</v>
      </c>
      <c r="BS190" s="117">
        <v>4.5999999999999996</v>
      </c>
      <c r="BT190" s="117">
        <v>4.8600000000000003</v>
      </c>
      <c r="BU190" s="117">
        <v>4.71</v>
      </c>
      <c r="BV190" s="117">
        <v>4.68</v>
      </c>
      <c r="BW190" s="117">
        <v>4.9000000000000004</v>
      </c>
      <c r="BX190" s="117">
        <v>5.12</v>
      </c>
      <c r="BY190" s="117">
        <v>5.7</v>
      </c>
      <c r="BZ190" s="117">
        <v>5.85</v>
      </c>
      <c r="CA190" s="117">
        <v>6.11</v>
      </c>
      <c r="CB190" s="117">
        <v>6.2</v>
      </c>
      <c r="CC190" s="117">
        <v>6.55</v>
      </c>
      <c r="CD190" s="117">
        <v>6.65</v>
      </c>
      <c r="CE190" s="117">
        <v>4.01</v>
      </c>
      <c r="CF190" s="117">
        <v>4.05</v>
      </c>
      <c r="CG190" s="117">
        <v>4.1399999999999997</v>
      </c>
      <c r="CH190" s="117">
        <v>4.16</v>
      </c>
      <c r="CI190" s="117">
        <v>3.87</v>
      </c>
      <c r="CJ190" s="117">
        <v>3.71</v>
      </c>
      <c r="CK190" s="117">
        <v>3.55</v>
      </c>
      <c r="CL190" s="117">
        <v>3.18</v>
      </c>
      <c r="CM190" s="117">
        <v>3.24</v>
      </c>
      <c r="CN190" s="117">
        <v>3.14</v>
      </c>
      <c r="CO190" s="117">
        <v>2.71</v>
      </c>
      <c r="CP190" s="117">
        <v>2.17</v>
      </c>
      <c r="CQ190" s="117">
        <v>2.4</v>
      </c>
      <c r="CR190" s="117">
        <v>2.75</v>
      </c>
      <c r="CS190" s="117">
        <v>2.4300000000000002</v>
      </c>
      <c r="CT190" s="117">
        <v>2.16</v>
      </c>
      <c r="CU190" s="117">
        <v>2.27</v>
      </c>
      <c r="CV190" s="117">
        <v>2.54</v>
      </c>
      <c r="CW190" s="117">
        <v>2.84</v>
      </c>
      <c r="CX190" s="117">
        <v>3.03</v>
      </c>
      <c r="CY190" s="117">
        <v>3.47</v>
      </c>
      <c r="CZ190" s="117">
        <v>3.65</v>
      </c>
      <c r="DA190" s="117">
        <v>3.76</v>
      </c>
      <c r="DB190" s="117">
        <v>3.9</v>
      </c>
      <c r="DC190" s="117">
        <v>4.16</v>
      </c>
      <c r="DD190" s="117">
        <v>4.75</v>
      </c>
      <c r="DE190" s="117">
        <v>5.22</v>
      </c>
      <c r="DF190" s="117">
        <v>5.45</v>
      </c>
      <c r="DG190" s="117">
        <v>5</v>
      </c>
      <c r="DH190" s="117">
        <v>5.5</v>
      </c>
      <c r="DI190" s="117">
        <v>5.93</v>
      </c>
      <c r="DJ190" s="117">
        <v>6.05</v>
      </c>
      <c r="DK190" s="117">
        <v>6.51</v>
      </c>
      <c r="DL190" s="117">
        <v>7.04</v>
      </c>
      <c r="DM190" s="117">
        <v>7.35</v>
      </c>
      <c r="DN190" s="117">
        <v>7.67</v>
      </c>
      <c r="DO190" s="117">
        <v>8.1300000000000008</v>
      </c>
      <c r="DP190" s="117">
        <v>8.4499999999999993</v>
      </c>
      <c r="DQ190" s="117">
        <v>7.61</v>
      </c>
      <c r="DR190" s="117">
        <v>7.68</v>
      </c>
      <c r="DS190" s="117">
        <v>7.63</v>
      </c>
      <c r="DT190" s="117">
        <v>7.57</v>
      </c>
      <c r="DU190" s="117">
        <v>7.26</v>
      </c>
      <c r="DV190" s="117">
        <v>6.96</v>
      </c>
      <c r="DW190" s="117">
        <v>6.91</v>
      </c>
      <c r="DX190" s="117">
        <v>6.66</v>
      </c>
      <c r="DY190" s="117">
        <v>6.45</v>
      </c>
      <c r="DZ190" s="117">
        <v>6.29</v>
      </c>
      <c r="EA190" s="117">
        <v>3.01</v>
      </c>
      <c r="EB190" s="117">
        <v>3.17</v>
      </c>
      <c r="EC190" s="117">
        <v>5.51</v>
      </c>
      <c r="ED190" s="117">
        <v>5.78</v>
      </c>
      <c r="EE190" s="117">
        <v>4.41</v>
      </c>
      <c r="EF190" s="117">
        <v>4.57</v>
      </c>
      <c r="EG190" s="117">
        <v>5.08</v>
      </c>
      <c r="EH190" s="117">
        <v>5.54</v>
      </c>
      <c r="EI190" s="117">
        <v>5.48</v>
      </c>
      <c r="EJ190" s="117">
        <v>5.86</v>
      </c>
      <c r="EK190" s="117">
        <v>6.88</v>
      </c>
      <c r="EL190" s="117">
        <v>7.39</v>
      </c>
      <c r="EM190" s="117">
        <v>7.98</v>
      </c>
      <c r="EN190" s="117">
        <v>8.64</v>
      </c>
    </row>
    <row r="191" spans="1:144">
      <c r="A191" s="103" t="s">
        <v>1190</v>
      </c>
      <c r="B191" s="113">
        <v>19.456</v>
      </c>
      <c r="C191" s="113">
        <v>0</v>
      </c>
      <c r="D191" s="113">
        <v>0</v>
      </c>
      <c r="E191" s="113">
        <v>0</v>
      </c>
      <c r="F191" s="113">
        <v>0</v>
      </c>
      <c r="G191" s="113">
        <v>0</v>
      </c>
      <c r="H191" s="113">
        <v>0</v>
      </c>
      <c r="I191" s="113">
        <v>0</v>
      </c>
      <c r="J191" s="113">
        <v>0</v>
      </c>
      <c r="K191" s="113">
        <v>0</v>
      </c>
      <c r="L191" s="113">
        <v>0</v>
      </c>
      <c r="M191" s="113">
        <v>0</v>
      </c>
      <c r="N191" s="113">
        <v>0</v>
      </c>
      <c r="O191" s="113">
        <v>0</v>
      </c>
      <c r="P191" s="113">
        <v>0</v>
      </c>
      <c r="Q191" s="113">
        <v>0</v>
      </c>
      <c r="R191" s="113">
        <v>2741</v>
      </c>
      <c r="S191" s="113">
        <v>2614</v>
      </c>
      <c r="T191" s="113">
        <v>7450</v>
      </c>
      <c r="U191" s="113">
        <v>6154</v>
      </c>
      <c r="V191" s="113">
        <v>13138</v>
      </c>
      <c r="W191" s="113">
        <v>12775</v>
      </c>
      <c r="X191" s="113">
        <v>16290</v>
      </c>
      <c r="Y191" s="113">
        <v>23203</v>
      </c>
      <c r="Z191" s="113">
        <v>35384</v>
      </c>
      <c r="AA191" s="113">
        <v>54541</v>
      </c>
      <c r="AB191" s="113">
        <v>95527</v>
      </c>
      <c r="AC191" s="113">
        <v>87508</v>
      </c>
      <c r="AD191" s="113">
        <v>86455</v>
      </c>
      <c r="AE191" s="113">
        <v>84025</v>
      </c>
      <c r="AG191" s="103" t="s">
        <v>1190</v>
      </c>
      <c r="AH191" s="113">
        <v>0</v>
      </c>
      <c r="AI191" s="113" t="s">
        <v>271</v>
      </c>
      <c r="AJ191" s="113" t="s">
        <v>271</v>
      </c>
      <c r="AK191" s="113">
        <v>0</v>
      </c>
      <c r="AL191" s="113">
        <v>0</v>
      </c>
      <c r="AM191" s="113">
        <v>0</v>
      </c>
      <c r="AN191" s="113">
        <v>0</v>
      </c>
      <c r="AO191" s="113">
        <v>0</v>
      </c>
      <c r="AP191" s="113">
        <v>0</v>
      </c>
      <c r="AQ191" s="113">
        <v>0</v>
      </c>
      <c r="AR191" s="113">
        <v>0</v>
      </c>
      <c r="AS191" s="113">
        <v>0</v>
      </c>
      <c r="AT191" s="113">
        <v>0</v>
      </c>
      <c r="AU191" s="113">
        <v>0</v>
      </c>
      <c r="AV191" s="113">
        <v>0</v>
      </c>
      <c r="AW191" s="113">
        <v>0</v>
      </c>
      <c r="AX191" s="113">
        <v>0</v>
      </c>
      <c r="AY191" s="113">
        <v>0</v>
      </c>
      <c r="AZ191" s="113">
        <v>0</v>
      </c>
      <c r="BA191" s="113">
        <v>0</v>
      </c>
      <c r="BB191" s="113">
        <v>0</v>
      </c>
      <c r="BC191" s="113">
        <v>0</v>
      </c>
      <c r="BD191" s="113">
        <v>0</v>
      </c>
      <c r="BE191" s="113">
        <v>0</v>
      </c>
      <c r="BF191" s="113">
        <v>0</v>
      </c>
      <c r="BG191" s="113">
        <v>0</v>
      </c>
      <c r="BH191" s="113">
        <v>0</v>
      </c>
      <c r="BI191" s="113">
        <v>0</v>
      </c>
      <c r="BJ191" s="113">
        <v>0</v>
      </c>
      <c r="BK191" s="113">
        <v>0</v>
      </c>
      <c r="BL191" s="113">
        <v>0</v>
      </c>
      <c r="BM191" s="113">
        <v>0</v>
      </c>
      <c r="BN191" s="113">
        <v>0</v>
      </c>
      <c r="BO191" s="113">
        <v>0</v>
      </c>
      <c r="BP191" s="113">
        <v>0</v>
      </c>
      <c r="BQ191" s="113">
        <v>0</v>
      </c>
      <c r="BR191" s="113">
        <v>0</v>
      </c>
      <c r="BS191" s="113">
        <v>0</v>
      </c>
      <c r="BT191" s="113">
        <v>0</v>
      </c>
      <c r="BU191" s="113">
        <v>0</v>
      </c>
      <c r="BV191" s="113">
        <v>0</v>
      </c>
      <c r="BW191" s="113">
        <v>0</v>
      </c>
      <c r="BX191" s="113">
        <v>0</v>
      </c>
      <c r="BY191" s="113">
        <v>0</v>
      </c>
      <c r="BZ191" s="113">
        <v>0</v>
      </c>
      <c r="CA191" s="113">
        <v>0</v>
      </c>
      <c r="CB191" s="113">
        <v>0</v>
      </c>
      <c r="CC191" s="113">
        <v>0</v>
      </c>
      <c r="CD191" s="113">
        <v>0</v>
      </c>
      <c r="CE191" s="113">
        <v>0</v>
      </c>
      <c r="CF191" s="113">
        <v>0</v>
      </c>
      <c r="CG191" s="113">
        <v>0</v>
      </c>
      <c r="CH191" s="113">
        <v>0</v>
      </c>
      <c r="CI191" s="113">
        <v>0</v>
      </c>
      <c r="CJ191" s="113">
        <v>0</v>
      </c>
      <c r="CK191" s="113">
        <v>0</v>
      </c>
      <c r="CL191" s="113">
        <v>0</v>
      </c>
      <c r="CM191" s="113">
        <v>0</v>
      </c>
      <c r="CN191" s="113">
        <v>0</v>
      </c>
      <c r="CO191" s="113">
        <v>2741</v>
      </c>
      <c r="CP191" s="113">
        <v>0</v>
      </c>
      <c r="CQ191" s="113">
        <v>0</v>
      </c>
      <c r="CR191" s="113">
        <v>0</v>
      </c>
      <c r="CS191" s="113">
        <v>2614</v>
      </c>
      <c r="CT191" s="113">
        <v>3045</v>
      </c>
      <c r="CU191" s="113">
        <v>2000</v>
      </c>
      <c r="CV191" s="113">
        <v>3532</v>
      </c>
      <c r="CW191" s="113">
        <v>7450</v>
      </c>
      <c r="CX191" s="113">
        <v>9530</v>
      </c>
      <c r="CY191" s="113">
        <v>8912</v>
      </c>
      <c r="CZ191" s="113">
        <v>8795</v>
      </c>
      <c r="DA191" s="113">
        <v>6154</v>
      </c>
      <c r="DB191" s="113">
        <v>11574</v>
      </c>
      <c r="DC191" s="113">
        <v>11032</v>
      </c>
      <c r="DD191" s="113">
        <v>13165</v>
      </c>
      <c r="DE191" s="113">
        <v>13138</v>
      </c>
      <c r="DF191" s="113">
        <v>13097</v>
      </c>
      <c r="DG191" s="113">
        <v>12803</v>
      </c>
      <c r="DH191" s="113">
        <v>13148</v>
      </c>
      <c r="DI191" s="113">
        <v>12775</v>
      </c>
      <c r="DJ191" s="113">
        <v>12374</v>
      </c>
      <c r="DK191" s="113">
        <v>14218</v>
      </c>
      <c r="DL191" s="113">
        <v>14765</v>
      </c>
      <c r="DM191" s="113">
        <v>16290</v>
      </c>
      <c r="DN191" s="113">
        <v>16525</v>
      </c>
      <c r="DO191" s="113">
        <v>23724</v>
      </c>
      <c r="DP191" s="113">
        <v>23473</v>
      </c>
      <c r="DQ191" s="113">
        <v>23203</v>
      </c>
      <c r="DR191" s="113">
        <v>23911</v>
      </c>
      <c r="DS191" s="113">
        <v>28738</v>
      </c>
      <c r="DT191" s="113">
        <v>31964</v>
      </c>
      <c r="DU191" s="113">
        <v>35384</v>
      </c>
      <c r="DV191" s="113">
        <v>38721</v>
      </c>
      <c r="DW191" s="113">
        <v>44868</v>
      </c>
      <c r="DX191" s="113">
        <v>46767</v>
      </c>
      <c r="DY191" s="113">
        <v>54541</v>
      </c>
      <c r="DZ191" s="113">
        <v>75932</v>
      </c>
      <c r="EA191" s="113">
        <v>87806</v>
      </c>
      <c r="EB191" s="113">
        <v>85995</v>
      </c>
      <c r="EC191" s="113">
        <v>95527</v>
      </c>
      <c r="ED191" s="113">
        <v>95971</v>
      </c>
      <c r="EE191" s="113">
        <v>100171</v>
      </c>
      <c r="EF191" s="113">
        <v>88621</v>
      </c>
      <c r="EG191" s="113">
        <v>87508</v>
      </c>
      <c r="EH191" s="113">
        <v>87928</v>
      </c>
      <c r="EI191" s="113">
        <v>85483</v>
      </c>
      <c r="EJ191" s="113">
        <v>86343</v>
      </c>
      <c r="EK191" s="113">
        <v>86455</v>
      </c>
      <c r="EL191" s="113">
        <v>85570</v>
      </c>
      <c r="EM191" s="113">
        <v>87147</v>
      </c>
      <c r="EN191" s="113">
        <v>84025</v>
      </c>
    </row>
    <row r="192" spans="1:144">
      <c r="A192" s="103" t="s">
        <v>146</v>
      </c>
      <c r="B192" s="113">
        <v>-666.9</v>
      </c>
      <c r="C192" s="113">
        <v>-1345</v>
      </c>
      <c r="D192" s="113">
        <v>-2290</v>
      </c>
      <c r="E192" s="113">
        <v>-3614</v>
      </c>
      <c r="F192" s="113">
        <v>-4750</v>
      </c>
      <c r="G192" s="113">
        <v>-6940</v>
      </c>
      <c r="H192" s="113">
        <v>-8966</v>
      </c>
      <c r="I192" s="113">
        <v>-13927</v>
      </c>
      <c r="J192" s="113">
        <v>-17236</v>
      </c>
      <c r="K192" s="113">
        <v>-23798</v>
      </c>
      <c r="L192" s="113">
        <v>-31600</v>
      </c>
      <c r="M192" s="113">
        <v>-38652</v>
      </c>
      <c r="N192" s="113">
        <v>-49048</v>
      </c>
      <c r="O192" s="113">
        <v>-60592</v>
      </c>
      <c r="P192" s="113">
        <v>-37751</v>
      </c>
      <c r="Q192" s="113">
        <v>-31096</v>
      </c>
      <c r="R192" s="113">
        <v>-18314</v>
      </c>
      <c r="S192" s="113">
        <v>-18557</v>
      </c>
      <c r="T192" s="113">
        <v>-22335</v>
      </c>
      <c r="U192" s="113">
        <v>-30405</v>
      </c>
      <c r="V192" s="113">
        <v>-38233</v>
      </c>
      <c r="W192" s="113">
        <v>-49269</v>
      </c>
      <c r="X192" s="113">
        <v>-60120</v>
      </c>
      <c r="Y192" s="113">
        <v>-61943</v>
      </c>
      <c r="Z192" s="113">
        <v>-61007</v>
      </c>
      <c r="AA192" s="113">
        <v>-58500</v>
      </c>
      <c r="AB192" s="113">
        <v>-37374</v>
      </c>
      <c r="AC192" s="113">
        <v>-46156</v>
      </c>
      <c r="AD192" s="113">
        <v>-47377</v>
      </c>
      <c r="AE192" s="113">
        <v>-53617</v>
      </c>
      <c r="AG192" s="103" t="s">
        <v>146</v>
      </c>
      <c r="AH192" s="113">
        <v>-1345</v>
      </c>
      <c r="AI192" s="113" t="s">
        <v>271</v>
      </c>
      <c r="AJ192" s="113" t="s">
        <v>271</v>
      </c>
      <c r="AK192" s="113">
        <v>-2290</v>
      </c>
      <c r="AL192" s="113">
        <v>-2290</v>
      </c>
      <c r="AM192" s="113">
        <v>-2796</v>
      </c>
      <c r="AN192" s="113">
        <v>-3143</v>
      </c>
      <c r="AO192" s="113">
        <v>-3614</v>
      </c>
      <c r="AP192" s="113">
        <v>-3776</v>
      </c>
      <c r="AQ192" s="113">
        <v>-3839</v>
      </c>
      <c r="AR192" s="113">
        <v>-4465</v>
      </c>
      <c r="AS192" s="113">
        <v>-4750</v>
      </c>
      <c r="AT192" s="113">
        <v>-5064</v>
      </c>
      <c r="AU192" s="113">
        <v>-6017</v>
      </c>
      <c r="AV192" s="113">
        <v>-6770</v>
      </c>
      <c r="AW192" s="113">
        <v>-6940</v>
      </c>
      <c r="AX192" s="113">
        <v>-7098</v>
      </c>
      <c r="AY192" s="113">
        <v>-9160</v>
      </c>
      <c r="AZ192" s="113">
        <v>-9086</v>
      </c>
      <c r="BA192" s="113">
        <v>-8966</v>
      </c>
      <c r="BB192" s="113">
        <v>-9634</v>
      </c>
      <c r="BC192" s="113">
        <v>-10105</v>
      </c>
      <c r="BD192" s="113">
        <v>-12322</v>
      </c>
      <c r="BE192" s="113">
        <v>-13927</v>
      </c>
      <c r="BF192" s="113">
        <v>-17242</v>
      </c>
      <c r="BG192" s="113">
        <v>-19237</v>
      </c>
      <c r="BH192" s="113">
        <v>-21761</v>
      </c>
      <c r="BI192" s="113">
        <v>-17236</v>
      </c>
      <c r="BJ192" s="113">
        <v>-18902</v>
      </c>
      <c r="BK192" s="113">
        <v>-17843</v>
      </c>
      <c r="BL192" s="113">
        <v>-21205</v>
      </c>
      <c r="BM192" s="113">
        <v>-23798</v>
      </c>
      <c r="BN192" s="113">
        <v>-24711</v>
      </c>
      <c r="BO192" s="113">
        <v>-26889</v>
      </c>
      <c r="BP192" s="113">
        <v>-30018</v>
      </c>
      <c r="BQ192" s="113">
        <v>-31600</v>
      </c>
      <c r="BR192" s="113">
        <v>-36163</v>
      </c>
      <c r="BS192" s="113">
        <v>-38229</v>
      </c>
      <c r="BT192" s="113">
        <v>-38693</v>
      </c>
      <c r="BU192" s="113">
        <v>-38652</v>
      </c>
      <c r="BV192" s="113">
        <v>-40475</v>
      </c>
      <c r="BW192" s="113">
        <v>-43424</v>
      </c>
      <c r="BX192" s="113">
        <v>-46178</v>
      </c>
      <c r="BY192" s="113">
        <v>-49048</v>
      </c>
      <c r="BZ192" s="113">
        <v>-51622</v>
      </c>
      <c r="CA192" s="113">
        <v>-52777</v>
      </c>
      <c r="CB192" s="113">
        <v>-56407</v>
      </c>
      <c r="CC192" s="113">
        <v>-60592</v>
      </c>
      <c r="CD192" s="113">
        <v>-64415</v>
      </c>
      <c r="CE192" s="113">
        <v>-34504</v>
      </c>
      <c r="CF192" s="113">
        <v>-37594</v>
      </c>
      <c r="CG192" s="113">
        <v>-37751</v>
      </c>
      <c r="CH192" s="113">
        <v>-40056</v>
      </c>
      <c r="CI192" s="113">
        <v>-34701</v>
      </c>
      <c r="CJ192" s="113">
        <v>-33505</v>
      </c>
      <c r="CK192" s="113">
        <v>-31096</v>
      </c>
      <c r="CL192" s="113">
        <v>-28252</v>
      </c>
      <c r="CM192" s="113">
        <v>-26400</v>
      </c>
      <c r="CN192" s="113">
        <v>-25478</v>
      </c>
      <c r="CO192" s="113">
        <v>-18314</v>
      </c>
      <c r="CP192" s="113">
        <v>-18878</v>
      </c>
      <c r="CQ192" s="113">
        <v>-19092</v>
      </c>
      <c r="CR192" s="113">
        <v>-24023</v>
      </c>
      <c r="CS192" s="113">
        <v>-18557</v>
      </c>
      <c r="CT192" s="113">
        <v>-16666</v>
      </c>
      <c r="CU192" s="113">
        <v>-18298</v>
      </c>
      <c r="CV192" s="113">
        <v>-20186</v>
      </c>
      <c r="CW192" s="113">
        <v>-22335</v>
      </c>
      <c r="CX192" s="113">
        <v>-23801</v>
      </c>
      <c r="CY192" s="113">
        <v>-24288</v>
      </c>
      <c r="CZ192" s="113">
        <v>-28231</v>
      </c>
      <c r="DA192" s="113">
        <v>-30405</v>
      </c>
      <c r="DB192" s="113">
        <v>-31679</v>
      </c>
      <c r="DC192" s="113">
        <v>-28944</v>
      </c>
      <c r="DD192" s="113">
        <v>-35552</v>
      </c>
      <c r="DE192" s="113">
        <v>-38233</v>
      </c>
      <c r="DF192" s="113">
        <v>-42842</v>
      </c>
      <c r="DG192" s="113">
        <v>-37888</v>
      </c>
      <c r="DH192" s="113">
        <v>-45200</v>
      </c>
      <c r="DI192" s="113">
        <v>-49269</v>
      </c>
      <c r="DJ192" s="113">
        <v>-53698</v>
      </c>
      <c r="DK192" s="113">
        <v>-53880</v>
      </c>
      <c r="DL192" s="113">
        <v>-59023</v>
      </c>
      <c r="DM192" s="113">
        <v>-60120</v>
      </c>
      <c r="DN192" s="113">
        <v>-63409</v>
      </c>
      <c r="DO192" s="113">
        <v>-59411</v>
      </c>
      <c r="DP192" s="113">
        <v>-64201</v>
      </c>
      <c r="DQ192" s="113">
        <v>-61943</v>
      </c>
      <c r="DR192" s="113">
        <v>-64810</v>
      </c>
      <c r="DS192" s="113">
        <v>-60831</v>
      </c>
      <c r="DT192" s="113">
        <v>-63324</v>
      </c>
      <c r="DU192" s="113">
        <v>-61007</v>
      </c>
      <c r="DV192" s="113">
        <v>-60556</v>
      </c>
      <c r="DW192" s="113">
        <v>-57446</v>
      </c>
      <c r="DX192" s="113">
        <v>-58571</v>
      </c>
      <c r="DY192" s="113">
        <v>-58500</v>
      </c>
      <c r="DZ192" s="113">
        <v>-60857</v>
      </c>
      <c r="EA192" s="113">
        <v>-33399</v>
      </c>
      <c r="EB192" s="113">
        <v>-35581</v>
      </c>
      <c r="EC192" s="113">
        <v>-37374</v>
      </c>
      <c r="ED192" s="113">
        <v>-37640</v>
      </c>
      <c r="EE192" s="113">
        <v>-38364</v>
      </c>
      <c r="EF192" s="113">
        <v>-43652</v>
      </c>
      <c r="EG192" s="113">
        <v>-46156</v>
      </c>
      <c r="EH192" s="113">
        <v>-47843</v>
      </c>
      <c r="EI192" s="113">
        <v>-42190</v>
      </c>
      <c r="EJ192" s="113">
        <v>-45193</v>
      </c>
      <c r="EK192" s="113">
        <v>-47377</v>
      </c>
      <c r="EL192" s="113">
        <v>-51039</v>
      </c>
      <c r="EM192" s="113">
        <v>-47084</v>
      </c>
      <c r="EN192" s="113">
        <v>-53617</v>
      </c>
    </row>
    <row r="193" spans="1:144">
      <c r="A193" s="103" t="s">
        <v>2315</v>
      </c>
      <c r="B193" s="113">
        <v>224</v>
      </c>
      <c r="C193" s="113">
        <v>352</v>
      </c>
      <c r="D193" s="113">
        <v>432</v>
      </c>
      <c r="E193" s="113">
        <v>544</v>
      </c>
      <c r="F193" s="113">
        <v>688</v>
      </c>
      <c r="G193" s="113">
        <v>736</v>
      </c>
      <c r="H193" s="113">
        <v>736</v>
      </c>
      <c r="I193" s="113">
        <v>760</v>
      </c>
      <c r="J193" s="113">
        <v>1080</v>
      </c>
      <c r="K193" s="113">
        <v>1608</v>
      </c>
      <c r="L193" s="113">
        <v>2248</v>
      </c>
      <c r="M193" s="113">
        <v>2544</v>
      </c>
      <c r="N193" s="113">
        <v>2320</v>
      </c>
      <c r="O193" s="113">
        <v>2648</v>
      </c>
      <c r="P193" s="113">
        <v>2392</v>
      </c>
      <c r="Q193" s="113">
        <v>2168</v>
      </c>
      <c r="R193" s="113">
        <v>2600</v>
      </c>
      <c r="S193" s="113">
        <v>3184</v>
      </c>
      <c r="T193" s="113">
        <v>3800</v>
      </c>
      <c r="U193" s="113">
        <v>4240</v>
      </c>
      <c r="V193" s="113">
        <v>4200</v>
      </c>
      <c r="W193" s="113">
        <v>5112</v>
      </c>
      <c r="X193" s="113">
        <v>5688</v>
      </c>
      <c r="Y193" s="113">
        <v>6992</v>
      </c>
      <c r="Z193" s="113">
        <v>7912</v>
      </c>
      <c r="AA193" s="113">
        <v>7488</v>
      </c>
      <c r="AB193" s="113">
        <v>11296</v>
      </c>
      <c r="AC193" s="113">
        <v>12680</v>
      </c>
      <c r="AD193" s="113">
        <v>13656</v>
      </c>
      <c r="AE193" s="113" t="s">
        <v>271</v>
      </c>
      <c r="AG193" s="103"/>
      <c r="AH193" s="113"/>
      <c r="AI193" s="113"/>
      <c r="AJ193" s="113"/>
      <c r="AK193" s="113"/>
      <c r="AL193" s="113"/>
      <c r="AM193" s="113"/>
      <c r="AN193" s="113"/>
      <c r="AO193" s="113"/>
      <c r="AP193" s="113"/>
      <c r="AQ193" s="113"/>
      <c r="AR193" s="113"/>
      <c r="AS193" s="113"/>
      <c r="AT193" s="113"/>
      <c r="AU193" s="113"/>
      <c r="AV193" s="113"/>
      <c r="AW193" s="113"/>
      <c r="AX193" s="113"/>
      <c r="AY193" s="113"/>
      <c r="AZ193" s="113"/>
      <c r="BA193" s="113"/>
      <c r="BB193" s="113"/>
      <c r="BC193" s="113"/>
      <c r="BD193" s="113"/>
      <c r="BE193" s="113"/>
      <c r="BF193" s="113"/>
      <c r="BG193" s="113"/>
      <c r="BH193" s="113"/>
      <c r="BI193" s="113"/>
      <c r="BJ193" s="113"/>
      <c r="BK193" s="113"/>
      <c r="BL193" s="113"/>
      <c r="BM193" s="113"/>
      <c r="BN193" s="113"/>
      <c r="BO193" s="113"/>
      <c r="BP193" s="113"/>
      <c r="BQ193" s="113"/>
      <c r="BR193" s="113"/>
      <c r="BS193" s="113"/>
      <c r="BT193" s="113"/>
      <c r="BU193" s="113"/>
      <c r="BV193" s="113"/>
      <c r="BW193" s="113"/>
      <c r="BX193" s="113"/>
      <c r="BY193" s="113"/>
      <c r="BZ193" s="113"/>
      <c r="CA193" s="113"/>
      <c r="CB193" s="113"/>
      <c r="CC193" s="113"/>
      <c r="CD193" s="113"/>
      <c r="CE193" s="113"/>
      <c r="CF193" s="113"/>
      <c r="CG193" s="113"/>
      <c r="CH193" s="113"/>
      <c r="CI193" s="113"/>
      <c r="CJ193" s="113"/>
      <c r="CK193" s="113"/>
      <c r="CL193" s="113"/>
      <c r="CM193" s="113"/>
      <c r="CN193" s="113"/>
      <c r="CO193" s="113"/>
      <c r="CP193" s="113"/>
      <c r="CQ193" s="113"/>
      <c r="CR193" s="113"/>
      <c r="CS193" s="113"/>
      <c r="CT193" s="113"/>
      <c r="CU193" s="113"/>
      <c r="CV193" s="113"/>
      <c r="CW193" s="113"/>
      <c r="CX193" s="113"/>
      <c r="CY193" s="113"/>
      <c r="CZ193" s="113"/>
      <c r="DA193" s="113"/>
      <c r="DB193" s="113"/>
      <c r="DC193" s="113"/>
      <c r="DD193" s="113"/>
      <c r="DE193" s="113"/>
      <c r="DF193" s="113"/>
      <c r="DG193" s="113"/>
      <c r="DH193" s="113"/>
      <c r="DI193" s="113"/>
      <c r="DJ193" s="113"/>
      <c r="DK193" s="113"/>
      <c r="DL193" s="113"/>
      <c r="DM193" s="113"/>
      <c r="DN193" s="113"/>
      <c r="DO193" s="113"/>
      <c r="DP193" s="113"/>
      <c r="DQ193" s="113"/>
      <c r="DR193" s="113"/>
      <c r="DS193" s="113"/>
      <c r="DT193" s="113"/>
      <c r="DU193" s="113"/>
      <c r="DV193" s="113"/>
      <c r="DW193" s="113"/>
      <c r="DX193" s="113"/>
      <c r="DY193" s="113"/>
      <c r="DZ193" s="113"/>
      <c r="EA193" s="113"/>
      <c r="EB193" s="113"/>
      <c r="EC193" s="113"/>
      <c r="ED193" s="113"/>
      <c r="EE193" s="113"/>
      <c r="EF193" s="113"/>
      <c r="EG193" s="113"/>
      <c r="EH193" s="113"/>
      <c r="EI193" s="113"/>
      <c r="EJ193" s="113"/>
      <c r="EK193" s="113"/>
      <c r="EL193" s="113"/>
      <c r="EM193" s="113"/>
      <c r="EN193" s="113"/>
    </row>
    <row r="194" spans="1:144">
      <c r="A194" s="103" t="s">
        <v>2316</v>
      </c>
      <c r="B194" s="113" t="s">
        <v>271</v>
      </c>
      <c r="C194" s="113" t="s">
        <v>271</v>
      </c>
      <c r="D194" s="113" t="s">
        <v>271</v>
      </c>
      <c r="E194" s="113" t="s">
        <v>271</v>
      </c>
      <c r="F194" s="113">
        <v>125</v>
      </c>
      <c r="G194" s="113">
        <v>125</v>
      </c>
      <c r="H194" s="113" t="s">
        <v>271</v>
      </c>
      <c r="I194" s="113" t="s">
        <v>271</v>
      </c>
      <c r="J194" s="113" t="s">
        <v>271</v>
      </c>
      <c r="K194" s="113" t="s">
        <v>271</v>
      </c>
      <c r="L194" s="113" t="s">
        <v>271</v>
      </c>
      <c r="M194" s="113" t="s">
        <v>271</v>
      </c>
      <c r="N194" s="113" t="s">
        <v>271</v>
      </c>
      <c r="O194" s="113" t="s">
        <v>271</v>
      </c>
      <c r="P194" s="113" t="s">
        <v>271</v>
      </c>
      <c r="Q194" s="113" t="s">
        <v>271</v>
      </c>
      <c r="R194" s="113" t="s">
        <v>271</v>
      </c>
      <c r="S194" s="113" t="s">
        <v>271</v>
      </c>
      <c r="T194" s="113" t="s">
        <v>271</v>
      </c>
      <c r="U194" s="113" t="s">
        <v>271</v>
      </c>
      <c r="V194" s="113" t="s">
        <v>271</v>
      </c>
      <c r="W194" s="113" t="s">
        <v>271</v>
      </c>
      <c r="X194" s="113" t="s">
        <v>271</v>
      </c>
      <c r="Y194" s="113" t="s">
        <v>271</v>
      </c>
      <c r="Z194" s="113" t="s">
        <v>271</v>
      </c>
      <c r="AA194" s="113" t="s">
        <v>271</v>
      </c>
      <c r="AB194" s="113" t="s">
        <v>271</v>
      </c>
      <c r="AC194" s="113" t="s">
        <v>271</v>
      </c>
      <c r="AD194" s="113" t="s">
        <v>271</v>
      </c>
      <c r="AE194" s="113" t="s">
        <v>271</v>
      </c>
      <c r="AG194" s="103" t="s">
        <v>2316</v>
      </c>
      <c r="AH194" s="113" t="s">
        <v>271</v>
      </c>
      <c r="AI194" s="113" t="s">
        <v>271</v>
      </c>
      <c r="AJ194" s="113" t="s">
        <v>271</v>
      </c>
      <c r="AK194" s="113" t="s">
        <v>271</v>
      </c>
      <c r="AL194" s="113" t="s">
        <v>271</v>
      </c>
      <c r="AM194" s="113" t="s">
        <v>271</v>
      </c>
      <c r="AN194" s="113" t="s">
        <v>271</v>
      </c>
      <c r="AO194" s="113" t="s">
        <v>271</v>
      </c>
      <c r="AP194" s="113" t="s">
        <v>271</v>
      </c>
      <c r="AQ194" s="113">
        <v>125</v>
      </c>
      <c r="AR194" s="113">
        <v>125</v>
      </c>
      <c r="AS194" s="113">
        <v>125</v>
      </c>
      <c r="AT194" s="113">
        <v>125</v>
      </c>
      <c r="AU194" s="113">
        <v>125</v>
      </c>
      <c r="AV194" s="113">
        <v>125</v>
      </c>
      <c r="AW194" s="113">
        <v>125</v>
      </c>
      <c r="AX194" s="113">
        <v>125</v>
      </c>
      <c r="AY194" s="113" t="s">
        <v>271</v>
      </c>
      <c r="AZ194" s="113" t="s">
        <v>271</v>
      </c>
      <c r="BA194" s="113" t="s">
        <v>271</v>
      </c>
      <c r="BB194" s="113" t="s">
        <v>271</v>
      </c>
      <c r="BC194" s="113" t="s">
        <v>271</v>
      </c>
      <c r="BD194" s="113" t="s">
        <v>271</v>
      </c>
      <c r="BE194" s="113" t="s">
        <v>271</v>
      </c>
      <c r="BF194" s="113" t="s">
        <v>271</v>
      </c>
      <c r="BG194" s="113" t="s">
        <v>271</v>
      </c>
      <c r="BH194" s="113" t="s">
        <v>271</v>
      </c>
      <c r="BI194" s="113" t="s">
        <v>271</v>
      </c>
      <c r="BJ194" s="113" t="s">
        <v>271</v>
      </c>
      <c r="BK194" s="113" t="s">
        <v>271</v>
      </c>
      <c r="BL194" s="113" t="s">
        <v>271</v>
      </c>
      <c r="BM194" s="113" t="s">
        <v>271</v>
      </c>
      <c r="BN194" s="113" t="s">
        <v>271</v>
      </c>
      <c r="BO194" s="113" t="s">
        <v>271</v>
      </c>
      <c r="BP194" s="113" t="s">
        <v>271</v>
      </c>
      <c r="BQ194" s="113" t="s">
        <v>271</v>
      </c>
      <c r="BR194" s="113" t="s">
        <v>271</v>
      </c>
      <c r="BS194" s="113" t="s">
        <v>271</v>
      </c>
      <c r="BT194" s="113" t="s">
        <v>271</v>
      </c>
      <c r="BU194" s="113" t="s">
        <v>271</v>
      </c>
      <c r="BV194" s="113" t="s">
        <v>271</v>
      </c>
      <c r="BW194" s="113" t="s">
        <v>271</v>
      </c>
      <c r="BX194" s="113" t="s">
        <v>271</v>
      </c>
      <c r="BY194" s="113" t="s">
        <v>271</v>
      </c>
      <c r="BZ194" s="113" t="s">
        <v>271</v>
      </c>
      <c r="CA194" s="113" t="s">
        <v>271</v>
      </c>
      <c r="CB194" s="113" t="s">
        <v>271</v>
      </c>
      <c r="CC194" s="113" t="s">
        <v>271</v>
      </c>
      <c r="CD194" s="113" t="s">
        <v>271</v>
      </c>
      <c r="CE194" s="113" t="s">
        <v>271</v>
      </c>
      <c r="CF194" s="113" t="s">
        <v>271</v>
      </c>
      <c r="CG194" s="113" t="s">
        <v>271</v>
      </c>
      <c r="CH194" s="113" t="s">
        <v>271</v>
      </c>
      <c r="CI194" s="113" t="s">
        <v>271</v>
      </c>
      <c r="CJ194" s="113" t="s">
        <v>271</v>
      </c>
      <c r="CK194" s="113" t="s">
        <v>271</v>
      </c>
      <c r="CL194" s="113" t="s">
        <v>271</v>
      </c>
      <c r="CM194" s="113" t="s">
        <v>271</v>
      </c>
      <c r="CN194" s="113" t="s">
        <v>271</v>
      </c>
      <c r="CO194" s="113" t="s">
        <v>271</v>
      </c>
      <c r="CP194" s="113" t="s">
        <v>271</v>
      </c>
      <c r="CQ194" s="113" t="s">
        <v>271</v>
      </c>
      <c r="CR194" s="113" t="s">
        <v>271</v>
      </c>
      <c r="CS194" s="113" t="s">
        <v>271</v>
      </c>
      <c r="CT194" s="113" t="s">
        <v>271</v>
      </c>
      <c r="CU194" s="113" t="s">
        <v>271</v>
      </c>
      <c r="CV194" s="113" t="s">
        <v>271</v>
      </c>
      <c r="CW194" s="113" t="s">
        <v>271</v>
      </c>
      <c r="CX194" s="113" t="s">
        <v>271</v>
      </c>
      <c r="CY194" s="113" t="s">
        <v>271</v>
      </c>
      <c r="CZ194" s="113" t="s">
        <v>271</v>
      </c>
      <c r="DA194" s="113" t="s">
        <v>271</v>
      </c>
      <c r="DB194" s="113" t="s">
        <v>271</v>
      </c>
      <c r="DC194" s="113" t="s">
        <v>271</v>
      </c>
      <c r="DD194" s="113" t="s">
        <v>271</v>
      </c>
      <c r="DE194" s="113" t="s">
        <v>271</v>
      </c>
      <c r="DF194" s="113" t="s">
        <v>271</v>
      </c>
      <c r="DG194" s="113" t="s">
        <v>271</v>
      </c>
      <c r="DH194" s="113" t="s">
        <v>271</v>
      </c>
      <c r="DI194" s="113" t="s">
        <v>271</v>
      </c>
      <c r="DJ194" s="113" t="s">
        <v>271</v>
      </c>
      <c r="DK194" s="113" t="s">
        <v>271</v>
      </c>
      <c r="DL194" s="113" t="s">
        <v>271</v>
      </c>
      <c r="DM194" s="113" t="s">
        <v>271</v>
      </c>
      <c r="DN194" s="113" t="s">
        <v>271</v>
      </c>
      <c r="DO194" s="113" t="s">
        <v>271</v>
      </c>
      <c r="DP194" s="113" t="s">
        <v>271</v>
      </c>
      <c r="DQ194" s="113" t="s">
        <v>271</v>
      </c>
      <c r="DR194" s="113" t="s">
        <v>271</v>
      </c>
      <c r="DS194" s="113" t="s">
        <v>271</v>
      </c>
      <c r="DT194" s="113" t="s">
        <v>271</v>
      </c>
      <c r="DU194" s="113" t="s">
        <v>271</v>
      </c>
      <c r="DV194" s="113" t="s">
        <v>271</v>
      </c>
      <c r="DW194" s="113" t="s">
        <v>271</v>
      </c>
      <c r="DX194" s="113" t="s">
        <v>271</v>
      </c>
      <c r="DY194" s="113" t="s">
        <v>271</v>
      </c>
      <c r="DZ194" s="113" t="s">
        <v>271</v>
      </c>
      <c r="EA194" s="113" t="s">
        <v>271</v>
      </c>
      <c r="EB194" s="113" t="s">
        <v>271</v>
      </c>
      <c r="EC194" s="113" t="s">
        <v>271</v>
      </c>
      <c r="ED194" s="113" t="s">
        <v>271</v>
      </c>
      <c r="EE194" s="113" t="s">
        <v>271</v>
      </c>
      <c r="EF194" s="113" t="s">
        <v>271</v>
      </c>
      <c r="EG194" s="113" t="s">
        <v>271</v>
      </c>
      <c r="EH194" s="113" t="s">
        <v>271</v>
      </c>
      <c r="EI194" s="113" t="s">
        <v>271</v>
      </c>
      <c r="EJ194" s="113" t="s">
        <v>271</v>
      </c>
      <c r="EK194" s="113" t="s">
        <v>271</v>
      </c>
      <c r="EL194" s="113" t="s">
        <v>271</v>
      </c>
      <c r="EM194" s="113" t="s">
        <v>271</v>
      </c>
      <c r="EN194" s="113" t="s">
        <v>271</v>
      </c>
    </row>
    <row r="195" spans="1:144">
      <c r="A195" s="103" t="s">
        <v>2317</v>
      </c>
      <c r="B195" s="119" t="s">
        <v>271</v>
      </c>
      <c r="C195" s="119" t="s">
        <v>271</v>
      </c>
      <c r="D195" s="119" t="s">
        <v>2318</v>
      </c>
      <c r="E195" s="119" t="s">
        <v>2318</v>
      </c>
      <c r="F195" s="119" t="s">
        <v>2318</v>
      </c>
      <c r="G195" s="119" t="s">
        <v>271</v>
      </c>
      <c r="H195" s="119" t="s">
        <v>271</v>
      </c>
      <c r="I195" s="119" t="s">
        <v>271</v>
      </c>
      <c r="J195" s="119" t="s">
        <v>271</v>
      </c>
      <c r="K195" s="119" t="s">
        <v>271</v>
      </c>
      <c r="L195" s="119" t="s">
        <v>271</v>
      </c>
      <c r="M195" s="119" t="s">
        <v>2319</v>
      </c>
      <c r="N195" s="119" t="s">
        <v>2319</v>
      </c>
      <c r="O195" s="119" t="s">
        <v>2319</v>
      </c>
      <c r="P195" s="119" t="s">
        <v>2319</v>
      </c>
      <c r="Q195" s="119" t="s">
        <v>2319</v>
      </c>
      <c r="R195" s="119" t="s">
        <v>2319</v>
      </c>
      <c r="S195" s="119" t="s">
        <v>2319</v>
      </c>
      <c r="T195" s="119" t="s">
        <v>2319</v>
      </c>
      <c r="U195" s="119" t="s">
        <v>2319</v>
      </c>
      <c r="V195" s="119" t="s">
        <v>2319</v>
      </c>
      <c r="W195" s="119" t="s">
        <v>2319</v>
      </c>
      <c r="X195" s="119" t="s">
        <v>2319</v>
      </c>
      <c r="Y195" s="119" t="s">
        <v>2319</v>
      </c>
      <c r="Z195" s="119" t="s">
        <v>2319</v>
      </c>
      <c r="AA195" s="119" t="s">
        <v>2319</v>
      </c>
      <c r="AB195" s="119" t="s">
        <v>2319</v>
      </c>
      <c r="AC195" s="119" t="s">
        <v>2319</v>
      </c>
      <c r="AD195" s="119" t="s">
        <v>2319</v>
      </c>
      <c r="AE195" s="119" t="s">
        <v>271</v>
      </c>
      <c r="AG195" s="103" t="s">
        <v>2317</v>
      </c>
      <c r="AH195" s="119" t="s">
        <v>271</v>
      </c>
      <c r="AI195" s="119" t="s">
        <v>271</v>
      </c>
      <c r="AJ195" s="119" t="s">
        <v>271</v>
      </c>
      <c r="AK195" s="119" t="s">
        <v>271</v>
      </c>
      <c r="AL195" s="119" t="s">
        <v>271</v>
      </c>
      <c r="AM195" s="119" t="s">
        <v>271</v>
      </c>
      <c r="AN195" s="119" t="s">
        <v>271</v>
      </c>
      <c r="AO195" s="119" t="s">
        <v>271</v>
      </c>
      <c r="AP195" s="119" t="s">
        <v>271</v>
      </c>
      <c r="AQ195" s="119" t="s">
        <v>271</v>
      </c>
      <c r="AR195" s="119" t="s">
        <v>271</v>
      </c>
      <c r="AS195" s="119" t="s">
        <v>271</v>
      </c>
      <c r="AT195" s="119" t="s">
        <v>271</v>
      </c>
      <c r="AU195" s="119" t="s">
        <v>271</v>
      </c>
      <c r="AV195" s="119" t="s">
        <v>271</v>
      </c>
      <c r="AW195" s="119" t="s">
        <v>271</v>
      </c>
      <c r="AX195" s="119" t="s">
        <v>271</v>
      </c>
      <c r="AY195" s="119" t="s">
        <v>271</v>
      </c>
      <c r="AZ195" s="119" t="s">
        <v>271</v>
      </c>
      <c r="BA195" s="119" t="s">
        <v>271</v>
      </c>
      <c r="BB195" s="119" t="s">
        <v>271</v>
      </c>
      <c r="BC195" s="119" t="s">
        <v>271</v>
      </c>
      <c r="BD195" s="119" t="s">
        <v>271</v>
      </c>
      <c r="BE195" s="119" t="s">
        <v>271</v>
      </c>
      <c r="BF195" s="119" t="s">
        <v>271</v>
      </c>
      <c r="BG195" s="119" t="s">
        <v>271</v>
      </c>
      <c r="BH195" s="119" t="s">
        <v>271</v>
      </c>
      <c r="BI195" s="119" t="s">
        <v>271</v>
      </c>
      <c r="BJ195" s="119" t="s">
        <v>271</v>
      </c>
      <c r="BK195" s="119" t="s">
        <v>271</v>
      </c>
      <c r="BL195" s="119" t="s">
        <v>271</v>
      </c>
      <c r="BM195" s="119" t="s">
        <v>271</v>
      </c>
      <c r="BN195" s="119" t="s">
        <v>271</v>
      </c>
      <c r="BO195" s="119" t="s">
        <v>271</v>
      </c>
      <c r="BP195" s="119" t="s">
        <v>271</v>
      </c>
      <c r="BQ195" s="119" t="s">
        <v>271</v>
      </c>
      <c r="BR195" s="119" t="s">
        <v>271</v>
      </c>
      <c r="BS195" s="119" t="s">
        <v>271</v>
      </c>
      <c r="BT195" s="119" t="s">
        <v>271</v>
      </c>
      <c r="BU195" s="119" t="s">
        <v>271</v>
      </c>
      <c r="BV195" s="119" t="s">
        <v>271</v>
      </c>
      <c r="BW195" s="119" t="s">
        <v>271</v>
      </c>
      <c r="BX195" s="119" t="s">
        <v>271</v>
      </c>
      <c r="BY195" s="119" t="s">
        <v>271</v>
      </c>
      <c r="BZ195" s="119" t="s">
        <v>271</v>
      </c>
      <c r="CA195" s="119" t="s">
        <v>271</v>
      </c>
      <c r="CB195" s="119" t="s">
        <v>271</v>
      </c>
      <c r="CC195" s="119" t="s">
        <v>271</v>
      </c>
      <c r="CD195" s="119" t="s">
        <v>271</v>
      </c>
      <c r="CE195" s="119" t="s">
        <v>271</v>
      </c>
      <c r="CF195" s="119" t="s">
        <v>271</v>
      </c>
      <c r="CG195" s="119" t="s">
        <v>271</v>
      </c>
      <c r="CH195" s="119" t="s">
        <v>271</v>
      </c>
      <c r="CI195" s="119" t="s">
        <v>271</v>
      </c>
      <c r="CJ195" s="119" t="s">
        <v>271</v>
      </c>
      <c r="CK195" s="119" t="s">
        <v>271</v>
      </c>
      <c r="CL195" s="119" t="s">
        <v>271</v>
      </c>
      <c r="CM195" s="119" t="s">
        <v>271</v>
      </c>
      <c r="CN195" s="119" t="s">
        <v>271</v>
      </c>
      <c r="CO195" s="119" t="s">
        <v>271</v>
      </c>
      <c r="CP195" s="119" t="s">
        <v>271</v>
      </c>
      <c r="CQ195" s="119" t="s">
        <v>271</v>
      </c>
      <c r="CR195" s="119" t="s">
        <v>271</v>
      </c>
      <c r="CS195" s="119" t="s">
        <v>271</v>
      </c>
      <c r="CT195" s="119" t="s">
        <v>271</v>
      </c>
      <c r="CU195" s="119" t="s">
        <v>271</v>
      </c>
      <c r="CV195" s="119" t="s">
        <v>271</v>
      </c>
      <c r="CW195" s="119" t="s">
        <v>271</v>
      </c>
      <c r="CX195" s="119" t="s">
        <v>271</v>
      </c>
      <c r="CY195" s="119" t="s">
        <v>271</v>
      </c>
      <c r="CZ195" s="119" t="s">
        <v>271</v>
      </c>
      <c r="DA195" s="119" t="s">
        <v>271</v>
      </c>
      <c r="DB195" s="119" t="s">
        <v>271</v>
      </c>
      <c r="DC195" s="119" t="s">
        <v>271</v>
      </c>
      <c r="DD195" s="119" t="s">
        <v>271</v>
      </c>
      <c r="DE195" s="119" t="s">
        <v>271</v>
      </c>
      <c r="DF195" s="119" t="s">
        <v>271</v>
      </c>
      <c r="DG195" s="119" t="s">
        <v>271</v>
      </c>
      <c r="DH195" s="119" t="s">
        <v>271</v>
      </c>
      <c r="DI195" s="119" t="s">
        <v>271</v>
      </c>
      <c r="DJ195" s="119" t="s">
        <v>271</v>
      </c>
      <c r="DK195" s="119" t="s">
        <v>271</v>
      </c>
      <c r="DL195" s="119" t="s">
        <v>271</v>
      </c>
      <c r="DM195" s="119" t="s">
        <v>271</v>
      </c>
      <c r="DN195" s="119" t="s">
        <v>271</v>
      </c>
      <c r="DO195" s="119" t="s">
        <v>271</v>
      </c>
      <c r="DP195" s="119" t="s">
        <v>271</v>
      </c>
      <c r="DQ195" s="119" t="s">
        <v>271</v>
      </c>
      <c r="DR195" s="119" t="s">
        <v>271</v>
      </c>
      <c r="DS195" s="119" t="s">
        <v>271</v>
      </c>
      <c r="DT195" s="119" t="s">
        <v>271</v>
      </c>
      <c r="DU195" s="119" t="s">
        <v>271</v>
      </c>
      <c r="DV195" s="119" t="s">
        <v>271</v>
      </c>
      <c r="DW195" s="119" t="s">
        <v>271</v>
      </c>
      <c r="DX195" s="119" t="s">
        <v>271</v>
      </c>
      <c r="DY195" s="119" t="s">
        <v>271</v>
      </c>
      <c r="DZ195" s="119" t="s">
        <v>271</v>
      </c>
      <c r="EA195" s="119" t="s">
        <v>271</v>
      </c>
      <c r="EB195" s="119" t="s">
        <v>271</v>
      </c>
      <c r="EC195" s="119" t="s">
        <v>271</v>
      </c>
      <c r="ED195" s="119" t="s">
        <v>271</v>
      </c>
      <c r="EE195" s="119" t="s">
        <v>271</v>
      </c>
      <c r="EF195" s="119" t="s">
        <v>271</v>
      </c>
      <c r="EG195" s="119" t="s">
        <v>271</v>
      </c>
      <c r="EH195" s="119" t="s">
        <v>271</v>
      </c>
      <c r="EI195" s="119" t="s">
        <v>271</v>
      </c>
      <c r="EJ195" s="119" t="s">
        <v>271</v>
      </c>
      <c r="EK195" s="119" t="s">
        <v>271</v>
      </c>
      <c r="EL195" s="119" t="s">
        <v>271</v>
      </c>
      <c r="EM195" s="119" t="s">
        <v>271</v>
      </c>
      <c r="EN195" s="119" t="s">
        <v>271</v>
      </c>
    </row>
    <row r="196" spans="1:144">
      <c r="A196" s="103" t="s">
        <v>2320</v>
      </c>
      <c r="B196" s="113" t="s">
        <v>271</v>
      </c>
      <c r="C196" s="113" t="s">
        <v>271</v>
      </c>
      <c r="D196" s="113" t="s">
        <v>271</v>
      </c>
      <c r="E196" s="113" t="s">
        <v>271</v>
      </c>
      <c r="F196" s="113" t="s">
        <v>271</v>
      </c>
      <c r="G196" s="113" t="s">
        <v>271</v>
      </c>
      <c r="H196" s="113" t="s">
        <v>271</v>
      </c>
      <c r="I196" s="113" t="s">
        <v>271</v>
      </c>
      <c r="J196" s="113" t="s">
        <v>271</v>
      </c>
      <c r="K196" s="113" t="s">
        <v>271</v>
      </c>
      <c r="L196" s="113">
        <v>5</v>
      </c>
      <c r="M196" s="113">
        <v>168</v>
      </c>
      <c r="N196" s="113">
        <v>247</v>
      </c>
      <c r="O196" s="113">
        <v>150</v>
      </c>
      <c r="P196" s="113">
        <v>69</v>
      </c>
      <c r="Q196" s="113">
        <v>465</v>
      </c>
      <c r="R196" s="113">
        <v>435</v>
      </c>
      <c r="S196" s="113">
        <v>417</v>
      </c>
      <c r="T196" s="113">
        <v>170</v>
      </c>
      <c r="U196" s="113">
        <v>172</v>
      </c>
      <c r="V196" s="113">
        <v>232</v>
      </c>
      <c r="W196" s="113">
        <v>210</v>
      </c>
      <c r="X196" s="113">
        <v>328</v>
      </c>
      <c r="Y196" s="113">
        <v>944</v>
      </c>
      <c r="Z196" s="113">
        <v>1100</v>
      </c>
      <c r="AA196" s="113">
        <v>612</v>
      </c>
      <c r="AB196" s="113">
        <v>797</v>
      </c>
      <c r="AC196" s="113">
        <v>655</v>
      </c>
      <c r="AD196" s="113">
        <v>399</v>
      </c>
      <c r="AE196" s="113">
        <v>655</v>
      </c>
      <c r="AG196" s="103" t="s">
        <v>2320</v>
      </c>
      <c r="AH196" s="113" t="s">
        <v>271</v>
      </c>
      <c r="AI196" s="113" t="s">
        <v>271</v>
      </c>
      <c r="AJ196" s="113" t="s">
        <v>271</v>
      </c>
      <c r="AK196" s="113" t="s">
        <v>271</v>
      </c>
      <c r="AL196" s="113" t="s">
        <v>271</v>
      </c>
      <c r="AM196" s="113" t="s">
        <v>271</v>
      </c>
      <c r="AN196" s="113" t="s">
        <v>271</v>
      </c>
      <c r="AO196" s="113" t="s">
        <v>271</v>
      </c>
      <c r="AP196" s="113" t="s">
        <v>271</v>
      </c>
      <c r="AQ196" s="113" t="s">
        <v>271</v>
      </c>
      <c r="AR196" s="113" t="s">
        <v>271</v>
      </c>
      <c r="AS196" s="113" t="s">
        <v>271</v>
      </c>
      <c r="AT196" s="113" t="s">
        <v>271</v>
      </c>
      <c r="AU196" s="113" t="s">
        <v>271</v>
      </c>
      <c r="AV196" s="113" t="s">
        <v>271</v>
      </c>
      <c r="AW196" s="113" t="s">
        <v>271</v>
      </c>
      <c r="AX196" s="113" t="s">
        <v>271</v>
      </c>
      <c r="AY196" s="113" t="s">
        <v>271</v>
      </c>
      <c r="AZ196" s="113" t="s">
        <v>271</v>
      </c>
      <c r="BA196" s="113" t="s">
        <v>271</v>
      </c>
      <c r="BB196" s="113" t="s">
        <v>271</v>
      </c>
      <c r="BC196" s="113" t="s">
        <v>271</v>
      </c>
      <c r="BD196" s="113" t="s">
        <v>271</v>
      </c>
      <c r="BE196" s="113" t="s">
        <v>271</v>
      </c>
      <c r="BF196" s="113" t="s">
        <v>271</v>
      </c>
      <c r="BG196" s="113" t="s">
        <v>271</v>
      </c>
      <c r="BH196" s="113" t="s">
        <v>271</v>
      </c>
      <c r="BI196" s="113" t="s">
        <v>271</v>
      </c>
      <c r="BJ196" s="113" t="s">
        <v>271</v>
      </c>
      <c r="BK196" s="113" t="s">
        <v>271</v>
      </c>
      <c r="BL196" s="113" t="s">
        <v>271</v>
      </c>
      <c r="BM196" s="113" t="s">
        <v>271</v>
      </c>
      <c r="BN196" s="113" t="s">
        <v>271</v>
      </c>
      <c r="BO196" s="113" t="s">
        <v>271</v>
      </c>
      <c r="BP196" s="113" t="s">
        <v>271</v>
      </c>
      <c r="BQ196" s="113">
        <v>5</v>
      </c>
      <c r="BR196" s="113" t="s">
        <v>271</v>
      </c>
      <c r="BS196" s="113" t="s">
        <v>271</v>
      </c>
      <c r="BT196" s="113" t="s">
        <v>271</v>
      </c>
      <c r="BU196" s="113">
        <v>168</v>
      </c>
      <c r="BV196" s="113" t="s">
        <v>271</v>
      </c>
      <c r="BW196" s="113" t="s">
        <v>271</v>
      </c>
      <c r="BX196" s="113" t="s">
        <v>271</v>
      </c>
      <c r="BY196" s="113">
        <v>247</v>
      </c>
      <c r="BZ196" s="113" t="s">
        <v>271</v>
      </c>
      <c r="CA196" s="113" t="s">
        <v>271</v>
      </c>
      <c r="CB196" s="113" t="s">
        <v>271</v>
      </c>
      <c r="CC196" s="113">
        <v>150</v>
      </c>
      <c r="CD196" s="113" t="s">
        <v>271</v>
      </c>
      <c r="CE196" s="113" t="s">
        <v>271</v>
      </c>
      <c r="CF196" s="113" t="s">
        <v>271</v>
      </c>
      <c r="CG196" s="113">
        <v>69</v>
      </c>
      <c r="CH196" s="113" t="s">
        <v>271</v>
      </c>
      <c r="CI196" s="113">
        <v>496</v>
      </c>
      <c r="CJ196" s="113">
        <v>465</v>
      </c>
      <c r="CK196" s="113">
        <v>465</v>
      </c>
      <c r="CL196" s="113">
        <v>405</v>
      </c>
      <c r="CM196" s="113">
        <v>294</v>
      </c>
      <c r="CN196" s="113">
        <v>420</v>
      </c>
      <c r="CO196" s="113">
        <v>435</v>
      </c>
      <c r="CP196" s="113">
        <v>290</v>
      </c>
      <c r="CQ196" s="113">
        <v>241</v>
      </c>
      <c r="CR196" s="113">
        <v>444</v>
      </c>
      <c r="CS196" s="113">
        <v>417</v>
      </c>
      <c r="CT196" s="113">
        <v>402</v>
      </c>
      <c r="CU196" s="113">
        <v>263</v>
      </c>
      <c r="CV196" s="113">
        <v>173</v>
      </c>
      <c r="CW196" s="113">
        <v>170</v>
      </c>
      <c r="CX196" s="113">
        <v>165</v>
      </c>
      <c r="CY196" s="113">
        <v>100</v>
      </c>
      <c r="CZ196" s="113">
        <v>120</v>
      </c>
      <c r="DA196" s="113">
        <v>172</v>
      </c>
      <c r="DB196" s="113">
        <v>189</v>
      </c>
      <c r="DC196" s="113">
        <v>151</v>
      </c>
      <c r="DD196" s="113">
        <v>175</v>
      </c>
      <c r="DE196" s="113">
        <v>232</v>
      </c>
      <c r="DF196" s="113">
        <v>235</v>
      </c>
      <c r="DG196" s="113">
        <v>243</v>
      </c>
      <c r="DH196" s="113" t="s">
        <v>271</v>
      </c>
      <c r="DI196" s="113">
        <v>210</v>
      </c>
      <c r="DJ196" s="113">
        <v>461</v>
      </c>
      <c r="DK196" s="113">
        <v>646</v>
      </c>
      <c r="DL196" s="113">
        <v>802</v>
      </c>
      <c r="DM196" s="113">
        <v>328</v>
      </c>
      <c r="DN196" s="113">
        <v>673</v>
      </c>
      <c r="DO196" s="113">
        <v>389</v>
      </c>
      <c r="DP196" s="113">
        <v>508</v>
      </c>
      <c r="DQ196" s="113">
        <v>944</v>
      </c>
      <c r="DR196" s="113">
        <v>840</v>
      </c>
      <c r="DS196" s="113">
        <v>681</v>
      </c>
      <c r="DT196" s="113">
        <v>1019</v>
      </c>
      <c r="DU196" s="113">
        <v>1100</v>
      </c>
      <c r="DV196" s="113">
        <v>1192</v>
      </c>
      <c r="DW196" s="113">
        <v>1791</v>
      </c>
      <c r="DX196" s="113">
        <v>636</v>
      </c>
      <c r="DY196" s="113">
        <v>612</v>
      </c>
      <c r="DZ196" s="113">
        <v>582</v>
      </c>
      <c r="EA196" s="113">
        <v>363</v>
      </c>
      <c r="EB196" s="113">
        <v>555</v>
      </c>
      <c r="EC196" s="113">
        <v>797</v>
      </c>
      <c r="ED196" s="113">
        <v>766</v>
      </c>
      <c r="EE196" s="113">
        <v>491</v>
      </c>
      <c r="EF196" s="113">
        <v>627</v>
      </c>
      <c r="EG196" s="113">
        <v>655</v>
      </c>
      <c r="EH196" s="113">
        <v>690</v>
      </c>
      <c r="EI196" s="113">
        <v>455</v>
      </c>
      <c r="EJ196" s="113">
        <v>450</v>
      </c>
      <c r="EK196" s="113">
        <v>399</v>
      </c>
      <c r="EL196" s="113">
        <v>653</v>
      </c>
      <c r="EM196" s="113">
        <v>409</v>
      </c>
      <c r="EN196" s="113">
        <v>655</v>
      </c>
    </row>
    <row r="197" spans="1:144">
      <c r="A197" s="103" t="s">
        <v>2321</v>
      </c>
      <c r="B197" s="113" t="s">
        <v>271</v>
      </c>
      <c r="C197" s="113" t="s">
        <v>271</v>
      </c>
      <c r="D197" s="113" t="s">
        <v>271</v>
      </c>
      <c r="E197" s="113" t="s">
        <v>271</v>
      </c>
      <c r="F197" s="113" t="s">
        <v>271</v>
      </c>
      <c r="G197" s="113" t="s">
        <v>271</v>
      </c>
      <c r="H197" s="113" t="s">
        <v>271</v>
      </c>
      <c r="I197" s="113" t="s">
        <v>271</v>
      </c>
      <c r="J197" s="113" t="s">
        <v>271</v>
      </c>
      <c r="K197" s="113" t="s">
        <v>271</v>
      </c>
      <c r="L197" s="113" t="s">
        <v>271</v>
      </c>
      <c r="M197" s="113" t="s">
        <v>271</v>
      </c>
      <c r="N197" s="113" t="s">
        <v>271</v>
      </c>
      <c r="O197" s="113" t="s">
        <v>271</v>
      </c>
      <c r="P197" s="113" t="s">
        <v>271</v>
      </c>
      <c r="Q197" s="113" t="s">
        <v>271</v>
      </c>
      <c r="R197" s="113">
        <v>148</v>
      </c>
      <c r="S197" s="113">
        <v>31</v>
      </c>
      <c r="T197" s="113">
        <v>45</v>
      </c>
      <c r="U197" s="113">
        <v>16</v>
      </c>
      <c r="V197" s="113">
        <v>56</v>
      </c>
      <c r="W197" s="113">
        <v>96</v>
      </c>
      <c r="X197" s="113">
        <v>201</v>
      </c>
      <c r="Y197" s="113">
        <v>266</v>
      </c>
      <c r="Z197" s="113">
        <v>202</v>
      </c>
      <c r="AA197" s="113">
        <v>158</v>
      </c>
      <c r="AB197" s="113">
        <v>145</v>
      </c>
      <c r="AC197" s="113">
        <v>54</v>
      </c>
      <c r="AD197" s="113">
        <v>53</v>
      </c>
      <c r="AE197" s="113">
        <v>86</v>
      </c>
      <c r="AG197" s="103" t="s">
        <v>2321</v>
      </c>
      <c r="AH197" s="113" t="s">
        <v>271</v>
      </c>
      <c r="AI197" s="113" t="s">
        <v>271</v>
      </c>
      <c r="AJ197" s="113" t="s">
        <v>271</v>
      </c>
      <c r="AK197" s="113" t="s">
        <v>271</v>
      </c>
      <c r="AL197" s="113" t="s">
        <v>271</v>
      </c>
      <c r="AM197" s="113" t="s">
        <v>271</v>
      </c>
      <c r="AN197" s="113" t="s">
        <v>271</v>
      </c>
      <c r="AO197" s="113" t="s">
        <v>271</v>
      </c>
      <c r="AP197" s="113" t="s">
        <v>271</v>
      </c>
      <c r="AQ197" s="113" t="s">
        <v>271</v>
      </c>
      <c r="AR197" s="113" t="s">
        <v>271</v>
      </c>
      <c r="AS197" s="113" t="s">
        <v>271</v>
      </c>
      <c r="AT197" s="113" t="s">
        <v>271</v>
      </c>
      <c r="AU197" s="113" t="s">
        <v>271</v>
      </c>
      <c r="AV197" s="113" t="s">
        <v>271</v>
      </c>
      <c r="AW197" s="113" t="s">
        <v>271</v>
      </c>
      <c r="AX197" s="113" t="s">
        <v>271</v>
      </c>
      <c r="AY197" s="113" t="s">
        <v>271</v>
      </c>
      <c r="AZ197" s="113" t="s">
        <v>271</v>
      </c>
      <c r="BA197" s="113" t="s">
        <v>271</v>
      </c>
      <c r="BB197" s="113" t="s">
        <v>271</v>
      </c>
      <c r="BC197" s="113" t="s">
        <v>271</v>
      </c>
      <c r="BD197" s="113" t="s">
        <v>271</v>
      </c>
      <c r="BE197" s="113" t="s">
        <v>271</v>
      </c>
      <c r="BF197" s="113" t="s">
        <v>271</v>
      </c>
      <c r="BG197" s="113" t="s">
        <v>271</v>
      </c>
      <c r="BH197" s="113" t="s">
        <v>271</v>
      </c>
      <c r="BI197" s="113" t="s">
        <v>271</v>
      </c>
      <c r="BJ197" s="113" t="s">
        <v>271</v>
      </c>
      <c r="BK197" s="113" t="s">
        <v>271</v>
      </c>
      <c r="BL197" s="113" t="s">
        <v>271</v>
      </c>
      <c r="BM197" s="113" t="s">
        <v>271</v>
      </c>
      <c r="BN197" s="113" t="s">
        <v>271</v>
      </c>
      <c r="BO197" s="113" t="s">
        <v>271</v>
      </c>
      <c r="BP197" s="113" t="s">
        <v>271</v>
      </c>
      <c r="BQ197" s="113" t="s">
        <v>271</v>
      </c>
      <c r="BR197" s="113" t="s">
        <v>271</v>
      </c>
      <c r="BS197" s="113" t="s">
        <v>271</v>
      </c>
      <c r="BT197" s="113" t="s">
        <v>271</v>
      </c>
      <c r="BU197" s="113" t="s">
        <v>271</v>
      </c>
      <c r="BV197" s="113" t="s">
        <v>271</v>
      </c>
      <c r="BW197" s="113" t="s">
        <v>271</v>
      </c>
      <c r="BX197" s="113" t="s">
        <v>271</v>
      </c>
      <c r="BY197" s="113" t="s">
        <v>271</v>
      </c>
      <c r="BZ197" s="113" t="s">
        <v>271</v>
      </c>
      <c r="CA197" s="113" t="s">
        <v>271</v>
      </c>
      <c r="CB197" s="113" t="s">
        <v>271</v>
      </c>
      <c r="CC197" s="113" t="s">
        <v>271</v>
      </c>
      <c r="CD197" s="113" t="s">
        <v>271</v>
      </c>
      <c r="CE197" s="113" t="s">
        <v>271</v>
      </c>
      <c r="CF197" s="113" t="s">
        <v>271</v>
      </c>
      <c r="CG197" s="113" t="s">
        <v>271</v>
      </c>
      <c r="CH197" s="113" t="s">
        <v>271</v>
      </c>
      <c r="CI197" s="113" t="s">
        <v>271</v>
      </c>
      <c r="CJ197" s="113" t="s">
        <v>271</v>
      </c>
      <c r="CK197" s="113" t="s">
        <v>271</v>
      </c>
      <c r="CL197" s="113" t="s">
        <v>271</v>
      </c>
      <c r="CM197" s="113" t="s">
        <v>271</v>
      </c>
      <c r="CN197" s="113" t="s">
        <v>271</v>
      </c>
      <c r="CO197" s="113">
        <v>148</v>
      </c>
      <c r="CP197" s="113">
        <v>252</v>
      </c>
      <c r="CQ197" s="113">
        <v>77</v>
      </c>
      <c r="CR197" s="113">
        <v>66</v>
      </c>
      <c r="CS197" s="113">
        <v>31</v>
      </c>
      <c r="CT197" s="113">
        <v>58</v>
      </c>
      <c r="CU197" s="113">
        <v>57</v>
      </c>
      <c r="CV197" s="113">
        <v>58</v>
      </c>
      <c r="CW197" s="113">
        <v>45</v>
      </c>
      <c r="CX197" s="113">
        <v>30</v>
      </c>
      <c r="CY197" s="113">
        <v>11</v>
      </c>
      <c r="CZ197" s="113">
        <v>4</v>
      </c>
      <c r="DA197" s="113">
        <v>16</v>
      </c>
      <c r="DB197" s="113">
        <v>10</v>
      </c>
      <c r="DC197" s="113">
        <v>54</v>
      </c>
      <c r="DD197" s="113">
        <v>54</v>
      </c>
      <c r="DE197" s="113">
        <v>56</v>
      </c>
      <c r="DF197" s="113">
        <v>56</v>
      </c>
      <c r="DG197" s="113">
        <v>81</v>
      </c>
      <c r="DH197" s="113" t="s">
        <v>271</v>
      </c>
      <c r="DI197" s="113">
        <v>96</v>
      </c>
      <c r="DJ197" s="113">
        <v>48</v>
      </c>
      <c r="DK197" s="113">
        <v>76</v>
      </c>
      <c r="DL197" s="113">
        <v>11</v>
      </c>
      <c r="DM197" s="113">
        <v>201</v>
      </c>
      <c r="DN197" s="113">
        <v>166</v>
      </c>
      <c r="DO197" s="113">
        <v>80</v>
      </c>
      <c r="DP197" s="113">
        <v>60</v>
      </c>
      <c r="DQ197" s="113">
        <v>266</v>
      </c>
      <c r="DR197" s="113">
        <v>286</v>
      </c>
      <c r="DS197" s="113">
        <v>260</v>
      </c>
      <c r="DT197" s="113">
        <v>293</v>
      </c>
      <c r="DU197" s="113">
        <v>202</v>
      </c>
      <c r="DV197" s="113">
        <v>155</v>
      </c>
      <c r="DW197" s="113">
        <v>120</v>
      </c>
      <c r="DX197" s="113">
        <v>122</v>
      </c>
      <c r="DY197" s="113">
        <v>158</v>
      </c>
      <c r="DZ197" s="113">
        <v>110</v>
      </c>
      <c r="EA197" s="113">
        <v>98</v>
      </c>
      <c r="EB197" s="113">
        <v>127</v>
      </c>
      <c r="EC197" s="113">
        <v>145</v>
      </c>
      <c r="ED197" s="113">
        <v>112</v>
      </c>
      <c r="EE197" s="113">
        <v>91</v>
      </c>
      <c r="EF197" s="113">
        <v>67</v>
      </c>
      <c r="EG197" s="113">
        <v>54</v>
      </c>
      <c r="EH197" s="113">
        <v>58</v>
      </c>
      <c r="EI197" s="113">
        <v>61</v>
      </c>
      <c r="EJ197" s="113">
        <v>71</v>
      </c>
      <c r="EK197" s="113">
        <v>53</v>
      </c>
      <c r="EL197" s="113">
        <v>47</v>
      </c>
      <c r="EM197" s="113">
        <v>49</v>
      </c>
      <c r="EN197" s="113">
        <v>86</v>
      </c>
    </row>
    <row r="198" spans="1:144">
      <c r="A198" s="103" t="s">
        <v>2322</v>
      </c>
      <c r="B198" s="113" t="s">
        <v>271</v>
      </c>
      <c r="C198" s="113" t="s">
        <v>271</v>
      </c>
      <c r="D198" s="113" t="s">
        <v>271</v>
      </c>
      <c r="E198" s="113" t="s">
        <v>271</v>
      </c>
      <c r="F198" s="113" t="s">
        <v>271</v>
      </c>
      <c r="G198" s="113" t="s">
        <v>271</v>
      </c>
      <c r="H198" s="113" t="s">
        <v>271</v>
      </c>
      <c r="I198" s="113" t="s">
        <v>271</v>
      </c>
      <c r="J198" s="113" t="s">
        <v>271</v>
      </c>
      <c r="K198" s="113" t="s">
        <v>271</v>
      </c>
      <c r="L198" s="113">
        <v>78</v>
      </c>
      <c r="M198" s="113">
        <v>505</v>
      </c>
      <c r="N198" s="113">
        <v>393</v>
      </c>
      <c r="O198" s="113">
        <v>271</v>
      </c>
      <c r="P198" s="113">
        <v>422</v>
      </c>
      <c r="Q198" s="113">
        <v>1013</v>
      </c>
      <c r="R198" s="113">
        <v>544</v>
      </c>
      <c r="S198" s="113">
        <v>537</v>
      </c>
      <c r="T198" s="113">
        <v>502</v>
      </c>
      <c r="U198" s="113">
        <v>552</v>
      </c>
      <c r="V198" s="113">
        <v>1084</v>
      </c>
      <c r="W198" s="113">
        <v>831</v>
      </c>
      <c r="X198" s="113">
        <v>1409</v>
      </c>
      <c r="Y198" s="113">
        <v>1450</v>
      </c>
      <c r="Z198" s="113">
        <v>1600</v>
      </c>
      <c r="AA198" s="113">
        <v>1481</v>
      </c>
      <c r="AB198" s="113">
        <v>1239</v>
      </c>
      <c r="AC198" s="113">
        <v>1953</v>
      </c>
      <c r="AD198" s="113">
        <v>1611</v>
      </c>
      <c r="AE198" s="113">
        <v>903</v>
      </c>
      <c r="AG198" s="103" t="s">
        <v>2322</v>
      </c>
      <c r="AH198" s="113" t="s">
        <v>271</v>
      </c>
      <c r="AI198" s="113" t="s">
        <v>271</v>
      </c>
      <c r="AJ198" s="113" t="s">
        <v>271</v>
      </c>
      <c r="AK198" s="113" t="s">
        <v>271</v>
      </c>
      <c r="AL198" s="113" t="s">
        <v>271</v>
      </c>
      <c r="AM198" s="113" t="s">
        <v>271</v>
      </c>
      <c r="AN198" s="113" t="s">
        <v>271</v>
      </c>
      <c r="AO198" s="113" t="s">
        <v>271</v>
      </c>
      <c r="AP198" s="113" t="s">
        <v>271</v>
      </c>
      <c r="AQ198" s="113" t="s">
        <v>271</v>
      </c>
      <c r="AR198" s="113" t="s">
        <v>271</v>
      </c>
      <c r="AS198" s="113" t="s">
        <v>271</v>
      </c>
      <c r="AT198" s="113" t="s">
        <v>271</v>
      </c>
      <c r="AU198" s="113" t="s">
        <v>271</v>
      </c>
      <c r="AV198" s="113" t="s">
        <v>271</v>
      </c>
      <c r="AW198" s="113" t="s">
        <v>271</v>
      </c>
      <c r="AX198" s="113" t="s">
        <v>271</v>
      </c>
      <c r="AY198" s="113" t="s">
        <v>271</v>
      </c>
      <c r="AZ198" s="113" t="s">
        <v>271</v>
      </c>
      <c r="BA198" s="113" t="s">
        <v>271</v>
      </c>
      <c r="BB198" s="113" t="s">
        <v>271</v>
      </c>
      <c r="BC198" s="113" t="s">
        <v>271</v>
      </c>
      <c r="BD198" s="113" t="s">
        <v>271</v>
      </c>
      <c r="BE198" s="113" t="s">
        <v>271</v>
      </c>
      <c r="BF198" s="113" t="s">
        <v>271</v>
      </c>
      <c r="BG198" s="113" t="s">
        <v>271</v>
      </c>
      <c r="BH198" s="113" t="s">
        <v>271</v>
      </c>
      <c r="BI198" s="113" t="s">
        <v>271</v>
      </c>
      <c r="BJ198" s="113" t="s">
        <v>271</v>
      </c>
      <c r="BK198" s="113" t="s">
        <v>271</v>
      </c>
      <c r="BL198" s="113" t="s">
        <v>271</v>
      </c>
      <c r="BM198" s="113" t="s">
        <v>271</v>
      </c>
      <c r="BN198" s="113" t="s">
        <v>271</v>
      </c>
      <c r="BO198" s="113" t="s">
        <v>271</v>
      </c>
      <c r="BP198" s="113" t="s">
        <v>271</v>
      </c>
      <c r="BQ198" s="113">
        <v>78</v>
      </c>
      <c r="BR198" s="113" t="s">
        <v>271</v>
      </c>
      <c r="BS198" s="113" t="s">
        <v>271</v>
      </c>
      <c r="BT198" s="113" t="s">
        <v>271</v>
      </c>
      <c r="BU198" s="113">
        <v>505</v>
      </c>
      <c r="BV198" s="113" t="s">
        <v>271</v>
      </c>
      <c r="BW198" s="113" t="s">
        <v>271</v>
      </c>
      <c r="BX198" s="113" t="s">
        <v>271</v>
      </c>
      <c r="BY198" s="113">
        <v>393</v>
      </c>
      <c r="BZ198" s="113" t="s">
        <v>271</v>
      </c>
      <c r="CA198" s="113" t="s">
        <v>271</v>
      </c>
      <c r="CB198" s="113" t="s">
        <v>271</v>
      </c>
      <c r="CC198" s="113">
        <v>271</v>
      </c>
      <c r="CD198" s="113" t="s">
        <v>271</v>
      </c>
      <c r="CE198" s="113" t="s">
        <v>271</v>
      </c>
      <c r="CF198" s="113" t="s">
        <v>271</v>
      </c>
      <c r="CG198" s="113">
        <v>422</v>
      </c>
      <c r="CH198" s="113" t="s">
        <v>271</v>
      </c>
      <c r="CI198" s="113">
        <v>507</v>
      </c>
      <c r="CJ198" s="113">
        <v>648</v>
      </c>
      <c r="CK198" s="113">
        <v>1013</v>
      </c>
      <c r="CL198" s="113">
        <v>2116</v>
      </c>
      <c r="CM198" s="113">
        <v>1431</v>
      </c>
      <c r="CN198" s="113">
        <v>1330</v>
      </c>
      <c r="CO198" s="113">
        <v>544</v>
      </c>
      <c r="CP198" s="113">
        <v>636</v>
      </c>
      <c r="CQ198" s="113">
        <v>437</v>
      </c>
      <c r="CR198" s="113">
        <v>264</v>
      </c>
      <c r="CS198" s="113">
        <v>537</v>
      </c>
      <c r="CT198" s="113">
        <v>1180</v>
      </c>
      <c r="CU198" s="113">
        <v>648</v>
      </c>
      <c r="CV198" s="113">
        <v>426</v>
      </c>
      <c r="CW198" s="113">
        <v>502</v>
      </c>
      <c r="CX198" s="113">
        <v>955</v>
      </c>
      <c r="CY198" s="113">
        <v>478</v>
      </c>
      <c r="CZ198" s="113">
        <v>377</v>
      </c>
      <c r="DA198" s="113">
        <v>552</v>
      </c>
      <c r="DB198" s="113">
        <v>1043</v>
      </c>
      <c r="DC198" s="113">
        <v>656</v>
      </c>
      <c r="DD198" s="113">
        <v>827</v>
      </c>
      <c r="DE198" s="113">
        <v>1084</v>
      </c>
      <c r="DF198" s="113">
        <v>1979</v>
      </c>
      <c r="DG198" s="113">
        <v>1027</v>
      </c>
      <c r="DH198" s="113" t="s">
        <v>271</v>
      </c>
      <c r="DI198" s="113">
        <v>831</v>
      </c>
      <c r="DJ198" s="113">
        <v>1115</v>
      </c>
      <c r="DK198" s="113">
        <v>939</v>
      </c>
      <c r="DL198" s="113">
        <v>1320</v>
      </c>
      <c r="DM198" s="113">
        <v>1409</v>
      </c>
      <c r="DN198" s="113">
        <v>1774</v>
      </c>
      <c r="DO198" s="113">
        <v>1125</v>
      </c>
      <c r="DP198" s="113">
        <v>1352</v>
      </c>
      <c r="DQ198" s="113">
        <v>1450</v>
      </c>
      <c r="DR198" s="113">
        <v>2015</v>
      </c>
      <c r="DS198" s="113">
        <v>1112</v>
      </c>
      <c r="DT198" s="113">
        <v>1157</v>
      </c>
      <c r="DU198" s="113">
        <v>1600</v>
      </c>
      <c r="DV198" s="113">
        <v>2469</v>
      </c>
      <c r="DW198" s="113">
        <v>791</v>
      </c>
      <c r="DX198" s="113">
        <v>1692</v>
      </c>
      <c r="DY198" s="113">
        <v>1481</v>
      </c>
      <c r="DZ198" s="113">
        <v>2430</v>
      </c>
      <c r="EA198" s="113">
        <v>1500</v>
      </c>
      <c r="EB198" s="113">
        <v>1297</v>
      </c>
      <c r="EC198" s="113">
        <v>1239</v>
      </c>
      <c r="ED198" s="113">
        <v>2333</v>
      </c>
      <c r="EE198" s="113">
        <v>1421</v>
      </c>
      <c r="EF198" s="113">
        <v>1390</v>
      </c>
      <c r="EG198" s="113">
        <v>1953</v>
      </c>
      <c r="EH198" s="113">
        <v>2866</v>
      </c>
      <c r="EI198" s="113">
        <v>1445</v>
      </c>
      <c r="EJ198" s="113">
        <v>1430</v>
      </c>
      <c r="EK198" s="113">
        <v>1611</v>
      </c>
      <c r="EL198" s="113">
        <v>1922</v>
      </c>
      <c r="EM198" s="113">
        <v>1365</v>
      </c>
      <c r="EN198" s="113">
        <v>903</v>
      </c>
    </row>
    <row r="199" spans="1:144">
      <c r="A199" s="103" t="s">
        <v>928</v>
      </c>
      <c r="B199" s="113" t="s">
        <v>271</v>
      </c>
      <c r="C199" s="113">
        <v>142</v>
      </c>
      <c r="D199" s="113">
        <v>144</v>
      </c>
      <c r="E199" s="113">
        <v>162</v>
      </c>
      <c r="F199" s="113">
        <v>206</v>
      </c>
      <c r="G199" s="113">
        <v>183</v>
      </c>
      <c r="H199" s="113">
        <v>183</v>
      </c>
      <c r="I199" s="113">
        <v>183</v>
      </c>
      <c r="J199" s="113">
        <v>158</v>
      </c>
      <c r="K199" s="113">
        <v>176</v>
      </c>
      <c r="L199" s="113">
        <v>185</v>
      </c>
      <c r="M199" s="113">
        <v>197</v>
      </c>
      <c r="N199" s="113">
        <v>248</v>
      </c>
      <c r="O199" s="113">
        <v>274</v>
      </c>
      <c r="P199" s="113">
        <v>313</v>
      </c>
      <c r="Q199" s="113">
        <v>362</v>
      </c>
      <c r="R199" s="113">
        <v>428</v>
      </c>
      <c r="S199" s="113">
        <v>518</v>
      </c>
      <c r="T199" s="113">
        <v>526</v>
      </c>
      <c r="U199" s="113">
        <v>526</v>
      </c>
      <c r="V199" s="113">
        <v>533</v>
      </c>
      <c r="W199" s="113">
        <v>528</v>
      </c>
      <c r="X199" s="113">
        <v>525</v>
      </c>
      <c r="Y199" s="113">
        <v>541</v>
      </c>
      <c r="Z199" s="113">
        <v>769</v>
      </c>
      <c r="AA199" s="113">
        <v>824</v>
      </c>
      <c r="AB199" s="113">
        <v>1107</v>
      </c>
      <c r="AC199" s="113">
        <v>1254</v>
      </c>
      <c r="AD199" s="113">
        <v>1540</v>
      </c>
      <c r="AE199" s="113" t="s">
        <v>271</v>
      </c>
      <c r="AG199" s="103" t="s">
        <v>928</v>
      </c>
      <c r="AH199" s="113" t="s">
        <v>271</v>
      </c>
      <c r="AI199" s="113" t="s">
        <v>271</v>
      </c>
      <c r="AJ199" s="113" t="s">
        <v>271</v>
      </c>
      <c r="AK199" s="113">
        <v>144</v>
      </c>
      <c r="AL199" s="113" t="s">
        <v>271</v>
      </c>
      <c r="AM199" s="113" t="s">
        <v>271</v>
      </c>
      <c r="AN199" s="113" t="s">
        <v>271</v>
      </c>
      <c r="AO199" s="113">
        <v>162</v>
      </c>
      <c r="AP199" s="113" t="s">
        <v>271</v>
      </c>
      <c r="AQ199" s="113" t="s">
        <v>271</v>
      </c>
      <c r="AR199" s="113" t="s">
        <v>271</v>
      </c>
      <c r="AS199" s="113">
        <v>206</v>
      </c>
      <c r="AT199" s="113" t="s">
        <v>271</v>
      </c>
      <c r="AU199" s="113" t="s">
        <v>271</v>
      </c>
      <c r="AV199" s="113" t="s">
        <v>271</v>
      </c>
      <c r="AW199" s="113">
        <v>183</v>
      </c>
      <c r="AX199" s="113" t="s">
        <v>271</v>
      </c>
      <c r="AY199" s="113" t="s">
        <v>271</v>
      </c>
      <c r="AZ199" s="113" t="s">
        <v>271</v>
      </c>
      <c r="BA199" s="113">
        <v>183</v>
      </c>
      <c r="BB199" s="113" t="s">
        <v>271</v>
      </c>
      <c r="BC199" s="113" t="s">
        <v>271</v>
      </c>
      <c r="BD199" s="113" t="s">
        <v>271</v>
      </c>
      <c r="BE199" s="113">
        <v>183</v>
      </c>
      <c r="BF199" s="113" t="s">
        <v>271</v>
      </c>
      <c r="BG199" s="113" t="s">
        <v>271</v>
      </c>
      <c r="BH199" s="113" t="s">
        <v>271</v>
      </c>
      <c r="BI199" s="113">
        <v>158</v>
      </c>
      <c r="BJ199" s="113" t="s">
        <v>271</v>
      </c>
      <c r="BK199" s="113" t="s">
        <v>271</v>
      </c>
      <c r="BL199" s="113" t="s">
        <v>271</v>
      </c>
      <c r="BM199" s="113">
        <v>176</v>
      </c>
      <c r="BN199" s="113" t="s">
        <v>271</v>
      </c>
      <c r="BO199" s="113" t="s">
        <v>271</v>
      </c>
      <c r="BP199" s="113" t="s">
        <v>271</v>
      </c>
      <c r="BQ199" s="113">
        <v>185</v>
      </c>
      <c r="BR199" s="113" t="s">
        <v>271</v>
      </c>
      <c r="BS199" s="113" t="s">
        <v>271</v>
      </c>
      <c r="BT199" s="113" t="s">
        <v>271</v>
      </c>
      <c r="BU199" s="113">
        <v>197</v>
      </c>
      <c r="BV199" s="113" t="s">
        <v>271</v>
      </c>
      <c r="BW199" s="113" t="s">
        <v>271</v>
      </c>
      <c r="BX199" s="113" t="s">
        <v>271</v>
      </c>
      <c r="BY199" s="113">
        <v>248</v>
      </c>
      <c r="BZ199" s="113" t="s">
        <v>271</v>
      </c>
      <c r="CA199" s="113" t="s">
        <v>271</v>
      </c>
      <c r="CB199" s="113" t="s">
        <v>271</v>
      </c>
      <c r="CC199" s="113">
        <v>274</v>
      </c>
      <c r="CD199" s="113" t="s">
        <v>271</v>
      </c>
      <c r="CE199" s="113" t="s">
        <v>271</v>
      </c>
      <c r="CF199" s="113" t="s">
        <v>271</v>
      </c>
      <c r="CG199" s="113">
        <v>313</v>
      </c>
      <c r="CH199" s="113" t="s">
        <v>271</v>
      </c>
      <c r="CI199" s="113" t="s">
        <v>271</v>
      </c>
      <c r="CJ199" s="113" t="s">
        <v>271</v>
      </c>
      <c r="CK199" s="113">
        <v>362</v>
      </c>
      <c r="CL199" s="113" t="s">
        <v>271</v>
      </c>
      <c r="CM199" s="113" t="s">
        <v>271</v>
      </c>
      <c r="CN199" s="113" t="s">
        <v>271</v>
      </c>
      <c r="CO199" s="113">
        <v>428</v>
      </c>
      <c r="CP199" s="113" t="s">
        <v>271</v>
      </c>
      <c r="CQ199" s="113" t="s">
        <v>271</v>
      </c>
      <c r="CR199" s="113" t="s">
        <v>271</v>
      </c>
      <c r="CS199" s="113">
        <v>518</v>
      </c>
      <c r="CT199" s="113" t="s">
        <v>271</v>
      </c>
      <c r="CU199" s="113" t="s">
        <v>271</v>
      </c>
      <c r="CV199" s="113" t="s">
        <v>271</v>
      </c>
      <c r="CW199" s="113">
        <v>526</v>
      </c>
      <c r="CX199" s="113" t="s">
        <v>271</v>
      </c>
      <c r="CY199" s="113" t="s">
        <v>271</v>
      </c>
      <c r="CZ199" s="113" t="s">
        <v>271</v>
      </c>
      <c r="DA199" s="113">
        <v>526</v>
      </c>
      <c r="DB199" s="113" t="s">
        <v>271</v>
      </c>
      <c r="DC199" s="113" t="s">
        <v>271</v>
      </c>
      <c r="DD199" s="113" t="s">
        <v>271</v>
      </c>
      <c r="DE199" s="113">
        <v>533</v>
      </c>
      <c r="DF199" s="113" t="s">
        <v>271</v>
      </c>
      <c r="DG199" s="113" t="s">
        <v>271</v>
      </c>
      <c r="DH199" s="113" t="s">
        <v>271</v>
      </c>
      <c r="DI199" s="113">
        <v>528</v>
      </c>
      <c r="DJ199" s="113" t="s">
        <v>271</v>
      </c>
      <c r="DK199" s="113" t="s">
        <v>271</v>
      </c>
      <c r="DL199" s="113" t="s">
        <v>271</v>
      </c>
      <c r="DM199" s="113">
        <v>525</v>
      </c>
      <c r="DN199" s="113" t="s">
        <v>271</v>
      </c>
      <c r="DO199" s="113" t="s">
        <v>271</v>
      </c>
      <c r="DP199" s="113" t="s">
        <v>271</v>
      </c>
      <c r="DQ199" s="113">
        <v>541</v>
      </c>
      <c r="DR199" s="113" t="s">
        <v>271</v>
      </c>
      <c r="DS199" s="113" t="s">
        <v>271</v>
      </c>
      <c r="DT199" s="113" t="s">
        <v>271</v>
      </c>
      <c r="DU199" s="113">
        <v>769</v>
      </c>
      <c r="DV199" s="113" t="s">
        <v>271</v>
      </c>
      <c r="DW199" s="113" t="s">
        <v>271</v>
      </c>
      <c r="DX199" s="113" t="s">
        <v>271</v>
      </c>
      <c r="DY199" s="113">
        <v>824</v>
      </c>
      <c r="DZ199" s="113" t="s">
        <v>271</v>
      </c>
      <c r="EA199" s="113" t="s">
        <v>271</v>
      </c>
      <c r="EB199" s="113" t="s">
        <v>271</v>
      </c>
      <c r="EC199" s="113">
        <v>1107</v>
      </c>
      <c r="ED199" s="113" t="s">
        <v>271</v>
      </c>
      <c r="EE199" s="113" t="s">
        <v>271</v>
      </c>
      <c r="EF199" s="113" t="s">
        <v>271</v>
      </c>
      <c r="EG199" s="113">
        <v>1254</v>
      </c>
      <c r="EH199" s="113" t="s">
        <v>271</v>
      </c>
      <c r="EI199" s="113" t="s">
        <v>271</v>
      </c>
      <c r="EJ199" s="113" t="s">
        <v>271</v>
      </c>
      <c r="EK199" s="113">
        <v>1540</v>
      </c>
      <c r="EL199" s="113" t="s">
        <v>271</v>
      </c>
      <c r="EM199" s="113" t="s">
        <v>271</v>
      </c>
      <c r="EN199" s="113" t="s">
        <v>271</v>
      </c>
    </row>
    <row r="200" spans="1:144">
      <c r="A200" s="103" t="s">
        <v>2323</v>
      </c>
      <c r="B200" s="113" t="s">
        <v>271</v>
      </c>
      <c r="C200" s="113">
        <v>345</v>
      </c>
      <c r="D200" s="113">
        <v>389</v>
      </c>
      <c r="E200" s="113">
        <v>440</v>
      </c>
      <c r="F200" s="113">
        <v>607</v>
      </c>
      <c r="G200" s="113">
        <v>787</v>
      </c>
      <c r="H200" s="113">
        <v>1027</v>
      </c>
      <c r="I200" s="113">
        <v>1259</v>
      </c>
      <c r="J200" s="113">
        <v>1347</v>
      </c>
      <c r="K200" s="113">
        <v>1387</v>
      </c>
      <c r="L200" s="113">
        <v>1584</v>
      </c>
      <c r="M200" s="113">
        <v>1701</v>
      </c>
      <c r="N200" s="113">
        <v>1854</v>
      </c>
      <c r="O200" s="113">
        <v>1981</v>
      </c>
      <c r="P200" s="113">
        <v>2014</v>
      </c>
      <c r="Q200" s="113">
        <v>2228</v>
      </c>
      <c r="R200" s="113">
        <v>3170</v>
      </c>
      <c r="S200" s="113">
        <v>4302</v>
      </c>
      <c r="T200" s="113">
        <v>5886</v>
      </c>
      <c r="U200" s="113">
        <v>6087</v>
      </c>
      <c r="V200" s="113">
        <v>6521</v>
      </c>
      <c r="W200" s="113">
        <v>6768</v>
      </c>
      <c r="X200" s="113">
        <v>7326</v>
      </c>
      <c r="Y200" s="113">
        <v>8867</v>
      </c>
      <c r="Z200" s="113">
        <v>10800</v>
      </c>
      <c r="AA200" s="113">
        <v>12393</v>
      </c>
      <c r="AB200" s="113">
        <v>16284</v>
      </c>
      <c r="AC200" s="113">
        <v>20604</v>
      </c>
      <c r="AD200" s="113">
        <v>26288</v>
      </c>
      <c r="AE200" s="113" t="s">
        <v>271</v>
      </c>
      <c r="AG200" s="103" t="s">
        <v>2323</v>
      </c>
      <c r="AH200" s="113" t="s">
        <v>271</v>
      </c>
      <c r="AI200" s="113" t="s">
        <v>271</v>
      </c>
      <c r="AJ200" s="113" t="s">
        <v>271</v>
      </c>
      <c r="AK200" s="113">
        <v>389</v>
      </c>
      <c r="AL200" s="113" t="s">
        <v>271</v>
      </c>
      <c r="AM200" s="113" t="s">
        <v>271</v>
      </c>
      <c r="AN200" s="113" t="s">
        <v>271</v>
      </c>
      <c r="AO200" s="113">
        <v>440</v>
      </c>
      <c r="AP200" s="113" t="s">
        <v>271</v>
      </c>
      <c r="AQ200" s="113" t="s">
        <v>271</v>
      </c>
      <c r="AR200" s="113" t="s">
        <v>271</v>
      </c>
      <c r="AS200" s="113">
        <v>607</v>
      </c>
      <c r="AT200" s="113" t="s">
        <v>271</v>
      </c>
      <c r="AU200" s="113" t="s">
        <v>271</v>
      </c>
      <c r="AV200" s="113" t="s">
        <v>271</v>
      </c>
      <c r="AW200" s="113">
        <v>787</v>
      </c>
      <c r="AX200" s="113" t="s">
        <v>271</v>
      </c>
      <c r="AY200" s="113" t="s">
        <v>271</v>
      </c>
      <c r="AZ200" s="113" t="s">
        <v>271</v>
      </c>
      <c r="BA200" s="113">
        <v>1027</v>
      </c>
      <c r="BB200" s="113" t="s">
        <v>271</v>
      </c>
      <c r="BC200" s="113" t="s">
        <v>271</v>
      </c>
      <c r="BD200" s="113" t="s">
        <v>271</v>
      </c>
      <c r="BE200" s="113">
        <v>1259</v>
      </c>
      <c r="BF200" s="113" t="s">
        <v>271</v>
      </c>
      <c r="BG200" s="113" t="s">
        <v>271</v>
      </c>
      <c r="BH200" s="113" t="s">
        <v>271</v>
      </c>
      <c r="BI200" s="113">
        <v>1347</v>
      </c>
      <c r="BJ200" s="113" t="s">
        <v>271</v>
      </c>
      <c r="BK200" s="113" t="s">
        <v>271</v>
      </c>
      <c r="BL200" s="113" t="s">
        <v>271</v>
      </c>
      <c r="BM200" s="113">
        <v>1387</v>
      </c>
      <c r="BN200" s="113" t="s">
        <v>271</v>
      </c>
      <c r="BO200" s="113" t="s">
        <v>271</v>
      </c>
      <c r="BP200" s="113" t="s">
        <v>271</v>
      </c>
      <c r="BQ200" s="113">
        <v>1584</v>
      </c>
      <c r="BR200" s="113" t="s">
        <v>271</v>
      </c>
      <c r="BS200" s="113" t="s">
        <v>271</v>
      </c>
      <c r="BT200" s="113" t="s">
        <v>271</v>
      </c>
      <c r="BU200" s="113">
        <v>1701</v>
      </c>
      <c r="BV200" s="113" t="s">
        <v>271</v>
      </c>
      <c r="BW200" s="113" t="s">
        <v>271</v>
      </c>
      <c r="BX200" s="113" t="s">
        <v>271</v>
      </c>
      <c r="BY200" s="113">
        <v>1854</v>
      </c>
      <c r="BZ200" s="113" t="s">
        <v>271</v>
      </c>
      <c r="CA200" s="113" t="s">
        <v>271</v>
      </c>
      <c r="CB200" s="113" t="s">
        <v>271</v>
      </c>
      <c r="CC200" s="113">
        <v>1981</v>
      </c>
      <c r="CD200" s="113" t="s">
        <v>271</v>
      </c>
      <c r="CE200" s="113" t="s">
        <v>271</v>
      </c>
      <c r="CF200" s="113" t="s">
        <v>271</v>
      </c>
      <c r="CG200" s="113">
        <v>2014</v>
      </c>
      <c r="CH200" s="113" t="s">
        <v>271</v>
      </c>
      <c r="CI200" s="113" t="s">
        <v>271</v>
      </c>
      <c r="CJ200" s="113" t="s">
        <v>271</v>
      </c>
      <c r="CK200" s="113">
        <v>2228</v>
      </c>
      <c r="CL200" s="113" t="s">
        <v>271</v>
      </c>
      <c r="CM200" s="113" t="s">
        <v>271</v>
      </c>
      <c r="CN200" s="113" t="s">
        <v>271</v>
      </c>
      <c r="CO200" s="113">
        <v>3170</v>
      </c>
      <c r="CP200" s="113" t="s">
        <v>271</v>
      </c>
      <c r="CQ200" s="113" t="s">
        <v>271</v>
      </c>
      <c r="CR200" s="113" t="s">
        <v>271</v>
      </c>
      <c r="CS200" s="113">
        <v>4302</v>
      </c>
      <c r="CT200" s="113" t="s">
        <v>271</v>
      </c>
      <c r="CU200" s="113" t="s">
        <v>271</v>
      </c>
      <c r="CV200" s="113" t="s">
        <v>271</v>
      </c>
      <c r="CW200" s="113">
        <v>5886</v>
      </c>
      <c r="CX200" s="113" t="s">
        <v>271</v>
      </c>
      <c r="CY200" s="113" t="s">
        <v>271</v>
      </c>
      <c r="CZ200" s="113" t="s">
        <v>271</v>
      </c>
      <c r="DA200" s="113">
        <v>6087</v>
      </c>
      <c r="DB200" s="113" t="s">
        <v>271</v>
      </c>
      <c r="DC200" s="113" t="s">
        <v>271</v>
      </c>
      <c r="DD200" s="113" t="s">
        <v>271</v>
      </c>
      <c r="DE200" s="113">
        <v>6521</v>
      </c>
      <c r="DF200" s="113" t="s">
        <v>271</v>
      </c>
      <c r="DG200" s="113" t="s">
        <v>271</v>
      </c>
      <c r="DH200" s="113" t="s">
        <v>271</v>
      </c>
      <c r="DI200" s="113">
        <v>6768</v>
      </c>
      <c r="DJ200" s="113" t="s">
        <v>271</v>
      </c>
      <c r="DK200" s="113" t="s">
        <v>271</v>
      </c>
      <c r="DL200" s="113" t="s">
        <v>271</v>
      </c>
      <c r="DM200" s="113">
        <v>7326</v>
      </c>
      <c r="DN200" s="113" t="s">
        <v>271</v>
      </c>
      <c r="DO200" s="113" t="s">
        <v>271</v>
      </c>
      <c r="DP200" s="113" t="s">
        <v>271</v>
      </c>
      <c r="DQ200" s="113">
        <v>8867</v>
      </c>
      <c r="DR200" s="113" t="s">
        <v>271</v>
      </c>
      <c r="DS200" s="113" t="s">
        <v>271</v>
      </c>
      <c r="DT200" s="113" t="s">
        <v>271</v>
      </c>
      <c r="DU200" s="113">
        <v>10800</v>
      </c>
      <c r="DV200" s="113" t="s">
        <v>271</v>
      </c>
      <c r="DW200" s="113" t="s">
        <v>271</v>
      </c>
      <c r="DX200" s="113" t="s">
        <v>271</v>
      </c>
      <c r="DY200" s="113">
        <v>12393</v>
      </c>
      <c r="DZ200" s="113" t="s">
        <v>271</v>
      </c>
      <c r="EA200" s="113" t="s">
        <v>271</v>
      </c>
      <c r="EB200" s="113" t="s">
        <v>271</v>
      </c>
      <c r="EC200" s="113">
        <v>16284</v>
      </c>
      <c r="ED200" s="113" t="s">
        <v>271</v>
      </c>
      <c r="EE200" s="113" t="s">
        <v>271</v>
      </c>
      <c r="EF200" s="113" t="s">
        <v>271</v>
      </c>
      <c r="EG200" s="113">
        <v>20604</v>
      </c>
      <c r="EH200" s="113" t="s">
        <v>271</v>
      </c>
      <c r="EI200" s="113" t="s">
        <v>271</v>
      </c>
      <c r="EJ200" s="113" t="s">
        <v>271</v>
      </c>
      <c r="EK200" s="113">
        <v>26288</v>
      </c>
      <c r="EL200" s="113" t="s">
        <v>271</v>
      </c>
      <c r="EM200" s="113" t="s">
        <v>271</v>
      </c>
      <c r="EN200" s="113" t="s">
        <v>271</v>
      </c>
    </row>
    <row r="201" spans="1:144">
      <c r="A201" s="103" t="s">
        <v>2324</v>
      </c>
      <c r="B201" s="113" t="s">
        <v>271</v>
      </c>
      <c r="C201" s="113">
        <v>490</v>
      </c>
      <c r="D201" s="113">
        <v>415</v>
      </c>
      <c r="E201" s="113">
        <v>532</v>
      </c>
      <c r="F201" s="113">
        <v>1094</v>
      </c>
      <c r="G201" s="113">
        <v>885</v>
      </c>
      <c r="H201" s="113">
        <v>1064</v>
      </c>
      <c r="I201" s="113">
        <v>1182</v>
      </c>
      <c r="J201" s="113">
        <v>1433</v>
      </c>
      <c r="K201" s="113">
        <v>1909</v>
      </c>
      <c r="L201" s="113">
        <v>2292</v>
      </c>
      <c r="M201" s="113">
        <v>2621</v>
      </c>
      <c r="N201" s="113">
        <v>3208</v>
      </c>
      <c r="O201" s="113">
        <v>3429</v>
      </c>
      <c r="P201" s="113">
        <v>3197</v>
      </c>
      <c r="Q201" s="113">
        <v>3715</v>
      </c>
      <c r="R201" s="113">
        <v>4691</v>
      </c>
      <c r="S201" s="113">
        <v>5996</v>
      </c>
      <c r="T201" s="113">
        <v>6732</v>
      </c>
      <c r="U201" s="113">
        <v>7546</v>
      </c>
      <c r="V201" s="113">
        <v>8592</v>
      </c>
      <c r="W201" s="113">
        <v>9385</v>
      </c>
      <c r="X201" s="113">
        <v>11707</v>
      </c>
      <c r="Y201" s="113">
        <v>14836</v>
      </c>
      <c r="Z201" s="113">
        <v>17191</v>
      </c>
      <c r="AA201" s="113">
        <v>21280</v>
      </c>
      <c r="AB201" s="113">
        <v>25458</v>
      </c>
      <c r="AC201" s="113">
        <v>32090</v>
      </c>
      <c r="AD201" s="113">
        <v>38663</v>
      </c>
      <c r="AE201" s="113" t="s">
        <v>271</v>
      </c>
      <c r="AG201" s="103" t="s">
        <v>2324</v>
      </c>
      <c r="AH201" s="113" t="s">
        <v>271</v>
      </c>
      <c r="AI201" s="113" t="s">
        <v>271</v>
      </c>
      <c r="AJ201" s="113" t="s">
        <v>271</v>
      </c>
      <c r="AK201" s="113">
        <v>415</v>
      </c>
      <c r="AL201" s="113" t="s">
        <v>271</v>
      </c>
      <c r="AM201" s="113" t="s">
        <v>271</v>
      </c>
      <c r="AN201" s="113" t="s">
        <v>271</v>
      </c>
      <c r="AO201" s="113">
        <v>532</v>
      </c>
      <c r="AP201" s="113" t="s">
        <v>271</v>
      </c>
      <c r="AQ201" s="113" t="s">
        <v>271</v>
      </c>
      <c r="AR201" s="113" t="s">
        <v>271</v>
      </c>
      <c r="AS201" s="113">
        <v>1094</v>
      </c>
      <c r="AT201" s="113" t="s">
        <v>271</v>
      </c>
      <c r="AU201" s="113" t="s">
        <v>271</v>
      </c>
      <c r="AV201" s="113" t="s">
        <v>271</v>
      </c>
      <c r="AW201" s="113">
        <v>885</v>
      </c>
      <c r="AX201" s="113" t="s">
        <v>271</v>
      </c>
      <c r="AY201" s="113" t="s">
        <v>271</v>
      </c>
      <c r="AZ201" s="113" t="s">
        <v>271</v>
      </c>
      <c r="BA201" s="113">
        <v>1064</v>
      </c>
      <c r="BB201" s="113" t="s">
        <v>271</v>
      </c>
      <c r="BC201" s="113" t="s">
        <v>271</v>
      </c>
      <c r="BD201" s="113" t="s">
        <v>271</v>
      </c>
      <c r="BE201" s="113">
        <v>1182</v>
      </c>
      <c r="BF201" s="113" t="s">
        <v>271</v>
      </c>
      <c r="BG201" s="113" t="s">
        <v>271</v>
      </c>
      <c r="BH201" s="113" t="s">
        <v>271</v>
      </c>
      <c r="BI201" s="113">
        <v>1433</v>
      </c>
      <c r="BJ201" s="113" t="s">
        <v>271</v>
      </c>
      <c r="BK201" s="113" t="s">
        <v>271</v>
      </c>
      <c r="BL201" s="113" t="s">
        <v>271</v>
      </c>
      <c r="BM201" s="113">
        <v>1909</v>
      </c>
      <c r="BN201" s="113" t="s">
        <v>271</v>
      </c>
      <c r="BO201" s="113" t="s">
        <v>271</v>
      </c>
      <c r="BP201" s="113" t="s">
        <v>271</v>
      </c>
      <c r="BQ201" s="113">
        <v>2292</v>
      </c>
      <c r="BR201" s="113" t="s">
        <v>271</v>
      </c>
      <c r="BS201" s="113" t="s">
        <v>271</v>
      </c>
      <c r="BT201" s="113" t="s">
        <v>271</v>
      </c>
      <c r="BU201" s="113">
        <v>2621</v>
      </c>
      <c r="BV201" s="113" t="s">
        <v>271</v>
      </c>
      <c r="BW201" s="113" t="s">
        <v>271</v>
      </c>
      <c r="BX201" s="113" t="s">
        <v>271</v>
      </c>
      <c r="BY201" s="113">
        <v>3208</v>
      </c>
      <c r="BZ201" s="113" t="s">
        <v>271</v>
      </c>
      <c r="CA201" s="113" t="s">
        <v>271</v>
      </c>
      <c r="CB201" s="113" t="s">
        <v>271</v>
      </c>
      <c r="CC201" s="113">
        <v>3429</v>
      </c>
      <c r="CD201" s="113" t="s">
        <v>271</v>
      </c>
      <c r="CE201" s="113" t="s">
        <v>271</v>
      </c>
      <c r="CF201" s="113" t="s">
        <v>271</v>
      </c>
      <c r="CG201" s="113">
        <v>3197</v>
      </c>
      <c r="CH201" s="113" t="s">
        <v>271</v>
      </c>
      <c r="CI201" s="113" t="s">
        <v>271</v>
      </c>
      <c r="CJ201" s="113" t="s">
        <v>271</v>
      </c>
      <c r="CK201" s="113">
        <v>3715</v>
      </c>
      <c r="CL201" s="113" t="s">
        <v>271</v>
      </c>
      <c r="CM201" s="113" t="s">
        <v>271</v>
      </c>
      <c r="CN201" s="113" t="s">
        <v>271</v>
      </c>
      <c r="CO201" s="113">
        <v>4691</v>
      </c>
      <c r="CP201" s="113" t="s">
        <v>271</v>
      </c>
      <c r="CQ201" s="113" t="s">
        <v>271</v>
      </c>
      <c r="CR201" s="113" t="s">
        <v>271</v>
      </c>
      <c r="CS201" s="113">
        <v>5996</v>
      </c>
      <c r="CT201" s="113" t="s">
        <v>271</v>
      </c>
      <c r="CU201" s="113" t="s">
        <v>271</v>
      </c>
      <c r="CV201" s="113" t="s">
        <v>271</v>
      </c>
      <c r="CW201" s="113">
        <v>6732</v>
      </c>
      <c r="CX201" s="113" t="s">
        <v>271</v>
      </c>
      <c r="CY201" s="113" t="s">
        <v>271</v>
      </c>
      <c r="CZ201" s="113" t="s">
        <v>271</v>
      </c>
      <c r="DA201" s="113">
        <v>7546</v>
      </c>
      <c r="DB201" s="113" t="s">
        <v>271</v>
      </c>
      <c r="DC201" s="113" t="s">
        <v>271</v>
      </c>
      <c r="DD201" s="113" t="s">
        <v>271</v>
      </c>
      <c r="DE201" s="113">
        <v>8592</v>
      </c>
      <c r="DF201" s="113" t="s">
        <v>271</v>
      </c>
      <c r="DG201" s="113" t="s">
        <v>271</v>
      </c>
      <c r="DH201" s="113" t="s">
        <v>271</v>
      </c>
      <c r="DI201" s="113">
        <v>9385</v>
      </c>
      <c r="DJ201" s="113" t="s">
        <v>271</v>
      </c>
      <c r="DK201" s="113" t="s">
        <v>271</v>
      </c>
      <c r="DL201" s="113" t="s">
        <v>271</v>
      </c>
      <c r="DM201" s="113">
        <v>11707</v>
      </c>
      <c r="DN201" s="113" t="s">
        <v>271</v>
      </c>
      <c r="DO201" s="113" t="s">
        <v>271</v>
      </c>
      <c r="DP201" s="113" t="s">
        <v>271</v>
      </c>
      <c r="DQ201" s="113">
        <v>14836</v>
      </c>
      <c r="DR201" s="113" t="s">
        <v>271</v>
      </c>
      <c r="DS201" s="113" t="s">
        <v>271</v>
      </c>
      <c r="DT201" s="113" t="s">
        <v>271</v>
      </c>
      <c r="DU201" s="113">
        <v>17191</v>
      </c>
      <c r="DV201" s="113" t="s">
        <v>271</v>
      </c>
      <c r="DW201" s="113" t="s">
        <v>271</v>
      </c>
      <c r="DX201" s="113" t="s">
        <v>271</v>
      </c>
      <c r="DY201" s="113">
        <v>21280</v>
      </c>
      <c r="DZ201" s="113" t="s">
        <v>271</v>
      </c>
      <c r="EA201" s="113" t="s">
        <v>271</v>
      </c>
      <c r="EB201" s="113" t="s">
        <v>271</v>
      </c>
      <c r="EC201" s="113">
        <v>25458</v>
      </c>
      <c r="ED201" s="113" t="s">
        <v>271</v>
      </c>
      <c r="EE201" s="113" t="s">
        <v>271</v>
      </c>
      <c r="EF201" s="113" t="s">
        <v>271</v>
      </c>
      <c r="EG201" s="113">
        <v>32090</v>
      </c>
      <c r="EH201" s="113" t="s">
        <v>271</v>
      </c>
      <c r="EI201" s="113" t="s">
        <v>271</v>
      </c>
      <c r="EJ201" s="113" t="s">
        <v>271</v>
      </c>
      <c r="EK201" s="113">
        <v>38663</v>
      </c>
      <c r="EL201" s="113" t="s">
        <v>271</v>
      </c>
      <c r="EM201" s="113" t="s">
        <v>271</v>
      </c>
      <c r="EN201" s="113" t="s">
        <v>271</v>
      </c>
    </row>
    <row r="202" spans="1:144">
      <c r="A202" s="103" t="s">
        <v>2325</v>
      </c>
      <c r="B202" s="113">
        <v>0</v>
      </c>
      <c r="C202" s="113">
        <v>0</v>
      </c>
      <c r="D202" s="113">
        <v>0</v>
      </c>
      <c r="E202" s="113">
        <v>0</v>
      </c>
      <c r="F202" s="113">
        <v>0</v>
      </c>
      <c r="G202" s="113">
        <v>0</v>
      </c>
      <c r="H202" s="113">
        <v>0</v>
      </c>
      <c r="I202" s="113">
        <v>0</v>
      </c>
      <c r="J202" s="113">
        <v>0</v>
      </c>
      <c r="K202" s="113">
        <v>0</v>
      </c>
      <c r="L202" s="113">
        <v>0</v>
      </c>
      <c r="M202" s="113">
        <v>0</v>
      </c>
      <c r="N202" s="113">
        <v>768</v>
      </c>
      <c r="O202" s="113">
        <v>805</v>
      </c>
      <c r="P202" s="113">
        <v>851</v>
      </c>
      <c r="Q202" s="113">
        <v>918</v>
      </c>
      <c r="R202" s="113">
        <v>1077</v>
      </c>
      <c r="S202" s="113">
        <v>1728</v>
      </c>
      <c r="T202" s="113">
        <v>1938</v>
      </c>
      <c r="U202" s="113">
        <v>2100</v>
      </c>
      <c r="V202" s="113">
        <v>2345</v>
      </c>
      <c r="W202" s="113">
        <v>2550</v>
      </c>
      <c r="X202" s="113">
        <v>2946</v>
      </c>
      <c r="Y202" s="113">
        <v>3560</v>
      </c>
      <c r="Z202" s="113">
        <v>3577</v>
      </c>
      <c r="AA202" s="113">
        <v>3659</v>
      </c>
      <c r="AB202" s="113">
        <v>5064</v>
      </c>
      <c r="AC202" s="113">
        <v>4735</v>
      </c>
      <c r="AD202" s="113">
        <v>5316</v>
      </c>
      <c r="AE202" s="113">
        <v>0</v>
      </c>
      <c r="AG202" s="103" t="s">
        <v>2325</v>
      </c>
      <c r="AH202" s="113">
        <v>0</v>
      </c>
      <c r="AI202" s="113">
        <v>0</v>
      </c>
      <c r="AJ202" s="113">
        <v>0</v>
      </c>
      <c r="AK202" s="113">
        <v>0</v>
      </c>
      <c r="AL202" s="113">
        <v>0</v>
      </c>
      <c r="AM202" s="113">
        <v>0</v>
      </c>
      <c r="AN202" s="113">
        <v>0</v>
      </c>
      <c r="AO202" s="113">
        <v>0</v>
      </c>
      <c r="AP202" s="113">
        <v>0</v>
      </c>
      <c r="AQ202" s="113">
        <v>0</v>
      </c>
      <c r="AR202" s="113">
        <v>0</v>
      </c>
      <c r="AS202" s="113">
        <v>0</v>
      </c>
      <c r="AT202" s="113">
        <v>0</v>
      </c>
      <c r="AU202" s="113">
        <v>0</v>
      </c>
      <c r="AV202" s="113">
        <v>0</v>
      </c>
      <c r="AW202" s="113">
        <v>0</v>
      </c>
      <c r="AX202" s="113">
        <v>0</v>
      </c>
      <c r="AY202" s="113">
        <v>0</v>
      </c>
      <c r="AZ202" s="113">
        <v>0</v>
      </c>
      <c r="BA202" s="113">
        <v>0</v>
      </c>
      <c r="BB202" s="113">
        <v>0</v>
      </c>
      <c r="BC202" s="113">
        <v>0</v>
      </c>
      <c r="BD202" s="113">
        <v>0</v>
      </c>
      <c r="BE202" s="113">
        <v>0</v>
      </c>
      <c r="BF202" s="113">
        <v>0</v>
      </c>
      <c r="BG202" s="113">
        <v>0</v>
      </c>
      <c r="BH202" s="113">
        <v>0</v>
      </c>
      <c r="BI202" s="113">
        <v>0</v>
      </c>
      <c r="BJ202" s="113">
        <v>0</v>
      </c>
      <c r="BK202" s="113">
        <v>0</v>
      </c>
      <c r="BL202" s="113">
        <v>0</v>
      </c>
      <c r="BM202" s="113">
        <v>0</v>
      </c>
      <c r="BN202" s="113">
        <v>0</v>
      </c>
      <c r="BO202" s="113">
        <v>0</v>
      </c>
      <c r="BP202" s="113">
        <v>0</v>
      </c>
      <c r="BQ202" s="113">
        <v>0</v>
      </c>
      <c r="BR202" s="113">
        <v>0</v>
      </c>
      <c r="BS202" s="113">
        <v>0</v>
      </c>
      <c r="BT202" s="113">
        <v>0</v>
      </c>
      <c r="BU202" s="113">
        <v>0</v>
      </c>
      <c r="BV202" s="113">
        <v>0</v>
      </c>
      <c r="BW202" s="113">
        <v>0</v>
      </c>
      <c r="BX202" s="113">
        <v>0</v>
      </c>
      <c r="BY202" s="113">
        <v>768</v>
      </c>
      <c r="BZ202" s="113">
        <v>0</v>
      </c>
      <c r="CA202" s="113">
        <v>0</v>
      </c>
      <c r="CB202" s="113">
        <v>0</v>
      </c>
      <c r="CC202" s="113">
        <v>805</v>
      </c>
      <c r="CD202" s="113">
        <v>0</v>
      </c>
      <c r="CE202" s="113">
        <v>0</v>
      </c>
      <c r="CF202" s="113">
        <v>0</v>
      </c>
      <c r="CG202" s="113">
        <v>851</v>
      </c>
      <c r="CH202" s="113">
        <v>0</v>
      </c>
      <c r="CI202" s="113">
        <v>0</v>
      </c>
      <c r="CJ202" s="113">
        <v>0</v>
      </c>
      <c r="CK202" s="113">
        <v>918</v>
      </c>
      <c r="CL202" s="113">
        <v>0</v>
      </c>
      <c r="CM202" s="113">
        <v>0</v>
      </c>
      <c r="CN202" s="113">
        <v>0</v>
      </c>
      <c r="CO202" s="113">
        <v>1077</v>
      </c>
      <c r="CP202" s="113">
        <v>0</v>
      </c>
      <c r="CQ202" s="113">
        <v>0</v>
      </c>
      <c r="CR202" s="113">
        <v>0</v>
      </c>
      <c r="CS202" s="113">
        <v>1728</v>
      </c>
      <c r="CT202" s="113">
        <v>0</v>
      </c>
      <c r="CU202" s="113">
        <v>0</v>
      </c>
      <c r="CV202" s="113">
        <v>0</v>
      </c>
      <c r="CW202" s="113">
        <v>1938</v>
      </c>
      <c r="CX202" s="113">
        <v>0</v>
      </c>
      <c r="CY202" s="113">
        <v>0</v>
      </c>
      <c r="CZ202" s="113">
        <v>0</v>
      </c>
      <c r="DA202" s="113">
        <v>2100</v>
      </c>
      <c r="DB202" s="113">
        <v>0</v>
      </c>
      <c r="DC202" s="113">
        <v>0</v>
      </c>
      <c r="DD202" s="113">
        <v>0</v>
      </c>
      <c r="DE202" s="113">
        <v>2345</v>
      </c>
      <c r="DF202" s="113">
        <v>0</v>
      </c>
      <c r="DG202" s="113">
        <v>0</v>
      </c>
      <c r="DH202" s="113">
        <v>0</v>
      </c>
      <c r="DI202" s="113">
        <v>2550</v>
      </c>
      <c r="DJ202" s="113">
        <v>0</v>
      </c>
      <c r="DK202" s="113">
        <v>0</v>
      </c>
      <c r="DL202" s="113">
        <v>0</v>
      </c>
      <c r="DM202" s="113">
        <v>2946</v>
      </c>
      <c r="DN202" s="113">
        <v>0</v>
      </c>
      <c r="DO202" s="113">
        <v>0</v>
      </c>
      <c r="DP202" s="113">
        <v>0</v>
      </c>
      <c r="DQ202" s="113">
        <v>3560</v>
      </c>
      <c r="DR202" s="113">
        <v>0</v>
      </c>
      <c r="DS202" s="113">
        <v>0</v>
      </c>
      <c r="DT202" s="113">
        <v>0</v>
      </c>
      <c r="DU202" s="113">
        <v>3577</v>
      </c>
      <c r="DV202" s="113">
        <v>0</v>
      </c>
      <c r="DW202" s="113">
        <v>0</v>
      </c>
      <c r="DX202" s="113">
        <v>0</v>
      </c>
      <c r="DY202" s="113">
        <v>3659</v>
      </c>
      <c r="DZ202" s="113">
        <v>0</v>
      </c>
      <c r="EA202" s="113">
        <v>0</v>
      </c>
      <c r="EB202" s="113">
        <v>0</v>
      </c>
      <c r="EC202" s="113">
        <v>5064</v>
      </c>
      <c r="ED202" s="113">
        <v>0</v>
      </c>
      <c r="EE202" s="113">
        <v>0</v>
      </c>
      <c r="EF202" s="113">
        <v>0</v>
      </c>
      <c r="EG202" s="113">
        <v>4735</v>
      </c>
      <c r="EH202" s="113">
        <v>0</v>
      </c>
      <c r="EI202" s="113">
        <v>0</v>
      </c>
      <c r="EJ202" s="113">
        <v>0</v>
      </c>
      <c r="EK202" s="113">
        <v>5316</v>
      </c>
      <c r="EL202" s="113">
        <v>0</v>
      </c>
      <c r="EM202" s="113">
        <v>0</v>
      </c>
      <c r="EN202" s="113">
        <v>0</v>
      </c>
    </row>
    <row r="203" spans="1:144">
      <c r="A203" s="103" t="s">
        <v>2326</v>
      </c>
      <c r="B203" s="126" t="s">
        <v>271</v>
      </c>
      <c r="C203" s="126" t="s">
        <v>271</v>
      </c>
      <c r="D203" s="126">
        <v>14430</v>
      </c>
      <c r="E203" s="126">
        <v>15257</v>
      </c>
      <c r="F203" s="126">
        <v>17801</v>
      </c>
      <c r="G203" s="126">
        <v>20561</v>
      </c>
      <c r="H203" s="126">
        <v>22232</v>
      </c>
      <c r="I203" s="126">
        <v>27055</v>
      </c>
      <c r="J203" s="126">
        <v>31396</v>
      </c>
      <c r="K203" s="126">
        <v>39100</v>
      </c>
      <c r="L203" s="126">
        <v>47600</v>
      </c>
      <c r="M203" s="126">
        <v>50500</v>
      </c>
      <c r="N203" s="126">
        <v>55000</v>
      </c>
      <c r="O203" s="126">
        <v>57000</v>
      </c>
      <c r="P203" s="126">
        <v>61000</v>
      </c>
      <c r="Q203" s="126">
        <v>71000</v>
      </c>
      <c r="R203" s="126">
        <v>79000</v>
      </c>
      <c r="S203" s="126">
        <v>91000</v>
      </c>
      <c r="T203" s="126">
        <v>93000</v>
      </c>
      <c r="U203" s="126">
        <v>89000</v>
      </c>
      <c r="V203" s="126">
        <v>90000</v>
      </c>
      <c r="W203" s="126">
        <v>94000</v>
      </c>
      <c r="X203" s="126">
        <v>99000</v>
      </c>
      <c r="Y203" s="126">
        <v>128000</v>
      </c>
      <c r="Z203" s="126">
        <v>118000</v>
      </c>
      <c r="AA203" s="126">
        <v>114000</v>
      </c>
      <c r="AB203" s="126">
        <v>124000</v>
      </c>
      <c r="AC203" s="126">
        <v>131000</v>
      </c>
      <c r="AD203" s="126">
        <v>144000</v>
      </c>
      <c r="AE203" s="126" t="s">
        <v>271</v>
      </c>
      <c r="AG203" s="103" t="s">
        <v>2326</v>
      </c>
      <c r="AH203" s="126" t="s">
        <v>271</v>
      </c>
      <c r="AI203" s="126" t="s">
        <v>271</v>
      </c>
      <c r="AJ203" s="126" t="s">
        <v>271</v>
      </c>
      <c r="AK203" s="126">
        <v>14430</v>
      </c>
      <c r="AL203" s="126" t="s">
        <v>271</v>
      </c>
      <c r="AM203" s="126" t="s">
        <v>271</v>
      </c>
      <c r="AN203" s="126" t="s">
        <v>271</v>
      </c>
      <c r="AO203" s="126">
        <v>15257</v>
      </c>
      <c r="AP203" s="126" t="s">
        <v>271</v>
      </c>
      <c r="AQ203" s="126" t="s">
        <v>271</v>
      </c>
      <c r="AR203" s="126" t="s">
        <v>271</v>
      </c>
      <c r="AS203" s="126">
        <v>17801</v>
      </c>
      <c r="AT203" s="126" t="s">
        <v>271</v>
      </c>
      <c r="AU203" s="126" t="s">
        <v>271</v>
      </c>
      <c r="AV203" s="126" t="s">
        <v>271</v>
      </c>
      <c r="AW203" s="126">
        <v>20561</v>
      </c>
      <c r="AX203" s="126" t="s">
        <v>271</v>
      </c>
      <c r="AY203" s="126" t="s">
        <v>271</v>
      </c>
      <c r="AZ203" s="126" t="s">
        <v>271</v>
      </c>
      <c r="BA203" s="126">
        <v>22232</v>
      </c>
      <c r="BB203" s="126" t="s">
        <v>271</v>
      </c>
      <c r="BC203" s="126" t="s">
        <v>271</v>
      </c>
      <c r="BD203" s="126" t="s">
        <v>271</v>
      </c>
      <c r="BE203" s="126">
        <v>27055</v>
      </c>
      <c r="BF203" s="126" t="s">
        <v>271</v>
      </c>
      <c r="BG203" s="126" t="s">
        <v>271</v>
      </c>
      <c r="BH203" s="126" t="s">
        <v>271</v>
      </c>
      <c r="BI203" s="126">
        <v>31396</v>
      </c>
      <c r="BJ203" s="126" t="s">
        <v>271</v>
      </c>
      <c r="BK203" s="126" t="s">
        <v>271</v>
      </c>
      <c r="BL203" s="126" t="s">
        <v>271</v>
      </c>
      <c r="BM203" s="126">
        <v>39100</v>
      </c>
      <c r="BN203" s="126" t="s">
        <v>271</v>
      </c>
      <c r="BO203" s="126" t="s">
        <v>271</v>
      </c>
      <c r="BP203" s="126" t="s">
        <v>271</v>
      </c>
      <c r="BQ203" s="126">
        <v>47600</v>
      </c>
      <c r="BR203" s="126" t="s">
        <v>271</v>
      </c>
      <c r="BS203" s="126" t="s">
        <v>271</v>
      </c>
      <c r="BT203" s="126" t="s">
        <v>271</v>
      </c>
      <c r="BU203" s="126">
        <v>50500</v>
      </c>
      <c r="BV203" s="126" t="s">
        <v>271</v>
      </c>
      <c r="BW203" s="126" t="s">
        <v>271</v>
      </c>
      <c r="BX203" s="126" t="s">
        <v>271</v>
      </c>
      <c r="BY203" s="126">
        <v>55000</v>
      </c>
      <c r="BZ203" s="126" t="s">
        <v>271</v>
      </c>
      <c r="CA203" s="126" t="s">
        <v>271</v>
      </c>
      <c r="CB203" s="126" t="s">
        <v>271</v>
      </c>
      <c r="CC203" s="126">
        <v>57000</v>
      </c>
      <c r="CD203" s="126" t="s">
        <v>271</v>
      </c>
      <c r="CE203" s="126" t="s">
        <v>271</v>
      </c>
      <c r="CF203" s="126" t="s">
        <v>271</v>
      </c>
      <c r="CG203" s="126">
        <v>61000</v>
      </c>
      <c r="CH203" s="126" t="s">
        <v>271</v>
      </c>
      <c r="CI203" s="126" t="s">
        <v>271</v>
      </c>
      <c r="CJ203" s="126" t="s">
        <v>271</v>
      </c>
      <c r="CK203" s="126">
        <v>71000</v>
      </c>
      <c r="CL203" s="126" t="s">
        <v>271</v>
      </c>
      <c r="CM203" s="126" t="s">
        <v>271</v>
      </c>
      <c r="CN203" s="126" t="s">
        <v>271</v>
      </c>
      <c r="CO203" s="126">
        <v>79000</v>
      </c>
      <c r="CP203" s="126" t="s">
        <v>271</v>
      </c>
      <c r="CQ203" s="126" t="s">
        <v>271</v>
      </c>
      <c r="CR203" s="126" t="s">
        <v>271</v>
      </c>
      <c r="CS203" s="126">
        <v>91000</v>
      </c>
      <c r="CT203" s="126" t="s">
        <v>271</v>
      </c>
      <c r="CU203" s="126" t="s">
        <v>271</v>
      </c>
      <c r="CV203" s="126" t="s">
        <v>271</v>
      </c>
      <c r="CW203" s="126">
        <v>93000</v>
      </c>
      <c r="CX203" s="126" t="s">
        <v>271</v>
      </c>
      <c r="CY203" s="126" t="s">
        <v>271</v>
      </c>
      <c r="CZ203" s="126" t="s">
        <v>271</v>
      </c>
      <c r="DA203" s="126">
        <v>89000</v>
      </c>
      <c r="DB203" s="126" t="s">
        <v>271</v>
      </c>
      <c r="DC203" s="126" t="s">
        <v>271</v>
      </c>
      <c r="DD203" s="126" t="s">
        <v>271</v>
      </c>
      <c r="DE203" s="126">
        <v>90000</v>
      </c>
      <c r="DF203" s="126" t="s">
        <v>271</v>
      </c>
      <c r="DG203" s="126" t="s">
        <v>271</v>
      </c>
      <c r="DH203" s="126" t="s">
        <v>271</v>
      </c>
      <c r="DI203" s="126">
        <v>94000</v>
      </c>
      <c r="DJ203" s="126" t="s">
        <v>271</v>
      </c>
      <c r="DK203" s="126" t="s">
        <v>271</v>
      </c>
      <c r="DL203" s="126" t="s">
        <v>271</v>
      </c>
      <c r="DM203" s="126">
        <v>99000</v>
      </c>
      <c r="DN203" s="126" t="s">
        <v>271</v>
      </c>
      <c r="DO203" s="126" t="s">
        <v>271</v>
      </c>
      <c r="DP203" s="126" t="s">
        <v>271</v>
      </c>
      <c r="DQ203" s="126">
        <v>128000</v>
      </c>
      <c r="DR203" s="126" t="s">
        <v>271</v>
      </c>
      <c r="DS203" s="126" t="s">
        <v>271</v>
      </c>
      <c r="DT203" s="126" t="s">
        <v>271</v>
      </c>
      <c r="DU203" s="126">
        <v>118000</v>
      </c>
      <c r="DV203" s="126" t="s">
        <v>271</v>
      </c>
      <c r="DW203" s="126" t="s">
        <v>271</v>
      </c>
      <c r="DX203" s="126" t="s">
        <v>271</v>
      </c>
      <c r="DY203" s="126">
        <v>114000</v>
      </c>
      <c r="DZ203" s="126" t="s">
        <v>271</v>
      </c>
      <c r="EA203" s="126" t="s">
        <v>271</v>
      </c>
      <c r="EB203" s="126" t="s">
        <v>271</v>
      </c>
      <c r="EC203" s="126">
        <v>124000</v>
      </c>
      <c r="ED203" s="126" t="s">
        <v>271</v>
      </c>
      <c r="EE203" s="126" t="s">
        <v>271</v>
      </c>
      <c r="EF203" s="126" t="s">
        <v>271</v>
      </c>
      <c r="EG203" s="126">
        <v>131000</v>
      </c>
      <c r="EH203" s="126" t="s">
        <v>271</v>
      </c>
      <c r="EI203" s="126" t="s">
        <v>271</v>
      </c>
      <c r="EJ203" s="126" t="s">
        <v>271</v>
      </c>
      <c r="EK203" s="126">
        <v>144000</v>
      </c>
      <c r="EL203" s="126" t="s">
        <v>271</v>
      </c>
      <c r="EM203" s="126" t="s">
        <v>271</v>
      </c>
      <c r="EN203" s="126" t="s">
        <v>271</v>
      </c>
    </row>
    <row r="204" spans="1:144">
      <c r="A204" s="103"/>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c r="AC204" s="126"/>
      <c r="AD204" s="126"/>
      <c r="AE204" s="126"/>
      <c r="AG204" s="103" t="s">
        <v>2327</v>
      </c>
      <c r="AH204" s="113" t="s">
        <v>271</v>
      </c>
      <c r="AI204" s="113" t="s">
        <v>271</v>
      </c>
      <c r="AJ204" s="113" t="s">
        <v>271</v>
      </c>
      <c r="AK204" s="113" t="s">
        <v>271</v>
      </c>
      <c r="AL204" s="113" t="s">
        <v>271</v>
      </c>
      <c r="AM204" s="113" t="s">
        <v>271</v>
      </c>
      <c r="AN204" s="113" t="s">
        <v>271</v>
      </c>
      <c r="AO204" s="113" t="s">
        <v>271</v>
      </c>
      <c r="AP204" s="113" t="s">
        <v>271</v>
      </c>
      <c r="AQ204" s="113" t="s">
        <v>271</v>
      </c>
      <c r="AR204" s="113" t="s">
        <v>271</v>
      </c>
      <c r="AS204" s="113" t="s">
        <v>271</v>
      </c>
      <c r="AT204" s="113" t="s">
        <v>271</v>
      </c>
      <c r="AU204" s="113" t="s">
        <v>271</v>
      </c>
      <c r="AV204" s="113" t="s">
        <v>271</v>
      </c>
      <c r="AW204" s="113" t="s">
        <v>271</v>
      </c>
      <c r="AX204" s="113" t="s">
        <v>271</v>
      </c>
      <c r="AY204" s="113" t="s">
        <v>271</v>
      </c>
      <c r="AZ204" s="113" t="s">
        <v>271</v>
      </c>
      <c r="BA204" s="113" t="s">
        <v>271</v>
      </c>
      <c r="BB204" s="113" t="s">
        <v>271</v>
      </c>
      <c r="BC204" s="113" t="s">
        <v>271</v>
      </c>
      <c r="BD204" s="113" t="s">
        <v>271</v>
      </c>
      <c r="BE204" s="113" t="s">
        <v>271</v>
      </c>
      <c r="BF204" s="113" t="s">
        <v>271</v>
      </c>
      <c r="BG204" s="113" t="s">
        <v>271</v>
      </c>
      <c r="BH204" s="113" t="s">
        <v>271</v>
      </c>
      <c r="BI204" s="113" t="s">
        <v>271</v>
      </c>
      <c r="BJ204" s="113" t="s">
        <v>271</v>
      </c>
      <c r="BK204" s="113" t="s">
        <v>271</v>
      </c>
      <c r="BL204" s="113" t="s">
        <v>271</v>
      </c>
      <c r="BM204" s="113" t="s">
        <v>271</v>
      </c>
      <c r="BN204" s="113" t="s">
        <v>271</v>
      </c>
      <c r="BO204" s="113" t="s">
        <v>271</v>
      </c>
      <c r="BP204" s="113" t="s">
        <v>271</v>
      </c>
      <c r="BQ204" s="113" t="s">
        <v>271</v>
      </c>
      <c r="BR204" s="113" t="s">
        <v>271</v>
      </c>
      <c r="BS204" s="113" t="s">
        <v>271</v>
      </c>
      <c r="BT204" s="113" t="s">
        <v>271</v>
      </c>
      <c r="BU204" s="113" t="s">
        <v>271</v>
      </c>
      <c r="BV204" s="113" t="s">
        <v>271</v>
      </c>
      <c r="BW204" s="113" t="s">
        <v>271</v>
      </c>
      <c r="BX204" s="113" t="s">
        <v>271</v>
      </c>
      <c r="BY204" s="113" t="s">
        <v>271</v>
      </c>
      <c r="BZ204" s="113" t="s">
        <v>271</v>
      </c>
      <c r="CA204" s="113" t="s">
        <v>271</v>
      </c>
      <c r="CB204" s="113" t="s">
        <v>271</v>
      </c>
      <c r="CC204" s="113" t="s">
        <v>271</v>
      </c>
      <c r="CD204" s="113" t="s">
        <v>271</v>
      </c>
      <c r="CE204" s="113" t="s">
        <v>271</v>
      </c>
      <c r="CF204" s="113" t="s">
        <v>271</v>
      </c>
      <c r="CG204" s="113" t="s">
        <v>271</v>
      </c>
      <c r="CH204" s="113" t="s">
        <v>271</v>
      </c>
      <c r="CI204" s="113" t="s">
        <v>271</v>
      </c>
      <c r="CJ204" s="113" t="s">
        <v>271</v>
      </c>
      <c r="CK204" s="113" t="s">
        <v>271</v>
      </c>
      <c r="CL204" s="113" t="s">
        <v>271</v>
      </c>
      <c r="CM204" s="113" t="s">
        <v>271</v>
      </c>
      <c r="CN204" s="113" t="s">
        <v>271</v>
      </c>
      <c r="CO204" s="113" t="s">
        <v>271</v>
      </c>
      <c r="CP204" s="113" t="s">
        <v>271</v>
      </c>
      <c r="CQ204" s="113" t="s">
        <v>271</v>
      </c>
      <c r="CR204" s="113" t="s">
        <v>271</v>
      </c>
      <c r="CS204" s="113" t="s">
        <v>271</v>
      </c>
      <c r="CT204" s="113" t="s">
        <v>271</v>
      </c>
      <c r="CU204" s="113" t="s">
        <v>271</v>
      </c>
      <c r="CV204" s="113" t="s">
        <v>271</v>
      </c>
      <c r="CW204" s="113" t="s">
        <v>271</v>
      </c>
      <c r="CX204" s="113" t="s">
        <v>271</v>
      </c>
      <c r="CY204" s="113" t="s">
        <v>271</v>
      </c>
      <c r="CZ204" s="113" t="s">
        <v>271</v>
      </c>
      <c r="DA204" s="113" t="s">
        <v>271</v>
      </c>
      <c r="DB204" s="113" t="s">
        <v>271</v>
      </c>
      <c r="DC204" s="113" t="s">
        <v>271</v>
      </c>
      <c r="DD204" s="113" t="s">
        <v>271</v>
      </c>
      <c r="DE204" s="113" t="s">
        <v>271</v>
      </c>
      <c r="DF204" s="113" t="s">
        <v>271</v>
      </c>
      <c r="DG204" s="113" t="s">
        <v>271</v>
      </c>
      <c r="DH204" s="113" t="s">
        <v>271</v>
      </c>
      <c r="DI204" s="113" t="s">
        <v>271</v>
      </c>
      <c r="DJ204" s="113" t="s">
        <v>271</v>
      </c>
      <c r="DK204" s="113" t="s">
        <v>271</v>
      </c>
      <c r="DL204" s="113" t="s">
        <v>271</v>
      </c>
      <c r="DM204" s="113" t="s">
        <v>271</v>
      </c>
      <c r="DN204" s="113" t="s">
        <v>271</v>
      </c>
      <c r="DO204" s="113" t="s">
        <v>271</v>
      </c>
      <c r="DP204" s="113" t="s">
        <v>271</v>
      </c>
      <c r="DQ204" s="113" t="s">
        <v>271</v>
      </c>
      <c r="DR204" s="113" t="s">
        <v>271</v>
      </c>
      <c r="DS204" s="113" t="s">
        <v>271</v>
      </c>
      <c r="DT204" s="113" t="s">
        <v>271</v>
      </c>
      <c r="DU204" s="113" t="s">
        <v>271</v>
      </c>
      <c r="DV204" s="113" t="s">
        <v>271</v>
      </c>
      <c r="DW204" s="113" t="s">
        <v>271</v>
      </c>
      <c r="DX204" s="113" t="s">
        <v>271</v>
      </c>
      <c r="DY204" s="113" t="s">
        <v>271</v>
      </c>
      <c r="DZ204" s="113">
        <v>1100</v>
      </c>
      <c r="EA204" s="113">
        <v>1600</v>
      </c>
      <c r="EB204" s="113">
        <v>1900</v>
      </c>
      <c r="EC204" s="113" t="s">
        <v>271</v>
      </c>
      <c r="ED204" s="113">
        <v>3400</v>
      </c>
      <c r="EE204" s="113">
        <v>4062</v>
      </c>
      <c r="EF204" s="113">
        <v>4507</v>
      </c>
      <c r="EG204" s="113" t="s">
        <v>271</v>
      </c>
      <c r="EH204" s="113">
        <v>4955</v>
      </c>
      <c r="EI204" s="113">
        <v>5554</v>
      </c>
      <c r="EJ204" s="113" t="s">
        <v>271</v>
      </c>
      <c r="EK204" s="113" t="s">
        <v>271</v>
      </c>
      <c r="EL204" s="113" t="s">
        <v>271</v>
      </c>
      <c r="EM204" s="113" t="s">
        <v>271</v>
      </c>
      <c r="EN204" s="113" t="s">
        <v>271</v>
      </c>
    </row>
    <row r="205" spans="1:144">
      <c r="A205" s="103"/>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c r="AC205" s="126"/>
      <c r="AD205" s="126"/>
      <c r="AE205" s="126"/>
      <c r="AG205" s="103" t="s">
        <v>2328</v>
      </c>
      <c r="AH205" s="113" t="s">
        <v>271</v>
      </c>
      <c r="AI205" s="113" t="s">
        <v>271</v>
      </c>
      <c r="AJ205" s="113" t="s">
        <v>271</v>
      </c>
      <c r="AK205" s="113" t="s">
        <v>271</v>
      </c>
      <c r="AL205" s="113" t="s">
        <v>271</v>
      </c>
      <c r="AM205" s="113" t="s">
        <v>271</v>
      </c>
      <c r="AN205" s="113" t="s">
        <v>271</v>
      </c>
      <c r="AO205" s="113" t="s">
        <v>271</v>
      </c>
      <c r="AP205" s="113" t="s">
        <v>271</v>
      </c>
      <c r="AQ205" s="113" t="s">
        <v>271</v>
      </c>
      <c r="AR205" s="113" t="s">
        <v>271</v>
      </c>
      <c r="AS205" s="113" t="s">
        <v>271</v>
      </c>
      <c r="AT205" s="113" t="s">
        <v>271</v>
      </c>
      <c r="AU205" s="113" t="s">
        <v>271</v>
      </c>
      <c r="AV205" s="113" t="s">
        <v>271</v>
      </c>
      <c r="AW205" s="113" t="s">
        <v>271</v>
      </c>
      <c r="AX205" s="113" t="s">
        <v>271</v>
      </c>
      <c r="AY205" s="113" t="s">
        <v>271</v>
      </c>
      <c r="AZ205" s="113" t="s">
        <v>271</v>
      </c>
      <c r="BA205" s="113" t="s">
        <v>271</v>
      </c>
      <c r="BB205" s="113" t="s">
        <v>271</v>
      </c>
      <c r="BC205" s="113" t="s">
        <v>271</v>
      </c>
      <c r="BD205" s="113" t="s">
        <v>271</v>
      </c>
      <c r="BE205" s="113" t="s">
        <v>271</v>
      </c>
      <c r="BF205" s="113" t="s">
        <v>271</v>
      </c>
      <c r="BG205" s="113" t="s">
        <v>271</v>
      </c>
      <c r="BH205" s="113" t="s">
        <v>271</v>
      </c>
      <c r="BI205" s="113" t="s">
        <v>271</v>
      </c>
      <c r="BJ205" s="113" t="s">
        <v>271</v>
      </c>
      <c r="BK205" s="113" t="s">
        <v>271</v>
      </c>
      <c r="BL205" s="113" t="s">
        <v>271</v>
      </c>
      <c r="BM205" s="113" t="s">
        <v>271</v>
      </c>
      <c r="BN205" s="113" t="s">
        <v>271</v>
      </c>
      <c r="BO205" s="113" t="s">
        <v>271</v>
      </c>
      <c r="BP205" s="113" t="s">
        <v>271</v>
      </c>
      <c r="BQ205" s="113" t="s">
        <v>271</v>
      </c>
      <c r="BR205" s="113" t="s">
        <v>271</v>
      </c>
      <c r="BS205" s="113" t="s">
        <v>271</v>
      </c>
      <c r="BT205" s="113" t="s">
        <v>271</v>
      </c>
      <c r="BU205" s="113" t="s">
        <v>271</v>
      </c>
      <c r="BV205" s="113" t="s">
        <v>271</v>
      </c>
      <c r="BW205" s="113" t="s">
        <v>271</v>
      </c>
      <c r="BX205" s="113" t="s">
        <v>271</v>
      </c>
      <c r="BY205" s="113" t="s">
        <v>271</v>
      </c>
      <c r="BZ205" s="113" t="s">
        <v>271</v>
      </c>
      <c r="CA205" s="113" t="s">
        <v>271</v>
      </c>
      <c r="CB205" s="113" t="s">
        <v>271</v>
      </c>
      <c r="CC205" s="113" t="s">
        <v>271</v>
      </c>
      <c r="CD205" s="113" t="s">
        <v>271</v>
      </c>
      <c r="CE205" s="113" t="s">
        <v>271</v>
      </c>
      <c r="CF205" s="113" t="s">
        <v>271</v>
      </c>
      <c r="CG205" s="113" t="s">
        <v>271</v>
      </c>
      <c r="CH205" s="113" t="s">
        <v>271</v>
      </c>
      <c r="CI205" s="113" t="s">
        <v>271</v>
      </c>
      <c r="CJ205" s="113" t="s">
        <v>271</v>
      </c>
      <c r="CK205" s="113" t="s">
        <v>271</v>
      </c>
      <c r="CL205" s="113" t="s">
        <v>271</v>
      </c>
      <c r="CM205" s="113" t="s">
        <v>271</v>
      </c>
      <c r="CN205" s="113" t="s">
        <v>271</v>
      </c>
      <c r="CO205" s="113" t="s">
        <v>271</v>
      </c>
      <c r="CP205" s="113" t="s">
        <v>271</v>
      </c>
      <c r="CQ205" s="113" t="s">
        <v>271</v>
      </c>
      <c r="CR205" s="113" t="s">
        <v>271</v>
      </c>
      <c r="CS205" s="113" t="s">
        <v>271</v>
      </c>
      <c r="CT205" s="113" t="s">
        <v>271</v>
      </c>
      <c r="CU205" s="113" t="s">
        <v>271</v>
      </c>
      <c r="CV205" s="113" t="s">
        <v>271</v>
      </c>
      <c r="CW205" s="113" t="s">
        <v>271</v>
      </c>
      <c r="CX205" s="113" t="s">
        <v>271</v>
      </c>
      <c r="CY205" s="113" t="s">
        <v>271</v>
      </c>
      <c r="CZ205" s="113" t="s">
        <v>271</v>
      </c>
      <c r="DA205" s="113" t="s">
        <v>271</v>
      </c>
      <c r="DB205" s="113" t="s">
        <v>271</v>
      </c>
      <c r="DC205" s="113" t="s">
        <v>271</v>
      </c>
      <c r="DD205" s="113" t="s">
        <v>271</v>
      </c>
      <c r="DE205" s="113" t="s">
        <v>271</v>
      </c>
      <c r="DF205" s="113" t="s">
        <v>271</v>
      </c>
      <c r="DG205" s="113" t="s">
        <v>271</v>
      </c>
      <c r="DH205" s="113" t="s">
        <v>271</v>
      </c>
      <c r="DI205" s="113" t="s">
        <v>271</v>
      </c>
      <c r="DJ205" s="113" t="s">
        <v>271</v>
      </c>
      <c r="DK205" s="113" t="s">
        <v>271</v>
      </c>
      <c r="DL205" s="113" t="s">
        <v>271</v>
      </c>
      <c r="DM205" s="113" t="s">
        <v>271</v>
      </c>
      <c r="DN205" s="113" t="s">
        <v>271</v>
      </c>
      <c r="DO205" s="113" t="s">
        <v>271</v>
      </c>
      <c r="DP205" s="113" t="s">
        <v>271</v>
      </c>
      <c r="DQ205" s="113" t="s">
        <v>271</v>
      </c>
      <c r="DR205" s="113" t="s">
        <v>271</v>
      </c>
      <c r="DS205" s="113" t="s">
        <v>271</v>
      </c>
      <c r="DT205" s="113" t="s">
        <v>271</v>
      </c>
      <c r="DU205" s="113" t="s">
        <v>271</v>
      </c>
      <c r="DV205" s="113" t="s">
        <v>271</v>
      </c>
      <c r="DW205" s="113" t="s">
        <v>271</v>
      </c>
      <c r="DX205" s="113" t="s">
        <v>271</v>
      </c>
      <c r="DY205" s="113" t="s">
        <v>271</v>
      </c>
      <c r="DZ205" s="113">
        <v>-72</v>
      </c>
      <c r="EA205" s="113">
        <v>-95</v>
      </c>
      <c r="EB205" s="113">
        <v>-124</v>
      </c>
      <c r="EC205" s="113" t="s">
        <v>271</v>
      </c>
      <c r="ED205" s="113">
        <v>-209</v>
      </c>
      <c r="EE205" s="113">
        <v>-266</v>
      </c>
      <c r="EF205" s="113">
        <v>-336</v>
      </c>
      <c r="EG205" s="113" t="s">
        <v>271</v>
      </c>
      <c r="EH205" s="113">
        <v>-481</v>
      </c>
      <c r="EI205" s="113">
        <v>-566</v>
      </c>
      <c r="EJ205" s="113" t="s">
        <v>271</v>
      </c>
      <c r="EK205" s="113" t="s">
        <v>271</v>
      </c>
      <c r="EL205" s="113" t="s">
        <v>271</v>
      </c>
      <c r="EM205" s="113" t="s">
        <v>271</v>
      </c>
      <c r="EN205" s="113" t="s">
        <v>271</v>
      </c>
    </row>
    <row r="206" spans="1:144">
      <c r="A206" s="103" t="s">
        <v>2329</v>
      </c>
      <c r="B206" s="113" t="s">
        <v>271</v>
      </c>
      <c r="C206" s="113">
        <v>57</v>
      </c>
      <c r="D206" s="113">
        <v>76</v>
      </c>
      <c r="E206" s="113">
        <v>92</v>
      </c>
      <c r="F206" s="113" t="s">
        <v>271</v>
      </c>
      <c r="G206" s="113" t="s">
        <v>271</v>
      </c>
      <c r="H206" s="113" t="s">
        <v>271</v>
      </c>
      <c r="I206" s="113" t="s">
        <v>271</v>
      </c>
      <c r="J206" s="113" t="s">
        <v>271</v>
      </c>
      <c r="K206" s="113" t="s">
        <v>271</v>
      </c>
      <c r="L206" s="113">
        <v>174</v>
      </c>
      <c r="M206" s="113" t="s">
        <v>271</v>
      </c>
      <c r="N206" s="113">
        <v>242</v>
      </c>
      <c r="O206" s="113">
        <v>166</v>
      </c>
      <c r="P206" s="113">
        <v>171</v>
      </c>
      <c r="Q206" s="113">
        <v>142</v>
      </c>
      <c r="R206" s="113">
        <v>117</v>
      </c>
      <c r="S206" s="113">
        <v>153</v>
      </c>
      <c r="T206" s="113">
        <v>451</v>
      </c>
      <c r="U206" s="113">
        <v>375</v>
      </c>
      <c r="V206" s="113">
        <v>333</v>
      </c>
      <c r="W206" s="113">
        <v>389</v>
      </c>
      <c r="X206" s="113">
        <v>336</v>
      </c>
      <c r="Y206" s="113">
        <v>301</v>
      </c>
      <c r="Z206" s="113">
        <v>335</v>
      </c>
      <c r="AA206" s="113">
        <v>426</v>
      </c>
      <c r="AB206" s="113">
        <v>345</v>
      </c>
      <c r="AC206" s="113">
        <v>377</v>
      </c>
      <c r="AD206" s="113">
        <v>411</v>
      </c>
      <c r="AE206" s="113">
        <v>446</v>
      </c>
      <c r="AG206" s="103" t="s">
        <v>2329</v>
      </c>
      <c r="AH206" s="113" t="s">
        <v>271</v>
      </c>
      <c r="AI206" s="113" t="s">
        <v>271</v>
      </c>
      <c r="AJ206" s="113" t="s">
        <v>271</v>
      </c>
      <c r="AK206" s="113">
        <v>76</v>
      </c>
      <c r="AL206" s="113" t="s">
        <v>271</v>
      </c>
      <c r="AM206" s="113" t="s">
        <v>271</v>
      </c>
      <c r="AN206" s="113" t="s">
        <v>271</v>
      </c>
      <c r="AO206" s="113">
        <v>92</v>
      </c>
      <c r="AP206" s="113" t="s">
        <v>271</v>
      </c>
      <c r="AQ206" s="113">
        <v>115</v>
      </c>
      <c r="AR206" s="113">
        <v>131</v>
      </c>
      <c r="AS206" s="113" t="s">
        <v>271</v>
      </c>
      <c r="AT206" s="113">
        <v>156</v>
      </c>
      <c r="AU206" s="113" t="s">
        <v>271</v>
      </c>
      <c r="AV206" s="113" t="s">
        <v>271</v>
      </c>
      <c r="AW206" s="113" t="s">
        <v>271</v>
      </c>
      <c r="AX206" s="113" t="s">
        <v>271</v>
      </c>
      <c r="AY206" s="113" t="s">
        <v>271</v>
      </c>
      <c r="AZ206" s="113" t="s">
        <v>271</v>
      </c>
      <c r="BA206" s="113" t="s">
        <v>271</v>
      </c>
      <c r="BB206" s="113" t="s">
        <v>271</v>
      </c>
      <c r="BC206" s="113" t="s">
        <v>271</v>
      </c>
      <c r="BD206" s="113" t="s">
        <v>271</v>
      </c>
      <c r="BE206" s="113" t="s">
        <v>271</v>
      </c>
      <c r="BF206" s="113" t="s">
        <v>271</v>
      </c>
      <c r="BG206" s="113" t="s">
        <v>271</v>
      </c>
      <c r="BH206" s="113" t="s">
        <v>271</v>
      </c>
      <c r="BI206" s="113" t="s">
        <v>271</v>
      </c>
      <c r="BJ206" s="113" t="s">
        <v>271</v>
      </c>
      <c r="BK206" s="113" t="s">
        <v>271</v>
      </c>
      <c r="BL206" s="113" t="s">
        <v>271</v>
      </c>
      <c r="BM206" s="113" t="s">
        <v>271</v>
      </c>
      <c r="BN206" s="113" t="s">
        <v>271</v>
      </c>
      <c r="BO206" s="113" t="s">
        <v>271</v>
      </c>
      <c r="BP206" s="113" t="s">
        <v>271</v>
      </c>
      <c r="BQ206" s="113">
        <v>174</v>
      </c>
      <c r="BR206" s="113" t="s">
        <v>271</v>
      </c>
      <c r="BS206" s="113">
        <v>204</v>
      </c>
      <c r="BT206" s="113">
        <v>216</v>
      </c>
      <c r="BU206" s="113" t="s">
        <v>271</v>
      </c>
      <c r="BV206" s="113">
        <v>218</v>
      </c>
      <c r="BW206" s="113">
        <v>254</v>
      </c>
      <c r="BX206" s="113">
        <v>206</v>
      </c>
      <c r="BY206" s="113">
        <v>242</v>
      </c>
      <c r="BZ206" s="113">
        <v>193</v>
      </c>
      <c r="CA206" s="113">
        <v>187</v>
      </c>
      <c r="CB206" s="113">
        <v>157</v>
      </c>
      <c r="CC206" s="113">
        <v>166</v>
      </c>
      <c r="CD206" s="113">
        <v>176</v>
      </c>
      <c r="CE206" s="113">
        <v>211</v>
      </c>
      <c r="CF206" s="113">
        <v>177</v>
      </c>
      <c r="CG206" s="113">
        <v>171</v>
      </c>
      <c r="CH206" s="113">
        <v>151</v>
      </c>
      <c r="CI206" s="113">
        <v>208</v>
      </c>
      <c r="CJ206" s="113">
        <v>172</v>
      </c>
      <c r="CK206" s="113">
        <v>142</v>
      </c>
      <c r="CL206" s="113">
        <v>143</v>
      </c>
      <c r="CM206" s="113">
        <v>136</v>
      </c>
      <c r="CN206" s="113">
        <v>141</v>
      </c>
      <c r="CO206" s="113">
        <v>117</v>
      </c>
      <c r="CP206" s="113">
        <v>133</v>
      </c>
      <c r="CQ206" s="113">
        <v>149</v>
      </c>
      <c r="CR206" s="113">
        <v>147</v>
      </c>
      <c r="CS206" s="113">
        <v>153</v>
      </c>
      <c r="CT206" s="113">
        <v>168</v>
      </c>
      <c r="CU206" s="113">
        <v>254</v>
      </c>
      <c r="CV206" s="113">
        <v>242</v>
      </c>
      <c r="CW206" s="113">
        <v>451</v>
      </c>
      <c r="CX206" s="113">
        <v>436</v>
      </c>
      <c r="CY206" s="113">
        <v>506</v>
      </c>
      <c r="CZ206" s="113">
        <v>381</v>
      </c>
      <c r="DA206" s="113">
        <v>375</v>
      </c>
      <c r="DB206" s="113">
        <v>312</v>
      </c>
      <c r="DC206" s="113">
        <v>317</v>
      </c>
      <c r="DD206" s="113">
        <v>304</v>
      </c>
      <c r="DE206" s="113">
        <v>333</v>
      </c>
      <c r="DF206" s="113">
        <v>297</v>
      </c>
      <c r="DG206" s="113">
        <v>321</v>
      </c>
      <c r="DH206" s="113">
        <v>322</v>
      </c>
      <c r="DI206" s="113">
        <v>389</v>
      </c>
      <c r="DJ206" s="113">
        <v>265</v>
      </c>
      <c r="DK206" s="113">
        <v>292</v>
      </c>
      <c r="DL206" s="113">
        <v>267</v>
      </c>
      <c r="DM206" s="113">
        <v>336</v>
      </c>
      <c r="DN206" s="113">
        <v>294</v>
      </c>
      <c r="DO206" s="113">
        <v>316</v>
      </c>
      <c r="DP206" s="113">
        <v>255</v>
      </c>
      <c r="DQ206" s="113">
        <v>301</v>
      </c>
      <c r="DR206" s="113">
        <v>269</v>
      </c>
      <c r="DS206" s="113">
        <v>288</v>
      </c>
      <c r="DT206" s="113">
        <v>268</v>
      </c>
      <c r="DU206" s="113">
        <v>335</v>
      </c>
      <c r="DV206" s="113">
        <v>250</v>
      </c>
      <c r="DW206" s="113">
        <v>384</v>
      </c>
      <c r="DX206" s="113">
        <v>361</v>
      </c>
      <c r="DY206" s="113">
        <v>426</v>
      </c>
      <c r="DZ206" s="113">
        <v>284</v>
      </c>
      <c r="EA206" s="113">
        <v>340</v>
      </c>
      <c r="EB206" s="113">
        <v>302</v>
      </c>
      <c r="EC206" s="113">
        <v>345</v>
      </c>
      <c r="ED206" s="113">
        <v>285</v>
      </c>
      <c r="EE206" s="113">
        <v>337</v>
      </c>
      <c r="EF206" s="113">
        <v>311</v>
      </c>
      <c r="EG206" s="113">
        <v>377</v>
      </c>
      <c r="EH206" s="113">
        <v>319</v>
      </c>
      <c r="EI206" s="113">
        <v>354</v>
      </c>
      <c r="EJ206" s="113">
        <v>336</v>
      </c>
      <c r="EK206" s="113">
        <v>411</v>
      </c>
      <c r="EL206" s="113">
        <v>303</v>
      </c>
      <c r="EM206" s="113">
        <v>384</v>
      </c>
      <c r="EN206" s="113">
        <v>446</v>
      </c>
    </row>
    <row r="207" spans="1:144">
      <c r="A207" s="103" t="s">
        <v>2126</v>
      </c>
      <c r="B207" s="122">
        <v>34243</v>
      </c>
      <c r="C207" s="122">
        <v>34604</v>
      </c>
      <c r="D207" s="122">
        <v>34967</v>
      </c>
      <c r="E207" s="122">
        <v>35335</v>
      </c>
      <c r="F207" s="122">
        <v>35702</v>
      </c>
      <c r="G207" s="122">
        <v>36063</v>
      </c>
      <c r="H207" s="122">
        <v>36431</v>
      </c>
      <c r="I207" s="122">
        <v>36797</v>
      </c>
      <c r="J207" s="122">
        <v>37152</v>
      </c>
      <c r="K207" s="122">
        <v>37505</v>
      </c>
      <c r="L207" s="122">
        <v>37869</v>
      </c>
      <c r="M207" s="122">
        <v>38231</v>
      </c>
      <c r="N207" s="122">
        <v>38590</v>
      </c>
      <c r="O207" s="122">
        <v>38954</v>
      </c>
      <c r="P207" s="122">
        <v>39297</v>
      </c>
      <c r="Q207" s="122">
        <v>39660</v>
      </c>
      <c r="R207" s="122">
        <v>40024</v>
      </c>
      <c r="S207" s="122">
        <v>40389</v>
      </c>
      <c r="T207" s="122">
        <v>40752</v>
      </c>
      <c r="U207" s="122">
        <v>41116</v>
      </c>
      <c r="V207" s="122">
        <v>41485</v>
      </c>
      <c r="W207" s="122">
        <v>41851</v>
      </c>
      <c r="X207" s="122">
        <v>42216</v>
      </c>
      <c r="Y207" s="122">
        <v>42579</v>
      </c>
      <c r="Z207" s="122">
        <v>42949</v>
      </c>
      <c r="AA207" s="122">
        <v>43315</v>
      </c>
      <c r="AB207" s="122">
        <v>43678</v>
      </c>
      <c r="AC207" s="122">
        <v>43678</v>
      </c>
      <c r="AD207" s="122">
        <v>43678</v>
      </c>
      <c r="AE207" s="122">
        <v>43950</v>
      </c>
      <c r="AG207" s="103" t="s">
        <v>2126</v>
      </c>
      <c r="AH207" s="119" t="s">
        <v>271</v>
      </c>
      <c r="AI207" s="119" t="s">
        <v>271</v>
      </c>
      <c r="AJ207" s="119" t="s">
        <v>271</v>
      </c>
      <c r="AK207" s="122">
        <v>34604</v>
      </c>
      <c r="AL207" s="119" t="s">
        <v>271</v>
      </c>
      <c r="AM207" s="122">
        <v>34744</v>
      </c>
      <c r="AN207" s="122">
        <v>34831</v>
      </c>
      <c r="AO207" s="122">
        <v>34967</v>
      </c>
      <c r="AP207" s="122">
        <v>35017</v>
      </c>
      <c r="AQ207" s="122">
        <v>35108</v>
      </c>
      <c r="AR207" s="122">
        <v>35200</v>
      </c>
      <c r="AS207" s="122">
        <v>35335</v>
      </c>
      <c r="AT207" s="122">
        <v>35383</v>
      </c>
      <c r="AU207" s="122">
        <v>35475</v>
      </c>
      <c r="AV207" s="122">
        <v>35565</v>
      </c>
      <c r="AW207" s="122">
        <v>35702</v>
      </c>
      <c r="AX207" s="122">
        <v>35732</v>
      </c>
      <c r="AY207" s="122">
        <v>35949</v>
      </c>
      <c r="AZ207" s="122">
        <v>35930</v>
      </c>
      <c r="BA207" s="122">
        <v>36063</v>
      </c>
      <c r="BB207" s="122">
        <v>36111</v>
      </c>
      <c r="BC207" s="122">
        <v>36203</v>
      </c>
      <c r="BD207" s="122">
        <v>36294</v>
      </c>
      <c r="BE207" s="122">
        <v>36431</v>
      </c>
      <c r="BF207" s="122">
        <v>36469</v>
      </c>
      <c r="BG207" s="122">
        <v>36567</v>
      </c>
      <c r="BH207" s="122">
        <v>36658</v>
      </c>
      <c r="BI207" s="122">
        <v>36797</v>
      </c>
      <c r="BJ207" s="122">
        <v>36844</v>
      </c>
      <c r="BK207" s="122">
        <v>36936</v>
      </c>
      <c r="BL207" s="122">
        <v>37026</v>
      </c>
      <c r="BM207" s="122">
        <v>37152</v>
      </c>
      <c r="BN207" s="122">
        <v>37340</v>
      </c>
      <c r="BO207" s="122">
        <v>37340</v>
      </c>
      <c r="BP207" s="122">
        <v>37376</v>
      </c>
      <c r="BQ207" s="122">
        <v>37505</v>
      </c>
      <c r="BR207" s="122">
        <v>37574</v>
      </c>
      <c r="BS207" s="122">
        <v>37652</v>
      </c>
      <c r="BT207" s="122">
        <v>37753</v>
      </c>
      <c r="BU207" s="122">
        <v>37869</v>
      </c>
      <c r="BV207" s="122">
        <v>37938</v>
      </c>
      <c r="BW207" s="122">
        <v>38023</v>
      </c>
      <c r="BX207" s="122">
        <v>38110</v>
      </c>
      <c r="BY207" s="122">
        <v>38231</v>
      </c>
      <c r="BZ207" s="122">
        <v>38300</v>
      </c>
      <c r="CA207" s="122">
        <v>38379</v>
      </c>
      <c r="CB207" s="122">
        <v>38470</v>
      </c>
      <c r="CC207" s="122">
        <v>38590</v>
      </c>
      <c r="CD207" s="122">
        <v>38652</v>
      </c>
      <c r="CE207" s="122">
        <v>38743</v>
      </c>
      <c r="CF207" s="122">
        <v>38834</v>
      </c>
      <c r="CG207" s="122">
        <v>38954</v>
      </c>
      <c r="CH207" s="122">
        <v>39016</v>
      </c>
      <c r="CI207" s="122">
        <v>39107</v>
      </c>
      <c r="CJ207" s="122">
        <v>39198</v>
      </c>
      <c r="CK207" s="122">
        <v>39297</v>
      </c>
      <c r="CL207" s="122">
        <v>39380</v>
      </c>
      <c r="CM207" s="122">
        <v>39471</v>
      </c>
      <c r="CN207" s="122">
        <v>39562</v>
      </c>
      <c r="CO207" s="122">
        <v>39660</v>
      </c>
      <c r="CP207" s="122">
        <v>39744</v>
      </c>
      <c r="CQ207" s="122">
        <v>39835</v>
      </c>
      <c r="CR207" s="122">
        <v>39926</v>
      </c>
      <c r="CS207" s="122">
        <v>40024</v>
      </c>
      <c r="CT207" s="122">
        <v>40109</v>
      </c>
      <c r="CU207" s="122">
        <v>40206</v>
      </c>
      <c r="CV207" s="122">
        <v>40290</v>
      </c>
      <c r="CW207" s="122">
        <v>40389</v>
      </c>
      <c r="CX207" s="122">
        <v>40479</v>
      </c>
      <c r="CY207" s="122">
        <v>40570</v>
      </c>
      <c r="CZ207" s="122">
        <v>40661</v>
      </c>
      <c r="DA207" s="122">
        <v>40752</v>
      </c>
      <c r="DB207" s="122">
        <v>40836</v>
      </c>
      <c r="DC207" s="122">
        <v>40927</v>
      </c>
      <c r="DD207" s="122">
        <v>41089</v>
      </c>
      <c r="DE207" s="122">
        <v>41116</v>
      </c>
      <c r="DF207" s="122">
        <v>41200</v>
      </c>
      <c r="DG207" s="122">
        <v>41298</v>
      </c>
      <c r="DH207" s="122">
        <v>41382</v>
      </c>
      <c r="DI207" s="122">
        <v>41485</v>
      </c>
      <c r="DJ207" s="122">
        <v>41571</v>
      </c>
      <c r="DK207" s="122">
        <v>41662</v>
      </c>
      <c r="DL207" s="122">
        <v>41753</v>
      </c>
      <c r="DM207" s="122">
        <v>41851</v>
      </c>
      <c r="DN207" s="122">
        <v>41935</v>
      </c>
      <c r="DO207" s="122">
        <v>42030</v>
      </c>
      <c r="DP207" s="122">
        <v>42117</v>
      </c>
      <c r="DQ207" s="122">
        <v>42216</v>
      </c>
      <c r="DR207" s="122">
        <v>42299</v>
      </c>
      <c r="DS207" s="122">
        <v>42397</v>
      </c>
      <c r="DT207" s="122">
        <v>42481</v>
      </c>
      <c r="DU207" s="122">
        <v>42579</v>
      </c>
      <c r="DV207" s="122">
        <v>42663</v>
      </c>
      <c r="DW207" s="122">
        <v>42761</v>
      </c>
      <c r="DX207" s="122">
        <v>42852</v>
      </c>
      <c r="DY207" s="122">
        <v>42949</v>
      </c>
      <c r="DZ207" s="122">
        <v>43034</v>
      </c>
      <c r="EA207" s="122">
        <v>43131</v>
      </c>
      <c r="EB207" s="122">
        <v>43216</v>
      </c>
      <c r="EC207" s="122">
        <v>43315</v>
      </c>
      <c r="ED207" s="122">
        <v>43397</v>
      </c>
      <c r="EE207" s="122">
        <v>43495</v>
      </c>
      <c r="EF207" s="122">
        <v>43579</v>
      </c>
      <c r="EG207" s="122">
        <v>43678</v>
      </c>
      <c r="EH207" s="122">
        <v>43761</v>
      </c>
      <c r="EI207" s="122">
        <v>43859</v>
      </c>
      <c r="EJ207" s="122">
        <v>43950</v>
      </c>
      <c r="EK207" s="122">
        <v>43678</v>
      </c>
      <c r="EL207" s="122">
        <v>43761</v>
      </c>
      <c r="EM207" s="122">
        <v>43859</v>
      </c>
      <c r="EN207" s="122">
        <v>43950</v>
      </c>
    </row>
    <row r="208" spans="1:144">
      <c r="A208" s="103" t="s">
        <v>2127</v>
      </c>
      <c r="B208" s="119" t="s">
        <v>2129</v>
      </c>
      <c r="C208" s="119" t="s">
        <v>2128</v>
      </c>
      <c r="D208" s="119" t="s">
        <v>2129</v>
      </c>
      <c r="E208" s="119" t="s">
        <v>2129</v>
      </c>
      <c r="F208" s="119" t="s">
        <v>2129</v>
      </c>
      <c r="G208" s="119" t="s">
        <v>2129</v>
      </c>
      <c r="H208" s="119" t="s">
        <v>2129</v>
      </c>
      <c r="I208" s="119" t="s">
        <v>2128</v>
      </c>
      <c r="J208" s="119" t="s">
        <v>2128</v>
      </c>
      <c r="K208" s="119" t="s">
        <v>2129</v>
      </c>
      <c r="L208" s="119" t="s">
        <v>2128</v>
      </c>
      <c r="M208" s="119" t="s">
        <v>2129</v>
      </c>
      <c r="N208" s="119" t="s">
        <v>2128</v>
      </c>
      <c r="O208" s="119" t="s">
        <v>2128</v>
      </c>
      <c r="P208" s="119" t="s">
        <v>2129</v>
      </c>
      <c r="Q208" s="119" t="s">
        <v>2129</v>
      </c>
      <c r="R208" s="119" t="s">
        <v>2129</v>
      </c>
      <c r="S208" s="119" t="s">
        <v>2129</v>
      </c>
      <c r="T208" s="119" t="s">
        <v>2129</v>
      </c>
      <c r="U208" s="119" t="s">
        <v>2129</v>
      </c>
      <c r="V208" s="119" t="s">
        <v>2129</v>
      </c>
      <c r="W208" s="119" t="s">
        <v>2129</v>
      </c>
      <c r="X208" s="119" t="s">
        <v>2129</v>
      </c>
      <c r="Y208" s="119" t="s">
        <v>2129</v>
      </c>
      <c r="Z208" s="119" t="s">
        <v>2128</v>
      </c>
      <c r="AA208" s="119" t="s">
        <v>2128</v>
      </c>
      <c r="AB208" s="119" t="s">
        <v>2128</v>
      </c>
      <c r="AC208" s="119" t="s">
        <v>2129</v>
      </c>
      <c r="AD208" s="119" t="s">
        <v>2131</v>
      </c>
      <c r="AE208" s="119" t="s">
        <v>2131</v>
      </c>
      <c r="AG208" s="103" t="s">
        <v>2127</v>
      </c>
      <c r="AH208" s="119" t="s">
        <v>2330</v>
      </c>
      <c r="AI208" s="119" t="s">
        <v>2330</v>
      </c>
      <c r="AJ208" s="119" t="s">
        <v>2330</v>
      </c>
      <c r="AK208" s="119" t="s">
        <v>2131</v>
      </c>
      <c r="AL208" s="119" t="s">
        <v>2330</v>
      </c>
      <c r="AM208" s="119" t="s">
        <v>2129</v>
      </c>
      <c r="AN208" s="119" t="s">
        <v>2129</v>
      </c>
      <c r="AO208" s="119" t="s">
        <v>2129</v>
      </c>
      <c r="AP208" s="119" t="s">
        <v>2129</v>
      </c>
      <c r="AQ208" s="119" t="s">
        <v>2129</v>
      </c>
      <c r="AR208" s="119" t="s">
        <v>2129</v>
      </c>
      <c r="AS208" s="119" t="s">
        <v>2129</v>
      </c>
      <c r="AT208" s="119" t="s">
        <v>2129</v>
      </c>
      <c r="AU208" s="119" t="s">
        <v>2129</v>
      </c>
      <c r="AV208" s="119" t="s">
        <v>2129</v>
      </c>
      <c r="AW208" s="119" t="s">
        <v>2129</v>
      </c>
      <c r="AX208" s="119" t="s">
        <v>2129</v>
      </c>
      <c r="AY208" s="119" t="s">
        <v>2132</v>
      </c>
      <c r="AZ208" s="119" t="s">
        <v>2129</v>
      </c>
      <c r="BA208" s="119" t="s">
        <v>2129</v>
      </c>
      <c r="BB208" s="119" t="s">
        <v>2129</v>
      </c>
      <c r="BC208" s="119" t="s">
        <v>2129</v>
      </c>
      <c r="BD208" s="119" t="s">
        <v>2129</v>
      </c>
      <c r="BE208" s="119" t="s">
        <v>2128</v>
      </c>
      <c r="BF208" s="119" t="s">
        <v>2129</v>
      </c>
      <c r="BG208" s="119" t="s">
        <v>2129</v>
      </c>
      <c r="BH208" s="119" t="s">
        <v>2129</v>
      </c>
      <c r="BI208" s="119" t="s">
        <v>2128</v>
      </c>
      <c r="BJ208" s="119" t="s">
        <v>2129</v>
      </c>
      <c r="BK208" s="119" t="s">
        <v>2129</v>
      </c>
      <c r="BL208" s="119" t="s">
        <v>2129</v>
      </c>
      <c r="BM208" s="119" t="s">
        <v>2129</v>
      </c>
      <c r="BN208" s="119" t="s">
        <v>2132</v>
      </c>
      <c r="BO208" s="119" t="s">
        <v>2132</v>
      </c>
      <c r="BP208" s="119" t="s">
        <v>2129</v>
      </c>
      <c r="BQ208" s="119" t="s">
        <v>2128</v>
      </c>
      <c r="BR208" s="119" t="s">
        <v>2129</v>
      </c>
      <c r="BS208" s="119" t="s">
        <v>2129</v>
      </c>
      <c r="BT208" s="119" t="s">
        <v>2129</v>
      </c>
      <c r="BU208" s="119" t="s">
        <v>2129</v>
      </c>
      <c r="BV208" s="119" t="s">
        <v>2129</v>
      </c>
      <c r="BW208" s="119" t="s">
        <v>2129</v>
      </c>
      <c r="BX208" s="119" t="s">
        <v>2129</v>
      </c>
      <c r="BY208" s="119" t="s">
        <v>2128</v>
      </c>
      <c r="BZ208" s="119" t="s">
        <v>2129</v>
      </c>
      <c r="CA208" s="119" t="s">
        <v>2129</v>
      </c>
      <c r="CB208" s="119" t="s">
        <v>2129</v>
      </c>
      <c r="CC208" s="119" t="s">
        <v>2128</v>
      </c>
      <c r="CD208" s="119" t="s">
        <v>2129</v>
      </c>
      <c r="CE208" s="119" t="s">
        <v>2129</v>
      </c>
      <c r="CF208" s="119" t="s">
        <v>2129</v>
      </c>
      <c r="CG208" s="119" t="s">
        <v>2129</v>
      </c>
      <c r="CH208" s="119" t="s">
        <v>2129</v>
      </c>
      <c r="CI208" s="119" t="s">
        <v>2129</v>
      </c>
      <c r="CJ208" s="119" t="s">
        <v>2129</v>
      </c>
      <c r="CK208" s="119" t="s">
        <v>2129</v>
      </c>
      <c r="CL208" s="119" t="s">
        <v>2129</v>
      </c>
      <c r="CM208" s="119" t="s">
        <v>2129</v>
      </c>
      <c r="CN208" s="119" t="s">
        <v>2129</v>
      </c>
      <c r="CO208" s="119" t="s">
        <v>2129</v>
      </c>
      <c r="CP208" s="119" t="s">
        <v>2129</v>
      </c>
      <c r="CQ208" s="119" t="s">
        <v>2129</v>
      </c>
      <c r="CR208" s="119" t="s">
        <v>2129</v>
      </c>
      <c r="CS208" s="119" t="s">
        <v>2129</v>
      </c>
      <c r="CT208" s="119" t="s">
        <v>2129</v>
      </c>
      <c r="CU208" s="119" t="s">
        <v>2129</v>
      </c>
      <c r="CV208" s="119" t="s">
        <v>2129</v>
      </c>
      <c r="CW208" s="119" t="s">
        <v>2129</v>
      </c>
      <c r="CX208" s="119" t="s">
        <v>2129</v>
      </c>
      <c r="CY208" s="119" t="s">
        <v>2129</v>
      </c>
      <c r="CZ208" s="119" t="s">
        <v>2129</v>
      </c>
      <c r="DA208" s="119" t="s">
        <v>2129</v>
      </c>
      <c r="DB208" s="119" t="s">
        <v>2129</v>
      </c>
      <c r="DC208" s="119" t="s">
        <v>2129</v>
      </c>
      <c r="DD208" s="119" t="s">
        <v>2132</v>
      </c>
      <c r="DE208" s="119" t="s">
        <v>2129</v>
      </c>
      <c r="DF208" s="119" t="s">
        <v>2129</v>
      </c>
      <c r="DG208" s="119" t="s">
        <v>2129</v>
      </c>
      <c r="DH208" s="119" t="s">
        <v>2129</v>
      </c>
      <c r="DI208" s="119" t="s">
        <v>2129</v>
      </c>
      <c r="DJ208" s="119" t="s">
        <v>2129</v>
      </c>
      <c r="DK208" s="119" t="s">
        <v>2129</v>
      </c>
      <c r="DL208" s="119" t="s">
        <v>2129</v>
      </c>
      <c r="DM208" s="119" t="s">
        <v>2129</v>
      </c>
      <c r="DN208" s="119" t="s">
        <v>2129</v>
      </c>
      <c r="DO208" s="119" t="s">
        <v>2129</v>
      </c>
      <c r="DP208" s="119" t="s">
        <v>2129</v>
      </c>
      <c r="DQ208" s="119" t="s">
        <v>2129</v>
      </c>
      <c r="DR208" s="119" t="s">
        <v>2129</v>
      </c>
      <c r="DS208" s="119" t="s">
        <v>2129</v>
      </c>
      <c r="DT208" s="119" t="s">
        <v>2129</v>
      </c>
      <c r="DU208" s="119" t="s">
        <v>2128</v>
      </c>
      <c r="DV208" s="119" t="s">
        <v>2129</v>
      </c>
      <c r="DW208" s="119" t="s">
        <v>2129</v>
      </c>
      <c r="DX208" s="119" t="s">
        <v>2129</v>
      </c>
      <c r="DY208" s="119" t="s">
        <v>2128</v>
      </c>
      <c r="DZ208" s="119" t="s">
        <v>2129</v>
      </c>
      <c r="EA208" s="119" t="s">
        <v>2129</v>
      </c>
      <c r="EB208" s="119" t="s">
        <v>2129</v>
      </c>
      <c r="EC208" s="119" t="s">
        <v>2128</v>
      </c>
      <c r="ED208" s="119" t="s">
        <v>2129</v>
      </c>
      <c r="EE208" s="119" t="s">
        <v>2129</v>
      </c>
      <c r="EF208" s="119" t="s">
        <v>2129</v>
      </c>
      <c r="EG208" s="119" t="s">
        <v>2129</v>
      </c>
      <c r="EH208" s="119" t="s">
        <v>2129</v>
      </c>
      <c r="EI208" s="119" t="s">
        <v>2129</v>
      </c>
      <c r="EJ208" s="119" t="s">
        <v>2129</v>
      </c>
      <c r="EK208" s="119" t="s">
        <v>2131</v>
      </c>
      <c r="EL208" s="119" t="s">
        <v>2131</v>
      </c>
      <c r="EM208" s="119" t="s">
        <v>2131</v>
      </c>
      <c r="EN208" s="119" t="s">
        <v>2131</v>
      </c>
    </row>
    <row r="209" spans="1:255">
      <c r="A209" s="103" t="s">
        <v>2134</v>
      </c>
      <c r="B209" s="119" t="s">
        <v>2331</v>
      </c>
      <c r="C209" s="119" t="s">
        <v>2331</v>
      </c>
      <c r="D209" s="119" t="s">
        <v>2331</v>
      </c>
      <c r="E209" s="119" t="s">
        <v>2331</v>
      </c>
      <c r="F209" s="119" t="s">
        <v>2331</v>
      </c>
      <c r="G209" s="119" t="s">
        <v>2331</v>
      </c>
      <c r="H209" s="119" t="s">
        <v>2331</v>
      </c>
      <c r="I209" s="119" t="s">
        <v>2331</v>
      </c>
      <c r="J209" s="119" t="s">
        <v>2331</v>
      </c>
      <c r="K209" s="119" t="s">
        <v>2331</v>
      </c>
      <c r="L209" s="119" t="s">
        <v>2331</v>
      </c>
      <c r="M209" s="119" t="s">
        <v>2331</v>
      </c>
      <c r="N209" s="119" t="s">
        <v>2331</v>
      </c>
      <c r="O209" s="119" t="s">
        <v>2331</v>
      </c>
      <c r="P209" s="119" t="s">
        <v>2331</v>
      </c>
      <c r="Q209" s="119" t="s">
        <v>2331</v>
      </c>
      <c r="R209" s="119" t="s">
        <v>2331</v>
      </c>
      <c r="S209" s="119" t="s">
        <v>2331</v>
      </c>
      <c r="T209" s="119" t="s">
        <v>2331</v>
      </c>
      <c r="U209" s="119" t="s">
        <v>2331</v>
      </c>
      <c r="V209" s="119" t="s">
        <v>2331</v>
      </c>
      <c r="W209" s="119" t="s">
        <v>2331</v>
      </c>
      <c r="X209" s="119" t="s">
        <v>2331</v>
      </c>
      <c r="Y209" s="119" t="s">
        <v>2331</v>
      </c>
      <c r="Z209" s="119" t="s">
        <v>2331</v>
      </c>
      <c r="AA209" s="119" t="s">
        <v>2331</v>
      </c>
      <c r="AB209" s="119" t="s">
        <v>2331</v>
      </c>
      <c r="AC209" s="119" t="s">
        <v>2135</v>
      </c>
      <c r="AD209" s="119" t="s">
        <v>2135</v>
      </c>
      <c r="AE209" s="119" t="s">
        <v>2135</v>
      </c>
      <c r="AG209" s="103" t="s">
        <v>2134</v>
      </c>
      <c r="AH209" s="119" t="s">
        <v>2332</v>
      </c>
      <c r="AI209" s="119" t="s">
        <v>271</v>
      </c>
      <c r="AJ209" s="119" t="s">
        <v>271</v>
      </c>
      <c r="AK209" s="119" t="s">
        <v>2137</v>
      </c>
      <c r="AL209" s="119" t="s">
        <v>2332</v>
      </c>
      <c r="AM209" s="119" t="s">
        <v>2331</v>
      </c>
      <c r="AN209" s="119" t="s">
        <v>2331</v>
      </c>
      <c r="AO209" s="119" t="s">
        <v>2137</v>
      </c>
      <c r="AP209" s="119" t="s">
        <v>2331</v>
      </c>
      <c r="AQ209" s="119" t="s">
        <v>2331</v>
      </c>
      <c r="AR209" s="119" t="s">
        <v>2331</v>
      </c>
      <c r="AS209" s="119" t="s">
        <v>2137</v>
      </c>
      <c r="AT209" s="119" t="s">
        <v>2331</v>
      </c>
      <c r="AU209" s="119" t="s">
        <v>2331</v>
      </c>
      <c r="AV209" s="119" t="s">
        <v>2331</v>
      </c>
      <c r="AW209" s="119" t="s">
        <v>2137</v>
      </c>
      <c r="AX209" s="119" t="s">
        <v>2331</v>
      </c>
      <c r="AY209" s="119" t="s">
        <v>2331</v>
      </c>
      <c r="AZ209" s="119" t="s">
        <v>2331</v>
      </c>
      <c r="BA209" s="119" t="s">
        <v>2137</v>
      </c>
      <c r="BB209" s="119" t="s">
        <v>2331</v>
      </c>
      <c r="BC209" s="119" t="s">
        <v>2331</v>
      </c>
      <c r="BD209" s="119" t="s">
        <v>2331</v>
      </c>
      <c r="BE209" s="119" t="s">
        <v>2137</v>
      </c>
      <c r="BF209" s="119" t="s">
        <v>2331</v>
      </c>
      <c r="BG209" s="119" t="s">
        <v>2331</v>
      </c>
      <c r="BH209" s="119" t="s">
        <v>2331</v>
      </c>
      <c r="BI209" s="119" t="s">
        <v>2137</v>
      </c>
      <c r="BJ209" s="119" t="s">
        <v>2331</v>
      </c>
      <c r="BK209" s="119" t="s">
        <v>2331</v>
      </c>
      <c r="BL209" s="119" t="s">
        <v>2331</v>
      </c>
      <c r="BM209" s="119" t="s">
        <v>2137</v>
      </c>
      <c r="BN209" s="119" t="s">
        <v>2331</v>
      </c>
      <c r="BO209" s="119" t="s">
        <v>2331</v>
      </c>
      <c r="BP209" s="119" t="s">
        <v>2331</v>
      </c>
      <c r="BQ209" s="119" t="s">
        <v>2137</v>
      </c>
      <c r="BR209" s="119" t="s">
        <v>2331</v>
      </c>
      <c r="BS209" s="119" t="s">
        <v>2331</v>
      </c>
      <c r="BT209" s="119" t="s">
        <v>2331</v>
      </c>
      <c r="BU209" s="119" t="s">
        <v>2137</v>
      </c>
      <c r="BV209" s="119" t="s">
        <v>2331</v>
      </c>
      <c r="BW209" s="119" t="s">
        <v>2331</v>
      </c>
      <c r="BX209" s="119" t="s">
        <v>2331</v>
      </c>
      <c r="BY209" s="119" t="s">
        <v>2137</v>
      </c>
      <c r="BZ209" s="119" t="s">
        <v>2331</v>
      </c>
      <c r="CA209" s="119" t="s">
        <v>2331</v>
      </c>
      <c r="CB209" s="119" t="s">
        <v>2331</v>
      </c>
      <c r="CC209" s="119" t="s">
        <v>2137</v>
      </c>
      <c r="CD209" s="119" t="s">
        <v>2331</v>
      </c>
      <c r="CE209" s="119" t="s">
        <v>2331</v>
      </c>
      <c r="CF209" s="119" t="s">
        <v>2331</v>
      </c>
      <c r="CG209" s="119" t="s">
        <v>2137</v>
      </c>
      <c r="CH209" s="119" t="s">
        <v>2331</v>
      </c>
      <c r="CI209" s="119" t="s">
        <v>2331</v>
      </c>
      <c r="CJ209" s="119" t="s">
        <v>2331</v>
      </c>
      <c r="CK209" s="119" t="s">
        <v>2137</v>
      </c>
      <c r="CL209" s="119" t="s">
        <v>2331</v>
      </c>
      <c r="CM209" s="119" t="s">
        <v>2331</v>
      </c>
      <c r="CN209" s="119" t="s">
        <v>2331</v>
      </c>
      <c r="CO209" s="119" t="s">
        <v>2137</v>
      </c>
      <c r="CP209" s="119" t="s">
        <v>2331</v>
      </c>
      <c r="CQ209" s="119" t="s">
        <v>2331</v>
      </c>
      <c r="CR209" s="119" t="s">
        <v>2331</v>
      </c>
      <c r="CS209" s="119" t="s">
        <v>2137</v>
      </c>
      <c r="CT209" s="119" t="s">
        <v>2331</v>
      </c>
      <c r="CU209" s="119" t="s">
        <v>2331</v>
      </c>
      <c r="CV209" s="119" t="s">
        <v>2331</v>
      </c>
      <c r="CW209" s="119" t="s">
        <v>2137</v>
      </c>
      <c r="CX209" s="119" t="s">
        <v>2331</v>
      </c>
      <c r="CY209" s="119" t="s">
        <v>2331</v>
      </c>
      <c r="CZ209" s="119" t="s">
        <v>2331</v>
      </c>
      <c r="DA209" s="119" t="s">
        <v>2137</v>
      </c>
      <c r="DB209" s="119" t="s">
        <v>2331</v>
      </c>
      <c r="DC209" s="119" t="s">
        <v>2331</v>
      </c>
      <c r="DD209" s="119" t="s">
        <v>2331</v>
      </c>
      <c r="DE209" s="119" t="s">
        <v>2137</v>
      </c>
      <c r="DF209" s="119" t="s">
        <v>2331</v>
      </c>
      <c r="DG209" s="119" t="s">
        <v>2331</v>
      </c>
      <c r="DH209" s="119" t="s">
        <v>2331</v>
      </c>
      <c r="DI209" s="119" t="s">
        <v>2137</v>
      </c>
      <c r="DJ209" s="119" t="s">
        <v>2331</v>
      </c>
      <c r="DK209" s="119" t="s">
        <v>2331</v>
      </c>
      <c r="DL209" s="119" t="s">
        <v>2331</v>
      </c>
      <c r="DM209" s="119" t="s">
        <v>2137</v>
      </c>
      <c r="DN209" s="119" t="s">
        <v>2331</v>
      </c>
      <c r="DO209" s="119" t="s">
        <v>2331</v>
      </c>
      <c r="DP209" s="119" t="s">
        <v>2331</v>
      </c>
      <c r="DQ209" s="119" t="s">
        <v>2137</v>
      </c>
      <c r="DR209" s="119" t="s">
        <v>2331</v>
      </c>
      <c r="DS209" s="119" t="s">
        <v>2331</v>
      </c>
      <c r="DT209" s="119" t="s">
        <v>2331</v>
      </c>
      <c r="DU209" s="119" t="s">
        <v>2137</v>
      </c>
      <c r="DV209" s="119" t="s">
        <v>2331</v>
      </c>
      <c r="DW209" s="119" t="s">
        <v>2331</v>
      </c>
      <c r="DX209" s="119" t="s">
        <v>2331</v>
      </c>
      <c r="DY209" s="119" t="s">
        <v>2137</v>
      </c>
      <c r="DZ209" s="119" t="s">
        <v>2331</v>
      </c>
      <c r="EA209" s="119" t="s">
        <v>2331</v>
      </c>
      <c r="EB209" s="119" t="s">
        <v>2331</v>
      </c>
      <c r="EC209" s="119" t="s">
        <v>2137</v>
      </c>
      <c r="ED209" s="119" t="s">
        <v>2331</v>
      </c>
      <c r="EE209" s="119" t="s">
        <v>2331</v>
      </c>
      <c r="EF209" s="119" t="s">
        <v>2331</v>
      </c>
      <c r="EG209" s="119" t="s">
        <v>2137</v>
      </c>
      <c r="EH209" s="119" t="s">
        <v>2331</v>
      </c>
      <c r="EI209" s="119" t="s">
        <v>2331</v>
      </c>
      <c r="EJ209" s="119" t="s">
        <v>2331</v>
      </c>
      <c r="EK209" s="119" t="s">
        <v>2137</v>
      </c>
      <c r="EL209" s="119" t="s">
        <v>2135</v>
      </c>
      <c r="EM209" s="119" t="s">
        <v>2135</v>
      </c>
      <c r="EN209" s="119" t="s">
        <v>2135</v>
      </c>
      <c r="EP209" s="107"/>
      <c r="EQ209" s="107"/>
      <c r="ER209" s="107"/>
      <c r="ES209" s="107"/>
      <c r="ET209" s="107"/>
      <c r="EU209" s="107"/>
      <c r="EV209" s="107"/>
      <c r="EW209" s="107"/>
      <c r="EX209" s="107"/>
      <c r="EY209" s="107"/>
      <c r="EZ209" s="107"/>
      <c r="FA209" s="107"/>
      <c r="FB209" s="107"/>
      <c r="FC209" s="107"/>
      <c r="FD209" s="107"/>
      <c r="FE209" s="107"/>
      <c r="FF209" s="107"/>
      <c r="FG209" s="107"/>
      <c r="FH209" s="107"/>
      <c r="FI209" s="107"/>
      <c r="FJ209" s="107"/>
      <c r="FK209" s="107"/>
      <c r="FL209" s="107"/>
      <c r="FM209" s="107"/>
      <c r="FN209" s="107"/>
      <c r="FO209" s="107"/>
      <c r="FP209" s="107"/>
      <c r="FQ209" s="107"/>
      <c r="FR209" s="107"/>
      <c r="FS209" s="107"/>
      <c r="FT209" s="107"/>
      <c r="FU209" s="107"/>
      <c r="FV209" s="107"/>
      <c r="FW209" s="107"/>
      <c r="FX209" s="107"/>
      <c r="FY209" s="107"/>
      <c r="FZ209" s="107"/>
      <c r="GA209" s="107"/>
      <c r="GB209" s="107"/>
      <c r="GC209" s="107"/>
      <c r="GD209" s="107"/>
      <c r="GE209" s="107"/>
      <c r="GF209" s="107"/>
      <c r="GG209" s="107"/>
      <c r="GH209" s="107"/>
      <c r="GI209" s="107"/>
      <c r="GJ209" s="107"/>
      <c r="GK209" s="107"/>
      <c r="GL209" s="107"/>
      <c r="GM209" s="107"/>
      <c r="GN209" s="107"/>
      <c r="GO209" s="107"/>
      <c r="GP209" s="107"/>
      <c r="GQ209" s="107"/>
      <c r="GR209" s="107"/>
      <c r="GS209" s="107"/>
      <c r="GT209" s="107"/>
      <c r="GU209" s="107"/>
      <c r="GV209" s="107"/>
      <c r="GW209" s="107"/>
      <c r="GX209" s="107"/>
      <c r="GY209" s="107"/>
      <c r="GZ209" s="107"/>
      <c r="HA209" s="107"/>
      <c r="HB209" s="107"/>
      <c r="HC209" s="107"/>
      <c r="HD209" s="107"/>
      <c r="HE209" s="107"/>
      <c r="HF209" s="107"/>
      <c r="HG209" s="107"/>
      <c r="HH209" s="107"/>
      <c r="HI209" s="107"/>
      <c r="HJ209" s="107"/>
      <c r="HK209" s="107"/>
      <c r="HL209" s="107"/>
      <c r="HM209" s="107"/>
      <c r="HN209" s="107"/>
      <c r="HO209" s="107"/>
      <c r="HP209" s="107"/>
      <c r="HQ209" s="107"/>
      <c r="HR209" s="107"/>
      <c r="HS209" s="107"/>
      <c r="HT209" s="107"/>
      <c r="HU209" s="107"/>
      <c r="HV209" s="107"/>
      <c r="HW209" s="107"/>
      <c r="HX209" s="107"/>
      <c r="HY209" s="107"/>
      <c r="HZ209" s="107"/>
      <c r="IA209" s="107"/>
      <c r="IB209" s="107"/>
      <c r="IC209" s="107"/>
      <c r="ID209" s="107"/>
      <c r="IE209" s="107"/>
      <c r="IF209" s="107"/>
      <c r="IG209" s="107"/>
      <c r="IH209" s="107"/>
      <c r="II209" s="107"/>
      <c r="IJ209" s="107"/>
      <c r="IK209" s="107"/>
      <c r="IL209" s="107"/>
      <c r="IM209" s="107"/>
      <c r="IN209" s="107"/>
      <c r="IO209" s="107"/>
      <c r="IP209" s="107"/>
      <c r="IQ209" s="107"/>
      <c r="IR209" s="107"/>
      <c r="IS209" s="107"/>
      <c r="IT209" s="107"/>
      <c r="IU209" s="107"/>
    </row>
    <row r="210" spans="1:255">
      <c r="A210" s="103"/>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G210" s="103"/>
      <c r="AH210" s="103"/>
      <c r="AI210" s="103"/>
      <c r="AJ210" s="103"/>
      <c r="AK210" s="103"/>
      <c r="AL210" s="103"/>
      <c r="AM210" s="103"/>
      <c r="AN210" s="103"/>
      <c r="AO210" s="103"/>
      <c r="AP210" s="103"/>
      <c r="AQ210" s="103"/>
      <c r="AR210" s="103"/>
      <c r="AS210" s="103"/>
      <c r="AT210" s="103"/>
      <c r="AU210" s="103"/>
      <c r="AV210" s="103"/>
      <c r="AW210" s="103"/>
      <c r="AX210" s="103"/>
      <c r="AY210" s="103"/>
      <c r="AZ210" s="103"/>
      <c r="BA210" s="103"/>
      <c r="BB210" s="103"/>
      <c r="BC210" s="103"/>
      <c r="BD210" s="103"/>
      <c r="BE210" s="103"/>
      <c r="BF210" s="103"/>
      <c r="BG210" s="103"/>
      <c r="BH210" s="103"/>
      <c r="BI210" s="103"/>
      <c r="BJ210" s="103"/>
      <c r="BK210" s="103"/>
      <c r="BL210" s="103"/>
      <c r="BM210" s="103"/>
      <c r="BN210" s="103"/>
      <c r="BO210" s="103"/>
      <c r="BP210" s="103"/>
      <c r="BQ210" s="103"/>
      <c r="BR210" s="103"/>
      <c r="BS210" s="103"/>
      <c r="BT210" s="103"/>
      <c r="BU210" s="103"/>
      <c r="BV210" s="103"/>
      <c r="BW210" s="103"/>
      <c r="BX210" s="103"/>
      <c r="BY210" s="103"/>
      <c r="BZ210" s="103"/>
      <c r="CA210" s="103"/>
      <c r="CB210" s="103"/>
      <c r="CC210" s="103"/>
      <c r="CD210" s="103"/>
      <c r="CE210" s="103"/>
      <c r="CF210" s="103"/>
      <c r="CG210" s="103"/>
      <c r="CH210" s="103"/>
      <c r="CI210" s="103"/>
      <c r="CJ210" s="103"/>
      <c r="CK210" s="103"/>
      <c r="CL210" s="103"/>
      <c r="CM210" s="103"/>
      <c r="CN210" s="103"/>
      <c r="CO210" s="103"/>
      <c r="CP210" s="103"/>
      <c r="CQ210" s="103"/>
      <c r="CR210" s="103"/>
      <c r="CS210" s="103"/>
      <c r="CT210" s="103"/>
      <c r="CU210" s="103"/>
      <c r="CV210" s="103"/>
      <c r="CW210" s="103"/>
      <c r="CX210" s="103"/>
      <c r="CY210" s="103"/>
      <c r="CZ210" s="103"/>
      <c r="DA210" s="103"/>
      <c r="DB210" s="103"/>
      <c r="DC210" s="103"/>
      <c r="DD210" s="103"/>
      <c r="DE210" s="103"/>
      <c r="DF210" s="103"/>
      <c r="DG210" s="103"/>
      <c r="DH210" s="103"/>
      <c r="DI210" s="103"/>
      <c r="DJ210" s="103"/>
      <c r="DK210" s="103"/>
      <c r="DL210" s="103"/>
      <c r="DM210" s="103"/>
      <c r="DN210" s="103"/>
      <c r="DO210" s="103"/>
      <c r="DP210" s="103"/>
      <c r="DQ210" s="103"/>
      <c r="DR210" s="103"/>
      <c r="DS210" s="103"/>
      <c r="DT210" s="103"/>
      <c r="DU210" s="103"/>
      <c r="DV210" s="103"/>
      <c r="DW210" s="103"/>
      <c r="DX210" s="103"/>
      <c r="DY210" s="103"/>
      <c r="DZ210" s="103"/>
      <c r="EA210" s="103"/>
      <c r="EB210" s="103"/>
      <c r="EC210" s="103"/>
      <c r="ED210" s="103"/>
      <c r="EE210" s="103"/>
      <c r="EF210" s="103"/>
      <c r="EG210" s="103"/>
      <c r="EH210" s="103"/>
      <c r="EI210" s="103"/>
      <c r="EJ210" s="103"/>
      <c r="EK210" s="103"/>
      <c r="EL210" s="103"/>
      <c r="EM210" s="103"/>
      <c r="EN210" s="103"/>
    </row>
    <row r="211" spans="1:255">
      <c r="A211" s="127"/>
      <c r="B211" s="127"/>
      <c r="C211" s="127"/>
      <c r="D211" s="127"/>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c r="AA211" s="127"/>
      <c r="AB211" s="127"/>
      <c r="AC211" s="127"/>
      <c r="AD211" s="127"/>
      <c r="AE211" s="127"/>
      <c r="AG211" s="127"/>
      <c r="AH211" s="127"/>
      <c r="AI211" s="127"/>
      <c r="AJ211" s="127"/>
      <c r="AK211" s="127"/>
      <c r="AL211" s="127"/>
      <c r="AM211" s="127"/>
      <c r="AN211" s="127"/>
      <c r="AO211" s="127"/>
      <c r="AP211" s="127"/>
      <c r="AQ211" s="127"/>
      <c r="AR211" s="127"/>
      <c r="AS211" s="127"/>
      <c r="AT211" s="127"/>
      <c r="AU211" s="127"/>
      <c r="AV211" s="127"/>
      <c r="AW211" s="127"/>
      <c r="AX211" s="127"/>
      <c r="AY211" s="127"/>
      <c r="AZ211" s="127"/>
      <c r="BA211" s="127"/>
      <c r="BB211" s="127"/>
      <c r="BC211" s="127"/>
      <c r="BD211" s="127"/>
      <c r="BE211" s="127"/>
      <c r="BF211" s="127"/>
      <c r="BG211" s="127"/>
      <c r="BH211" s="127"/>
      <c r="BI211" s="127"/>
      <c r="BJ211" s="127"/>
      <c r="BK211" s="127"/>
      <c r="BL211" s="127"/>
      <c r="BM211" s="127"/>
      <c r="BN211" s="127"/>
      <c r="BO211" s="127"/>
      <c r="BP211" s="127"/>
      <c r="BQ211" s="127"/>
      <c r="BR211" s="127"/>
      <c r="BS211" s="127"/>
      <c r="BT211" s="127"/>
      <c r="BU211" s="127"/>
      <c r="BV211" s="127"/>
      <c r="BW211" s="127"/>
      <c r="BX211" s="127"/>
      <c r="BY211" s="127"/>
      <c r="BZ211" s="127"/>
      <c r="CA211" s="127"/>
      <c r="CB211" s="127"/>
      <c r="CC211" s="127"/>
      <c r="CD211" s="127"/>
      <c r="CE211" s="127"/>
      <c r="CF211" s="127"/>
      <c r="CG211" s="127"/>
      <c r="CH211" s="127"/>
      <c r="CI211" s="127"/>
      <c r="CJ211" s="127"/>
      <c r="CK211" s="127"/>
      <c r="CL211" s="127"/>
      <c r="CM211" s="127"/>
      <c r="CN211" s="127"/>
      <c r="CO211" s="127"/>
      <c r="CP211" s="127"/>
      <c r="CQ211" s="127"/>
      <c r="CR211" s="127"/>
      <c r="CS211" s="127"/>
      <c r="CT211" s="127"/>
      <c r="CU211" s="127"/>
      <c r="CV211" s="127"/>
      <c r="CW211" s="127"/>
      <c r="CX211" s="127"/>
      <c r="CY211" s="127"/>
      <c r="CZ211" s="127"/>
      <c r="DA211" s="127"/>
      <c r="DB211" s="127"/>
      <c r="DC211" s="127"/>
      <c r="DD211" s="127"/>
      <c r="DE211" s="127"/>
      <c r="DF211" s="127"/>
      <c r="DG211" s="127"/>
      <c r="DH211" s="127"/>
      <c r="DI211" s="127"/>
      <c r="DJ211" s="127"/>
      <c r="DK211" s="127"/>
      <c r="DL211" s="127"/>
      <c r="DM211" s="127"/>
      <c r="DN211" s="127"/>
      <c r="DO211" s="127"/>
      <c r="DP211" s="127"/>
      <c r="DQ211" s="127"/>
      <c r="DR211" s="127"/>
      <c r="DS211" s="127"/>
      <c r="DT211" s="127"/>
      <c r="DU211" s="127"/>
      <c r="DV211" s="127"/>
      <c r="DW211" s="127"/>
      <c r="DX211" s="127"/>
      <c r="DY211" s="127"/>
      <c r="DZ211" s="127"/>
      <c r="EA211" s="127"/>
      <c r="EB211" s="127"/>
      <c r="EC211" s="127"/>
      <c r="ED211" s="127"/>
      <c r="EE211" s="127"/>
      <c r="EF211" s="127"/>
      <c r="EG211" s="127"/>
      <c r="EH211" s="127"/>
      <c r="EI211" s="127"/>
      <c r="EJ211" s="127"/>
      <c r="EK211" s="127"/>
      <c r="EL211" s="127"/>
      <c r="EM211" s="127"/>
      <c r="EN211" s="127"/>
    </row>
    <row r="212" spans="1:255">
      <c r="A212" s="106" t="s">
        <v>2333</v>
      </c>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c r="AA212" s="106"/>
      <c r="AB212" s="106"/>
      <c r="AC212" s="106"/>
      <c r="AD212" s="106"/>
      <c r="AE212" s="106"/>
      <c r="AF212" s="107"/>
      <c r="AG212" s="106" t="s">
        <v>2333</v>
      </c>
      <c r="AH212" s="106"/>
      <c r="AI212" s="106"/>
      <c r="AJ212" s="106"/>
      <c r="AK212" s="106"/>
      <c r="AL212" s="106"/>
      <c r="AM212" s="106"/>
      <c r="AN212" s="106"/>
      <c r="AO212" s="106"/>
      <c r="AP212" s="106"/>
      <c r="AQ212" s="106"/>
      <c r="AR212" s="106"/>
      <c r="AS212" s="106"/>
      <c r="AT212" s="106"/>
      <c r="AU212" s="106"/>
      <c r="AV212" s="106"/>
      <c r="AW212" s="106"/>
      <c r="AX212" s="106"/>
      <c r="AY212" s="106"/>
      <c r="AZ212" s="106"/>
      <c r="BA212" s="106"/>
      <c r="BB212" s="106"/>
      <c r="BC212" s="106"/>
      <c r="BD212" s="106"/>
      <c r="BE212" s="106"/>
      <c r="BF212" s="106"/>
      <c r="BG212" s="106"/>
      <c r="BH212" s="106"/>
      <c r="BI212" s="106"/>
      <c r="BJ212" s="106"/>
      <c r="BK212" s="106"/>
      <c r="BL212" s="106"/>
      <c r="BM212" s="106"/>
      <c r="BN212" s="106"/>
      <c r="BO212" s="106"/>
      <c r="BP212" s="106"/>
      <c r="BQ212" s="106"/>
      <c r="BR212" s="106"/>
      <c r="BS212" s="106"/>
      <c r="BT212" s="106"/>
      <c r="BU212" s="106"/>
      <c r="BV212" s="106"/>
      <c r="BW212" s="106"/>
      <c r="BX212" s="106"/>
      <c r="BY212" s="106"/>
      <c r="BZ212" s="106"/>
      <c r="CA212" s="106"/>
      <c r="CB212" s="106"/>
      <c r="CC212" s="106"/>
      <c r="CD212" s="106"/>
      <c r="CE212" s="106"/>
      <c r="CF212" s="106"/>
      <c r="CG212" s="106"/>
      <c r="CH212" s="106"/>
      <c r="CI212" s="106"/>
      <c r="CJ212" s="106"/>
      <c r="CK212" s="106"/>
      <c r="CL212" s="106"/>
      <c r="CM212" s="106"/>
      <c r="CN212" s="106"/>
      <c r="CO212" s="106"/>
      <c r="CP212" s="106"/>
      <c r="CQ212" s="106"/>
      <c r="CR212" s="106"/>
      <c r="CS212" s="106"/>
      <c r="CT212" s="106"/>
      <c r="CU212" s="106"/>
      <c r="CV212" s="106"/>
      <c r="CW212" s="106"/>
      <c r="CX212" s="106"/>
      <c r="CY212" s="106"/>
      <c r="CZ212" s="106"/>
      <c r="DA212" s="106"/>
      <c r="DB212" s="106"/>
      <c r="DC212" s="106"/>
      <c r="DD212" s="106"/>
      <c r="DE212" s="106"/>
      <c r="DF212" s="106"/>
      <c r="DG212" s="106"/>
      <c r="DH212" s="106"/>
      <c r="DI212" s="106"/>
      <c r="DJ212" s="106"/>
      <c r="DK212" s="106"/>
      <c r="DL212" s="106"/>
      <c r="DM212" s="106"/>
      <c r="DN212" s="106"/>
      <c r="DO212" s="106"/>
      <c r="DP212" s="106"/>
      <c r="DQ212" s="106"/>
      <c r="DR212" s="106"/>
      <c r="DS212" s="106"/>
      <c r="DT212" s="106"/>
      <c r="DU212" s="106"/>
      <c r="DV212" s="106"/>
      <c r="DW212" s="106"/>
      <c r="DX212" s="106"/>
      <c r="DY212" s="106"/>
      <c r="DZ212" s="106"/>
      <c r="EA212" s="106"/>
      <c r="EB212" s="106"/>
      <c r="EC212" s="106"/>
      <c r="ED212" s="106"/>
      <c r="EE212" s="106"/>
      <c r="EF212" s="106"/>
      <c r="EG212" s="106"/>
      <c r="EH212" s="106"/>
      <c r="EI212" s="106"/>
      <c r="EJ212" s="106"/>
      <c r="EK212" s="106"/>
      <c r="EL212" s="106"/>
      <c r="EM212" s="106"/>
      <c r="EN212" s="106"/>
      <c r="EO212" s="107"/>
    </row>
    <row r="213" spans="1:255" ht="42">
      <c r="A213" s="108" t="s">
        <v>1919</v>
      </c>
      <c r="B213" s="109" t="s">
        <v>1920</v>
      </c>
      <c r="C213" s="109" t="s">
        <v>1921</v>
      </c>
      <c r="D213" s="109" t="s">
        <v>1922</v>
      </c>
      <c r="E213" s="109" t="s">
        <v>1923</v>
      </c>
      <c r="F213" s="109" t="s">
        <v>1924</v>
      </c>
      <c r="G213" s="109" t="s">
        <v>2334</v>
      </c>
      <c r="H213" s="109" t="s">
        <v>2335</v>
      </c>
      <c r="I213" s="109" t="s">
        <v>2336</v>
      </c>
      <c r="J213" s="109" t="s">
        <v>2337</v>
      </c>
      <c r="K213" s="109" t="s">
        <v>2338</v>
      </c>
      <c r="L213" s="109" t="s">
        <v>1930</v>
      </c>
      <c r="M213" s="109" t="s">
        <v>1931</v>
      </c>
      <c r="N213" s="109" t="s">
        <v>1932</v>
      </c>
      <c r="O213" s="109" t="s">
        <v>2339</v>
      </c>
      <c r="P213" s="109" t="s">
        <v>2340</v>
      </c>
      <c r="Q213" s="109" t="s">
        <v>2341</v>
      </c>
      <c r="R213" s="109" t="s">
        <v>2342</v>
      </c>
      <c r="S213" s="109" t="s">
        <v>2343</v>
      </c>
      <c r="T213" s="109" t="s">
        <v>2344</v>
      </c>
      <c r="U213" s="109" t="s">
        <v>2345</v>
      </c>
      <c r="V213" s="109" t="s">
        <v>1940</v>
      </c>
      <c r="W213" s="109" t="s">
        <v>1941</v>
      </c>
      <c r="X213" s="109" t="s">
        <v>2346</v>
      </c>
      <c r="Y213" s="109" t="s">
        <v>2347</v>
      </c>
      <c r="Z213" s="109" t="s">
        <v>2348</v>
      </c>
      <c r="AA213" s="109" t="s">
        <v>1945</v>
      </c>
      <c r="AB213" s="109" t="s">
        <v>1946</v>
      </c>
      <c r="AC213" s="109" t="s">
        <v>1947</v>
      </c>
      <c r="AD213" s="109" t="s">
        <v>1948</v>
      </c>
      <c r="AE213" s="109" t="s">
        <v>1949</v>
      </c>
      <c r="AG213" s="108" t="s">
        <v>1919</v>
      </c>
      <c r="AH213" s="109" t="s">
        <v>1950</v>
      </c>
      <c r="AI213" s="109" t="s">
        <v>1951</v>
      </c>
      <c r="AJ213" s="109" t="s">
        <v>1952</v>
      </c>
      <c r="AK213" s="109" t="s">
        <v>1953</v>
      </c>
      <c r="AL213" s="109" t="s">
        <v>1954</v>
      </c>
      <c r="AM213" s="109" t="s">
        <v>1955</v>
      </c>
      <c r="AN213" s="109" t="s">
        <v>1956</v>
      </c>
      <c r="AO213" s="109" t="s">
        <v>1957</v>
      </c>
      <c r="AP213" s="109" t="s">
        <v>1958</v>
      </c>
      <c r="AQ213" s="109" t="s">
        <v>1959</v>
      </c>
      <c r="AR213" s="109" t="s">
        <v>1960</v>
      </c>
      <c r="AS213" s="109" t="s">
        <v>1961</v>
      </c>
      <c r="AT213" s="109" t="s">
        <v>1962</v>
      </c>
      <c r="AU213" s="109" t="s">
        <v>1963</v>
      </c>
      <c r="AV213" s="109" t="s">
        <v>1964</v>
      </c>
      <c r="AW213" s="109" t="s">
        <v>1965</v>
      </c>
      <c r="AX213" s="109" t="s">
        <v>1966</v>
      </c>
      <c r="AY213" s="109" t="s">
        <v>1967</v>
      </c>
      <c r="AZ213" s="109" t="s">
        <v>1968</v>
      </c>
      <c r="BA213" s="109" t="s">
        <v>2349</v>
      </c>
      <c r="BB213" s="109" t="s">
        <v>2350</v>
      </c>
      <c r="BC213" s="109" t="s">
        <v>2351</v>
      </c>
      <c r="BD213" s="109" t="s">
        <v>2352</v>
      </c>
      <c r="BE213" s="109" t="s">
        <v>2353</v>
      </c>
      <c r="BF213" s="109" t="s">
        <v>2354</v>
      </c>
      <c r="BG213" s="109" t="s">
        <v>2355</v>
      </c>
      <c r="BH213" s="109" t="s">
        <v>2356</v>
      </c>
      <c r="BI213" s="109" t="s">
        <v>2357</v>
      </c>
      <c r="BJ213" s="109" t="s">
        <v>2358</v>
      </c>
      <c r="BK213" s="109" t="s">
        <v>2359</v>
      </c>
      <c r="BL213" s="109" t="s">
        <v>2360</v>
      </c>
      <c r="BM213" s="109" t="s">
        <v>2361</v>
      </c>
      <c r="BN213" s="109" t="s">
        <v>2362</v>
      </c>
      <c r="BO213" s="109" t="s">
        <v>2363</v>
      </c>
      <c r="BP213" s="109" t="s">
        <v>2364</v>
      </c>
      <c r="BQ213" s="109" t="s">
        <v>2365</v>
      </c>
      <c r="BR213" s="109" t="s">
        <v>1986</v>
      </c>
      <c r="BS213" s="109" t="s">
        <v>1987</v>
      </c>
      <c r="BT213" s="109" t="s">
        <v>1988</v>
      </c>
      <c r="BU213" s="109" t="s">
        <v>1989</v>
      </c>
      <c r="BV213" s="109" t="s">
        <v>1990</v>
      </c>
      <c r="BW213" s="109" t="s">
        <v>1991</v>
      </c>
      <c r="BX213" s="109" t="s">
        <v>1992</v>
      </c>
      <c r="BY213" s="109" t="s">
        <v>1993</v>
      </c>
      <c r="BZ213" s="109" t="s">
        <v>1994</v>
      </c>
      <c r="CA213" s="109" t="s">
        <v>1995</v>
      </c>
      <c r="CB213" s="109" t="s">
        <v>2366</v>
      </c>
      <c r="CC213" s="109" t="s">
        <v>2367</v>
      </c>
      <c r="CD213" s="109" t="s">
        <v>2368</v>
      </c>
      <c r="CE213" s="109" t="s">
        <v>2369</v>
      </c>
      <c r="CF213" s="109" t="s">
        <v>2370</v>
      </c>
      <c r="CG213" s="109" t="s">
        <v>2371</v>
      </c>
      <c r="CH213" s="109" t="s">
        <v>2372</v>
      </c>
      <c r="CI213" s="109" t="s">
        <v>2373</v>
      </c>
      <c r="CJ213" s="109" t="s">
        <v>2004</v>
      </c>
      <c r="CK213" s="109" t="s">
        <v>2005</v>
      </c>
      <c r="CL213" s="109" t="s">
        <v>2006</v>
      </c>
      <c r="CM213" s="109" t="s">
        <v>2007</v>
      </c>
      <c r="CN213" s="109" t="s">
        <v>2008</v>
      </c>
      <c r="CO213" s="109" t="s">
        <v>2009</v>
      </c>
      <c r="CP213" s="109" t="s">
        <v>2374</v>
      </c>
      <c r="CQ213" s="109" t="s">
        <v>2375</v>
      </c>
      <c r="CR213" s="109" t="s">
        <v>2376</v>
      </c>
      <c r="CS213" s="109" t="s">
        <v>2377</v>
      </c>
      <c r="CT213" s="109" t="s">
        <v>2014</v>
      </c>
      <c r="CU213" s="109" t="s">
        <v>2015</v>
      </c>
      <c r="CV213" s="109" t="s">
        <v>2016</v>
      </c>
      <c r="CW213" s="109" t="s">
        <v>2017</v>
      </c>
      <c r="CX213" s="109" t="s">
        <v>2018</v>
      </c>
      <c r="CY213" s="109" t="s">
        <v>2378</v>
      </c>
      <c r="CZ213" s="109" t="s">
        <v>2379</v>
      </c>
      <c r="DA213" s="109" t="s">
        <v>2380</v>
      </c>
      <c r="DB213" s="109" t="s">
        <v>2022</v>
      </c>
      <c r="DC213" s="109" t="s">
        <v>2023</v>
      </c>
      <c r="DD213" s="109" t="s">
        <v>2024</v>
      </c>
      <c r="DE213" s="109" t="s">
        <v>2025</v>
      </c>
      <c r="DF213" s="109" t="s">
        <v>2026</v>
      </c>
      <c r="DG213" s="109" t="s">
        <v>2027</v>
      </c>
      <c r="DH213" s="109" t="s">
        <v>2028</v>
      </c>
      <c r="DI213" s="109" t="s">
        <v>2029</v>
      </c>
      <c r="DJ213" s="109" t="s">
        <v>2030</v>
      </c>
      <c r="DK213" s="109" t="s">
        <v>2031</v>
      </c>
      <c r="DL213" s="109" t="s">
        <v>2032</v>
      </c>
      <c r="DM213" s="109" t="s">
        <v>2033</v>
      </c>
      <c r="DN213" s="109" t="s">
        <v>2381</v>
      </c>
      <c r="DO213" s="109" t="s">
        <v>2382</v>
      </c>
      <c r="DP213" s="109" t="s">
        <v>2383</v>
      </c>
      <c r="DQ213" s="109" t="s">
        <v>2384</v>
      </c>
      <c r="DR213" s="109" t="s">
        <v>2038</v>
      </c>
      <c r="DS213" s="109" t="s">
        <v>2039</v>
      </c>
      <c r="DT213" s="109" t="s">
        <v>2385</v>
      </c>
      <c r="DU213" s="109" t="s">
        <v>2386</v>
      </c>
      <c r="DV213" s="109" t="s">
        <v>2042</v>
      </c>
      <c r="DW213" s="109" t="s">
        <v>2043</v>
      </c>
      <c r="DX213" s="109" t="s">
        <v>2044</v>
      </c>
      <c r="DY213" s="109" t="s">
        <v>2045</v>
      </c>
      <c r="DZ213" s="109" t="s">
        <v>2046</v>
      </c>
      <c r="EA213" s="109" t="s">
        <v>2047</v>
      </c>
      <c r="EB213" s="109" t="s">
        <v>2048</v>
      </c>
      <c r="EC213" s="109" t="s">
        <v>2049</v>
      </c>
      <c r="ED213" s="109" t="s">
        <v>2050</v>
      </c>
      <c r="EE213" s="109" t="s">
        <v>2051</v>
      </c>
      <c r="EF213" s="109" t="s">
        <v>2052</v>
      </c>
      <c r="EG213" s="109" t="s">
        <v>2053</v>
      </c>
      <c r="EH213" s="109" t="s">
        <v>2054</v>
      </c>
      <c r="EI213" s="109" t="s">
        <v>2055</v>
      </c>
      <c r="EJ213" s="109" t="s">
        <v>2056</v>
      </c>
      <c r="EK213" s="109" t="s">
        <v>2057</v>
      </c>
      <c r="EL213" s="109" t="s">
        <v>2058</v>
      </c>
      <c r="EM213" s="109" t="s">
        <v>2059</v>
      </c>
      <c r="EN213" s="109" t="s">
        <v>2060</v>
      </c>
    </row>
    <row r="214" spans="1:255">
      <c r="A214" s="110" t="s">
        <v>2061</v>
      </c>
      <c r="B214" s="111" t="s">
        <v>621</v>
      </c>
      <c r="C214" s="111" t="s">
        <v>621</v>
      </c>
      <c r="D214" s="111" t="s">
        <v>621</v>
      </c>
      <c r="E214" s="111" t="s">
        <v>621</v>
      </c>
      <c r="F214" s="111" t="s">
        <v>621</v>
      </c>
      <c r="G214" s="111" t="s">
        <v>621</v>
      </c>
      <c r="H214" s="111" t="s">
        <v>621</v>
      </c>
      <c r="I214" s="111" t="s">
        <v>621</v>
      </c>
      <c r="J214" s="111" t="s">
        <v>621</v>
      </c>
      <c r="K214" s="111" t="s">
        <v>621</v>
      </c>
      <c r="L214" s="111" t="s">
        <v>621</v>
      </c>
      <c r="M214" s="111" t="s">
        <v>621</v>
      </c>
      <c r="N214" s="111" t="s">
        <v>621</v>
      </c>
      <c r="O214" s="111" t="s">
        <v>621</v>
      </c>
      <c r="P214" s="111" t="s">
        <v>621</v>
      </c>
      <c r="Q214" s="111" t="s">
        <v>621</v>
      </c>
      <c r="R214" s="111" t="s">
        <v>621</v>
      </c>
      <c r="S214" s="111" t="s">
        <v>621</v>
      </c>
      <c r="T214" s="111" t="s">
        <v>621</v>
      </c>
      <c r="U214" s="111" t="s">
        <v>621</v>
      </c>
      <c r="V214" s="111" t="s">
        <v>621</v>
      </c>
      <c r="W214" s="111" t="s">
        <v>621</v>
      </c>
      <c r="X214" s="111" t="s">
        <v>621</v>
      </c>
      <c r="Y214" s="111" t="s">
        <v>621</v>
      </c>
      <c r="Z214" s="111" t="s">
        <v>621</v>
      </c>
      <c r="AA214" s="111" t="s">
        <v>621</v>
      </c>
      <c r="AB214" s="111" t="s">
        <v>621</v>
      </c>
      <c r="AC214" s="111" t="s">
        <v>621</v>
      </c>
      <c r="AD214" s="111" t="s">
        <v>621</v>
      </c>
      <c r="AE214" s="111" t="s">
        <v>621</v>
      </c>
      <c r="AG214" s="110" t="s">
        <v>2061</v>
      </c>
      <c r="AH214" s="111" t="s">
        <v>621</v>
      </c>
      <c r="AI214" s="111" t="s">
        <v>621</v>
      </c>
      <c r="AJ214" s="111" t="s">
        <v>621</v>
      </c>
      <c r="AK214" s="111" t="s">
        <v>621</v>
      </c>
      <c r="AL214" s="111" t="s">
        <v>621</v>
      </c>
      <c r="AM214" s="111" t="s">
        <v>621</v>
      </c>
      <c r="AN214" s="111" t="s">
        <v>621</v>
      </c>
      <c r="AO214" s="111" t="s">
        <v>621</v>
      </c>
      <c r="AP214" s="111" t="s">
        <v>621</v>
      </c>
      <c r="AQ214" s="111" t="s">
        <v>621</v>
      </c>
      <c r="AR214" s="111" t="s">
        <v>621</v>
      </c>
      <c r="AS214" s="111" t="s">
        <v>621</v>
      </c>
      <c r="AT214" s="111" t="s">
        <v>621</v>
      </c>
      <c r="AU214" s="111" t="s">
        <v>621</v>
      </c>
      <c r="AV214" s="111" t="s">
        <v>621</v>
      </c>
      <c r="AW214" s="111" t="s">
        <v>621</v>
      </c>
      <c r="AX214" s="111" t="s">
        <v>621</v>
      </c>
      <c r="AY214" s="111" t="s">
        <v>621</v>
      </c>
      <c r="AZ214" s="111" t="s">
        <v>621</v>
      </c>
      <c r="BA214" s="111" t="s">
        <v>621</v>
      </c>
      <c r="BB214" s="111" t="s">
        <v>621</v>
      </c>
      <c r="BC214" s="111" t="s">
        <v>621</v>
      </c>
      <c r="BD214" s="111" t="s">
        <v>621</v>
      </c>
      <c r="BE214" s="111" t="s">
        <v>621</v>
      </c>
      <c r="BF214" s="111" t="s">
        <v>621</v>
      </c>
      <c r="BG214" s="111" t="s">
        <v>621</v>
      </c>
      <c r="BH214" s="111" t="s">
        <v>621</v>
      </c>
      <c r="BI214" s="111" t="s">
        <v>621</v>
      </c>
      <c r="BJ214" s="111" t="s">
        <v>621</v>
      </c>
      <c r="BK214" s="111" t="s">
        <v>621</v>
      </c>
      <c r="BL214" s="111" t="s">
        <v>621</v>
      </c>
      <c r="BM214" s="111" t="s">
        <v>621</v>
      </c>
      <c r="BN214" s="111" t="s">
        <v>621</v>
      </c>
      <c r="BO214" s="111" t="s">
        <v>621</v>
      </c>
      <c r="BP214" s="111" t="s">
        <v>621</v>
      </c>
      <c r="BQ214" s="111" t="s">
        <v>621</v>
      </c>
      <c r="BR214" s="111" t="s">
        <v>621</v>
      </c>
      <c r="BS214" s="111" t="s">
        <v>621</v>
      </c>
      <c r="BT214" s="111" t="s">
        <v>621</v>
      </c>
      <c r="BU214" s="111" t="s">
        <v>621</v>
      </c>
      <c r="BV214" s="111" t="s">
        <v>621</v>
      </c>
      <c r="BW214" s="111" t="s">
        <v>621</v>
      </c>
      <c r="BX214" s="111" t="s">
        <v>621</v>
      </c>
      <c r="BY214" s="111" t="s">
        <v>621</v>
      </c>
      <c r="BZ214" s="111" t="s">
        <v>621</v>
      </c>
      <c r="CA214" s="111" t="s">
        <v>621</v>
      </c>
      <c r="CB214" s="111" t="s">
        <v>621</v>
      </c>
      <c r="CC214" s="111" t="s">
        <v>621</v>
      </c>
      <c r="CD214" s="111" t="s">
        <v>621</v>
      </c>
      <c r="CE214" s="111" t="s">
        <v>621</v>
      </c>
      <c r="CF214" s="111" t="s">
        <v>621</v>
      </c>
      <c r="CG214" s="111" t="s">
        <v>621</v>
      </c>
      <c r="CH214" s="111" t="s">
        <v>621</v>
      </c>
      <c r="CI214" s="111" t="s">
        <v>621</v>
      </c>
      <c r="CJ214" s="111" t="s">
        <v>621</v>
      </c>
      <c r="CK214" s="111" t="s">
        <v>621</v>
      </c>
      <c r="CL214" s="111" t="s">
        <v>621</v>
      </c>
      <c r="CM214" s="111" t="s">
        <v>621</v>
      </c>
      <c r="CN214" s="111" t="s">
        <v>621</v>
      </c>
      <c r="CO214" s="111" t="s">
        <v>621</v>
      </c>
      <c r="CP214" s="111" t="s">
        <v>621</v>
      </c>
      <c r="CQ214" s="111" t="s">
        <v>621</v>
      </c>
      <c r="CR214" s="111" t="s">
        <v>621</v>
      </c>
      <c r="CS214" s="111" t="s">
        <v>621</v>
      </c>
      <c r="CT214" s="111" t="s">
        <v>621</v>
      </c>
      <c r="CU214" s="111" t="s">
        <v>621</v>
      </c>
      <c r="CV214" s="111" t="s">
        <v>621</v>
      </c>
      <c r="CW214" s="111" t="s">
        <v>621</v>
      </c>
      <c r="CX214" s="111" t="s">
        <v>621</v>
      </c>
      <c r="CY214" s="111" t="s">
        <v>621</v>
      </c>
      <c r="CZ214" s="111" t="s">
        <v>621</v>
      </c>
      <c r="DA214" s="111" t="s">
        <v>621</v>
      </c>
      <c r="DB214" s="111" t="s">
        <v>621</v>
      </c>
      <c r="DC214" s="111" t="s">
        <v>621</v>
      </c>
      <c r="DD214" s="111" t="s">
        <v>621</v>
      </c>
      <c r="DE214" s="111" t="s">
        <v>621</v>
      </c>
      <c r="DF214" s="111" t="s">
        <v>621</v>
      </c>
      <c r="DG214" s="111" t="s">
        <v>621</v>
      </c>
      <c r="DH214" s="111" t="s">
        <v>621</v>
      </c>
      <c r="DI214" s="111" t="s">
        <v>621</v>
      </c>
      <c r="DJ214" s="111" t="s">
        <v>621</v>
      </c>
      <c r="DK214" s="111" t="s">
        <v>621</v>
      </c>
      <c r="DL214" s="111" t="s">
        <v>621</v>
      </c>
      <c r="DM214" s="111" t="s">
        <v>621</v>
      </c>
      <c r="DN214" s="111" t="s">
        <v>621</v>
      </c>
      <c r="DO214" s="111" t="s">
        <v>621</v>
      </c>
      <c r="DP214" s="111" t="s">
        <v>621</v>
      </c>
      <c r="DQ214" s="111" t="s">
        <v>621</v>
      </c>
      <c r="DR214" s="111" t="s">
        <v>621</v>
      </c>
      <c r="DS214" s="111" t="s">
        <v>621</v>
      </c>
      <c r="DT214" s="111" t="s">
        <v>621</v>
      </c>
      <c r="DU214" s="111" t="s">
        <v>621</v>
      </c>
      <c r="DV214" s="111" t="s">
        <v>621</v>
      </c>
      <c r="DW214" s="111" t="s">
        <v>621</v>
      </c>
      <c r="DX214" s="111" t="s">
        <v>621</v>
      </c>
      <c r="DY214" s="111" t="s">
        <v>621</v>
      </c>
      <c r="DZ214" s="111" t="s">
        <v>621</v>
      </c>
      <c r="EA214" s="111" t="s">
        <v>621</v>
      </c>
      <c r="EB214" s="111" t="s">
        <v>621</v>
      </c>
      <c r="EC214" s="111" t="s">
        <v>621</v>
      </c>
      <c r="ED214" s="111" t="s">
        <v>621</v>
      </c>
      <c r="EE214" s="111" t="s">
        <v>621</v>
      </c>
      <c r="EF214" s="111" t="s">
        <v>621</v>
      </c>
      <c r="EG214" s="111" t="s">
        <v>621</v>
      </c>
      <c r="EH214" s="111" t="s">
        <v>621</v>
      </c>
      <c r="EI214" s="111" t="s">
        <v>621</v>
      </c>
      <c r="EJ214" s="111" t="s">
        <v>621</v>
      </c>
      <c r="EK214" s="111" t="s">
        <v>621</v>
      </c>
      <c r="EL214" s="111" t="s">
        <v>621</v>
      </c>
      <c r="EM214" s="111" t="s">
        <v>621</v>
      </c>
      <c r="EN214" s="111" t="s">
        <v>621</v>
      </c>
    </row>
    <row r="215" spans="1:255" ht="10.5">
      <c r="A215" s="112" t="s">
        <v>366</v>
      </c>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G215" s="112" t="s">
        <v>366</v>
      </c>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c r="BG215" s="103"/>
      <c r="BH215" s="103"/>
      <c r="BI215" s="103"/>
      <c r="BJ215" s="103"/>
      <c r="BK215" s="103"/>
      <c r="BL215" s="103"/>
      <c r="BM215" s="103"/>
      <c r="BN215" s="103"/>
      <c r="BO215" s="103"/>
      <c r="BP215" s="103"/>
      <c r="BQ215" s="103"/>
      <c r="BR215" s="103"/>
      <c r="BS215" s="103"/>
      <c r="BT215" s="103"/>
      <c r="BU215" s="103"/>
      <c r="BV215" s="103"/>
      <c r="BW215" s="103"/>
      <c r="BX215" s="103"/>
      <c r="BY215" s="103"/>
      <c r="BZ215" s="103"/>
      <c r="CA215" s="103"/>
      <c r="CB215" s="103"/>
      <c r="CC215" s="103"/>
      <c r="CD215" s="103"/>
      <c r="CE215" s="103"/>
      <c r="CF215" s="103"/>
      <c r="CG215" s="103"/>
      <c r="CH215" s="103"/>
      <c r="CI215" s="103"/>
      <c r="CJ215" s="103"/>
      <c r="CK215" s="103"/>
      <c r="CL215" s="103"/>
      <c r="CM215" s="103"/>
      <c r="CN215" s="103"/>
      <c r="CO215" s="103"/>
      <c r="CP215" s="103"/>
      <c r="CQ215" s="103"/>
      <c r="CR215" s="103"/>
      <c r="CS215" s="103"/>
      <c r="CT215" s="103"/>
      <c r="CU215" s="103"/>
      <c r="CV215" s="103"/>
      <c r="CW215" s="103"/>
      <c r="CX215" s="103"/>
      <c r="CY215" s="103"/>
      <c r="CZ215" s="103"/>
      <c r="DA215" s="103"/>
      <c r="DB215" s="103"/>
      <c r="DC215" s="103"/>
      <c r="DD215" s="103"/>
      <c r="DE215" s="103"/>
      <c r="DF215" s="103"/>
      <c r="DG215" s="103"/>
      <c r="DH215" s="103"/>
      <c r="DI215" s="103"/>
      <c r="DJ215" s="103"/>
      <c r="DK215" s="103"/>
      <c r="DL215" s="103"/>
      <c r="DM215" s="103"/>
      <c r="DN215" s="103"/>
      <c r="DO215" s="103"/>
      <c r="DP215" s="103"/>
      <c r="DQ215" s="103"/>
      <c r="DR215" s="103"/>
      <c r="DS215" s="103"/>
      <c r="DT215" s="103"/>
      <c r="DU215" s="103"/>
      <c r="DV215" s="103"/>
      <c r="DW215" s="103"/>
      <c r="DX215" s="103"/>
      <c r="DY215" s="103"/>
      <c r="DZ215" s="103"/>
      <c r="EA215" s="103"/>
      <c r="EB215" s="103"/>
      <c r="EC215" s="103"/>
      <c r="ED215" s="103"/>
      <c r="EE215" s="103"/>
      <c r="EF215" s="103"/>
      <c r="EG215" s="103"/>
      <c r="EH215" s="103"/>
      <c r="EI215" s="103"/>
      <c r="EJ215" s="103"/>
      <c r="EK215" s="103"/>
      <c r="EL215" s="103"/>
      <c r="EM215" s="103"/>
      <c r="EN215" s="103"/>
    </row>
    <row r="216" spans="1:255" ht="10.5">
      <c r="A216" s="112" t="s">
        <v>295</v>
      </c>
      <c r="B216" s="115">
        <v>463</v>
      </c>
      <c r="C216" s="115">
        <v>708</v>
      </c>
      <c r="D216" s="115">
        <v>953</v>
      </c>
      <c r="E216" s="115">
        <v>1146</v>
      </c>
      <c r="F216" s="115">
        <v>1453</v>
      </c>
      <c r="G216" s="115">
        <v>2195</v>
      </c>
      <c r="H216" s="115">
        <v>3454</v>
      </c>
      <c r="I216" s="115">
        <v>4490</v>
      </c>
      <c r="J216" s="115">
        <v>7785</v>
      </c>
      <c r="K216" s="115">
        <v>9421</v>
      </c>
      <c r="L216" s="115">
        <v>7346</v>
      </c>
      <c r="M216" s="115">
        <v>5355</v>
      </c>
      <c r="N216" s="115">
        <v>7531</v>
      </c>
      <c r="O216" s="115">
        <v>8168</v>
      </c>
      <c r="P216" s="115">
        <v>12254</v>
      </c>
      <c r="Q216" s="115">
        <v>12599</v>
      </c>
      <c r="R216" s="115">
        <v>14065</v>
      </c>
      <c r="S216" s="115">
        <v>17681</v>
      </c>
      <c r="T216" s="115">
        <v>14569</v>
      </c>
      <c r="U216" s="115">
        <v>18760</v>
      </c>
      <c r="V216" s="115">
        <v>23150</v>
      </c>
      <c r="W216" s="115">
        <v>16978</v>
      </c>
      <c r="X216" s="115">
        <v>21863</v>
      </c>
      <c r="Y216" s="115">
        <v>22074</v>
      </c>
      <c r="Z216" s="115">
        <v>12193</v>
      </c>
      <c r="AA216" s="115">
        <v>20539</v>
      </c>
      <c r="AB216" s="115">
        <v>25489</v>
      </c>
      <c r="AC216" s="115">
        <v>16571</v>
      </c>
      <c r="AD216" s="115">
        <v>39240</v>
      </c>
      <c r="AE216" s="115">
        <v>46266</v>
      </c>
      <c r="AG216" s="112" t="s">
        <v>295</v>
      </c>
      <c r="AH216" s="115">
        <v>222.5</v>
      </c>
      <c r="AI216" s="115">
        <v>222.5</v>
      </c>
      <c r="AJ216" s="115">
        <v>243</v>
      </c>
      <c r="AK216" s="115">
        <v>265</v>
      </c>
      <c r="AL216" s="115">
        <v>239</v>
      </c>
      <c r="AM216" s="115">
        <v>289</v>
      </c>
      <c r="AN216" s="115">
        <v>256</v>
      </c>
      <c r="AO216" s="115">
        <v>362</v>
      </c>
      <c r="AP216" s="115">
        <v>316</v>
      </c>
      <c r="AQ216" s="115">
        <v>373</v>
      </c>
      <c r="AR216" s="115">
        <v>396</v>
      </c>
      <c r="AS216" s="115">
        <v>368</v>
      </c>
      <c r="AT216" s="115">
        <v>499</v>
      </c>
      <c r="AU216" s="115">
        <v>575</v>
      </c>
      <c r="AV216" s="115">
        <v>562</v>
      </c>
      <c r="AW216" s="115">
        <v>559</v>
      </c>
      <c r="AX216" s="115">
        <v>614</v>
      </c>
      <c r="AY216" s="115">
        <v>741</v>
      </c>
      <c r="AZ216" s="115">
        <v>1042</v>
      </c>
      <c r="BA216" s="115">
        <v>1057</v>
      </c>
      <c r="BB216" s="115">
        <v>663</v>
      </c>
      <c r="BC216" s="115">
        <v>1133</v>
      </c>
      <c r="BD216" s="115">
        <v>1337</v>
      </c>
      <c r="BE216" s="115">
        <v>1357</v>
      </c>
      <c r="BF216" s="115">
        <v>1683</v>
      </c>
      <c r="BG216" s="115">
        <v>1983</v>
      </c>
      <c r="BH216" s="115">
        <v>1917</v>
      </c>
      <c r="BI216" s="115">
        <v>2202</v>
      </c>
      <c r="BJ216" s="115">
        <v>2191</v>
      </c>
      <c r="BK216" s="115">
        <v>2436</v>
      </c>
      <c r="BL216" s="115">
        <v>2385</v>
      </c>
      <c r="BM216" s="115">
        <v>2409</v>
      </c>
      <c r="BN216" s="115">
        <v>2206</v>
      </c>
      <c r="BO216" s="115">
        <v>2624</v>
      </c>
      <c r="BP216" s="115">
        <v>2451</v>
      </c>
      <c r="BQ216" s="115">
        <v>65</v>
      </c>
      <c r="BR216" s="115">
        <v>1283</v>
      </c>
      <c r="BS216" s="115">
        <v>2283</v>
      </c>
      <c r="BT216" s="115">
        <v>2738</v>
      </c>
      <c r="BU216" s="115">
        <v>1525</v>
      </c>
      <c r="BV216" s="115">
        <v>2041</v>
      </c>
      <c r="BW216" s="115">
        <v>1865</v>
      </c>
      <c r="BX216" s="115">
        <v>2142</v>
      </c>
      <c r="BY216" s="115">
        <v>1483</v>
      </c>
      <c r="BZ216" s="115">
        <v>2614</v>
      </c>
      <c r="CA216" s="115">
        <v>1549</v>
      </c>
      <c r="CB216" s="115">
        <v>1315</v>
      </c>
      <c r="CC216" s="115">
        <v>2690</v>
      </c>
      <c r="CD216" s="115">
        <v>2528</v>
      </c>
      <c r="CE216" s="115">
        <v>3463</v>
      </c>
      <c r="CF216" s="115">
        <v>2563</v>
      </c>
      <c r="CG216" s="115">
        <v>3700</v>
      </c>
      <c r="CH216" s="115">
        <v>3141</v>
      </c>
      <c r="CI216" s="115">
        <v>3653</v>
      </c>
      <c r="CJ216" s="115">
        <v>2977</v>
      </c>
      <c r="CK216" s="115">
        <v>2828</v>
      </c>
      <c r="CL216" s="115">
        <v>3478</v>
      </c>
      <c r="CM216" s="115">
        <v>2626</v>
      </c>
      <c r="CN216" s="115">
        <v>4926</v>
      </c>
      <c r="CO216" s="115">
        <v>3035</v>
      </c>
      <c r="CP216" s="115">
        <v>4289</v>
      </c>
      <c r="CQ216" s="115">
        <v>4707</v>
      </c>
      <c r="CR216" s="115">
        <v>4388</v>
      </c>
      <c r="CS216" s="115">
        <v>4297</v>
      </c>
      <c r="CT216" s="115">
        <v>4373</v>
      </c>
      <c r="CU216" s="115">
        <v>4174</v>
      </c>
      <c r="CV216" s="115">
        <v>2977</v>
      </c>
      <c r="CW216" s="115">
        <v>3045</v>
      </c>
      <c r="CX216" s="115">
        <v>3574</v>
      </c>
      <c r="CY216" s="115">
        <v>6662</v>
      </c>
      <c r="CZ216" s="115">
        <v>4006</v>
      </c>
      <c r="DA216" s="115">
        <v>4518</v>
      </c>
      <c r="DB216" s="115">
        <v>5410</v>
      </c>
      <c r="DC216" s="115">
        <v>6634</v>
      </c>
      <c r="DD216" s="115">
        <v>5232</v>
      </c>
      <c r="DE216" s="115">
        <v>5874</v>
      </c>
      <c r="DF216" s="115">
        <v>5738</v>
      </c>
      <c r="DG216" s="115">
        <v>6624</v>
      </c>
      <c r="DH216" s="115">
        <v>5108</v>
      </c>
      <c r="DI216" s="115">
        <v>-492</v>
      </c>
      <c r="DJ216" s="115">
        <v>4466</v>
      </c>
      <c r="DK216" s="115">
        <v>6377</v>
      </c>
      <c r="DL216" s="115">
        <v>6055</v>
      </c>
      <c r="DM216" s="115">
        <v>4965</v>
      </c>
      <c r="DN216" s="115">
        <v>5244</v>
      </c>
      <c r="DO216" s="115">
        <v>6558</v>
      </c>
      <c r="DP216" s="115">
        <v>5660</v>
      </c>
      <c r="DQ216" s="115">
        <v>4612</v>
      </c>
      <c r="DR216" s="115">
        <v>4540</v>
      </c>
      <c r="DS216" s="115">
        <v>5863</v>
      </c>
      <c r="DT216" s="115">
        <v>4985</v>
      </c>
      <c r="DU216" s="115">
        <v>-3195</v>
      </c>
      <c r="DV216" s="115">
        <v>4902</v>
      </c>
      <c r="DW216" s="115">
        <v>5018</v>
      </c>
      <c r="DX216" s="115">
        <v>3756</v>
      </c>
      <c r="DY216" s="115">
        <v>3122</v>
      </c>
      <c r="DZ216" s="115">
        <v>5667</v>
      </c>
      <c r="EA216" s="115">
        <v>6267</v>
      </c>
      <c r="EB216" s="115">
        <v>5486</v>
      </c>
      <c r="EC216" s="115">
        <v>8069</v>
      </c>
      <c r="ED216" s="115">
        <v>6576</v>
      </c>
      <c r="EE216" s="115">
        <v>-6302</v>
      </c>
      <c r="EF216" s="115">
        <v>7424</v>
      </c>
      <c r="EG216" s="115">
        <v>8873</v>
      </c>
      <c r="EH216" s="115">
        <v>8824</v>
      </c>
      <c r="EI216" s="115">
        <v>8420</v>
      </c>
      <c r="EJ216" s="115">
        <v>8809</v>
      </c>
      <c r="EK216" s="115">
        <v>13187</v>
      </c>
      <c r="EL216" s="115">
        <v>10678</v>
      </c>
      <c r="EM216" s="115">
        <v>11649</v>
      </c>
      <c r="EN216" s="115">
        <v>10752</v>
      </c>
    </row>
    <row r="217" spans="1:255">
      <c r="A217" s="103" t="s">
        <v>2068</v>
      </c>
      <c r="B217" s="113">
        <v>56</v>
      </c>
      <c r="C217" s="113">
        <v>112</v>
      </c>
      <c r="D217" s="113">
        <v>151</v>
      </c>
      <c r="E217" s="113">
        <v>237</v>
      </c>
      <c r="F217" s="113">
        <v>269</v>
      </c>
      <c r="G217" s="113">
        <v>480</v>
      </c>
      <c r="H217" s="113">
        <v>353</v>
      </c>
      <c r="I217" s="113">
        <v>528</v>
      </c>
      <c r="J217" s="113">
        <v>483</v>
      </c>
      <c r="K217" s="113">
        <v>668</v>
      </c>
      <c r="L217" s="113">
        <v>764</v>
      </c>
      <c r="M217" s="113">
        <v>820</v>
      </c>
      <c r="N217" s="113">
        <v>929</v>
      </c>
      <c r="O217" s="113">
        <v>647</v>
      </c>
      <c r="P217" s="113">
        <v>723</v>
      </c>
      <c r="Q217" s="113">
        <v>776</v>
      </c>
      <c r="R217" s="113">
        <v>1200</v>
      </c>
      <c r="S217" s="113">
        <v>1400</v>
      </c>
      <c r="T217" s="113">
        <v>1700</v>
      </c>
      <c r="U217" s="113">
        <v>1800</v>
      </c>
      <c r="V217" s="113">
        <v>2000</v>
      </c>
      <c r="W217" s="113">
        <v>2200</v>
      </c>
      <c r="X217" s="113">
        <v>2600</v>
      </c>
      <c r="Y217" s="113">
        <v>3400</v>
      </c>
      <c r="Z217" s="113">
        <v>4100</v>
      </c>
      <c r="AA217" s="113">
        <v>4900</v>
      </c>
      <c r="AB217" s="113">
        <v>6100</v>
      </c>
      <c r="AC217" s="113">
        <v>7700</v>
      </c>
      <c r="AD217" s="113">
        <v>9700</v>
      </c>
      <c r="AE217" s="113">
        <v>10534</v>
      </c>
      <c r="AG217" s="103" t="s">
        <v>2068</v>
      </c>
      <c r="AH217" s="113">
        <v>37</v>
      </c>
      <c r="AI217" s="113">
        <v>37</v>
      </c>
      <c r="AJ217" s="113">
        <v>38</v>
      </c>
      <c r="AK217" s="113">
        <v>39</v>
      </c>
      <c r="AL217" s="113">
        <v>41</v>
      </c>
      <c r="AM217" s="113">
        <v>47</v>
      </c>
      <c r="AN217" s="113">
        <v>73</v>
      </c>
      <c r="AO217" s="113">
        <v>76</v>
      </c>
      <c r="AP217" s="113">
        <v>67</v>
      </c>
      <c r="AQ217" s="113">
        <v>66</v>
      </c>
      <c r="AR217" s="113">
        <v>70</v>
      </c>
      <c r="AS217" s="113">
        <v>24</v>
      </c>
      <c r="AT217" s="113">
        <v>69</v>
      </c>
      <c r="AU217" s="113">
        <v>78</v>
      </c>
      <c r="AV217" s="113">
        <v>189</v>
      </c>
      <c r="AW217" s="113">
        <v>27</v>
      </c>
      <c r="AX217" s="113">
        <v>162</v>
      </c>
      <c r="AY217" s="113">
        <v>144</v>
      </c>
      <c r="AZ217" s="113">
        <v>108</v>
      </c>
      <c r="BA217" s="113">
        <v>143</v>
      </c>
      <c r="BB217" s="113">
        <v>228</v>
      </c>
      <c r="BC217" s="113">
        <v>269</v>
      </c>
      <c r="BD217" s="113">
        <v>279</v>
      </c>
      <c r="BE217" s="113">
        <v>248</v>
      </c>
      <c r="BF217" s="113">
        <v>179</v>
      </c>
      <c r="BG217" s="113">
        <v>177</v>
      </c>
      <c r="BH217" s="113">
        <v>158</v>
      </c>
      <c r="BI217" s="113">
        <v>-31</v>
      </c>
      <c r="BJ217" s="113">
        <v>345</v>
      </c>
      <c r="BK217" s="113">
        <v>325</v>
      </c>
      <c r="BL217" s="113">
        <v>275</v>
      </c>
      <c r="BM217" s="113">
        <v>-52</v>
      </c>
      <c r="BN217" s="113">
        <v>250</v>
      </c>
      <c r="BO217" s="113">
        <v>239</v>
      </c>
      <c r="BP217" s="113">
        <v>483</v>
      </c>
      <c r="BQ217" s="113">
        <v>-6</v>
      </c>
      <c r="BR217" s="113">
        <v>282</v>
      </c>
      <c r="BS217" s="113">
        <v>295</v>
      </c>
      <c r="BT217" s="113">
        <v>148</v>
      </c>
      <c r="BU217" s="113">
        <v>95</v>
      </c>
      <c r="BV217" s="113">
        <v>273</v>
      </c>
      <c r="BW217" s="113">
        <v>275</v>
      </c>
      <c r="BX217" s="113">
        <v>383</v>
      </c>
      <c r="BY217" s="113">
        <v>159</v>
      </c>
      <c r="BZ217" s="113">
        <v>328</v>
      </c>
      <c r="CA217" s="113">
        <v>300</v>
      </c>
      <c r="CB217" s="113">
        <v>249</v>
      </c>
      <c r="CC217" s="113">
        <v>-60</v>
      </c>
      <c r="CD217" s="113">
        <v>183</v>
      </c>
      <c r="CE217" s="113">
        <v>108</v>
      </c>
      <c r="CF217" s="113">
        <v>282</v>
      </c>
      <c r="CG217" s="113">
        <v>150</v>
      </c>
      <c r="CH217" s="113">
        <v>234</v>
      </c>
      <c r="CI217" s="113">
        <v>231</v>
      </c>
      <c r="CJ217" s="113">
        <v>177</v>
      </c>
      <c r="CK217" s="113">
        <v>221</v>
      </c>
      <c r="CL217" s="113">
        <v>211</v>
      </c>
      <c r="CM217" s="113">
        <v>313</v>
      </c>
      <c r="CN217" s="113">
        <v>387</v>
      </c>
      <c r="CO217" s="113">
        <v>293</v>
      </c>
      <c r="CP217" s="113">
        <v>333</v>
      </c>
      <c r="CQ217" s="113">
        <v>369</v>
      </c>
      <c r="CR217" s="113">
        <v>411</v>
      </c>
      <c r="CS217" s="113">
        <v>287</v>
      </c>
      <c r="CT217" s="113">
        <v>445</v>
      </c>
      <c r="CU217" s="113">
        <v>487</v>
      </c>
      <c r="CV217" s="113">
        <v>508</v>
      </c>
      <c r="CW217" s="113">
        <v>260</v>
      </c>
      <c r="CX217" s="113">
        <v>497</v>
      </c>
      <c r="CY217" s="113">
        <v>446</v>
      </c>
      <c r="CZ217" s="113">
        <v>496</v>
      </c>
      <c r="DA217" s="113">
        <v>361</v>
      </c>
      <c r="DB217" s="113">
        <v>544</v>
      </c>
      <c r="DC217" s="113">
        <v>507</v>
      </c>
      <c r="DD217" s="113">
        <v>720</v>
      </c>
      <c r="DE217" s="113">
        <v>460</v>
      </c>
      <c r="DF217" s="113">
        <v>588</v>
      </c>
      <c r="DG217" s="113">
        <v>495</v>
      </c>
      <c r="DH217" s="113">
        <v>596</v>
      </c>
      <c r="DI217" s="113">
        <v>521</v>
      </c>
      <c r="DJ217" s="113">
        <v>492</v>
      </c>
      <c r="DK217" s="113">
        <v>750</v>
      </c>
      <c r="DL217" s="113">
        <v>814</v>
      </c>
      <c r="DM217" s="113">
        <v>544</v>
      </c>
      <c r="DN217" s="113">
        <v>746</v>
      </c>
      <c r="DO217" s="113">
        <v>1045</v>
      </c>
      <c r="DP217" s="113">
        <v>1035</v>
      </c>
      <c r="DQ217" s="113">
        <v>574</v>
      </c>
      <c r="DR217" s="113">
        <v>1016</v>
      </c>
      <c r="DS217" s="113">
        <v>1177</v>
      </c>
      <c r="DT217" s="113">
        <v>1141</v>
      </c>
      <c r="DU217" s="113">
        <v>804</v>
      </c>
      <c r="DV217" s="113">
        <v>1201</v>
      </c>
      <c r="DW217" s="113">
        <v>1277</v>
      </c>
      <c r="DX217" s="113">
        <v>1440</v>
      </c>
      <c r="DY217" s="113">
        <v>983</v>
      </c>
      <c r="DZ217" s="113">
        <v>1602</v>
      </c>
      <c r="EA217" s="113">
        <v>1851</v>
      </c>
      <c r="EB217" s="113">
        <v>1864</v>
      </c>
      <c r="EC217" s="113">
        <v>832</v>
      </c>
      <c r="ED217" s="113">
        <v>1936</v>
      </c>
      <c r="EE217" s="113">
        <v>1974</v>
      </c>
      <c r="EF217" s="113">
        <v>2150</v>
      </c>
      <c r="EG217" s="113">
        <v>1655</v>
      </c>
      <c r="EH217" s="113">
        <v>2281</v>
      </c>
      <c r="EI217" s="113">
        <v>2465</v>
      </c>
      <c r="EJ217" s="113">
        <v>2495</v>
      </c>
      <c r="EK217" s="113">
        <v>2442</v>
      </c>
      <c r="EL217" s="113">
        <v>2537</v>
      </c>
      <c r="EM217" s="113">
        <v>2792</v>
      </c>
      <c r="EN217" s="113">
        <v>2762</v>
      </c>
    </row>
    <row r="218" spans="1:255">
      <c r="A218" s="103" t="s">
        <v>2387</v>
      </c>
      <c r="B218" s="113">
        <v>20</v>
      </c>
      <c r="C218" s="113">
        <v>0</v>
      </c>
      <c r="D218" s="113">
        <v>0</v>
      </c>
      <c r="E218" s="113">
        <v>0</v>
      </c>
      <c r="F218" s="113">
        <v>0</v>
      </c>
      <c r="G218" s="113">
        <v>0</v>
      </c>
      <c r="H218" s="113">
        <v>204</v>
      </c>
      <c r="I218" s="113">
        <v>0</v>
      </c>
      <c r="J218" s="113">
        <v>0</v>
      </c>
      <c r="K218" s="113">
        <v>348</v>
      </c>
      <c r="L218" s="113">
        <v>772</v>
      </c>
      <c r="M218" s="113">
        <v>118</v>
      </c>
      <c r="N218" s="113">
        <v>464</v>
      </c>
      <c r="O218" s="113">
        <v>170</v>
      </c>
      <c r="P218" s="113">
        <v>161</v>
      </c>
      <c r="Q218" s="113">
        <v>127</v>
      </c>
      <c r="R218" s="113">
        <v>236</v>
      </c>
      <c r="S218" s="113">
        <v>472</v>
      </c>
      <c r="T218" s="113">
        <v>591</v>
      </c>
      <c r="U218" s="113">
        <v>707</v>
      </c>
      <c r="V218" s="113">
        <v>537</v>
      </c>
      <c r="W218" s="113">
        <v>558</v>
      </c>
      <c r="X218" s="113">
        <v>739</v>
      </c>
      <c r="Y218" s="113">
        <v>845</v>
      </c>
      <c r="Z218" s="113">
        <v>1300</v>
      </c>
      <c r="AA218" s="113">
        <v>978</v>
      </c>
      <c r="AB218" s="113">
        <v>1700</v>
      </c>
      <c r="AC218" s="113">
        <v>2200</v>
      </c>
      <c r="AD218" s="113">
        <v>1900</v>
      </c>
      <c r="AE218" s="113">
        <v>1600</v>
      </c>
      <c r="AG218" s="103" t="s">
        <v>2387</v>
      </c>
      <c r="AH218" s="113">
        <v>0</v>
      </c>
      <c r="AI218" s="113">
        <v>0</v>
      </c>
      <c r="AJ218" s="113">
        <v>0</v>
      </c>
      <c r="AK218" s="113">
        <v>0</v>
      </c>
      <c r="AL218" s="113">
        <v>0</v>
      </c>
      <c r="AM218" s="113">
        <v>0</v>
      </c>
      <c r="AN218" s="113">
        <v>0</v>
      </c>
      <c r="AO218" s="113">
        <v>0</v>
      </c>
      <c r="AP218" s="113">
        <v>0</v>
      </c>
      <c r="AQ218" s="113">
        <v>0</v>
      </c>
      <c r="AR218" s="113">
        <v>0</v>
      </c>
      <c r="AS218" s="113">
        <v>42</v>
      </c>
      <c r="AT218" s="113">
        <v>0</v>
      </c>
      <c r="AU218" s="113">
        <v>0</v>
      </c>
      <c r="AV218" s="113">
        <v>0</v>
      </c>
      <c r="AW218" s="113">
        <v>117</v>
      </c>
      <c r="AX218" s="113">
        <v>0</v>
      </c>
      <c r="AY218" s="113">
        <v>0</v>
      </c>
      <c r="AZ218" s="113">
        <v>0</v>
      </c>
      <c r="BA218" s="113">
        <v>0</v>
      </c>
      <c r="BB218" s="113">
        <v>0</v>
      </c>
      <c r="BC218" s="113">
        <v>0</v>
      </c>
      <c r="BD218" s="113">
        <v>0</v>
      </c>
      <c r="BE218" s="113">
        <v>0</v>
      </c>
      <c r="BF218" s="113">
        <v>0</v>
      </c>
      <c r="BG218" s="113">
        <v>0</v>
      </c>
      <c r="BH218" s="113">
        <v>0</v>
      </c>
      <c r="BI218" s="113">
        <v>0</v>
      </c>
      <c r="BJ218" s="113">
        <v>0</v>
      </c>
      <c r="BK218" s="113">
        <v>0</v>
      </c>
      <c r="BL218" s="113">
        <v>0</v>
      </c>
      <c r="BM218" s="113">
        <v>0</v>
      </c>
      <c r="BN218" s="113">
        <v>0</v>
      </c>
      <c r="BO218" s="113">
        <v>0</v>
      </c>
      <c r="BP218" s="113">
        <v>0</v>
      </c>
      <c r="BQ218" s="113">
        <v>0</v>
      </c>
      <c r="BR218" s="113">
        <v>0</v>
      </c>
      <c r="BS218" s="113">
        <v>0</v>
      </c>
      <c r="BT218" s="113">
        <v>0</v>
      </c>
      <c r="BU218" s="113">
        <v>194</v>
      </c>
      <c r="BV218" s="113">
        <v>0</v>
      </c>
      <c r="BW218" s="113">
        <v>0</v>
      </c>
      <c r="BX218" s="113">
        <v>0</v>
      </c>
      <c r="BY218" s="113">
        <v>0</v>
      </c>
      <c r="BZ218" s="113">
        <v>0</v>
      </c>
      <c r="CA218" s="113">
        <v>0</v>
      </c>
      <c r="CB218" s="113">
        <v>0</v>
      </c>
      <c r="CC218" s="113">
        <v>0</v>
      </c>
      <c r="CD218" s="113">
        <v>0</v>
      </c>
      <c r="CE218" s="113">
        <v>0</v>
      </c>
      <c r="CF218" s="113">
        <v>0</v>
      </c>
      <c r="CG218" s="113">
        <v>161</v>
      </c>
      <c r="CH218" s="113">
        <v>0</v>
      </c>
      <c r="CI218" s="113">
        <v>0</v>
      </c>
      <c r="CJ218" s="113">
        <v>0</v>
      </c>
      <c r="CK218" s="113">
        <v>127</v>
      </c>
      <c r="CL218" s="113">
        <v>38</v>
      </c>
      <c r="CM218" s="113">
        <v>52</v>
      </c>
      <c r="CN218" s="113">
        <v>58</v>
      </c>
      <c r="CO218" s="113">
        <v>88</v>
      </c>
      <c r="CP218" s="113">
        <v>102</v>
      </c>
      <c r="CQ218" s="113">
        <v>112</v>
      </c>
      <c r="CR218" s="113">
        <v>121</v>
      </c>
      <c r="CS218" s="113">
        <v>137</v>
      </c>
      <c r="CT218" s="113">
        <v>140</v>
      </c>
      <c r="CU218" s="113">
        <v>145</v>
      </c>
      <c r="CV218" s="113">
        <v>156</v>
      </c>
      <c r="CW218" s="113">
        <v>150</v>
      </c>
      <c r="CX218" s="113">
        <v>149</v>
      </c>
      <c r="CY218" s="113">
        <v>169</v>
      </c>
      <c r="CZ218" s="113">
        <v>198</v>
      </c>
      <c r="DA218" s="113">
        <v>191</v>
      </c>
      <c r="DB218" s="113">
        <v>124</v>
      </c>
      <c r="DC218" s="113">
        <v>126</v>
      </c>
      <c r="DD218" s="113">
        <v>0</v>
      </c>
      <c r="DE218" s="113">
        <v>0</v>
      </c>
      <c r="DF218" s="113">
        <v>109</v>
      </c>
      <c r="DG218" s="113">
        <v>155</v>
      </c>
      <c r="DH218" s="113">
        <v>142</v>
      </c>
      <c r="DI218" s="113">
        <v>152</v>
      </c>
      <c r="DJ218" s="113">
        <v>178</v>
      </c>
      <c r="DK218" s="113">
        <v>198</v>
      </c>
      <c r="DL218" s="113">
        <v>187</v>
      </c>
      <c r="DM218" s="113">
        <v>176</v>
      </c>
      <c r="DN218" s="113">
        <v>162</v>
      </c>
      <c r="DO218" s="113">
        <v>166</v>
      </c>
      <c r="DP218" s="113">
        <v>170</v>
      </c>
      <c r="DQ218" s="113">
        <v>347</v>
      </c>
      <c r="DR218" s="113">
        <v>372</v>
      </c>
      <c r="DS218" s="113">
        <v>329</v>
      </c>
      <c r="DT218" s="113">
        <v>361</v>
      </c>
      <c r="DU218" s="113">
        <v>200</v>
      </c>
      <c r="DV218" s="113">
        <v>242</v>
      </c>
      <c r="DW218" s="113">
        <v>249</v>
      </c>
      <c r="DX218" s="113">
        <v>249</v>
      </c>
      <c r="DY218" s="113">
        <v>238</v>
      </c>
      <c r="DZ218" s="113">
        <v>214</v>
      </c>
      <c r="EA218" s="113">
        <v>315</v>
      </c>
      <c r="EB218" s="113">
        <v>589</v>
      </c>
      <c r="EC218" s="113">
        <v>533</v>
      </c>
      <c r="ED218" s="113">
        <v>563</v>
      </c>
      <c r="EE218" s="113">
        <v>562</v>
      </c>
      <c r="EF218" s="113">
        <v>560</v>
      </c>
      <c r="EG218" s="113">
        <v>500</v>
      </c>
      <c r="EH218" s="113">
        <v>556</v>
      </c>
      <c r="EI218" s="113">
        <v>530</v>
      </c>
      <c r="EJ218" s="113">
        <v>431</v>
      </c>
      <c r="EK218" s="113">
        <v>400</v>
      </c>
      <c r="EL218" s="113">
        <v>434</v>
      </c>
      <c r="EM218" s="113">
        <v>411</v>
      </c>
      <c r="EN218" s="113">
        <v>356</v>
      </c>
    </row>
    <row r="219" spans="1:255" ht="10.5">
      <c r="A219" s="112" t="s">
        <v>2388</v>
      </c>
      <c r="B219" s="114">
        <v>76</v>
      </c>
      <c r="C219" s="114">
        <v>112</v>
      </c>
      <c r="D219" s="114">
        <v>151</v>
      </c>
      <c r="E219" s="114">
        <v>237</v>
      </c>
      <c r="F219" s="114">
        <v>269</v>
      </c>
      <c r="G219" s="114">
        <v>480</v>
      </c>
      <c r="H219" s="114">
        <v>557</v>
      </c>
      <c r="I219" s="114">
        <v>528</v>
      </c>
      <c r="J219" s="114">
        <v>483</v>
      </c>
      <c r="K219" s="114">
        <v>1016</v>
      </c>
      <c r="L219" s="114">
        <v>1536</v>
      </c>
      <c r="M219" s="114">
        <v>938</v>
      </c>
      <c r="N219" s="114">
        <v>1393</v>
      </c>
      <c r="O219" s="114">
        <v>817</v>
      </c>
      <c r="P219" s="114">
        <v>884</v>
      </c>
      <c r="Q219" s="114">
        <v>903</v>
      </c>
      <c r="R219" s="114">
        <v>1436</v>
      </c>
      <c r="S219" s="114">
        <v>1872</v>
      </c>
      <c r="T219" s="114">
        <v>2291</v>
      </c>
      <c r="U219" s="114">
        <v>2507</v>
      </c>
      <c r="V219" s="114">
        <v>2537</v>
      </c>
      <c r="W219" s="114">
        <v>2758</v>
      </c>
      <c r="X219" s="114">
        <v>3339</v>
      </c>
      <c r="Y219" s="114">
        <v>4245</v>
      </c>
      <c r="Z219" s="114">
        <v>5400</v>
      </c>
      <c r="AA219" s="114">
        <v>5878</v>
      </c>
      <c r="AB219" s="114">
        <v>7800</v>
      </c>
      <c r="AC219" s="114">
        <v>9900</v>
      </c>
      <c r="AD219" s="114">
        <v>11600</v>
      </c>
      <c r="AE219" s="114">
        <v>12134</v>
      </c>
      <c r="AG219" s="112" t="s">
        <v>2388</v>
      </c>
      <c r="AH219" s="114">
        <v>37</v>
      </c>
      <c r="AI219" s="114">
        <v>37</v>
      </c>
      <c r="AJ219" s="114">
        <v>38</v>
      </c>
      <c r="AK219" s="114">
        <v>39</v>
      </c>
      <c r="AL219" s="114">
        <v>41</v>
      </c>
      <c r="AM219" s="114">
        <v>47</v>
      </c>
      <c r="AN219" s="114">
        <v>73</v>
      </c>
      <c r="AO219" s="114">
        <v>76</v>
      </c>
      <c r="AP219" s="114">
        <v>67</v>
      </c>
      <c r="AQ219" s="114">
        <v>66</v>
      </c>
      <c r="AR219" s="114">
        <v>70</v>
      </c>
      <c r="AS219" s="114">
        <v>66</v>
      </c>
      <c r="AT219" s="114">
        <v>69</v>
      </c>
      <c r="AU219" s="114">
        <v>78</v>
      </c>
      <c r="AV219" s="114">
        <v>189</v>
      </c>
      <c r="AW219" s="114">
        <v>144</v>
      </c>
      <c r="AX219" s="114">
        <v>162</v>
      </c>
      <c r="AY219" s="114">
        <v>144</v>
      </c>
      <c r="AZ219" s="114">
        <v>108</v>
      </c>
      <c r="BA219" s="114">
        <v>143</v>
      </c>
      <c r="BB219" s="114">
        <v>228</v>
      </c>
      <c r="BC219" s="114">
        <v>269</v>
      </c>
      <c r="BD219" s="114">
        <v>279</v>
      </c>
      <c r="BE219" s="114">
        <v>248</v>
      </c>
      <c r="BF219" s="114">
        <v>179</v>
      </c>
      <c r="BG219" s="114">
        <v>177</v>
      </c>
      <c r="BH219" s="114">
        <v>158</v>
      </c>
      <c r="BI219" s="114">
        <v>-31</v>
      </c>
      <c r="BJ219" s="114">
        <v>345</v>
      </c>
      <c r="BK219" s="114">
        <v>325</v>
      </c>
      <c r="BL219" s="114">
        <v>275</v>
      </c>
      <c r="BM219" s="114">
        <v>-52</v>
      </c>
      <c r="BN219" s="114">
        <v>250</v>
      </c>
      <c r="BO219" s="114">
        <v>239</v>
      </c>
      <c r="BP219" s="114">
        <v>483</v>
      </c>
      <c r="BQ219" s="114">
        <v>-6</v>
      </c>
      <c r="BR219" s="114">
        <v>282</v>
      </c>
      <c r="BS219" s="114">
        <v>295</v>
      </c>
      <c r="BT219" s="114">
        <v>148</v>
      </c>
      <c r="BU219" s="114">
        <v>289</v>
      </c>
      <c r="BV219" s="114">
        <v>273</v>
      </c>
      <c r="BW219" s="114">
        <v>275</v>
      </c>
      <c r="BX219" s="114">
        <v>383</v>
      </c>
      <c r="BY219" s="114">
        <v>159</v>
      </c>
      <c r="BZ219" s="114">
        <v>328</v>
      </c>
      <c r="CA219" s="114">
        <v>300</v>
      </c>
      <c r="CB219" s="114">
        <v>249</v>
      </c>
      <c r="CC219" s="114">
        <v>-60</v>
      </c>
      <c r="CD219" s="114">
        <v>183</v>
      </c>
      <c r="CE219" s="114">
        <v>108</v>
      </c>
      <c r="CF219" s="114">
        <v>282</v>
      </c>
      <c r="CG219" s="114">
        <v>311</v>
      </c>
      <c r="CH219" s="114">
        <v>234</v>
      </c>
      <c r="CI219" s="114">
        <v>231</v>
      </c>
      <c r="CJ219" s="114">
        <v>177</v>
      </c>
      <c r="CK219" s="114">
        <v>348</v>
      </c>
      <c r="CL219" s="114">
        <v>249</v>
      </c>
      <c r="CM219" s="114">
        <v>365</v>
      </c>
      <c r="CN219" s="114">
        <v>445</v>
      </c>
      <c r="CO219" s="114">
        <v>381</v>
      </c>
      <c r="CP219" s="114">
        <v>435</v>
      </c>
      <c r="CQ219" s="114">
        <v>481</v>
      </c>
      <c r="CR219" s="114">
        <v>532</v>
      </c>
      <c r="CS219" s="114">
        <v>424</v>
      </c>
      <c r="CT219" s="114">
        <v>585</v>
      </c>
      <c r="CU219" s="114">
        <v>632</v>
      </c>
      <c r="CV219" s="114">
        <v>664</v>
      </c>
      <c r="CW219" s="114">
        <v>410</v>
      </c>
      <c r="CX219" s="114">
        <v>646</v>
      </c>
      <c r="CY219" s="114">
        <v>615</v>
      </c>
      <c r="CZ219" s="114">
        <v>694</v>
      </c>
      <c r="DA219" s="114">
        <v>552</v>
      </c>
      <c r="DB219" s="114">
        <v>668</v>
      </c>
      <c r="DC219" s="114">
        <v>633</v>
      </c>
      <c r="DD219" s="114">
        <v>720</v>
      </c>
      <c r="DE219" s="114">
        <v>460</v>
      </c>
      <c r="DF219" s="114">
        <v>697</v>
      </c>
      <c r="DG219" s="114">
        <v>650</v>
      </c>
      <c r="DH219" s="114">
        <v>738</v>
      </c>
      <c r="DI219" s="114">
        <v>673</v>
      </c>
      <c r="DJ219" s="114">
        <v>670</v>
      </c>
      <c r="DK219" s="114">
        <v>948</v>
      </c>
      <c r="DL219" s="114">
        <v>1001</v>
      </c>
      <c r="DM219" s="114">
        <v>720</v>
      </c>
      <c r="DN219" s="114">
        <v>908</v>
      </c>
      <c r="DO219" s="114">
        <v>1211</v>
      </c>
      <c r="DP219" s="114">
        <v>1205</v>
      </c>
      <c r="DQ219" s="114">
        <v>921</v>
      </c>
      <c r="DR219" s="114">
        <v>1388</v>
      </c>
      <c r="DS219" s="114">
        <v>1506</v>
      </c>
      <c r="DT219" s="114">
        <v>1502</v>
      </c>
      <c r="DU219" s="114">
        <v>1004</v>
      </c>
      <c r="DV219" s="114">
        <v>1443</v>
      </c>
      <c r="DW219" s="114">
        <v>1526</v>
      </c>
      <c r="DX219" s="114">
        <v>1689</v>
      </c>
      <c r="DY219" s="114">
        <v>1221</v>
      </c>
      <c r="DZ219" s="114">
        <v>1816</v>
      </c>
      <c r="EA219" s="114">
        <v>2166</v>
      </c>
      <c r="EB219" s="114">
        <v>2453</v>
      </c>
      <c r="EC219" s="114">
        <v>1365</v>
      </c>
      <c r="ED219" s="114">
        <v>2499</v>
      </c>
      <c r="EE219" s="114">
        <v>2536</v>
      </c>
      <c r="EF219" s="114">
        <v>2710</v>
      </c>
      <c r="EG219" s="114">
        <v>2155</v>
      </c>
      <c r="EH219" s="114">
        <v>2837</v>
      </c>
      <c r="EI219" s="114">
        <v>2995</v>
      </c>
      <c r="EJ219" s="114">
        <v>2926</v>
      </c>
      <c r="EK219" s="114">
        <v>2842</v>
      </c>
      <c r="EL219" s="114">
        <v>2971</v>
      </c>
      <c r="EM219" s="114">
        <v>3203</v>
      </c>
      <c r="EN219" s="114">
        <v>3118</v>
      </c>
    </row>
    <row r="220" spans="1:255">
      <c r="A220" s="103"/>
      <c r="B220" s="103"/>
      <c r="C220" s="103"/>
      <c r="D220" s="103"/>
      <c r="E220" s="103"/>
      <c r="F220" s="103"/>
      <c r="G220" s="103"/>
      <c r="H220" s="103"/>
      <c r="I220" s="103"/>
      <c r="J220" s="103"/>
      <c r="K220" s="103"/>
      <c r="L220" s="103"/>
      <c r="M220" s="103"/>
      <c r="N220" s="103"/>
      <c r="O220" s="103"/>
      <c r="P220" s="103"/>
      <c r="Q220" s="103"/>
      <c r="R220" s="103"/>
      <c r="S220" s="103"/>
      <c r="T220" s="103"/>
      <c r="U220" s="103"/>
      <c r="V220" s="103"/>
      <c r="W220" s="103"/>
      <c r="X220" s="103"/>
      <c r="Y220" s="103"/>
      <c r="Z220" s="103"/>
      <c r="AA220" s="103"/>
      <c r="AB220" s="103"/>
      <c r="AC220" s="103"/>
      <c r="AD220" s="103"/>
      <c r="AE220" s="103"/>
      <c r="AG220" s="103"/>
      <c r="AH220" s="103"/>
      <c r="AI220" s="103"/>
      <c r="AJ220" s="103"/>
      <c r="AK220" s="103"/>
      <c r="AL220" s="103"/>
      <c r="AM220" s="103"/>
      <c r="AN220" s="103"/>
      <c r="AO220" s="103"/>
      <c r="AP220" s="103"/>
      <c r="AQ220" s="103"/>
      <c r="AR220" s="103"/>
      <c r="AS220" s="103"/>
      <c r="AT220" s="103"/>
      <c r="AU220" s="103"/>
      <c r="AV220" s="103"/>
      <c r="AW220" s="103"/>
      <c r="AX220" s="103"/>
      <c r="AY220" s="103"/>
      <c r="AZ220" s="103"/>
      <c r="BA220" s="103"/>
      <c r="BB220" s="103"/>
      <c r="BC220" s="103"/>
      <c r="BD220" s="103"/>
      <c r="BE220" s="103"/>
      <c r="BF220" s="103"/>
      <c r="BG220" s="103"/>
      <c r="BH220" s="103"/>
      <c r="BI220" s="103"/>
      <c r="BJ220" s="103"/>
      <c r="BK220" s="103"/>
      <c r="BL220" s="103"/>
      <c r="BM220" s="103"/>
      <c r="BN220" s="103"/>
      <c r="BO220" s="103"/>
      <c r="BP220" s="103"/>
      <c r="BQ220" s="103"/>
      <c r="BR220" s="103"/>
      <c r="BS220" s="103"/>
      <c r="BT220" s="103"/>
      <c r="BU220" s="103"/>
      <c r="BV220" s="103"/>
      <c r="BW220" s="103"/>
      <c r="BX220" s="103"/>
      <c r="BY220" s="103"/>
      <c r="BZ220" s="103"/>
      <c r="CA220" s="103"/>
      <c r="CB220" s="103"/>
      <c r="CC220" s="103"/>
      <c r="CD220" s="103"/>
      <c r="CE220" s="103"/>
      <c r="CF220" s="103"/>
      <c r="CG220" s="103"/>
      <c r="CH220" s="103"/>
      <c r="CI220" s="103"/>
      <c r="CJ220" s="103"/>
      <c r="CK220" s="103"/>
      <c r="CL220" s="103"/>
      <c r="CM220" s="103"/>
      <c r="CN220" s="103"/>
      <c r="CO220" s="103"/>
      <c r="CP220" s="103"/>
      <c r="CQ220" s="103"/>
      <c r="CR220" s="103"/>
      <c r="CS220" s="103"/>
      <c r="CT220" s="103"/>
      <c r="CU220" s="103"/>
      <c r="CV220" s="103"/>
      <c r="CW220" s="103"/>
      <c r="CX220" s="103"/>
      <c r="CY220" s="103"/>
      <c r="CZ220" s="103"/>
      <c r="DA220" s="103"/>
      <c r="DB220" s="103"/>
      <c r="DC220" s="103"/>
      <c r="DD220" s="103"/>
      <c r="DE220" s="103"/>
      <c r="DF220" s="103"/>
      <c r="DG220" s="103"/>
      <c r="DH220" s="103"/>
      <c r="DI220" s="103"/>
      <c r="DJ220" s="103"/>
      <c r="DK220" s="103"/>
      <c r="DL220" s="103"/>
      <c r="DM220" s="103"/>
      <c r="DN220" s="103"/>
      <c r="DO220" s="103"/>
      <c r="DP220" s="103"/>
      <c r="DQ220" s="103"/>
      <c r="DR220" s="103"/>
      <c r="DS220" s="103"/>
      <c r="DT220" s="103"/>
      <c r="DU220" s="103"/>
      <c r="DV220" s="103"/>
      <c r="DW220" s="103"/>
      <c r="DX220" s="103"/>
      <c r="DY220" s="103"/>
      <c r="DZ220" s="103"/>
      <c r="EA220" s="103"/>
      <c r="EB220" s="103"/>
      <c r="EC220" s="103"/>
      <c r="ED220" s="103"/>
      <c r="EE220" s="103"/>
      <c r="EF220" s="103"/>
      <c r="EG220" s="103"/>
      <c r="EH220" s="103"/>
      <c r="EI220" s="103"/>
      <c r="EJ220" s="103"/>
      <c r="EK220" s="103"/>
      <c r="EL220" s="103"/>
      <c r="EM220" s="103"/>
      <c r="EN220" s="103"/>
    </row>
    <row r="221" spans="1:255">
      <c r="A221" s="103" t="s">
        <v>2389</v>
      </c>
      <c r="B221" s="113">
        <v>0</v>
      </c>
      <c r="C221" s="113">
        <v>0</v>
      </c>
      <c r="D221" s="113">
        <v>0</v>
      </c>
      <c r="E221" s="113">
        <v>0</v>
      </c>
      <c r="F221" s="113">
        <v>0</v>
      </c>
      <c r="G221" s="113">
        <v>0</v>
      </c>
      <c r="H221" s="113">
        <v>0</v>
      </c>
      <c r="I221" s="113">
        <v>0</v>
      </c>
      <c r="J221" s="113">
        <v>0</v>
      </c>
      <c r="K221" s="113">
        <v>0</v>
      </c>
      <c r="L221" s="113">
        <v>0</v>
      </c>
      <c r="M221" s="113">
        <v>0</v>
      </c>
      <c r="N221" s="113">
        <v>0</v>
      </c>
      <c r="O221" s="113">
        <v>0</v>
      </c>
      <c r="P221" s="113">
        <v>0</v>
      </c>
      <c r="Q221" s="113">
        <v>0</v>
      </c>
      <c r="R221" s="113">
        <v>0</v>
      </c>
      <c r="S221" s="113">
        <v>0</v>
      </c>
      <c r="T221" s="113">
        <v>65</v>
      </c>
      <c r="U221" s="113">
        <v>97</v>
      </c>
      <c r="V221" s="113">
        <v>114</v>
      </c>
      <c r="W221" s="113">
        <v>117</v>
      </c>
      <c r="X221" s="113">
        <v>210</v>
      </c>
      <c r="Y221" s="113">
        <v>200</v>
      </c>
      <c r="Z221" s="113">
        <v>79</v>
      </c>
      <c r="AA221" s="113">
        <v>69</v>
      </c>
      <c r="AB221" s="113">
        <v>0</v>
      </c>
      <c r="AC221" s="113">
        <v>0</v>
      </c>
      <c r="AD221" s="113">
        <v>0</v>
      </c>
      <c r="AE221" s="113">
        <v>0</v>
      </c>
      <c r="AG221" s="103" t="s">
        <v>2389</v>
      </c>
      <c r="AH221" s="113">
        <v>0</v>
      </c>
      <c r="AI221" s="113">
        <v>0</v>
      </c>
      <c r="AJ221" s="113">
        <v>0</v>
      </c>
      <c r="AK221" s="113">
        <v>0</v>
      </c>
      <c r="AL221" s="113">
        <v>0</v>
      </c>
      <c r="AM221" s="113">
        <v>0</v>
      </c>
      <c r="AN221" s="113">
        <v>0</v>
      </c>
      <c r="AO221" s="113">
        <v>0</v>
      </c>
      <c r="AP221" s="113">
        <v>0</v>
      </c>
      <c r="AQ221" s="113">
        <v>0</v>
      </c>
      <c r="AR221" s="113">
        <v>0</v>
      </c>
      <c r="AS221" s="113">
        <v>0</v>
      </c>
      <c r="AT221" s="113">
        <v>0</v>
      </c>
      <c r="AU221" s="113">
        <v>0</v>
      </c>
      <c r="AV221" s="113">
        <v>0</v>
      </c>
      <c r="AW221" s="113">
        <v>0</v>
      </c>
      <c r="AX221" s="113">
        <v>0</v>
      </c>
      <c r="AY221" s="113">
        <v>0</v>
      </c>
      <c r="AZ221" s="113">
        <v>0</v>
      </c>
      <c r="BA221" s="113">
        <v>0</v>
      </c>
      <c r="BB221" s="113">
        <v>0</v>
      </c>
      <c r="BC221" s="113">
        <v>0</v>
      </c>
      <c r="BD221" s="113">
        <v>0</v>
      </c>
      <c r="BE221" s="113">
        <v>0</v>
      </c>
      <c r="BF221" s="113">
        <v>0</v>
      </c>
      <c r="BG221" s="113">
        <v>0</v>
      </c>
      <c r="BH221" s="113">
        <v>0</v>
      </c>
      <c r="BI221" s="113">
        <v>0</v>
      </c>
      <c r="BJ221" s="113">
        <v>0</v>
      </c>
      <c r="BK221" s="113">
        <v>0</v>
      </c>
      <c r="BL221" s="113">
        <v>0</v>
      </c>
      <c r="BM221" s="113">
        <v>0</v>
      </c>
      <c r="BN221" s="113">
        <v>0</v>
      </c>
      <c r="BO221" s="113">
        <v>0</v>
      </c>
      <c r="BP221" s="113">
        <v>0</v>
      </c>
      <c r="BQ221" s="113">
        <v>0</v>
      </c>
      <c r="BR221" s="113">
        <v>0</v>
      </c>
      <c r="BS221" s="113">
        <v>0</v>
      </c>
      <c r="BT221" s="113">
        <v>0</v>
      </c>
      <c r="BU221" s="113">
        <v>0</v>
      </c>
      <c r="BV221" s="113">
        <v>0</v>
      </c>
      <c r="BW221" s="113">
        <v>0</v>
      </c>
      <c r="BX221" s="113">
        <v>0</v>
      </c>
      <c r="BY221" s="113">
        <v>0</v>
      </c>
      <c r="BZ221" s="113">
        <v>0</v>
      </c>
      <c r="CA221" s="113">
        <v>0</v>
      </c>
      <c r="CB221" s="113">
        <v>0</v>
      </c>
      <c r="CC221" s="113">
        <v>0</v>
      </c>
      <c r="CD221" s="113">
        <v>0</v>
      </c>
      <c r="CE221" s="113">
        <v>0</v>
      </c>
      <c r="CF221" s="113">
        <v>0</v>
      </c>
      <c r="CG221" s="113">
        <v>0</v>
      </c>
      <c r="CH221" s="113">
        <v>0</v>
      </c>
      <c r="CI221" s="113">
        <v>0</v>
      </c>
      <c r="CJ221" s="113">
        <v>0</v>
      </c>
      <c r="CK221" s="113">
        <v>0</v>
      </c>
      <c r="CL221" s="113">
        <v>0</v>
      </c>
      <c r="CM221" s="113">
        <v>0</v>
      </c>
      <c r="CN221" s="113">
        <v>0</v>
      </c>
      <c r="CO221" s="113">
        <v>0</v>
      </c>
      <c r="CP221" s="113">
        <v>0</v>
      </c>
      <c r="CQ221" s="113">
        <v>0</v>
      </c>
      <c r="CR221" s="113">
        <v>0</v>
      </c>
      <c r="CS221" s="113">
        <v>0</v>
      </c>
      <c r="CT221" s="113">
        <v>0</v>
      </c>
      <c r="CU221" s="113">
        <v>0</v>
      </c>
      <c r="CV221" s="113">
        <v>0</v>
      </c>
      <c r="CW221" s="113">
        <v>0</v>
      </c>
      <c r="CX221" s="113">
        <v>0</v>
      </c>
      <c r="CY221" s="113">
        <v>0</v>
      </c>
      <c r="CZ221" s="113">
        <v>0</v>
      </c>
      <c r="DA221" s="113">
        <v>97</v>
      </c>
      <c r="DB221" s="113">
        <v>26</v>
      </c>
      <c r="DC221" s="113">
        <v>30</v>
      </c>
      <c r="DD221" s="113">
        <v>0</v>
      </c>
      <c r="DE221" s="113">
        <v>114</v>
      </c>
      <c r="DF221" s="113">
        <v>29</v>
      </c>
      <c r="DG221" s="113">
        <v>28</v>
      </c>
      <c r="DH221" s="113">
        <v>28</v>
      </c>
      <c r="DI221" s="113">
        <v>32</v>
      </c>
      <c r="DJ221" s="113">
        <v>40</v>
      </c>
      <c r="DK221" s="113">
        <v>61</v>
      </c>
      <c r="DL221" s="113">
        <v>52</v>
      </c>
      <c r="DM221" s="113">
        <v>57</v>
      </c>
      <c r="DN221" s="113">
        <v>46</v>
      </c>
      <c r="DO221" s="113">
        <v>50</v>
      </c>
      <c r="DP221" s="113">
        <v>50</v>
      </c>
      <c r="DQ221" s="113">
        <v>54</v>
      </c>
      <c r="DR221" s="113">
        <v>40</v>
      </c>
      <c r="DS221" s="113">
        <v>15</v>
      </c>
      <c r="DT221" s="113">
        <v>13</v>
      </c>
      <c r="DU221" s="113">
        <v>11</v>
      </c>
      <c r="DV221" s="113">
        <v>18</v>
      </c>
      <c r="DW221" s="113">
        <v>18</v>
      </c>
      <c r="DX221" s="113">
        <v>18</v>
      </c>
      <c r="DY221" s="113">
        <v>14</v>
      </c>
      <c r="DZ221" s="113">
        <v>0</v>
      </c>
      <c r="EA221" s="113">
        <v>0</v>
      </c>
      <c r="EB221" s="113">
        <v>0</v>
      </c>
      <c r="EC221" s="113">
        <v>55</v>
      </c>
      <c r="ED221" s="113">
        <v>0</v>
      </c>
      <c r="EE221" s="113">
        <v>0</v>
      </c>
      <c r="EF221" s="113">
        <v>0</v>
      </c>
      <c r="EG221" s="113">
        <v>0</v>
      </c>
      <c r="EH221" s="113">
        <v>0</v>
      </c>
      <c r="EI221" s="113">
        <v>0</v>
      </c>
      <c r="EJ221" s="113">
        <v>0</v>
      </c>
      <c r="EK221" s="113">
        <v>0</v>
      </c>
      <c r="EL221" s="113">
        <v>0</v>
      </c>
      <c r="EM221" s="113">
        <v>0</v>
      </c>
      <c r="EN221" s="113">
        <v>0</v>
      </c>
    </row>
    <row r="222" spans="1:255">
      <c r="A222" s="10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c r="AA222" s="113"/>
      <c r="AB222" s="113"/>
      <c r="AC222" s="113"/>
      <c r="AD222" s="113"/>
      <c r="AE222" s="113"/>
      <c r="AG222" s="103" t="s">
        <v>2390</v>
      </c>
      <c r="AH222" s="113">
        <v>0</v>
      </c>
      <c r="AI222" s="113">
        <v>0</v>
      </c>
      <c r="AJ222" s="113">
        <v>0</v>
      </c>
      <c r="AK222" s="113">
        <v>0</v>
      </c>
      <c r="AL222" s="113">
        <v>0</v>
      </c>
      <c r="AM222" s="113">
        <v>0</v>
      </c>
      <c r="AN222" s="113">
        <v>0</v>
      </c>
      <c r="AO222" s="113">
        <v>0</v>
      </c>
      <c r="AP222" s="113">
        <v>0</v>
      </c>
      <c r="AQ222" s="113">
        <v>0</v>
      </c>
      <c r="AR222" s="113">
        <v>0</v>
      </c>
      <c r="AS222" s="113">
        <v>0</v>
      </c>
      <c r="AT222" s="113">
        <v>0</v>
      </c>
      <c r="AU222" s="113">
        <v>0</v>
      </c>
      <c r="AV222" s="113">
        <v>0</v>
      </c>
      <c r="AW222" s="113">
        <v>0</v>
      </c>
      <c r="AX222" s="113">
        <v>0</v>
      </c>
      <c r="AY222" s="113">
        <v>0</v>
      </c>
      <c r="AZ222" s="113">
        <v>0</v>
      </c>
      <c r="BA222" s="113">
        <v>0</v>
      </c>
      <c r="BB222" s="113">
        <v>0</v>
      </c>
      <c r="BC222" s="113">
        <v>0</v>
      </c>
      <c r="BD222" s="113">
        <v>0</v>
      </c>
      <c r="BE222" s="113">
        <v>0</v>
      </c>
      <c r="BF222" s="113">
        <v>-160</v>
      </c>
      <c r="BG222" s="113">
        <v>0</v>
      </c>
      <c r="BH222" s="113">
        <v>0</v>
      </c>
      <c r="BI222" s="113">
        <v>0</v>
      </c>
      <c r="BJ222" s="113">
        <v>0</v>
      </c>
      <c r="BK222" s="113">
        <v>0</v>
      </c>
      <c r="BL222" s="113">
        <v>0</v>
      </c>
      <c r="BM222" s="113">
        <v>0</v>
      </c>
      <c r="BN222" s="113">
        <v>0</v>
      </c>
      <c r="BO222" s="113">
        <v>0</v>
      </c>
      <c r="BP222" s="113">
        <v>0</v>
      </c>
      <c r="BQ222" s="113">
        <v>0</v>
      </c>
      <c r="BR222" s="113">
        <v>0</v>
      </c>
      <c r="BS222" s="113">
        <v>0</v>
      </c>
      <c r="BT222" s="113">
        <v>0</v>
      </c>
      <c r="BU222" s="113">
        <v>0</v>
      </c>
      <c r="BV222" s="113">
        <v>0</v>
      </c>
      <c r="BW222" s="113">
        <v>0</v>
      </c>
      <c r="BX222" s="113">
        <v>0</v>
      </c>
      <c r="BY222" s="113">
        <v>0</v>
      </c>
      <c r="BZ222" s="113">
        <v>0</v>
      </c>
      <c r="CA222" s="113">
        <v>0</v>
      </c>
      <c r="CB222" s="113">
        <v>0</v>
      </c>
      <c r="CC222" s="113">
        <v>0</v>
      </c>
      <c r="CD222" s="113">
        <v>0</v>
      </c>
      <c r="CE222" s="113">
        <v>0</v>
      </c>
      <c r="CF222" s="113">
        <v>0</v>
      </c>
      <c r="CG222" s="113">
        <v>0</v>
      </c>
      <c r="CH222" s="113">
        <v>0</v>
      </c>
      <c r="CI222" s="113">
        <v>0</v>
      </c>
      <c r="CJ222" s="113">
        <v>0</v>
      </c>
      <c r="CK222" s="113">
        <v>0</v>
      </c>
      <c r="CL222" s="113">
        <v>0</v>
      </c>
      <c r="CM222" s="113">
        <v>0</v>
      </c>
      <c r="CN222" s="113">
        <v>0</v>
      </c>
      <c r="CO222" s="113">
        <v>0</v>
      </c>
      <c r="CP222" s="113">
        <v>0</v>
      </c>
      <c r="CQ222" s="113">
        <v>0</v>
      </c>
      <c r="CR222" s="113">
        <v>0</v>
      </c>
      <c r="CS222" s="113">
        <v>0</v>
      </c>
      <c r="CT222" s="113">
        <v>0</v>
      </c>
      <c r="CU222" s="113">
        <v>0</v>
      </c>
      <c r="CV222" s="113">
        <v>0</v>
      </c>
      <c r="CW222" s="113">
        <v>0</v>
      </c>
      <c r="CX222" s="113">
        <v>0</v>
      </c>
      <c r="CY222" s="113">
        <v>0</v>
      </c>
      <c r="CZ222" s="113">
        <v>0</v>
      </c>
      <c r="DA222" s="113">
        <v>0</v>
      </c>
      <c r="DB222" s="113">
        <v>0</v>
      </c>
      <c r="DC222" s="113">
        <v>0</v>
      </c>
      <c r="DD222" s="113">
        <v>0</v>
      </c>
      <c r="DE222" s="113">
        <v>0</v>
      </c>
      <c r="DF222" s="113">
        <v>0</v>
      </c>
      <c r="DG222" s="113">
        <v>0</v>
      </c>
      <c r="DH222" s="113">
        <v>0</v>
      </c>
      <c r="DI222" s="113">
        <v>0</v>
      </c>
      <c r="DJ222" s="113">
        <v>0</v>
      </c>
      <c r="DK222" s="113">
        <v>0</v>
      </c>
      <c r="DL222" s="113">
        <v>0</v>
      </c>
      <c r="DM222" s="113">
        <v>0</v>
      </c>
      <c r="DN222" s="113">
        <v>0</v>
      </c>
      <c r="DO222" s="113">
        <v>0</v>
      </c>
      <c r="DP222" s="113">
        <v>0</v>
      </c>
      <c r="DQ222" s="113">
        <v>0</v>
      </c>
      <c r="DR222" s="113">
        <v>0</v>
      </c>
      <c r="DS222" s="113">
        <v>0</v>
      </c>
      <c r="DT222" s="113">
        <v>0</v>
      </c>
      <c r="DU222" s="113">
        <v>0</v>
      </c>
      <c r="DV222" s="113">
        <v>0</v>
      </c>
      <c r="DW222" s="113">
        <v>0</v>
      </c>
      <c r="DX222" s="113">
        <v>0</v>
      </c>
      <c r="DY222" s="113">
        <v>0</v>
      </c>
      <c r="DZ222" s="113">
        <v>0</v>
      </c>
      <c r="EA222" s="113">
        <v>0</v>
      </c>
      <c r="EB222" s="113">
        <v>0</v>
      </c>
      <c r="EC222" s="113">
        <v>0</v>
      </c>
      <c r="ED222" s="113">
        <v>0</v>
      </c>
      <c r="EE222" s="113">
        <v>0</v>
      </c>
      <c r="EF222" s="113">
        <v>0</v>
      </c>
      <c r="EG222" s="113">
        <v>0</v>
      </c>
      <c r="EH222" s="113">
        <v>0</v>
      </c>
      <c r="EI222" s="113">
        <v>0</v>
      </c>
      <c r="EJ222" s="113">
        <v>0</v>
      </c>
      <c r="EK222" s="113">
        <v>0</v>
      </c>
      <c r="EL222" s="113">
        <v>0</v>
      </c>
      <c r="EM222" s="113">
        <v>0</v>
      </c>
      <c r="EN222" s="113">
        <v>0</v>
      </c>
    </row>
    <row r="223" spans="1:255">
      <c r="A223" s="103" t="s">
        <v>2391</v>
      </c>
      <c r="B223" s="113">
        <v>0</v>
      </c>
      <c r="C223" s="113">
        <v>0</v>
      </c>
      <c r="D223" s="113">
        <v>0</v>
      </c>
      <c r="E223" s="113">
        <v>0</v>
      </c>
      <c r="F223" s="113">
        <v>0</v>
      </c>
      <c r="G223" s="113">
        <v>0</v>
      </c>
      <c r="H223" s="113">
        <v>0</v>
      </c>
      <c r="I223" s="113">
        <v>0</v>
      </c>
      <c r="J223" s="113">
        <v>-803</v>
      </c>
      <c r="K223" s="113">
        <v>-1732</v>
      </c>
      <c r="L223" s="113">
        <v>2221</v>
      </c>
      <c r="M223" s="113">
        <v>2424</v>
      </c>
      <c r="N223" s="113">
        <v>380</v>
      </c>
      <c r="O223" s="113">
        <v>-1296</v>
      </c>
      <c r="P223" s="113">
        <v>-527</v>
      </c>
      <c r="Q223" s="113">
        <v>-270</v>
      </c>
      <c r="R223" s="113">
        <v>-292</v>
      </c>
      <c r="S223" s="113">
        <v>-572</v>
      </c>
      <c r="T223" s="113">
        <v>683</v>
      </c>
      <c r="U223" s="113">
        <v>-208</v>
      </c>
      <c r="V223" s="113">
        <v>-362</v>
      </c>
      <c r="W223" s="113">
        <v>-200</v>
      </c>
      <c r="X223" s="113">
        <v>80</v>
      </c>
      <c r="Y223" s="113">
        <v>-109</v>
      </c>
      <c r="Z223" s="113">
        <v>-443</v>
      </c>
      <c r="AA223" s="113">
        <v>-223</v>
      </c>
      <c r="AB223" s="113">
        <v>-2073</v>
      </c>
      <c r="AC223" s="113">
        <v>-2212</v>
      </c>
      <c r="AD223" s="113">
        <v>-792</v>
      </c>
      <c r="AE223" s="113">
        <v>-462</v>
      </c>
      <c r="AG223" s="103" t="s">
        <v>2391</v>
      </c>
      <c r="AH223" s="113">
        <v>0</v>
      </c>
      <c r="AI223" s="113">
        <v>0</v>
      </c>
      <c r="AJ223" s="113">
        <v>0</v>
      </c>
      <c r="AK223" s="113">
        <v>0</v>
      </c>
      <c r="AL223" s="113">
        <v>0</v>
      </c>
      <c r="AM223" s="113">
        <v>0</v>
      </c>
      <c r="AN223" s="113">
        <v>0</v>
      </c>
      <c r="AO223" s="113">
        <v>0</v>
      </c>
      <c r="AP223" s="113">
        <v>0</v>
      </c>
      <c r="AQ223" s="113">
        <v>0</v>
      </c>
      <c r="AR223" s="113">
        <v>0</v>
      </c>
      <c r="AS223" s="113">
        <v>0</v>
      </c>
      <c r="AT223" s="113">
        <v>0</v>
      </c>
      <c r="AU223" s="113">
        <v>0</v>
      </c>
      <c r="AV223" s="113">
        <v>0</v>
      </c>
      <c r="AW223" s="113">
        <v>0</v>
      </c>
      <c r="AX223" s="113">
        <v>0</v>
      </c>
      <c r="AY223" s="113">
        <v>0</v>
      </c>
      <c r="AZ223" s="113">
        <v>0</v>
      </c>
      <c r="BA223" s="113">
        <v>0</v>
      </c>
      <c r="BB223" s="113">
        <v>0</v>
      </c>
      <c r="BC223" s="113">
        <v>0</v>
      </c>
      <c r="BD223" s="113">
        <v>0</v>
      </c>
      <c r="BE223" s="113">
        <v>0</v>
      </c>
      <c r="BF223" s="113">
        <v>0</v>
      </c>
      <c r="BG223" s="113">
        <v>0</v>
      </c>
      <c r="BH223" s="113">
        <v>0</v>
      </c>
      <c r="BI223" s="113">
        <v>0</v>
      </c>
      <c r="BJ223" s="113">
        <v>-200</v>
      </c>
      <c r="BK223" s="113">
        <v>-391</v>
      </c>
      <c r="BL223" s="113">
        <v>-487</v>
      </c>
      <c r="BM223" s="113">
        <v>-654</v>
      </c>
      <c r="BN223" s="113">
        <v>-599</v>
      </c>
      <c r="BO223" s="113">
        <v>-244</v>
      </c>
      <c r="BP223" s="113">
        <v>-100</v>
      </c>
      <c r="BQ223" s="113">
        <v>3164</v>
      </c>
      <c r="BR223" s="113">
        <v>1517</v>
      </c>
      <c r="BS223" s="113">
        <v>-55</v>
      </c>
      <c r="BT223" s="113">
        <v>-210</v>
      </c>
      <c r="BU223" s="113">
        <v>1172</v>
      </c>
      <c r="BV223" s="113">
        <v>475</v>
      </c>
      <c r="BW223" s="113">
        <v>140</v>
      </c>
      <c r="BX223" s="113">
        <v>-17</v>
      </c>
      <c r="BY223" s="113">
        <v>-218</v>
      </c>
      <c r="BZ223" s="113">
        <v>-279</v>
      </c>
      <c r="CA223" s="113">
        <v>-321</v>
      </c>
      <c r="CB223" s="113">
        <v>-512</v>
      </c>
      <c r="CC223" s="113">
        <v>-184</v>
      </c>
      <c r="CD223" s="113">
        <v>165</v>
      </c>
      <c r="CE223" s="113">
        <v>74</v>
      </c>
      <c r="CF223" s="113">
        <v>-223</v>
      </c>
      <c r="CG223" s="113">
        <v>-543</v>
      </c>
      <c r="CH223" s="113">
        <v>-130</v>
      </c>
      <c r="CI223" s="113">
        <v>-75</v>
      </c>
      <c r="CJ223" s="113">
        <v>-59</v>
      </c>
      <c r="CK223" s="113">
        <v>-6</v>
      </c>
      <c r="CL223" s="113">
        <v>-206</v>
      </c>
      <c r="CM223" s="113">
        <v>-29</v>
      </c>
      <c r="CN223" s="113">
        <v>-61</v>
      </c>
      <c r="CO223" s="113">
        <v>4</v>
      </c>
      <c r="CP223" s="113">
        <v>-187</v>
      </c>
      <c r="CQ223" s="113">
        <v>-134</v>
      </c>
      <c r="CR223" s="113">
        <v>-179</v>
      </c>
      <c r="CS223" s="113">
        <v>-72</v>
      </c>
      <c r="CT223" s="113">
        <v>36</v>
      </c>
      <c r="CU223" s="113">
        <v>139</v>
      </c>
      <c r="CV223" s="113">
        <v>507</v>
      </c>
      <c r="CW223" s="113">
        <v>1</v>
      </c>
      <c r="CX223" s="113">
        <v>-66</v>
      </c>
      <c r="CY223" s="113">
        <v>-188</v>
      </c>
      <c r="CZ223" s="113">
        <v>-68</v>
      </c>
      <c r="DA223" s="113">
        <v>114</v>
      </c>
      <c r="DB223" s="113">
        <v>-29</v>
      </c>
      <c r="DC223" s="113">
        <v>-226</v>
      </c>
      <c r="DD223" s="113">
        <v>-122</v>
      </c>
      <c r="DE223" s="113">
        <v>15</v>
      </c>
      <c r="DF223" s="113">
        <v>-30</v>
      </c>
      <c r="DG223" s="113">
        <v>-112</v>
      </c>
      <c r="DH223" s="113">
        <v>68</v>
      </c>
      <c r="DI223" s="113">
        <v>-126</v>
      </c>
      <c r="DJ223" s="113">
        <v>11</v>
      </c>
      <c r="DK223" s="113">
        <v>22</v>
      </c>
      <c r="DL223" s="113">
        <v>-52</v>
      </c>
      <c r="DM223" s="113">
        <v>99</v>
      </c>
      <c r="DN223" s="113">
        <v>93</v>
      </c>
      <c r="DO223" s="113">
        <v>47</v>
      </c>
      <c r="DP223" s="113">
        <v>-40</v>
      </c>
      <c r="DQ223" s="113">
        <v>-209</v>
      </c>
      <c r="DR223" s="113">
        <v>55</v>
      </c>
      <c r="DS223" s="113">
        <v>-179</v>
      </c>
      <c r="DT223" s="113">
        <v>-55</v>
      </c>
      <c r="DU223" s="113">
        <v>-264</v>
      </c>
      <c r="DV223" s="113">
        <v>101</v>
      </c>
      <c r="DW223" s="113">
        <v>50</v>
      </c>
      <c r="DX223" s="113">
        <v>65</v>
      </c>
      <c r="DY223" s="113">
        <v>-439</v>
      </c>
      <c r="DZ223" s="113">
        <v>-311</v>
      </c>
      <c r="EA223" s="113">
        <v>-652</v>
      </c>
      <c r="EB223" s="113">
        <v>-590</v>
      </c>
      <c r="EC223" s="113">
        <v>-520</v>
      </c>
      <c r="ED223" s="113">
        <v>-523</v>
      </c>
      <c r="EE223" s="113">
        <v>-684</v>
      </c>
      <c r="EF223" s="113">
        <v>-438</v>
      </c>
      <c r="EG223" s="113">
        <v>-567</v>
      </c>
      <c r="EH223" s="113">
        <v>-240</v>
      </c>
      <c r="EI223" s="113">
        <v>-135</v>
      </c>
      <c r="EJ223" s="113">
        <v>-95</v>
      </c>
      <c r="EK223" s="113">
        <v>-322</v>
      </c>
      <c r="EL223" s="113">
        <v>11</v>
      </c>
      <c r="EM223" s="113">
        <v>-203</v>
      </c>
      <c r="EN223" s="113">
        <v>52</v>
      </c>
    </row>
    <row r="224" spans="1:255">
      <c r="A224" s="103" t="s">
        <v>2392</v>
      </c>
      <c r="B224" s="113">
        <v>0</v>
      </c>
      <c r="C224" s="113">
        <v>0</v>
      </c>
      <c r="D224" s="113">
        <v>0</v>
      </c>
      <c r="E224" s="113">
        <v>0</v>
      </c>
      <c r="F224" s="113">
        <v>0</v>
      </c>
      <c r="G224" s="113">
        <v>0</v>
      </c>
      <c r="H224" s="113">
        <v>0</v>
      </c>
      <c r="I224" s="113">
        <v>296</v>
      </c>
      <c r="J224" s="113">
        <v>0</v>
      </c>
      <c r="K224" s="113">
        <v>234</v>
      </c>
      <c r="L224" s="113">
        <v>0</v>
      </c>
      <c r="M224" s="113">
        <v>0</v>
      </c>
      <c r="N224" s="113">
        <v>0</v>
      </c>
      <c r="O224" s="113">
        <v>0</v>
      </c>
      <c r="P224" s="113">
        <v>0</v>
      </c>
      <c r="Q224" s="113">
        <v>0</v>
      </c>
      <c r="R224" s="113">
        <v>0</v>
      </c>
      <c r="S224" s="113">
        <v>0</v>
      </c>
      <c r="T224" s="113">
        <v>0</v>
      </c>
      <c r="U224" s="113">
        <v>0</v>
      </c>
      <c r="V224" s="113">
        <v>0</v>
      </c>
      <c r="W224" s="113">
        <v>6193</v>
      </c>
      <c r="X224" s="113">
        <v>0</v>
      </c>
      <c r="Y224" s="113">
        <v>0</v>
      </c>
      <c r="Z224" s="113">
        <v>7498</v>
      </c>
      <c r="AA224" s="113">
        <v>630</v>
      </c>
      <c r="AB224" s="113">
        <v>0</v>
      </c>
      <c r="AC224" s="113">
        <v>0</v>
      </c>
      <c r="AD224" s="113">
        <v>0</v>
      </c>
      <c r="AE224" s="113">
        <v>0</v>
      </c>
      <c r="AG224" s="103" t="s">
        <v>2392</v>
      </c>
      <c r="AH224" s="113">
        <v>0</v>
      </c>
      <c r="AI224" s="113">
        <v>0</v>
      </c>
      <c r="AJ224" s="113">
        <v>0</v>
      </c>
      <c r="AK224" s="113">
        <v>0</v>
      </c>
      <c r="AL224" s="113">
        <v>0</v>
      </c>
      <c r="AM224" s="113">
        <v>0</v>
      </c>
      <c r="AN224" s="113">
        <v>0</v>
      </c>
      <c r="AO224" s="113">
        <v>0</v>
      </c>
      <c r="AP224" s="113">
        <v>0</v>
      </c>
      <c r="AQ224" s="113">
        <v>0</v>
      </c>
      <c r="AR224" s="113">
        <v>0</v>
      </c>
      <c r="AS224" s="113">
        <v>0</v>
      </c>
      <c r="AT224" s="113">
        <v>0</v>
      </c>
      <c r="AU224" s="113">
        <v>0</v>
      </c>
      <c r="AV224" s="113">
        <v>0</v>
      </c>
      <c r="AW224" s="113">
        <v>0</v>
      </c>
      <c r="AX224" s="113">
        <v>0</v>
      </c>
      <c r="AY224" s="113">
        <v>0</v>
      </c>
      <c r="AZ224" s="113">
        <v>0</v>
      </c>
      <c r="BA224" s="113">
        <v>0</v>
      </c>
      <c r="BB224" s="113">
        <v>296</v>
      </c>
      <c r="BC224" s="113">
        <v>0</v>
      </c>
      <c r="BD224" s="113">
        <v>0</v>
      </c>
      <c r="BE224" s="113">
        <v>0</v>
      </c>
      <c r="BF224" s="113">
        <v>0</v>
      </c>
      <c r="BG224" s="113">
        <v>0</v>
      </c>
      <c r="BH224" s="113">
        <v>0</v>
      </c>
      <c r="BI224" s="113">
        <v>0</v>
      </c>
      <c r="BJ224" s="113">
        <v>0</v>
      </c>
      <c r="BK224" s="113">
        <v>0</v>
      </c>
      <c r="BL224" s="113">
        <v>0</v>
      </c>
      <c r="BM224" s="113">
        <v>0</v>
      </c>
      <c r="BN224" s="113">
        <v>0</v>
      </c>
      <c r="BO224" s="113">
        <v>0</v>
      </c>
      <c r="BP224" s="113">
        <v>0</v>
      </c>
      <c r="BQ224" s="113">
        <v>311</v>
      </c>
      <c r="BR224" s="113">
        <v>0</v>
      </c>
      <c r="BS224" s="113">
        <v>0</v>
      </c>
      <c r="BT224" s="113">
        <v>0</v>
      </c>
      <c r="BU224" s="113">
        <v>0</v>
      </c>
      <c r="BV224" s="113">
        <v>0</v>
      </c>
      <c r="BW224" s="113">
        <v>0</v>
      </c>
      <c r="BX224" s="113">
        <v>0</v>
      </c>
      <c r="BY224" s="113">
        <v>0</v>
      </c>
      <c r="BZ224" s="113">
        <v>0</v>
      </c>
      <c r="CA224" s="113">
        <v>0</v>
      </c>
      <c r="CB224" s="113">
        <v>0</v>
      </c>
      <c r="CC224" s="113">
        <v>0</v>
      </c>
      <c r="CD224" s="113">
        <v>0</v>
      </c>
      <c r="CE224" s="113">
        <v>0</v>
      </c>
      <c r="CF224" s="113">
        <v>0</v>
      </c>
      <c r="CG224" s="113">
        <v>0</v>
      </c>
      <c r="CH224" s="113">
        <v>0</v>
      </c>
      <c r="CI224" s="113">
        <v>0</v>
      </c>
      <c r="CJ224" s="113">
        <v>0</v>
      </c>
      <c r="CK224" s="113">
        <v>0</v>
      </c>
      <c r="CL224" s="113">
        <v>0</v>
      </c>
      <c r="CM224" s="113">
        <v>0</v>
      </c>
      <c r="CN224" s="113">
        <v>0</v>
      </c>
      <c r="CO224" s="113">
        <v>0</v>
      </c>
      <c r="CP224" s="113">
        <v>0</v>
      </c>
      <c r="CQ224" s="113">
        <v>0</v>
      </c>
      <c r="CR224" s="113">
        <v>0</v>
      </c>
      <c r="CS224" s="113">
        <v>0</v>
      </c>
      <c r="CT224" s="113">
        <v>0</v>
      </c>
      <c r="CU224" s="113">
        <v>0</v>
      </c>
      <c r="CV224" s="113">
        <v>0</v>
      </c>
      <c r="CW224" s="113">
        <v>0</v>
      </c>
      <c r="CX224" s="113">
        <v>0</v>
      </c>
      <c r="CY224" s="113">
        <v>0</v>
      </c>
      <c r="CZ224" s="113">
        <v>0</v>
      </c>
      <c r="DA224" s="113">
        <v>0</v>
      </c>
      <c r="DB224" s="113">
        <v>0</v>
      </c>
      <c r="DC224" s="113">
        <v>0</v>
      </c>
      <c r="DD224" s="113">
        <v>0</v>
      </c>
      <c r="DE224" s="113">
        <v>0</v>
      </c>
      <c r="DF224" s="113">
        <v>0</v>
      </c>
      <c r="DG224" s="113">
        <v>0</v>
      </c>
      <c r="DH224" s="113">
        <v>0</v>
      </c>
      <c r="DI224" s="113">
        <v>6193</v>
      </c>
      <c r="DJ224" s="113">
        <v>0</v>
      </c>
      <c r="DK224" s="113">
        <v>0</v>
      </c>
      <c r="DL224" s="113">
        <v>0</v>
      </c>
      <c r="DM224" s="113">
        <v>0</v>
      </c>
      <c r="DN224" s="113">
        <v>0</v>
      </c>
      <c r="DO224" s="113">
        <v>0</v>
      </c>
      <c r="DP224" s="113">
        <v>0</v>
      </c>
      <c r="DQ224" s="113">
        <v>0</v>
      </c>
      <c r="DR224" s="113">
        <v>0</v>
      </c>
      <c r="DS224" s="113">
        <v>0</v>
      </c>
      <c r="DT224" s="113">
        <v>0</v>
      </c>
      <c r="DU224" s="113">
        <v>7498</v>
      </c>
      <c r="DV224" s="113">
        <v>0</v>
      </c>
      <c r="DW224" s="113">
        <v>0</v>
      </c>
      <c r="DX224" s="113">
        <v>0</v>
      </c>
      <c r="DY224" s="113">
        <v>630</v>
      </c>
      <c r="DZ224" s="113">
        <v>0</v>
      </c>
      <c r="EA224" s="113">
        <v>0</v>
      </c>
      <c r="EB224" s="113">
        <v>0</v>
      </c>
      <c r="EC224" s="113">
        <v>0</v>
      </c>
      <c r="ED224" s="113">
        <v>0</v>
      </c>
      <c r="EE224" s="113">
        <v>0</v>
      </c>
      <c r="EF224" s="113">
        <v>0</v>
      </c>
      <c r="EG224" s="113">
        <v>0</v>
      </c>
      <c r="EH224" s="113">
        <v>0</v>
      </c>
      <c r="EI224" s="113">
        <v>0</v>
      </c>
      <c r="EJ224" s="113">
        <v>0</v>
      </c>
      <c r="EK224" s="113">
        <v>0</v>
      </c>
      <c r="EL224" s="113">
        <v>0</v>
      </c>
      <c r="EM224" s="113">
        <v>0</v>
      </c>
      <c r="EN224" s="113">
        <v>0</v>
      </c>
    </row>
    <row r="225" spans="1:144">
      <c r="A225" s="103" t="s">
        <v>2393</v>
      </c>
      <c r="B225" s="113">
        <v>0</v>
      </c>
      <c r="C225" s="113">
        <v>0</v>
      </c>
      <c r="D225" s="113">
        <v>0</v>
      </c>
      <c r="E225" s="113">
        <v>0</v>
      </c>
      <c r="F225" s="113">
        <v>0</v>
      </c>
      <c r="G225" s="113">
        <v>0</v>
      </c>
      <c r="H225" s="113">
        <v>0</v>
      </c>
      <c r="I225" s="113">
        <v>0</v>
      </c>
      <c r="J225" s="113">
        <v>0</v>
      </c>
      <c r="K225" s="113">
        <v>0</v>
      </c>
      <c r="L225" s="113">
        <v>0</v>
      </c>
      <c r="M225" s="113">
        <v>3784</v>
      </c>
      <c r="N225" s="113">
        <v>3749</v>
      </c>
      <c r="O225" s="113">
        <v>5734</v>
      </c>
      <c r="P225" s="113">
        <v>2448</v>
      </c>
      <c r="Q225" s="113">
        <v>1715</v>
      </c>
      <c r="R225" s="113">
        <v>1550</v>
      </c>
      <c r="S225" s="113">
        <v>1479</v>
      </c>
      <c r="T225" s="113">
        <v>1708</v>
      </c>
      <c r="U225" s="113">
        <v>1891</v>
      </c>
      <c r="V225" s="113">
        <v>2166</v>
      </c>
      <c r="W225" s="113">
        <v>2244</v>
      </c>
      <c r="X225" s="113">
        <v>2406</v>
      </c>
      <c r="Y225" s="113">
        <v>2446</v>
      </c>
      <c r="Z225" s="113">
        <v>2574</v>
      </c>
      <c r="AA225" s="113">
        <v>2668</v>
      </c>
      <c r="AB225" s="113">
        <v>3266</v>
      </c>
      <c r="AC225" s="113">
        <v>3940</v>
      </c>
      <c r="AD225" s="113">
        <v>4652</v>
      </c>
      <c r="AE225" s="113">
        <v>5130</v>
      </c>
      <c r="AG225" s="103" t="s">
        <v>2393</v>
      </c>
      <c r="AH225" s="113">
        <v>0</v>
      </c>
      <c r="AI225" s="113">
        <v>0</v>
      </c>
      <c r="AJ225" s="113">
        <v>0</v>
      </c>
      <c r="AK225" s="113">
        <v>0</v>
      </c>
      <c r="AL225" s="113">
        <v>0</v>
      </c>
      <c r="AM225" s="113">
        <v>0</v>
      </c>
      <c r="AN225" s="113">
        <v>0</v>
      </c>
      <c r="AO225" s="113">
        <v>0</v>
      </c>
      <c r="AP225" s="113">
        <v>0</v>
      </c>
      <c r="AQ225" s="113">
        <v>0</v>
      </c>
      <c r="AR225" s="113">
        <v>0</v>
      </c>
      <c r="AS225" s="113">
        <v>0</v>
      </c>
      <c r="AT225" s="113">
        <v>0</v>
      </c>
      <c r="AU225" s="113">
        <v>0</v>
      </c>
      <c r="AV225" s="113">
        <v>0</v>
      </c>
      <c r="AW225" s="113">
        <v>0</v>
      </c>
      <c r="AX225" s="113">
        <v>0</v>
      </c>
      <c r="AY225" s="113">
        <v>0</v>
      </c>
      <c r="AZ225" s="113">
        <v>0</v>
      </c>
      <c r="BA225" s="113">
        <v>0</v>
      </c>
      <c r="BB225" s="113">
        <v>0</v>
      </c>
      <c r="BC225" s="113">
        <v>0</v>
      </c>
      <c r="BD225" s="113">
        <v>0</v>
      </c>
      <c r="BE225" s="113">
        <v>0</v>
      </c>
      <c r="BF225" s="113">
        <v>0</v>
      </c>
      <c r="BG225" s="113">
        <v>0</v>
      </c>
      <c r="BH225" s="113">
        <v>0</v>
      </c>
      <c r="BI225" s="113">
        <v>0</v>
      </c>
      <c r="BJ225" s="113">
        <v>0</v>
      </c>
      <c r="BK225" s="113">
        <v>0</v>
      </c>
      <c r="BL225" s="113">
        <v>0</v>
      </c>
      <c r="BM225" s="113">
        <v>0</v>
      </c>
      <c r="BN225" s="113">
        <v>0</v>
      </c>
      <c r="BO225" s="113">
        <v>0</v>
      </c>
      <c r="BP225" s="113">
        <v>0</v>
      </c>
      <c r="BQ225" s="113">
        <v>0</v>
      </c>
      <c r="BR225" s="113">
        <v>0</v>
      </c>
      <c r="BS225" s="113">
        <v>0</v>
      </c>
      <c r="BT225" s="113">
        <v>0</v>
      </c>
      <c r="BU225" s="113">
        <v>0</v>
      </c>
      <c r="BV225" s="113">
        <v>1048</v>
      </c>
      <c r="BW225" s="113">
        <v>1058</v>
      </c>
      <c r="BX225" s="113">
        <v>978</v>
      </c>
      <c r="BY225" s="113">
        <v>665</v>
      </c>
      <c r="BZ225" s="113">
        <v>1015</v>
      </c>
      <c r="CA225" s="113">
        <v>3232</v>
      </c>
      <c r="CB225" s="113">
        <v>748</v>
      </c>
      <c r="CC225" s="113">
        <v>739</v>
      </c>
      <c r="CD225" s="113">
        <v>745</v>
      </c>
      <c r="CE225" s="113">
        <v>551</v>
      </c>
      <c r="CF225" s="113">
        <v>617</v>
      </c>
      <c r="CG225" s="113">
        <v>535</v>
      </c>
      <c r="CH225" s="113">
        <v>464</v>
      </c>
      <c r="CI225" s="113">
        <v>514</v>
      </c>
      <c r="CJ225" s="113">
        <v>374</v>
      </c>
      <c r="CK225" s="113">
        <v>363</v>
      </c>
      <c r="CL225" s="113">
        <v>456</v>
      </c>
      <c r="CM225" s="113">
        <v>437</v>
      </c>
      <c r="CN225" s="113">
        <v>321</v>
      </c>
      <c r="CO225" s="113">
        <v>336</v>
      </c>
      <c r="CP225" s="113">
        <v>333</v>
      </c>
      <c r="CQ225" s="113">
        <v>360</v>
      </c>
      <c r="CR225" s="113">
        <v>373</v>
      </c>
      <c r="CS225" s="113">
        <v>413</v>
      </c>
      <c r="CT225" s="113">
        <v>443</v>
      </c>
      <c r="CU225" s="113">
        <v>417</v>
      </c>
      <c r="CV225" s="113">
        <v>432</v>
      </c>
      <c r="CW225" s="113">
        <v>416</v>
      </c>
      <c r="CX225" s="113">
        <v>443</v>
      </c>
      <c r="CY225" s="113">
        <v>485</v>
      </c>
      <c r="CZ225" s="113">
        <v>481</v>
      </c>
      <c r="DA225" s="113">
        <v>482</v>
      </c>
      <c r="DB225" s="113">
        <v>528</v>
      </c>
      <c r="DC225" s="113">
        <v>553</v>
      </c>
      <c r="DD225" s="113">
        <v>541</v>
      </c>
      <c r="DE225" s="113">
        <v>544</v>
      </c>
      <c r="DF225" s="113">
        <v>558</v>
      </c>
      <c r="DG225" s="113">
        <v>575</v>
      </c>
      <c r="DH225" s="113">
        <v>591</v>
      </c>
      <c r="DI225" s="113">
        <v>520</v>
      </c>
      <c r="DJ225" s="113">
        <v>603</v>
      </c>
      <c r="DK225" s="113">
        <v>603</v>
      </c>
      <c r="DL225" s="113">
        <v>599</v>
      </c>
      <c r="DM225" s="113">
        <v>601</v>
      </c>
      <c r="DN225" s="113">
        <v>635</v>
      </c>
      <c r="DO225" s="113">
        <v>591</v>
      </c>
      <c r="DP225" s="113">
        <v>602</v>
      </c>
      <c r="DQ225" s="113">
        <v>618</v>
      </c>
      <c r="DR225" s="113">
        <v>646</v>
      </c>
      <c r="DS225" s="113">
        <v>633</v>
      </c>
      <c r="DT225" s="113">
        <v>641</v>
      </c>
      <c r="DU225" s="113">
        <v>654</v>
      </c>
      <c r="DV225" s="113">
        <v>674</v>
      </c>
      <c r="DW225" s="113">
        <v>658</v>
      </c>
      <c r="DX225" s="113">
        <v>672</v>
      </c>
      <c r="DY225" s="113">
        <v>664</v>
      </c>
      <c r="DZ225" s="113">
        <v>703</v>
      </c>
      <c r="EA225" s="113">
        <v>767</v>
      </c>
      <c r="EB225" s="113">
        <v>883</v>
      </c>
      <c r="EC225" s="113">
        <v>913</v>
      </c>
      <c r="ED225" s="113">
        <v>973</v>
      </c>
      <c r="EE225" s="113">
        <v>986</v>
      </c>
      <c r="EF225" s="113">
        <v>969</v>
      </c>
      <c r="EG225" s="113">
        <v>1012</v>
      </c>
      <c r="EH225" s="113">
        <v>1107</v>
      </c>
      <c r="EI225" s="113">
        <v>1183</v>
      </c>
      <c r="EJ225" s="113">
        <v>1172</v>
      </c>
      <c r="EK225" s="113">
        <v>1190</v>
      </c>
      <c r="EL225" s="113">
        <v>1262</v>
      </c>
      <c r="EM225" s="113">
        <v>1340</v>
      </c>
      <c r="EN225" s="113">
        <v>1338</v>
      </c>
    </row>
    <row r="226" spans="1:144">
      <c r="A226" s="103" t="s">
        <v>2394</v>
      </c>
      <c r="B226" s="113">
        <v>0</v>
      </c>
      <c r="C226" s="113">
        <v>0</v>
      </c>
      <c r="D226" s="113">
        <v>0</v>
      </c>
      <c r="E226" s="113">
        <v>0</v>
      </c>
      <c r="F226" s="113">
        <v>0</v>
      </c>
      <c r="G226" s="113">
        <v>0</v>
      </c>
      <c r="H226" s="113">
        <v>0</v>
      </c>
      <c r="I226" s="113">
        <v>1553</v>
      </c>
      <c r="J226" s="113">
        <v>3107</v>
      </c>
      <c r="K226" s="113">
        <v>5535</v>
      </c>
      <c r="L226" s="113">
        <v>2066</v>
      </c>
      <c r="M226" s="113">
        <v>1596</v>
      </c>
      <c r="N226" s="113">
        <v>1365</v>
      </c>
      <c r="O226" s="113">
        <v>1100</v>
      </c>
      <c r="P226" s="113">
        <v>668</v>
      </c>
      <c r="Q226" s="113">
        <v>-89</v>
      </c>
      <c r="R226" s="113">
        <v>-77</v>
      </c>
      <c r="S226" s="113">
        <v>-120</v>
      </c>
      <c r="T226" s="113">
        <v>-52</v>
      </c>
      <c r="U226" s="113">
        <v>-45</v>
      </c>
      <c r="V226" s="113">
        <v>-17</v>
      </c>
      <c r="W226" s="113">
        <v>-93</v>
      </c>
      <c r="X226" s="113">
        <v>-209</v>
      </c>
      <c r="Y226" s="113">
        <v>0</v>
      </c>
      <c r="Z226" s="113">
        <v>0</v>
      </c>
      <c r="AA226" s="113">
        <v>0</v>
      </c>
      <c r="AB226" s="113">
        <v>0</v>
      </c>
      <c r="AC226" s="113">
        <v>0</v>
      </c>
      <c r="AD226" s="113">
        <v>0</v>
      </c>
      <c r="AE226" s="113">
        <v>0</v>
      </c>
      <c r="AG226" s="103" t="s">
        <v>2394</v>
      </c>
      <c r="AH226" s="113">
        <v>0</v>
      </c>
      <c r="AI226" s="113">
        <v>0</v>
      </c>
      <c r="AJ226" s="113">
        <v>0</v>
      </c>
      <c r="AK226" s="113">
        <v>0</v>
      </c>
      <c r="AL226" s="113">
        <v>0</v>
      </c>
      <c r="AM226" s="113">
        <v>0</v>
      </c>
      <c r="AN226" s="113">
        <v>0</v>
      </c>
      <c r="AO226" s="113">
        <v>0</v>
      </c>
      <c r="AP226" s="113">
        <v>0</v>
      </c>
      <c r="AQ226" s="113">
        <v>0</v>
      </c>
      <c r="AR226" s="113">
        <v>0</v>
      </c>
      <c r="AS226" s="113">
        <v>0</v>
      </c>
      <c r="AT226" s="113">
        <v>0</v>
      </c>
      <c r="AU226" s="113">
        <v>0</v>
      </c>
      <c r="AV226" s="113">
        <v>0</v>
      </c>
      <c r="AW226" s="113">
        <v>0</v>
      </c>
      <c r="AX226" s="113">
        <v>0</v>
      </c>
      <c r="AY226" s="113">
        <v>0</v>
      </c>
      <c r="AZ226" s="113">
        <v>0</v>
      </c>
      <c r="BA226" s="113">
        <v>0</v>
      </c>
      <c r="BB226" s="113">
        <v>0</v>
      </c>
      <c r="BC226" s="113">
        <v>0</v>
      </c>
      <c r="BD226" s="113">
        <v>0</v>
      </c>
      <c r="BE226" s="113">
        <v>0</v>
      </c>
      <c r="BF226" s="113">
        <v>0</v>
      </c>
      <c r="BG226" s="113">
        <v>0</v>
      </c>
      <c r="BH226" s="113">
        <v>0</v>
      </c>
      <c r="BI226" s="113">
        <v>3107</v>
      </c>
      <c r="BJ226" s="113">
        <v>1215</v>
      </c>
      <c r="BK226" s="113">
        <v>1421</v>
      </c>
      <c r="BL226" s="113">
        <v>1366</v>
      </c>
      <c r="BM226" s="113">
        <v>1533</v>
      </c>
      <c r="BN226" s="113">
        <v>453</v>
      </c>
      <c r="BO226" s="113">
        <v>444</v>
      </c>
      <c r="BP226" s="113">
        <v>374</v>
      </c>
      <c r="BQ226" s="113">
        <v>795</v>
      </c>
      <c r="BR226" s="113">
        <v>415</v>
      </c>
      <c r="BS226" s="113">
        <v>336</v>
      </c>
      <c r="BT226" s="113">
        <v>346</v>
      </c>
      <c r="BU226" s="113">
        <v>499</v>
      </c>
      <c r="BV226" s="113">
        <v>365</v>
      </c>
      <c r="BW226" s="113">
        <v>296</v>
      </c>
      <c r="BX226" s="113">
        <v>329</v>
      </c>
      <c r="BY226" s="113">
        <v>375</v>
      </c>
      <c r="BZ226" s="113">
        <v>489</v>
      </c>
      <c r="CA226" s="113">
        <v>148</v>
      </c>
      <c r="CB226" s="113">
        <v>135</v>
      </c>
      <c r="CC226" s="113">
        <v>328</v>
      </c>
      <c r="CD226" s="113">
        <v>128</v>
      </c>
      <c r="CE226" s="113">
        <v>99</v>
      </c>
      <c r="CF226" s="113">
        <v>37</v>
      </c>
      <c r="CG226" s="113">
        <v>404</v>
      </c>
      <c r="CH226" s="113">
        <v>-31</v>
      </c>
      <c r="CI226" s="113">
        <v>-13</v>
      </c>
      <c r="CJ226" s="113">
        <v>-23</v>
      </c>
      <c r="CK226" s="113">
        <v>-22</v>
      </c>
      <c r="CL226" s="113">
        <v>-40</v>
      </c>
      <c r="CM226" s="113">
        <v>-8</v>
      </c>
      <c r="CN226" s="113">
        <v>-7</v>
      </c>
      <c r="CO226" s="113">
        <v>-22</v>
      </c>
      <c r="CP226" s="113">
        <v>-69</v>
      </c>
      <c r="CQ226" s="113">
        <v>-33</v>
      </c>
      <c r="CR226" s="113">
        <v>-9</v>
      </c>
      <c r="CS226" s="113">
        <v>-9</v>
      </c>
      <c r="CT226" s="113">
        <v>-44</v>
      </c>
      <c r="CU226" s="113">
        <v>-2</v>
      </c>
      <c r="CV226" s="113">
        <v>-2</v>
      </c>
      <c r="CW226" s="113">
        <v>-4</v>
      </c>
      <c r="CX226" s="113">
        <v>-9</v>
      </c>
      <c r="CY226" s="113">
        <v>-15</v>
      </c>
      <c r="CZ226" s="113">
        <v>-14</v>
      </c>
      <c r="DA226" s="113">
        <v>-7</v>
      </c>
      <c r="DB226" s="113">
        <v>-5</v>
      </c>
      <c r="DC226" s="113">
        <v>-4</v>
      </c>
      <c r="DD226" s="113">
        <v>-5</v>
      </c>
      <c r="DE226" s="113">
        <v>-3</v>
      </c>
      <c r="DF226" s="113">
        <v>-70</v>
      </c>
      <c r="DG226" s="113">
        <v>-4</v>
      </c>
      <c r="DH226" s="113">
        <v>-10</v>
      </c>
      <c r="DI226" s="113">
        <v>-9</v>
      </c>
      <c r="DJ226" s="113">
        <v>-177</v>
      </c>
      <c r="DK226" s="113">
        <v>-9</v>
      </c>
      <c r="DL226" s="113">
        <v>-6</v>
      </c>
      <c r="DM226" s="113">
        <v>-17</v>
      </c>
      <c r="DN226" s="113">
        <v>-205</v>
      </c>
      <c r="DO226" s="113">
        <v>-20</v>
      </c>
      <c r="DP226" s="113">
        <v>-22</v>
      </c>
      <c r="DQ226" s="113">
        <v>-24</v>
      </c>
      <c r="DR226" s="113">
        <v>-502</v>
      </c>
      <c r="DS226" s="113">
        <v>-22</v>
      </c>
      <c r="DT226" s="113">
        <v>0</v>
      </c>
      <c r="DU226" s="113">
        <v>0</v>
      </c>
      <c r="DV226" s="113">
        <v>0</v>
      </c>
      <c r="DW226" s="113">
        <v>0</v>
      </c>
      <c r="DX226" s="113">
        <v>0</v>
      </c>
      <c r="DY226" s="113">
        <v>0</v>
      </c>
      <c r="DZ226" s="113">
        <v>0</v>
      </c>
      <c r="EA226" s="113">
        <v>0</v>
      </c>
      <c r="EB226" s="113">
        <v>0</v>
      </c>
      <c r="EC226" s="113">
        <v>0</v>
      </c>
      <c r="ED226" s="113">
        <v>0</v>
      </c>
      <c r="EE226" s="113">
        <v>0</v>
      </c>
      <c r="EF226" s="113">
        <v>0</v>
      </c>
      <c r="EG226" s="113">
        <v>0</v>
      </c>
      <c r="EH226" s="113">
        <v>0</v>
      </c>
      <c r="EI226" s="113">
        <v>0</v>
      </c>
      <c r="EJ226" s="113">
        <v>0</v>
      </c>
      <c r="EK226" s="113">
        <v>0</v>
      </c>
      <c r="EL226" s="113">
        <v>0</v>
      </c>
      <c r="EM226" s="113">
        <v>0</v>
      </c>
      <c r="EN226" s="113">
        <v>0</v>
      </c>
    </row>
    <row r="227" spans="1:144">
      <c r="A227" s="103" t="s">
        <v>2395</v>
      </c>
      <c r="B227" s="113">
        <v>0</v>
      </c>
      <c r="C227" s="113">
        <v>0</v>
      </c>
      <c r="D227" s="113">
        <v>0</v>
      </c>
      <c r="E227" s="113">
        <v>0</v>
      </c>
      <c r="F227" s="113">
        <v>0</v>
      </c>
      <c r="G227" s="113">
        <v>0</v>
      </c>
      <c r="H227" s="113">
        <v>0</v>
      </c>
      <c r="I227" s="113">
        <v>496</v>
      </c>
      <c r="J227" s="113">
        <v>-207</v>
      </c>
      <c r="K227" s="113">
        <v>-425</v>
      </c>
      <c r="L227" s="113">
        <v>-45</v>
      </c>
      <c r="M227" s="113">
        <v>-1580</v>
      </c>
      <c r="N227" s="113">
        <v>-1348</v>
      </c>
      <c r="O227" s="113">
        <v>-1860</v>
      </c>
      <c r="P227" s="113">
        <v>704</v>
      </c>
      <c r="Q227" s="113">
        <v>1943</v>
      </c>
      <c r="R227" s="113">
        <v>2075</v>
      </c>
      <c r="S227" s="113">
        <v>3707</v>
      </c>
      <c r="T227" s="113">
        <v>-49</v>
      </c>
      <c r="U227" s="113">
        <v>410</v>
      </c>
      <c r="V227" s="113">
        <v>2409</v>
      </c>
      <c r="W227" s="113">
        <v>3803</v>
      </c>
      <c r="X227" s="113">
        <v>2519</v>
      </c>
      <c r="Y227" s="113">
        <v>3022</v>
      </c>
      <c r="Z227" s="113">
        <v>854</v>
      </c>
      <c r="AA227" s="113">
        <v>3154</v>
      </c>
      <c r="AB227" s="113">
        <v>149</v>
      </c>
      <c r="AC227" s="113">
        <v>-4782</v>
      </c>
      <c r="AD227" s="113">
        <v>-6381</v>
      </c>
      <c r="AE227" s="113">
        <v>-6077</v>
      </c>
      <c r="AG227" s="103" t="s">
        <v>2395</v>
      </c>
      <c r="AH227" s="113">
        <v>0</v>
      </c>
      <c r="AI227" s="113">
        <v>0</v>
      </c>
      <c r="AJ227" s="113">
        <v>0</v>
      </c>
      <c r="AK227" s="113">
        <v>0</v>
      </c>
      <c r="AL227" s="113">
        <v>0</v>
      </c>
      <c r="AM227" s="113">
        <v>0</v>
      </c>
      <c r="AN227" s="113">
        <v>0</v>
      </c>
      <c r="AO227" s="113">
        <v>0</v>
      </c>
      <c r="AP227" s="113">
        <v>0</v>
      </c>
      <c r="AQ227" s="113">
        <v>0</v>
      </c>
      <c r="AR227" s="113">
        <v>0</v>
      </c>
      <c r="AS227" s="113">
        <v>0</v>
      </c>
      <c r="AT227" s="113">
        <v>0</v>
      </c>
      <c r="AU227" s="113">
        <v>0</v>
      </c>
      <c r="AV227" s="113">
        <v>0</v>
      </c>
      <c r="AW227" s="113">
        <v>0</v>
      </c>
      <c r="AX227" s="113">
        <v>0</v>
      </c>
      <c r="AY227" s="113">
        <v>453</v>
      </c>
      <c r="AZ227" s="113">
        <v>0</v>
      </c>
      <c r="BA227" s="113">
        <v>0</v>
      </c>
      <c r="BB227" s="113">
        <v>0</v>
      </c>
      <c r="BC227" s="113">
        <v>0</v>
      </c>
      <c r="BD227" s="113">
        <v>0</v>
      </c>
      <c r="BE227" s="113">
        <v>0</v>
      </c>
      <c r="BF227" s="113">
        <v>0</v>
      </c>
      <c r="BG227" s="113">
        <v>0</v>
      </c>
      <c r="BH227" s="113">
        <v>0</v>
      </c>
      <c r="BI227" s="113">
        <v>443</v>
      </c>
      <c r="BJ227" s="113">
        <v>-427</v>
      </c>
      <c r="BK227" s="113">
        <v>0</v>
      </c>
      <c r="BL227" s="113">
        <v>876</v>
      </c>
      <c r="BM227" s="113">
        <v>-517</v>
      </c>
      <c r="BN227" s="113">
        <v>1109</v>
      </c>
      <c r="BO227" s="113">
        <v>262</v>
      </c>
      <c r="BP227" s="113">
        <v>361</v>
      </c>
      <c r="BQ227" s="113">
        <v>-1518</v>
      </c>
      <c r="BR227" s="113">
        <v>-839</v>
      </c>
      <c r="BS227" s="113">
        <v>940</v>
      </c>
      <c r="BT227" s="113">
        <v>-818</v>
      </c>
      <c r="BU227" s="113">
        <v>371</v>
      </c>
      <c r="BV227" s="113">
        <v>-939</v>
      </c>
      <c r="BW227" s="113">
        <v>-592</v>
      </c>
      <c r="BX227" s="113">
        <v>169</v>
      </c>
      <c r="BY227" s="113">
        <v>771</v>
      </c>
      <c r="BZ227" s="113">
        <v>6</v>
      </c>
      <c r="CA227" s="113">
        <v>-985</v>
      </c>
      <c r="CB227" s="113">
        <v>-272</v>
      </c>
      <c r="CC227" s="113">
        <v>1302</v>
      </c>
      <c r="CD227" s="113">
        <v>293</v>
      </c>
      <c r="CE227" s="113">
        <v>256</v>
      </c>
      <c r="CF227" s="113">
        <v>-321</v>
      </c>
      <c r="CG227" s="113">
        <v>939</v>
      </c>
      <c r="CH227" s="113">
        <v>-128</v>
      </c>
      <c r="CI227" s="113">
        <v>218</v>
      </c>
      <c r="CJ227" s="113">
        <v>-216</v>
      </c>
      <c r="CK227" s="113">
        <v>2369</v>
      </c>
      <c r="CL227" s="113">
        <v>-667</v>
      </c>
      <c r="CM227" s="113">
        <v>1247</v>
      </c>
      <c r="CN227" s="113">
        <v>-589</v>
      </c>
      <c r="CO227" s="113">
        <v>2080</v>
      </c>
      <c r="CP227" s="113">
        <v>-787</v>
      </c>
      <c r="CQ227" s="113">
        <v>950</v>
      </c>
      <c r="CR227" s="113">
        <v>-37</v>
      </c>
      <c r="CS227" s="113">
        <v>3581</v>
      </c>
      <c r="CT227" s="113">
        <v>-1482</v>
      </c>
      <c r="CU227" s="113">
        <v>59</v>
      </c>
      <c r="CV227" s="113">
        <v>-1139</v>
      </c>
      <c r="CW227" s="113">
        <v>2578</v>
      </c>
      <c r="CX227" s="113">
        <v>396</v>
      </c>
      <c r="CY227" s="113">
        <v>-1650</v>
      </c>
      <c r="CZ227" s="113">
        <v>-549</v>
      </c>
      <c r="DA227" s="113">
        <v>2213</v>
      </c>
      <c r="DB227" s="113">
        <v>-1129</v>
      </c>
      <c r="DC227" s="113">
        <v>-584</v>
      </c>
      <c r="DD227" s="113">
        <v>-469</v>
      </c>
      <c r="DE227" s="113">
        <v>4591</v>
      </c>
      <c r="DF227" s="113">
        <v>-1112</v>
      </c>
      <c r="DG227" s="113">
        <v>-499</v>
      </c>
      <c r="DH227" s="113">
        <v>-275</v>
      </c>
      <c r="DI227" s="113">
        <v>5689</v>
      </c>
      <c r="DJ227" s="113">
        <v>-523</v>
      </c>
      <c r="DK227" s="113">
        <v>394</v>
      </c>
      <c r="DL227" s="113">
        <v>-1687</v>
      </c>
      <c r="DM227" s="113">
        <v>4335</v>
      </c>
      <c r="DN227" s="113">
        <v>-1837</v>
      </c>
      <c r="DO227" s="113">
        <v>-909</v>
      </c>
      <c r="DP227" s="113">
        <v>-154</v>
      </c>
      <c r="DQ227" s="113">
        <v>5922</v>
      </c>
      <c r="DR227" s="113">
        <v>-2320</v>
      </c>
      <c r="DS227" s="113">
        <v>-981</v>
      </c>
      <c r="DT227" s="113">
        <v>-793</v>
      </c>
      <c r="DU227" s="113">
        <v>4948</v>
      </c>
      <c r="DV227" s="113">
        <v>-859</v>
      </c>
      <c r="DW227" s="113">
        <v>394</v>
      </c>
      <c r="DX227" s="113">
        <v>1214</v>
      </c>
      <c r="DY227" s="113">
        <v>8832</v>
      </c>
      <c r="DZ227" s="113">
        <v>540</v>
      </c>
      <c r="EA227" s="113">
        <v>5</v>
      </c>
      <c r="EB227" s="113">
        <v>-284</v>
      </c>
      <c r="EC227" s="113">
        <v>-167</v>
      </c>
      <c r="ED227" s="113">
        <v>-53</v>
      </c>
      <c r="EE227" s="113">
        <v>-2305</v>
      </c>
      <c r="EF227" s="113">
        <v>-396</v>
      </c>
      <c r="EG227" s="113">
        <v>-2028</v>
      </c>
      <c r="EH227" s="113">
        <v>-247</v>
      </c>
      <c r="EI227" s="113">
        <v>-173</v>
      </c>
      <c r="EJ227" s="113">
        <v>-320</v>
      </c>
      <c r="EK227" s="113">
        <v>-5641</v>
      </c>
      <c r="EL227" s="113">
        <v>-177</v>
      </c>
      <c r="EM227" s="113">
        <v>-53</v>
      </c>
      <c r="EN227" s="113">
        <v>-206</v>
      </c>
    </row>
    <row r="228" spans="1:144">
      <c r="A228" s="103" t="s">
        <v>2396</v>
      </c>
      <c r="B228" s="113">
        <v>-65</v>
      </c>
      <c r="C228" s="113">
        <v>-33</v>
      </c>
      <c r="D228" s="113">
        <v>-121</v>
      </c>
      <c r="E228" s="113">
        <v>-146</v>
      </c>
      <c r="F228" s="113">
        <v>-91</v>
      </c>
      <c r="G228" s="113">
        <v>-71</v>
      </c>
      <c r="H228" s="113">
        <v>-336</v>
      </c>
      <c r="I228" s="113">
        <v>-520</v>
      </c>
      <c r="J228" s="113">
        <v>-687</v>
      </c>
      <c r="K228" s="113">
        <v>-944</v>
      </c>
      <c r="L228" s="113">
        <v>-418</v>
      </c>
      <c r="M228" s="113">
        <v>-1623</v>
      </c>
      <c r="N228" s="113">
        <v>187</v>
      </c>
      <c r="O228" s="113">
        <v>-687</v>
      </c>
      <c r="P228" s="113">
        <v>-1243</v>
      </c>
      <c r="Q228" s="113">
        <v>-2071</v>
      </c>
      <c r="R228" s="113">
        <v>-1764</v>
      </c>
      <c r="S228" s="113">
        <v>-1569</v>
      </c>
      <c r="T228" s="113">
        <v>2215</v>
      </c>
      <c r="U228" s="113">
        <v>-2238</v>
      </c>
      <c r="V228" s="113">
        <v>-1451</v>
      </c>
      <c r="W228" s="113">
        <v>-1156</v>
      </c>
      <c r="X228" s="113">
        <v>-1807</v>
      </c>
      <c r="Y228" s="113">
        <v>-1120</v>
      </c>
      <c r="Z228" s="113">
        <v>1456</v>
      </c>
      <c r="AA228" s="113">
        <v>562</v>
      </c>
      <c r="AB228" s="113">
        <v>-1216</v>
      </c>
      <c r="AC228" s="113">
        <v>-3862</v>
      </c>
      <c r="AD228" s="113">
        <v>-2812</v>
      </c>
      <c r="AE228" s="113">
        <v>-3292</v>
      </c>
      <c r="AG228" s="103" t="s">
        <v>2396</v>
      </c>
      <c r="AH228" s="113">
        <v>-52.5</v>
      </c>
      <c r="AI228" s="113">
        <v>-52.5</v>
      </c>
      <c r="AJ228" s="113">
        <v>-107</v>
      </c>
      <c r="AK228" s="113">
        <v>91</v>
      </c>
      <c r="AL228" s="113">
        <v>-32</v>
      </c>
      <c r="AM228" s="113">
        <v>-98</v>
      </c>
      <c r="AN228" s="113">
        <v>-57</v>
      </c>
      <c r="AO228" s="113">
        <v>41</v>
      </c>
      <c r="AP228" s="113">
        <v>-59</v>
      </c>
      <c r="AQ228" s="113">
        <v>-75</v>
      </c>
      <c r="AR228" s="113">
        <v>94</v>
      </c>
      <c r="AS228" s="113">
        <v>-51</v>
      </c>
      <c r="AT228" s="113">
        <v>-504</v>
      </c>
      <c r="AU228" s="113">
        <v>317</v>
      </c>
      <c r="AV228" s="113">
        <v>33</v>
      </c>
      <c r="AW228" s="113">
        <v>83</v>
      </c>
      <c r="AX228" s="113">
        <v>-205</v>
      </c>
      <c r="AY228" s="113">
        <v>-121</v>
      </c>
      <c r="AZ228" s="113">
        <v>74</v>
      </c>
      <c r="BA228" s="113">
        <v>-84</v>
      </c>
      <c r="BB228" s="113">
        <v>180</v>
      </c>
      <c r="BC228" s="113">
        <v>-309</v>
      </c>
      <c r="BD228" s="113">
        <v>6</v>
      </c>
      <c r="BE228" s="113">
        <v>-397</v>
      </c>
      <c r="BF228" s="113">
        <v>341</v>
      </c>
      <c r="BG228" s="113">
        <v>-827</v>
      </c>
      <c r="BH228" s="113">
        <v>294</v>
      </c>
      <c r="BI228" s="113">
        <v>-495</v>
      </c>
      <c r="BJ228" s="113">
        <v>64</v>
      </c>
      <c r="BK228" s="113">
        <v>-1094</v>
      </c>
      <c r="BL228" s="113">
        <v>472</v>
      </c>
      <c r="BM228" s="113">
        <v>-386</v>
      </c>
      <c r="BN228" s="113">
        <v>116</v>
      </c>
      <c r="BO228" s="113">
        <v>-1014</v>
      </c>
      <c r="BP228" s="113">
        <v>617</v>
      </c>
      <c r="BQ228" s="113">
        <v>-137</v>
      </c>
      <c r="BR228" s="113">
        <v>69</v>
      </c>
      <c r="BS228" s="113">
        <v>-1468</v>
      </c>
      <c r="BT228" s="113">
        <v>654</v>
      </c>
      <c r="BU228" s="113">
        <v>-878</v>
      </c>
      <c r="BV228" s="113">
        <v>751</v>
      </c>
      <c r="BW228" s="113">
        <v>-349</v>
      </c>
      <c r="BX228" s="113">
        <v>823</v>
      </c>
      <c r="BY228" s="113">
        <v>-1038</v>
      </c>
      <c r="BZ228" s="113">
        <v>676</v>
      </c>
      <c r="CA228" s="113">
        <v>-1004</v>
      </c>
      <c r="CB228" s="113">
        <v>697</v>
      </c>
      <c r="CC228" s="113">
        <v>-1056</v>
      </c>
      <c r="CD228" s="113">
        <v>861</v>
      </c>
      <c r="CE228" s="113">
        <v>-1398</v>
      </c>
      <c r="CF228" s="113">
        <v>1001</v>
      </c>
      <c r="CG228" s="113">
        <v>-1707</v>
      </c>
      <c r="CH228" s="113">
        <v>1408</v>
      </c>
      <c r="CI228" s="113">
        <v>-2012</v>
      </c>
      <c r="CJ228" s="113">
        <v>972</v>
      </c>
      <c r="CK228" s="113">
        <v>-2439</v>
      </c>
      <c r="CL228" s="113">
        <v>2501</v>
      </c>
      <c r="CM228" s="113">
        <v>-2945</v>
      </c>
      <c r="CN228" s="113">
        <v>1455</v>
      </c>
      <c r="CO228" s="113">
        <v>-2775</v>
      </c>
      <c r="CP228" s="113">
        <v>2806</v>
      </c>
      <c r="CQ228" s="113">
        <v>-2586</v>
      </c>
      <c r="CR228" s="113">
        <v>1857</v>
      </c>
      <c r="CS228" s="113">
        <v>-3646</v>
      </c>
      <c r="CT228" s="113">
        <v>3985</v>
      </c>
      <c r="CU228" s="113">
        <v>-1647</v>
      </c>
      <c r="CV228" s="113">
        <v>1697</v>
      </c>
      <c r="CW228" s="113">
        <v>-1820</v>
      </c>
      <c r="CX228" s="113">
        <v>2748</v>
      </c>
      <c r="CY228" s="113">
        <v>-2789</v>
      </c>
      <c r="CZ228" s="113">
        <v>1947</v>
      </c>
      <c r="DA228" s="113">
        <v>-4144</v>
      </c>
      <c r="DB228" s="113">
        <v>3674</v>
      </c>
      <c r="DC228" s="113">
        <v>-3270</v>
      </c>
      <c r="DD228" s="113">
        <v>3031</v>
      </c>
      <c r="DE228" s="113">
        <v>-4886</v>
      </c>
      <c r="DF228" s="113">
        <v>4733</v>
      </c>
      <c r="DG228" s="113">
        <v>-3652</v>
      </c>
      <c r="DH228" s="113">
        <v>2770</v>
      </c>
      <c r="DI228" s="113">
        <v>-5007</v>
      </c>
      <c r="DJ228" s="113">
        <v>6156</v>
      </c>
      <c r="DK228" s="113">
        <v>-4488</v>
      </c>
      <c r="DL228" s="113">
        <v>2191</v>
      </c>
      <c r="DM228" s="113">
        <v>-5666</v>
      </c>
      <c r="DN228" s="113">
        <v>6617</v>
      </c>
      <c r="DO228" s="113">
        <v>-4875</v>
      </c>
      <c r="DP228" s="113">
        <v>2501</v>
      </c>
      <c r="DQ228" s="113">
        <v>-5363</v>
      </c>
      <c r="DR228" s="113">
        <v>6627</v>
      </c>
      <c r="DS228" s="113">
        <v>-3378</v>
      </c>
      <c r="DT228" s="113">
        <v>3655</v>
      </c>
      <c r="DU228" s="113">
        <v>-5448</v>
      </c>
      <c r="DV228" s="113">
        <v>6376</v>
      </c>
      <c r="DW228" s="113">
        <v>-3118</v>
      </c>
      <c r="DX228" s="113">
        <v>2288</v>
      </c>
      <c r="DY228" s="113">
        <v>-6076</v>
      </c>
      <c r="DZ228" s="113">
        <v>7187</v>
      </c>
      <c r="EA228" s="113">
        <v>-2789</v>
      </c>
      <c r="EB228" s="113">
        <v>1415</v>
      </c>
      <c r="EC228" s="113">
        <v>-7029</v>
      </c>
      <c r="ED228" s="113">
        <v>7949</v>
      </c>
      <c r="EE228" s="113">
        <v>-3908</v>
      </c>
      <c r="EF228" s="113">
        <v>1285</v>
      </c>
      <c r="EG228" s="113">
        <v>-9188</v>
      </c>
      <c r="EH228" s="113">
        <v>9194</v>
      </c>
      <c r="EI228" s="113">
        <v>-2396</v>
      </c>
      <c r="EJ228" s="113">
        <v>460</v>
      </c>
      <c r="EK228" s="113">
        <v>-10070</v>
      </c>
      <c r="EL228" s="113">
        <v>10090</v>
      </c>
      <c r="EM228" s="113">
        <v>-4203</v>
      </c>
      <c r="EN228" s="113">
        <v>891</v>
      </c>
    </row>
    <row r="229" spans="1:144">
      <c r="A229" s="103" t="s">
        <v>2397</v>
      </c>
      <c r="B229" s="113">
        <v>8</v>
      </c>
      <c r="C229" s="113">
        <v>-40</v>
      </c>
      <c r="D229" s="113">
        <v>-51</v>
      </c>
      <c r="E229" s="113">
        <v>0</v>
      </c>
      <c r="F229" s="113">
        <v>0</v>
      </c>
      <c r="G229" s="113">
        <v>0</v>
      </c>
      <c r="H229" s="113">
        <v>0</v>
      </c>
      <c r="I229" s="113">
        <v>0</v>
      </c>
      <c r="J229" s="113">
        <v>0</v>
      </c>
      <c r="K229" s="113">
        <v>0</v>
      </c>
      <c r="L229" s="113">
        <v>0</v>
      </c>
      <c r="M229" s="113">
        <v>0</v>
      </c>
      <c r="N229" s="113">
        <v>0</v>
      </c>
      <c r="O229" s="113">
        <v>0</v>
      </c>
      <c r="P229" s="113">
        <v>0</v>
      </c>
      <c r="Q229" s="113">
        <v>0</v>
      </c>
      <c r="R229" s="113">
        <v>0</v>
      </c>
      <c r="S229" s="113">
        <v>0</v>
      </c>
      <c r="T229" s="113">
        <v>255</v>
      </c>
      <c r="U229" s="113">
        <v>-44</v>
      </c>
      <c r="V229" s="113">
        <v>-561</v>
      </c>
      <c r="W229" s="113">
        <v>184</v>
      </c>
      <c r="X229" s="113">
        <v>-802</v>
      </c>
      <c r="Y229" s="113">
        <v>-161</v>
      </c>
      <c r="Z229" s="113">
        <v>-272</v>
      </c>
      <c r="AA229" s="113">
        <v>600</v>
      </c>
      <c r="AB229" s="113">
        <v>50</v>
      </c>
      <c r="AC229" s="113">
        <v>-465</v>
      </c>
      <c r="AD229" s="113">
        <v>597</v>
      </c>
      <c r="AE229" s="113">
        <v>306</v>
      </c>
      <c r="AG229" s="103" t="s">
        <v>2397</v>
      </c>
      <c r="AH229" s="113">
        <v>-11.5</v>
      </c>
      <c r="AI229" s="113">
        <v>-11.5</v>
      </c>
      <c r="AJ229" s="113">
        <v>-18</v>
      </c>
      <c r="AK229" s="113">
        <v>-10</v>
      </c>
      <c r="AL229" s="113">
        <v>31</v>
      </c>
      <c r="AM229" s="113">
        <v>-36</v>
      </c>
      <c r="AN229" s="113">
        <v>0</v>
      </c>
      <c r="AO229" s="113">
        <v>28</v>
      </c>
      <c r="AP229" s="113">
        <v>-7</v>
      </c>
      <c r="AQ229" s="113">
        <v>-10</v>
      </c>
      <c r="AR229" s="113">
        <v>34</v>
      </c>
      <c r="AS229" s="113">
        <v>-17</v>
      </c>
      <c r="AT229" s="113">
        <v>0</v>
      </c>
      <c r="AU229" s="113">
        <v>0</v>
      </c>
      <c r="AV229" s="113">
        <v>0</v>
      </c>
      <c r="AW229" s="113">
        <v>0</v>
      </c>
      <c r="AX229" s="113">
        <v>0</v>
      </c>
      <c r="AY229" s="113">
        <v>0</v>
      </c>
      <c r="AZ229" s="113">
        <v>0</v>
      </c>
      <c r="BA229" s="113">
        <v>0</v>
      </c>
      <c r="BB229" s="113">
        <v>0</v>
      </c>
      <c r="BC229" s="113">
        <v>0</v>
      </c>
      <c r="BD229" s="113">
        <v>0</v>
      </c>
      <c r="BE229" s="113">
        <v>0</v>
      </c>
      <c r="BF229" s="113">
        <v>0</v>
      </c>
      <c r="BG229" s="113">
        <v>0</v>
      </c>
      <c r="BH229" s="113">
        <v>0</v>
      </c>
      <c r="BI229" s="113">
        <v>0</v>
      </c>
      <c r="BJ229" s="113">
        <v>0</v>
      </c>
      <c r="BK229" s="113">
        <v>0</v>
      </c>
      <c r="BL229" s="113">
        <v>0</v>
      </c>
      <c r="BM229" s="113">
        <v>0</v>
      </c>
      <c r="BN229" s="113">
        <v>0</v>
      </c>
      <c r="BO229" s="113">
        <v>0</v>
      </c>
      <c r="BP229" s="113">
        <v>0</v>
      </c>
      <c r="BQ229" s="113">
        <v>0</v>
      </c>
      <c r="BR229" s="113">
        <v>0</v>
      </c>
      <c r="BS229" s="113">
        <v>0</v>
      </c>
      <c r="BT229" s="113">
        <v>0</v>
      </c>
      <c r="BU229" s="113">
        <v>0</v>
      </c>
      <c r="BV229" s="113">
        <v>0</v>
      </c>
      <c r="BW229" s="113">
        <v>0</v>
      </c>
      <c r="BX229" s="113">
        <v>0</v>
      </c>
      <c r="BY229" s="113">
        <v>0</v>
      </c>
      <c r="BZ229" s="113">
        <v>0</v>
      </c>
      <c r="CA229" s="113">
        <v>0</v>
      </c>
      <c r="CB229" s="113">
        <v>0</v>
      </c>
      <c r="CC229" s="113">
        <v>0</v>
      </c>
      <c r="CD229" s="113">
        <v>0</v>
      </c>
      <c r="CE229" s="113">
        <v>0</v>
      </c>
      <c r="CF229" s="113">
        <v>0</v>
      </c>
      <c r="CG229" s="113">
        <v>0</v>
      </c>
      <c r="CH229" s="113">
        <v>0</v>
      </c>
      <c r="CI229" s="113">
        <v>0</v>
      </c>
      <c r="CJ229" s="113">
        <v>0</v>
      </c>
      <c r="CK229" s="113">
        <v>0</v>
      </c>
      <c r="CL229" s="113">
        <v>0</v>
      </c>
      <c r="CM229" s="113">
        <v>0</v>
      </c>
      <c r="CN229" s="113">
        <v>0</v>
      </c>
      <c r="CO229" s="113">
        <v>0</v>
      </c>
      <c r="CP229" s="113">
        <v>0</v>
      </c>
      <c r="CQ229" s="113">
        <v>0</v>
      </c>
      <c r="CR229" s="113">
        <v>0</v>
      </c>
      <c r="CS229" s="113">
        <v>0</v>
      </c>
      <c r="CT229" s="113">
        <v>0</v>
      </c>
      <c r="CU229" s="113">
        <v>0</v>
      </c>
      <c r="CV229" s="113">
        <v>0</v>
      </c>
      <c r="CW229" s="113">
        <v>0</v>
      </c>
      <c r="CX229" s="113">
        <v>-419</v>
      </c>
      <c r="CY229" s="113">
        <v>558</v>
      </c>
      <c r="CZ229" s="113">
        <v>77</v>
      </c>
      <c r="DA229" s="113">
        <v>-260</v>
      </c>
      <c r="DB229" s="113">
        <v>-468</v>
      </c>
      <c r="DC229" s="113">
        <v>380</v>
      </c>
      <c r="DD229" s="113">
        <v>-170</v>
      </c>
      <c r="DE229" s="113">
        <v>-303</v>
      </c>
      <c r="DF229" s="113">
        <v>-920</v>
      </c>
      <c r="DG229" s="113">
        <v>891</v>
      </c>
      <c r="DH229" s="113">
        <v>-50</v>
      </c>
      <c r="DI229" s="113">
        <v>263</v>
      </c>
      <c r="DJ229" s="113">
        <v>-473</v>
      </c>
      <c r="DK229" s="113">
        <v>-33</v>
      </c>
      <c r="DL229" s="113">
        <v>-483</v>
      </c>
      <c r="DM229" s="113">
        <v>187</v>
      </c>
      <c r="DN229" s="113">
        <v>-667</v>
      </c>
      <c r="DO229" s="113">
        <v>1029</v>
      </c>
      <c r="DP229" s="113">
        <v>-324</v>
      </c>
      <c r="DQ229" s="113">
        <v>-199</v>
      </c>
      <c r="DR229" s="113">
        <v>-483</v>
      </c>
      <c r="DS229" s="113">
        <v>1070</v>
      </c>
      <c r="DT229" s="113">
        <v>-430</v>
      </c>
      <c r="DU229" s="113">
        <v>-429</v>
      </c>
      <c r="DV229" s="113">
        <v>-937</v>
      </c>
      <c r="DW229" s="113">
        <v>1104</v>
      </c>
      <c r="DX229" s="113">
        <v>241</v>
      </c>
      <c r="DY229" s="113">
        <v>192</v>
      </c>
      <c r="DZ229" s="113">
        <v>-867</v>
      </c>
      <c r="EA229" s="113">
        <v>1132</v>
      </c>
      <c r="EB229" s="113">
        <v>-16</v>
      </c>
      <c r="EC229" s="113">
        <v>-199</v>
      </c>
      <c r="ED229" s="113">
        <v>-1023</v>
      </c>
      <c r="EE229" s="113">
        <v>1205</v>
      </c>
      <c r="EF229" s="113">
        <v>-75</v>
      </c>
      <c r="EG229" s="113">
        <v>-572</v>
      </c>
      <c r="EH229" s="113">
        <v>-956</v>
      </c>
      <c r="EI229" s="113">
        <v>1654</v>
      </c>
      <c r="EJ229" s="113">
        <v>12</v>
      </c>
      <c r="EK229" s="113">
        <v>-113</v>
      </c>
      <c r="EL229" s="113">
        <v>-561</v>
      </c>
      <c r="EM229" s="113">
        <v>799</v>
      </c>
      <c r="EN229" s="113">
        <v>181</v>
      </c>
    </row>
    <row r="230" spans="1:144">
      <c r="A230" s="103" t="s">
        <v>2398</v>
      </c>
      <c r="B230" s="113">
        <v>0</v>
      </c>
      <c r="C230" s="113">
        <v>0</v>
      </c>
      <c r="D230" s="113">
        <v>0</v>
      </c>
      <c r="E230" s="113">
        <v>0</v>
      </c>
      <c r="F230" s="113">
        <v>0</v>
      </c>
      <c r="G230" s="113">
        <v>0</v>
      </c>
      <c r="H230" s="113">
        <v>0</v>
      </c>
      <c r="I230" s="113">
        <v>0</v>
      </c>
      <c r="J230" s="113">
        <v>0</v>
      </c>
      <c r="K230" s="113">
        <v>0</v>
      </c>
      <c r="L230" s="113">
        <v>0</v>
      </c>
      <c r="M230" s="113">
        <v>0</v>
      </c>
      <c r="N230" s="113">
        <v>0</v>
      </c>
      <c r="O230" s="113">
        <v>0</v>
      </c>
      <c r="P230" s="113">
        <v>0</v>
      </c>
      <c r="Q230" s="113">
        <v>0</v>
      </c>
      <c r="R230" s="113">
        <v>0</v>
      </c>
      <c r="S230" s="113">
        <v>0</v>
      </c>
      <c r="T230" s="113">
        <v>-671</v>
      </c>
      <c r="U230" s="113">
        <v>844</v>
      </c>
      <c r="V230" s="113">
        <v>58</v>
      </c>
      <c r="W230" s="113">
        <v>-31</v>
      </c>
      <c r="X230" s="113">
        <v>537</v>
      </c>
      <c r="Y230" s="113">
        <v>473</v>
      </c>
      <c r="Z230" s="113">
        <v>-1054</v>
      </c>
      <c r="AA230" s="113">
        <v>88</v>
      </c>
      <c r="AB230" s="113">
        <v>81</v>
      </c>
      <c r="AC230" s="113">
        <v>1148</v>
      </c>
      <c r="AD230" s="113">
        <v>232</v>
      </c>
      <c r="AE230" s="113">
        <v>1256</v>
      </c>
      <c r="AG230" s="103" t="s">
        <v>2398</v>
      </c>
      <c r="AH230" s="113">
        <v>0</v>
      </c>
      <c r="AI230" s="113">
        <v>0</v>
      </c>
      <c r="AJ230" s="113">
        <v>0</v>
      </c>
      <c r="AK230" s="113">
        <v>0</v>
      </c>
      <c r="AL230" s="113">
        <v>0</v>
      </c>
      <c r="AM230" s="113">
        <v>0</v>
      </c>
      <c r="AN230" s="113">
        <v>0</v>
      </c>
      <c r="AO230" s="113">
        <v>0</v>
      </c>
      <c r="AP230" s="113">
        <v>0</v>
      </c>
      <c r="AQ230" s="113">
        <v>0</v>
      </c>
      <c r="AR230" s="113">
        <v>0</v>
      </c>
      <c r="AS230" s="113">
        <v>0</v>
      </c>
      <c r="AT230" s="113">
        <v>0</v>
      </c>
      <c r="AU230" s="113">
        <v>0</v>
      </c>
      <c r="AV230" s="113">
        <v>0</v>
      </c>
      <c r="AW230" s="113">
        <v>0</v>
      </c>
      <c r="AX230" s="113">
        <v>0</v>
      </c>
      <c r="AY230" s="113">
        <v>0</v>
      </c>
      <c r="AZ230" s="113">
        <v>0</v>
      </c>
      <c r="BA230" s="113">
        <v>0</v>
      </c>
      <c r="BB230" s="113">
        <v>0</v>
      </c>
      <c r="BC230" s="113">
        <v>0</v>
      </c>
      <c r="BD230" s="113">
        <v>0</v>
      </c>
      <c r="BE230" s="113">
        <v>0</v>
      </c>
      <c r="BF230" s="113">
        <v>0</v>
      </c>
      <c r="BG230" s="113">
        <v>0</v>
      </c>
      <c r="BH230" s="113">
        <v>0</v>
      </c>
      <c r="BI230" s="113">
        <v>0</v>
      </c>
      <c r="BJ230" s="113">
        <v>0</v>
      </c>
      <c r="BK230" s="113">
        <v>0</v>
      </c>
      <c r="BL230" s="113">
        <v>0</v>
      </c>
      <c r="BM230" s="113">
        <v>0</v>
      </c>
      <c r="BN230" s="113">
        <v>0</v>
      </c>
      <c r="BO230" s="113">
        <v>0</v>
      </c>
      <c r="BP230" s="113">
        <v>0</v>
      </c>
      <c r="BQ230" s="113">
        <v>0</v>
      </c>
      <c r="BR230" s="113">
        <v>0</v>
      </c>
      <c r="BS230" s="113">
        <v>0</v>
      </c>
      <c r="BT230" s="113">
        <v>0</v>
      </c>
      <c r="BU230" s="113">
        <v>0</v>
      </c>
      <c r="BV230" s="113">
        <v>0</v>
      </c>
      <c r="BW230" s="113">
        <v>0</v>
      </c>
      <c r="BX230" s="113">
        <v>0</v>
      </c>
      <c r="BY230" s="113">
        <v>0</v>
      </c>
      <c r="BZ230" s="113">
        <v>0</v>
      </c>
      <c r="CA230" s="113">
        <v>0</v>
      </c>
      <c r="CB230" s="113">
        <v>0</v>
      </c>
      <c r="CC230" s="113">
        <v>0</v>
      </c>
      <c r="CD230" s="113">
        <v>0</v>
      </c>
      <c r="CE230" s="113">
        <v>0</v>
      </c>
      <c r="CF230" s="113">
        <v>0</v>
      </c>
      <c r="CG230" s="113">
        <v>0</v>
      </c>
      <c r="CH230" s="113">
        <v>0</v>
      </c>
      <c r="CI230" s="113">
        <v>0</v>
      </c>
      <c r="CJ230" s="113">
        <v>0</v>
      </c>
      <c r="CK230" s="113">
        <v>0</v>
      </c>
      <c r="CL230" s="113">
        <v>0</v>
      </c>
      <c r="CM230" s="113">
        <v>0</v>
      </c>
      <c r="CN230" s="113">
        <v>0</v>
      </c>
      <c r="CO230" s="113">
        <v>0</v>
      </c>
      <c r="CP230" s="113">
        <v>0</v>
      </c>
      <c r="CQ230" s="113">
        <v>0</v>
      </c>
      <c r="CR230" s="113">
        <v>0</v>
      </c>
      <c r="CS230" s="113">
        <v>0</v>
      </c>
      <c r="CT230" s="113">
        <v>0</v>
      </c>
      <c r="CU230" s="113">
        <v>0</v>
      </c>
      <c r="CV230" s="113">
        <v>0</v>
      </c>
      <c r="CW230" s="113">
        <v>0</v>
      </c>
      <c r="CX230" s="113">
        <v>-36</v>
      </c>
      <c r="CY230" s="113">
        <v>3</v>
      </c>
      <c r="CZ230" s="113">
        <v>122</v>
      </c>
      <c r="DA230" s="113">
        <v>755</v>
      </c>
      <c r="DB230" s="113">
        <v>-400</v>
      </c>
      <c r="DC230" s="113">
        <v>216</v>
      </c>
      <c r="DD230" s="113">
        <v>-51</v>
      </c>
      <c r="DE230" s="113">
        <v>293</v>
      </c>
      <c r="DF230" s="113">
        <v>-442</v>
      </c>
      <c r="DG230" s="113">
        <v>176</v>
      </c>
      <c r="DH230" s="113">
        <v>-114</v>
      </c>
      <c r="DI230" s="113">
        <v>349</v>
      </c>
      <c r="DJ230" s="113">
        <v>-567</v>
      </c>
      <c r="DK230" s="113">
        <v>685</v>
      </c>
      <c r="DL230" s="113">
        <v>-67</v>
      </c>
      <c r="DM230" s="113">
        <v>486</v>
      </c>
      <c r="DN230" s="113">
        <v>-276</v>
      </c>
      <c r="DO230" s="113">
        <v>602</v>
      </c>
      <c r="DP230" s="113">
        <v>-716</v>
      </c>
      <c r="DQ230" s="113">
        <v>863</v>
      </c>
      <c r="DR230" s="113">
        <v>-659</v>
      </c>
      <c r="DS230" s="113">
        <v>137</v>
      </c>
      <c r="DT230" s="113">
        <v>-390</v>
      </c>
      <c r="DU230" s="113">
        <v>-142</v>
      </c>
      <c r="DV230" s="113">
        <v>-135</v>
      </c>
      <c r="DW230" s="113">
        <v>369</v>
      </c>
      <c r="DX230" s="113">
        <v>-129</v>
      </c>
      <c r="DY230" s="113">
        <v>-17</v>
      </c>
      <c r="DZ230" s="113">
        <v>-443</v>
      </c>
      <c r="EA230" s="113">
        <v>99</v>
      </c>
      <c r="EB230" s="113">
        <v>-425</v>
      </c>
      <c r="EC230" s="113">
        <v>850</v>
      </c>
      <c r="ED230" s="113">
        <v>-407</v>
      </c>
      <c r="EE230" s="113">
        <v>938</v>
      </c>
      <c r="EF230" s="113">
        <v>-393</v>
      </c>
      <c r="EG230" s="113">
        <v>1010</v>
      </c>
      <c r="EH230" s="113">
        <v>-395</v>
      </c>
      <c r="EI230" s="113">
        <v>-440</v>
      </c>
      <c r="EJ230" s="113">
        <v>-197</v>
      </c>
      <c r="EK230" s="113">
        <v>1264</v>
      </c>
      <c r="EL230" s="113">
        <v>-547</v>
      </c>
      <c r="EM230" s="113">
        <v>-7</v>
      </c>
      <c r="EN230" s="113">
        <v>546</v>
      </c>
    </row>
    <row r="231" spans="1:144">
      <c r="A231" s="103" t="s">
        <v>2399</v>
      </c>
      <c r="B231" s="113">
        <v>0</v>
      </c>
      <c r="C231" s="113">
        <v>0</v>
      </c>
      <c r="D231" s="113">
        <v>0</v>
      </c>
      <c r="E231" s="113">
        <v>0</v>
      </c>
      <c r="F231" s="113">
        <v>15</v>
      </c>
      <c r="G231" s="113">
        <v>506</v>
      </c>
      <c r="H231" s="113">
        <v>858</v>
      </c>
      <c r="I231" s="113">
        <v>1470</v>
      </c>
      <c r="J231" s="113">
        <v>1351</v>
      </c>
      <c r="K231" s="113">
        <v>577</v>
      </c>
      <c r="L231" s="113">
        <v>601</v>
      </c>
      <c r="M231" s="113">
        <v>2223</v>
      </c>
      <c r="N231" s="113">
        <v>1227</v>
      </c>
      <c r="O231" s="113">
        <v>0</v>
      </c>
      <c r="P231" s="113">
        <v>0</v>
      </c>
      <c r="Q231" s="113">
        <v>0</v>
      </c>
      <c r="R231" s="113">
        <v>0</v>
      </c>
      <c r="S231" s="113">
        <v>0</v>
      </c>
      <c r="T231" s="113">
        <v>0</v>
      </c>
      <c r="U231" s="113">
        <v>0</v>
      </c>
      <c r="V231" s="113">
        <v>0</v>
      </c>
      <c r="W231" s="113">
        <v>0</v>
      </c>
      <c r="X231" s="113">
        <v>0</v>
      </c>
      <c r="Y231" s="113">
        <v>0</v>
      </c>
      <c r="Z231" s="113">
        <v>0</v>
      </c>
      <c r="AA231" s="113">
        <v>2565</v>
      </c>
      <c r="AB231" s="113">
        <v>3820</v>
      </c>
      <c r="AC231" s="113">
        <v>5922</v>
      </c>
      <c r="AD231" s="113">
        <v>4462</v>
      </c>
      <c r="AE231" s="113">
        <v>2441</v>
      </c>
      <c r="AG231" s="103" t="s">
        <v>2399</v>
      </c>
      <c r="AH231" s="113">
        <v>0</v>
      </c>
      <c r="AI231" s="113">
        <v>0</v>
      </c>
      <c r="AJ231" s="113">
        <v>0</v>
      </c>
      <c r="AK231" s="113">
        <v>0</v>
      </c>
      <c r="AL231" s="113">
        <v>0</v>
      </c>
      <c r="AM231" s="113">
        <v>0</v>
      </c>
      <c r="AN231" s="113">
        <v>0</v>
      </c>
      <c r="AO231" s="113">
        <v>0</v>
      </c>
      <c r="AP231" s="113">
        <v>0</v>
      </c>
      <c r="AQ231" s="113">
        <v>0</v>
      </c>
      <c r="AR231" s="113">
        <v>0</v>
      </c>
      <c r="AS231" s="113">
        <v>0</v>
      </c>
      <c r="AT231" s="113">
        <v>0</v>
      </c>
      <c r="AU231" s="113">
        <v>0</v>
      </c>
      <c r="AV231" s="113">
        <v>0</v>
      </c>
      <c r="AW231" s="113">
        <v>506</v>
      </c>
      <c r="AX231" s="113">
        <v>91</v>
      </c>
      <c r="AY231" s="113">
        <v>-91</v>
      </c>
      <c r="AZ231" s="113">
        <v>248</v>
      </c>
      <c r="BA231" s="113">
        <v>157</v>
      </c>
      <c r="BB231" s="113">
        <v>253</v>
      </c>
      <c r="BC231" s="113">
        <v>367</v>
      </c>
      <c r="BD231" s="113">
        <v>425</v>
      </c>
      <c r="BE231" s="113">
        <v>425</v>
      </c>
      <c r="BF231" s="113">
        <v>245</v>
      </c>
      <c r="BG231" s="113">
        <v>419</v>
      </c>
      <c r="BH231" s="113">
        <v>643</v>
      </c>
      <c r="BI231" s="113">
        <v>44</v>
      </c>
      <c r="BJ231" s="113">
        <v>-110</v>
      </c>
      <c r="BK231" s="113">
        <v>130</v>
      </c>
      <c r="BL231" s="113">
        <v>200</v>
      </c>
      <c r="BM231" s="113">
        <v>357</v>
      </c>
      <c r="BN231" s="113">
        <v>-50</v>
      </c>
      <c r="BO231" s="113">
        <v>358</v>
      </c>
      <c r="BP231" s="113">
        <v>181</v>
      </c>
      <c r="BQ231" s="113">
        <v>112</v>
      </c>
      <c r="BR231" s="113">
        <v>190</v>
      </c>
      <c r="BS231" s="113">
        <v>-190</v>
      </c>
      <c r="BT231" s="113">
        <v>1394</v>
      </c>
      <c r="BU231" s="113">
        <v>829</v>
      </c>
      <c r="BV231" s="113">
        <v>1350</v>
      </c>
      <c r="BW231" s="113">
        <v>-295</v>
      </c>
      <c r="BX231" s="113">
        <v>-307</v>
      </c>
      <c r="BY231" s="113">
        <v>479</v>
      </c>
      <c r="BZ231" s="113">
        <v>-769</v>
      </c>
      <c r="CA231" s="113">
        <v>-392</v>
      </c>
      <c r="CB231" s="113">
        <v>0</v>
      </c>
      <c r="CC231" s="113">
        <v>-750</v>
      </c>
      <c r="CD231" s="113">
        <v>-463</v>
      </c>
      <c r="CE231" s="113">
        <v>0</v>
      </c>
      <c r="CF231" s="113">
        <v>0</v>
      </c>
      <c r="CG231" s="113">
        <v>0</v>
      </c>
      <c r="CH231" s="113">
        <v>-387</v>
      </c>
      <c r="CI231" s="113">
        <v>0</v>
      </c>
      <c r="CJ231" s="113">
        <v>0</v>
      </c>
      <c r="CK231" s="113">
        <v>0</v>
      </c>
      <c r="CL231" s="113">
        <v>0</v>
      </c>
      <c r="CM231" s="113">
        <v>0</v>
      </c>
      <c r="CN231" s="113">
        <v>0</v>
      </c>
      <c r="CO231" s="113">
        <v>0</v>
      </c>
      <c r="CP231" s="113">
        <v>0</v>
      </c>
      <c r="CQ231" s="113">
        <v>0</v>
      </c>
      <c r="CR231" s="113">
        <v>0</v>
      </c>
      <c r="CS231" s="113">
        <v>0</v>
      </c>
      <c r="CT231" s="113">
        <v>0</v>
      </c>
      <c r="CU231" s="113">
        <v>0</v>
      </c>
      <c r="CV231" s="113">
        <v>0</v>
      </c>
      <c r="CW231" s="113">
        <v>0</v>
      </c>
      <c r="CX231" s="113">
        <v>0</v>
      </c>
      <c r="CY231" s="113">
        <v>0</v>
      </c>
      <c r="CZ231" s="113">
        <v>0</v>
      </c>
      <c r="DA231" s="113">
        <v>0</v>
      </c>
      <c r="DB231" s="113">
        <v>0</v>
      </c>
      <c r="DC231" s="113">
        <v>0</v>
      </c>
      <c r="DD231" s="113">
        <v>0</v>
      </c>
      <c r="DE231" s="113">
        <v>0</v>
      </c>
      <c r="DF231" s="113">
        <v>0</v>
      </c>
      <c r="DG231" s="113">
        <v>0</v>
      </c>
      <c r="DH231" s="113">
        <v>0</v>
      </c>
      <c r="DI231" s="113">
        <v>0</v>
      </c>
      <c r="DJ231" s="113">
        <v>0</v>
      </c>
      <c r="DK231" s="113">
        <v>0</v>
      </c>
      <c r="DL231" s="113">
        <v>0</v>
      </c>
      <c r="DM231" s="113">
        <v>0</v>
      </c>
      <c r="DN231" s="113">
        <v>0</v>
      </c>
      <c r="DO231" s="113">
        <v>0</v>
      </c>
      <c r="DP231" s="113">
        <v>0</v>
      </c>
      <c r="DQ231" s="113">
        <v>0</v>
      </c>
      <c r="DR231" s="113">
        <v>0</v>
      </c>
      <c r="DS231" s="113">
        <v>0</v>
      </c>
      <c r="DT231" s="113">
        <v>0</v>
      </c>
      <c r="DU231" s="113">
        <v>0</v>
      </c>
      <c r="DV231" s="113">
        <v>0</v>
      </c>
      <c r="DW231" s="113">
        <v>0</v>
      </c>
      <c r="DX231" s="113">
        <v>0</v>
      </c>
      <c r="DY231" s="113">
        <v>0</v>
      </c>
      <c r="DZ231" s="113">
        <v>-1807</v>
      </c>
      <c r="EA231" s="113">
        <v>-1077</v>
      </c>
      <c r="EB231" s="113">
        <v>-45</v>
      </c>
      <c r="EC231" s="113">
        <v>6749</v>
      </c>
      <c r="ED231" s="113">
        <v>-1806</v>
      </c>
      <c r="EE231" s="113">
        <v>-1065</v>
      </c>
      <c r="EF231" s="113">
        <v>91</v>
      </c>
      <c r="EG231" s="113">
        <v>8702</v>
      </c>
      <c r="EH231" s="113">
        <v>-2441</v>
      </c>
      <c r="EI231" s="113">
        <v>-2122</v>
      </c>
      <c r="EJ231" s="113">
        <v>20</v>
      </c>
      <c r="EK231" s="113">
        <v>9005</v>
      </c>
      <c r="EL231" s="113">
        <v>-2892</v>
      </c>
      <c r="EM231" s="113">
        <v>-2936</v>
      </c>
      <c r="EN231" s="113">
        <v>-736</v>
      </c>
    </row>
    <row r="232" spans="1:144">
      <c r="A232" s="103" t="s">
        <v>2400</v>
      </c>
      <c r="B232" s="113">
        <v>0</v>
      </c>
      <c r="C232" s="113">
        <v>0</v>
      </c>
      <c r="D232" s="113">
        <v>0</v>
      </c>
      <c r="E232" s="113">
        <v>0</v>
      </c>
      <c r="F232" s="113">
        <v>0</v>
      </c>
      <c r="G232" s="113">
        <v>0</v>
      </c>
      <c r="H232" s="113">
        <v>0</v>
      </c>
      <c r="I232" s="113">
        <v>0</v>
      </c>
      <c r="J232" s="113">
        <v>0</v>
      </c>
      <c r="K232" s="113">
        <v>0</v>
      </c>
      <c r="L232" s="113">
        <v>0</v>
      </c>
      <c r="M232" s="113">
        <v>0</v>
      </c>
      <c r="N232" s="113">
        <v>0</v>
      </c>
      <c r="O232" s="113">
        <v>0</v>
      </c>
      <c r="P232" s="113">
        <v>0</v>
      </c>
      <c r="Q232" s="113">
        <v>0</v>
      </c>
      <c r="R232" s="113">
        <v>0</v>
      </c>
      <c r="S232" s="113">
        <v>0</v>
      </c>
      <c r="T232" s="113">
        <v>0</v>
      </c>
      <c r="U232" s="113">
        <v>0</v>
      </c>
      <c r="V232" s="113">
        <v>0</v>
      </c>
      <c r="W232" s="113">
        <v>0</v>
      </c>
      <c r="X232" s="113">
        <v>0</v>
      </c>
      <c r="Y232" s="113">
        <v>0</v>
      </c>
      <c r="Z232" s="113">
        <v>0</v>
      </c>
      <c r="AA232" s="113">
        <v>-298</v>
      </c>
      <c r="AB232" s="113">
        <v>1792</v>
      </c>
      <c r="AC232" s="113">
        <v>18183</v>
      </c>
      <c r="AD232" s="113">
        <v>2929</v>
      </c>
      <c r="AE232" s="113">
        <v>766</v>
      </c>
      <c r="AG232" s="103" t="s">
        <v>2400</v>
      </c>
      <c r="AH232" s="113">
        <v>0</v>
      </c>
      <c r="AI232" s="113">
        <v>0</v>
      </c>
      <c r="AJ232" s="113">
        <v>0</v>
      </c>
      <c r="AK232" s="113">
        <v>0</v>
      </c>
      <c r="AL232" s="113">
        <v>0</v>
      </c>
      <c r="AM232" s="113">
        <v>0</v>
      </c>
      <c r="AN232" s="113">
        <v>0</v>
      </c>
      <c r="AO232" s="113">
        <v>0</v>
      </c>
      <c r="AP232" s="113">
        <v>0</v>
      </c>
      <c r="AQ232" s="113">
        <v>0</v>
      </c>
      <c r="AR232" s="113">
        <v>0</v>
      </c>
      <c r="AS232" s="113">
        <v>0</v>
      </c>
      <c r="AT232" s="113">
        <v>0</v>
      </c>
      <c r="AU232" s="113">
        <v>0</v>
      </c>
      <c r="AV232" s="113">
        <v>0</v>
      </c>
      <c r="AW232" s="113">
        <v>0</v>
      </c>
      <c r="AX232" s="113">
        <v>0</v>
      </c>
      <c r="AY232" s="113">
        <v>0</v>
      </c>
      <c r="AZ232" s="113">
        <v>0</v>
      </c>
      <c r="BA232" s="113">
        <v>0</v>
      </c>
      <c r="BB232" s="113">
        <v>0</v>
      </c>
      <c r="BC232" s="113">
        <v>0</v>
      </c>
      <c r="BD232" s="113">
        <v>0</v>
      </c>
      <c r="BE232" s="113">
        <v>0</v>
      </c>
      <c r="BF232" s="113">
        <v>0</v>
      </c>
      <c r="BG232" s="113">
        <v>0</v>
      </c>
      <c r="BH232" s="113">
        <v>0</v>
      </c>
      <c r="BI232" s="113">
        <v>0</v>
      </c>
      <c r="BJ232" s="113">
        <v>0</v>
      </c>
      <c r="BK232" s="113">
        <v>0</v>
      </c>
      <c r="BL232" s="113">
        <v>0</v>
      </c>
      <c r="BM232" s="113">
        <v>0</v>
      </c>
      <c r="BN232" s="113">
        <v>0</v>
      </c>
      <c r="BO232" s="113">
        <v>0</v>
      </c>
      <c r="BP232" s="113">
        <v>0</v>
      </c>
      <c r="BQ232" s="113">
        <v>0</v>
      </c>
      <c r="BR232" s="113">
        <v>0</v>
      </c>
      <c r="BS232" s="113">
        <v>0</v>
      </c>
      <c r="BT232" s="113">
        <v>0</v>
      </c>
      <c r="BU232" s="113">
        <v>0</v>
      </c>
      <c r="BV232" s="113">
        <v>0</v>
      </c>
      <c r="BW232" s="113">
        <v>0</v>
      </c>
      <c r="BX232" s="113">
        <v>0</v>
      </c>
      <c r="BY232" s="113">
        <v>0</v>
      </c>
      <c r="BZ232" s="113">
        <v>0</v>
      </c>
      <c r="CA232" s="113">
        <v>0</v>
      </c>
      <c r="CB232" s="113">
        <v>0</v>
      </c>
      <c r="CC232" s="113">
        <v>0</v>
      </c>
      <c r="CD232" s="113">
        <v>0</v>
      </c>
      <c r="CE232" s="113">
        <v>0</v>
      </c>
      <c r="CF232" s="113">
        <v>0</v>
      </c>
      <c r="CG232" s="113">
        <v>0</v>
      </c>
      <c r="CH232" s="113">
        <v>0</v>
      </c>
      <c r="CI232" s="113">
        <v>0</v>
      </c>
      <c r="CJ232" s="113">
        <v>0</v>
      </c>
      <c r="CK232" s="113">
        <v>0</v>
      </c>
      <c r="CL232" s="113">
        <v>0</v>
      </c>
      <c r="CM232" s="113">
        <v>0</v>
      </c>
      <c r="CN232" s="113">
        <v>0</v>
      </c>
      <c r="CO232" s="113">
        <v>0</v>
      </c>
      <c r="CP232" s="113">
        <v>0</v>
      </c>
      <c r="CQ232" s="113">
        <v>0</v>
      </c>
      <c r="CR232" s="113">
        <v>0</v>
      </c>
      <c r="CS232" s="113">
        <v>0</v>
      </c>
      <c r="CT232" s="113">
        <v>0</v>
      </c>
      <c r="CU232" s="113">
        <v>0</v>
      </c>
      <c r="CV232" s="113">
        <v>0</v>
      </c>
      <c r="CW232" s="113">
        <v>0</v>
      </c>
      <c r="CX232" s="113">
        <v>0</v>
      </c>
      <c r="CY232" s="113">
        <v>0</v>
      </c>
      <c r="CZ232" s="113">
        <v>0</v>
      </c>
      <c r="DA232" s="113">
        <v>0</v>
      </c>
      <c r="DB232" s="113">
        <v>0</v>
      </c>
      <c r="DC232" s="113">
        <v>0</v>
      </c>
      <c r="DD232" s="113">
        <v>0</v>
      </c>
      <c r="DE232" s="113">
        <v>0</v>
      </c>
      <c r="DF232" s="113">
        <v>0</v>
      </c>
      <c r="DG232" s="113">
        <v>0</v>
      </c>
      <c r="DH232" s="113">
        <v>0</v>
      </c>
      <c r="DI232" s="113">
        <v>0</v>
      </c>
      <c r="DJ232" s="113">
        <v>0</v>
      </c>
      <c r="DK232" s="113">
        <v>0</v>
      </c>
      <c r="DL232" s="113">
        <v>0</v>
      </c>
      <c r="DM232" s="113">
        <v>0</v>
      </c>
      <c r="DN232" s="113">
        <v>0</v>
      </c>
      <c r="DO232" s="113">
        <v>0</v>
      </c>
      <c r="DP232" s="113">
        <v>0</v>
      </c>
      <c r="DQ232" s="113">
        <v>0</v>
      </c>
      <c r="DR232" s="113">
        <v>0</v>
      </c>
      <c r="DS232" s="113">
        <v>0</v>
      </c>
      <c r="DT232" s="113">
        <v>0</v>
      </c>
      <c r="DU232" s="113">
        <v>0</v>
      </c>
      <c r="DV232" s="113">
        <v>0</v>
      </c>
      <c r="DW232" s="113">
        <v>0</v>
      </c>
      <c r="DX232" s="113">
        <v>0</v>
      </c>
      <c r="DY232" s="113">
        <v>0</v>
      </c>
      <c r="DZ232" s="113">
        <v>0</v>
      </c>
      <c r="EA232" s="113">
        <v>843</v>
      </c>
      <c r="EB232" s="113">
        <v>1247</v>
      </c>
      <c r="EC232" s="113">
        <v>-862</v>
      </c>
      <c r="ED232" s="113">
        <v>661</v>
      </c>
      <c r="EE232" s="113">
        <v>15974</v>
      </c>
      <c r="EF232" s="113">
        <v>645</v>
      </c>
      <c r="EG232" s="113">
        <v>903</v>
      </c>
      <c r="EH232" s="113">
        <v>-1091</v>
      </c>
      <c r="EI232" s="113">
        <v>-64</v>
      </c>
      <c r="EJ232" s="113">
        <v>276</v>
      </c>
      <c r="EK232" s="113">
        <v>3808</v>
      </c>
      <c r="EL232" s="113">
        <v>-3336</v>
      </c>
      <c r="EM232" s="113">
        <v>-471</v>
      </c>
      <c r="EN232" s="113">
        <v>765</v>
      </c>
    </row>
    <row r="233" spans="1:144">
      <c r="A233" s="103" t="s">
        <v>2401</v>
      </c>
      <c r="B233" s="113">
        <v>89</v>
      </c>
      <c r="C233" s="113">
        <v>149</v>
      </c>
      <c r="D233" s="113">
        <v>142</v>
      </c>
      <c r="E233" s="113">
        <v>356</v>
      </c>
      <c r="F233" s="113">
        <v>344</v>
      </c>
      <c r="G233" s="113">
        <v>609</v>
      </c>
      <c r="H233" s="113">
        <v>156</v>
      </c>
      <c r="I233" s="113">
        <v>120</v>
      </c>
      <c r="J233" s="113">
        <v>1117</v>
      </c>
      <c r="K233" s="113">
        <v>-2256</v>
      </c>
      <c r="L233" s="113">
        <v>115</v>
      </c>
      <c r="M233" s="113">
        <v>1392</v>
      </c>
      <c r="N233" s="113">
        <v>1313</v>
      </c>
      <c r="O233" s="113">
        <v>2650</v>
      </c>
      <c r="P233" s="113">
        <v>1417</v>
      </c>
      <c r="Q233" s="113">
        <v>-326</v>
      </c>
      <c r="R233" s="113">
        <v>803</v>
      </c>
      <c r="S233" s="113">
        <v>-866</v>
      </c>
      <c r="T233" s="113">
        <v>-1977</v>
      </c>
      <c r="U233" s="113">
        <v>2099</v>
      </c>
      <c r="V233" s="113">
        <v>-1049</v>
      </c>
      <c r="W233" s="113">
        <v>829</v>
      </c>
      <c r="X233" s="113">
        <v>697</v>
      </c>
      <c r="Y233" s="113">
        <v>1432</v>
      </c>
      <c r="Z233" s="113">
        <v>1383</v>
      </c>
      <c r="AA233" s="113">
        <v>-2907</v>
      </c>
      <c r="AB233" s="113">
        <v>349</v>
      </c>
      <c r="AC233" s="113">
        <v>-459</v>
      </c>
      <c r="AD233" s="113">
        <v>-1542</v>
      </c>
      <c r="AE233" s="113">
        <v>-358</v>
      </c>
      <c r="AG233" s="103" t="s">
        <v>2401</v>
      </c>
      <c r="AH233" s="113">
        <v>8</v>
      </c>
      <c r="AI233" s="113">
        <v>8</v>
      </c>
      <c r="AJ233" s="113">
        <v>110</v>
      </c>
      <c r="AK233" s="113">
        <v>16</v>
      </c>
      <c r="AL233" s="113">
        <v>37</v>
      </c>
      <c r="AM233" s="113">
        <v>147</v>
      </c>
      <c r="AN233" s="113">
        <v>151</v>
      </c>
      <c r="AO233" s="113">
        <v>-2</v>
      </c>
      <c r="AP233" s="113">
        <v>73</v>
      </c>
      <c r="AQ233" s="113">
        <v>91</v>
      </c>
      <c r="AR233" s="113">
        <v>49</v>
      </c>
      <c r="AS233" s="113">
        <v>146</v>
      </c>
      <c r="AT233" s="113">
        <v>436</v>
      </c>
      <c r="AU233" s="113">
        <v>431</v>
      </c>
      <c r="AV233" s="113">
        <v>121</v>
      </c>
      <c r="AW233" s="113">
        <v>-379</v>
      </c>
      <c r="AX233" s="113">
        <v>121</v>
      </c>
      <c r="AY233" s="113">
        <v>92</v>
      </c>
      <c r="AZ233" s="113">
        <v>146</v>
      </c>
      <c r="BA233" s="113">
        <v>-203</v>
      </c>
      <c r="BB233" s="113">
        <v>60</v>
      </c>
      <c r="BC233" s="113">
        <v>204</v>
      </c>
      <c r="BD233" s="113">
        <v>55</v>
      </c>
      <c r="BE233" s="113">
        <v>-199</v>
      </c>
      <c r="BF233" s="113">
        <v>296</v>
      </c>
      <c r="BG233" s="113">
        <v>399</v>
      </c>
      <c r="BH233" s="113">
        <v>-328</v>
      </c>
      <c r="BI233" s="113">
        <v>448</v>
      </c>
      <c r="BJ233" s="113">
        <v>-221</v>
      </c>
      <c r="BK233" s="113">
        <v>100</v>
      </c>
      <c r="BL233" s="113">
        <v>-2133</v>
      </c>
      <c r="BM233" s="113">
        <v>-2</v>
      </c>
      <c r="BN233" s="113">
        <v>-525</v>
      </c>
      <c r="BO233" s="113">
        <v>250</v>
      </c>
      <c r="BP233" s="113">
        <v>-403</v>
      </c>
      <c r="BQ233" s="113">
        <v>793</v>
      </c>
      <c r="BR233" s="113">
        <v>472</v>
      </c>
      <c r="BS233" s="113">
        <v>1424</v>
      </c>
      <c r="BT233" s="113">
        <v>-131</v>
      </c>
      <c r="BU233" s="113">
        <v>-373</v>
      </c>
      <c r="BV233" s="113">
        <v>808</v>
      </c>
      <c r="BW233" s="113">
        <v>369</v>
      </c>
      <c r="BX233" s="113">
        <v>-331</v>
      </c>
      <c r="BY233" s="113">
        <v>13</v>
      </c>
      <c r="BZ233" s="113">
        <v>-656</v>
      </c>
      <c r="CA233" s="113">
        <v>2047</v>
      </c>
      <c r="CB233" s="113">
        <v>2610</v>
      </c>
      <c r="CC233" s="113">
        <v>-1351</v>
      </c>
      <c r="CD233" s="113">
        <v>-433</v>
      </c>
      <c r="CE233" s="113">
        <v>466</v>
      </c>
      <c r="CF233" s="113">
        <v>1047</v>
      </c>
      <c r="CG233" s="113">
        <v>337</v>
      </c>
      <c r="CH233" s="113">
        <v>-242</v>
      </c>
      <c r="CI233" s="113">
        <v>-285</v>
      </c>
      <c r="CJ233" s="113">
        <v>361</v>
      </c>
      <c r="CK233" s="113">
        <v>-160</v>
      </c>
      <c r="CL233" s="113">
        <v>-1710</v>
      </c>
      <c r="CM233" s="113">
        <v>349</v>
      </c>
      <c r="CN233" s="113">
        <v>801</v>
      </c>
      <c r="CO233" s="113">
        <v>1363</v>
      </c>
      <c r="CP233" s="113">
        <v>-942</v>
      </c>
      <c r="CQ233" s="113">
        <v>822</v>
      </c>
      <c r="CR233" s="113">
        <v>157</v>
      </c>
      <c r="CS233" s="113">
        <v>-903</v>
      </c>
      <c r="CT233" s="113">
        <v>-4526</v>
      </c>
      <c r="CU233" s="113">
        <v>2010</v>
      </c>
      <c r="CV233" s="113">
        <v>908</v>
      </c>
      <c r="CW233" s="113">
        <v>-785</v>
      </c>
      <c r="CX233" s="113">
        <v>-1170</v>
      </c>
      <c r="CY233" s="113">
        <v>1288</v>
      </c>
      <c r="CZ233" s="113">
        <v>697</v>
      </c>
      <c r="DA233" s="113">
        <v>1284</v>
      </c>
      <c r="DB233" s="113">
        <v>-81</v>
      </c>
      <c r="DC233" s="113">
        <v>-176</v>
      </c>
      <c r="DD233" s="113">
        <v>-35</v>
      </c>
      <c r="DE233" s="113">
        <v>-757</v>
      </c>
      <c r="DF233" s="113">
        <v>-688</v>
      </c>
      <c r="DG233" s="113">
        <v>1185</v>
      </c>
      <c r="DH233" s="113">
        <v>740</v>
      </c>
      <c r="DI233" s="113">
        <v>-408</v>
      </c>
      <c r="DJ233" s="113">
        <v>-1722</v>
      </c>
      <c r="DK233" s="113">
        <v>220</v>
      </c>
      <c r="DL233" s="113">
        <v>2063</v>
      </c>
      <c r="DM233" s="113">
        <v>136</v>
      </c>
      <c r="DN233" s="113">
        <v>-2353</v>
      </c>
      <c r="DO233" s="113">
        <v>129</v>
      </c>
      <c r="DP233" s="113">
        <v>1337</v>
      </c>
      <c r="DQ233" s="113">
        <v>2319</v>
      </c>
      <c r="DR233" s="113">
        <v>-978</v>
      </c>
      <c r="DS233" s="113">
        <v>-324</v>
      </c>
      <c r="DT233" s="113">
        <v>473</v>
      </c>
      <c r="DU233" s="113">
        <v>2212</v>
      </c>
      <c r="DV233" s="113">
        <v>-2707</v>
      </c>
      <c r="DW233" s="113">
        <v>-401</v>
      </c>
      <c r="DX233" s="113">
        <v>553</v>
      </c>
      <c r="DY233" s="113">
        <v>321</v>
      </c>
      <c r="DZ233" s="113">
        <v>-936</v>
      </c>
      <c r="EA233" s="113">
        <v>-468</v>
      </c>
      <c r="EB233" s="113">
        <v>536</v>
      </c>
      <c r="EC233" s="113">
        <v>1781</v>
      </c>
      <c r="ED233" s="113">
        <v>-2406</v>
      </c>
      <c r="EE233" s="113">
        <v>500</v>
      </c>
      <c r="EF233" s="113">
        <v>329</v>
      </c>
      <c r="EG233" s="113">
        <v>1118</v>
      </c>
      <c r="EH233" s="113">
        <v>-2935</v>
      </c>
      <c r="EI233" s="113">
        <v>-22</v>
      </c>
      <c r="EJ233" s="113">
        <v>457</v>
      </c>
      <c r="EK233" s="113">
        <v>958</v>
      </c>
      <c r="EL233" s="113">
        <v>-3681</v>
      </c>
      <c r="EM233" s="113">
        <v>1562</v>
      </c>
      <c r="EN233" s="113">
        <v>803</v>
      </c>
    </row>
    <row r="234" spans="1:144" ht="10.5">
      <c r="A234" s="112" t="s">
        <v>2402</v>
      </c>
      <c r="B234" s="114">
        <v>571</v>
      </c>
      <c r="C234" s="114">
        <v>896</v>
      </c>
      <c r="D234" s="114">
        <v>1074</v>
      </c>
      <c r="E234" s="114">
        <v>1593</v>
      </c>
      <c r="F234" s="114">
        <v>1990</v>
      </c>
      <c r="G234" s="114">
        <v>3719</v>
      </c>
      <c r="H234" s="114">
        <v>4689</v>
      </c>
      <c r="I234" s="114">
        <v>8433</v>
      </c>
      <c r="J234" s="114">
        <v>12146</v>
      </c>
      <c r="K234" s="114">
        <v>11426</v>
      </c>
      <c r="L234" s="114">
        <v>13422</v>
      </c>
      <c r="M234" s="114">
        <v>14509</v>
      </c>
      <c r="N234" s="114">
        <v>15797</v>
      </c>
      <c r="O234" s="114">
        <v>14626</v>
      </c>
      <c r="P234" s="114">
        <v>16605</v>
      </c>
      <c r="Q234" s="114">
        <v>14404</v>
      </c>
      <c r="R234" s="114">
        <v>17796</v>
      </c>
      <c r="S234" s="114">
        <v>21612</v>
      </c>
      <c r="T234" s="114">
        <v>19037</v>
      </c>
      <c r="U234" s="114">
        <v>24073</v>
      </c>
      <c r="V234" s="114">
        <v>26994</v>
      </c>
      <c r="W234" s="114">
        <v>31626</v>
      </c>
      <c r="X234" s="114">
        <v>28833</v>
      </c>
      <c r="Y234" s="114">
        <v>32502</v>
      </c>
      <c r="Z234" s="114">
        <v>29668</v>
      </c>
      <c r="AA234" s="114">
        <v>33325</v>
      </c>
      <c r="AB234" s="114">
        <v>39507</v>
      </c>
      <c r="AC234" s="114">
        <v>43884</v>
      </c>
      <c r="AD234" s="114">
        <v>52185</v>
      </c>
      <c r="AE234" s="114">
        <v>58110</v>
      </c>
      <c r="AG234" s="112" t="s">
        <v>2402</v>
      </c>
      <c r="AH234" s="114">
        <v>203.5</v>
      </c>
      <c r="AI234" s="114">
        <v>203.5</v>
      </c>
      <c r="AJ234" s="114">
        <v>266</v>
      </c>
      <c r="AK234" s="114">
        <v>401</v>
      </c>
      <c r="AL234" s="114">
        <v>316</v>
      </c>
      <c r="AM234" s="114">
        <v>349</v>
      </c>
      <c r="AN234" s="114">
        <v>423</v>
      </c>
      <c r="AO234" s="114">
        <v>505</v>
      </c>
      <c r="AP234" s="114">
        <v>390</v>
      </c>
      <c r="AQ234" s="114">
        <v>445</v>
      </c>
      <c r="AR234" s="114">
        <v>643</v>
      </c>
      <c r="AS234" s="114">
        <v>512</v>
      </c>
      <c r="AT234" s="114">
        <v>500</v>
      </c>
      <c r="AU234" s="114">
        <v>1401</v>
      </c>
      <c r="AV234" s="114">
        <v>905</v>
      </c>
      <c r="AW234" s="114">
        <v>913</v>
      </c>
      <c r="AX234" s="114">
        <v>783</v>
      </c>
      <c r="AY234" s="114">
        <v>1218</v>
      </c>
      <c r="AZ234" s="114">
        <v>1618</v>
      </c>
      <c r="BA234" s="114">
        <v>1070</v>
      </c>
      <c r="BB234" s="114">
        <v>1680</v>
      </c>
      <c r="BC234" s="114">
        <v>1664</v>
      </c>
      <c r="BD234" s="114">
        <v>2102</v>
      </c>
      <c r="BE234" s="114">
        <v>1434</v>
      </c>
      <c r="BF234" s="114">
        <v>2584</v>
      </c>
      <c r="BG234" s="114">
        <v>2151</v>
      </c>
      <c r="BH234" s="114">
        <v>2684</v>
      </c>
      <c r="BI234" s="114">
        <v>5718</v>
      </c>
      <c r="BJ234" s="114">
        <v>2857</v>
      </c>
      <c r="BK234" s="114">
        <v>2927</v>
      </c>
      <c r="BL234" s="114">
        <v>2954</v>
      </c>
      <c r="BM234" s="114">
        <v>2688</v>
      </c>
      <c r="BN234" s="114">
        <v>2960</v>
      </c>
      <c r="BO234" s="114">
        <v>2919</v>
      </c>
      <c r="BP234" s="114">
        <v>3964</v>
      </c>
      <c r="BQ234" s="114">
        <v>3579</v>
      </c>
      <c r="BR234" s="114">
        <v>3389</v>
      </c>
      <c r="BS234" s="114">
        <v>3565</v>
      </c>
      <c r="BT234" s="114">
        <v>4121</v>
      </c>
      <c r="BU234" s="114">
        <v>3434</v>
      </c>
      <c r="BV234" s="114">
        <v>6172</v>
      </c>
      <c r="BW234" s="114">
        <v>2767</v>
      </c>
      <c r="BX234" s="114">
        <v>4169</v>
      </c>
      <c r="BY234" s="114">
        <v>2689</v>
      </c>
      <c r="BZ234" s="114">
        <v>3424</v>
      </c>
      <c r="CA234" s="114">
        <v>4574</v>
      </c>
      <c r="CB234" s="114">
        <v>4970</v>
      </c>
      <c r="CC234" s="114">
        <v>1658</v>
      </c>
      <c r="CD234" s="114">
        <v>4007</v>
      </c>
      <c r="CE234" s="114">
        <v>3619</v>
      </c>
      <c r="CF234" s="114">
        <v>5003</v>
      </c>
      <c r="CG234" s="114">
        <v>3976</v>
      </c>
      <c r="CH234" s="114">
        <v>4329</v>
      </c>
      <c r="CI234" s="114">
        <v>2231</v>
      </c>
      <c r="CJ234" s="114">
        <v>4563</v>
      </c>
      <c r="CK234" s="114">
        <v>3281</v>
      </c>
      <c r="CL234" s="114">
        <v>4061</v>
      </c>
      <c r="CM234" s="114">
        <v>2042</v>
      </c>
      <c r="CN234" s="114">
        <v>7291</v>
      </c>
      <c r="CO234" s="114">
        <v>4402</v>
      </c>
      <c r="CP234" s="114">
        <v>5878</v>
      </c>
      <c r="CQ234" s="114">
        <v>4567</v>
      </c>
      <c r="CR234" s="114">
        <v>7082</v>
      </c>
      <c r="CS234" s="114">
        <v>4085</v>
      </c>
      <c r="CT234" s="114">
        <v>3370</v>
      </c>
      <c r="CU234" s="114">
        <v>5782</v>
      </c>
      <c r="CV234" s="114">
        <v>6044</v>
      </c>
      <c r="CW234" s="114">
        <v>3841</v>
      </c>
      <c r="CX234" s="114">
        <v>6107</v>
      </c>
      <c r="CY234" s="114">
        <v>4969</v>
      </c>
      <c r="CZ234" s="114">
        <v>7393</v>
      </c>
      <c r="DA234" s="114">
        <v>5604</v>
      </c>
      <c r="DB234" s="114">
        <v>8194</v>
      </c>
      <c r="DC234" s="114">
        <v>4186</v>
      </c>
      <c r="DD234" s="114">
        <v>8672</v>
      </c>
      <c r="DE234" s="114">
        <v>5942</v>
      </c>
      <c r="DF234" s="114">
        <v>8493</v>
      </c>
      <c r="DG234" s="114">
        <v>5862</v>
      </c>
      <c r="DH234" s="114">
        <v>9594</v>
      </c>
      <c r="DI234" s="114">
        <v>7677</v>
      </c>
      <c r="DJ234" s="114">
        <v>8484</v>
      </c>
      <c r="DK234" s="114">
        <v>4780</v>
      </c>
      <c r="DL234" s="114">
        <v>9666</v>
      </c>
      <c r="DM234" s="114">
        <v>5903</v>
      </c>
      <c r="DN234" s="114">
        <v>8205</v>
      </c>
      <c r="DO234" s="114">
        <v>4413</v>
      </c>
      <c r="DP234" s="114">
        <v>10099</v>
      </c>
      <c r="DQ234" s="114">
        <v>9514</v>
      </c>
      <c r="DR234" s="114">
        <v>8354</v>
      </c>
      <c r="DS234" s="114">
        <v>4340</v>
      </c>
      <c r="DT234" s="114">
        <v>9601</v>
      </c>
      <c r="DU234" s="114">
        <v>6849</v>
      </c>
      <c r="DV234" s="114">
        <v>8876</v>
      </c>
      <c r="DW234" s="114">
        <v>5618</v>
      </c>
      <c r="DX234" s="114">
        <v>10367</v>
      </c>
      <c r="DY234" s="114">
        <v>8464</v>
      </c>
      <c r="DZ234" s="114">
        <v>11549</v>
      </c>
      <c r="EA234" s="114">
        <v>6293</v>
      </c>
      <c r="EB234" s="114">
        <v>10660</v>
      </c>
      <c r="EC234" s="114">
        <v>11005</v>
      </c>
      <c r="ED234" s="114">
        <v>12440</v>
      </c>
      <c r="EE234" s="114">
        <v>7875</v>
      </c>
      <c r="EF234" s="114">
        <v>12151</v>
      </c>
      <c r="EG234" s="114">
        <v>11418</v>
      </c>
      <c r="EH234" s="114">
        <v>13657</v>
      </c>
      <c r="EI234" s="114">
        <v>8900</v>
      </c>
      <c r="EJ234" s="114">
        <v>13520</v>
      </c>
      <c r="EK234" s="114">
        <v>16108</v>
      </c>
      <c r="EL234" s="114">
        <v>13818</v>
      </c>
      <c r="EM234" s="114">
        <v>10680</v>
      </c>
      <c r="EN234" s="114">
        <v>17504</v>
      </c>
    </row>
    <row r="235" spans="1:144">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c r="BE235" s="103"/>
      <c r="BF235" s="103"/>
      <c r="BG235" s="103"/>
      <c r="BH235" s="103"/>
      <c r="BI235" s="103"/>
      <c r="BJ235" s="103"/>
      <c r="BK235" s="103"/>
      <c r="BL235" s="103"/>
      <c r="BM235" s="103"/>
      <c r="BN235" s="103"/>
      <c r="BO235" s="103"/>
      <c r="BP235" s="103"/>
      <c r="BQ235" s="103"/>
      <c r="BR235" s="103"/>
      <c r="BS235" s="103"/>
      <c r="BT235" s="103"/>
      <c r="BU235" s="103"/>
      <c r="BV235" s="103"/>
      <c r="BW235" s="103"/>
      <c r="BX235" s="103"/>
      <c r="BY235" s="103"/>
      <c r="BZ235" s="103"/>
      <c r="CA235" s="103"/>
      <c r="CB235" s="103"/>
      <c r="CC235" s="103"/>
      <c r="CD235" s="103"/>
      <c r="CE235" s="103"/>
      <c r="CF235" s="103"/>
      <c r="CG235" s="103"/>
      <c r="CH235" s="103"/>
      <c r="CI235" s="103"/>
      <c r="CJ235" s="103"/>
      <c r="CK235" s="103"/>
      <c r="CL235" s="103"/>
      <c r="CM235" s="103"/>
      <c r="CN235" s="103"/>
      <c r="CO235" s="103"/>
      <c r="CP235" s="103"/>
      <c r="CQ235" s="103"/>
      <c r="CR235" s="103"/>
      <c r="CS235" s="103"/>
      <c r="CT235" s="103"/>
      <c r="CU235" s="103"/>
      <c r="CV235" s="103"/>
      <c r="CW235" s="103"/>
      <c r="CX235" s="103"/>
      <c r="CY235" s="103"/>
      <c r="CZ235" s="103"/>
      <c r="DA235" s="103"/>
      <c r="DB235" s="103"/>
      <c r="DC235" s="103"/>
      <c r="DD235" s="103"/>
      <c r="DE235" s="103"/>
      <c r="DF235" s="103"/>
      <c r="DG235" s="103"/>
      <c r="DH235" s="103"/>
      <c r="DI235" s="103"/>
      <c r="DJ235" s="103"/>
      <c r="DK235" s="103"/>
      <c r="DL235" s="103"/>
      <c r="DM235" s="103"/>
      <c r="DN235" s="103"/>
      <c r="DO235" s="103"/>
      <c r="DP235" s="103"/>
      <c r="DQ235" s="103"/>
      <c r="DR235" s="103"/>
      <c r="DS235" s="103"/>
      <c r="DT235" s="103"/>
      <c r="DU235" s="103"/>
      <c r="DV235" s="103"/>
      <c r="DW235" s="103"/>
      <c r="DX235" s="103"/>
      <c r="DY235" s="103"/>
      <c r="DZ235" s="103"/>
      <c r="EA235" s="103"/>
      <c r="EB235" s="103"/>
      <c r="EC235" s="103"/>
      <c r="ED235" s="103"/>
      <c r="EE235" s="103"/>
      <c r="EF235" s="103"/>
      <c r="EG235" s="103"/>
      <c r="EH235" s="103"/>
      <c r="EI235" s="103"/>
      <c r="EJ235" s="103"/>
      <c r="EK235" s="103"/>
      <c r="EL235" s="103"/>
      <c r="EM235" s="103"/>
      <c r="EN235" s="103"/>
    </row>
    <row r="236" spans="1:144">
      <c r="A236" s="103" t="s">
        <v>2403</v>
      </c>
      <c r="B236" s="113">
        <v>-264</v>
      </c>
      <c r="C236" s="113">
        <v>-317</v>
      </c>
      <c r="D236" s="113">
        <v>-236</v>
      </c>
      <c r="E236" s="113">
        <v>-278</v>
      </c>
      <c r="F236" s="113">
        <v>-495</v>
      </c>
      <c r="G236" s="113">
        <v>-494</v>
      </c>
      <c r="H236" s="113">
        <v>-499</v>
      </c>
      <c r="I236" s="113">
        <v>-656</v>
      </c>
      <c r="J236" s="113">
        <v>-583</v>
      </c>
      <c r="K236" s="113">
        <v>-879</v>
      </c>
      <c r="L236" s="113">
        <v>-1103</v>
      </c>
      <c r="M236" s="113">
        <v>-770</v>
      </c>
      <c r="N236" s="113">
        <v>-891</v>
      </c>
      <c r="O236" s="113">
        <v>-1109</v>
      </c>
      <c r="P236" s="113">
        <v>-812</v>
      </c>
      <c r="Q236" s="113">
        <v>-1578</v>
      </c>
      <c r="R236" s="113">
        <v>-2264</v>
      </c>
      <c r="S236" s="113">
        <v>-3182</v>
      </c>
      <c r="T236" s="113">
        <v>-3119</v>
      </c>
      <c r="U236" s="113">
        <v>-1977</v>
      </c>
      <c r="V236" s="113">
        <v>-2355</v>
      </c>
      <c r="W236" s="113">
        <v>-2305</v>
      </c>
      <c r="X236" s="113">
        <v>-4257</v>
      </c>
      <c r="Y236" s="113">
        <v>-5485</v>
      </c>
      <c r="Z236" s="113">
        <v>-5944</v>
      </c>
      <c r="AA236" s="113">
        <v>-8343</v>
      </c>
      <c r="AB236" s="113">
        <v>-8129</v>
      </c>
      <c r="AC236" s="113">
        <v>-11632</v>
      </c>
      <c r="AD236" s="113">
        <v>-13925</v>
      </c>
      <c r="AE236" s="113">
        <v>-14748</v>
      </c>
      <c r="AG236" s="103" t="s">
        <v>2403</v>
      </c>
      <c r="AH236" s="113">
        <v>-50</v>
      </c>
      <c r="AI236" s="113">
        <v>-50</v>
      </c>
      <c r="AJ236" s="113">
        <v>-61</v>
      </c>
      <c r="AK236" s="113">
        <v>-75</v>
      </c>
      <c r="AL236" s="113">
        <v>-59</v>
      </c>
      <c r="AM236" s="113">
        <v>-63</v>
      </c>
      <c r="AN236" s="113">
        <v>-69</v>
      </c>
      <c r="AO236" s="113">
        <v>-87</v>
      </c>
      <c r="AP236" s="113">
        <v>-67</v>
      </c>
      <c r="AQ236" s="113">
        <v>-103</v>
      </c>
      <c r="AR236" s="113">
        <v>-102</v>
      </c>
      <c r="AS236" s="113">
        <v>-223</v>
      </c>
      <c r="AT236" s="113">
        <v>-116</v>
      </c>
      <c r="AU236" s="113">
        <v>-88</v>
      </c>
      <c r="AV236" s="113">
        <v>-132</v>
      </c>
      <c r="AW236" s="113">
        <v>-158</v>
      </c>
      <c r="AX236" s="113">
        <v>-99</v>
      </c>
      <c r="AY236" s="113">
        <v>-117</v>
      </c>
      <c r="AZ236" s="113">
        <v>-110</v>
      </c>
      <c r="BA236" s="113">
        <v>-173</v>
      </c>
      <c r="BB236" s="113">
        <v>-117</v>
      </c>
      <c r="BC236" s="113">
        <v>-151</v>
      </c>
      <c r="BD236" s="113">
        <v>-147</v>
      </c>
      <c r="BE236" s="113">
        <v>-241</v>
      </c>
      <c r="BF236" s="113">
        <v>-106</v>
      </c>
      <c r="BG236" s="113">
        <v>-135</v>
      </c>
      <c r="BH236" s="113">
        <v>-50</v>
      </c>
      <c r="BI236" s="113">
        <v>-292</v>
      </c>
      <c r="BJ236" s="113">
        <v>-139</v>
      </c>
      <c r="BK236" s="113">
        <v>-232</v>
      </c>
      <c r="BL236" s="113">
        <v>-246</v>
      </c>
      <c r="BM236" s="113">
        <v>-262</v>
      </c>
      <c r="BN236" s="113">
        <v>-245</v>
      </c>
      <c r="BO236" s="113">
        <v>-272</v>
      </c>
      <c r="BP236" s="113">
        <v>-264</v>
      </c>
      <c r="BQ236" s="113">
        <v>-322</v>
      </c>
      <c r="BR236" s="113">
        <v>-150</v>
      </c>
      <c r="BS236" s="113">
        <v>-172</v>
      </c>
      <c r="BT236" s="113">
        <v>-166</v>
      </c>
      <c r="BU236" s="113">
        <v>-282</v>
      </c>
      <c r="BV236" s="113">
        <v>-160</v>
      </c>
      <c r="BW236" s="113">
        <v>-276</v>
      </c>
      <c r="BX236" s="113">
        <v>-182</v>
      </c>
      <c r="BY236" s="113">
        <v>-273</v>
      </c>
      <c r="BZ236" s="113">
        <v>-167</v>
      </c>
      <c r="CA236" s="113">
        <v>-172</v>
      </c>
      <c r="CB236" s="113">
        <v>-213</v>
      </c>
      <c r="CC236" s="113">
        <v>-557</v>
      </c>
      <c r="CD236" s="113">
        <v>-173</v>
      </c>
      <c r="CE236" s="113">
        <v>-176</v>
      </c>
      <c r="CF236" s="113">
        <v>-203</v>
      </c>
      <c r="CG236" s="113">
        <v>-260</v>
      </c>
      <c r="CH236" s="113">
        <v>-213</v>
      </c>
      <c r="CI236" s="113">
        <v>-318</v>
      </c>
      <c r="CJ236" s="113">
        <v>-302</v>
      </c>
      <c r="CK236" s="113">
        <v>-745</v>
      </c>
      <c r="CL236" s="113">
        <v>-411</v>
      </c>
      <c r="CM236" s="113">
        <v>-572</v>
      </c>
      <c r="CN236" s="113">
        <v>-461</v>
      </c>
      <c r="CO236" s="113">
        <v>-820</v>
      </c>
      <c r="CP236" s="113">
        <v>-510</v>
      </c>
      <c r="CQ236" s="113">
        <v>-695</v>
      </c>
      <c r="CR236" s="113">
        <v>-759</v>
      </c>
      <c r="CS236" s="113">
        <v>-1218</v>
      </c>
      <c r="CT236" s="113">
        <v>-778</v>
      </c>
      <c r="CU236" s="113">
        <v>-842</v>
      </c>
      <c r="CV236" s="113">
        <v>-632</v>
      </c>
      <c r="CW236" s="113">
        <v>-867</v>
      </c>
      <c r="CX236" s="113">
        <v>-435</v>
      </c>
      <c r="CY236" s="113">
        <v>-376</v>
      </c>
      <c r="CZ236" s="113">
        <v>-408</v>
      </c>
      <c r="DA236" s="113">
        <v>-758</v>
      </c>
      <c r="DB236" s="113">
        <v>-564</v>
      </c>
      <c r="DC236" s="113">
        <v>-491</v>
      </c>
      <c r="DD236" s="113">
        <v>-658</v>
      </c>
      <c r="DE236" s="113">
        <v>-642</v>
      </c>
      <c r="DF236" s="113">
        <v>-436</v>
      </c>
      <c r="DG236" s="113">
        <v>-498</v>
      </c>
      <c r="DH236" s="113">
        <v>-749</v>
      </c>
      <c r="DI236" s="113">
        <v>-622</v>
      </c>
      <c r="DJ236" s="113">
        <v>-603</v>
      </c>
      <c r="DK236" s="113">
        <v>-930</v>
      </c>
      <c r="DL236" s="113">
        <v>-930</v>
      </c>
      <c r="DM236" s="113">
        <v>-1794</v>
      </c>
      <c r="DN236" s="113">
        <v>-1231</v>
      </c>
      <c r="DO236" s="113">
        <v>-1732</v>
      </c>
      <c r="DP236" s="113">
        <v>-1192</v>
      </c>
      <c r="DQ236" s="113">
        <v>-1330</v>
      </c>
      <c r="DR236" s="113">
        <v>-1282</v>
      </c>
      <c r="DS236" s="113">
        <v>-1490</v>
      </c>
      <c r="DT236" s="113">
        <v>-1391</v>
      </c>
      <c r="DU236" s="113">
        <v>-1781</v>
      </c>
      <c r="DV236" s="113">
        <v>-1356</v>
      </c>
      <c r="DW236" s="113">
        <v>-2024</v>
      </c>
      <c r="DX236" s="113">
        <v>-2308</v>
      </c>
      <c r="DY236" s="113">
        <v>-2655</v>
      </c>
      <c r="DZ236" s="113">
        <v>-2163</v>
      </c>
      <c r="EA236" s="113">
        <v>-1988</v>
      </c>
      <c r="EB236" s="113">
        <v>-1695</v>
      </c>
      <c r="EC236" s="113">
        <v>-2283</v>
      </c>
      <c r="ED236" s="113">
        <v>-2132</v>
      </c>
      <c r="EE236" s="113">
        <v>-2586</v>
      </c>
      <c r="EF236" s="113">
        <v>-2934</v>
      </c>
      <c r="EG236" s="113">
        <v>-3980</v>
      </c>
      <c r="EH236" s="113">
        <v>-3602</v>
      </c>
      <c r="EI236" s="113">
        <v>-3707</v>
      </c>
      <c r="EJ236" s="113">
        <v>-2565</v>
      </c>
      <c r="EK236" s="113">
        <v>-4051</v>
      </c>
      <c r="EL236" s="113">
        <v>-3385</v>
      </c>
      <c r="EM236" s="113">
        <v>-3545</v>
      </c>
      <c r="EN236" s="113">
        <v>-3767</v>
      </c>
    </row>
    <row r="237" spans="1:144">
      <c r="A237" s="103" t="s">
        <v>2404</v>
      </c>
      <c r="B237" s="113">
        <v>0</v>
      </c>
      <c r="C237" s="113">
        <v>0</v>
      </c>
      <c r="D237" s="113">
        <v>0</v>
      </c>
      <c r="E237" s="113">
        <v>0</v>
      </c>
      <c r="F237" s="113">
        <v>0</v>
      </c>
      <c r="G237" s="113">
        <v>0</v>
      </c>
      <c r="H237" s="113">
        <v>0</v>
      </c>
      <c r="I237" s="113">
        <v>-190</v>
      </c>
      <c r="J237" s="113">
        <v>0</v>
      </c>
      <c r="K237" s="113">
        <v>0</v>
      </c>
      <c r="L237" s="113">
        <v>0</v>
      </c>
      <c r="M237" s="113">
        <v>0</v>
      </c>
      <c r="N237" s="113">
        <v>-1063</v>
      </c>
      <c r="O237" s="113">
        <v>-4</v>
      </c>
      <c r="P237" s="113">
        <v>-207</v>
      </c>
      <c r="Q237" s="113">
        <v>-649</v>
      </c>
      <c r="R237" s="113">
        <v>-1150</v>
      </c>
      <c r="S237" s="113">
        <v>-8053</v>
      </c>
      <c r="T237" s="113">
        <v>-868</v>
      </c>
      <c r="U237" s="113">
        <v>-245</v>
      </c>
      <c r="V237" s="113">
        <v>-71</v>
      </c>
      <c r="W237" s="113">
        <v>-10112</v>
      </c>
      <c r="X237" s="113">
        <v>-1584</v>
      </c>
      <c r="Y237" s="113">
        <v>-5937</v>
      </c>
      <c r="Z237" s="113">
        <v>-3723</v>
      </c>
      <c r="AA237" s="113">
        <v>-1393</v>
      </c>
      <c r="AB237" s="113">
        <v>-25944</v>
      </c>
      <c r="AC237" s="113">
        <v>-888</v>
      </c>
      <c r="AD237" s="113">
        <v>-2388</v>
      </c>
      <c r="AE237" s="113">
        <v>-1152</v>
      </c>
      <c r="AG237" s="103" t="s">
        <v>2404</v>
      </c>
      <c r="AH237" s="113">
        <v>0</v>
      </c>
      <c r="AI237" s="113">
        <v>0</v>
      </c>
      <c r="AJ237" s="113">
        <v>0</v>
      </c>
      <c r="AK237" s="113">
        <v>0</v>
      </c>
      <c r="AL237" s="113">
        <v>0</v>
      </c>
      <c r="AM237" s="113">
        <v>0</v>
      </c>
      <c r="AN237" s="113">
        <v>0</v>
      </c>
      <c r="AO237" s="113">
        <v>0</v>
      </c>
      <c r="AP237" s="113">
        <v>0</v>
      </c>
      <c r="AQ237" s="113">
        <v>0</v>
      </c>
      <c r="AR237" s="113">
        <v>0</v>
      </c>
      <c r="AS237" s="113">
        <v>0</v>
      </c>
      <c r="AT237" s="113">
        <v>0</v>
      </c>
      <c r="AU237" s="113">
        <v>0</v>
      </c>
      <c r="AV237" s="113">
        <v>0</v>
      </c>
      <c r="AW237" s="113">
        <v>0</v>
      </c>
      <c r="AX237" s="113">
        <v>0</v>
      </c>
      <c r="AY237" s="113">
        <v>0</v>
      </c>
      <c r="AZ237" s="113">
        <v>0</v>
      </c>
      <c r="BA237" s="113">
        <v>0</v>
      </c>
      <c r="BB237" s="113">
        <v>-190</v>
      </c>
      <c r="BC237" s="113">
        <v>0</v>
      </c>
      <c r="BD237" s="113">
        <v>0</v>
      </c>
      <c r="BE237" s="113">
        <v>0</v>
      </c>
      <c r="BF237" s="113">
        <v>0</v>
      </c>
      <c r="BG237" s="113">
        <v>0</v>
      </c>
      <c r="BH237" s="113">
        <v>0</v>
      </c>
      <c r="BI237" s="113">
        <v>0</v>
      </c>
      <c r="BJ237" s="113">
        <v>0</v>
      </c>
      <c r="BK237" s="113">
        <v>0</v>
      </c>
      <c r="BL237" s="113">
        <v>0</v>
      </c>
      <c r="BM237" s="113">
        <v>0</v>
      </c>
      <c r="BN237" s="113">
        <v>0</v>
      </c>
      <c r="BO237" s="113">
        <v>0</v>
      </c>
      <c r="BP237" s="113">
        <v>0</v>
      </c>
      <c r="BQ237" s="113">
        <v>0</v>
      </c>
      <c r="BR237" s="113">
        <v>0</v>
      </c>
      <c r="BS237" s="113">
        <v>0</v>
      </c>
      <c r="BT237" s="113">
        <v>0</v>
      </c>
      <c r="BU237" s="113">
        <v>0</v>
      </c>
      <c r="BV237" s="113">
        <v>-870</v>
      </c>
      <c r="BW237" s="113">
        <v>-9</v>
      </c>
      <c r="BX237" s="113">
        <v>-12</v>
      </c>
      <c r="BY237" s="113">
        <v>-172</v>
      </c>
      <c r="BZ237" s="113">
        <v>-4</v>
      </c>
      <c r="CA237" s="113">
        <v>0</v>
      </c>
      <c r="CB237" s="113">
        <v>0</v>
      </c>
      <c r="CC237" s="113">
        <v>0</v>
      </c>
      <c r="CD237" s="113">
        <v>0</v>
      </c>
      <c r="CE237" s="113">
        <v>-1</v>
      </c>
      <c r="CF237" s="113">
        <v>-11</v>
      </c>
      <c r="CG237" s="113">
        <v>-195</v>
      </c>
      <c r="CH237" s="113">
        <v>-187</v>
      </c>
      <c r="CI237" s="113">
        <v>-63</v>
      </c>
      <c r="CJ237" s="113">
        <v>-83</v>
      </c>
      <c r="CK237" s="113">
        <v>-316</v>
      </c>
      <c r="CL237" s="113">
        <v>-336</v>
      </c>
      <c r="CM237" s="113">
        <v>-125</v>
      </c>
      <c r="CN237" s="113">
        <v>-41</v>
      </c>
      <c r="CO237" s="113">
        <v>-648</v>
      </c>
      <c r="CP237" s="113">
        <v>-5396</v>
      </c>
      <c r="CQ237" s="113">
        <v>-433</v>
      </c>
      <c r="CR237" s="113">
        <v>-138</v>
      </c>
      <c r="CS237" s="113">
        <v>-2086</v>
      </c>
      <c r="CT237" s="113">
        <v>-377</v>
      </c>
      <c r="CU237" s="113">
        <v>-450</v>
      </c>
      <c r="CV237" s="113">
        <v>0</v>
      </c>
      <c r="CW237" s="113">
        <v>-41</v>
      </c>
      <c r="CX237" s="113">
        <v>-39</v>
      </c>
      <c r="CY237" s="113">
        <v>-63</v>
      </c>
      <c r="CZ237" s="113">
        <v>-143</v>
      </c>
      <c r="DA237" s="113">
        <v>0</v>
      </c>
      <c r="DB237" s="113">
        <v>0</v>
      </c>
      <c r="DC237" s="113">
        <v>-69</v>
      </c>
      <c r="DD237" s="113">
        <v>0</v>
      </c>
      <c r="DE237" s="113">
        <v>-2</v>
      </c>
      <c r="DF237" s="113">
        <v>-875</v>
      </c>
      <c r="DG237" s="113">
        <v>-8627</v>
      </c>
      <c r="DH237" s="113">
        <v>-84</v>
      </c>
      <c r="DI237" s="113">
        <v>-526</v>
      </c>
      <c r="DJ237" s="113">
        <v>-1145</v>
      </c>
      <c r="DK237" s="113">
        <v>-311</v>
      </c>
      <c r="DL237" s="113">
        <v>-108</v>
      </c>
      <c r="DM237" s="113">
        <v>-20</v>
      </c>
      <c r="DN237" s="113">
        <v>-15</v>
      </c>
      <c r="DO237" s="113">
        <v>-139</v>
      </c>
      <c r="DP237" s="113">
        <v>-157</v>
      </c>
      <c r="DQ237" s="113">
        <v>-5626</v>
      </c>
      <c r="DR237" s="113">
        <v>-141</v>
      </c>
      <c r="DS237" s="113">
        <v>-2794</v>
      </c>
      <c r="DT237" s="113">
        <v>-162</v>
      </c>
      <c r="DU237" s="113">
        <v>-626</v>
      </c>
      <c r="DV237" s="113">
        <v>-390</v>
      </c>
      <c r="DW237" s="113">
        <v>-381</v>
      </c>
      <c r="DX237" s="113">
        <v>-559</v>
      </c>
      <c r="DY237" s="113">
        <v>-63</v>
      </c>
      <c r="DZ237" s="113">
        <v>-24</v>
      </c>
      <c r="EA237" s="113">
        <v>-24760</v>
      </c>
      <c r="EB237" s="113">
        <v>-802</v>
      </c>
      <c r="EC237" s="113">
        <v>-358</v>
      </c>
      <c r="ED237" s="113">
        <v>-179</v>
      </c>
      <c r="EE237" s="113">
        <v>-27</v>
      </c>
      <c r="EF237" s="113">
        <v>-248</v>
      </c>
      <c r="EG237" s="113">
        <v>-434</v>
      </c>
      <c r="EH237" s="113">
        <v>-245</v>
      </c>
      <c r="EI237" s="113">
        <v>-1593</v>
      </c>
      <c r="EJ237" s="113">
        <v>-269</v>
      </c>
      <c r="EK237" s="113">
        <v>-281</v>
      </c>
      <c r="EL237" s="113">
        <v>-462</v>
      </c>
      <c r="EM237" s="113">
        <v>-80</v>
      </c>
      <c r="EN237" s="113">
        <v>-329</v>
      </c>
    </row>
    <row r="238" spans="1:144">
      <c r="A238" s="103" t="s">
        <v>317</v>
      </c>
      <c r="B238" s="113">
        <v>0</v>
      </c>
      <c r="C238" s="113">
        <v>0</v>
      </c>
      <c r="D238" s="113">
        <v>0</v>
      </c>
      <c r="E238" s="113">
        <v>0</v>
      </c>
      <c r="F238" s="113">
        <v>0</v>
      </c>
      <c r="G238" s="113">
        <v>0</v>
      </c>
      <c r="H238" s="113">
        <v>0</v>
      </c>
      <c r="I238" s="113">
        <v>0</v>
      </c>
      <c r="J238" s="113">
        <v>0</v>
      </c>
      <c r="K238" s="113">
        <v>0</v>
      </c>
      <c r="L238" s="113">
        <v>0</v>
      </c>
      <c r="M238" s="113">
        <v>0</v>
      </c>
      <c r="N238" s="113">
        <v>0</v>
      </c>
      <c r="O238" s="113">
        <v>0</v>
      </c>
      <c r="P238" s="113">
        <v>0</v>
      </c>
      <c r="Q238" s="113">
        <v>0</v>
      </c>
      <c r="R238" s="113">
        <v>0</v>
      </c>
      <c r="S238" s="113">
        <v>0</v>
      </c>
      <c r="T238" s="113">
        <v>0</v>
      </c>
      <c r="U238" s="113">
        <v>0</v>
      </c>
      <c r="V238" s="113">
        <v>0</v>
      </c>
      <c r="W238" s="113">
        <v>0</v>
      </c>
      <c r="X238" s="113">
        <v>0</v>
      </c>
      <c r="Y238" s="113">
        <v>0</v>
      </c>
      <c r="Z238" s="113">
        <v>0</v>
      </c>
      <c r="AA238" s="113">
        <v>0</v>
      </c>
      <c r="AB238" s="113">
        <v>0</v>
      </c>
      <c r="AC238" s="113">
        <v>0</v>
      </c>
      <c r="AD238" s="113">
        <v>0</v>
      </c>
      <c r="AE238" s="113">
        <v>0</v>
      </c>
      <c r="AG238" s="103" t="s">
        <v>317</v>
      </c>
      <c r="AH238" s="113">
        <v>0</v>
      </c>
      <c r="AI238" s="113">
        <v>0</v>
      </c>
      <c r="AJ238" s="113">
        <v>0</v>
      </c>
      <c r="AK238" s="113">
        <v>0</v>
      </c>
      <c r="AL238" s="113">
        <v>0</v>
      </c>
      <c r="AM238" s="113">
        <v>0</v>
      </c>
      <c r="AN238" s="113">
        <v>0</v>
      </c>
      <c r="AO238" s="113">
        <v>0</v>
      </c>
      <c r="AP238" s="113">
        <v>0</v>
      </c>
      <c r="AQ238" s="113">
        <v>0</v>
      </c>
      <c r="AR238" s="113">
        <v>0</v>
      </c>
      <c r="AS238" s="113">
        <v>0</v>
      </c>
      <c r="AT238" s="113">
        <v>0</v>
      </c>
      <c r="AU238" s="113">
        <v>0</v>
      </c>
      <c r="AV238" s="113">
        <v>0</v>
      </c>
      <c r="AW238" s="113">
        <v>0</v>
      </c>
      <c r="AX238" s="113">
        <v>0</v>
      </c>
      <c r="AY238" s="113">
        <v>0</v>
      </c>
      <c r="AZ238" s="113">
        <v>0</v>
      </c>
      <c r="BA238" s="113">
        <v>0</v>
      </c>
      <c r="BB238" s="113">
        <v>0</v>
      </c>
      <c r="BC238" s="113">
        <v>0</v>
      </c>
      <c r="BD238" s="113">
        <v>0</v>
      </c>
      <c r="BE238" s="113">
        <v>0</v>
      </c>
      <c r="BF238" s="113">
        <v>79</v>
      </c>
      <c r="BG238" s="113">
        <v>0</v>
      </c>
      <c r="BH238" s="113">
        <v>0</v>
      </c>
      <c r="BI238" s="113">
        <v>0</v>
      </c>
      <c r="BJ238" s="113">
        <v>0</v>
      </c>
      <c r="BK238" s="113">
        <v>0</v>
      </c>
      <c r="BL238" s="113">
        <v>0</v>
      </c>
      <c r="BM238" s="113">
        <v>0</v>
      </c>
      <c r="BN238" s="113">
        <v>0</v>
      </c>
      <c r="BO238" s="113">
        <v>0</v>
      </c>
      <c r="BP238" s="113">
        <v>0</v>
      </c>
      <c r="BQ238" s="113">
        <v>0</v>
      </c>
      <c r="BR238" s="113">
        <v>0</v>
      </c>
      <c r="BS238" s="113">
        <v>0</v>
      </c>
      <c r="BT238" s="113">
        <v>0</v>
      </c>
      <c r="BU238" s="113">
        <v>0</v>
      </c>
      <c r="BV238" s="113">
        <v>0</v>
      </c>
      <c r="BW238" s="113">
        <v>0</v>
      </c>
      <c r="BX238" s="113">
        <v>0</v>
      </c>
      <c r="BY238" s="113">
        <v>0</v>
      </c>
      <c r="BZ238" s="113">
        <v>0</v>
      </c>
      <c r="CA238" s="113">
        <v>0</v>
      </c>
      <c r="CB238" s="113">
        <v>0</v>
      </c>
      <c r="CC238" s="113">
        <v>0</v>
      </c>
      <c r="CD238" s="113">
        <v>0</v>
      </c>
      <c r="CE238" s="113">
        <v>0</v>
      </c>
      <c r="CF238" s="113">
        <v>0</v>
      </c>
      <c r="CG238" s="113">
        <v>0</v>
      </c>
      <c r="CH238" s="113">
        <v>0</v>
      </c>
      <c r="CI238" s="113">
        <v>0</v>
      </c>
      <c r="CJ238" s="113">
        <v>0</v>
      </c>
      <c r="CK238" s="113">
        <v>0</v>
      </c>
      <c r="CL238" s="113">
        <v>0</v>
      </c>
      <c r="CM238" s="113">
        <v>0</v>
      </c>
      <c r="CN238" s="113">
        <v>0</v>
      </c>
      <c r="CO238" s="113">
        <v>0</v>
      </c>
      <c r="CP238" s="113">
        <v>0</v>
      </c>
      <c r="CQ238" s="113">
        <v>0</v>
      </c>
      <c r="CR238" s="113">
        <v>0</v>
      </c>
      <c r="CS238" s="113">
        <v>0</v>
      </c>
      <c r="CT238" s="113">
        <v>0</v>
      </c>
      <c r="CU238" s="113">
        <v>0</v>
      </c>
      <c r="CV238" s="113">
        <v>0</v>
      </c>
      <c r="CW238" s="113">
        <v>0</v>
      </c>
      <c r="CX238" s="113">
        <v>0</v>
      </c>
      <c r="CY238" s="113">
        <v>0</v>
      </c>
      <c r="CZ238" s="113">
        <v>0</v>
      </c>
      <c r="DA238" s="113">
        <v>0</v>
      </c>
      <c r="DB238" s="113">
        <v>0</v>
      </c>
      <c r="DC238" s="113">
        <v>0</v>
      </c>
      <c r="DD238" s="113">
        <v>0</v>
      </c>
      <c r="DE238" s="113">
        <v>0</v>
      </c>
      <c r="DF238" s="113">
        <v>0</v>
      </c>
      <c r="DG238" s="113">
        <v>0</v>
      </c>
      <c r="DH238" s="113">
        <v>0</v>
      </c>
      <c r="DI238" s="113">
        <v>0</v>
      </c>
      <c r="DJ238" s="113">
        <v>0</v>
      </c>
      <c r="DK238" s="113">
        <v>0</v>
      </c>
      <c r="DL238" s="113">
        <v>0</v>
      </c>
      <c r="DM238" s="113">
        <v>0</v>
      </c>
      <c r="DN238" s="113">
        <v>0</v>
      </c>
      <c r="DO238" s="113">
        <v>0</v>
      </c>
      <c r="DP238" s="113">
        <v>0</v>
      </c>
      <c r="DQ238" s="113">
        <v>0</v>
      </c>
      <c r="DR238" s="113">
        <v>0</v>
      </c>
      <c r="DS238" s="113">
        <v>0</v>
      </c>
      <c r="DT238" s="113">
        <v>0</v>
      </c>
      <c r="DU238" s="113">
        <v>0</v>
      </c>
      <c r="DV238" s="113">
        <v>0</v>
      </c>
      <c r="DW238" s="113">
        <v>0</v>
      </c>
      <c r="DX238" s="113">
        <v>0</v>
      </c>
      <c r="DY238" s="113">
        <v>0</v>
      </c>
      <c r="DZ238" s="113">
        <v>0</v>
      </c>
      <c r="EA238" s="113">
        <v>0</v>
      </c>
      <c r="EB238" s="113">
        <v>0</v>
      </c>
      <c r="EC238" s="113">
        <v>0</v>
      </c>
      <c r="ED238" s="113">
        <v>0</v>
      </c>
      <c r="EE238" s="113">
        <v>0</v>
      </c>
      <c r="EF238" s="113">
        <v>0</v>
      </c>
      <c r="EG238" s="113">
        <v>0</v>
      </c>
      <c r="EH238" s="113">
        <v>0</v>
      </c>
      <c r="EI238" s="113">
        <v>0</v>
      </c>
      <c r="EJ238" s="113">
        <v>0</v>
      </c>
      <c r="EK238" s="113">
        <v>0</v>
      </c>
      <c r="EL238" s="113">
        <v>0</v>
      </c>
      <c r="EM238" s="113">
        <v>0</v>
      </c>
      <c r="EN238" s="113">
        <v>0</v>
      </c>
    </row>
    <row r="239" spans="1:144">
      <c r="A239" s="103" t="s">
        <v>2405</v>
      </c>
      <c r="B239" s="113">
        <v>-77</v>
      </c>
      <c r="C239" s="113">
        <v>-284</v>
      </c>
      <c r="D239" s="113">
        <v>-723</v>
      </c>
      <c r="E239" s="113">
        <v>-860</v>
      </c>
      <c r="F239" s="113">
        <v>-881</v>
      </c>
      <c r="G239" s="113">
        <v>-2176</v>
      </c>
      <c r="H239" s="113">
        <v>-2590</v>
      </c>
      <c r="I239" s="113">
        <v>-6426</v>
      </c>
      <c r="J239" s="113">
        <v>-9617</v>
      </c>
      <c r="K239" s="113">
        <v>-8513</v>
      </c>
      <c r="L239" s="113">
        <v>-7631</v>
      </c>
      <c r="M239" s="113">
        <v>-10075</v>
      </c>
      <c r="N239" s="113">
        <v>-5541</v>
      </c>
      <c r="O239" s="113">
        <v>-2229</v>
      </c>
      <c r="P239" s="113">
        <v>16046</v>
      </c>
      <c r="Q239" s="113">
        <v>7113</v>
      </c>
      <c r="R239" s="113">
        <v>9879</v>
      </c>
      <c r="S239" s="113">
        <v>6775</v>
      </c>
      <c r="T239" s="113">
        <v>-10853</v>
      </c>
      <c r="U239" s="113">
        <v>-7590</v>
      </c>
      <c r="V239" s="113">
        <v>-13216</v>
      </c>
      <c r="W239" s="113">
        <v>-11975</v>
      </c>
      <c r="X239" s="113">
        <v>-17802</v>
      </c>
      <c r="Y239" s="113">
        <v>-7324</v>
      </c>
      <c r="Z239" s="113">
        <v>-12868</v>
      </c>
      <c r="AA239" s="113">
        <v>-14417</v>
      </c>
      <c r="AB239" s="113">
        <v>-12511</v>
      </c>
      <c r="AC239" s="113">
        <v>6557</v>
      </c>
      <c r="AD239" s="113">
        <v>540</v>
      </c>
      <c r="AE239" s="113">
        <v>882</v>
      </c>
      <c r="AG239" s="103" t="s">
        <v>2405</v>
      </c>
      <c r="AH239" s="113">
        <v>-204.5</v>
      </c>
      <c r="AI239" s="113">
        <v>-204.5</v>
      </c>
      <c r="AJ239" s="113">
        <v>-212</v>
      </c>
      <c r="AK239" s="113">
        <v>-102</v>
      </c>
      <c r="AL239" s="113">
        <v>-412</v>
      </c>
      <c r="AM239" s="113">
        <v>-156</v>
      </c>
      <c r="AN239" s="113">
        <v>-146</v>
      </c>
      <c r="AO239" s="113">
        <v>-146</v>
      </c>
      <c r="AP239" s="113">
        <v>-313</v>
      </c>
      <c r="AQ239" s="113">
        <v>-472</v>
      </c>
      <c r="AR239" s="113">
        <v>-338</v>
      </c>
      <c r="AS239" s="113">
        <v>472</v>
      </c>
      <c r="AT239" s="113">
        <v>-468</v>
      </c>
      <c r="AU239" s="113">
        <v>-641</v>
      </c>
      <c r="AV239" s="113">
        <v>-193</v>
      </c>
      <c r="AW239" s="113">
        <v>-874</v>
      </c>
      <c r="AX239" s="113">
        <v>103</v>
      </c>
      <c r="AY239" s="113">
        <v>-1894</v>
      </c>
      <c r="AZ239" s="113">
        <v>741</v>
      </c>
      <c r="BA239" s="113">
        <v>-1540</v>
      </c>
      <c r="BB239" s="113">
        <v>-884</v>
      </c>
      <c r="BC239" s="113">
        <v>-2543</v>
      </c>
      <c r="BD239" s="113">
        <v>-1281</v>
      </c>
      <c r="BE239" s="113">
        <v>-1718</v>
      </c>
      <c r="BF239" s="113">
        <v>-1845</v>
      </c>
      <c r="BG239" s="113">
        <v>-1913</v>
      </c>
      <c r="BH239" s="113">
        <v>-3673</v>
      </c>
      <c r="BI239" s="113">
        <v>-3256</v>
      </c>
      <c r="BJ239" s="113">
        <v>-2633</v>
      </c>
      <c r="BK239" s="113">
        <v>737</v>
      </c>
      <c r="BL239" s="113">
        <v>-3409</v>
      </c>
      <c r="BM239" s="113">
        <v>-3208</v>
      </c>
      <c r="BN239" s="113">
        <v>-3691</v>
      </c>
      <c r="BO239" s="113">
        <v>-46</v>
      </c>
      <c r="BP239" s="113">
        <v>-2067</v>
      </c>
      <c r="BQ239" s="113">
        <v>-1827</v>
      </c>
      <c r="BR239" s="113">
        <v>-3319</v>
      </c>
      <c r="BS239" s="113">
        <v>-1508</v>
      </c>
      <c r="BT239" s="113">
        <v>-3830</v>
      </c>
      <c r="BU239" s="113">
        <v>-1418</v>
      </c>
      <c r="BV239" s="113">
        <v>133</v>
      </c>
      <c r="BW239" s="113">
        <v>-1734</v>
      </c>
      <c r="BX239" s="113">
        <v>-4013</v>
      </c>
      <c r="BY239" s="113">
        <v>355</v>
      </c>
      <c r="BZ239" s="113">
        <v>-3577</v>
      </c>
      <c r="CA239" s="113">
        <v>-1777</v>
      </c>
      <c r="CB239" s="113">
        <v>-924</v>
      </c>
      <c r="CC239" s="113">
        <v>4130</v>
      </c>
      <c r="CD239" s="113">
        <v>-7941</v>
      </c>
      <c r="CE239" s="113">
        <v>24272</v>
      </c>
      <c r="CF239" s="113">
        <v>-1599</v>
      </c>
      <c r="CG239" s="113">
        <v>1314</v>
      </c>
      <c r="CH239" s="113">
        <v>-2861</v>
      </c>
      <c r="CI239" s="113">
        <v>7073</v>
      </c>
      <c r="CJ239" s="113">
        <v>-119</v>
      </c>
      <c r="CK239" s="113">
        <v>3020</v>
      </c>
      <c r="CL239" s="113">
        <v>6680</v>
      </c>
      <c r="CM239" s="113">
        <v>-329</v>
      </c>
      <c r="CN239" s="113">
        <v>695</v>
      </c>
      <c r="CO239" s="113">
        <v>2833</v>
      </c>
      <c r="CP239" s="113">
        <v>3453</v>
      </c>
      <c r="CQ239" s="113">
        <v>849</v>
      </c>
      <c r="CR239" s="113">
        <v>-190</v>
      </c>
      <c r="CS239" s="113">
        <v>2663</v>
      </c>
      <c r="CT239" s="113">
        <v>3293</v>
      </c>
      <c r="CU239" s="113">
        <v>-606</v>
      </c>
      <c r="CV239" s="113">
        <v>-6441</v>
      </c>
      <c r="CW239" s="113">
        <v>-7099</v>
      </c>
      <c r="CX239" s="113">
        <v>-2575</v>
      </c>
      <c r="CY239" s="113">
        <v>970</v>
      </c>
      <c r="CZ239" s="113">
        <v>-5236</v>
      </c>
      <c r="DA239" s="113">
        <v>-749</v>
      </c>
      <c r="DB239" s="113">
        <v>-5120</v>
      </c>
      <c r="DC239" s="113">
        <v>-1457</v>
      </c>
      <c r="DD239" s="113">
        <v>-6370</v>
      </c>
      <c r="DE239" s="113">
        <v>-269</v>
      </c>
      <c r="DF239" s="113">
        <v>-938</v>
      </c>
      <c r="DG239" s="113">
        <v>3849</v>
      </c>
      <c r="DH239" s="113">
        <v>-11769</v>
      </c>
      <c r="DI239" s="113">
        <v>-3117</v>
      </c>
      <c r="DJ239" s="113">
        <v>-5572</v>
      </c>
      <c r="DK239" s="113">
        <v>-959</v>
      </c>
      <c r="DL239" s="113">
        <v>-7165</v>
      </c>
      <c r="DM239" s="113">
        <v>-4106</v>
      </c>
      <c r="DN239" s="113">
        <v>-3304</v>
      </c>
      <c r="DO239" s="113">
        <v>679</v>
      </c>
      <c r="DP239" s="113">
        <v>-2981</v>
      </c>
      <c r="DQ239" s="113">
        <v>-1718</v>
      </c>
      <c r="DR239" s="113">
        <v>-5947</v>
      </c>
      <c r="DS239" s="113">
        <v>-670</v>
      </c>
      <c r="DT239" s="113">
        <v>-3594</v>
      </c>
      <c r="DU239" s="113">
        <v>-2657</v>
      </c>
      <c r="DV239" s="113">
        <v>-3382</v>
      </c>
      <c r="DW239" s="113">
        <v>-1208</v>
      </c>
      <c r="DX239" s="113">
        <v>-2550</v>
      </c>
      <c r="DY239" s="113">
        <v>-7277</v>
      </c>
      <c r="DZ239" s="113">
        <v>-16199</v>
      </c>
      <c r="EA239" s="113">
        <v>10927</v>
      </c>
      <c r="EB239" s="113">
        <v>-2614</v>
      </c>
      <c r="EC239" s="113">
        <v>-4625</v>
      </c>
      <c r="ED239" s="113">
        <v>-4699</v>
      </c>
      <c r="EE239" s="113">
        <v>2459</v>
      </c>
      <c r="EF239" s="113">
        <v>7045</v>
      </c>
      <c r="EG239" s="113">
        <v>1752</v>
      </c>
      <c r="EH239" s="113">
        <v>894</v>
      </c>
      <c r="EI239" s="113">
        <v>1100</v>
      </c>
      <c r="EJ239" s="113">
        <v>1471</v>
      </c>
      <c r="EK239" s="113">
        <v>-2925</v>
      </c>
      <c r="EL239" s="113">
        <v>2071</v>
      </c>
      <c r="EM239" s="113">
        <v>-2411</v>
      </c>
      <c r="EN239" s="113">
        <v>4147</v>
      </c>
    </row>
    <row r="240" spans="1:144">
      <c r="A240" s="103" t="s">
        <v>2406</v>
      </c>
      <c r="B240" s="113">
        <v>0</v>
      </c>
      <c r="C240" s="113">
        <v>0</v>
      </c>
      <c r="D240" s="113">
        <v>0</v>
      </c>
      <c r="E240" s="113">
        <v>0</v>
      </c>
      <c r="F240" s="113">
        <v>0</v>
      </c>
      <c r="G240" s="113">
        <v>0</v>
      </c>
      <c r="H240" s="113">
        <v>0</v>
      </c>
      <c r="I240" s="113">
        <v>0</v>
      </c>
      <c r="J240" s="113">
        <v>0</v>
      </c>
      <c r="K240" s="113">
        <v>0</v>
      </c>
      <c r="L240" s="113">
        <v>0</v>
      </c>
      <c r="M240" s="113">
        <v>0</v>
      </c>
      <c r="N240" s="113">
        <v>0</v>
      </c>
      <c r="O240" s="113">
        <v>0</v>
      </c>
      <c r="P240" s="113">
        <v>0</v>
      </c>
      <c r="Q240" s="113">
        <v>0</v>
      </c>
      <c r="R240" s="113">
        <v>0</v>
      </c>
      <c r="S240" s="113">
        <v>0</v>
      </c>
      <c r="T240" s="113">
        <v>0</v>
      </c>
      <c r="U240" s="113">
        <v>0</v>
      </c>
      <c r="V240" s="113">
        <v>0</v>
      </c>
      <c r="W240" s="113">
        <v>0</v>
      </c>
      <c r="X240" s="113">
        <v>0</v>
      </c>
      <c r="Y240" s="113">
        <v>0</v>
      </c>
      <c r="Z240" s="113">
        <v>0</v>
      </c>
      <c r="AA240" s="113">
        <v>0</v>
      </c>
      <c r="AB240" s="113">
        <v>0</v>
      </c>
      <c r="AC240" s="113">
        <v>0</v>
      </c>
      <c r="AD240" s="113">
        <v>0</v>
      </c>
      <c r="AE240" s="113">
        <v>0</v>
      </c>
      <c r="AG240" s="103" t="s">
        <v>2406</v>
      </c>
      <c r="AH240" s="113">
        <v>0</v>
      </c>
      <c r="AI240" s="113">
        <v>0</v>
      </c>
      <c r="AJ240" s="113">
        <v>0</v>
      </c>
      <c r="AK240" s="113">
        <v>0</v>
      </c>
      <c r="AL240" s="113">
        <v>0</v>
      </c>
      <c r="AM240" s="113">
        <v>0</v>
      </c>
      <c r="AN240" s="113">
        <v>0</v>
      </c>
      <c r="AO240" s="113">
        <v>0</v>
      </c>
      <c r="AP240" s="113">
        <v>0</v>
      </c>
      <c r="AQ240" s="113">
        <v>0</v>
      </c>
      <c r="AR240" s="113">
        <v>0</v>
      </c>
      <c r="AS240" s="113">
        <v>0</v>
      </c>
      <c r="AT240" s="113">
        <v>0</v>
      </c>
      <c r="AU240" s="113">
        <v>0</v>
      </c>
      <c r="AV240" s="113">
        <v>0</v>
      </c>
      <c r="AW240" s="113">
        <v>0</v>
      </c>
      <c r="AX240" s="113">
        <v>0</v>
      </c>
      <c r="AY240" s="113">
        <v>0</v>
      </c>
      <c r="AZ240" s="113">
        <v>0</v>
      </c>
      <c r="BA240" s="113">
        <v>0</v>
      </c>
      <c r="BB240" s="113">
        <v>0</v>
      </c>
      <c r="BC240" s="113">
        <v>0</v>
      </c>
      <c r="BD240" s="113">
        <v>0</v>
      </c>
      <c r="BE240" s="113">
        <v>0</v>
      </c>
      <c r="BF240" s="113">
        <v>0</v>
      </c>
      <c r="BG240" s="113">
        <v>0</v>
      </c>
      <c r="BH240" s="113">
        <v>0</v>
      </c>
      <c r="BI240" s="113">
        <v>0</v>
      </c>
      <c r="BJ240" s="113">
        <v>0</v>
      </c>
      <c r="BK240" s="113">
        <v>0</v>
      </c>
      <c r="BL240" s="113">
        <v>0</v>
      </c>
      <c r="BM240" s="113">
        <v>0</v>
      </c>
      <c r="BN240" s="113">
        <v>0</v>
      </c>
      <c r="BO240" s="113">
        <v>0</v>
      </c>
      <c r="BP240" s="113">
        <v>0</v>
      </c>
      <c r="BQ240" s="113">
        <v>0</v>
      </c>
      <c r="BR240" s="113">
        <v>0</v>
      </c>
      <c r="BS240" s="113">
        <v>0</v>
      </c>
      <c r="BT240" s="113">
        <v>0</v>
      </c>
      <c r="BU240" s="113">
        <v>0</v>
      </c>
      <c r="BV240" s="113">
        <v>0</v>
      </c>
      <c r="BW240" s="113">
        <v>0</v>
      </c>
      <c r="BX240" s="113">
        <v>0</v>
      </c>
      <c r="BY240" s="113">
        <v>0</v>
      </c>
      <c r="BZ240" s="113">
        <v>0</v>
      </c>
      <c r="CA240" s="113">
        <v>0</v>
      </c>
      <c r="CB240" s="113">
        <v>0</v>
      </c>
      <c r="CC240" s="113">
        <v>0</v>
      </c>
      <c r="CD240" s="113">
        <v>0</v>
      </c>
      <c r="CE240" s="113">
        <v>0</v>
      </c>
      <c r="CF240" s="113">
        <v>0</v>
      </c>
      <c r="CG240" s="113">
        <v>0</v>
      </c>
      <c r="CH240" s="113">
        <v>0</v>
      </c>
      <c r="CI240" s="113">
        <v>0</v>
      </c>
      <c r="CJ240" s="113">
        <v>0</v>
      </c>
      <c r="CK240" s="113">
        <v>0</v>
      </c>
      <c r="CL240" s="113">
        <v>0</v>
      </c>
      <c r="CM240" s="113">
        <v>0</v>
      </c>
      <c r="CN240" s="113">
        <v>0</v>
      </c>
      <c r="CO240" s="113">
        <v>0</v>
      </c>
      <c r="CP240" s="113">
        <v>0</v>
      </c>
      <c r="CQ240" s="113">
        <v>0</v>
      </c>
      <c r="CR240" s="113">
        <v>0</v>
      </c>
      <c r="CS240" s="113">
        <v>0</v>
      </c>
      <c r="CT240" s="113">
        <v>0</v>
      </c>
      <c r="CU240" s="113">
        <v>0</v>
      </c>
      <c r="CV240" s="113">
        <v>0</v>
      </c>
      <c r="CW240" s="113">
        <v>0</v>
      </c>
      <c r="CX240" s="113">
        <v>0</v>
      </c>
      <c r="CY240" s="113">
        <v>0</v>
      </c>
      <c r="CZ240" s="113">
        <v>0</v>
      </c>
      <c r="DA240" s="113">
        <v>0</v>
      </c>
      <c r="DB240" s="113">
        <v>0</v>
      </c>
      <c r="DC240" s="113">
        <v>0</v>
      </c>
      <c r="DD240" s="113">
        <v>0</v>
      </c>
      <c r="DE240" s="113">
        <v>0</v>
      </c>
      <c r="DF240" s="113">
        <v>0</v>
      </c>
      <c r="DG240" s="113">
        <v>0</v>
      </c>
      <c r="DH240" s="113">
        <v>0</v>
      </c>
      <c r="DI240" s="113">
        <v>0</v>
      </c>
      <c r="DJ240" s="113">
        <v>0</v>
      </c>
      <c r="DK240" s="113">
        <v>0</v>
      </c>
      <c r="DL240" s="113">
        <v>0</v>
      </c>
      <c r="DM240" s="113">
        <v>0</v>
      </c>
      <c r="DN240" s="113">
        <v>0</v>
      </c>
      <c r="DO240" s="113">
        <v>0</v>
      </c>
      <c r="DP240" s="113">
        <v>0</v>
      </c>
      <c r="DQ240" s="113">
        <v>0</v>
      </c>
      <c r="DR240" s="113">
        <v>0</v>
      </c>
      <c r="DS240" s="113">
        <v>0</v>
      </c>
      <c r="DT240" s="113">
        <v>0</v>
      </c>
      <c r="DU240" s="113">
        <v>0</v>
      </c>
      <c r="DV240" s="113">
        <v>0</v>
      </c>
      <c r="DW240" s="113">
        <v>0</v>
      </c>
      <c r="DX240" s="113">
        <v>0</v>
      </c>
      <c r="DY240" s="113">
        <v>0</v>
      </c>
      <c r="DZ240" s="113">
        <v>0</v>
      </c>
      <c r="EA240" s="113">
        <v>0</v>
      </c>
      <c r="EB240" s="113">
        <v>0</v>
      </c>
      <c r="EC240" s="113">
        <v>0</v>
      </c>
      <c r="ED240" s="113">
        <v>0</v>
      </c>
      <c r="EE240" s="113">
        <v>0</v>
      </c>
      <c r="EF240" s="113">
        <v>0</v>
      </c>
      <c r="EG240" s="113">
        <v>0</v>
      </c>
      <c r="EH240" s="113">
        <v>0</v>
      </c>
      <c r="EI240" s="113">
        <v>0</v>
      </c>
      <c r="EJ240" s="113">
        <v>0</v>
      </c>
      <c r="EK240" s="113">
        <v>0</v>
      </c>
      <c r="EL240" s="113">
        <v>0</v>
      </c>
      <c r="EM240" s="113">
        <v>0</v>
      </c>
      <c r="EN240" s="113">
        <v>0</v>
      </c>
    </row>
    <row r="241" spans="1:144">
      <c r="A241" s="103" t="s">
        <v>2407</v>
      </c>
      <c r="B241" s="113">
        <v>-40</v>
      </c>
      <c r="C241" s="113">
        <v>-41</v>
      </c>
      <c r="D241" s="113">
        <v>-17</v>
      </c>
      <c r="E241" s="113">
        <v>-64</v>
      </c>
      <c r="F241" s="113">
        <v>0</v>
      </c>
      <c r="G241" s="113">
        <v>0</v>
      </c>
      <c r="H241" s="113">
        <v>0</v>
      </c>
      <c r="I241" s="113">
        <v>0</v>
      </c>
      <c r="J241" s="113">
        <v>0</v>
      </c>
      <c r="K241" s="113">
        <v>0</v>
      </c>
      <c r="L241" s="113">
        <v>0</v>
      </c>
      <c r="M241" s="113">
        <v>0</v>
      </c>
      <c r="N241" s="113">
        <v>0</v>
      </c>
      <c r="O241" s="113">
        <v>0</v>
      </c>
      <c r="P241" s="113">
        <v>0</v>
      </c>
      <c r="Q241" s="113">
        <v>3117</v>
      </c>
      <c r="R241" s="113">
        <v>-376</v>
      </c>
      <c r="S241" s="113">
        <v>-127</v>
      </c>
      <c r="T241" s="113">
        <v>-930</v>
      </c>
      <c r="U241" s="113">
        <v>-1502</v>
      </c>
      <c r="V241" s="113">
        <v>1026</v>
      </c>
      <c r="W241" s="113">
        <v>-394</v>
      </c>
      <c r="X241" s="113">
        <v>-168</v>
      </c>
      <c r="Y241" s="113">
        <v>-87</v>
      </c>
      <c r="Z241" s="113">
        <v>-466</v>
      </c>
      <c r="AA241" s="113">
        <v>203</v>
      </c>
      <c r="AB241" s="113">
        <v>-197</v>
      </c>
      <c r="AC241" s="113">
        <v>-98</v>
      </c>
      <c r="AD241" s="113">
        <v>0</v>
      </c>
      <c r="AE241" s="113">
        <v>0</v>
      </c>
      <c r="AG241" s="103" t="s">
        <v>2407</v>
      </c>
      <c r="AH241" s="113">
        <v>-1</v>
      </c>
      <c r="AI241" s="113">
        <v>-1</v>
      </c>
      <c r="AJ241" s="113">
        <v>-10</v>
      </c>
      <c r="AK241" s="113">
        <v>-5</v>
      </c>
      <c r="AL241" s="113">
        <v>-3</v>
      </c>
      <c r="AM241" s="113">
        <v>-16</v>
      </c>
      <c r="AN241" s="113">
        <v>-13</v>
      </c>
      <c r="AO241" s="113">
        <v>-32</v>
      </c>
      <c r="AP241" s="113">
        <v>-35</v>
      </c>
      <c r="AQ241" s="113">
        <v>-55</v>
      </c>
      <c r="AR241" s="113">
        <v>-1</v>
      </c>
      <c r="AS241" s="113">
        <v>-139</v>
      </c>
      <c r="AT241" s="113">
        <v>0</v>
      </c>
      <c r="AU241" s="113">
        <v>0</v>
      </c>
      <c r="AV241" s="113">
        <v>0</v>
      </c>
      <c r="AW241" s="113">
        <v>0</v>
      </c>
      <c r="AX241" s="113">
        <v>0</v>
      </c>
      <c r="AY241" s="113">
        <v>0</v>
      </c>
      <c r="AZ241" s="113">
        <v>0</v>
      </c>
      <c r="BA241" s="113">
        <v>0</v>
      </c>
      <c r="BB241" s="113">
        <v>0</v>
      </c>
      <c r="BC241" s="113">
        <v>0</v>
      </c>
      <c r="BD241" s="113">
        <v>0</v>
      </c>
      <c r="BE241" s="113">
        <v>0</v>
      </c>
      <c r="BF241" s="113">
        <v>0</v>
      </c>
      <c r="BG241" s="113">
        <v>0</v>
      </c>
      <c r="BH241" s="113">
        <v>0</v>
      </c>
      <c r="BI241" s="113">
        <v>0</v>
      </c>
      <c r="BJ241" s="113">
        <v>0</v>
      </c>
      <c r="BK241" s="113">
        <v>0</v>
      </c>
      <c r="BL241" s="113">
        <v>0</v>
      </c>
      <c r="BM241" s="113">
        <v>0</v>
      </c>
      <c r="BN241" s="113">
        <v>0</v>
      </c>
      <c r="BO241" s="113">
        <v>0</v>
      </c>
      <c r="BP241" s="113">
        <v>0</v>
      </c>
      <c r="BQ241" s="113">
        <v>0</v>
      </c>
      <c r="BR241" s="113">
        <v>0</v>
      </c>
      <c r="BS241" s="113">
        <v>0</v>
      </c>
      <c r="BT241" s="113">
        <v>0</v>
      </c>
      <c r="BU241" s="113">
        <v>0</v>
      </c>
      <c r="BV241" s="113">
        <v>0</v>
      </c>
      <c r="BW241" s="113">
        <v>0</v>
      </c>
      <c r="BX241" s="113">
        <v>0</v>
      </c>
      <c r="BY241" s="113">
        <v>0</v>
      </c>
      <c r="BZ241" s="113">
        <v>0</v>
      </c>
      <c r="CA241" s="113">
        <v>0</v>
      </c>
      <c r="CB241" s="113">
        <v>0</v>
      </c>
      <c r="CC241" s="113">
        <v>0</v>
      </c>
      <c r="CD241" s="113">
        <v>0</v>
      </c>
      <c r="CE241" s="113">
        <v>0</v>
      </c>
      <c r="CF241" s="113">
        <v>0</v>
      </c>
      <c r="CG241" s="113">
        <v>0</v>
      </c>
      <c r="CH241" s="113">
        <v>0</v>
      </c>
      <c r="CI241" s="113">
        <v>0</v>
      </c>
      <c r="CJ241" s="113">
        <v>1337</v>
      </c>
      <c r="CK241" s="113">
        <v>1780</v>
      </c>
      <c r="CL241" s="113">
        <v>528</v>
      </c>
      <c r="CM241" s="113">
        <v>-932</v>
      </c>
      <c r="CN241" s="113">
        <v>318</v>
      </c>
      <c r="CO241" s="113">
        <v>-290</v>
      </c>
      <c r="CP241" s="113">
        <v>196</v>
      </c>
      <c r="CQ241" s="113">
        <v>-770</v>
      </c>
      <c r="CR241" s="113">
        <v>309</v>
      </c>
      <c r="CS241" s="113">
        <v>138</v>
      </c>
      <c r="CT241" s="113">
        <v>-1543</v>
      </c>
      <c r="CU241" s="113">
        <v>-601</v>
      </c>
      <c r="CV241" s="113">
        <v>1064</v>
      </c>
      <c r="CW241" s="113">
        <v>150</v>
      </c>
      <c r="CX241" s="113">
        <v>1850</v>
      </c>
      <c r="CY241" s="113">
        <v>-623</v>
      </c>
      <c r="CZ241" s="113">
        <v>-117</v>
      </c>
      <c r="DA241" s="113">
        <v>-2612</v>
      </c>
      <c r="DB241" s="113">
        <v>727</v>
      </c>
      <c r="DC241" s="113">
        <v>447</v>
      </c>
      <c r="DD241" s="113">
        <v>-111</v>
      </c>
      <c r="DE241" s="113">
        <v>-37</v>
      </c>
      <c r="DF241" s="113">
        <v>-66</v>
      </c>
      <c r="DG241" s="113">
        <v>-292</v>
      </c>
      <c r="DH241" s="113">
        <v>361</v>
      </c>
      <c r="DI241" s="113">
        <v>-397</v>
      </c>
      <c r="DJ241" s="113">
        <v>-399</v>
      </c>
      <c r="DK241" s="113">
        <v>-393</v>
      </c>
      <c r="DL241" s="113">
        <v>543</v>
      </c>
      <c r="DM241" s="113">
        <v>81</v>
      </c>
      <c r="DN241" s="113">
        <v>-64</v>
      </c>
      <c r="DO241" s="113">
        <v>167</v>
      </c>
      <c r="DP241" s="113">
        <v>46</v>
      </c>
      <c r="DQ241" s="113">
        <v>-236</v>
      </c>
      <c r="DR241" s="113">
        <v>-367</v>
      </c>
      <c r="DS241" s="113">
        <v>238</v>
      </c>
      <c r="DT241" s="113">
        <v>-334</v>
      </c>
      <c r="DU241" s="113">
        <v>-3</v>
      </c>
      <c r="DV241" s="113">
        <v>62</v>
      </c>
      <c r="DW241" s="113">
        <v>285</v>
      </c>
      <c r="DX241" s="113">
        <v>-66</v>
      </c>
      <c r="DY241" s="113">
        <v>-78</v>
      </c>
      <c r="DZ241" s="113">
        <v>-84</v>
      </c>
      <c r="EA241" s="113">
        <v>1070</v>
      </c>
      <c r="EB241" s="113">
        <v>-1080</v>
      </c>
      <c r="EC241" s="113">
        <v>-103</v>
      </c>
      <c r="ED241" s="113">
        <v>106</v>
      </c>
      <c r="EE241" s="113">
        <v>-177</v>
      </c>
      <c r="EF241" s="113">
        <v>-19</v>
      </c>
      <c r="EG241" s="113">
        <v>-8</v>
      </c>
      <c r="EH241" s="113">
        <v>0</v>
      </c>
      <c r="EI241" s="113">
        <v>0</v>
      </c>
      <c r="EJ241" s="113">
        <v>0</v>
      </c>
      <c r="EK241" s="113">
        <v>0</v>
      </c>
      <c r="EL241" s="113">
        <v>0</v>
      </c>
      <c r="EM241" s="113">
        <v>0</v>
      </c>
      <c r="EN241" s="113">
        <v>0</v>
      </c>
    </row>
    <row r="242" spans="1:144" ht="10.5">
      <c r="A242" s="112" t="s">
        <v>2408</v>
      </c>
      <c r="B242" s="114">
        <v>-381</v>
      </c>
      <c r="C242" s="114">
        <v>-642</v>
      </c>
      <c r="D242" s="114">
        <v>-976</v>
      </c>
      <c r="E242" s="114">
        <v>-1202</v>
      </c>
      <c r="F242" s="114">
        <v>-1376</v>
      </c>
      <c r="G242" s="114">
        <v>-2670</v>
      </c>
      <c r="H242" s="114">
        <v>-3089</v>
      </c>
      <c r="I242" s="114">
        <v>-7272</v>
      </c>
      <c r="J242" s="114">
        <v>-10200</v>
      </c>
      <c r="K242" s="114">
        <v>-9392</v>
      </c>
      <c r="L242" s="114">
        <v>-8734</v>
      </c>
      <c r="M242" s="114">
        <v>-10845</v>
      </c>
      <c r="N242" s="114">
        <v>-7495</v>
      </c>
      <c r="O242" s="114">
        <v>-3342</v>
      </c>
      <c r="P242" s="114">
        <v>15027</v>
      </c>
      <c r="Q242" s="114">
        <v>8003</v>
      </c>
      <c r="R242" s="114">
        <v>6089</v>
      </c>
      <c r="S242" s="114">
        <v>-4587</v>
      </c>
      <c r="T242" s="114">
        <v>-15770</v>
      </c>
      <c r="U242" s="114">
        <v>-11314</v>
      </c>
      <c r="V242" s="114">
        <v>-14616</v>
      </c>
      <c r="W242" s="114">
        <v>-24786</v>
      </c>
      <c r="X242" s="114">
        <v>-23811</v>
      </c>
      <c r="Y242" s="114">
        <v>-18833</v>
      </c>
      <c r="Z242" s="114">
        <v>-23001</v>
      </c>
      <c r="AA242" s="114">
        <v>-23950</v>
      </c>
      <c r="AB242" s="114">
        <v>-46781</v>
      </c>
      <c r="AC242" s="114">
        <v>-6061</v>
      </c>
      <c r="AD242" s="114">
        <v>-15773</v>
      </c>
      <c r="AE242" s="114">
        <v>-15018</v>
      </c>
      <c r="AG242" s="112" t="s">
        <v>2408</v>
      </c>
      <c r="AH242" s="114">
        <v>-255.5</v>
      </c>
      <c r="AI242" s="114">
        <v>-255.5</v>
      </c>
      <c r="AJ242" s="114">
        <v>-283</v>
      </c>
      <c r="AK242" s="114">
        <v>-182</v>
      </c>
      <c r="AL242" s="114">
        <v>-474</v>
      </c>
      <c r="AM242" s="114">
        <v>-235</v>
      </c>
      <c r="AN242" s="114">
        <v>-228</v>
      </c>
      <c r="AO242" s="114">
        <v>-265</v>
      </c>
      <c r="AP242" s="114">
        <v>-415</v>
      </c>
      <c r="AQ242" s="114">
        <v>-630</v>
      </c>
      <c r="AR242" s="114">
        <v>-441</v>
      </c>
      <c r="AS242" s="114">
        <v>110</v>
      </c>
      <c r="AT242" s="114">
        <v>-584</v>
      </c>
      <c r="AU242" s="114">
        <v>-729</v>
      </c>
      <c r="AV242" s="114">
        <v>-325</v>
      </c>
      <c r="AW242" s="114">
        <v>-1032</v>
      </c>
      <c r="AX242" s="114">
        <v>4</v>
      </c>
      <c r="AY242" s="114">
        <v>-2011</v>
      </c>
      <c r="AZ242" s="114">
        <v>631</v>
      </c>
      <c r="BA242" s="114">
        <v>-1713</v>
      </c>
      <c r="BB242" s="114">
        <v>-1191</v>
      </c>
      <c r="BC242" s="114">
        <v>-2694</v>
      </c>
      <c r="BD242" s="114">
        <v>-1428</v>
      </c>
      <c r="BE242" s="114">
        <v>-1959</v>
      </c>
      <c r="BF242" s="114">
        <v>-1872</v>
      </c>
      <c r="BG242" s="114">
        <v>-2048</v>
      </c>
      <c r="BH242" s="114">
        <v>-3723</v>
      </c>
      <c r="BI242" s="114">
        <v>-3548</v>
      </c>
      <c r="BJ242" s="114">
        <v>-2772</v>
      </c>
      <c r="BK242" s="114">
        <v>505</v>
      </c>
      <c r="BL242" s="114">
        <v>-3655</v>
      </c>
      <c r="BM242" s="114">
        <v>-3470</v>
      </c>
      <c r="BN242" s="114">
        <v>-3936</v>
      </c>
      <c r="BO242" s="114">
        <v>-318</v>
      </c>
      <c r="BP242" s="114">
        <v>-2331</v>
      </c>
      <c r="BQ242" s="114">
        <v>-2149</v>
      </c>
      <c r="BR242" s="114">
        <v>-3469</v>
      </c>
      <c r="BS242" s="114">
        <v>-1680</v>
      </c>
      <c r="BT242" s="114">
        <v>-3996</v>
      </c>
      <c r="BU242" s="114">
        <v>-1700</v>
      </c>
      <c r="BV242" s="114">
        <v>-897</v>
      </c>
      <c r="BW242" s="114">
        <v>-2019</v>
      </c>
      <c r="BX242" s="114">
        <v>-4207</v>
      </c>
      <c r="BY242" s="114">
        <v>-90</v>
      </c>
      <c r="BZ242" s="114">
        <v>-3748</v>
      </c>
      <c r="CA242" s="114">
        <v>-1949</v>
      </c>
      <c r="CB242" s="114">
        <v>-1137</v>
      </c>
      <c r="CC242" s="114">
        <v>3573</v>
      </c>
      <c r="CD242" s="114">
        <v>-8114</v>
      </c>
      <c r="CE242" s="114">
        <v>24095</v>
      </c>
      <c r="CF242" s="114">
        <v>-1813</v>
      </c>
      <c r="CG242" s="114">
        <v>859</v>
      </c>
      <c r="CH242" s="114">
        <v>-3261</v>
      </c>
      <c r="CI242" s="114">
        <v>6692</v>
      </c>
      <c r="CJ242" s="114">
        <v>833</v>
      </c>
      <c r="CK242" s="114">
        <v>3739</v>
      </c>
      <c r="CL242" s="114">
        <v>6461</v>
      </c>
      <c r="CM242" s="114">
        <v>-1958</v>
      </c>
      <c r="CN242" s="114">
        <v>511</v>
      </c>
      <c r="CO242" s="114">
        <v>1075</v>
      </c>
      <c r="CP242" s="114">
        <v>-2257</v>
      </c>
      <c r="CQ242" s="114">
        <v>-1049</v>
      </c>
      <c r="CR242" s="114">
        <v>-778</v>
      </c>
      <c r="CS242" s="114">
        <v>-503</v>
      </c>
      <c r="CT242" s="114">
        <v>595</v>
      </c>
      <c r="CU242" s="114">
        <v>-2499</v>
      </c>
      <c r="CV242" s="114">
        <v>-6009</v>
      </c>
      <c r="CW242" s="114">
        <v>-7857</v>
      </c>
      <c r="CX242" s="114">
        <v>-1199</v>
      </c>
      <c r="CY242" s="114">
        <v>-92</v>
      </c>
      <c r="CZ242" s="114">
        <v>-5904</v>
      </c>
      <c r="DA242" s="114">
        <v>-4119</v>
      </c>
      <c r="DB242" s="114">
        <v>-4957</v>
      </c>
      <c r="DC242" s="114">
        <v>-1570</v>
      </c>
      <c r="DD242" s="114">
        <v>-7139</v>
      </c>
      <c r="DE242" s="114">
        <v>-950</v>
      </c>
      <c r="DF242" s="114">
        <v>-2315</v>
      </c>
      <c r="DG242" s="114">
        <v>-5568</v>
      </c>
      <c r="DH242" s="114">
        <v>-12241</v>
      </c>
      <c r="DI242" s="114">
        <v>-4662</v>
      </c>
      <c r="DJ242" s="114">
        <v>-7719</v>
      </c>
      <c r="DK242" s="114">
        <v>-2593</v>
      </c>
      <c r="DL242" s="114">
        <v>-7660</v>
      </c>
      <c r="DM242" s="114">
        <v>-5839</v>
      </c>
      <c r="DN242" s="114">
        <v>-4614</v>
      </c>
      <c r="DO242" s="114">
        <v>-1025</v>
      </c>
      <c r="DP242" s="114">
        <v>-4284</v>
      </c>
      <c r="DQ242" s="114">
        <v>-8910</v>
      </c>
      <c r="DR242" s="114">
        <v>-7737</v>
      </c>
      <c r="DS242" s="114">
        <v>-4716</v>
      </c>
      <c r="DT242" s="114">
        <v>-5481</v>
      </c>
      <c r="DU242" s="114">
        <v>-5067</v>
      </c>
      <c r="DV242" s="114">
        <v>-5066</v>
      </c>
      <c r="DW242" s="114">
        <v>-3328</v>
      </c>
      <c r="DX242" s="114">
        <v>-5483</v>
      </c>
      <c r="DY242" s="114">
        <v>-10073</v>
      </c>
      <c r="DZ242" s="114">
        <v>-18470</v>
      </c>
      <c r="EA242" s="114">
        <v>-14751</v>
      </c>
      <c r="EB242" s="114">
        <v>-6191</v>
      </c>
      <c r="EC242" s="114">
        <v>-7369</v>
      </c>
      <c r="ED242" s="114">
        <v>-6904</v>
      </c>
      <c r="EE242" s="114">
        <v>-331</v>
      </c>
      <c r="EF242" s="114">
        <v>3844</v>
      </c>
      <c r="EG242" s="114">
        <v>-2670</v>
      </c>
      <c r="EH242" s="114">
        <v>-2953</v>
      </c>
      <c r="EI242" s="114">
        <v>-4200</v>
      </c>
      <c r="EJ242" s="114">
        <v>-1363</v>
      </c>
      <c r="EK242" s="114">
        <v>-7257</v>
      </c>
      <c r="EL242" s="114">
        <v>-1776</v>
      </c>
      <c r="EM242" s="114">
        <v>-6036</v>
      </c>
      <c r="EN242" s="114">
        <v>51</v>
      </c>
    </row>
    <row r="243" spans="1:144">
      <c r="A243" s="103"/>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c r="BE243" s="103"/>
      <c r="BF243" s="103"/>
      <c r="BG243" s="103"/>
      <c r="BH243" s="103"/>
      <c r="BI243" s="103"/>
      <c r="BJ243" s="103"/>
      <c r="BK243" s="103"/>
      <c r="BL243" s="103"/>
      <c r="BM243" s="103"/>
      <c r="BN243" s="103"/>
      <c r="BO243" s="103"/>
      <c r="BP243" s="103"/>
      <c r="BQ243" s="103"/>
      <c r="BR243" s="103"/>
      <c r="BS243" s="103"/>
      <c r="BT243" s="103"/>
      <c r="BU243" s="103"/>
      <c r="BV243" s="103"/>
      <c r="BW243" s="103"/>
      <c r="BX243" s="103"/>
      <c r="BY243" s="103"/>
      <c r="BZ243" s="103"/>
      <c r="CA243" s="103"/>
      <c r="CB243" s="103"/>
      <c r="CC243" s="103"/>
      <c r="CD243" s="103"/>
      <c r="CE243" s="103"/>
      <c r="CF243" s="103"/>
      <c r="CG243" s="103"/>
      <c r="CH243" s="103"/>
      <c r="CI243" s="103"/>
      <c r="CJ243" s="103"/>
      <c r="CK243" s="103"/>
      <c r="CL243" s="103"/>
      <c r="CM243" s="103"/>
      <c r="CN243" s="103"/>
      <c r="CO243" s="103"/>
      <c r="CP243" s="103"/>
      <c r="CQ243" s="103"/>
      <c r="CR243" s="103"/>
      <c r="CS243" s="103"/>
      <c r="CT243" s="103"/>
      <c r="CU243" s="103"/>
      <c r="CV243" s="103"/>
      <c r="CW243" s="103"/>
      <c r="CX243" s="103"/>
      <c r="CY243" s="103"/>
      <c r="CZ243" s="103"/>
      <c r="DA243" s="103"/>
      <c r="DB243" s="103"/>
      <c r="DC243" s="103"/>
      <c r="DD243" s="103"/>
      <c r="DE243" s="103"/>
      <c r="DF243" s="103"/>
      <c r="DG243" s="103"/>
      <c r="DH243" s="103"/>
      <c r="DI243" s="103"/>
      <c r="DJ243" s="103"/>
      <c r="DK243" s="103"/>
      <c r="DL243" s="103"/>
      <c r="DM243" s="103"/>
      <c r="DN243" s="103"/>
      <c r="DO243" s="103"/>
      <c r="DP243" s="103"/>
      <c r="DQ243" s="103"/>
      <c r="DR243" s="103"/>
      <c r="DS243" s="103"/>
      <c r="DT243" s="103"/>
      <c r="DU243" s="103"/>
      <c r="DV243" s="103"/>
      <c r="DW243" s="103"/>
      <c r="DX243" s="103"/>
      <c r="DY243" s="103"/>
      <c r="DZ243" s="103"/>
      <c r="EA243" s="103"/>
      <c r="EB243" s="103"/>
      <c r="EC243" s="103"/>
      <c r="ED243" s="103"/>
      <c r="EE243" s="103"/>
      <c r="EF243" s="103"/>
      <c r="EG243" s="103"/>
      <c r="EH243" s="103"/>
      <c r="EI243" s="103"/>
      <c r="EJ243" s="103"/>
      <c r="EK243" s="103"/>
      <c r="EL243" s="103"/>
      <c r="EM243" s="103"/>
      <c r="EN243" s="103"/>
    </row>
    <row r="244" spans="1:144">
      <c r="A244" s="103" t="s">
        <v>2409</v>
      </c>
      <c r="B244" s="113">
        <v>0</v>
      </c>
      <c r="C244" s="113">
        <v>0</v>
      </c>
      <c r="D244" s="113">
        <v>0</v>
      </c>
      <c r="E244" s="113">
        <v>0</v>
      </c>
      <c r="F244" s="113">
        <v>0</v>
      </c>
      <c r="G244" s="113">
        <v>0</v>
      </c>
      <c r="H244" s="113">
        <v>0</v>
      </c>
      <c r="I244" s="113">
        <v>0</v>
      </c>
      <c r="J244" s="113">
        <v>0</v>
      </c>
      <c r="K244" s="113">
        <v>0</v>
      </c>
      <c r="L244" s="113">
        <v>0</v>
      </c>
      <c r="M244" s="113">
        <v>0</v>
      </c>
      <c r="N244" s="113">
        <v>0</v>
      </c>
      <c r="O244" s="113">
        <v>0</v>
      </c>
      <c r="P244" s="113">
        <v>0</v>
      </c>
      <c r="Q244" s="113">
        <v>0</v>
      </c>
      <c r="R244" s="113">
        <v>0</v>
      </c>
      <c r="S244" s="113">
        <v>0</v>
      </c>
      <c r="T244" s="113">
        <v>1178</v>
      </c>
      <c r="U244" s="113">
        <v>0</v>
      </c>
      <c r="V244" s="113">
        <v>0</v>
      </c>
      <c r="W244" s="113">
        <v>0</v>
      </c>
      <c r="X244" s="113">
        <v>0</v>
      </c>
      <c r="Y244" s="113">
        <v>500</v>
      </c>
      <c r="Z244" s="113">
        <v>4481</v>
      </c>
      <c r="AA244" s="113">
        <v>7195</v>
      </c>
      <c r="AB244" s="113">
        <v>0</v>
      </c>
      <c r="AC244" s="113">
        <v>0</v>
      </c>
      <c r="AD244" s="113">
        <v>0</v>
      </c>
      <c r="AE244" s="113">
        <v>0</v>
      </c>
      <c r="AG244" s="103" t="s">
        <v>2409</v>
      </c>
      <c r="AH244" s="113">
        <v>0</v>
      </c>
      <c r="AI244" s="113">
        <v>0</v>
      </c>
      <c r="AJ244" s="113">
        <v>0</v>
      </c>
      <c r="AK244" s="113">
        <v>0</v>
      </c>
      <c r="AL244" s="113">
        <v>0</v>
      </c>
      <c r="AM244" s="113">
        <v>0</v>
      </c>
      <c r="AN244" s="113">
        <v>0</v>
      </c>
      <c r="AO244" s="113">
        <v>0</v>
      </c>
      <c r="AP244" s="113">
        <v>0</v>
      </c>
      <c r="AQ244" s="113">
        <v>0</v>
      </c>
      <c r="AR244" s="113">
        <v>0</v>
      </c>
      <c r="AS244" s="113">
        <v>0</v>
      </c>
      <c r="AT244" s="113">
        <v>0</v>
      </c>
      <c r="AU244" s="113">
        <v>0</v>
      </c>
      <c r="AV244" s="113">
        <v>0</v>
      </c>
      <c r="AW244" s="113">
        <v>0</v>
      </c>
      <c r="AX244" s="113">
        <v>0</v>
      </c>
      <c r="AY244" s="113">
        <v>0</v>
      </c>
      <c r="AZ244" s="113">
        <v>0</v>
      </c>
      <c r="BA244" s="113">
        <v>0</v>
      </c>
      <c r="BB244" s="113">
        <v>0</v>
      </c>
      <c r="BC244" s="113">
        <v>0</v>
      </c>
      <c r="BD244" s="113">
        <v>0</v>
      </c>
      <c r="BE244" s="113">
        <v>0</v>
      </c>
      <c r="BF244" s="113">
        <v>0</v>
      </c>
      <c r="BG244" s="113">
        <v>0</v>
      </c>
      <c r="BH244" s="113">
        <v>0</v>
      </c>
      <c r="BI244" s="113">
        <v>0</v>
      </c>
      <c r="BJ244" s="113">
        <v>0</v>
      </c>
      <c r="BK244" s="113">
        <v>0</v>
      </c>
      <c r="BL244" s="113">
        <v>0</v>
      </c>
      <c r="BM244" s="113">
        <v>0</v>
      </c>
      <c r="BN244" s="113">
        <v>0</v>
      </c>
      <c r="BO244" s="113">
        <v>0</v>
      </c>
      <c r="BP244" s="113">
        <v>0</v>
      </c>
      <c r="BQ244" s="113">
        <v>0</v>
      </c>
      <c r="BR244" s="113">
        <v>0</v>
      </c>
      <c r="BS244" s="113">
        <v>0</v>
      </c>
      <c r="BT244" s="113">
        <v>0</v>
      </c>
      <c r="BU244" s="113">
        <v>0</v>
      </c>
      <c r="BV244" s="113">
        <v>0</v>
      </c>
      <c r="BW244" s="113">
        <v>0</v>
      </c>
      <c r="BX244" s="113">
        <v>0</v>
      </c>
      <c r="BY244" s="113">
        <v>0</v>
      </c>
      <c r="BZ244" s="113">
        <v>0</v>
      </c>
      <c r="CA244" s="113">
        <v>0</v>
      </c>
      <c r="CB244" s="113">
        <v>0</v>
      </c>
      <c r="CC244" s="113">
        <v>0</v>
      </c>
      <c r="CD244" s="113">
        <v>0</v>
      </c>
      <c r="CE244" s="113">
        <v>0</v>
      </c>
      <c r="CF244" s="113">
        <v>0</v>
      </c>
      <c r="CG244" s="113">
        <v>0</v>
      </c>
      <c r="CH244" s="113">
        <v>0</v>
      </c>
      <c r="CI244" s="113">
        <v>0</v>
      </c>
      <c r="CJ244" s="113">
        <v>0</v>
      </c>
      <c r="CK244" s="113">
        <v>0</v>
      </c>
      <c r="CL244" s="113">
        <v>0</v>
      </c>
      <c r="CM244" s="113">
        <v>0</v>
      </c>
      <c r="CN244" s="113">
        <v>0</v>
      </c>
      <c r="CO244" s="113">
        <v>0</v>
      </c>
      <c r="CP244" s="113">
        <v>0</v>
      </c>
      <c r="CQ244" s="113">
        <v>0</v>
      </c>
      <c r="CR244" s="113">
        <v>0</v>
      </c>
      <c r="CS244" s="113">
        <v>0</v>
      </c>
      <c r="CT244" s="113">
        <v>1975</v>
      </c>
      <c r="CU244" s="113">
        <v>21</v>
      </c>
      <c r="CV244" s="113">
        <v>0</v>
      </c>
      <c r="CW244" s="113">
        <v>0</v>
      </c>
      <c r="CX244" s="113">
        <v>378</v>
      </c>
      <c r="CY244" s="113">
        <v>0</v>
      </c>
      <c r="CZ244" s="113">
        <v>0</v>
      </c>
      <c r="DA244" s="113">
        <v>0</v>
      </c>
      <c r="DB244" s="113">
        <v>814</v>
      </c>
      <c r="DC244" s="113">
        <v>0</v>
      </c>
      <c r="DD244" s="113">
        <v>0</v>
      </c>
      <c r="DE244" s="113">
        <v>0</v>
      </c>
      <c r="DF244" s="113">
        <v>0</v>
      </c>
      <c r="DG244" s="113">
        <v>0</v>
      </c>
      <c r="DH244" s="113">
        <v>0</v>
      </c>
      <c r="DI244" s="113">
        <v>0</v>
      </c>
      <c r="DJ244" s="113">
        <v>0</v>
      </c>
      <c r="DK244" s="113">
        <v>0</v>
      </c>
      <c r="DL244" s="113">
        <v>0</v>
      </c>
      <c r="DM244" s="113">
        <v>0</v>
      </c>
      <c r="DN244" s="113">
        <v>712</v>
      </c>
      <c r="DO244" s="113">
        <v>0</v>
      </c>
      <c r="DP244" s="113">
        <v>0</v>
      </c>
      <c r="DQ244" s="113">
        <v>0</v>
      </c>
      <c r="DR244" s="113">
        <v>2999</v>
      </c>
      <c r="DS244" s="113">
        <v>4798</v>
      </c>
      <c r="DT244" s="113">
        <v>0</v>
      </c>
      <c r="DU244" s="113">
        <v>0</v>
      </c>
      <c r="DV244" s="113">
        <v>4890</v>
      </c>
      <c r="DW244" s="113">
        <v>0</v>
      </c>
      <c r="DX244" s="113">
        <v>2622</v>
      </c>
      <c r="DY244" s="113">
        <v>0</v>
      </c>
      <c r="DZ244" s="113">
        <v>0</v>
      </c>
      <c r="EA244" s="113">
        <v>0</v>
      </c>
      <c r="EB244" s="113">
        <v>0</v>
      </c>
      <c r="EC244" s="113">
        <v>0</v>
      </c>
      <c r="ED244" s="113">
        <v>0</v>
      </c>
      <c r="EE244" s="113">
        <v>3759</v>
      </c>
      <c r="EF244" s="113">
        <v>0</v>
      </c>
      <c r="EG244" s="113">
        <v>0</v>
      </c>
      <c r="EH244" s="113">
        <v>0</v>
      </c>
      <c r="EI244" s="113">
        <v>0</v>
      </c>
      <c r="EJ244" s="113">
        <v>0</v>
      </c>
      <c r="EK244" s="113">
        <v>0</v>
      </c>
      <c r="EL244" s="113">
        <v>0</v>
      </c>
      <c r="EM244" s="113">
        <v>0</v>
      </c>
      <c r="EN244" s="113">
        <v>0</v>
      </c>
    </row>
    <row r="245" spans="1:144">
      <c r="A245" s="103" t="s">
        <v>2410</v>
      </c>
      <c r="B245" s="113">
        <v>0</v>
      </c>
      <c r="C245" s="113">
        <v>0</v>
      </c>
      <c r="D245" s="113">
        <v>0</v>
      </c>
      <c r="E245" s="113">
        <v>0</v>
      </c>
      <c r="F245" s="113">
        <v>0</v>
      </c>
      <c r="G245" s="113">
        <v>0</v>
      </c>
      <c r="H245" s="113">
        <v>0</v>
      </c>
      <c r="I245" s="113">
        <v>0</v>
      </c>
      <c r="J245" s="113">
        <v>0</v>
      </c>
      <c r="K245" s="113">
        <v>0</v>
      </c>
      <c r="L245" s="113">
        <v>0</v>
      </c>
      <c r="M245" s="113">
        <v>0</v>
      </c>
      <c r="N245" s="113">
        <v>0</v>
      </c>
      <c r="O245" s="113">
        <v>0</v>
      </c>
      <c r="P245" s="113">
        <v>0</v>
      </c>
      <c r="Q245" s="113">
        <v>0</v>
      </c>
      <c r="R245" s="113">
        <v>0</v>
      </c>
      <c r="S245" s="113">
        <v>0</v>
      </c>
      <c r="T245" s="113">
        <v>4796</v>
      </c>
      <c r="U245" s="113">
        <v>4167</v>
      </c>
      <c r="V245" s="113">
        <v>6960</v>
      </c>
      <c r="W245" s="113">
        <v>0</v>
      </c>
      <c r="X245" s="113">
        <v>4883</v>
      </c>
      <c r="Y245" s="113">
        <v>10350</v>
      </c>
      <c r="Z245" s="113">
        <v>10680</v>
      </c>
      <c r="AA245" s="113">
        <v>13884</v>
      </c>
      <c r="AB245" s="113">
        <v>44344</v>
      </c>
      <c r="AC245" s="113">
        <v>7183</v>
      </c>
      <c r="AD245" s="113">
        <v>0</v>
      </c>
      <c r="AE245" s="113">
        <v>0</v>
      </c>
      <c r="AG245" s="103" t="s">
        <v>2410</v>
      </c>
      <c r="AH245" s="113">
        <v>0</v>
      </c>
      <c r="AI245" s="113">
        <v>0</v>
      </c>
      <c r="AJ245" s="113">
        <v>0</v>
      </c>
      <c r="AK245" s="113">
        <v>0</v>
      </c>
      <c r="AL245" s="113">
        <v>0</v>
      </c>
      <c r="AM245" s="113">
        <v>0</v>
      </c>
      <c r="AN245" s="113">
        <v>0</v>
      </c>
      <c r="AO245" s="113">
        <v>0</v>
      </c>
      <c r="AP245" s="113">
        <v>0</v>
      </c>
      <c r="AQ245" s="113">
        <v>0</v>
      </c>
      <c r="AR245" s="113">
        <v>0</v>
      </c>
      <c r="AS245" s="113">
        <v>0</v>
      </c>
      <c r="AT245" s="113">
        <v>0</v>
      </c>
      <c r="AU245" s="113">
        <v>0</v>
      </c>
      <c r="AV245" s="113">
        <v>0</v>
      </c>
      <c r="AW245" s="113">
        <v>0</v>
      </c>
      <c r="AX245" s="113">
        <v>0</v>
      </c>
      <c r="AY245" s="113">
        <v>0</v>
      </c>
      <c r="AZ245" s="113">
        <v>0</v>
      </c>
      <c r="BA245" s="113">
        <v>0</v>
      </c>
      <c r="BB245" s="113">
        <v>0</v>
      </c>
      <c r="BC245" s="113">
        <v>0</v>
      </c>
      <c r="BD245" s="113">
        <v>0</v>
      </c>
      <c r="BE245" s="113">
        <v>0</v>
      </c>
      <c r="BF245" s="113">
        <v>0</v>
      </c>
      <c r="BG245" s="113">
        <v>0</v>
      </c>
      <c r="BH245" s="113">
        <v>0</v>
      </c>
      <c r="BI245" s="113">
        <v>0</v>
      </c>
      <c r="BJ245" s="113">
        <v>0</v>
      </c>
      <c r="BK245" s="113">
        <v>0</v>
      </c>
      <c r="BL245" s="113">
        <v>0</v>
      </c>
      <c r="BM245" s="113">
        <v>0</v>
      </c>
      <c r="BN245" s="113">
        <v>0</v>
      </c>
      <c r="BO245" s="113">
        <v>0</v>
      </c>
      <c r="BP245" s="113">
        <v>0</v>
      </c>
      <c r="BQ245" s="113">
        <v>0</v>
      </c>
      <c r="BR245" s="113">
        <v>0</v>
      </c>
      <c r="BS245" s="113">
        <v>0</v>
      </c>
      <c r="BT245" s="113">
        <v>0</v>
      </c>
      <c r="BU245" s="113">
        <v>0</v>
      </c>
      <c r="BV245" s="113">
        <v>0</v>
      </c>
      <c r="BW245" s="113">
        <v>0</v>
      </c>
      <c r="BX245" s="113">
        <v>0</v>
      </c>
      <c r="BY245" s="113">
        <v>0</v>
      </c>
      <c r="BZ245" s="113">
        <v>0</v>
      </c>
      <c r="CA245" s="113">
        <v>0</v>
      </c>
      <c r="CB245" s="113">
        <v>0</v>
      </c>
      <c r="CC245" s="113">
        <v>0</v>
      </c>
      <c r="CD245" s="113">
        <v>0</v>
      </c>
      <c r="CE245" s="113">
        <v>0</v>
      </c>
      <c r="CF245" s="113">
        <v>0</v>
      </c>
      <c r="CG245" s="113">
        <v>0</v>
      </c>
      <c r="CH245" s="113">
        <v>0</v>
      </c>
      <c r="CI245" s="113">
        <v>0</v>
      </c>
      <c r="CJ245" s="113">
        <v>0</v>
      </c>
      <c r="CK245" s="113">
        <v>0</v>
      </c>
      <c r="CL245" s="113">
        <v>0</v>
      </c>
      <c r="CM245" s="113">
        <v>0</v>
      </c>
      <c r="CN245" s="113">
        <v>0</v>
      </c>
      <c r="CO245" s="113">
        <v>0</v>
      </c>
      <c r="CP245" s="113">
        <v>0</v>
      </c>
      <c r="CQ245" s="113">
        <v>0</v>
      </c>
      <c r="CR245" s="113">
        <v>0</v>
      </c>
      <c r="CS245" s="113">
        <v>0</v>
      </c>
      <c r="CT245" s="113">
        <v>0</v>
      </c>
      <c r="CU245" s="113">
        <v>0</v>
      </c>
      <c r="CV245" s="113">
        <v>328</v>
      </c>
      <c r="CW245" s="113">
        <v>0</v>
      </c>
      <c r="CX245" s="113">
        <v>695</v>
      </c>
      <c r="CY245" s="113">
        <v>1046</v>
      </c>
      <c r="CZ245" s="113">
        <v>851</v>
      </c>
      <c r="DA245" s="113">
        <v>0</v>
      </c>
      <c r="DB245" s="113">
        <v>4721</v>
      </c>
      <c r="DC245" s="113">
        <v>0</v>
      </c>
      <c r="DD245" s="113">
        <v>2239</v>
      </c>
      <c r="DE245" s="113">
        <v>0</v>
      </c>
      <c r="DF245" s="113">
        <v>0</v>
      </c>
      <c r="DG245" s="113">
        <v>0</v>
      </c>
      <c r="DH245" s="113">
        <v>0</v>
      </c>
      <c r="DI245" s="113">
        <v>0</v>
      </c>
      <c r="DJ245" s="113">
        <v>0</v>
      </c>
      <c r="DK245" s="113">
        <v>2232</v>
      </c>
      <c r="DL245" s="113">
        <v>0</v>
      </c>
      <c r="DM245" s="113">
        <v>0</v>
      </c>
      <c r="DN245" s="113">
        <v>588</v>
      </c>
      <c r="DO245" s="113">
        <v>8262</v>
      </c>
      <c r="DP245" s="113">
        <v>0</v>
      </c>
      <c r="DQ245" s="113">
        <v>0</v>
      </c>
      <c r="DR245" s="113">
        <v>0</v>
      </c>
      <c r="DS245" s="113">
        <v>0</v>
      </c>
      <c r="DT245" s="113">
        <v>10680</v>
      </c>
      <c r="DU245" s="113">
        <v>0</v>
      </c>
      <c r="DV245" s="113">
        <v>121</v>
      </c>
      <c r="DW245" s="113">
        <v>13128</v>
      </c>
      <c r="DX245" s="113">
        <v>25</v>
      </c>
      <c r="DY245" s="113">
        <v>0</v>
      </c>
      <c r="DZ245" s="113">
        <v>24977</v>
      </c>
      <c r="EA245" s="113">
        <v>17069</v>
      </c>
      <c r="EB245" s="113">
        <v>547</v>
      </c>
      <c r="EC245" s="113">
        <v>0</v>
      </c>
      <c r="ED245" s="113">
        <v>3954</v>
      </c>
      <c r="EE245" s="113">
        <v>3229</v>
      </c>
      <c r="EF245" s="113">
        <v>0</v>
      </c>
      <c r="EG245" s="113">
        <v>0</v>
      </c>
      <c r="EH245" s="113">
        <v>0</v>
      </c>
      <c r="EI245" s="113">
        <v>0</v>
      </c>
      <c r="EJ245" s="113">
        <v>0</v>
      </c>
      <c r="EK245" s="113">
        <v>0</v>
      </c>
      <c r="EL245" s="113">
        <v>0</v>
      </c>
      <c r="EM245" s="113">
        <v>0</v>
      </c>
      <c r="EN245" s="113">
        <v>0</v>
      </c>
    </row>
    <row r="246" spans="1:144" ht="10.5">
      <c r="A246" s="112" t="s">
        <v>2411</v>
      </c>
      <c r="B246" s="114">
        <v>0</v>
      </c>
      <c r="C246" s="114">
        <v>0</v>
      </c>
      <c r="D246" s="114">
        <v>0</v>
      </c>
      <c r="E246" s="114">
        <v>0</v>
      </c>
      <c r="F246" s="114">
        <v>0</v>
      </c>
      <c r="G246" s="114">
        <v>0</v>
      </c>
      <c r="H246" s="114">
        <v>0</v>
      </c>
      <c r="I246" s="114">
        <v>0</v>
      </c>
      <c r="J246" s="114">
        <v>0</v>
      </c>
      <c r="K246" s="114">
        <v>0</v>
      </c>
      <c r="L246" s="114">
        <v>0</v>
      </c>
      <c r="M246" s="114">
        <v>0</v>
      </c>
      <c r="N246" s="114">
        <v>0</v>
      </c>
      <c r="O246" s="114">
        <v>0</v>
      </c>
      <c r="P246" s="114">
        <v>0</v>
      </c>
      <c r="Q246" s="114">
        <v>0</v>
      </c>
      <c r="R246" s="114">
        <v>0</v>
      </c>
      <c r="S246" s="114">
        <v>0</v>
      </c>
      <c r="T246" s="114">
        <v>5974</v>
      </c>
      <c r="U246" s="114">
        <v>4167</v>
      </c>
      <c r="V246" s="114">
        <v>6960</v>
      </c>
      <c r="W246" s="114">
        <v>0</v>
      </c>
      <c r="X246" s="114">
        <v>4883</v>
      </c>
      <c r="Y246" s="114">
        <v>10850</v>
      </c>
      <c r="Z246" s="114">
        <v>15161</v>
      </c>
      <c r="AA246" s="114">
        <v>21079</v>
      </c>
      <c r="AB246" s="114">
        <v>44344</v>
      </c>
      <c r="AC246" s="114">
        <v>7183</v>
      </c>
      <c r="AD246" s="114">
        <v>0</v>
      </c>
      <c r="AE246" s="114">
        <v>0</v>
      </c>
      <c r="AG246" s="112" t="s">
        <v>2411</v>
      </c>
      <c r="AH246" s="114">
        <v>0</v>
      </c>
      <c r="AI246" s="114">
        <v>0</v>
      </c>
      <c r="AJ246" s="114">
        <v>0</v>
      </c>
      <c r="AK246" s="114">
        <v>0</v>
      </c>
      <c r="AL246" s="114">
        <v>0</v>
      </c>
      <c r="AM246" s="114">
        <v>0</v>
      </c>
      <c r="AN246" s="114">
        <v>0</v>
      </c>
      <c r="AO246" s="114">
        <v>0</v>
      </c>
      <c r="AP246" s="114">
        <v>0</v>
      </c>
      <c r="AQ246" s="114">
        <v>0</v>
      </c>
      <c r="AR246" s="114">
        <v>0</v>
      </c>
      <c r="AS246" s="114">
        <v>0</v>
      </c>
      <c r="AT246" s="114">
        <v>0</v>
      </c>
      <c r="AU246" s="114">
        <v>0</v>
      </c>
      <c r="AV246" s="114">
        <v>0</v>
      </c>
      <c r="AW246" s="114">
        <v>0</v>
      </c>
      <c r="AX246" s="114">
        <v>0</v>
      </c>
      <c r="AY246" s="114">
        <v>0</v>
      </c>
      <c r="AZ246" s="114">
        <v>0</v>
      </c>
      <c r="BA246" s="114">
        <v>0</v>
      </c>
      <c r="BB246" s="114">
        <v>0</v>
      </c>
      <c r="BC246" s="114">
        <v>0</v>
      </c>
      <c r="BD246" s="114">
        <v>0</v>
      </c>
      <c r="BE246" s="114">
        <v>0</v>
      </c>
      <c r="BF246" s="114">
        <v>0</v>
      </c>
      <c r="BG246" s="114">
        <v>0</v>
      </c>
      <c r="BH246" s="114">
        <v>0</v>
      </c>
      <c r="BI246" s="114">
        <v>0</v>
      </c>
      <c r="BJ246" s="114">
        <v>0</v>
      </c>
      <c r="BK246" s="114">
        <v>0</v>
      </c>
      <c r="BL246" s="114">
        <v>0</v>
      </c>
      <c r="BM246" s="114">
        <v>0</v>
      </c>
      <c r="BN246" s="114">
        <v>0</v>
      </c>
      <c r="BO246" s="114">
        <v>0</v>
      </c>
      <c r="BP246" s="114">
        <v>0</v>
      </c>
      <c r="BQ246" s="114">
        <v>0</v>
      </c>
      <c r="BR246" s="114">
        <v>0</v>
      </c>
      <c r="BS246" s="114">
        <v>0</v>
      </c>
      <c r="BT246" s="114">
        <v>0</v>
      </c>
      <c r="BU246" s="114">
        <v>0</v>
      </c>
      <c r="BV246" s="114">
        <v>0</v>
      </c>
      <c r="BW246" s="114">
        <v>0</v>
      </c>
      <c r="BX246" s="114">
        <v>0</v>
      </c>
      <c r="BY246" s="114">
        <v>0</v>
      </c>
      <c r="BZ246" s="114">
        <v>0</v>
      </c>
      <c r="CA246" s="114">
        <v>0</v>
      </c>
      <c r="CB246" s="114">
        <v>0</v>
      </c>
      <c r="CC246" s="114">
        <v>0</v>
      </c>
      <c r="CD246" s="114">
        <v>0</v>
      </c>
      <c r="CE246" s="114">
        <v>0</v>
      </c>
      <c r="CF246" s="114">
        <v>0</v>
      </c>
      <c r="CG246" s="114">
        <v>0</v>
      </c>
      <c r="CH246" s="114">
        <v>0</v>
      </c>
      <c r="CI246" s="114">
        <v>0</v>
      </c>
      <c r="CJ246" s="114">
        <v>0</v>
      </c>
      <c r="CK246" s="114">
        <v>0</v>
      </c>
      <c r="CL246" s="114">
        <v>0</v>
      </c>
      <c r="CM246" s="114">
        <v>0</v>
      </c>
      <c r="CN246" s="114">
        <v>0</v>
      </c>
      <c r="CO246" s="114">
        <v>0</v>
      </c>
      <c r="CP246" s="114">
        <v>0</v>
      </c>
      <c r="CQ246" s="114">
        <v>0</v>
      </c>
      <c r="CR246" s="114">
        <v>0</v>
      </c>
      <c r="CS246" s="114">
        <v>0</v>
      </c>
      <c r="CT246" s="114">
        <v>1975</v>
      </c>
      <c r="CU246" s="114">
        <v>21</v>
      </c>
      <c r="CV246" s="114">
        <v>328</v>
      </c>
      <c r="CW246" s="114">
        <v>3979</v>
      </c>
      <c r="CX246" s="114">
        <v>1073</v>
      </c>
      <c r="CY246" s="114">
        <v>1046</v>
      </c>
      <c r="CZ246" s="114">
        <v>851</v>
      </c>
      <c r="DA246" s="114">
        <v>1575</v>
      </c>
      <c r="DB246" s="114">
        <v>5535</v>
      </c>
      <c r="DC246" s="114">
        <v>0</v>
      </c>
      <c r="DD246" s="114">
        <v>2239</v>
      </c>
      <c r="DE246" s="114">
        <v>0</v>
      </c>
      <c r="DF246" s="114">
        <v>0</v>
      </c>
      <c r="DG246" s="114">
        <v>0</v>
      </c>
      <c r="DH246" s="114">
        <v>0</v>
      </c>
      <c r="DI246" s="114">
        <v>0</v>
      </c>
      <c r="DJ246" s="114">
        <v>0</v>
      </c>
      <c r="DK246" s="114">
        <v>2232</v>
      </c>
      <c r="DL246" s="114">
        <v>0</v>
      </c>
      <c r="DM246" s="114">
        <v>2651</v>
      </c>
      <c r="DN246" s="114">
        <v>1300</v>
      </c>
      <c r="DO246" s="114">
        <v>8262</v>
      </c>
      <c r="DP246" s="114">
        <v>0</v>
      </c>
      <c r="DQ246" s="114">
        <v>2000</v>
      </c>
      <c r="DR246" s="114">
        <v>2999</v>
      </c>
      <c r="DS246" s="114">
        <v>4798</v>
      </c>
      <c r="DT246" s="114">
        <v>10680</v>
      </c>
      <c r="DU246" s="114">
        <v>3259</v>
      </c>
      <c r="DV246" s="114">
        <v>5011</v>
      </c>
      <c r="DW246" s="114">
        <v>13128</v>
      </c>
      <c r="DX246" s="114">
        <v>2647</v>
      </c>
      <c r="DY246" s="114">
        <v>7324</v>
      </c>
      <c r="DZ246" s="114">
        <v>24977</v>
      </c>
      <c r="EA246" s="114">
        <v>17069</v>
      </c>
      <c r="EB246" s="114">
        <v>547</v>
      </c>
      <c r="EC246" s="114">
        <v>1751</v>
      </c>
      <c r="ED246" s="114">
        <v>3954</v>
      </c>
      <c r="EE246" s="114">
        <v>6988</v>
      </c>
      <c r="EF246" s="114">
        <v>0</v>
      </c>
      <c r="EG246" s="114">
        <v>0</v>
      </c>
      <c r="EH246" s="114">
        <v>0</v>
      </c>
      <c r="EI246" s="114">
        <v>0</v>
      </c>
      <c r="EJ246" s="114">
        <v>0</v>
      </c>
      <c r="EK246" s="114">
        <v>0</v>
      </c>
      <c r="EL246" s="114">
        <v>0</v>
      </c>
      <c r="EM246" s="114">
        <v>0</v>
      </c>
      <c r="EN246" s="114">
        <v>0</v>
      </c>
    </row>
    <row r="247" spans="1:144">
      <c r="A247" s="103" t="s">
        <v>2412</v>
      </c>
      <c r="B247" s="113">
        <v>0</v>
      </c>
      <c r="C247" s="113">
        <v>0</v>
      </c>
      <c r="D247" s="113">
        <v>0</v>
      </c>
      <c r="E247" s="113">
        <v>0</v>
      </c>
      <c r="F247" s="113">
        <v>0</v>
      </c>
      <c r="G247" s="113">
        <v>0</v>
      </c>
      <c r="H247" s="113">
        <v>0</v>
      </c>
      <c r="I247" s="113">
        <v>0</v>
      </c>
      <c r="J247" s="113">
        <v>0</v>
      </c>
      <c r="K247" s="113">
        <v>0</v>
      </c>
      <c r="L247" s="113">
        <v>0</v>
      </c>
      <c r="M247" s="113">
        <v>0</v>
      </c>
      <c r="N247" s="113">
        <v>0</v>
      </c>
      <c r="O247" s="113">
        <v>0</v>
      </c>
      <c r="P247" s="113">
        <v>0</v>
      </c>
      <c r="Q247" s="113">
        <v>0</v>
      </c>
      <c r="R247" s="113">
        <v>0</v>
      </c>
      <c r="S247" s="113">
        <v>0</v>
      </c>
      <c r="T247" s="113">
        <v>0</v>
      </c>
      <c r="U247" s="113">
        <v>-991</v>
      </c>
      <c r="V247" s="113">
        <v>-186</v>
      </c>
      <c r="W247" s="113">
        <v>0</v>
      </c>
      <c r="X247" s="113">
        <v>0</v>
      </c>
      <c r="Y247" s="113">
        <v>0</v>
      </c>
      <c r="Z247" s="113">
        <v>0</v>
      </c>
      <c r="AA247" s="113">
        <v>0</v>
      </c>
      <c r="AB247" s="113">
        <v>-4963</v>
      </c>
      <c r="AC247" s="113">
        <v>-7324</v>
      </c>
      <c r="AD247" s="113">
        <v>0</v>
      </c>
      <c r="AE247" s="113">
        <v>0</v>
      </c>
      <c r="AG247" s="103" t="s">
        <v>2412</v>
      </c>
      <c r="AH247" s="113">
        <v>0</v>
      </c>
      <c r="AI247" s="113">
        <v>0</v>
      </c>
      <c r="AJ247" s="113">
        <v>0</v>
      </c>
      <c r="AK247" s="113">
        <v>0</v>
      </c>
      <c r="AL247" s="113">
        <v>0</v>
      </c>
      <c r="AM247" s="113">
        <v>0</v>
      </c>
      <c r="AN247" s="113">
        <v>0</v>
      </c>
      <c r="AO247" s="113">
        <v>0</v>
      </c>
      <c r="AP247" s="113">
        <v>0</v>
      </c>
      <c r="AQ247" s="113">
        <v>0</v>
      </c>
      <c r="AR247" s="113">
        <v>0</v>
      </c>
      <c r="AS247" s="113">
        <v>0</v>
      </c>
      <c r="AT247" s="113">
        <v>0</v>
      </c>
      <c r="AU247" s="113">
        <v>0</v>
      </c>
      <c r="AV247" s="113">
        <v>0</v>
      </c>
      <c r="AW247" s="113">
        <v>0</v>
      </c>
      <c r="AX247" s="113">
        <v>0</v>
      </c>
      <c r="AY247" s="113">
        <v>0</v>
      </c>
      <c r="AZ247" s="113">
        <v>0</v>
      </c>
      <c r="BA247" s="113">
        <v>0</v>
      </c>
      <c r="BB247" s="113">
        <v>0</v>
      </c>
      <c r="BC247" s="113">
        <v>0</v>
      </c>
      <c r="BD247" s="113">
        <v>0</v>
      </c>
      <c r="BE247" s="113">
        <v>0</v>
      </c>
      <c r="BF247" s="113">
        <v>0</v>
      </c>
      <c r="BG247" s="113">
        <v>0</v>
      </c>
      <c r="BH247" s="113">
        <v>0</v>
      </c>
      <c r="BI247" s="113">
        <v>0</v>
      </c>
      <c r="BJ247" s="113">
        <v>0</v>
      </c>
      <c r="BK247" s="113">
        <v>0</v>
      </c>
      <c r="BL247" s="113">
        <v>0</v>
      </c>
      <c r="BM247" s="113">
        <v>0</v>
      </c>
      <c r="BN247" s="113">
        <v>0</v>
      </c>
      <c r="BO247" s="113">
        <v>0</v>
      </c>
      <c r="BP247" s="113">
        <v>0</v>
      </c>
      <c r="BQ247" s="113">
        <v>0</v>
      </c>
      <c r="BR247" s="113">
        <v>0</v>
      </c>
      <c r="BS247" s="113">
        <v>0</v>
      </c>
      <c r="BT247" s="113">
        <v>0</v>
      </c>
      <c r="BU247" s="113">
        <v>0</v>
      </c>
      <c r="BV247" s="113">
        <v>0</v>
      </c>
      <c r="BW247" s="113">
        <v>0</v>
      </c>
      <c r="BX247" s="113">
        <v>0</v>
      </c>
      <c r="BY247" s="113">
        <v>0</v>
      </c>
      <c r="BZ247" s="113">
        <v>0</v>
      </c>
      <c r="CA247" s="113">
        <v>0</v>
      </c>
      <c r="CB247" s="113">
        <v>0</v>
      </c>
      <c r="CC247" s="113">
        <v>0</v>
      </c>
      <c r="CD247" s="113">
        <v>0</v>
      </c>
      <c r="CE247" s="113">
        <v>0</v>
      </c>
      <c r="CF247" s="113">
        <v>0</v>
      </c>
      <c r="CG247" s="113">
        <v>0</v>
      </c>
      <c r="CH247" s="113">
        <v>0</v>
      </c>
      <c r="CI247" s="113">
        <v>0</v>
      </c>
      <c r="CJ247" s="113">
        <v>0</v>
      </c>
      <c r="CK247" s="113">
        <v>0</v>
      </c>
      <c r="CL247" s="113">
        <v>0</v>
      </c>
      <c r="CM247" s="113">
        <v>0</v>
      </c>
      <c r="CN247" s="113">
        <v>0</v>
      </c>
      <c r="CO247" s="113">
        <v>0</v>
      </c>
      <c r="CP247" s="113">
        <v>0</v>
      </c>
      <c r="CQ247" s="113">
        <v>0</v>
      </c>
      <c r="CR247" s="113">
        <v>0</v>
      </c>
      <c r="CS247" s="113">
        <v>0</v>
      </c>
      <c r="CT247" s="113">
        <v>0</v>
      </c>
      <c r="CU247" s="113">
        <v>0</v>
      </c>
      <c r="CV247" s="113">
        <v>-329</v>
      </c>
      <c r="CW247" s="113">
        <v>0</v>
      </c>
      <c r="CX247" s="113">
        <v>0</v>
      </c>
      <c r="CY247" s="113">
        <v>-475</v>
      </c>
      <c r="CZ247" s="113">
        <v>-349</v>
      </c>
      <c r="DA247" s="113">
        <v>0</v>
      </c>
      <c r="DB247" s="113">
        <v>0</v>
      </c>
      <c r="DC247" s="113">
        <v>-1000</v>
      </c>
      <c r="DD247" s="113">
        <v>0</v>
      </c>
      <c r="DE247" s="113">
        <v>0</v>
      </c>
      <c r="DF247" s="113">
        <v>0</v>
      </c>
      <c r="DG247" s="113">
        <v>0</v>
      </c>
      <c r="DH247" s="113">
        <v>0</v>
      </c>
      <c r="DI247" s="113">
        <v>0</v>
      </c>
      <c r="DJ247" s="113">
        <v>0</v>
      </c>
      <c r="DK247" s="113">
        <v>0</v>
      </c>
      <c r="DL247" s="113">
        <v>0</v>
      </c>
      <c r="DM247" s="113">
        <v>0</v>
      </c>
      <c r="DN247" s="113">
        <v>0</v>
      </c>
      <c r="DO247" s="113">
        <v>-712</v>
      </c>
      <c r="DP247" s="113">
        <v>0</v>
      </c>
      <c r="DQ247" s="113">
        <v>0</v>
      </c>
      <c r="DR247" s="113">
        <v>0</v>
      </c>
      <c r="DS247" s="113">
        <v>0</v>
      </c>
      <c r="DT247" s="113">
        <v>-6575</v>
      </c>
      <c r="DU247" s="113">
        <v>0</v>
      </c>
      <c r="DV247" s="113">
        <v>0</v>
      </c>
      <c r="DW247" s="113">
        <v>-7031</v>
      </c>
      <c r="DX247" s="113">
        <v>0</v>
      </c>
      <c r="DY247" s="113">
        <v>0</v>
      </c>
      <c r="DZ247" s="113">
        <v>-3390</v>
      </c>
      <c r="EA247" s="113">
        <v>-3755</v>
      </c>
      <c r="EB247" s="113">
        <v>-1302</v>
      </c>
      <c r="EC247" s="113">
        <v>0</v>
      </c>
      <c r="ED247" s="113">
        <v>-3710</v>
      </c>
      <c r="EE247" s="113">
        <v>0</v>
      </c>
      <c r="EF247" s="113">
        <v>-7373</v>
      </c>
      <c r="EG247" s="113">
        <v>0</v>
      </c>
      <c r="EH247" s="113">
        <v>0</v>
      </c>
      <c r="EI247" s="113">
        <v>0</v>
      </c>
      <c r="EJ247" s="113">
        <v>0</v>
      </c>
      <c r="EK247" s="113">
        <v>0</v>
      </c>
      <c r="EL247" s="113">
        <v>0</v>
      </c>
      <c r="EM247" s="113">
        <v>0</v>
      </c>
      <c r="EN247" s="113">
        <v>0</v>
      </c>
    </row>
    <row r="248" spans="1:144">
      <c r="A248" s="103" t="s">
        <v>2413</v>
      </c>
      <c r="B248" s="113">
        <v>0</v>
      </c>
      <c r="C248" s="113">
        <v>0</v>
      </c>
      <c r="D248" s="113">
        <v>0</v>
      </c>
      <c r="E248" s="113">
        <v>0</v>
      </c>
      <c r="F248" s="113">
        <v>0</v>
      </c>
      <c r="G248" s="113">
        <v>0</v>
      </c>
      <c r="H248" s="113">
        <v>0</v>
      </c>
      <c r="I248" s="113">
        <v>0</v>
      </c>
      <c r="J248" s="113">
        <v>0</v>
      </c>
      <c r="K248" s="113">
        <v>0</v>
      </c>
      <c r="L248" s="113">
        <v>0</v>
      </c>
      <c r="M248" s="113">
        <v>0</v>
      </c>
      <c r="N248" s="113">
        <v>0</v>
      </c>
      <c r="O248" s="113">
        <v>0</v>
      </c>
      <c r="P248" s="113">
        <v>0</v>
      </c>
      <c r="Q248" s="113">
        <v>0</v>
      </c>
      <c r="R248" s="113">
        <v>0</v>
      </c>
      <c r="S248" s="113">
        <v>0</v>
      </c>
      <c r="T248" s="113">
        <v>-228</v>
      </c>
      <c r="U248" s="113">
        <v>-2986</v>
      </c>
      <c r="V248" s="113">
        <v>-814</v>
      </c>
      <c r="W248" s="113">
        <v>0</v>
      </c>
      <c r="X248" s="113">
        <v>-1346</v>
      </c>
      <c r="Y248" s="113">
        <v>-3888</v>
      </c>
      <c r="Z248" s="113">
        <v>-1500</v>
      </c>
      <c r="AA248" s="113">
        <v>-2796</v>
      </c>
      <c r="AB248" s="113">
        <v>-7922</v>
      </c>
      <c r="AC248" s="113">
        <v>-10060</v>
      </c>
      <c r="AD248" s="113">
        <v>-4000</v>
      </c>
      <c r="AE248" s="113">
        <v>0</v>
      </c>
      <c r="AG248" s="103" t="s">
        <v>2413</v>
      </c>
      <c r="AH248" s="113">
        <v>0</v>
      </c>
      <c r="AI248" s="113">
        <v>0</v>
      </c>
      <c r="AJ248" s="113">
        <v>0</v>
      </c>
      <c r="AK248" s="113">
        <v>0</v>
      </c>
      <c r="AL248" s="113">
        <v>0</v>
      </c>
      <c r="AM248" s="113">
        <v>0</v>
      </c>
      <c r="AN248" s="113">
        <v>0</v>
      </c>
      <c r="AO248" s="113">
        <v>0</v>
      </c>
      <c r="AP248" s="113">
        <v>0</v>
      </c>
      <c r="AQ248" s="113">
        <v>0</v>
      </c>
      <c r="AR248" s="113">
        <v>0</v>
      </c>
      <c r="AS248" s="113">
        <v>0</v>
      </c>
      <c r="AT248" s="113">
        <v>0</v>
      </c>
      <c r="AU248" s="113">
        <v>0</v>
      </c>
      <c r="AV248" s="113">
        <v>0</v>
      </c>
      <c r="AW248" s="113">
        <v>0</v>
      </c>
      <c r="AX248" s="113">
        <v>0</v>
      </c>
      <c r="AY248" s="113">
        <v>0</v>
      </c>
      <c r="AZ248" s="113">
        <v>0</v>
      </c>
      <c r="BA248" s="113">
        <v>0</v>
      </c>
      <c r="BB248" s="113">
        <v>0</v>
      </c>
      <c r="BC248" s="113">
        <v>0</v>
      </c>
      <c r="BD248" s="113">
        <v>0</v>
      </c>
      <c r="BE248" s="113">
        <v>0</v>
      </c>
      <c r="BF248" s="113">
        <v>0</v>
      </c>
      <c r="BG248" s="113">
        <v>0</v>
      </c>
      <c r="BH248" s="113">
        <v>0</v>
      </c>
      <c r="BI248" s="113">
        <v>0</v>
      </c>
      <c r="BJ248" s="113">
        <v>0</v>
      </c>
      <c r="BK248" s="113">
        <v>0</v>
      </c>
      <c r="BL248" s="113">
        <v>0</v>
      </c>
      <c r="BM248" s="113">
        <v>0</v>
      </c>
      <c r="BN248" s="113">
        <v>0</v>
      </c>
      <c r="BO248" s="113">
        <v>0</v>
      </c>
      <c r="BP248" s="113">
        <v>0</v>
      </c>
      <c r="BQ248" s="113">
        <v>0</v>
      </c>
      <c r="BR248" s="113">
        <v>0</v>
      </c>
      <c r="BS248" s="113">
        <v>0</v>
      </c>
      <c r="BT248" s="113">
        <v>0</v>
      </c>
      <c r="BU248" s="113">
        <v>0</v>
      </c>
      <c r="BV248" s="113">
        <v>0</v>
      </c>
      <c r="BW248" s="113">
        <v>0</v>
      </c>
      <c r="BX248" s="113">
        <v>0</v>
      </c>
      <c r="BY248" s="113">
        <v>0</v>
      </c>
      <c r="BZ248" s="113">
        <v>0</v>
      </c>
      <c r="CA248" s="113">
        <v>0</v>
      </c>
      <c r="CB248" s="113">
        <v>0</v>
      </c>
      <c r="CC248" s="113">
        <v>0</v>
      </c>
      <c r="CD248" s="113">
        <v>0</v>
      </c>
      <c r="CE248" s="113">
        <v>0</v>
      </c>
      <c r="CF248" s="113">
        <v>0</v>
      </c>
      <c r="CG248" s="113">
        <v>0</v>
      </c>
      <c r="CH248" s="113">
        <v>0</v>
      </c>
      <c r="CI248" s="113">
        <v>0</v>
      </c>
      <c r="CJ248" s="113">
        <v>0</v>
      </c>
      <c r="CK248" s="113">
        <v>0</v>
      </c>
      <c r="CL248" s="113">
        <v>0</v>
      </c>
      <c r="CM248" s="113">
        <v>0</v>
      </c>
      <c r="CN248" s="113">
        <v>0</v>
      </c>
      <c r="CO248" s="113">
        <v>0</v>
      </c>
      <c r="CP248" s="113">
        <v>0</v>
      </c>
      <c r="CQ248" s="113">
        <v>0</v>
      </c>
      <c r="CR248" s="113">
        <v>0</v>
      </c>
      <c r="CS248" s="113">
        <v>0</v>
      </c>
      <c r="CT248" s="113">
        <v>0</v>
      </c>
      <c r="CU248" s="113">
        <v>0</v>
      </c>
      <c r="CV248" s="113">
        <v>0</v>
      </c>
      <c r="CW248" s="113">
        <v>0</v>
      </c>
      <c r="CX248" s="113">
        <v>-823</v>
      </c>
      <c r="CY248" s="113">
        <v>-573</v>
      </c>
      <c r="CZ248" s="113">
        <v>-502</v>
      </c>
      <c r="DA248" s="113">
        <v>0</v>
      </c>
      <c r="DB248" s="113">
        <v>-814</v>
      </c>
      <c r="DC248" s="113">
        <v>0</v>
      </c>
      <c r="DD248" s="113">
        <v>0</v>
      </c>
      <c r="DE248" s="113">
        <v>0</v>
      </c>
      <c r="DF248" s="113">
        <v>0</v>
      </c>
      <c r="DG248" s="113">
        <v>0</v>
      </c>
      <c r="DH248" s="113">
        <v>0</v>
      </c>
      <c r="DI248" s="113">
        <v>0</v>
      </c>
      <c r="DJ248" s="113">
        <v>0</v>
      </c>
      <c r="DK248" s="113">
        <v>0</v>
      </c>
      <c r="DL248" s="113">
        <v>0</v>
      </c>
      <c r="DM248" s="113">
        <v>0</v>
      </c>
      <c r="DN248" s="113">
        <v>-1000</v>
      </c>
      <c r="DO248" s="113">
        <v>-588</v>
      </c>
      <c r="DP248" s="113">
        <v>-300</v>
      </c>
      <c r="DQ248" s="113">
        <v>0</v>
      </c>
      <c r="DR248" s="113">
        <v>-1500</v>
      </c>
      <c r="DS248" s="113">
        <v>0</v>
      </c>
      <c r="DT248" s="113">
        <v>0</v>
      </c>
      <c r="DU248" s="113">
        <v>0</v>
      </c>
      <c r="DV248" s="113">
        <v>-1750</v>
      </c>
      <c r="DW248" s="113">
        <v>-121</v>
      </c>
      <c r="DX248" s="113">
        <v>-900</v>
      </c>
      <c r="DY248" s="113">
        <v>0</v>
      </c>
      <c r="DZ248" s="113">
        <v>-225</v>
      </c>
      <c r="EA248" s="113">
        <v>-4118</v>
      </c>
      <c r="EB248" s="113">
        <v>-211</v>
      </c>
      <c r="EC248" s="113">
        <v>0</v>
      </c>
      <c r="ED248" s="113">
        <v>-1169</v>
      </c>
      <c r="EE248" s="113">
        <v>-3327</v>
      </c>
      <c r="EF248" s="113">
        <v>-4883</v>
      </c>
      <c r="EG248" s="113">
        <v>0</v>
      </c>
      <c r="EH248" s="113">
        <v>0</v>
      </c>
      <c r="EI248" s="113">
        <v>-3000</v>
      </c>
      <c r="EJ248" s="113">
        <v>0</v>
      </c>
      <c r="EK248" s="113">
        <v>0</v>
      </c>
      <c r="EL248" s="113">
        <v>-2500</v>
      </c>
      <c r="EM248" s="113">
        <v>-18</v>
      </c>
      <c r="EN248" s="113">
        <v>-3000</v>
      </c>
    </row>
    <row r="249" spans="1:144" ht="10.5">
      <c r="A249" s="112" t="s">
        <v>2414</v>
      </c>
      <c r="B249" s="114">
        <v>0</v>
      </c>
      <c r="C249" s="114">
        <v>0</v>
      </c>
      <c r="D249" s="114">
        <v>0</v>
      </c>
      <c r="E249" s="114">
        <v>0</v>
      </c>
      <c r="F249" s="114">
        <v>0</v>
      </c>
      <c r="G249" s="114">
        <v>0</v>
      </c>
      <c r="H249" s="114">
        <v>0</v>
      </c>
      <c r="I249" s="114">
        <v>0</v>
      </c>
      <c r="J249" s="114">
        <v>0</v>
      </c>
      <c r="K249" s="114">
        <v>0</v>
      </c>
      <c r="L249" s="114">
        <v>0</v>
      </c>
      <c r="M249" s="114">
        <v>0</v>
      </c>
      <c r="N249" s="114">
        <v>0</v>
      </c>
      <c r="O249" s="114">
        <v>0</v>
      </c>
      <c r="P249" s="114">
        <v>0</v>
      </c>
      <c r="Q249" s="114">
        <v>0</v>
      </c>
      <c r="R249" s="114">
        <v>0</v>
      </c>
      <c r="S249" s="114">
        <v>0</v>
      </c>
      <c r="T249" s="114">
        <v>-228</v>
      </c>
      <c r="U249" s="114">
        <v>-3977</v>
      </c>
      <c r="V249" s="114">
        <v>-1000</v>
      </c>
      <c r="W249" s="114">
        <v>0</v>
      </c>
      <c r="X249" s="114">
        <v>-1346</v>
      </c>
      <c r="Y249" s="114">
        <v>-3888</v>
      </c>
      <c r="Z249" s="114">
        <v>-1500</v>
      </c>
      <c r="AA249" s="114">
        <v>-2796</v>
      </c>
      <c r="AB249" s="114">
        <v>-12885</v>
      </c>
      <c r="AC249" s="114">
        <v>-17384</v>
      </c>
      <c r="AD249" s="114">
        <v>-4000</v>
      </c>
      <c r="AE249" s="114">
        <v>-6518</v>
      </c>
      <c r="AG249" s="112" t="s">
        <v>2414</v>
      </c>
      <c r="AH249" s="114">
        <v>0</v>
      </c>
      <c r="AI249" s="114">
        <v>0</v>
      </c>
      <c r="AJ249" s="114">
        <v>0</v>
      </c>
      <c r="AK249" s="114">
        <v>0</v>
      </c>
      <c r="AL249" s="114">
        <v>0</v>
      </c>
      <c r="AM249" s="114">
        <v>0</v>
      </c>
      <c r="AN249" s="114">
        <v>0</v>
      </c>
      <c r="AO249" s="114">
        <v>0</v>
      </c>
      <c r="AP249" s="114">
        <v>0</v>
      </c>
      <c r="AQ249" s="114">
        <v>0</v>
      </c>
      <c r="AR249" s="114">
        <v>0</v>
      </c>
      <c r="AS249" s="114">
        <v>0</v>
      </c>
      <c r="AT249" s="114">
        <v>0</v>
      </c>
      <c r="AU249" s="114">
        <v>0</v>
      </c>
      <c r="AV249" s="114">
        <v>0</v>
      </c>
      <c r="AW249" s="114">
        <v>0</v>
      </c>
      <c r="AX249" s="114">
        <v>0</v>
      </c>
      <c r="AY249" s="114">
        <v>0</v>
      </c>
      <c r="AZ249" s="114">
        <v>0</v>
      </c>
      <c r="BA249" s="114">
        <v>0</v>
      </c>
      <c r="BB249" s="114">
        <v>0</v>
      </c>
      <c r="BC249" s="114">
        <v>0</v>
      </c>
      <c r="BD249" s="114">
        <v>0</v>
      </c>
      <c r="BE249" s="114">
        <v>0</v>
      </c>
      <c r="BF249" s="114">
        <v>0</v>
      </c>
      <c r="BG249" s="114">
        <v>0</v>
      </c>
      <c r="BH249" s="114">
        <v>0</v>
      </c>
      <c r="BI249" s="114">
        <v>0</v>
      </c>
      <c r="BJ249" s="114">
        <v>0</v>
      </c>
      <c r="BK249" s="114">
        <v>0</v>
      </c>
      <c r="BL249" s="114">
        <v>0</v>
      </c>
      <c r="BM249" s="114">
        <v>0</v>
      </c>
      <c r="BN249" s="114">
        <v>0</v>
      </c>
      <c r="BO249" s="114">
        <v>0</v>
      </c>
      <c r="BP249" s="114">
        <v>0</v>
      </c>
      <c r="BQ249" s="114">
        <v>0</v>
      </c>
      <c r="BR249" s="114">
        <v>0</v>
      </c>
      <c r="BS249" s="114">
        <v>0</v>
      </c>
      <c r="BT249" s="114">
        <v>0</v>
      </c>
      <c r="BU249" s="114">
        <v>0</v>
      </c>
      <c r="BV249" s="114">
        <v>0</v>
      </c>
      <c r="BW249" s="114">
        <v>0</v>
      </c>
      <c r="BX249" s="114">
        <v>0</v>
      </c>
      <c r="BY249" s="114">
        <v>0</v>
      </c>
      <c r="BZ249" s="114">
        <v>0</v>
      </c>
      <c r="CA249" s="114">
        <v>0</v>
      </c>
      <c r="CB249" s="114">
        <v>0</v>
      </c>
      <c r="CC249" s="114">
        <v>0</v>
      </c>
      <c r="CD249" s="114">
        <v>0</v>
      </c>
      <c r="CE249" s="114">
        <v>0</v>
      </c>
      <c r="CF249" s="114">
        <v>0</v>
      </c>
      <c r="CG249" s="114">
        <v>0</v>
      </c>
      <c r="CH249" s="114">
        <v>0</v>
      </c>
      <c r="CI249" s="114">
        <v>0</v>
      </c>
      <c r="CJ249" s="114">
        <v>0</v>
      </c>
      <c r="CK249" s="114">
        <v>0</v>
      </c>
      <c r="CL249" s="114">
        <v>0</v>
      </c>
      <c r="CM249" s="114">
        <v>0</v>
      </c>
      <c r="CN249" s="114">
        <v>0</v>
      </c>
      <c r="CO249" s="114">
        <v>0</v>
      </c>
      <c r="CP249" s="114">
        <v>0</v>
      </c>
      <c r="CQ249" s="114">
        <v>0</v>
      </c>
      <c r="CR249" s="114">
        <v>0</v>
      </c>
      <c r="CS249" s="114">
        <v>0</v>
      </c>
      <c r="CT249" s="114">
        <v>0</v>
      </c>
      <c r="CU249" s="114">
        <v>0</v>
      </c>
      <c r="CV249" s="114">
        <v>-329</v>
      </c>
      <c r="CW249" s="114">
        <v>-228</v>
      </c>
      <c r="CX249" s="114">
        <v>-823</v>
      </c>
      <c r="CY249" s="114">
        <v>-1048</v>
      </c>
      <c r="CZ249" s="114">
        <v>-851</v>
      </c>
      <c r="DA249" s="114">
        <v>-1633</v>
      </c>
      <c r="DB249" s="114">
        <v>-814</v>
      </c>
      <c r="DC249" s="114">
        <v>-1000</v>
      </c>
      <c r="DD249" s="114">
        <v>0</v>
      </c>
      <c r="DE249" s="114">
        <v>0</v>
      </c>
      <c r="DF249" s="114">
        <v>0</v>
      </c>
      <c r="DG249" s="114">
        <v>0</v>
      </c>
      <c r="DH249" s="114">
        <v>0</v>
      </c>
      <c r="DI249" s="114">
        <v>0</v>
      </c>
      <c r="DJ249" s="114">
        <v>0</v>
      </c>
      <c r="DK249" s="114">
        <v>0</v>
      </c>
      <c r="DL249" s="114">
        <v>0</v>
      </c>
      <c r="DM249" s="114">
        <v>-1346</v>
      </c>
      <c r="DN249" s="114">
        <v>-1000</v>
      </c>
      <c r="DO249" s="114">
        <v>-1300</v>
      </c>
      <c r="DP249" s="114">
        <v>-300</v>
      </c>
      <c r="DQ249" s="114">
        <v>-2000</v>
      </c>
      <c r="DR249" s="114">
        <v>-1500</v>
      </c>
      <c r="DS249" s="114">
        <v>0</v>
      </c>
      <c r="DT249" s="114">
        <v>-6575</v>
      </c>
      <c r="DU249" s="114">
        <v>0</v>
      </c>
      <c r="DV249" s="114">
        <v>-1750</v>
      </c>
      <c r="DW249" s="114">
        <v>-7152</v>
      </c>
      <c r="DX249" s="114">
        <v>-900</v>
      </c>
      <c r="DY249" s="114">
        <v>-25</v>
      </c>
      <c r="DZ249" s="114">
        <v>-3615</v>
      </c>
      <c r="EA249" s="114">
        <v>-7873</v>
      </c>
      <c r="EB249" s="114">
        <v>-1513</v>
      </c>
      <c r="EC249" s="114">
        <v>116</v>
      </c>
      <c r="ED249" s="114">
        <v>-4879</v>
      </c>
      <c r="EE249" s="114">
        <v>-3327</v>
      </c>
      <c r="EF249" s="114">
        <v>-12256</v>
      </c>
      <c r="EG249" s="114">
        <v>-681</v>
      </c>
      <c r="EH249" s="114">
        <v>0</v>
      </c>
      <c r="EI249" s="114">
        <v>-3000</v>
      </c>
      <c r="EJ249" s="114">
        <v>0</v>
      </c>
      <c r="EK249" s="114">
        <v>-1000</v>
      </c>
      <c r="EL249" s="114">
        <v>-2500</v>
      </c>
      <c r="EM249" s="114">
        <v>-18</v>
      </c>
      <c r="EN249" s="114">
        <v>-3000</v>
      </c>
    </row>
    <row r="250" spans="1:144">
      <c r="A250" s="103"/>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c r="BE250" s="103"/>
      <c r="BF250" s="103"/>
      <c r="BG250" s="103"/>
      <c r="BH250" s="103"/>
      <c r="BI250" s="103"/>
      <c r="BJ250" s="103"/>
      <c r="BK250" s="103"/>
      <c r="BL250" s="103"/>
      <c r="BM250" s="103"/>
      <c r="BN250" s="103"/>
      <c r="BO250" s="103"/>
      <c r="BP250" s="103"/>
      <c r="BQ250" s="103"/>
      <c r="BR250" s="103"/>
      <c r="BS250" s="103"/>
      <c r="BT250" s="103"/>
      <c r="BU250" s="103"/>
      <c r="BV250" s="103"/>
      <c r="BW250" s="103"/>
      <c r="BX250" s="103"/>
      <c r="BY250" s="103"/>
      <c r="BZ250" s="103"/>
      <c r="CA250" s="103"/>
      <c r="CB250" s="103"/>
      <c r="CC250" s="103"/>
      <c r="CD250" s="103"/>
      <c r="CE250" s="103"/>
      <c r="CF250" s="103"/>
      <c r="CG250" s="103"/>
      <c r="CH250" s="103"/>
      <c r="CI250" s="103"/>
      <c r="CJ250" s="103"/>
      <c r="CK250" s="103"/>
      <c r="CL250" s="103"/>
      <c r="CM250" s="103"/>
      <c r="CN250" s="103"/>
      <c r="CO250" s="103"/>
      <c r="CP250" s="103"/>
      <c r="CQ250" s="103"/>
      <c r="CR250" s="103"/>
      <c r="CS250" s="103"/>
      <c r="CT250" s="103"/>
      <c r="CU250" s="103"/>
      <c r="CV250" s="103"/>
      <c r="CW250" s="103"/>
      <c r="CX250" s="103"/>
      <c r="CY250" s="103"/>
      <c r="CZ250" s="103"/>
      <c r="DA250" s="103"/>
      <c r="DB250" s="103"/>
      <c r="DC250" s="103"/>
      <c r="DD250" s="103"/>
      <c r="DE250" s="103"/>
      <c r="DF250" s="103"/>
      <c r="DG250" s="103"/>
      <c r="DH250" s="103"/>
      <c r="DI250" s="103"/>
      <c r="DJ250" s="103"/>
      <c r="DK250" s="103"/>
      <c r="DL250" s="103"/>
      <c r="DM250" s="103"/>
      <c r="DN250" s="103"/>
      <c r="DO250" s="103"/>
      <c r="DP250" s="103"/>
      <c r="DQ250" s="103"/>
      <c r="DR250" s="103"/>
      <c r="DS250" s="103"/>
      <c r="DT250" s="103"/>
      <c r="DU250" s="103"/>
      <c r="DV250" s="103"/>
      <c r="DW250" s="103"/>
      <c r="DX250" s="103"/>
      <c r="DY250" s="103"/>
      <c r="DZ250" s="103"/>
      <c r="EA250" s="103"/>
      <c r="EB250" s="103"/>
      <c r="EC250" s="103"/>
      <c r="ED250" s="103"/>
      <c r="EE250" s="103"/>
      <c r="EF250" s="103"/>
      <c r="EG250" s="103"/>
      <c r="EH250" s="103"/>
      <c r="EI250" s="103"/>
      <c r="EJ250" s="103"/>
      <c r="EK250" s="103"/>
      <c r="EL250" s="103"/>
      <c r="EM250" s="103"/>
      <c r="EN250" s="103"/>
    </row>
    <row r="251" spans="1:144">
      <c r="A251" s="103" t="s">
        <v>2415</v>
      </c>
      <c r="B251" s="113">
        <v>95</v>
      </c>
      <c r="C251" s="113">
        <v>135</v>
      </c>
      <c r="D251" s="113">
        <v>229</v>
      </c>
      <c r="E251" s="113">
        <v>280</v>
      </c>
      <c r="F251" s="113">
        <v>332</v>
      </c>
      <c r="G251" s="113">
        <v>504</v>
      </c>
      <c r="H251" s="113">
        <v>744</v>
      </c>
      <c r="I251" s="113">
        <v>959</v>
      </c>
      <c r="J251" s="113">
        <v>1350</v>
      </c>
      <c r="K251" s="113">
        <v>2245</v>
      </c>
      <c r="L251" s="113">
        <v>1620</v>
      </c>
      <c r="M251" s="113">
        <v>1497</v>
      </c>
      <c r="N251" s="113">
        <v>2120</v>
      </c>
      <c r="O251" s="113">
        <v>2748</v>
      </c>
      <c r="P251" s="113">
        <v>3109</v>
      </c>
      <c r="Q251" s="113">
        <v>2101</v>
      </c>
      <c r="R251" s="113">
        <v>6782</v>
      </c>
      <c r="S251" s="113">
        <v>3494</v>
      </c>
      <c r="T251" s="113">
        <v>579</v>
      </c>
      <c r="U251" s="113">
        <v>2311</v>
      </c>
      <c r="V251" s="113">
        <v>2422</v>
      </c>
      <c r="W251" s="113">
        <v>1913</v>
      </c>
      <c r="X251" s="113">
        <v>931</v>
      </c>
      <c r="Y251" s="113">
        <v>607</v>
      </c>
      <c r="Z251" s="113">
        <v>634</v>
      </c>
      <c r="AA251" s="113">
        <v>668</v>
      </c>
      <c r="AB251" s="113">
        <v>772</v>
      </c>
      <c r="AC251" s="113">
        <v>1002</v>
      </c>
      <c r="AD251" s="113">
        <v>1142</v>
      </c>
      <c r="AE251" s="113">
        <v>1311</v>
      </c>
      <c r="AG251" s="103" t="s">
        <v>2415</v>
      </c>
      <c r="AH251" s="113">
        <v>58.5</v>
      </c>
      <c r="AI251" s="113">
        <v>58.5</v>
      </c>
      <c r="AJ251" s="113">
        <v>68</v>
      </c>
      <c r="AK251" s="113">
        <v>44</v>
      </c>
      <c r="AL251" s="113">
        <v>45</v>
      </c>
      <c r="AM251" s="113">
        <v>45</v>
      </c>
      <c r="AN251" s="113">
        <v>103</v>
      </c>
      <c r="AO251" s="113">
        <v>87</v>
      </c>
      <c r="AP251" s="113">
        <v>81</v>
      </c>
      <c r="AQ251" s="113">
        <v>59</v>
      </c>
      <c r="AR251" s="113">
        <v>119</v>
      </c>
      <c r="AS251" s="113">
        <v>88</v>
      </c>
      <c r="AT251" s="113">
        <v>98</v>
      </c>
      <c r="AU251" s="113">
        <v>75</v>
      </c>
      <c r="AV251" s="113">
        <v>211</v>
      </c>
      <c r="AW251" s="113">
        <v>120</v>
      </c>
      <c r="AX251" s="113">
        <v>215</v>
      </c>
      <c r="AY251" s="113">
        <v>176</v>
      </c>
      <c r="AZ251" s="113">
        <v>239</v>
      </c>
      <c r="BA251" s="113">
        <v>191</v>
      </c>
      <c r="BB251" s="113">
        <v>207</v>
      </c>
      <c r="BC251" s="113">
        <v>121</v>
      </c>
      <c r="BD251" s="113">
        <v>322</v>
      </c>
      <c r="BE251" s="113">
        <v>309</v>
      </c>
      <c r="BF251" s="113">
        <v>316</v>
      </c>
      <c r="BG251" s="113">
        <v>298</v>
      </c>
      <c r="BH251" s="113">
        <v>488</v>
      </c>
      <c r="BI251" s="113">
        <v>248</v>
      </c>
      <c r="BJ251" s="113">
        <v>461</v>
      </c>
      <c r="BK251" s="113">
        <v>452</v>
      </c>
      <c r="BL251" s="113">
        <v>837</v>
      </c>
      <c r="BM251" s="113">
        <v>495</v>
      </c>
      <c r="BN251" s="113">
        <v>375</v>
      </c>
      <c r="BO251" s="113">
        <v>323</v>
      </c>
      <c r="BP251" s="113">
        <v>397</v>
      </c>
      <c r="BQ251" s="113">
        <v>525</v>
      </c>
      <c r="BR251" s="113">
        <v>391</v>
      </c>
      <c r="BS251" s="113">
        <v>395</v>
      </c>
      <c r="BT251" s="113">
        <v>425</v>
      </c>
      <c r="BU251" s="113">
        <v>286</v>
      </c>
      <c r="BV251" s="113">
        <v>539</v>
      </c>
      <c r="BW251" s="113">
        <v>365</v>
      </c>
      <c r="BX251" s="113">
        <v>485</v>
      </c>
      <c r="BY251" s="113">
        <v>731</v>
      </c>
      <c r="BZ251" s="113">
        <v>695</v>
      </c>
      <c r="CA251" s="113">
        <v>189</v>
      </c>
      <c r="CB251" s="113">
        <v>568</v>
      </c>
      <c r="CC251" s="113">
        <v>1296</v>
      </c>
      <c r="CD251" s="113">
        <v>487</v>
      </c>
      <c r="CE251" s="113">
        <v>795</v>
      </c>
      <c r="CF251" s="113">
        <v>354</v>
      </c>
      <c r="CG251" s="113">
        <v>1473</v>
      </c>
      <c r="CH251" s="113">
        <v>1001</v>
      </c>
      <c r="CI251" s="113">
        <v>466</v>
      </c>
      <c r="CJ251" s="113">
        <v>442</v>
      </c>
      <c r="CK251" s="113">
        <v>192</v>
      </c>
      <c r="CL251" s="113">
        <v>385</v>
      </c>
      <c r="CM251" s="113">
        <v>4449</v>
      </c>
      <c r="CN251" s="113">
        <v>784</v>
      </c>
      <c r="CO251" s="113">
        <v>1164</v>
      </c>
      <c r="CP251" s="113">
        <v>646</v>
      </c>
      <c r="CQ251" s="113">
        <v>2335</v>
      </c>
      <c r="CR251" s="113">
        <v>268</v>
      </c>
      <c r="CS251" s="113">
        <v>245</v>
      </c>
      <c r="CT251" s="113">
        <v>228</v>
      </c>
      <c r="CU251" s="113">
        <v>96</v>
      </c>
      <c r="CV251" s="113">
        <v>112</v>
      </c>
      <c r="CW251" s="113">
        <v>143</v>
      </c>
      <c r="CX251" s="113">
        <v>248</v>
      </c>
      <c r="CY251" s="113">
        <v>729</v>
      </c>
      <c r="CZ251" s="113">
        <v>422</v>
      </c>
      <c r="DA251" s="113">
        <v>912</v>
      </c>
      <c r="DB251" s="113">
        <v>177</v>
      </c>
      <c r="DC251" s="113">
        <v>660</v>
      </c>
      <c r="DD251" s="113">
        <v>1405</v>
      </c>
      <c r="DE251" s="113">
        <v>180</v>
      </c>
      <c r="DF251" s="113">
        <v>336</v>
      </c>
      <c r="DG251" s="113">
        <v>208</v>
      </c>
      <c r="DH251" s="113">
        <v>1091</v>
      </c>
      <c r="DI251" s="113">
        <v>278</v>
      </c>
      <c r="DJ251" s="113">
        <v>417</v>
      </c>
      <c r="DK251" s="113">
        <v>145</v>
      </c>
      <c r="DL251" s="113">
        <v>203</v>
      </c>
      <c r="DM251" s="113">
        <v>166</v>
      </c>
      <c r="DN251" s="113">
        <v>203</v>
      </c>
      <c r="DO251" s="113">
        <v>117</v>
      </c>
      <c r="DP251" s="113">
        <v>141</v>
      </c>
      <c r="DQ251" s="113">
        <v>146</v>
      </c>
      <c r="DR251" s="113">
        <v>216</v>
      </c>
      <c r="DS251" s="113">
        <v>121</v>
      </c>
      <c r="DT251" s="113">
        <v>146</v>
      </c>
      <c r="DU251" s="113">
        <v>151</v>
      </c>
      <c r="DV251" s="113">
        <v>219</v>
      </c>
      <c r="DW251" s="113">
        <v>117</v>
      </c>
      <c r="DX251" s="113">
        <v>159</v>
      </c>
      <c r="DY251" s="113">
        <v>173</v>
      </c>
      <c r="DZ251" s="113">
        <v>241</v>
      </c>
      <c r="EA251" s="113">
        <v>131</v>
      </c>
      <c r="EB251" s="113">
        <v>179</v>
      </c>
      <c r="EC251" s="113">
        <v>221</v>
      </c>
      <c r="ED251" s="113">
        <v>307</v>
      </c>
      <c r="EE251" s="113">
        <v>189</v>
      </c>
      <c r="EF251" s="113">
        <v>251</v>
      </c>
      <c r="EG251" s="113">
        <v>255</v>
      </c>
      <c r="EH251" s="113">
        <v>360</v>
      </c>
      <c r="EI251" s="113">
        <v>200</v>
      </c>
      <c r="EJ251" s="113">
        <v>274</v>
      </c>
      <c r="EK251" s="113">
        <v>308</v>
      </c>
      <c r="EL251" s="113">
        <v>427</v>
      </c>
      <c r="EM251" s="113">
        <v>234</v>
      </c>
      <c r="EN251" s="113">
        <v>342</v>
      </c>
    </row>
    <row r="252" spans="1:144">
      <c r="A252" s="103" t="s">
        <v>2416</v>
      </c>
      <c r="B252" s="113">
        <v>-197</v>
      </c>
      <c r="C252" s="113">
        <v>-135</v>
      </c>
      <c r="D252" s="113">
        <v>-250</v>
      </c>
      <c r="E252" s="113">
        <v>-348</v>
      </c>
      <c r="F252" s="113">
        <v>-698</v>
      </c>
      <c r="G252" s="113">
        <v>-1385</v>
      </c>
      <c r="H252" s="113">
        <v>-3101</v>
      </c>
      <c r="I252" s="113">
        <v>-2468</v>
      </c>
      <c r="J252" s="113">
        <v>-2950</v>
      </c>
      <c r="K252" s="113">
        <v>-4896</v>
      </c>
      <c r="L252" s="113">
        <v>-6074</v>
      </c>
      <c r="M252" s="113">
        <v>-6069</v>
      </c>
      <c r="N252" s="113">
        <v>-6486</v>
      </c>
      <c r="O252" s="113">
        <v>-3383</v>
      </c>
      <c r="P252" s="113">
        <v>-8057</v>
      </c>
      <c r="Q252" s="113">
        <v>-19207</v>
      </c>
      <c r="R252" s="113">
        <v>-27575</v>
      </c>
      <c r="S252" s="113">
        <v>-12533</v>
      </c>
      <c r="T252" s="113">
        <v>-9353</v>
      </c>
      <c r="U252" s="113">
        <v>-11269</v>
      </c>
      <c r="V252" s="113">
        <v>-11555</v>
      </c>
      <c r="W252" s="113">
        <v>-5029</v>
      </c>
      <c r="X252" s="113">
        <v>-5360</v>
      </c>
      <c r="Y252" s="113">
        <v>-7316</v>
      </c>
      <c r="Z252" s="113">
        <v>-14443</v>
      </c>
      <c r="AA252" s="113">
        <v>-15969</v>
      </c>
      <c r="AB252" s="113">
        <v>-11788</v>
      </c>
      <c r="AC252" s="113">
        <v>-10721</v>
      </c>
      <c r="AD252" s="113">
        <v>-19543</v>
      </c>
      <c r="AE252" s="113">
        <v>-21810</v>
      </c>
      <c r="AG252" s="103" t="s">
        <v>2416</v>
      </c>
      <c r="AH252" s="113">
        <v>-40</v>
      </c>
      <c r="AI252" s="113">
        <v>-40</v>
      </c>
      <c r="AJ252" s="113">
        <v>-65</v>
      </c>
      <c r="AK252" s="113">
        <v>-105</v>
      </c>
      <c r="AL252" s="113">
        <v>-72</v>
      </c>
      <c r="AM252" s="113">
        <v>-92</v>
      </c>
      <c r="AN252" s="113">
        <v>-147</v>
      </c>
      <c r="AO252" s="113">
        <v>-37</v>
      </c>
      <c r="AP252" s="113">
        <v>-242</v>
      </c>
      <c r="AQ252" s="113">
        <v>-318</v>
      </c>
      <c r="AR252" s="113">
        <v>-104</v>
      </c>
      <c r="AS252" s="113">
        <v>0</v>
      </c>
      <c r="AT252" s="113">
        <v>-129</v>
      </c>
      <c r="AU252" s="113">
        <v>-343</v>
      </c>
      <c r="AV252" s="113">
        <v>-328</v>
      </c>
      <c r="AW252" s="113">
        <v>-585</v>
      </c>
      <c r="AX252" s="113">
        <v>-729</v>
      </c>
      <c r="AY252" s="113">
        <v>-372</v>
      </c>
      <c r="AZ252" s="113">
        <v>-2000</v>
      </c>
      <c r="BA252" s="113">
        <v>0</v>
      </c>
      <c r="BB252" s="113">
        <v>-913</v>
      </c>
      <c r="BC252" s="113">
        <v>-683</v>
      </c>
      <c r="BD252" s="113">
        <v>-9</v>
      </c>
      <c r="BE252" s="113">
        <v>-863</v>
      </c>
      <c r="BF252" s="113">
        <v>-504</v>
      </c>
      <c r="BG252" s="113">
        <v>-268</v>
      </c>
      <c r="BH252" s="113">
        <v>-755</v>
      </c>
      <c r="BI252" s="113">
        <v>-1423</v>
      </c>
      <c r="BJ252" s="113">
        <v>-1034</v>
      </c>
      <c r="BK252" s="113">
        <v>-3818</v>
      </c>
      <c r="BL252" s="113">
        <v>-20</v>
      </c>
      <c r="BM252" s="113">
        <v>-24</v>
      </c>
      <c r="BN252" s="113">
        <v>-1752</v>
      </c>
      <c r="BO252" s="113">
        <v>-1473</v>
      </c>
      <c r="BP252" s="113">
        <v>-1156</v>
      </c>
      <c r="BQ252" s="113">
        <v>-1693</v>
      </c>
      <c r="BR252" s="113">
        <v>-1125</v>
      </c>
      <c r="BS252" s="113">
        <v>-141</v>
      </c>
      <c r="BT252" s="113">
        <v>-676</v>
      </c>
      <c r="BU252" s="113">
        <v>-4127</v>
      </c>
      <c r="BV252" s="113">
        <v>-3497</v>
      </c>
      <c r="BW252" s="113">
        <v>-936</v>
      </c>
      <c r="BX252" s="113">
        <v>-839</v>
      </c>
      <c r="BY252" s="113">
        <v>-1214</v>
      </c>
      <c r="BZ252" s="113">
        <v>-1045</v>
      </c>
      <c r="CA252" s="113">
        <v>-730</v>
      </c>
      <c r="CB252" s="113">
        <v>-1608</v>
      </c>
      <c r="CC252" s="113">
        <v>0</v>
      </c>
      <c r="CD252" s="113">
        <v>-355</v>
      </c>
      <c r="CE252" s="113">
        <v>-969</v>
      </c>
      <c r="CF252" s="113">
        <v>-2427</v>
      </c>
      <c r="CG252" s="113">
        <v>-4306</v>
      </c>
      <c r="CH252" s="113">
        <v>-3116</v>
      </c>
      <c r="CI252" s="113">
        <v>-7435</v>
      </c>
      <c r="CJ252" s="113">
        <v>-4675</v>
      </c>
      <c r="CK252" s="113">
        <v>-3981</v>
      </c>
      <c r="CL252" s="113">
        <v>-7683</v>
      </c>
      <c r="CM252" s="113">
        <v>-5797</v>
      </c>
      <c r="CN252" s="113">
        <v>-6878</v>
      </c>
      <c r="CO252" s="113">
        <v>-7217</v>
      </c>
      <c r="CP252" s="113">
        <v>-2930</v>
      </c>
      <c r="CQ252" s="113">
        <v>-4057</v>
      </c>
      <c r="CR252" s="113">
        <v>-1240</v>
      </c>
      <c r="CS252" s="113">
        <v>-4306</v>
      </c>
      <c r="CT252" s="113">
        <v>-6493</v>
      </c>
      <c r="CU252" s="113">
        <v>-2820</v>
      </c>
      <c r="CV252" s="113">
        <v>-18</v>
      </c>
      <c r="CW252" s="113">
        <v>-22</v>
      </c>
      <c r="CX252" s="113">
        <v>-1540</v>
      </c>
      <c r="CY252" s="113">
        <v>-3867</v>
      </c>
      <c r="CZ252" s="113">
        <v>-2023</v>
      </c>
      <c r="DA252" s="113">
        <v>-3839</v>
      </c>
      <c r="DB252" s="113">
        <v>-4399</v>
      </c>
      <c r="DC252" s="113">
        <v>-5052</v>
      </c>
      <c r="DD252" s="113">
        <v>-848</v>
      </c>
      <c r="DE252" s="113">
        <v>-1256</v>
      </c>
      <c r="DF252" s="113">
        <v>-1934</v>
      </c>
      <c r="DG252" s="113">
        <v>-1042</v>
      </c>
      <c r="DH252" s="113">
        <v>-1023</v>
      </c>
      <c r="DI252" s="113">
        <v>-1030</v>
      </c>
      <c r="DJ252" s="113">
        <v>-1632</v>
      </c>
      <c r="DK252" s="113">
        <v>-1658</v>
      </c>
      <c r="DL252" s="113">
        <v>-1028</v>
      </c>
      <c r="DM252" s="113">
        <v>-1042</v>
      </c>
      <c r="DN252" s="113">
        <v>-2188</v>
      </c>
      <c r="DO252" s="113">
        <v>-2113</v>
      </c>
      <c r="DP252" s="113">
        <v>-1845</v>
      </c>
      <c r="DQ252" s="113">
        <v>-1170</v>
      </c>
      <c r="DR252" s="113">
        <v>-2888</v>
      </c>
      <c r="DS252" s="113">
        <v>-2145</v>
      </c>
      <c r="DT252" s="113">
        <v>-5131</v>
      </c>
      <c r="DU252" s="113">
        <v>-4279</v>
      </c>
      <c r="DV252" s="113">
        <v>-4757</v>
      </c>
      <c r="DW252" s="113">
        <v>-3678</v>
      </c>
      <c r="DX252" s="113">
        <v>-3857</v>
      </c>
      <c r="DY252" s="113">
        <v>-3677</v>
      </c>
      <c r="DZ252" s="113">
        <v>-4362</v>
      </c>
      <c r="EA252" s="113">
        <v>-3599</v>
      </c>
      <c r="EB252" s="113">
        <v>-2062</v>
      </c>
      <c r="EC252" s="113">
        <v>-1765</v>
      </c>
      <c r="ED252" s="113">
        <v>-2570</v>
      </c>
      <c r="EE252" s="113">
        <v>-2008</v>
      </c>
      <c r="EF252" s="113">
        <v>-3781</v>
      </c>
      <c r="EG252" s="113">
        <v>-2362</v>
      </c>
      <c r="EH252" s="113">
        <v>-3744</v>
      </c>
      <c r="EI252" s="113">
        <v>-6413</v>
      </c>
      <c r="EJ252" s="113">
        <v>-4753</v>
      </c>
      <c r="EK252" s="113">
        <v>-4633</v>
      </c>
      <c r="EL252" s="113">
        <v>-4912</v>
      </c>
      <c r="EM252" s="113">
        <v>-5206</v>
      </c>
      <c r="EN252" s="113">
        <v>-7059</v>
      </c>
    </row>
    <row r="253" spans="1:144">
      <c r="A253" s="103" t="s">
        <v>2417</v>
      </c>
      <c r="B253" s="113">
        <v>0</v>
      </c>
      <c r="C253" s="113">
        <v>0</v>
      </c>
      <c r="D253" s="113">
        <v>0</v>
      </c>
      <c r="E253" s="113">
        <v>0</v>
      </c>
      <c r="F253" s="113">
        <v>0</v>
      </c>
      <c r="G253" s="113">
        <v>0</v>
      </c>
      <c r="H253" s="113">
        <v>980</v>
      </c>
      <c r="I253" s="113">
        <v>0</v>
      </c>
      <c r="J253" s="113">
        <v>0</v>
      </c>
      <c r="K253" s="113">
        <v>0</v>
      </c>
      <c r="L253" s="113">
        <v>0</v>
      </c>
      <c r="M253" s="113">
        <v>0</v>
      </c>
      <c r="N253" s="113">
        <v>0</v>
      </c>
      <c r="O253" s="113">
        <v>0</v>
      </c>
      <c r="P253" s="113">
        <v>0</v>
      </c>
      <c r="Q253" s="113">
        <v>0</v>
      </c>
      <c r="R253" s="113">
        <v>0</v>
      </c>
      <c r="S253" s="113">
        <v>0</v>
      </c>
      <c r="T253" s="113">
        <v>0</v>
      </c>
      <c r="U253" s="113">
        <v>0</v>
      </c>
      <c r="V253" s="113">
        <v>0</v>
      </c>
      <c r="W253" s="113">
        <v>0</v>
      </c>
      <c r="X253" s="113">
        <v>0</v>
      </c>
      <c r="Y253" s="113">
        <v>0</v>
      </c>
      <c r="Z253" s="113">
        <v>0</v>
      </c>
      <c r="AA253" s="113">
        <v>0</v>
      </c>
      <c r="AB253" s="113">
        <v>0</v>
      </c>
      <c r="AC253" s="113">
        <v>0</v>
      </c>
      <c r="AD253" s="113">
        <v>0</v>
      </c>
      <c r="AE253" s="113">
        <v>0</v>
      </c>
      <c r="AG253" s="103" t="s">
        <v>2417</v>
      </c>
      <c r="AH253" s="113">
        <v>0</v>
      </c>
      <c r="AI253" s="113">
        <v>0</v>
      </c>
      <c r="AJ253" s="113">
        <v>0</v>
      </c>
      <c r="AK253" s="113">
        <v>0</v>
      </c>
      <c r="AL253" s="113">
        <v>0</v>
      </c>
      <c r="AM253" s="113">
        <v>0</v>
      </c>
      <c r="AN253" s="113">
        <v>0</v>
      </c>
      <c r="AO253" s="113">
        <v>0</v>
      </c>
      <c r="AP253" s="113">
        <v>0</v>
      </c>
      <c r="AQ253" s="113">
        <v>0</v>
      </c>
      <c r="AR253" s="113">
        <v>0</v>
      </c>
      <c r="AS253" s="113">
        <v>0</v>
      </c>
      <c r="AT253" s="113">
        <v>0</v>
      </c>
      <c r="AU253" s="113">
        <v>0</v>
      </c>
      <c r="AV253" s="113">
        <v>0</v>
      </c>
      <c r="AW253" s="113">
        <v>0</v>
      </c>
      <c r="AX253" s="113">
        <v>0</v>
      </c>
      <c r="AY253" s="113">
        <v>980</v>
      </c>
      <c r="AZ253" s="113">
        <v>0</v>
      </c>
      <c r="BA253" s="113">
        <v>0</v>
      </c>
      <c r="BB253" s="113">
        <v>0</v>
      </c>
      <c r="BC253" s="113">
        <v>0</v>
      </c>
      <c r="BD253" s="113">
        <v>0</v>
      </c>
      <c r="BE253" s="113">
        <v>0</v>
      </c>
      <c r="BF253" s="113">
        <v>0</v>
      </c>
      <c r="BG253" s="113">
        <v>0</v>
      </c>
      <c r="BH253" s="113">
        <v>0</v>
      </c>
      <c r="BI253" s="113">
        <v>0</v>
      </c>
      <c r="BJ253" s="113">
        <v>0</v>
      </c>
      <c r="BK253" s="113">
        <v>0</v>
      </c>
      <c r="BL253" s="113">
        <v>0</v>
      </c>
      <c r="BM253" s="113">
        <v>0</v>
      </c>
      <c r="BN253" s="113">
        <v>0</v>
      </c>
      <c r="BO253" s="113">
        <v>0</v>
      </c>
      <c r="BP253" s="113">
        <v>0</v>
      </c>
      <c r="BQ253" s="113">
        <v>0</v>
      </c>
      <c r="BR253" s="113">
        <v>0</v>
      </c>
      <c r="BS253" s="113">
        <v>0</v>
      </c>
      <c r="BT253" s="113">
        <v>0</v>
      </c>
      <c r="BU253" s="113">
        <v>0</v>
      </c>
      <c r="BV253" s="113">
        <v>0</v>
      </c>
      <c r="BW253" s="113">
        <v>0</v>
      </c>
      <c r="BX253" s="113">
        <v>0</v>
      </c>
      <c r="BY253" s="113">
        <v>0</v>
      </c>
      <c r="BZ253" s="113">
        <v>0</v>
      </c>
      <c r="CA253" s="113">
        <v>0</v>
      </c>
      <c r="CB253" s="113">
        <v>0</v>
      </c>
      <c r="CC253" s="113">
        <v>0</v>
      </c>
      <c r="CD253" s="113">
        <v>0</v>
      </c>
      <c r="CE253" s="113">
        <v>0</v>
      </c>
      <c r="CF253" s="113">
        <v>0</v>
      </c>
      <c r="CG253" s="113">
        <v>0</v>
      </c>
      <c r="CH253" s="113">
        <v>0</v>
      </c>
      <c r="CI253" s="113">
        <v>0</v>
      </c>
      <c r="CJ253" s="113">
        <v>0</v>
      </c>
      <c r="CK253" s="113">
        <v>0</v>
      </c>
      <c r="CL253" s="113">
        <v>0</v>
      </c>
      <c r="CM253" s="113">
        <v>0</v>
      </c>
      <c r="CN253" s="113">
        <v>0</v>
      </c>
      <c r="CO253" s="113">
        <v>0</v>
      </c>
      <c r="CP253" s="113">
        <v>0</v>
      </c>
      <c r="CQ253" s="113">
        <v>0</v>
      </c>
      <c r="CR253" s="113">
        <v>0</v>
      </c>
      <c r="CS253" s="113">
        <v>0</v>
      </c>
      <c r="CT253" s="113">
        <v>0</v>
      </c>
      <c r="CU253" s="113">
        <v>0</v>
      </c>
      <c r="CV253" s="113">
        <v>0</v>
      </c>
      <c r="CW253" s="113">
        <v>0</v>
      </c>
      <c r="CX253" s="113">
        <v>0</v>
      </c>
      <c r="CY253" s="113">
        <v>0</v>
      </c>
      <c r="CZ253" s="113">
        <v>0</v>
      </c>
      <c r="DA253" s="113">
        <v>0</v>
      </c>
      <c r="DB253" s="113">
        <v>0</v>
      </c>
      <c r="DC253" s="113">
        <v>0</v>
      </c>
      <c r="DD253" s="113">
        <v>0</v>
      </c>
      <c r="DE253" s="113">
        <v>0</v>
      </c>
      <c r="DF253" s="113">
        <v>0</v>
      </c>
      <c r="DG253" s="113">
        <v>0</v>
      </c>
      <c r="DH253" s="113">
        <v>0</v>
      </c>
      <c r="DI253" s="113">
        <v>0</v>
      </c>
      <c r="DJ253" s="113">
        <v>0</v>
      </c>
      <c r="DK253" s="113">
        <v>0</v>
      </c>
      <c r="DL253" s="113">
        <v>0</v>
      </c>
      <c r="DM253" s="113">
        <v>0</v>
      </c>
      <c r="DN253" s="113">
        <v>0</v>
      </c>
      <c r="DO253" s="113">
        <v>0</v>
      </c>
      <c r="DP253" s="113">
        <v>0</v>
      </c>
      <c r="DQ253" s="113">
        <v>0</v>
      </c>
      <c r="DR253" s="113">
        <v>0</v>
      </c>
      <c r="DS253" s="113">
        <v>0</v>
      </c>
      <c r="DT253" s="113">
        <v>0</v>
      </c>
      <c r="DU253" s="113">
        <v>0</v>
      </c>
      <c r="DV253" s="113">
        <v>0</v>
      </c>
      <c r="DW253" s="113">
        <v>0</v>
      </c>
      <c r="DX253" s="113">
        <v>0</v>
      </c>
      <c r="DY253" s="113">
        <v>0</v>
      </c>
      <c r="DZ253" s="113">
        <v>0</v>
      </c>
      <c r="EA253" s="113">
        <v>0</v>
      </c>
      <c r="EB253" s="113">
        <v>0</v>
      </c>
      <c r="EC253" s="113">
        <v>0</v>
      </c>
      <c r="ED253" s="113">
        <v>0</v>
      </c>
      <c r="EE253" s="113">
        <v>0</v>
      </c>
      <c r="EF253" s="113">
        <v>0</v>
      </c>
      <c r="EG253" s="113">
        <v>0</v>
      </c>
      <c r="EH253" s="113">
        <v>0</v>
      </c>
      <c r="EI253" s="113">
        <v>0</v>
      </c>
      <c r="EJ253" s="113">
        <v>0</v>
      </c>
      <c r="EK253" s="113">
        <v>0</v>
      </c>
      <c r="EL253" s="113">
        <v>0</v>
      </c>
      <c r="EM253" s="113">
        <v>0</v>
      </c>
      <c r="EN253" s="113">
        <v>0</v>
      </c>
    </row>
    <row r="254" spans="1:144">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c r="BE254" s="103"/>
      <c r="BF254" s="103"/>
      <c r="BG254" s="103"/>
      <c r="BH254" s="103"/>
      <c r="BI254" s="103"/>
      <c r="BJ254" s="103"/>
      <c r="BK254" s="103"/>
      <c r="BL254" s="103"/>
      <c r="BM254" s="103"/>
      <c r="BN254" s="103"/>
      <c r="BO254" s="103"/>
      <c r="BP254" s="103"/>
      <c r="BQ254" s="103"/>
      <c r="BR254" s="103"/>
      <c r="BS254" s="103"/>
      <c r="BT254" s="103"/>
      <c r="BU254" s="103"/>
      <c r="BV254" s="103"/>
      <c r="BW254" s="103"/>
      <c r="BX254" s="103"/>
      <c r="BY254" s="103"/>
      <c r="BZ254" s="103"/>
      <c r="CA254" s="103"/>
      <c r="CB254" s="103"/>
      <c r="CC254" s="103"/>
      <c r="CD254" s="103"/>
      <c r="CE254" s="103"/>
      <c r="CF254" s="103"/>
      <c r="CG254" s="103"/>
      <c r="CH254" s="103"/>
      <c r="CI254" s="103"/>
      <c r="CJ254" s="103"/>
      <c r="CK254" s="103"/>
      <c r="CL254" s="103"/>
      <c r="CM254" s="103"/>
      <c r="CN254" s="103"/>
      <c r="CO254" s="103"/>
      <c r="CP254" s="103"/>
      <c r="CQ254" s="103"/>
      <c r="CR254" s="103"/>
      <c r="CS254" s="103"/>
      <c r="CT254" s="103"/>
      <c r="CU254" s="103"/>
      <c r="CV254" s="103"/>
      <c r="CW254" s="103"/>
      <c r="CX254" s="103"/>
      <c r="CY254" s="103"/>
      <c r="CZ254" s="103"/>
      <c r="DA254" s="103"/>
      <c r="DB254" s="103"/>
      <c r="DC254" s="103"/>
      <c r="DD254" s="103"/>
      <c r="DE254" s="103"/>
      <c r="DF254" s="103"/>
      <c r="DG254" s="103"/>
      <c r="DH254" s="103"/>
      <c r="DI254" s="103"/>
      <c r="DJ254" s="103"/>
      <c r="DK254" s="103"/>
      <c r="DL254" s="103"/>
      <c r="DM254" s="103"/>
      <c r="DN254" s="103"/>
      <c r="DO254" s="103"/>
      <c r="DP254" s="103"/>
      <c r="DQ254" s="103"/>
      <c r="DR254" s="103"/>
      <c r="DS254" s="103"/>
      <c r="DT254" s="103"/>
      <c r="DU254" s="103"/>
      <c r="DV254" s="103"/>
      <c r="DW254" s="103"/>
      <c r="DX254" s="103"/>
      <c r="DY254" s="103"/>
      <c r="DZ254" s="103"/>
      <c r="EA254" s="103"/>
      <c r="EB254" s="103"/>
      <c r="EC254" s="103"/>
      <c r="ED254" s="103"/>
      <c r="EE254" s="103"/>
      <c r="EF254" s="103"/>
      <c r="EG254" s="103"/>
      <c r="EH254" s="103"/>
      <c r="EI254" s="103"/>
      <c r="EJ254" s="103"/>
      <c r="EK254" s="103"/>
      <c r="EL254" s="103"/>
      <c r="EM254" s="103"/>
      <c r="EN254" s="103"/>
    </row>
    <row r="255" spans="1:144">
      <c r="A255" s="103" t="s">
        <v>2418</v>
      </c>
      <c r="B255" s="113">
        <v>0</v>
      </c>
      <c r="C255" s="113">
        <v>0</v>
      </c>
      <c r="D255" s="113">
        <v>0</v>
      </c>
      <c r="E255" s="113">
        <v>0</v>
      </c>
      <c r="F255" s="113">
        <v>0</v>
      </c>
      <c r="G255" s="113">
        <v>0</v>
      </c>
      <c r="H255" s="113">
        <v>0</v>
      </c>
      <c r="I255" s="113">
        <v>0</v>
      </c>
      <c r="J255" s="113">
        <v>0</v>
      </c>
      <c r="K255" s="113">
        <v>0</v>
      </c>
      <c r="L255" s="113">
        <v>0</v>
      </c>
      <c r="M255" s="113">
        <v>0</v>
      </c>
      <c r="N255" s="113">
        <v>-857</v>
      </c>
      <c r="O255" s="113">
        <v>-1729</v>
      </c>
      <c r="P255" s="113">
        <v>-3472</v>
      </c>
      <c r="Q255" s="113">
        <v>-3545</v>
      </c>
      <c r="R255" s="113">
        <v>-3805</v>
      </c>
      <c r="S255" s="113">
        <v>-4015</v>
      </c>
      <c r="T255" s="113">
        <v>-4468</v>
      </c>
      <c r="U255" s="113">
        <v>-4578</v>
      </c>
      <c r="V255" s="113">
        <v>-5180</v>
      </c>
      <c r="W255" s="113">
        <v>-6385</v>
      </c>
      <c r="X255" s="113">
        <v>-7455</v>
      </c>
      <c r="Y255" s="113">
        <v>-8879</v>
      </c>
      <c r="Z255" s="113">
        <v>-9882</v>
      </c>
      <c r="AA255" s="113">
        <v>-11006</v>
      </c>
      <c r="AB255" s="113">
        <v>-11845</v>
      </c>
      <c r="AC255" s="113">
        <v>-12699</v>
      </c>
      <c r="AD255" s="113">
        <v>-13811</v>
      </c>
      <c r="AE255" s="113">
        <v>-14793</v>
      </c>
      <c r="AG255" s="103" t="s">
        <v>2418</v>
      </c>
      <c r="AH255" s="113">
        <v>0</v>
      </c>
      <c r="AI255" s="113">
        <v>0</v>
      </c>
      <c r="AJ255" s="113">
        <v>0</v>
      </c>
      <c r="AK255" s="113">
        <v>0</v>
      </c>
      <c r="AL255" s="113">
        <v>0</v>
      </c>
      <c r="AM255" s="113">
        <v>0</v>
      </c>
      <c r="AN255" s="113">
        <v>0</v>
      </c>
      <c r="AO255" s="113">
        <v>0</v>
      </c>
      <c r="AP255" s="113">
        <v>0</v>
      </c>
      <c r="AQ255" s="113">
        <v>0</v>
      </c>
      <c r="AR255" s="113">
        <v>0</v>
      </c>
      <c r="AS255" s="113">
        <v>0</v>
      </c>
      <c r="AT255" s="113">
        <v>0</v>
      </c>
      <c r="AU255" s="113">
        <v>0</v>
      </c>
      <c r="AV255" s="113">
        <v>0</v>
      </c>
      <c r="AW255" s="113">
        <v>0</v>
      </c>
      <c r="AX255" s="113">
        <v>0</v>
      </c>
      <c r="AY255" s="113">
        <v>0</v>
      </c>
      <c r="AZ255" s="113">
        <v>0</v>
      </c>
      <c r="BA255" s="113">
        <v>0</v>
      </c>
      <c r="BB255" s="113">
        <v>0</v>
      </c>
      <c r="BC255" s="113">
        <v>0</v>
      </c>
      <c r="BD255" s="113">
        <v>0</v>
      </c>
      <c r="BE255" s="113">
        <v>0</v>
      </c>
      <c r="BF255" s="113">
        <v>0</v>
      </c>
      <c r="BG255" s="113">
        <v>0</v>
      </c>
      <c r="BH255" s="113">
        <v>0</v>
      </c>
      <c r="BI255" s="113">
        <v>0</v>
      </c>
      <c r="BJ255" s="113">
        <v>0</v>
      </c>
      <c r="BK255" s="113">
        <v>0</v>
      </c>
      <c r="BL255" s="113">
        <v>0</v>
      </c>
      <c r="BM255" s="113">
        <v>0</v>
      </c>
      <c r="BN255" s="113">
        <v>0</v>
      </c>
      <c r="BO255" s="113">
        <v>0</v>
      </c>
      <c r="BP255" s="113">
        <v>0</v>
      </c>
      <c r="BQ255" s="113">
        <v>0</v>
      </c>
      <c r="BR255" s="113">
        <v>0</v>
      </c>
      <c r="BS255" s="113">
        <v>0</v>
      </c>
      <c r="BT255" s="113">
        <v>0</v>
      </c>
      <c r="BU255" s="113">
        <v>0</v>
      </c>
      <c r="BV255" s="113">
        <v>0</v>
      </c>
      <c r="BW255" s="113">
        <v>0</v>
      </c>
      <c r="BX255" s="113">
        <v>-857</v>
      </c>
      <c r="BY255" s="113">
        <v>0</v>
      </c>
      <c r="BZ255" s="113">
        <v>0</v>
      </c>
      <c r="CA255" s="113">
        <v>-1729</v>
      </c>
      <c r="CB255" s="113">
        <v>0</v>
      </c>
      <c r="CC255" s="113">
        <v>0</v>
      </c>
      <c r="CD255" s="113">
        <v>-870</v>
      </c>
      <c r="CE255" s="113">
        <v>-858</v>
      </c>
      <c r="CF255" s="113">
        <v>-885</v>
      </c>
      <c r="CG255" s="113">
        <v>-859</v>
      </c>
      <c r="CH255" s="113">
        <v>-857</v>
      </c>
      <c r="CI255" s="113">
        <v>-846</v>
      </c>
      <c r="CJ255" s="113">
        <v>-925</v>
      </c>
      <c r="CK255" s="113">
        <v>-917</v>
      </c>
      <c r="CL255" s="113">
        <v>-897</v>
      </c>
      <c r="CM255" s="113">
        <v>-980</v>
      </c>
      <c r="CN255" s="113">
        <v>-976</v>
      </c>
      <c r="CO255" s="113">
        <v>-952</v>
      </c>
      <c r="CP255" s="113">
        <v>-938</v>
      </c>
      <c r="CQ255" s="113">
        <v>-1034</v>
      </c>
      <c r="CR255" s="113">
        <v>-1023</v>
      </c>
      <c r="CS255" s="113">
        <v>-1020</v>
      </c>
      <c r="CT255" s="113">
        <v>-998</v>
      </c>
      <c r="CU255" s="113">
        <v>-1157</v>
      </c>
      <c r="CV255" s="113">
        <v>-1155</v>
      </c>
      <c r="CW255" s="113">
        <v>-1158</v>
      </c>
      <c r="CX255" s="113">
        <v>-1157</v>
      </c>
      <c r="CY255" s="113">
        <v>-1152</v>
      </c>
      <c r="CZ255" s="113">
        <v>-1139</v>
      </c>
      <c r="DA255" s="113">
        <v>-1130</v>
      </c>
      <c r="DB255" s="113">
        <v>-1118</v>
      </c>
      <c r="DC255" s="113">
        <v>-1363</v>
      </c>
      <c r="DD255" s="113">
        <v>-1349</v>
      </c>
      <c r="DE255" s="113">
        <v>-1350</v>
      </c>
      <c r="DF255" s="113">
        <v>-1341</v>
      </c>
      <c r="DG255" s="113">
        <v>-1683</v>
      </c>
      <c r="DH255" s="113">
        <v>-1683</v>
      </c>
      <c r="DI255" s="113">
        <v>-1678</v>
      </c>
      <c r="DJ255" s="113">
        <v>-1676</v>
      </c>
      <c r="DK255" s="113">
        <v>-1933</v>
      </c>
      <c r="DL255" s="113">
        <v>-1925</v>
      </c>
      <c r="DM255" s="113">
        <v>-1921</v>
      </c>
      <c r="DN255" s="113">
        <v>-1916</v>
      </c>
      <c r="DO255" s="113">
        <v>-2332</v>
      </c>
      <c r="DP255" s="113">
        <v>-2322</v>
      </c>
      <c r="DQ255" s="113">
        <v>-2309</v>
      </c>
      <c r="DR255" s="113">
        <v>-2307</v>
      </c>
      <c r="DS255" s="113">
        <v>-2547</v>
      </c>
      <c r="DT255" s="113">
        <v>-2532</v>
      </c>
      <c r="DU255" s="113">
        <v>-2496</v>
      </c>
      <c r="DV255" s="113">
        <v>-2475</v>
      </c>
      <c r="DW255" s="113">
        <v>-2868</v>
      </c>
      <c r="DX255" s="113">
        <v>-2842</v>
      </c>
      <c r="DY255" s="113">
        <v>-2821</v>
      </c>
      <c r="DZ255" s="113">
        <v>-2800</v>
      </c>
      <c r="EA255" s="113">
        <v>-3024</v>
      </c>
      <c r="EB255" s="113">
        <v>-3012</v>
      </c>
      <c r="EC255" s="113">
        <v>-3009</v>
      </c>
      <c r="ED255" s="113">
        <v>-3003</v>
      </c>
      <c r="EE255" s="113">
        <v>-3238</v>
      </c>
      <c r="EF255" s="113">
        <v>-3232</v>
      </c>
      <c r="EG255" s="113">
        <v>-3226</v>
      </c>
      <c r="EH255" s="113">
        <v>-3220</v>
      </c>
      <c r="EI255" s="113">
        <v>-3544</v>
      </c>
      <c r="EJ255" s="113">
        <v>-3526</v>
      </c>
      <c r="EK255" s="113">
        <v>-3521</v>
      </c>
      <c r="EL255" s="113">
        <v>-3510</v>
      </c>
      <c r="EM255" s="113">
        <v>-3886</v>
      </c>
      <c r="EN255" s="113">
        <v>-3876</v>
      </c>
    </row>
    <row r="256" spans="1:144">
      <c r="A256" s="103" t="s">
        <v>2419</v>
      </c>
      <c r="B256" s="113">
        <v>0</v>
      </c>
      <c r="C256" s="113">
        <v>0</v>
      </c>
      <c r="D256" s="113">
        <v>0</v>
      </c>
      <c r="E256" s="113">
        <v>0</v>
      </c>
      <c r="F256" s="113">
        <v>0</v>
      </c>
      <c r="G256" s="113">
        <v>0</v>
      </c>
      <c r="H256" s="113">
        <v>-15</v>
      </c>
      <c r="I256" s="113">
        <v>-28</v>
      </c>
      <c r="J256" s="113">
        <v>-28</v>
      </c>
      <c r="K256" s="113">
        <v>-13</v>
      </c>
      <c r="L256" s="113">
        <v>0</v>
      </c>
      <c r="M256" s="113">
        <v>0</v>
      </c>
      <c r="N256" s="113">
        <v>0</v>
      </c>
      <c r="O256" s="113">
        <v>0</v>
      </c>
      <c r="P256" s="113">
        <v>0</v>
      </c>
      <c r="Q256" s="113">
        <v>0</v>
      </c>
      <c r="R256" s="113">
        <v>0</v>
      </c>
      <c r="S256" s="113">
        <v>0</v>
      </c>
      <c r="T256" s="113">
        <v>0</v>
      </c>
      <c r="U256" s="113">
        <v>0</v>
      </c>
      <c r="V256" s="113">
        <v>0</v>
      </c>
      <c r="W256" s="113">
        <v>0</v>
      </c>
      <c r="X256" s="113">
        <v>0</v>
      </c>
      <c r="Y256" s="113">
        <v>0</v>
      </c>
      <c r="Z256" s="113">
        <v>0</v>
      </c>
      <c r="AA256" s="113">
        <v>0</v>
      </c>
      <c r="AB256" s="113">
        <v>0</v>
      </c>
      <c r="AC256" s="113">
        <v>0</v>
      </c>
      <c r="AD256" s="113">
        <v>0</v>
      </c>
      <c r="AE256" s="113">
        <v>0</v>
      </c>
      <c r="AG256" s="103" t="s">
        <v>2419</v>
      </c>
      <c r="AH256" s="113">
        <v>0</v>
      </c>
      <c r="AI256" s="113">
        <v>0</v>
      </c>
      <c r="AJ256" s="113">
        <v>0</v>
      </c>
      <c r="AK256" s="113">
        <v>0</v>
      </c>
      <c r="AL256" s="113">
        <v>0</v>
      </c>
      <c r="AM256" s="113">
        <v>0</v>
      </c>
      <c r="AN256" s="113">
        <v>0</v>
      </c>
      <c r="AO256" s="113">
        <v>0</v>
      </c>
      <c r="AP256" s="113">
        <v>0</v>
      </c>
      <c r="AQ256" s="113">
        <v>0</v>
      </c>
      <c r="AR256" s="113">
        <v>0</v>
      </c>
      <c r="AS256" s="113">
        <v>0</v>
      </c>
      <c r="AT256" s="113">
        <v>0</v>
      </c>
      <c r="AU256" s="113">
        <v>0</v>
      </c>
      <c r="AV256" s="113">
        <v>0</v>
      </c>
      <c r="AW256" s="113">
        <v>0</v>
      </c>
      <c r="AX256" s="113">
        <v>0</v>
      </c>
      <c r="AY256" s="113">
        <v>0</v>
      </c>
      <c r="AZ256" s="113">
        <v>-7</v>
      </c>
      <c r="BA256" s="113">
        <v>-8</v>
      </c>
      <c r="BB256" s="113">
        <v>-7</v>
      </c>
      <c r="BC256" s="113">
        <v>-7</v>
      </c>
      <c r="BD256" s="113">
        <v>-7</v>
      </c>
      <c r="BE256" s="113">
        <v>-7</v>
      </c>
      <c r="BF256" s="113">
        <v>-7</v>
      </c>
      <c r="BG256" s="113">
        <v>-7</v>
      </c>
      <c r="BH256" s="113">
        <v>-7</v>
      </c>
      <c r="BI256" s="113">
        <v>-7</v>
      </c>
      <c r="BJ256" s="113">
        <v>-7</v>
      </c>
      <c r="BK256" s="113">
        <v>-6</v>
      </c>
      <c r="BL256" s="113">
        <v>0</v>
      </c>
      <c r="BM256" s="113">
        <v>0</v>
      </c>
      <c r="BN256" s="113">
        <v>0</v>
      </c>
      <c r="BO256" s="113">
        <v>0</v>
      </c>
      <c r="BP256" s="113">
        <v>0</v>
      </c>
      <c r="BQ256" s="113">
        <v>0</v>
      </c>
      <c r="BR256" s="113">
        <v>0</v>
      </c>
      <c r="BS256" s="113">
        <v>0</v>
      </c>
      <c r="BT256" s="113">
        <v>0</v>
      </c>
      <c r="BU256" s="113">
        <v>0</v>
      </c>
      <c r="BV256" s="113">
        <v>0</v>
      </c>
      <c r="BW256" s="113">
        <v>0</v>
      </c>
      <c r="BX256" s="113">
        <v>0</v>
      </c>
      <c r="BY256" s="113">
        <v>0</v>
      </c>
      <c r="BZ256" s="113">
        <v>0</v>
      </c>
      <c r="CA256" s="113">
        <v>0</v>
      </c>
      <c r="CB256" s="113">
        <v>0</v>
      </c>
      <c r="CC256" s="113">
        <v>0</v>
      </c>
      <c r="CD256" s="113">
        <v>0</v>
      </c>
      <c r="CE256" s="113">
        <v>0</v>
      </c>
      <c r="CF256" s="113">
        <v>0</v>
      </c>
      <c r="CG256" s="113">
        <v>0</v>
      </c>
      <c r="CH256" s="113">
        <v>0</v>
      </c>
      <c r="CI256" s="113">
        <v>0</v>
      </c>
      <c r="CJ256" s="113">
        <v>0</v>
      </c>
      <c r="CK256" s="113">
        <v>0</v>
      </c>
      <c r="CL256" s="113">
        <v>0</v>
      </c>
      <c r="CM256" s="113">
        <v>0</v>
      </c>
      <c r="CN256" s="113">
        <v>0</v>
      </c>
      <c r="CO256" s="113">
        <v>0</v>
      </c>
      <c r="CP256" s="113">
        <v>0</v>
      </c>
      <c r="CQ256" s="113">
        <v>0</v>
      </c>
      <c r="CR256" s="113">
        <v>0</v>
      </c>
      <c r="CS256" s="113">
        <v>0</v>
      </c>
      <c r="CT256" s="113">
        <v>0</v>
      </c>
      <c r="CU256" s="113">
        <v>0</v>
      </c>
      <c r="CV256" s="113">
        <v>0</v>
      </c>
      <c r="CW256" s="113">
        <v>0</v>
      </c>
      <c r="CX256" s="113">
        <v>0</v>
      </c>
      <c r="CY256" s="113">
        <v>0</v>
      </c>
      <c r="CZ256" s="113">
        <v>0</v>
      </c>
      <c r="DA256" s="113">
        <v>0</v>
      </c>
      <c r="DB256" s="113">
        <v>0</v>
      </c>
      <c r="DC256" s="113">
        <v>0</v>
      </c>
      <c r="DD256" s="113">
        <v>0</v>
      </c>
      <c r="DE256" s="113">
        <v>0</v>
      </c>
      <c r="DF256" s="113">
        <v>0</v>
      </c>
      <c r="DG256" s="113">
        <v>0</v>
      </c>
      <c r="DH256" s="113">
        <v>0</v>
      </c>
      <c r="DI256" s="113">
        <v>0</v>
      </c>
      <c r="DJ256" s="113">
        <v>0</v>
      </c>
      <c r="DK256" s="113">
        <v>0</v>
      </c>
      <c r="DL256" s="113">
        <v>0</v>
      </c>
      <c r="DM256" s="113">
        <v>0</v>
      </c>
      <c r="DN256" s="113">
        <v>0</v>
      </c>
      <c r="DO256" s="113">
        <v>0</v>
      </c>
      <c r="DP256" s="113">
        <v>0</v>
      </c>
      <c r="DQ256" s="113">
        <v>0</v>
      </c>
      <c r="DR256" s="113">
        <v>0</v>
      </c>
      <c r="DS256" s="113">
        <v>0</v>
      </c>
      <c r="DT256" s="113">
        <v>0</v>
      </c>
      <c r="DU256" s="113">
        <v>0</v>
      </c>
      <c r="DV256" s="113">
        <v>0</v>
      </c>
      <c r="DW256" s="113">
        <v>0</v>
      </c>
      <c r="DX256" s="113">
        <v>0</v>
      </c>
      <c r="DY256" s="113">
        <v>0</v>
      </c>
      <c r="DZ256" s="113">
        <v>0</v>
      </c>
      <c r="EA256" s="113">
        <v>0</v>
      </c>
      <c r="EB256" s="113">
        <v>0</v>
      </c>
      <c r="EC256" s="113">
        <v>0</v>
      </c>
      <c r="ED256" s="113">
        <v>0</v>
      </c>
      <c r="EE256" s="113">
        <v>0</v>
      </c>
      <c r="EF256" s="113">
        <v>0</v>
      </c>
      <c r="EG256" s="113">
        <v>0</v>
      </c>
      <c r="EH256" s="113">
        <v>0</v>
      </c>
      <c r="EI256" s="113">
        <v>0</v>
      </c>
      <c r="EJ256" s="113">
        <v>0</v>
      </c>
      <c r="EK256" s="113">
        <v>0</v>
      </c>
      <c r="EL256" s="113">
        <v>0</v>
      </c>
      <c r="EM256" s="113">
        <v>0</v>
      </c>
      <c r="EN256" s="113">
        <v>0</v>
      </c>
    </row>
    <row r="257" spans="1:144" ht="10.5">
      <c r="A257" s="112" t="s">
        <v>2420</v>
      </c>
      <c r="B257" s="114">
        <v>0</v>
      </c>
      <c r="C257" s="114">
        <v>0</v>
      </c>
      <c r="D257" s="114">
        <v>0</v>
      </c>
      <c r="E257" s="114">
        <v>0</v>
      </c>
      <c r="F257" s="114">
        <v>0</v>
      </c>
      <c r="G257" s="114">
        <v>0</v>
      </c>
      <c r="H257" s="114">
        <v>-15</v>
      </c>
      <c r="I257" s="114">
        <v>-28</v>
      </c>
      <c r="J257" s="114">
        <v>-28</v>
      </c>
      <c r="K257" s="114">
        <v>-13</v>
      </c>
      <c r="L257" s="114">
        <v>0</v>
      </c>
      <c r="M257" s="114">
        <v>0</v>
      </c>
      <c r="N257" s="114">
        <v>-857</v>
      </c>
      <c r="O257" s="114">
        <v>-1729</v>
      </c>
      <c r="P257" s="114">
        <v>-3472</v>
      </c>
      <c r="Q257" s="114">
        <v>-3545</v>
      </c>
      <c r="R257" s="114">
        <v>-3805</v>
      </c>
      <c r="S257" s="114">
        <v>-4015</v>
      </c>
      <c r="T257" s="114">
        <v>-4468</v>
      </c>
      <c r="U257" s="114">
        <v>-4578</v>
      </c>
      <c r="V257" s="114">
        <v>-5180</v>
      </c>
      <c r="W257" s="114">
        <v>-6385</v>
      </c>
      <c r="X257" s="114">
        <v>-7455</v>
      </c>
      <c r="Y257" s="114">
        <v>-8879</v>
      </c>
      <c r="Z257" s="114">
        <v>-9882</v>
      </c>
      <c r="AA257" s="114">
        <v>-11006</v>
      </c>
      <c r="AB257" s="114">
        <v>-11845</v>
      </c>
      <c r="AC257" s="114">
        <v>-12699</v>
      </c>
      <c r="AD257" s="114">
        <v>-13811</v>
      </c>
      <c r="AE257" s="114">
        <v>-14793</v>
      </c>
      <c r="AG257" s="112" t="s">
        <v>2420</v>
      </c>
      <c r="AH257" s="114">
        <v>0</v>
      </c>
      <c r="AI257" s="114">
        <v>0</v>
      </c>
      <c r="AJ257" s="114">
        <v>0</v>
      </c>
      <c r="AK257" s="114">
        <v>0</v>
      </c>
      <c r="AL257" s="114">
        <v>0</v>
      </c>
      <c r="AM257" s="114">
        <v>0</v>
      </c>
      <c r="AN257" s="114">
        <v>0</v>
      </c>
      <c r="AO257" s="114">
        <v>0</v>
      </c>
      <c r="AP257" s="114">
        <v>0</v>
      </c>
      <c r="AQ257" s="114">
        <v>0</v>
      </c>
      <c r="AR257" s="114">
        <v>0</v>
      </c>
      <c r="AS257" s="114">
        <v>0</v>
      </c>
      <c r="AT257" s="114">
        <v>0</v>
      </c>
      <c r="AU257" s="114">
        <v>0</v>
      </c>
      <c r="AV257" s="114">
        <v>0</v>
      </c>
      <c r="AW257" s="114">
        <v>0</v>
      </c>
      <c r="AX257" s="114">
        <v>0</v>
      </c>
      <c r="AY257" s="114">
        <v>0</v>
      </c>
      <c r="AZ257" s="114">
        <v>-7</v>
      </c>
      <c r="BA257" s="114">
        <v>-8</v>
      </c>
      <c r="BB257" s="114">
        <v>-7</v>
      </c>
      <c r="BC257" s="114">
        <v>-7</v>
      </c>
      <c r="BD257" s="114">
        <v>-7</v>
      </c>
      <c r="BE257" s="114">
        <v>-7</v>
      </c>
      <c r="BF257" s="114">
        <v>-7</v>
      </c>
      <c r="BG257" s="114">
        <v>-7</v>
      </c>
      <c r="BH257" s="114">
        <v>-7</v>
      </c>
      <c r="BI257" s="114">
        <v>-7</v>
      </c>
      <c r="BJ257" s="114">
        <v>-7</v>
      </c>
      <c r="BK257" s="114">
        <v>-6</v>
      </c>
      <c r="BL257" s="114">
        <v>0</v>
      </c>
      <c r="BM257" s="114">
        <v>0</v>
      </c>
      <c r="BN257" s="114">
        <v>0</v>
      </c>
      <c r="BO257" s="114">
        <v>0</v>
      </c>
      <c r="BP257" s="114">
        <v>0</v>
      </c>
      <c r="BQ257" s="114">
        <v>0</v>
      </c>
      <c r="BR257" s="114">
        <v>0</v>
      </c>
      <c r="BS257" s="114">
        <v>0</v>
      </c>
      <c r="BT257" s="114">
        <v>0</v>
      </c>
      <c r="BU257" s="114">
        <v>0</v>
      </c>
      <c r="BV257" s="114">
        <v>0</v>
      </c>
      <c r="BW257" s="114">
        <v>0</v>
      </c>
      <c r="BX257" s="114">
        <v>-857</v>
      </c>
      <c r="BY257" s="114">
        <v>0</v>
      </c>
      <c r="BZ257" s="114">
        <v>0</v>
      </c>
      <c r="CA257" s="114">
        <v>-1729</v>
      </c>
      <c r="CB257" s="114">
        <v>0</v>
      </c>
      <c r="CC257" s="114">
        <v>0</v>
      </c>
      <c r="CD257" s="114">
        <v>-870</v>
      </c>
      <c r="CE257" s="114">
        <v>-858</v>
      </c>
      <c r="CF257" s="114">
        <v>-885</v>
      </c>
      <c r="CG257" s="114">
        <v>-859</v>
      </c>
      <c r="CH257" s="114">
        <v>-857</v>
      </c>
      <c r="CI257" s="114">
        <v>-846</v>
      </c>
      <c r="CJ257" s="114">
        <v>-925</v>
      </c>
      <c r="CK257" s="114">
        <v>-917</v>
      </c>
      <c r="CL257" s="114">
        <v>-897</v>
      </c>
      <c r="CM257" s="114">
        <v>-980</v>
      </c>
      <c r="CN257" s="114">
        <v>-976</v>
      </c>
      <c r="CO257" s="114">
        <v>-952</v>
      </c>
      <c r="CP257" s="114">
        <v>-938</v>
      </c>
      <c r="CQ257" s="114">
        <v>-1034</v>
      </c>
      <c r="CR257" s="114">
        <v>-1023</v>
      </c>
      <c r="CS257" s="114">
        <v>-1020</v>
      </c>
      <c r="CT257" s="114">
        <v>-998</v>
      </c>
      <c r="CU257" s="114">
        <v>-1157</v>
      </c>
      <c r="CV257" s="114">
        <v>-1155</v>
      </c>
      <c r="CW257" s="114">
        <v>-1158</v>
      </c>
      <c r="CX257" s="114">
        <v>-1157</v>
      </c>
      <c r="CY257" s="114">
        <v>-1152</v>
      </c>
      <c r="CZ257" s="114">
        <v>-1139</v>
      </c>
      <c r="DA257" s="114">
        <v>-1130</v>
      </c>
      <c r="DB257" s="114">
        <v>-1118</v>
      </c>
      <c r="DC257" s="114">
        <v>-1363</v>
      </c>
      <c r="DD257" s="114">
        <v>-1349</v>
      </c>
      <c r="DE257" s="114">
        <v>-1350</v>
      </c>
      <c r="DF257" s="114">
        <v>-1341</v>
      </c>
      <c r="DG257" s="114">
        <v>-1683</v>
      </c>
      <c r="DH257" s="114">
        <v>-1683</v>
      </c>
      <c r="DI257" s="114">
        <v>-1678</v>
      </c>
      <c r="DJ257" s="114">
        <v>-1676</v>
      </c>
      <c r="DK257" s="114">
        <v>-1933</v>
      </c>
      <c r="DL257" s="114">
        <v>-1925</v>
      </c>
      <c r="DM257" s="114">
        <v>-1921</v>
      </c>
      <c r="DN257" s="114">
        <v>-1916</v>
      </c>
      <c r="DO257" s="114">
        <v>-2332</v>
      </c>
      <c r="DP257" s="114">
        <v>-2322</v>
      </c>
      <c r="DQ257" s="114">
        <v>-2309</v>
      </c>
      <c r="DR257" s="114">
        <v>-2307</v>
      </c>
      <c r="DS257" s="114">
        <v>-2547</v>
      </c>
      <c r="DT257" s="114">
        <v>-2532</v>
      </c>
      <c r="DU257" s="114">
        <v>-2496</v>
      </c>
      <c r="DV257" s="114">
        <v>-2475</v>
      </c>
      <c r="DW257" s="114">
        <v>-2868</v>
      </c>
      <c r="DX257" s="114">
        <v>-2842</v>
      </c>
      <c r="DY257" s="114">
        <v>-2821</v>
      </c>
      <c r="DZ257" s="114">
        <v>-2800</v>
      </c>
      <c r="EA257" s="114">
        <v>-3024</v>
      </c>
      <c r="EB257" s="114">
        <v>-3012</v>
      </c>
      <c r="EC257" s="114">
        <v>-3009</v>
      </c>
      <c r="ED257" s="114">
        <v>-3003</v>
      </c>
      <c r="EE257" s="114">
        <v>-3238</v>
      </c>
      <c r="EF257" s="114">
        <v>-3232</v>
      </c>
      <c r="EG257" s="114">
        <v>-3226</v>
      </c>
      <c r="EH257" s="114">
        <v>-3220</v>
      </c>
      <c r="EI257" s="114">
        <v>-3544</v>
      </c>
      <c r="EJ257" s="114">
        <v>-3526</v>
      </c>
      <c r="EK257" s="114">
        <v>-3521</v>
      </c>
      <c r="EL257" s="114">
        <v>-3510</v>
      </c>
      <c r="EM257" s="114">
        <v>-3886</v>
      </c>
      <c r="EN257" s="114">
        <v>-3876</v>
      </c>
    </row>
    <row r="258" spans="1:144">
      <c r="A258" s="103"/>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c r="BE258" s="103"/>
      <c r="BF258" s="103"/>
      <c r="BG258" s="103"/>
      <c r="BH258" s="103"/>
      <c r="BI258" s="103"/>
      <c r="BJ258" s="103"/>
      <c r="BK258" s="103"/>
      <c r="BL258" s="103"/>
      <c r="BM258" s="103"/>
      <c r="BN258" s="103"/>
      <c r="BO258" s="103"/>
      <c r="BP258" s="103"/>
      <c r="BQ258" s="103"/>
      <c r="BR258" s="103"/>
      <c r="BS258" s="103"/>
      <c r="BT258" s="103"/>
      <c r="BU258" s="103"/>
      <c r="BV258" s="103"/>
      <c r="BW258" s="103"/>
      <c r="BX258" s="103"/>
      <c r="BY258" s="103"/>
      <c r="BZ258" s="103"/>
      <c r="CA258" s="103"/>
      <c r="CB258" s="103"/>
      <c r="CC258" s="103"/>
      <c r="CD258" s="103"/>
      <c r="CE258" s="103"/>
      <c r="CF258" s="103"/>
      <c r="CG258" s="103"/>
      <c r="CH258" s="103"/>
      <c r="CI258" s="103"/>
      <c r="CJ258" s="103"/>
      <c r="CK258" s="103"/>
      <c r="CL258" s="103"/>
      <c r="CM258" s="103"/>
      <c r="CN258" s="103"/>
      <c r="CO258" s="103"/>
      <c r="CP258" s="103"/>
      <c r="CQ258" s="103"/>
      <c r="CR258" s="103"/>
      <c r="CS258" s="103"/>
      <c r="CT258" s="103"/>
      <c r="CU258" s="103"/>
      <c r="CV258" s="103"/>
      <c r="CW258" s="103"/>
      <c r="CX258" s="103"/>
      <c r="CY258" s="103"/>
      <c r="CZ258" s="103"/>
      <c r="DA258" s="103"/>
      <c r="DB258" s="103"/>
      <c r="DC258" s="103"/>
      <c r="DD258" s="103"/>
      <c r="DE258" s="103"/>
      <c r="DF258" s="103"/>
      <c r="DG258" s="103"/>
      <c r="DH258" s="103"/>
      <c r="DI258" s="103"/>
      <c r="DJ258" s="103"/>
      <c r="DK258" s="103"/>
      <c r="DL258" s="103"/>
      <c r="DM258" s="103"/>
      <c r="DN258" s="103"/>
      <c r="DO258" s="103"/>
      <c r="DP258" s="103"/>
      <c r="DQ258" s="103"/>
      <c r="DR258" s="103"/>
      <c r="DS258" s="103"/>
      <c r="DT258" s="103"/>
      <c r="DU258" s="103"/>
      <c r="DV258" s="103"/>
      <c r="DW258" s="103"/>
      <c r="DX258" s="103"/>
      <c r="DY258" s="103"/>
      <c r="DZ258" s="103"/>
      <c r="EA258" s="103"/>
      <c r="EB258" s="103"/>
      <c r="EC258" s="103"/>
      <c r="ED258" s="103"/>
      <c r="EE258" s="103"/>
      <c r="EF258" s="103"/>
      <c r="EG258" s="103"/>
      <c r="EH258" s="103"/>
      <c r="EI258" s="103"/>
      <c r="EJ258" s="103"/>
      <c r="EK258" s="103"/>
      <c r="EL258" s="103"/>
      <c r="EM258" s="103"/>
      <c r="EN258" s="103"/>
    </row>
    <row r="259" spans="1:144">
      <c r="A259" s="103" t="s">
        <v>2421</v>
      </c>
      <c r="B259" s="113">
        <v>0</v>
      </c>
      <c r="C259" s="113">
        <v>0</v>
      </c>
      <c r="D259" s="113">
        <v>0</v>
      </c>
      <c r="E259" s="113">
        <v>0</v>
      </c>
      <c r="F259" s="113">
        <v>0</v>
      </c>
      <c r="G259" s="113">
        <v>0</v>
      </c>
      <c r="H259" s="113">
        <v>0</v>
      </c>
      <c r="I259" s="113">
        <v>0</v>
      </c>
      <c r="J259" s="113">
        <v>0</v>
      </c>
      <c r="K259" s="113">
        <v>0</v>
      </c>
      <c r="L259" s="113">
        <v>0</v>
      </c>
      <c r="M259" s="113">
        <v>0</v>
      </c>
      <c r="N259" s="113">
        <v>0</v>
      </c>
      <c r="O259" s="113">
        <v>0</v>
      </c>
      <c r="P259" s="113">
        <v>-32640</v>
      </c>
      <c r="Q259" s="113">
        <v>0</v>
      </c>
      <c r="R259" s="113">
        <v>0</v>
      </c>
      <c r="S259" s="113">
        <v>0</v>
      </c>
      <c r="T259" s="113">
        <v>0</v>
      </c>
      <c r="U259" s="113">
        <v>0</v>
      </c>
      <c r="V259" s="113">
        <v>0</v>
      </c>
      <c r="W259" s="113">
        <v>0</v>
      </c>
      <c r="X259" s="113">
        <v>0</v>
      </c>
      <c r="Y259" s="113">
        <v>0</v>
      </c>
      <c r="Z259" s="113">
        <v>0</v>
      </c>
      <c r="AA259" s="113">
        <v>0</v>
      </c>
      <c r="AB259" s="113">
        <v>0</v>
      </c>
      <c r="AC259" s="113">
        <v>0</v>
      </c>
      <c r="AD259" s="113">
        <v>0</v>
      </c>
      <c r="AE259" s="113">
        <v>0</v>
      </c>
      <c r="AG259" s="103" t="s">
        <v>2421</v>
      </c>
      <c r="AH259" s="113">
        <v>0</v>
      </c>
      <c r="AI259" s="113">
        <v>0</v>
      </c>
      <c r="AJ259" s="113">
        <v>0</v>
      </c>
      <c r="AK259" s="113">
        <v>0</v>
      </c>
      <c r="AL259" s="113">
        <v>0</v>
      </c>
      <c r="AM259" s="113">
        <v>0</v>
      </c>
      <c r="AN259" s="113">
        <v>0</v>
      </c>
      <c r="AO259" s="113">
        <v>0</v>
      </c>
      <c r="AP259" s="113">
        <v>0</v>
      </c>
      <c r="AQ259" s="113">
        <v>0</v>
      </c>
      <c r="AR259" s="113">
        <v>0</v>
      </c>
      <c r="AS259" s="113">
        <v>0</v>
      </c>
      <c r="AT259" s="113">
        <v>0</v>
      </c>
      <c r="AU259" s="113">
        <v>0</v>
      </c>
      <c r="AV259" s="113">
        <v>0</v>
      </c>
      <c r="AW259" s="113">
        <v>0</v>
      </c>
      <c r="AX259" s="113">
        <v>0</v>
      </c>
      <c r="AY259" s="113">
        <v>0</v>
      </c>
      <c r="AZ259" s="113">
        <v>0</v>
      </c>
      <c r="BA259" s="113">
        <v>0</v>
      </c>
      <c r="BB259" s="113">
        <v>0</v>
      </c>
      <c r="BC259" s="113">
        <v>0</v>
      </c>
      <c r="BD259" s="113">
        <v>0</v>
      </c>
      <c r="BE259" s="113">
        <v>0</v>
      </c>
      <c r="BF259" s="113">
        <v>0</v>
      </c>
      <c r="BG259" s="113">
        <v>0</v>
      </c>
      <c r="BH259" s="113">
        <v>0</v>
      </c>
      <c r="BI259" s="113">
        <v>0</v>
      </c>
      <c r="BJ259" s="113">
        <v>0</v>
      </c>
      <c r="BK259" s="113">
        <v>0</v>
      </c>
      <c r="BL259" s="113">
        <v>0</v>
      </c>
      <c r="BM259" s="113">
        <v>0</v>
      </c>
      <c r="BN259" s="113">
        <v>0</v>
      </c>
      <c r="BO259" s="113">
        <v>0</v>
      </c>
      <c r="BP259" s="113">
        <v>0</v>
      </c>
      <c r="BQ259" s="113">
        <v>0</v>
      </c>
      <c r="BR259" s="113">
        <v>0</v>
      </c>
      <c r="BS259" s="113">
        <v>0</v>
      </c>
      <c r="BT259" s="113">
        <v>0</v>
      </c>
      <c r="BU259" s="113">
        <v>0</v>
      </c>
      <c r="BV259" s="113">
        <v>0</v>
      </c>
      <c r="BW259" s="113">
        <v>0</v>
      </c>
      <c r="BX259" s="113">
        <v>0</v>
      </c>
      <c r="BY259" s="113">
        <v>0</v>
      </c>
      <c r="BZ259" s="113">
        <v>0</v>
      </c>
      <c r="CA259" s="113">
        <v>0</v>
      </c>
      <c r="CB259" s="113">
        <v>0</v>
      </c>
      <c r="CC259" s="113">
        <v>0</v>
      </c>
      <c r="CD259" s="113">
        <v>0</v>
      </c>
      <c r="CE259" s="113">
        <v>-32640</v>
      </c>
      <c r="CF259" s="113">
        <v>0</v>
      </c>
      <c r="CG259" s="113">
        <v>0</v>
      </c>
      <c r="CH259" s="113">
        <v>0</v>
      </c>
      <c r="CI259" s="113">
        <v>0</v>
      </c>
      <c r="CJ259" s="113">
        <v>0</v>
      </c>
      <c r="CK259" s="113">
        <v>0</v>
      </c>
      <c r="CL259" s="113">
        <v>0</v>
      </c>
      <c r="CM259" s="113">
        <v>0</v>
      </c>
      <c r="CN259" s="113">
        <v>0</v>
      </c>
      <c r="CO259" s="113">
        <v>0</v>
      </c>
      <c r="CP259" s="113">
        <v>0</v>
      </c>
      <c r="CQ259" s="113">
        <v>0</v>
      </c>
      <c r="CR259" s="113">
        <v>0</v>
      </c>
      <c r="CS259" s="113">
        <v>0</v>
      </c>
      <c r="CT259" s="113">
        <v>0</v>
      </c>
      <c r="CU259" s="113">
        <v>0</v>
      </c>
      <c r="CV259" s="113">
        <v>0</v>
      </c>
      <c r="CW259" s="113">
        <v>0</v>
      </c>
      <c r="CX259" s="113">
        <v>0</v>
      </c>
      <c r="CY259" s="113">
        <v>0</v>
      </c>
      <c r="CZ259" s="113">
        <v>0</v>
      </c>
      <c r="DA259" s="113">
        <v>0</v>
      </c>
      <c r="DB259" s="113">
        <v>0</v>
      </c>
      <c r="DC259" s="113">
        <v>0</v>
      </c>
      <c r="DD259" s="113">
        <v>0</v>
      </c>
      <c r="DE259" s="113">
        <v>0</v>
      </c>
      <c r="DF259" s="113">
        <v>0</v>
      </c>
      <c r="DG259" s="113">
        <v>0</v>
      </c>
      <c r="DH259" s="113">
        <v>0</v>
      </c>
      <c r="DI259" s="113">
        <v>0</v>
      </c>
      <c r="DJ259" s="113">
        <v>0</v>
      </c>
      <c r="DK259" s="113">
        <v>0</v>
      </c>
      <c r="DL259" s="113">
        <v>0</v>
      </c>
      <c r="DM259" s="113">
        <v>0</v>
      </c>
      <c r="DN259" s="113">
        <v>0</v>
      </c>
      <c r="DO259" s="113">
        <v>0</v>
      </c>
      <c r="DP259" s="113">
        <v>0</v>
      </c>
      <c r="DQ259" s="113">
        <v>0</v>
      </c>
      <c r="DR259" s="113">
        <v>0</v>
      </c>
      <c r="DS259" s="113">
        <v>0</v>
      </c>
      <c r="DT259" s="113">
        <v>0</v>
      </c>
      <c r="DU259" s="113">
        <v>0</v>
      </c>
      <c r="DV259" s="113">
        <v>0</v>
      </c>
      <c r="DW259" s="113">
        <v>0</v>
      </c>
      <c r="DX259" s="113">
        <v>0</v>
      </c>
      <c r="DY259" s="113">
        <v>0</v>
      </c>
      <c r="DZ259" s="113">
        <v>0</v>
      </c>
      <c r="EA259" s="113">
        <v>0</v>
      </c>
      <c r="EB259" s="113">
        <v>0</v>
      </c>
      <c r="EC259" s="113">
        <v>0</v>
      </c>
      <c r="ED259" s="113">
        <v>0</v>
      </c>
      <c r="EE259" s="113">
        <v>0</v>
      </c>
      <c r="EF259" s="113">
        <v>0</v>
      </c>
      <c r="EG259" s="113">
        <v>0</v>
      </c>
      <c r="EH259" s="113">
        <v>0</v>
      </c>
      <c r="EI259" s="113">
        <v>0</v>
      </c>
      <c r="EJ259" s="113">
        <v>0</v>
      </c>
      <c r="EK259" s="113">
        <v>0</v>
      </c>
      <c r="EL259" s="113">
        <v>0</v>
      </c>
      <c r="EM259" s="113">
        <v>0</v>
      </c>
      <c r="EN259" s="113">
        <v>0</v>
      </c>
    </row>
    <row r="260" spans="1:144">
      <c r="A260" s="103" t="s">
        <v>2422</v>
      </c>
      <c r="B260" s="113">
        <v>85</v>
      </c>
      <c r="C260" s="113">
        <v>130</v>
      </c>
      <c r="D260" s="113">
        <v>207</v>
      </c>
      <c r="E260" s="113">
        <v>151</v>
      </c>
      <c r="F260" s="113">
        <v>228</v>
      </c>
      <c r="G260" s="113">
        <v>476</v>
      </c>
      <c r="H260" s="113">
        <v>891</v>
      </c>
      <c r="I260" s="113">
        <v>538</v>
      </c>
      <c r="J260" s="113">
        <v>766</v>
      </c>
      <c r="K260" s="113">
        <v>472</v>
      </c>
      <c r="L260" s="113">
        <v>-1132</v>
      </c>
      <c r="M260" s="113">
        <v>0</v>
      </c>
      <c r="N260" s="113">
        <v>0</v>
      </c>
      <c r="O260" s="113">
        <v>0</v>
      </c>
      <c r="P260" s="113">
        <v>-18</v>
      </c>
      <c r="Q260" s="113">
        <v>89</v>
      </c>
      <c r="R260" s="113">
        <v>54</v>
      </c>
      <c r="S260" s="113">
        <v>120</v>
      </c>
      <c r="T260" s="113">
        <v>33</v>
      </c>
      <c r="U260" s="113">
        <v>55</v>
      </c>
      <c r="V260" s="113">
        <v>-23</v>
      </c>
      <c r="W260" s="113">
        <v>93</v>
      </c>
      <c r="X260" s="113">
        <v>199</v>
      </c>
      <c r="Y260" s="113">
        <v>-39</v>
      </c>
      <c r="Z260" s="113">
        <v>362</v>
      </c>
      <c r="AA260" s="113">
        <v>-369</v>
      </c>
      <c r="AB260" s="113">
        <v>-190</v>
      </c>
      <c r="AC260" s="113">
        <v>-971</v>
      </c>
      <c r="AD260" s="113">
        <v>-675</v>
      </c>
      <c r="AE260" s="113">
        <v>-645</v>
      </c>
      <c r="AG260" s="103" t="s">
        <v>2422</v>
      </c>
      <c r="AH260" s="113">
        <v>68</v>
      </c>
      <c r="AI260" s="113">
        <v>68</v>
      </c>
      <c r="AJ260" s="113">
        <v>30</v>
      </c>
      <c r="AK260" s="113">
        <v>41</v>
      </c>
      <c r="AL260" s="113">
        <v>21</v>
      </c>
      <c r="AM260" s="113">
        <v>43</v>
      </c>
      <c r="AN260" s="113">
        <v>45</v>
      </c>
      <c r="AO260" s="113">
        <v>42</v>
      </c>
      <c r="AP260" s="113">
        <v>39</v>
      </c>
      <c r="AQ260" s="113">
        <v>39</v>
      </c>
      <c r="AR260" s="113">
        <v>45</v>
      </c>
      <c r="AS260" s="113">
        <v>56</v>
      </c>
      <c r="AT260" s="113">
        <v>58</v>
      </c>
      <c r="AU260" s="113">
        <v>13</v>
      </c>
      <c r="AV260" s="113">
        <v>172</v>
      </c>
      <c r="AW260" s="113">
        <v>233</v>
      </c>
      <c r="AX260" s="113">
        <v>138</v>
      </c>
      <c r="AY260" s="113">
        <v>88</v>
      </c>
      <c r="AZ260" s="113">
        <v>305</v>
      </c>
      <c r="BA260" s="113">
        <v>283</v>
      </c>
      <c r="BB260" s="113">
        <v>479</v>
      </c>
      <c r="BC260" s="113">
        <v>253</v>
      </c>
      <c r="BD260" s="113">
        <v>566</v>
      </c>
      <c r="BE260" s="113">
        <v>793</v>
      </c>
      <c r="BF260" s="113">
        <v>816</v>
      </c>
      <c r="BG260" s="113">
        <v>757</v>
      </c>
      <c r="BH260" s="113">
        <v>1422</v>
      </c>
      <c r="BI260" s="113">
        <v>-2229</v>
      </c>
      <c r="BJ260" s="113">
        <v>290</v>
      </c>
      <c r="BK260" s="113">
        <v>182</v>
      </c>
      <c r="BL260" s="113">
        <v>0</v>
      </c>
      <c r="BM260" s="113">
        <v>0</v>
      </c>
      <c r="BN260" s="113">
        <v>81</v>
      </c>
      <c r="BO260" s="113">
        <v>-486</v>
      </c>
      <c r="BP260" s="113">
        <v>-264</v>
      </c>
      <c r="BQ260" s="113">
        <v>-463</v>
      </c>
      <c r="BR260" s="113">
        <v>0</v>
      </c>
      <c r="BS260" s="113">
        <v>0</v>
      </c>
      <c r="BT260" s="113">
        <v>0</v>
      </c>
      <c r="BU260" s="113">
        <v>0</v>
      </c>
      <c r="BV260" s="113">
        <v>0</v>
      </c>
      <c r="BW260" s="113">
        <v>0</v>
      </c>
      <c r="BX260" s="113">
        <v>0</v>
      </c>
      <c r="BY260" s="113">
        <v>0</v>
      </c>
      <c r="BZ260" s="113">
        <v>0</v>
      </c>
      <c r="CA260" s="113">
        <v>0</v>
      </c>
      <c r="CB260" s="113">
        <v>0</v>
      </c>
      <c r="CC260" s="113">
        <v>0</v>
      </c>
      <c r="CD260" s="113">
        <v>0</v>
      </c>
      <c r="CE260" s="113">
        <v>0</v>
      </c>
      <c r="CF260" s="113">
        <v>0</v>
      </c>
      <c r="CG260" s="113">
        <v>-18</v>
      </c>
      <c r="CH260" s="113">
        <v>31</v>
      </c>
      <c r="CI260" s="113">
        <v>13</v>
      </c>
      <c r="CJ260" s="113">
        <v>23</v>
      </c>
      <c r="CK260" s="113">
        <v>22</v>
      </c>
      <c r="CL260" s="113">
        <v>20</v>
      </c>
      <c r="CM260" s="113">
        <v>5</v>
      </c>
      <c r="CN260" s="113">
        <v>7</v>
      </c>
      <c r="CO260" s="113">
        <v>22</v>
      </c>
      <c r="CP260" s="113">
        <v>69</v>
      </c>
      <c r="CQ260" s="113">
        <v>33</v>
      </c>
      <c r="CR260" s="113">
        <v>9</v>
      </c>
      <c r="CS260" s="113">
        <v>9</v>
      </c>
      <c r="CT260" s="113">
        <v>44</v>
      </c>
      <c r="CU260" s="113">
        <v>2</v>
      </c>
      <c r="CV260" s="113">
        <v>2</v>
      </c>
      <c r="CW260" s="113">
        <v>-15</v>
      </c>
      <c r="CX260" s="113">
        <v>9</v>
      </c>
      <c r="CY260" s="113">
        <v>15</v>
      </c>
      <c r="CZ260" s="113">
        <v>14</v>
      </c>
      <c r="DA260" s="113">
        <v>17</v>
      </c>
      <c r="DB260" s="113">
        <v>-20</v>
      </c>
      <c r="DC260" s="113">
        <v>4</v>
      </c>
      <c r="DD260" s="113">
        <v>-10</v>
      </c>
      <c r="DE260" s="113">
        <v>3</v>
      </c>
      <c r="DF260" s="113">
        <v>70</v>
      </c>
      <c r="DG260" s="113">
        <v>4</v>
      </c>
      <c r="DH260" s="113">
        <v>10</v>
      </c>
      <c r="DI260" s="113">
        <v>9</v>
      </c>
      <c r="DJ260" s="113">
        <v>177</v>
      </c>
      <c r="DK260" s="113">
        <v>-7</v>
      </c>
      <c r="DL260" s="113">
        <v>6</v>
      </c>
      <c r="DM260" s="113">
        <v>23</v>
      </c>
      <c r="DN260" s="113">
        <v>205</v>
      </c>
      <c r="DO260" s="113">
        <v>-19</v>
      </c>
      <c r="DP260" s="113">
        <v>22</v>
      </c>
      <c r="DQ260" s="113">
        <v>24</v>
      </c>
      <c r="DR260" s="113">
        <v>502</v>
      </c>
      <c r="DS260" s="113">
        <v>307</v>
      </c>
      <c r="DT260" s="113">
        <v>316</v>
      </c>
      <c r="DU260" s="113">
        <v>-239</v>
      </c>
      <c r="DV260" s="113">
        <v>-178</v>
      </c>
      <c r="DW260" s="113">
        <v>-65</v>
      </c>
      <c r="DX260" s="113">
        <v>-123</v>
      </c>
      <c r="DY260" s="113">
        <v>-3</v>
      </c>
      <c r="DZ260" s="113">
        <v>-112</v>
      </c>
      <c r="EA260" s="113">
        <v>312</v>
      </c>
      <c r="EB260" s="113">
        <v>-375</v>
      </c>
      <c r="EC260" s="113">
        <v>-15</v>
      </c>
      <c r="ED260" s="113">
        <v>-150</v>
      </c>
      <c r="EE260" s="113">
        <v>-156</v>
      </c>
      <c r="EF260" s="113">
        <v>-640</v>
      </c>
      <c r="EG260" s="113">
        <v>-25</v>
      </c>
      <c r="EH260" s="113">
        <v>-780</v>
      </c>
      <c r="EI260" s="113">
        <v>-459</v>
      </c>
      <c r="EJ260" s="113">
        <v>404</v>
      </c>
      <c r="EK260" s="113">
        <v>160</v>
      </c>
      <c r="EL260" s="113">
        <v>286</v>
      </c>
      <c r="EM260" s="113">
        <v>-39</v>
      </c>
      <c r="EN260" s="113">
        <v>-1052</v>
      </c>
    </row>
    <row r="261" spans="1:144" ht="10.5">
      <c r="A261" s="112" t="s">
        <v>2423</v>
      </c>
      <c r="B261" s="114">
        <v>-17</v>
      </c>
      <c r="C261" s="114">
        <v>130</v>
      </c>
      <c r="D261" s="114">
        <v>186</v>
      </c>
      <c r="E261" s="114">
        <v>83</v>
      </c>
      <c r="F261" s="114">
        <v>-138</v>
      </c>
      <c r="G261" s="114">
        <v>-405</v>
      </c>
      <c r="H261" s="114">
        <v>-501</v>
      </c>
      <c r="I261" s="114">
        <v>-999</v>
      </c>
      <c r="J261" s="114">
        <v>-862</v>
      </c>
      <c r="K261" s="114">
        <v>-2192</v>
      </c>
      <c r="L261" s="114">
        <v>-5586</v>
      </c>
      <c r="M261" s="114">
        <v>-4572</v>
      </c>
      <c r="N261" s="114">
        <v>-5223</v>
      </c>
      <c r="O261" s="114">
        <v>-2364</v>
      </c>
      <c r="P261" s="114">
        <v>-41078</v>
      </c>
      <c r="Q261" s="114">
        <v>-20562</v>
      </c>
      <c r="R261" s="114">
        <v>-24544</v>
      </c>
      <c r="S261" s="114">
        <v>-12934</v>
      </c>
      <c r="T261" s="114">
        <v>-7463</v>
      </c>
      <c r="U261" s="114">
        <v>-13291</v>
      </c>
      <c r="V261" s="114">
        <v>-8376</v>
      </c>
      <c r="W261" s="114">
        <v>-9408</v>
      </c>
      <c r="X261" s="114">
        <v>-8148</v>
      </c>
      <c r="Y261" s="114">
        <v>-8665</v>
      </c>
      <c r="Z261" s="114">
        <v>-9668</v>
      </c>
      <c r="AA261" s="114">
        <v>-8393</v>
      </c>
      <c r="AB261" s="114">
        <v>8408</v>
      </c>
      <c r="AC261" s="114">
        <v>-33590</v>
      </c>
      <c r="AD261" s="114">
        <v>-36887</v>
      </c>
      <c r="AE261" s="114">
        <v>-42455</v>
      </c>
      <c r="AG261" s="112" t="s">
        <v>2423</v>
      </c>
      <c r="AH261" s="114">
        <v>86.5</v>
      </c>
      <c r="AI261" s="114">
        <v>86.5</v>
      </c>
      <c r="AJ261" s="114">
        <v>33</v>
      </c>
      <c r="AK261" s="114">
        <v>-20</v>
      </c>
      <c r="AL261" s="114">
        <v>-6</v>
      </c>
      <c r="AM261" s="114">
        <v>-4</v>
      </c>
      <c r="AN261" s="114">
        <v>1</v>
      </c>
      <c r="AO261" s="114">
        <v>92</v>
      </c>
      <c r="AP261" s="114">
        <v>-122</v>
      </c>
      <c r="AQ261" s="114">
        <v>-220</v>
      </c>
      <c r="AR261" s="114">
        <v>60</v>
      </c>
      <c r="AS261" s="114">
        <v>144</v>
      </c>
      <c r="AT261" s="114">
        <v>27</v>
      </c>
      <c r="AU261" s="114">
        <v>-255</v>
      </c>
      <c r="AV261" s="114">
        <v>55</v>
      </c>
      <c r="AW261" s="114">
        <v>-232</v>
      </c>
      <c r="AX261" s="114">
        <v>-376</v>
      </c>
      <c r="AY261" s="114">
        <v>872</v>
      </c>
      <c r="AZ261" s="114">
        <v>-1463</v>
      </c>
      <c r="BA261" s="114">
        <v>466</v>
      </c>
      <c r="BB261" s="114">
        <v>-234</v>
      </c>
      <c r="BC261" s="114">
        <v>-316</v>
      </c>
      <c r="BD261" s="114">
        <v>872</v>
      </c>
      <c r="BE261" s="114">
        <v>232</v>
      </c>
      <c r="BF261" s="114">
        <v>621</v>
      </c>
      <c r="BG261" s="114">
        <v>780</v>
      </c>
      <c r="BH261" s="114">
        <v>1148</v>
      </c>
      <c r="BI261" s="114">
        <v>-3411</v>
      </c>
      <c r="BJ261" s="114">
        <v>-290</v>
      </c>
      <c r="BK261" s="114">
        <v>-3190</v>
      </c>
      <c r="BL261" s="114">
        <v>817</v>
      </c>
      <c r="BM261" s="114">
        <v>471</v>
      </c>
      <c r="BN261" s="114">
        <v>-1296</v>
      </c>
      <c r="BO261" s="114">
        <v>-1636</v>
      </c>
      <c r="BP261" s="114">
        <v>-1023</v>
      </c>
      <c r="BQ261" s="114">
        <v>-1631</v>
      </c>
      <c r="BR261" s="114">
        <v>-734</v>
      </c>
      <c r="BS261" s="114">
        <v>254</v>
      </c>
      <c r="BT261" s="114">
        <v>-251</v>
      </c>
      <c r="BU261" s="114">
        <v>-3841</v>
      </c>
      <c r="BV261" s="114">
        <v>-2958</v>
      </c>
      <c r="BW261" s="114">
        <v>-571</v>
      </c>
      <c r="BX261" s="114">
        <v>-1211</v>
      </c>
      <c r="BY261" s="114">
        <v>-483</v>
      </c>
      <c r="BZ261" s="114">
        <v>-350</v>
      </c>
      <c r="CA261" s="114">
        <v>-2270</v>
      </c>
      <c r="CB261" s="114">
        <v>-1040</v>
      </c>
      <c r="CC261" s="114">
        <v>1296</v>
      </c>
      <c r="CD261" s="114">
        <v>-738</v>
      </c>
      <c r="CE261" s="114">
        <v>-33672</v>
      </c>
      <c r="CF261" s="114">
        <v>-2958</v>
      </c>
      <c r="CG261" s="114">
        <v>-3710</v>
      </c>
      <c r="CH261" s="114">
        <v>-2941</v>
      </c>
      <c r="CI261" s="114">
        <v>-7802</v>
      </c>
      <c r="CJ261" s="114">
        <v>-5135</v>
      </c>
      <c r="CK261" s="114">
        <v>-4684</v>
      </c>
      <c r="CL261" s="114">
        <v>-8175</v>
      </c>
      <c r="CM261" s="114">
        <v>-2323</v>
      </c>
      <c r="CN261" s="114">
        <v>-7063</v>
      </c>
      <c r="CO261" s="114">
        <v>-6983</v>
      </c>
      <c r="CP261" s="114">
        <v>-3153</v>
      </c>
      <c r="CQ261" s="114">
        <v>-2723</v>
      </c>
      <c r="CR261" s="114">
        <v>-1986</v>
      </c>
      <c r="CS261" s="114">
        <v>-5072</v>
      </c>
      <c r="CT261" s="114">
        <v>-5244</v>
      </c>
      <c r="CU261" s="114">
        <v>-3858</v>
      </c>
      <c r="CV261" s="114">
        <v>-1060</v>
      </c>
      <c r="CW261" s="114">
        <v>2699</v>
      </c>
      <c r="CX261" s="114">
        <v>-2190</v>
      </c>
      <c r="CY261" s="114">
        <v>-4277</v>
      </c>
      <c r="CZ261" s="114">
        <v>-2726</v>
      </c>
      <c r="DA261" s="114">
        <v>-4098</v>
      </c>
      <c r="DB261" s="114">
        <v>-639</v>
      </c>
      <c r="DC261" s="114">
        <v>-6751</v>
      </c>
      <c r="DD261" s="114">
        <v>1437</v>
      </c>
      <c r="DE261" s="114">
        <v>-2423</v>
      </c>
      <c r="DF261" s="114">
        <v>-2869</v>
      </c>
      <c r="DG261" s="114">
        <v>-2513</v>
      </c>
      <c r="DH261" s="114">
        <v>-1605</v>
      </c>
      <c r="DI261" s="114">
        <v>-2421</v>
      </c>
      <c r="DJ261" s="114">
        <v>-2714</v>
      </c>
      <c r="DK261" s="114">
        <v>-1221</v>
      </c>
      <c r="DL261" s="114">
        <v>-2744</v>
      </c>
      <c r="DM261" s="114">
        <v>-1469</v>
      </c>
      <c r="DN261" s="114">
        <v>-3396</v>
      </c>
      <c r="DO261" s="114">
        <v>2615</v>
      </c>
      <c r="DP261" s="114">
        <v>-4304</v>
      </c>
      <c r="DQ261" s="114">
        <v>-3309</v>
      </c>
      <c r="DR261" s="114">
        <v>-2978</v>
      </c>
      <c r="DS261" s="114">
        <v>534</v>
      </c>
      <c r="DT261" s="114">
        <v>-3096</v>
      </c>
      <c r="DU261" s="114">
        <v>-3604</v>
      </c>
      <c r="DV261" s="114">
        <v>-3930</v>
      </c>
      <c r="DW261" s="114">
        <v>-518</v>
      </c>
      <c r="DX261" s="114">
        <v>-4916</v>
      </c>
      <c r="DY261" s="114">
        <v>971</v>
      </c>
      <c r="DZ261" s="114">
        <v>14329</v>
      </c>
      <c r="EA261" s="114">
        <v>3016</v>
      </c>
      <c r="EB261" s="114">
        <v>-6236</v>
      </c>
      <c r="EC261" s="114">
        <v>-2701</v>
      </c>
      <c r="ED261" s="114">
        <v>-6341</v>
      </c>
      <c r="EE261" s="114">
        <v>-1552</v>
      </c>
      <c r="EF261" s="114">
        <v>-19658</v>
      </c>
      <c r="EG261" s="114">
        <v>-6039</v>
      </c>
      <c r="EH261" s="114">
        <v>-7384</v>
      </c>
      <c r="EI261" s="114">
        <v>-13216</v>
      </c>
      <c r="EJ261" s="114">
        <v>-7601</v>
      </c>
      <c r="EK261" s="114">
        <v>-8686</v>
      </c>
      <c r="EL261" s="114">
        <v>-10209</v>
      </c>
      <c r="EM261" s="114">
        <v>-8915</v>
      </c>
      <c r="EN261" s="114">
        <v>-14645</v>
      </c>
    </row>
    <row r="262" spans="1:144">
      <c r="A262" s="103"/>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c r="BE262" s="103"/>
      <c r="BF262" s="103"/>
      <c r="BG262" s="103"/>
      <c r="BH262" s="103"/>
      <c r="BI262" s="103"/>
      <c r="BJ262" s="103"/>
      <c r="BK262" s="103"/>
      <c r="BL262" s="103"/>
      <c r="BM262" s="103"/>
      <c r="BN262" s="103"/>
      <c r="BO262" s="103"/>
      <c r="BP262" s="103"/>
      <c r="BQ262" s="103"/>
      <c r="BR262" s="103"/>
      <c r="BS262" s="103"/>
      <c r="BT262" s="103"/>
      <c r="BU262" s="103"/>
      <c r="BV262" s="103"/>
      <c r="BW262" s="103"/>
      <c r="BX262" s="103"/>
      <c r="BY262" s="103"/>
      <c r="BZ262" s="103"/>
      <c r="CA262" s="103"/>
      <c r="CB262" s="103"/>
      <c r="CC262" s="103"/>
      <c r="CD262" s="103"/>
      <c r="CE262" s="103"/>
      <c r="CF262" s="103"/>
      <c r="CG262" s="103"/>
      <c r="CH262" s="103"/>
      <c r="CI262" s="103"/>
      <c r="CJ262" s="103"/>
      <c r="CK262" s="103"/>
      <c r="CL262" s="103"/>
      <c r="CM262" s="103"/>
      <c r="CN262" s="103"/>
      <c r="CO262" s="103"/>
      <c r="CP262" s="103"/>
      <c r="CQ262" s="103"/>
      <c r="CR262" s="103"/>
      <c r="CS262" s="103"/>
      <c r="CT262" s="103"/>
      <c r="CU262" s="103"/>
      <c r="CV262" s="103"/>
      <c r="CW262" s="103"/>
      <c r="CX262" s="103"/>
      <c r="CY262" s="103"/>
      <c r="CZ262" s="103"/>
      <c r="DA262" s="103"/>
      <c r="DB262" s="103"/>
      <c r="DC262" s="103"/>
      <c r="DD262" s="103"/>
      <c r="DE262" s="103"/>
      <c r="DF262" s="103"/>
      <c r="DG262" s="103"/>
      <c r="DH262" s="103"/>
      <c r="DI262" s="103"/>
      <c r="DJ262" s="103"/>
      <c r="DK262" s="103"/>
      <c r="DL262" s="103"/>
      <c r="DM262" s="103"/>
      <c r="DN262" s="103"/>
      <c r="DO262" s="103"/>
      <c r="DP262" s="103"/>
      <c r="DQ262" s="103"/>
      <c r="DR262" s="103"/>
      <c r="DS262" s="103"/>
      <c r="DT262" s="103"/>
      <c r="DU262" s="103"/>
      <c r="DV262" s="103"/>
      <c r="DW262" s="103"/>
      <c r="DX262" s="103"/>
      <c r="DY262" s="103"/>
      <c r="DZ262" s="103"/>
      <c r="EA262" s="103"/>
      <c r="EB262" s="103"/>
      <c r="EC262" s="103"/>
      <c r="ED262" s="103"/>
      <c r="EE262" s="103"/>
      <c r="EF262" s="103"/>
      <c r="EG262" s="103"/>
      <c r="EH262" s="103"/>
      <c r="EI262" s="103"/>
      <c r="EJ262" s="103"/>
      <c r="EK262" s="103"/>
      <c r="EL262" s="103"/>
      <c r="EM262" s="103"/>
      <c r="EN262" s="103"/>
    </row>
    <row r="263" spans="1:144">
      <c r="A263" s="103" t="s">
        <v>2424</v>
      </c>
      <c r="B263" s="113">
        <v>-2</v>
      </c>
      <c r="C263" s="113">
        <v>-10</v>
      </c>
      <c r="D263" s="113">
        <v>-62</v>
      </c>
      <c r="E263" s="113">
        <v>-10</v>
      </c>
      <c r="F263" s="113">
        <v>9</v>
      </c>
      <c r="G263" s="113">
        <v>-5</v>
      </c>
      <c r="H263" s="113">
        <v>6</v>
      </c>
      <c r="I263" s="113">
        <v>-29</v>
      </c>
      <c r="J263" s="113">
        <v>52</v>
      </c>
      <c r="K263" s="113">
        <v>29</v>
      </c>
      <c r="L263" s="113">
        <v>-26</v>
      </c>
      <c r="M263" s="113">
        <v>2</v>
      </c>
      <c r="N263" s="113">
        <v>61</v>
      </c>
      <c r="O263" s="113">
        <v>27</v>
      </c>
      <c r="P263" s="113">
        <v>-7</v>
      </c>
      <c r="Q263" s="113">
        <v>18</v>
      </c>
      <c r="R263" s="113">
        <v>56</v>
      </c>
      <c r="S263" s="113">
        <v>137</v>
      </c>
      <c r="T263" s="113">
        <v>-67</v>
      </c>
      <c r="U263" s="113">
        <v>-39</v>
      </c>
      <c r="V263" s="113">
        <v>103</v>
      </c>
      <c r="W263" s="113">
        <v>-104</v>
      </c>
      <c r="X263" s="113">
        <v>-8</v>
      </c>
      <c r="Y263" s="113">
        <v>-139</v>
      </c>
      <c r="Z263" s="113">
        <v>-73</v>
      </c>
      <c r="AA263" s="113">
        <v>-67</v>
      </c>
      <c r="AB263" s="113">
        <v>19</v>
      </c>
      <c r="AC263" s="113">
        <v>50</v>
      </c>
      <c r="AD263" s="113">
        <v>-115</v>
      </c>
      <c r="AE263" s="113">
        <v>-139</v>
      </c>
      <c r="AG263" s="103" t="s">
        <v>2424</v>
      </c>
      <c r="AH263" s="113">
        <v>-10</v>
      </c>
      <c r="AI263" s="113">
        <v>-10</v>
      </c>
      <c r="AJ263" s="113">
        <v>-1</v>
      </c>
      <c r="AK263" s="113">
        <v>-41</v>
      </c>
      <c r="AL263" s="113">
        <v>-6</v>
      </c>
      <c r="AM263" s="113">
        <v>-2</v>
      </c>
      <c r="AN263" s="113">
        <v>5</v>
      </c>
      <c r="AO263" s="113">
        <v>-7</v>
      </c>
      <c r="AP263" s="113">
        <v>-4</v>
      </c>
      <c r="AQ263" s="113">
        <v>-4</v>
      </c>
      <c r="AR263" s="113">
        <v>26</v>
      </c>
      <c r="AS263" s="113">
        <v>-9</v>
      </c>
      <c r="AT263" s="113">
        <v>1</v>
      </c>
      <c r="AU263" s="113">
        <v>0</v>
      </c>
      <c r="AV263" s="113">
        <v>-21</v>
      </c>
      <c r="AW263" s="113">
        <v>15</v>
      </c>
      <c r="AX263" s="113">
        <v>6</v>
      </c>
      <c r="AY263" s="113">
        <v>-1</v>
      </c>
      <c r="AZ263" s="113">
        <v>-30</v>
      </c>
      <c r="BA263" s="113">
        <v>31</v>
      </c>
      <c r="BB263" s="113">
        <v>-16</v>
      </c>
      <c r="BC263" s="113">
        <v>-17</v>
      </c>
      <c r="BD263" s="113">
        <v>-18</v>
      </c>
      <c r="BE263" s="113">
        <v>22</v>
      </c>
      <c r="BF263" s="113">
        <v>19</v>
      </c>
      <c r="BG263" s="113">
        <v>39</v>
      </c>
      <c r="BH263" s="113">
        <v>-19</v>
      </c>
      <c r="BI263" s="113">
        <v>13</v>
      </c>
      <c r="BJ263" s="113">
        <v>19</v>
      </c>
      <c r="BK263" s="113">
        <v>1</v>
      </c>
      <c r="BL263" s="113">
        <v>44</v>
      </c>
      <c r="BM263" s="113">
        <v>-35</v>
      </c>
      <c r="BN263" s="113">
        <v>67</v>
      </c>
      <c r="BO263" s="113">
        <v>-75</v>
      </c>
      <c r="BP263" s="113">
        <v>8</v>
      </c>
      <c r="BQ263" s="113">
        <v>-26</v>
      </c>
      <c r="BR263" s="113">
        <v>5</v>
      </c>
      <c r="BS263" s="113">
        <v>4</v>
      </c>
      <c r="BT263" s="113">
        <v>-14</v>
      </c>
      <c r="BU263" s="113">
        <v>7</v>
      </c>
      <c r="BV263" s="113">
        <v>5</v>
      </c>
      <c r="BW263" s="113">
        <v>37</v>
      </c>
      <c r="BX263" s="113">
        <v>-3</v>
      </c>
      <c r="BY263" s="113">
        <v>22</v>
      </c>
      <c r="BZ263" s="113">
        <v>4</v>
      </c>
      <c r="CA263" s="113">
        <v>26</v>
      </c>
      <c r="CB263" s="113">
        <v>7</v>
      </c>
      <c r="CC263" s="113">
        <v>-10</v>
      </c>
      <c r="CD263" s="113">
        <v>3</v>
      </c>
      <c r="CE263" s="113">
        <v>54</v>
      </c>
      <c r="CF263" s="113">
        <v>-8</v>
      </c>
      <c r="CG263" s="113">
        <v>-56</v>
      </c>
      <c r="CH263" s="113">
        <v>-4</v>
      </c>
      <c r="CI263" s="113">
        <v>-12</v>
      </c>
      <c r="CJ263" s="113">
        <v>7</v>
      </c>
      <c r="CK263" s="113">
        <v>27</v>
      </c>
      <c r="CL263" s="113">
        <v>15</v>
      </c>
      <c r="CM263" s="113">
        <v>22</v>
      </c>
      <c r="CN263" s="113">
        <v>13</v>
      </c>
      <c r="CO263" s="113">
        <v>6</v>
      </c>
      <c r="CP263" s="113">
        <v>58</v>
      </c>
      <c r="CQ263" s="113">
        <v>28</v>
      </c>
      <c r="CR263" s="113">
        <v>42</v>
      </c>
      <c r="CS263" s="113">
        <v>9</v>
      </c>
      <c r="CT263" s="113">
        <v>-56</v>
      </c>
      <c r="CU263" s="113">
        <v>-83</v>
      </c>
      <c r="CV263" s="113">
        <v>-36</v>
      </c>
      <c r="CW263" s="113">
        <v>108</v>
      </c>
      <c r="CX263" s="113">
        <v>29</v>
      </c>
      <c r="CY263" s="113">
        <v>-1</v>
      </c>
      <c r="CZ263" s="113">
        <v>-30</v>
      </c>
      <c r="DA263" s="113">
        <v>-37</v>
      </c>
      <c r="DB263" s="113">
        <v>58</v>
      </c>
      <c r="DC263" s="113">
        <v>-3</v>
      </c>
      <c r="DD263" s="113">
        <v>28</v>
      </c>
      <c r="DE263" s="113">
        <v>20</v>
      </c>
      <c r="DF263" s="113">
        <v>-38</v>
      </c>
      <c r="DG263" s="113">
        <v>-52</v>
      </c>
      <c r="DH263" s="113">
        <v>30</v>
      </c>
      <c r="DI263" s="113">
        <v>-44</v>
      </c>
      <c r="DJ263" s="113">
        <v>47</v>
      </c>
      <c r="DK263" s="113">
        <v>15</v>
      </c>
      <c r="DL263" s="113">
        <v>-39</v>
      </c>
      <c r="DM263" s="113">
        <v>-31</v>
      </c>
      <c r="DN263" s="113">
        <v>24</v>
      </c>
      <c r="DO263" s="113">
        <v>33</v>
      </c>
      <c r="DP263" s="113">
        <v>2</v>
      </c>
      <c r="DQ263" s="113">
        <v>-198</v>
      </c>
      <c r="DR263" s="113">
        <v>-6</v>
      </c>
      <c r="DS263" s="113">
        <v>-34</v>
      </c>
      <c r="DT263" s="113">
        <v>-36</v>
      </c>
      <c r="DU263" s="113">
        <v>3</v>
      </c>
      <c r="DV263" s="113">
        <v>-44</v>
      </c>
      <c r="DW263" s="113">
        <v>-18</v>
      </c>
      <c r="DX263" s="113">
        <v>17</v>
      </c>
      <c r="DY263" s="113">
        <v>-22</v>
      </c>
      <c r="DZ263" s="113">
        <v>10</v>
      </c>
      <c r="EA263" s="113">
        <v>-18</v>
      </c>
      <c r="EB263" s="113">
        <v>12</v>
      </c>
      <c r="EC263" s="113">
        <v>15</v>
      </c>
      <c r="ED263" s="113">
        <v>26</v>
      </c>
      <c r="EE263" s="113">
        <v>-17</v>
      </c>
      <c r="EF263" s="113">
        <v>25</v>
      </c>
      <c r="EG263" s="113">
        <v>16</v>
      </c>
      <c r="EH263" s="113">
        <v>-129</v>
      </c>
      <c r="EI263" s="113">
        <v>17</v>
      </c>
      <c r="EJ263" s="113">
        <v>18</v>
      </c>
      <c r="EK263" s="113">
        <v>-21</v>
      </c>
      <c r="EL263" s="113">
        <v>-72</v>
      </c>
      <c r="EM263" s="113">
        <v>18</v>
      </c>
      <c r="EN263" s="113">
        <v>-64</v>
      </c>
    </row>
    <row r="264" spans="1:144" ht="10.5">
      <c r="A264" s="112" t="s">
        <v>2425</v>
      </c>
      <c r="B264" s="116">
        <v>171</v>
      </c>
      <c r="C264" s="116">
        <v>374</v>
      </c>
      <c r="D264" s="116">
        <v>222</v>
      </c>
      <c r="E264" s="116">
        <v>464</v>
      </c>
      <c r="F264" s="116">
        <v>485</v>
      </c>
      <c r="G264" s="116">
        <v>639</v>
      </c>
      <c r="H264" s="116">
        <v>1105</v>
      </c>
      <c r="I264" s="116">
        <v>133</v>
      </c>
      <c r="J264" s="116">
        <v>1136</v>
      </c>
      <c r="K264" s="116">
        <v>-129</v>
      </c>
      <c r="L264" s="116">
        <v>-924</v>
      </c>
      <c r="M264" s="116">
        <v>-906</v>
      </c>
      <c r="N264" s="116">
        <v>3140</v>
      </c>
      <c r="O264" s="116">
        <v>8947</v>
      </c>
      <c r="P264" s="116">
        <v>-9453</v>
      </c>
      <c r="Q264" s="116">
        <v>1863</v>
      </c>
      <c r="R264" s="116">
        <v>-603</v>
      </c>
      <c r="S264" s="116">
        <v>4228</v>
      </c>
      <c r="T264" s="116">
        <v>-4263</v>
      </c>
      <c r="U264" s="116">
        <v>-571</v>
      </c>
      <c r="V264" s="116">
        <v>4105</v>
      </c>
      <c r="W264" s="116">
        <v>-2672</v>
      </c>
      <c r="X264" s="116">
        <v>-3134</v>
      </c>
      <c r="Y264" s="116">
        <v>4865</v>
      </c>
      <c r="Z264" s="116">
        <v>-3074</v>
      </c>
      <c r="AA264" s="116">
        <v>915</v>
      </c>
      <c r="AB264" s="116">
        <v>1153</v>
      </c>
      <c r="AC264" s="116">
        <v>4283</v>
      </c>
      <c r="AD264" s="116">
        <v>-590</v>
      </c>
      <c r="AE264" s="116">
        <v>498</v>
      </c>
      <c r="AG264" s="112" t="s">
        <v>2425</v>
      </c>
      <c r="AH264" s="116">
        <v>24.5</v>
      </c>
      <c r="AI264" s="116">
        <v>24.5</v>
      </c>
      <c r="AJ264" s="116">
        <v>15</v>
      </c>
      <c r="AK264" s="116">
        <v>158</v>
      </c>
      <c r="AL264" s="116">
        <v>-170</v>
      </c>
      <c r="AM264" s="116">
        <v>108</v>
      </c>
      <c r="AN264" s="116">
        <v>201</v>
      </c>
      <c r="AO264" s="116">
        <v>325</v>
      </c>
      <c r="AP264" s="116">
        <v>-151</v>
      </c>
      <c r="AQ264" s="116">
        <v>-409</v>
      </c>
      <c r="AR264" s="116">
        <v>288</v>
      </c>
      <c r="AS264" s="116">
        <v>757</v>
      </c>
      <c r="AT264" s="116">
        <v>-56</v>
      </c>
      <c r="AU264" s="116">
        <v>417</v>
      </c>
      <c r="AV264" s="116">
        <v>614</v>
      </c>
      <c r="AW264" s="116">
        <v>-336</v>
      </c>
      <c r="AX264" s="116">
        <v>417</v>
      </c>
      <c r="AY264" s="116">
        <v>78</v>
      </c>
      <c r="AZ264" s="116">
        <v>756</v>
      </c>
      <c r="BA264" s="116">
        <v>-146</v>
      </c>
      <c r="BB264" s="116">
        <v>239</v>
      </c>
      <c r="BC264" s="116">
        <v>-1363</v>
      </c>
      <c r="BD264" s="116">
        <v>1528</v>
      </c>
      <c r="BE264" s="116">
        <v>-271</v>
      </c>
      <c r="BF264" s="116">
        <v>1352</v>
      </c>
      <c r="BG264" s="116">
        <v>922</v>
      </c>
      <c r="BH264" s="116">
        <v>90</v>
      </c>
      <c r="BI264" s="116">
        <v>-1228</v>
      </c>
      <c r="BJ264" s="116">
        <v>-186</v>
      </c>
      <c r="BK264" s="116">
        <v>243</v>
      </c>
      <c r="BL264" s="116">
        <v>160</v>
      </c>
      <c r="BM264" s="116">
        <v>-346</v>
      </c>
      <c r="BN264" s="116">
        <v>-2205</v>
      </c>
      <c r="BO264" s="116">
        <v>890</v>
      </c>
      <c r="BP264" s="116">
        <v>618</v>
      </c>
      <c r="BQ264" s="116">
        <v>-227</v>
      </c>
      <c r="BR264" s="116">
        <v>-809</v>
      </c>
      <c r="BS264" s="116">
        <v>2143</v>
      </c>
      <c r="BT264" s="116">
        <v>-140</v>
      </c>
      <c r="BU264" s="116">
        <v>-2100</v>
      </c>
      <c r="BV264" s="116">
        <v>2322</v>
      </c>
      <c r="BW264" s="116">
        <v>214</v>
      </c>
      <c r="BX264" s="116">
        <v>-1252</v>
      </c>
      <c r="BY264" s="116">
        <v>2138</v>
      </c>
      <c r="BZ264" s="116">
        <v>-670</v>
      </c>
      <c r="CA264" s="116">
        <v>381</v>
      </c>
      <c r="CB264" s="116">
        <v>2800</v>
      </c>
      <c r="CC264" s="116">
        <v>6517</v>
      </c>
      <c r="CD264" s="116">
        <v>-4842</v>
      </c>
      <c r="CE264" s="116">
        <v>-5904</v>
      </c>
      <c r="CF264" s="116">
        <v>224</v>
      </c>
      <c r="CG264" s="116">
        <v>1069</v>
      </c>
      <c r="CH264" s="116">
        <v>-1877</v>
      </c>
      <c r="CI264" s="116">
        <v>1109</v>
      </c>
      <c r="CJ264" s="116">
        <v>268</v>
      </c>
      <c r="CK264" s="116">
        <v>2363</v>
      </c>
      <c r="CL264" s="116">
        <v>2362</v>
      </c>
      <c r="CM264" s="116">
        <v>-2217</v>
      </c>
      <c r="CN264" s="116">
        <v>752</v>
      </c>
      <c r="CO264" s="116">
        <v>-1500</v>
      </c>
      <c r="CP264" s="116">
        <v>526</v>
      </c>
      <c r="CQ264" s="116">
        <v>823</v>
      </c>
      <c r="CR264" s="116">
        <v>4360</v>
      </c>
      <c r="CS264" s="116">
        <v>-1481</v>
      </c>
      <c r="CT264" s="116">
        <v>-1335</v>
      </c>
      <c r="CU264" s="116">
        <v>-658</v>
      </c>
      <c r="CV264" s="116">
        <v>-1061</v>
      </c>
      <c r="CW264" s="116">
        <v>-1209</v>
      </c>
      <c r="CX264" s="116">
        <v>2747</v>
      </c>
      <c r="CY264" s="116">
        <v>599</v>
      </c>
      <c r="CZ264" s="116">
        <v>-1267</v>
      </c>
      <c r="DA264" s="116">
        <v>-2650</v>
      </c>
      <c r="DB264" s="116">
        <v>2656</v>
      </c>
      <c r="DC264" s="116">
        <v>-4138</v>
      </c>
      <c r="DD264" s="116">
        <v>2998</v>
      </c>
      <c r="DE264" s="116">
        <v>2589</v>
      </c>
      <c r="DF264" s="116">
        <v>3271</v>
      </c>
      <c r="DG264" s="116">
        <v>-2271</v>
      </c>
      <c r="DH264" s="116">
        <v>-4222</v>
      </c>
      <c r="DI264" s="116">
        <v>550</v>
      </c>
      <c r="DJ264" s="116">
        <v>-1902</v>
      </c>
      <c r="DK264" s="116">
        <v>981</v>
      </c>
      <c r="DL264" s="116">
        <v>-777</v>
      </c>
      <c r="DM264" s="116">
        <v>-1436</v>
      </c>
      <c r="DN264" s="116">
        <v>219</v>
      </c>
      <c r="DO264" s="116">
        <v>6036</v>
      </c>
      <c r="DP264" s="116">
        <v>1513</v>
      </c>
      <c r="DQ264" s="116">
        <v>-2903</v>
      </c>
      <c r="DR264" s="116">
        <v>-2367</v>
      </c>
      <c r="DS264" s="116">
        <v>124</v>
      </c>
      <c r="DT264" s="116">
        <v>988</v>
      </c>
      <c r="DU264" s="116">
        <v>-1819</v>
      </c>
      <c r="DV264" s="116">
        <v>-164</v>
      </c>
      <c r="DW264" s="116">
        <v>1754</v>
      </c>
      <c r="DX264" s="116">
        <v>-15</v>
      </c>
      <c r="DY264" s="116">
        <v>-660</v>
      </c>
      <c r="DZ264" s="116">
        <v>7418</v>
      </c>
      <c r="EA264" s="116">
        <v>-5460</v>
      </c>
      <c r="EB264" s="116">
        <v>-1755</v>
      </c>
      <c r="EC264" s="116">
        <v>950</v>
      </c>
      <c r="ED264" s="116">
        <v>-779</v>
      </c>
      <c r="EE264" s="116">
        <v>5975</v>
      </c>
      <c r="EF264" s="116">
        <v>-3638</v>
      </c>
      <c r="EG264" s="116">
        <v>2725</v>
      </c>
      <c r="EH264" s="116">
        <v>3191</v>
      </c>
      <c r="EI264" s="116">
        <v>-8499</v>
      </c>
      <c r="EJ264" s="116">
        <v>4574</v>
      </c>
      <c r="EK264" s="116">
        <v>144</v>
      </c>
      <c r="EL264" s="116">
        <v>1761</v>
      </c>
      <c r="EM264" s="116">
        <v>-4253</v>
      </c>
      <c r="EN264" s="116">
        <v>2846</v>
      </c>
    </row>
    <row r="265" spans="1:144">
      <c r="A265" s="103"/>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c r="BE265" s="103"/>
      <c r="BF265" s="103"/>
      <c r="BG265" s="103"/>
      <c r="BH265" s="103"/>
      <c r="BI265" s="103"/>
      <c r="BJ265" s="103"/>
      <c r="BK265" s="103"/>
      <c r="BL265" s="103"/>
      <c r="BM265" s="103"/>
      <c r="BN265" s="103"/>
      <c r="BO265" s="103"/>
      <c r="BP265" s="103"/>
      <c r="BQ265" s="103"/>
      <c r="BR265" s="103"/>
      <c r="BS265" s="103"/>
      <c r="BT265" s="103"/>
      <c r="BU265" s="103"/>
      <c r="BV265" s="103"/>
      <c r="BW265" s="103"/>
      <c r="BX265" s="103"/>
      <c r="BY265" s="103"/>
      <c r="BZ265" s="103"/>
      <c r="CA265" s="103"/>
      <c r="CB265" s="103"/>
      <c r="CC265" s="103"/>
      <c r="CD265" s="103"/>
      <c r="CE265" s="103"/>
      <c r="CF265" s="103"/>
      <c r="CG265" s="103"/>
      <c r="CH265" s="103"/>
      <c r="CI265" s="103"/>
      <c r="CJ265" s="103"/>
      <c r="CK265" s="103"/>
      <c r="CL265" s="103"/>
      <c r="CM265" s="103"/>
      <c r="CN265" s="103"/>
      <c r="CO265" s="103"/>
      <c r="CP265" s="103"/>
      <c r="CQ265" s="103"/>
      <c r="CR265" s="103"/>
      <c r="CS265" s="103"/>
      <c r="CT265" s="103"/>
      <c r="CU265" s="103"/>
      <c r="CV265" s="103"/>
      <c r="CW265" s="103"/>
      <c r="CX265" s="103"/>
      <c r="CY265" s="103"/>
      <c r="CZ265" s="103"/>
      <c r="DA265" s="103"/>
      <c r="DB265" s="103"/>
      <c r="DC265" s="103"/>
      <c r="DD265" s="103"/>
      <c r="DE265" s="103"/>
      <c r="DF265" s="103"/>
      <c r="DG265" s="103"/>
      <c r="DH265" s="103"/>
      <c r="DI265" s="103"/>
      <c r="DJ265" s="103"/>
      <c r="DK265" s="103"/>
      <c r="DL265" s="103"/>
      <c r="DM265" s="103"/>
      <c r="DN265" s="103"/>
      <c r="DO265" s="103"/>
      <c r="DP265" s="103"/>
      <c r="DQ265" s="103"/>
      <c r="DR265" s="103"/>
      <c r="DS265" s="103"/>
      <c r="DT265" s="103"/>
      <c r="DU265" s="103"/>
      <c r="DV265" s="103"/>
      <c r="DW265" s="103"/>
      <c r="DX265" s="103"/>
      <c r="DY265" s="103"/>
      <c r="DZ265" s="103"/>
      <c r="EA265" s="103"/>
      <c r="EB265" s="103"/>
      <c r="EC265" s="103"/>
      <c r="ED265" s="103"/>
      <c r="EE265" s="103"/>
      <c r="EF265" s="103"/>
      <c r="EG265" s="103"/>
      <c r="EH265" s="103"/>
      <c r="EI265" s="103"/>
      <c r="EJ265" s="103"/>
      <c r="EK265" s="103"/>
      <c r="EL265" s="103"/>
      <c r="EM265" s="103"/>
      <c r="EN265" s="103"/>
    </row>
    <row r="266" spans="1:144" ht="10.5">
      <c r="A266" s="112" t="s">
        <v>2111</v>
      </c>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G266" s="112" t="s">
        <v>2111</v>
      </c>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c r="BE266" s="103"/>
      <c r="BF266" s="103"/>
      <c r="BG266" s="103"/>
      <c r="BH266" s="103"/>
      <c r="BI266" s="103"/>
      <c r="BJ266" s="103"/>
      <c r="BK266" s="103"/>
      <c r="BL266" s="103"/>
      <c r="BM266" s="103"/>
      <c r="BN266" s="103"/>
      <c r="BO266" s="103"/>
      <c r="BP266" s="103"/>
      <c r="BQ266" s="103"/>
      <c r="BR266" s="103"/>
      <c r="BS266" s="103"/>
      <c r="BT266" s="103"/>
      <c r="BU266" s="103"/>
      <c r="BV266" s="103"/>
      <c r="BW266" s="103"/>
      <c r="BX266" s="103"/>
      <c r="BY266" s="103"/>
      <c r="BZ266" s="103"/>
      <c r="CA266" s="103"/>
      <c r="CB266" s="103"/>
      <c r="CC266" s="103"/>
      <c r="CD266" s="103"/>
      <c r="CE266" s="103"/>
      <c r="CF266" s="103"/>
      <c r="CG266" s="103"/>
      <c r="CH266" s="103"/>
      <c r="CI266" s="103"/>
      <c r="CJ266" s="103"/>
      <c r="CK266" s="103"/>
      <c r="CL266" s="103"/>
      <c r="CM266" s="103"/>
      <c r="CN266" s="103"/>
      <c r="CO266" s="103"/>
      <c r="CP266" s="103"/>
      <c r="CQ266" s="103"/>
      <c r="CR266" s="103"/>
      <c r="CS266" s="103"/>
      <c r="CT266" s="103"/>
      <c r="CU266" s="103"/>
      <c r="CV266" s="103"/>
      <c r="CW266" s="103"/>
      <c r="CX266" s="103"/>
      <c r="CY266" s="103"/>
      <c r="CZ266" s="103"/>
      <c r="DA266" s="103"/>
      <c r="DB266" s="103"/>
      <c r="DC266" s="103"/>
      <c r="DD266" s="103"/>
      <c r="DE266" s="103"/>
      <c r="DF266" s="103"/>
      <c r="DG266" s="103"/>
      <c r="DH266" s="103"/>
      <c r="DI266" s="103"/>
      <c r="DJ266" s="103"/>
      <c r="DK266" s="103"/>
      <c r="DL266" s="103"/>
      <c r="DM266" s="103"/>
      <c r="DN266" s="103"/>
      <c r="DO266" s="103"/>
      <c r="DP266" s="103"/>
      <c r="DQ266" s="103"/>
      <c r="DR266" s="103"/>
      <c r="DS266" s="103"/>
      <c r="DT266" s="103"/>
      <c r="DU266" s="103"/>
      <c r="DV266" s="103"/>
      <c r="DW266" s="103"/>
      <c r="DX266" s="103"/>
      <c r="DY266" s="103"/>
      <c r="DZ266" s="103"/>
      <c r="EA266" s="103"/>
      <c r="EB266" s="103"/>
      <c r="EC266" s="103"/>
      <c r="ED266" s="103"/>
      <c r="EE266" s="103"/>
      <c r="EF266" s="103"/>
      <c r="EG266" s="103"/>
      <c r="EH266" s="103"/>
      <c r="EI266" s="103"/>
      <c r="EJ266" s="103"/>
      <c r="EK266" s="103"/>
      <c r="EL266" s="103"/>
      <c r="EM266" s="103"/>
      <c r="EN266" s="103"/>
    </row>
    <row r="267" spans="1:144">
      <c r="A267" s="103" t="s">
        <v>2426</v>
      </c>
      <c r="B267" s="113" t="s">
        <v>271</v>
      </c>
      <c r="C267" s="113" t="s">
        <v>271</v>
      </c>
      <c r="D267" s="113" t="s">
        <v>271</v>
      </c>
      <c r="E267" s="113" t="s">
        <v>271</v>
      </c>
      <c r="F267" s="113" t="s">
        <v>271</v>
      </c>
      <c r="G267" s="113" t="s">
        <v>271</v>
      </c>
      <c r="H267" s="113" t="s">
        <v>271</v>
      </c>
      <c r="I267" s="113" t="s">
        <v>271</v>
      </c>
      <c r="J267" s="113" t="s">
        <v>271</v>
      </c>
      <c r="K267" s="113" t="s">
        <v>271</v>
      </c>
      <c r="L267" s="113" t="s">
        <v>271</v>
      </c>
      <c r="M267" s="113" t="s">
        <v>271</v>
      </c>
      <c r="N267" s="113" t="s">
        <v>271</v>
      </c>
      <c r="O267" s="113" t="s">
        <v>271</v>
      </c>
      <c r="P267" s="113" t="s">
        <v>271</v>
      </c>
      <c r="Q267" s="113" t="s">
        <v>271</v>
      </c>
      <c r="R267" s="113" t="s">
        <v>271</v>
      </c>
      <c r="S267" s="113" t="s">
        <v>271</v>
      </c>
      <c r="T267" s="113" t="s">
        <v>271</v>
      </c>
      <c r="U267" s="113">
        <v>145</v>
      </c>
      <c r="V267" s="113">
        <v>197</v>
      </c>
      <c r="W267" s="113">
        <v>344</v>
      </c>
      <c r="X267" s="113">
        <v>371</v>
      </c>
      <c r="Y267" s="113">
        <v>509</v>
      </c>
      <c r="Z267" s="113">
        <v>620</v>
      </c>
      <c r="AA267" s="113">
        <v>1100</v>
      </c>
      <c r="AB267" s="113">
        <v>1600</v>
      </c>
      <c r="AC267" s="113">
        <v>2400</v>
      </c>
      <c r="AD267" s="113">
        <v>2400</v>
      </c>
      <c r="AE267" s="113">
        <v>2400</v>
      </c>
      <c r="AG267" s="103" t="s">
        <v>2426</v>
      </c>
      <c r="AH267" s="113" t="s">
        <v>271</v>
      </c>
      <c r="AI267" s="113" t="s">
        <v>271</v>
      </c>
      <c r="AJ267" s="113" t="s">
        <v>271</v>
      </c>
      <c r="AK267" s="113" t="s">
        <v>271</v>
      </c>
      <c r="AL267" s="113" t="s">
        <v>271</v>
      </c>
      <c r="AM267" s="113" t="s">
        <v>271</v>
      </c>
      <c r="AN267" s="113" t="s">
        <v>271</v>
      </c>
      <c r="AO267" s="113" t="s">
        <v>271</v>
      </c>
      <c r="AP267" s="113" t="s">
        <v>271</v>
      </c>
      <c r="AQ267" s="113" t="s">
        <v>271</v>
      </c>
      <c r="AR267" s="113" t="s">
        <v>271</v>
      </c>
      <c r="AS267" s="113" t="s">
        <v>271</v>
      </c>
      <c r="AT267" s="113" t="s">
        <v>271</v>
      </c>
      <c r="AU267" s="113" t="s">
        <v>271</v>
      </c>
      <c r="AV267" s="113" t="s">
        <v>271</v>
      </c>
      <c r="AW267" s="113" t="s">
        <v>271</v>
      </c>
      <c r="AX267" s="113" t="s">
        <v>271</v>
      </c>
      <c r="AY267" s="113" t="s">
        <v>271</v>
      </c>
      <c r="AZ267" s="113" t="s">
        <v>271</v>
      </c>
      <c r="BA267" s="113" t="s">
        <v>271</v>
      </c>
      <c r="BB267" s="113" t="s">
        <v>271</v>
      </c>
      <c r="BC267" s="113" t="s">
        <v>271</v>
      </c>
      <c r="BD267" s="113" t="s">
        <v>271</v>
      </c>
      <c r="BE267" s="113" t="s">
        <v>271</v>
      </c>
      <c r="BF267" s="113" t="s">
        <v>271</v>
      </c>
      <c r="BG267" s="113" t="s">
        <v>271</v>
      </c>
      <c r="BH267" s="113" t="s">
        <v>271</v>
      </c>
      <c r="BI267" s="113" t="s">
        <v>271</v>
      </c>
      <c r="BJ267" s="113" t="s">
        <v>271</v>
      </c>
      <c r="BK267" s="113" t="s">
        <v>271</v>
      </c>
      <c r="BL267" s="113" t="s">
        <v>271</v>
      </c>
      <c r="BM267" s="113" t="s">
        <v>271</v>
      </c>
      <c r="BN267" s="113" t="s">
        <v>271</v>
      </c>
      <c r="BO267" s="113" t="s">
        <v>271</v>
      </c>
      <c r="BP267" s="113" t="s">
        <v>271</v>
      </c>
      <c r="BQ267" s="113" t="s">
        <v>271</v>
      </c>
      <c r="BR267" s="113" t="s">
        <v>271</v>
      </c>
      <c r="BS267" s="113" t="s">
        <v>271</v>
      </c>
      <c r="BT267" s="113" t="s">
        <v>271</v>
      </c>
      <c r="BU267" s="113" t="s">
        <v>271</v>
      </c>
      <c r="BV267" s="113" t="s">
        <v>271</v>
      </c>
      <c r="BW267" s="113" t="s">
        <v>271</v>
      </c>
      <c r="BX267" s="113" t="s">
        <v>271</v>
      </c>
      <c r="BY267" s="113" t="s">
        <v>271</v>
      </c>
      <c r="BZ267" s="113" t="s">
        <v>271</v>
      </c>
      <c r="CA267" s="113" t="s">
        <v>271</v>
      </c>
      <c r="CB267" s="113" t="s">
        <v>271</v>
      </c>
      <c r="CC267" s="113" t="s">
        <v>271</v>
      </c>
      <c r="CD267" s="113" t="s">
        <v>271</v>
      </c>
      <c r="CE267" s="113" t="s">
        <v>271</v>
      </c>
      <c r="CF267" s="113" t="s">
        <v>271</v>
      </c>
      <c r="CG267" s="113" t="s">
        <v>271</v>
      </c>
      <c r="CH267" s="113" t="s">
        <v>271</v>
      </c>
      <c r="CI267" s="113" t="s">
        <v>271</v>
      </c>
      <c r="CJ267" s="113" t="s">
        <v>271</v>
      </c>
      <c r="CK267" s="113" t="s">
        <v>271</v>
      </c>
      <c r="CL267" s="113" t="s">
        <v>271</v>
      </c>
      <c r="CM267" s="113" t="s">
        <v>271</v>
      </c>
      <c r="CN267" s="113" t="s">
        <v>271</v>
      </c>
      <c r="CO267" s="113" t="s">
        <v>271</v>
      </c>
      <c r="CP267" s="113" t="s">
        <v>271</v>
      </c>
      <c r="CQ267" s="113" t="s">
        <v>271</v>
      </c>
      <c r="CR267" s="113" t="s">
        <v>271</v>
      </c>
      <c r="CS267" s="113" t="s">
        <v>271</v>
      </c>
      <c r="CT267" s="113" t="s">
        <v>271</v>
      </c>
      <c r="CU267" s="113" t="s">
        <v>271</v>
      </c>
      <c r="CV267" s="113" t="s">
        <v>271</v>
      </c>
      <c r="CW267" s="113" t="s">
        <v>271</v>
      </c>
      <c r="CX267" s="113" t="s">
        <v>271</v>
      </c>
      <c r="CY267" s="113" t="s">
        <v>271</v>
      </c>
      <c r="CZ267" s="113" t="s">
        <v>271</v>
      </c>
      <c r="DA267" s="113">
        <v>145</v>
      </c>
      <c r="DB267" s="113" t="s">
        <v>271</v>
      </c>
      <c r="DC267" s="113" t="s">
        <v>271</v>
      </c>
      <c r="DD267" s="113" t="s">
        <v>271</v>
      </c>
      <c r="DE267" s="113">
        <v>197</v>
      </c>
      <c r="DF267" s="113" t="s">
        <v>271</v>
      </c>
      <c r="DG267" s="113" t="s">
        <v>271</v>
      </c>
      <c r="DH267" s="113" t="s">
        <v>271</v>
      </c>
      <c r="DI267" s="113">
        <v>344</v>
      </c>
      <c r="DJ267" s="113" t="s">
        <v>271</v>
      </c>
      <c r="DK267" s="113" t="s">
        <v>271</v>
      </c>
      <c r="DL267" s="113" t="s">
        <v>271</v>
      </c>
      <c r="DM267" s="113">
        <v>371</v>
      </c>
      <c r="DN267" s="113" t="s">
        <v>271</v>
      </c>
      <c r="DO267" s="113" t="s">
        <v>271</v>
      </c>
      <c r="DP267" s="113" t="s">
        <v>271</v>
      </c>
      <c r="DQ267" s="113">
        <v>509</v>
      </c>
      <c r="DR267" s="113" t="s">
        <v>271</v>
      </c>
      <c r="DS267" s="113" t="s">
        <v>271</v>
      </c>
      <c r="DT267" s="113" t="s">
        <v>271</v>
      </c>
      <c r="DU267" s="113">
        <v>620</v>
      </c>
      <c r="DV267" s="113" t="s">
        <v>271</v>
      </c>
      <c r="DW267" s="113" t="s">
        <v>271</v>
      </c>
      <c r="DX267" s="113" t="s">
        <v>271</v>
      </c>
      <c r="DY267" s="113">
        <v>1100</v>
      </c>
      <c r="DZ267" s="113" t="s">
        <v>271</v>
      </c>
      <c r="EA267" s="113" t="s">
        <v>271</v>
      </c>
      <c r="EB267" s="113" t="s">
        <v>271</v>
      </c>
      <c r="EC267" s="113">
        <v>1600</v>
      </c>
      <c r="ED267" s="113" t="s">
        <v>271</v>
      </c>
      <c r="EE267" s="113" t="s">
        <v>271</v>
      </c>
      <c r="EF267" s="113" t="s">
        <v>271</v>
      </c>
      <c r="EG267" s="113">
        <v>2400</v>
      </c>
      <c r="EH267" s="113" t="s">
        <v>271</v>
      </c>
      <c r="EI267" s="113" t="s">
        <v>271</v>
      </c>
      <c r="EJ267" s="113" t="s">
        <v>271</v>
      </c>
      <c r="EK267" s="113">
        <v>2400</v>
      </c>
      <c r="EL267" s="113" t="s">
        <v>271</v>
      </c>
      <c r="EM267" s="113" t="s">
        <v>271</v>
      </c>
      <c r="EN267" s="113" t="s">
        <v>271</v>
      </c>
    </row>
    <row r="268" spans="1:144">
      <c r="A268" s="103" t="s">
        <v>2427</v>
      </c>
      <c r="B268" s="113">
        <v>121</v>
      </c>
      <c r="C268" s="113">
        <v>175</v>
      </c>
      <c r="D268" s="113">
        <v>187</v>
      </c>
      <c r="E268" s="113">
        <v>247</v>
      </c>
      <c r="F268" s="113">
        <v>430</v>
      </c>
      <c r="G268" s="113">
        <v>758</v>
      </c>
      <c r="H268" s="113">
        <v>1100</v>
      </c>
      <c r="I268" s="113">
        <v>1100</v>
      </c>
      <c r="J268" s="113">
        <v>874</v>
      </c>
      <c r="K268" s="113">
        <v>800</v>
      </c>
      <c r="L268" s="113">
        <v>1300</v>
      </c>
      <c r="M268" s="113">
        <v>1900</v>
      </c>
      <c r="N268" s="113">
        <v>2800</v>
      </c>
      <c r="O268" s="113">
        <v>2500</v>
      </c>
      <c r="P268" s="113">
        <v>4330</v>
      </c>
      <c r="Q268" s="113">
        <v>4800</v>
      </c>
      <c r="R268" s="113">
        <v>5200</v>
      </c>
      <c r="S268" s="113">
        <v>5400</v>
      </c>
      <c r="T268" s="113">
        <v>6600</v>
      </c>
      <c r="U268" s="113">
        <v>4100</v>
      </c>
      <c r="V268" s="113">
        <v>5300</v>
      </c>
      <c r="W268" s="113">
        <v>3500</v>
      </c>
      <c r="X268" s="113">
        <v>3900</v>
      </c>
      <c r="Y268" s="113">
        <v>5500</v>
      </c>
      <c r="Z268" s="113">
        <v>4400</v>
      </c>
      <c r="AA268" s="113">
        <v>3900</v>
      </c>
      <c r="AB268" s="113">
        <v>2400</v>
      </c>
      <c r="AC268" s="113">
        <v>5500</v>
      </c>
      <c r="AD268" s="113">
        <v>8400</v>
      </c>
      <c r="AE268" s="113">
        <v>8400</v>
      </c>
      <c r="AG268" s="103" t="s">
        <v>2427</v>
      </c>
      <c r="AH268" s="113" t="s">
        <v>271</v>
      </c>
      <c r="AI268" s="113" t="s">
        <v>271</v>
      </c>
      <c r="AJ268" s="113" t="s">
        <v>271</v>
      </c>
      <c r="AK268" s="113">
        <v>187</v>
      </c>
      <c r="AL268" s="113" t="s">
        <v>271</v>
      </c>
      <c r="AM268" s="113" t="s">
        <v>271</v>
      </c>
      <c r="AN268" s="113" t="s">
        <v>271</v>
      </c>
      <c r="AO268" s="113">
        <v>247</v>
      </c>
      <c r="AP268" s="113" t="s">
        <v>271</v>
      </c>
      <c r="AQ268" s="113" t="s">
        <v>271</v>
      </c>
      <c r="AR268" s="113" t="s">
        <v>271</v>
      </c>
      <c r="AS268" s="113">
        <v>430</v>
      </c>
      <c r="AT268" s="113" t="s">
        <v>271</v>
      </c>
      <c r="AU268" s="113" t="s">
        <v>271</v>
      </c>
      <c r="AV268" s="113" t="s">
        <v>271</v>
      </c>
      <c r="AW268" s="113">
        <v>758</v>
      </c>
      <c r="AX268" s="113" t="s">
        <v>271</v>
      </c>
      <c r="AY268" s="113" t="s">
        <v>271</v>
      </c>
      <c r="AZ268" s="113" t="s">
        <v>271</v>
      </c>
      <c r="BA268" s="113">
        <v>1100</v>
      </c>
      <c r="BB268" s="113" t="s">
        <v>271</v>
      </c>
      <c r="BC268" s="113" t="s">
        <v>271</v>
      </c>
      <c r="BD268" s="113" t="s">
        <v>271</v>
      </c>
      <c r="BE268" s="113">
        <v>1100</v>
      </c>
      <c r="BF268" s="113" t="s">
        <v>271</v>
      </c>
      <c r="BG268" s="113" t="s">
        <v>271</v>
      </c>
      <c r="BH268" s="113" t="s">
        <v>271</v>
      </c>
      <c r="BI268" s="113">
        <v>874</v>
      </c>
      <c r="BJ268" s="113" t="s">
        <v>271</v>
      </c>
      <c r="BK268" s="113" t="s">
        <v>271</v>
      </c>
      <c r="BL268" s="113" t="s">
        <v>271</v>
      </c>
      <c r="BM268" s="113">
        <v>800</v>
      </c>
      <c r="BN268" s="113" t="s">
        <v>271</v>
      </c>
      <c r="BO268" s="113" t="s">
        <v>271</v>
      </c>
      <c r="BP268" s="113" t="s">
        <v>271</v>
      </c>
      <c r="BQ268" s="113">
        <v>1300</v>
      </c>
      <c r="BR268" s="113" t="s">
        <v>271</v>
      </c>
      <c r="BS268" s="113" t="s">
        <v>271</v>
      </c>
      <c r="BT268" s="113" t="s">
        <v>271</v>
      </c>
      <c r="BU268" s="113">
        <v>1900</v>
      </c>
      <c r="BV268" s="113" t="s">
        <v>271</v>
      </c>
      <c r="BW268" s="113" t="s">
        <v>271</v>
      </c>
      <c r="BX268" s="113" t="s">
        <v>271</v>
      </c>
      <c r="BY268" s="113">
        <v>2800</v>
      </c>
      <c r="BZ268" s="113" t="s">
        <v>271</v>
      </c>
      <c r="CA268" s="113" t="s">
        <v>271</v>
      </c>
      <c r="CB268" s="113" t="s">
        <v>271</v>
      </c>
      <c r="CC268" s="113">
        <v>2500</v>
      </c>
      <c r="CD268" s="113" t="s">
        <v>271</v>
      </c>
      <c r="CE268" s="113" t="s">
        <v>271</v>
      </c>
      <c r="CF268" s="113" t="s">
        <v>271</v>
      </c>
      <c r="CG268" s="113">
        <v>4300</v>
      </c>
      <c r="CH268" s="113" t="s">
        <v>271</v>
      </c>
      <c r="CI268" s="113" t="s">
        <v>271</v>
      </c>
      <c r="CJ268" s="113" t="s">
        <v>271</v>
      </c>
      <c r="CK268" s="113">
        <v>4780</v>
      </c>
      <c r="CL268" s="113" t="s">
        <v>271</v>
      </c>
      <c r="CM268" s="113" t="s">
        <v>271</v>
      </c>
      <c r="CN268" s="113" t="s">
        <v>271</v>
      </c>
      <c r="CO268" s="113">
        <v>5200</v>
      </c>
      <c r="CP268" s="113" t="s">
        <v>271</v>
      </c>
      <c r="CQ268" s="113" t="s">
        <v>271</v>
      </c>
      <c r="CR268" s="113" t="s">
        <v>271</v>
      </c>
      <c r="CS268" s="113">
        <v>5400</v>
      </c>
      <c r="CT268" s="113" t="s">
        <v>271</v>
      </c>
      <c r="CU268" s="113" t="s">
        <v>271</v>
      </c>
      <c r="CV268" s="113" t="s">
        <v>271</v>
      </c>
      <c r="CW268" s="113">
        <v>6600</v>
      </c>
      <c r="CX268" s="113" t="s">
        <v>271</v>
      </c>
      <c r="CY268" s="113" t="s">
        <v>271</v>
      </c>
      <c r="CZ268" s="113" t="s">
        <v>271</v>
      </c>
      <c r="DA268" s="113">
        <v>4100</v>
      </c>
      <c r="DB268" s="113" t="s">
        <v>271</v>
      </c>
      <c r="DC268" s="113" t="s">
        <v>271</v>
      </c>
      <c r="DD268" s="113" t="s">
        <v>271</v>
      </c>
      <c r="DE268" s="113">
        <v>5300</v>
      </c>
      <c r="DF268" s="113" t="s">
        <v>271</v>
      </c>
      <c r="DG268" s="113" t="s">
        <v>271</v>
      </c>
      <c r="DH268" s="113" t="s">
        <v>271</v>
      </c>
      <c r="DI268" s="113">
        <v>3500</v>
      </c>
      <c r="DJ268" s="113" t="s">
        <v>271</v>
      </c>
      <c r="DK268" s="113" t="s">
        <v>271</v>
      </c>
      <c r="DL268" s="113" t="s">
        <v>271</v>
      </c>
      <c r="DM268" s="113">
        <v>3900</v>
      </c>
      <c r="DN268" s="113" t="s">
        <v>271</v>
      </c>
      <c r="DO268" s="113" t="s">
        <v>271</v>
      </c>
      <c r="DP268" s="113" t="s">
        <v>271</v>
      </c>
      <c r="DQ268" s="113">
        <v>5500</v>
      </c>
      <c r="DR268" s="113" t="s">
        <v>271</v>
      </c>
      <c r="DS268" s="113" t="s">
        <v>271</v>
      </c>
      <c r="DT268" s="113" t="s">
        <v>271</v>
      </c>
      <c r="DU268" s="113">
        <v>4400</v>
      </c>
      <c r="DV268" s="113" t="s">
        <v>271</v>
      </c>
      <c r="DW268" s="113" t="s">
        <v>271</v>
      </c>
      <c r="DX268" s="113" t="s">
        <v>271</v>
      </c>
      <c r="DY268" s="113">
        <v>3900</v>
      </c>
      <c r="DZ268" s="113" t="s">
        <v>271</v>
      </c>
      <c r="EA268" s="113" t="s">
        <v>271</v>
      </c>
      <c r="EB268" s="113" t="s">
        <v>271</v>
      </c>
      <c r="EC268" s="113">
        <v>2400</v>
      </c>
      <c r="ED268" s="113" t="s">
        <v>271</v>
      </c>
      <c r="EE268" s="113" t="s">
        <v>271</v>
      </c>
      <c r="EF268" s="113" t="s">
        <v>271</v>
      </c>
      <c r="EG268" s="113">
        <v>5500</v>
      </c>
      <c r="EH268" s="113" t="s">
        <v>271</v>
      </c>
      <c r="EI268" s="113" t="s">
        <v>271</v>
      </c>
      <c r="EJ268" s="113" t="s">
        <v>271</v>
      </c>
      <c r="EK268" s="113">
        <v>8400</v>
      </c>
      <c r="EL268" s="113" t="s">
        <v>271</v>
      </c>
      <c r="EM268" s="113" t="s">
        <v>271</v>
      </c>
      <c r="EN268" s="113" t="s">
        <v>271</v>
      </c>
    </row>
    <row r="269" spans="1:144">
      <c r="A269" s="103" t="s">
        <v>2428</v>
      </c>
      <c r="B269" s="113" t="s">
        <v>271</v>
      </c>
      <c r="C269" s="113">
        <v>506.54199999999997</v>
      </c>
      <c r="D269" s="113">
        <v>724.125</v>
      </c>
      <c r="E269" s="113">
        <v>1249.75</v>
      </c>
      <c r="F269" s="113">
        <v>1309.75</v>
      </c>
      <c r="G269" s="113">
        <v>2946.875</v>
      </c>
      <c r="H269" s="113">
        <v>3779.375</v>
      </c>
      <c r="I269" s="113">
        <v>5630.75</v>
      </c>
      <c r="J269" s="113">
        <v>6724.25</v>
      </c>
      <c r="K269" s="113">
        <v>5924.75</v>
      </c>
      <c r="L269" s="113">
        <v>6157</v>
      </c>
      <c r="M269" s="113">
        <v>10298</v>
      </c>
      <c r="N269" s="113">
        <v>11914.375</v>
      </c>
      <c r="O269" s="113">
        <v>13803</v>
      </c>
      <c r="P269" s="113">
        <v>13960.375</v>
      </c>
      <c r="Q269" s="113">
        <v>10784.5</v>
      </c>
      <c r="R269" s="113">
        <v>9793.375</v>
      </c>
      <c r="S269" s="113">
        <v>18448.125</v>
      </c>
      <c r="T269" s="113">
        <v>12488.375</v>
      </c>
      <c r="U269" s="113">
        <v>19464.875</v>
      </c>
      <c r="V269" s="113">
        <v>17448.25</v>
      </c>
      <c r="W269" s="113">
        <v>23625</v>
      </c>
      <c r="X269" s="113">
        <v>19701.5</v>
      </c>
      <c r="Y269" s="113">
        <v>23756.625</v>
      </c>
      <c r="Z269" s="113">
        <v>20926.375</v>
      </c>
      <c r="AA269" s="113">
        <v>20337.625</v>
      </c>
      <c r="AB269" s="113">
        <v>14658.125</v>
      </c>
      <c r="AC269" s="113">
        <v>25035.125</v>
      </c>
      <c r="AD269" s="113">
        <v>30932.625</v>
      </c>
      <c r="AE269" s="113">
        <v>36196.125</v>
      </c>
      <c r="AG269" s="103" t="s">
        <v>2428</v>
      </c>
      <c r="AH269" s="113" t="s">
        <v>271</v>
      </c>
      <c r="AI269" s="113" t="s">
        <v>271</v>
      </c>
      <c r="AJ269" s="113" t="s">
        <v>271</v>
      </c>
      <c r="AK269" s="113" t="s">
        <v>271</v>
      </c>
      <c r="AL269" s="113" t="s">
        <v>271</v>
      </c>
      <c r="AM269" s="113" t="s">
        <v>271</v>
      </c>
      <c r="AN269" s="113">
        <v>395</v>
      </c>
      <c r="AO269" s="113">
        <v>362.75</v>
      </c>
      <c r="AP269" s="113">
        <v>284.125</v>
      </c>
      <c r="AQ269" s="113">
        <v>301</v>
      </c>
      <c r="AR269" s="113">
        <v>435.125</v>
      </c>
      <c r="AS269" s="113">
        <v>289.5</v>
      </c>
      <c r="AT269" s="113">
        <v>324.5</v>
      </c>
      <c r="AU269" s="113">
        <v>1230.25</v>
      </c>
      <c r="AV269" s="113">
        <v>723.75</v>
      </c>
      <c r="AW269" s="113">
        <v>680.25</v>
      </c>
      <c r="AX269" s="113">
        <v>629.75</v>
      </c>
      <c r="AY269" s="113">
        <v>1035.625</v>
      </c>
      <c r="AZ269" s="113">
        <v>1457</v>
      </c>
      <c r="BA269" s="113">
        <v>657</v>
      </c>
      <c r="BB269" s="113">
        <v>1453.5</v>
      </c>
      <c r="BC269" s="113">
        <v>1393.125</v>
      </c>
      <c r="BD269" s="113">
        <v>1789.875</v>
      </c>
      <c r="BE269" s="113">
        <v>1490.25</v>
      </c>
      <c r="BF269" s="113">
        <v>2329.25</v>
      </c>
      <c r="BG269" s="113">
        <v>1914.25</v>
      </c>
      <c r="BH269" s="113">
        <v>2144.125</v>
      </c>
      <c r="BI269" s="113">
        <v>285.375</v>
      </c>
      <c r="BJ269" s="113">
        <v>2884.125</v>
      </c>
      <c r="BK269" s="113">
        <v>2980.875</v>
      </c>
      <c r="BL269" s="113">
        <v>2502.375</v>
      </c>
      <c r="BM269" s="113">
        <v>-2565.6</v>
      </c>
      <c r="BN269" s="113">
        <v>1119.625</v>
      </c>
      <c r="BO269" s="113">
        <v>837.25</v>
      </c>
      <c r="BP269" s="113">
        <v>2563.75</v>
      </c>
      <c r="BQ269" s="113">
        <v>817</v>
      </c>
      <c r="BR269" s="113">
        <v>4991.625</v>
      </c>
      <c r="BS269" s="113">
        <v>-573.9</v>
      </c>
      <c r="BT269" s="113">
        <v>2943.25</v>
      </c>
      <c r="BU269" s="113">
        <v>1915.25</v>
      </c>
      <c r="BV269" s="113">
        <v>4422.5</v>
      </c>
      <c r="BW269" s="113">
        <v>2504.875</v>
      </c>
      <c r="BX269" s="113">
        <v>3451</v>
      </c>
      <c r="BY269" s="113">
        <v>1534.875</v>
      </c>
      <c r="BZ269" s="113">
        <v>4904.5</v>
      </c>
      <c r="CA269" s="113">
        <v>2775.875</v>
      </c>
      <c r="CB269" s="113">
        <v>5977.875</v>
      </c>
      <c r="CC269" s="113">
        <v>-45.9</v>
      </c>
      <c r="CD269" s="113">
        <v>5608.75</v>
      </c>
      <c r="CE269" s="113">
        <v>1271.125</v>
      </c>
      <c r="CF269" s="113">
        <v>5632.25</v>
      </c>
      <c r="CG269" s="113">
        <v>1352</v>
      </c>
      <c r="CH269" s="113">
        <v>4650.375</v>
      </c>
      <c r="CI269" s="113">
        <v>885.875</v>
      </c>
      <c r="CJ269" s="113">
        <v>3417.125</v>
      </c>
      <c r="CK269" s="113">
        <v>1930</v>
      </c>
      <c r="CL269" s="113">
        <v>3482.625</v>
      </c>
      <c r="CM269" s="113">
        <v>1038.375</v>
      </c>
      <c r="CN269" s="113">
        <v>5495.125</v>
      </c>
      <c r="CO269" s="113">
        <v>-21.3</v>
      </c>
      <c r="CP269" s="113">
        <v>7782.625</v>
      </c>
      <c r="CQ269" s="113">
        <v>1785.125</v>
      </c>
      <c r="CR269" s="113">
        <v>9951.75</v>
      </c>
      <c r="CS269" s="113">
        <v>-1222</v>
      </c>
      <c r="CT269" s="113">
        <v>2645.375</v>
      </c>
      <c r="CU269" s="113">
        <v>4349.875</v>
      </c>
      <c r="CV269" s="113">
        <v>2461.625</v>
      </c>
      <c r="CW269" s="113">
        <v>3122.75</v>
      </c>
      <c r="CX269" s="113">
        <v>3673.5</v>
      </c>
      <c r="CY269" s="113">
        <v>3205.875</v>
      </c>
      <c r="CZ269" s="113">
        <v>6597.375</v>
      </c>
      <c r="DA269" s="113">
        <v>6025</v>
      </c>
      <c r="DB269" s="113">
        <v>6882.375</v>
      </c>
      <c r="DC269" s="113">
        <v>1406.125</v>
      </c>
      <c r="DD269" s="113">
        <v>6174.125</v>
      </c>
      <c r="DE269" s="113">
        <v>2912.5</v>
      </c>
      <c r="DF269" s="113">
        <v>6322.125</v>
      </c>
      <c r="DG269" s="113">
        <v>3330.875</v>
      </c>
      <c r="DH269" s="113">
        <v>8300.375</v>
      </c>
      <c r="DI269" s="113">
        <v>5671.625</v>
      </c>
      <c r="DJ269" s="113">
        <v>7145.125</v>
      </c>
      <c r="DK269" s="113">
        <v>2873.25</v>
      </c>
      <c r="DL269" s="113">
        <v>7083.5</v>
      </c>
      <c r="DM269" s="113">
        <v>2599.625</v>
      </c>
      <c r="DN269" s="113">
        <v>6785</v>
      </c>
      <c r="DO269" s="113">
        <v>761.25</v>
      </c>
      <c r="DP269" s="113">
        <v>7732.375</v>
      </c>
      <c r="DQ269" s="113">
        <v>8478</v>
      </c>
      <c r="DR269" s="113">
        <v>6626.375</v>
      </c>
      <c r="DS269" s="113">
        <v>181.625</v>
      </c>
      <c r="DT269" s="113">
        <v>8047.125</v>
      </c>
      <c r="DU269" s="113">
        <v>6071.25</v>
      </c>
      <c r="DV269" s="113">
        <v>4697</v>
      </c>
      <c r="DW269" s="113">
        <v>589.125</v>
      </c>
      <c r="DX269" s="113">
        <v>5604.375</v>
      </c>
      <c r="DY269" s="113">
        <v>5762.125</v>
      </c>
      <c r="DZ269" s="113">
        <v>7676.75</v>
      </c>
      <c r="EA269" s="113">
        <v>2691</v>
      </c>
      <c r="EB269" s="113">
        <v>4614.25</v>
      </c>
      <c r="EC269" s="113">
        <v>1163</v>
      </c>
      <c r="ED269" s="113">
        <v>4818.5</v>
      </c>
      <c r="EE269" s="113">
        <v>4114.125</v>
      </c>
      <c r="EF269" s="113">
        <v>10438.625</v>
      </c>
      <c r="EG269" s="113">
        <v>5663.875</v>
      </c>
      <c r="EH269" s="113">
        <v>9006.625</v>
      </c>
      <c r="EI269" s="113">
        <v>2616.25</v>
      </c>
      <c r="EJ269" s="113">
        <v>8893.75</v>
      </c>
      <c r="EK269" s="113">
        <v>10416</v>
      </c>
      <c r="EL269" s="113">
        <v>11885.625</v>
      </c>
      <c r="EM269" s="113">
        <v>3881.5</v>
      </c>
      <c r="EN269" s="113">
        <v>10013</v>
      </c>
    </row>
    <row r="270" spans="1:144">
      <c r="A270" s="103" t="s">
        <v>2429</v>
      </c>
      <c r="B270" s="113" t="s">
        <v>271</v>
      </c>
      <c r="C270" s="113">
        <v>507.79199999999997</v>
      </c>
      <c r="D270" s="113">
        <v>724.75</v>
      </c>
      <c r="E270" s="113">
        <v>1249.75</v>
      </c>
      <c r="F270" s="113">
        <v>1309.75</v>
      </c>
      <c r="G270" s="113">
        <v>2946.875</v>
      </c>
      <c r="H270" s="113">
        <v>3779.375</v>
      </c>
      <c r="I270" s="113">
        <v>5630.75</v>
      </c>
      <c r="J270" s="113">
        <v>6724.25</v>
      </c>
      <c r="K270" s="113">
        <v>5924.75</v>
      </c>
      <c r="L270" s="113">
        <v>6157</v>
      </c>
      <c r="M270" s="113">
        <v>10298</v>
      </c>
      <c r="N270" s="113">
        <v>11914.375</v>
      </c>
      <c r="O270" s="113">
        <v>13803</v>
      </c>
      <c r="P270" s="113">
        <v>13960.375</v>
      </c>
      <c r="Q270" s="113">
        <v>10784.5</v>
      </c>
      <c r="R270" s="113">
        <v>9937.125</v>
      </c>
      <c r="S270" s="113">
        <v>18514.375</v>
      </c>
      <c r="T270" s="113">
        <v>12512.125</v>
      </c>
      <c r="U270" s="113">
        <v>19559.25</v>
      </c>
      <c r="V270" s="113">
        <v>17632.625</v>
      </c>
      <c r="W270" s="113">
        <v>23862.5</v>
      </c>
      <c r="X270" s="113">
        <v>19969.625</v>
      </c>
      <c r="Y270" s="113">
        <v>24129.75</v>
      </c>
      <c r="Z270" s="113">
        <v>21414.5</v>
      </c>
      <c r="AA270" s="113">
        <v>21114.5</v>
      </c>
      <c r="AB270" s="113">
        <v>16046.875</v>
      </c>
      <c r="AC270" s="113">
        <v>26743.25</v>
      </c>
      <c r="AD270" s="113">
        <v>32611.375</v>
      </c>
      <c r="AE270" s="113">
        <v>37806.125</v>
      </c>
      <c r="AG270" s="103" t="s">
        <v>2429</v>
      </c>
      <c r="AH270" s="113" t="s">
        <v>271</v>
      </c>
      <c r="AI270" s="113" t="s">
        <v>271</v>
      </c>
      <c r="AJ270" s="113" t="s">
        <v>271</v>
      </c>
      <c r="AK270" s="113" t="s">
        <v>271</v>
      </c>
      <c r="AL270" s="113" t="s">
        <v>271</v>
      </c>
      <c r="AM270" s="113" t="s">
        <v>271</v>
      </c>
      <c r="AN270" s="113">
        <v>395</v>
      </c>
      <c r="AO270" s="113">
        <v>364</v>
      </c>
      <c r="AP270" s="113">
        <v>284.125</v>
      </c>
      <c r="AQ270" s="113">
        <v>301</v>
      </c>
      <c r="AR270" s="113">
        <v>435.125</v>
      </c>
      <c r="AS270" s="113">
        <v>289.5</v>
      </c>
      <c r="AT270" s="113">
        <v>324.5</v>
      </c>
      <c r="AU270" s="113">
        <v>1230.25</v>
      </c>
      <c r="AV270" s="113">
        <v>723.75</v>
      </c>
      <c r="AW270" s="113">
        <v>680.25</v>
      </c>
      <c r="AX270" s="113">
        <v>629.75</v>
      </c>
      <c r="AY270" s="113">
        <v>1035.625</v>
      </c>
      <c r="AZ270" s="113">
        <v>1457</v>
      </c>
      <c r="BA270" s="113">
        <v>657</v>
      </c>
      <c r="BB270" s="113">
        <v>1453.5</v>
      </c>
      <c r="BC270" s="113">
        <v>1393.125</v>
      </c>
      <c r="BD270" s="113">
        <v>1789.875</v>
      </c>
      <c r="BE270" s="113">
        <v>1490.25</v>
      </c>
      <c r="BF270" s="113">
        <v>2329.25</v>
      </c>
      <c r="BG270" s="113">
        <v>1914.25</v>
      </c>
      <c r="BH270" s="113">
        <v>2144.125</v>
      </c>
      <c r="BI270" s="113">
        <v>285.375</v>
      </c>
      <c r="BJ270" s="113">
        <v>2884.125</v>
      </c>
      <c r="BK270" s="113">
        <v>2980.875</v>
      </c>
      <c r="BL270" s="113">
        <v>2502.375</v>
      </c>
      <c r="BM270" s="113">
        <v>-2565.6</v>
      </c>
      <c r="BN270" s="113">
        <v>1119.625</v>
      </c>
      <c r="BO270" s="113">
        <v>837.25</v>
      </c>
      <c r="BP270" s="113">
        <v>2563.75</v>
      </c>
      <c r="BQ270" s="113">
        <v>1066.375</v>
      </c>
      <c r="BR270" s="113">
        <v>4991.625</v>
      </c>
      <c r="BS270" s="113">
        <v>-573.9</v>
      </c>
      <c r="BT270" s="113">
        <v>2943.25</v>
      </c>
      <c r="BU270" s="113">
        <v>1915.25</v>
      </c>
      <c r="BV270" s="113">
        <v>4422.5</v>
      </c>
      <c r="BW270" s="113">
        <v>2504.875</v>
      </c>
      <c r="BX270" s="113">
        <v>3451</v>
      </c>
      <c r="BY270" s="113">
        <v>1534.875</v>
      </c>
      <c r="BZ270" s="113">
        <v>4904.5</v>
      </c>
      <c r="CA270" s="113">
        <v>2775.875</v>
      </c>
      <c r="CB270" s="113">
        <v>5977.875</v>
      </c>
      <c r="CC270" s="113">
        <v>-45.9</v>
      </c>
      <c r="CD270" s="113">
        <v>5608.75</v>
      </c>
      <c r="CE270" s="113">
        <v>1271.125</v>
      </c>
      <c r="CF270" s="113">
        <v>5632.25</v>
      </c>
      <c r="CG270" s="113">
        <v>1352</v>
      </c>
      <c r="CH270" s="113">
        <v>4650.375</v>
      </c>
      <c r="CI270" s="113">
        <v>885.875</v>
      </c>
      <c r="CJ270" s="113">
        <v>3417.125</v>
      </c>
      <c r="CK270" s="113">
        <v>1930</v>
      </c>
      <c r="CL270" s="113">
        <v>3482.625</v>
      </c>
      <c r="CM270" s="113">
        <v>1038.375</v>
      </c>
      <c r="CN270" s="113">
        <v>5495.125</v>
      </c>
      <c r="CO270" s="113">
        <v>-21.3</v>
      </c>
      <c r="CP270" s="113">
        <v>7782.625</v>
      </c>
      <c r="CQ270" s="113">
        <v>1785.125</v>
      </c>
      <c r="CR270" s="113">
        <v>9951.75</v>
      </c>
      <c r="CS270" s="113">
        <v>-1155.8</v>
      </c>
      <c r="CT270" s="113">
        <v>2645.375</v>
      </c>
      <c r="CU270" s="113">
        <v>4349.875</v>
      </c>
      <c r="CV270" s="113">
        <v>2461.625</v>
      </c>
      <c r="CW270" s="113">
        <v>3146.5</v>
      </c>
      <c r="CX270" s="113">
        <v>3697.25</v>
      </c>
      <c r="CY270" s="113">
        <v>3229.625</v>
      </c>
      <c r="CZ270" s="113">
        <v>6621.125</v>
      </c>
      <c r="DA270" s="113">
        <v>6048.125</v>
      </c>
      <c r="DB270" s="113">
        <v>6910.5</v>
      </c>
      <c r="DC270" s="113">
        <v>1451.125</v>
      </c>
      <c r="DD270" s="113">
        <v>6174.125</v>
      </c>
      <c r="DE270" s="113">
        <v>3096.875</v>
      </c>
      <c r="DF270" s="113">
        <v>6380.875</v>
      </c>
      <c r="DG270" s="113">
        <v>3390.25</v>
      </c>
      <c r="DH270" s="113">
        <v>8359.75</v>
      </c>
      <c r="DI270" s="113">
        <v>5731.625</v>
      </c>
      <c r="DJ270" s="113">
        <v>7204.5</v>
      </c>
      <c r="DK270" s="113">
        <v>2938.875</v>
      </c>
      <c r="DL270" s="113">
        <v>7151.625</v>
      </c>
      <c r="DM270" s="113">
        <v>2674.625</v>
      </c>
      <c r="DN270" s="113">
        <v>6858.75</v>
      </c>
      <c r="DO270" s="113">
        <v>845.625</v>
      </c>
      <c r="DP270" s="113">
        <v>7841.75</v>
      </c>
      <c r="DQ270" s="113">
        <v>8583.625</v>
      </c>
      <c r="DR270" s="113">
        <v>6727</v>
      </c>
      <c r="DS270" s="113">
        <v>282.875</v>
      </c>
      <c r="DT270" s="113">
        <v>8179</v>
      </c>
      <c r="DU270" s="113">
        <v>6225.625</v>
      </c>
      <c r="DV270" s="113">
        <v>4852.625</v>
      </c>
      <c r="DW270" s="113">
        <v>782.25</v>
      </c>
      <c r="DX270" s="113">
        <v>5816.875</v>
      </c>
      <c r="DY270" s="113">
        <v>5977.75</v>
      </c>
      <c r="DZ270" s="113">
        <v>7949.875</v>
      </c>
      <c r="EA270" s="113">
        <v>3016.625</v>
      </c>
      <c r="EB270" s="113">
        <v>4994.875</v>
      </c>
      <c r="EC270" s="113">
        <v>1572.375</v>
      </c>
      <c r="ED270" s="113">
        <v>5238.5</v>
      </c>
      <c r="EE270" s="113">
        <v>4550.375</v>
      </c>
      <c r="EF270" s="113">
        <v>10870.5</v>
      </c>
      <c r="EG270" s="113">
        <v>6083.875</v>
      </c>
      <c r="EH270" s="113">
        <v>9427.875</v>
      </c>
      <c r="EI270" s="113">
        <v>3036.25</v>
      </c>
      <c r="EJ270" s="113">
        <v>9313.125</v>
      </c>
      <c r="EK270" s="113">
        <v>10834.125</v>
      </c>
      <c r="EL270" s="113">
        <v>12283.75</v>
      </c>
      <c r="EM270" s="113">
        <v>4290.875</v>
      </c>
      <c r="EN270" s="113">
        <v>10397.375</v>
      </c>
    </row>
    <row r="271" spans="1:144">
      <c r="A271" s="103" t="s">
        <v>2430</v>
      </c>
      <c r="B271" s="113" t="s">
        <v>271</v>
      </c>
      <c r="C271" s="113">
        <v>-90.3</v>
      </c>
      <c r="D271" s="113">
        <v>19</v>
      </c>
      <c r="E271" s="113">
        <v>-212</v>
      </c>
      <c r="F271" s="113">
        <v>-262</v>
      </c>
      <c r="G271" s="113">
        <v>-1049</v>
      </c>
      <c r="H271" s="113">
        <v>-677</v>
      </c>
      <c r="I271" s="113">
        <v>-1565</v>
      </c>
      <c r="J271" s="113">
        <v>-568</v>
      </c>
      <c r="K271" s="113">
        <v>1091</v>
      </c>
      <c r="L271" s="113">
        <v>1601</v>
      </c>
      <c r="M271" s="113">
        <v>-1176</v>
      </c>
      <c r="N271" s="113">
        <v>-1229</v>
      </c>
      <c r="O271" s="113">
        <v>-946</v>
      </c>
      <c r="P271" s="113">
        <v>-896</v>
      </c>
      <c r="Q271" s="113">
        <v>1363</v>
      </c>
      <c r="R271" s="113">
        <v>2628</v>
      </c>
      <c r="S271" s="113">
        <v>-3301</v>
      </c>
      <c r="T271" s="113">
        <v>1366</v>
      </c>
      <c r="U271" s="113">
        <v>-1980</v>
      </c>
      <c r="V271" s="113">
        <v>1805</v>
      </c>
      <c r="W271" s="113">
        <v>-3576</v>
      </c>
      <c r="X271" s="113">
        <v>-1086</v>
      </c>
      <c r="Y271" s="113">
        <v>-5295</v>
      </c>
      <c r="Z271" s="113">
        <v>-1698</v>
      </c>
      <c r="AA271" s="113">
        <v>-3850</v>
      </c>
      <c r="AB271" s="113">
        <v>5222</v>
      </c>
      <c r="AC271" s="113">
        <v>-2624</v>
      </c>
      <c r="AD271" s="113">
        <v>-3435</v>
      </c>
      <c r="AE271" s="113">
        <v>-2817</v>
      </c>
      <c r="AG271" s="103" t="s">
        <v>2430</v>
      </c>
      <c r="AH271" s="113" t="s">
        <v>271</v>
      </c>
      <c r="AI271" s="113" t="s">
        <v>271</v>
      </c>
      <c r="AJ271" s="113" t="s">
        <v>271</v>
      </c>
      <c r="AK271" s="113" t="s">
        <v>271</v>
      </c>
      <c r="AL271" s="113" t="s">
        <v>271</v>
      </c>
      <c r="AM271" s="113" t="s">
        <v>271</v>
      </c>
      <c r="AN271" s="113">
        <v>-91</v>
      </c>
      <c r="AO271" s="113">
        <v>-70</v>
      </c>
      <c r="AP271" s="113">
        <v>-11</v>
      </c>
      <c r="AQ271" s="113">
        <v>-13</v>
      </c>
      <c r="AR271" s="113">
        <v>-124</v>
      </c>
      <c r="AS271" s="113">
        <v>-114</v>
      </c>
      <c r="AT271" s="113">
        <v>71</v>
      </c>
      <c r="AU271" s="113">
        <v>-749</v>
      </c>
      <c r="AV271" s="113">
        <v>-183</v>
      </c>
      <c r="AW271" s="113">
        <v>-188</v>
      </c>
      <c r="AX271" s="113">
        <v>-3</v>
      </c>
      <c r="AY271" s="113">
        <v>-333</v>
      </c>
      <c r="AZ271" s="113">
        <v>-479</v>
      </c>
      <c r="BA271" s="113">
        <v>138</v>
      </c>
      <c r="BB271" s="113">
        <v>-495</v>
      </c>
      <c r="BC271" s="113">
        <v>-267</v>
      </c>
      <c r="BD271" s="113">
        <v>-491</v>
      </c>
      <c r="BE271" s="113">
        <v>-312</v>
      </c>
      <c r="BF271" s="113">
        <v>-955</v>
      </c>
      <c r="BG271" s="113">
        <v>-176</v>
      </c>
      <c r="BH271" s="113">
        <v>-643</v>
      </c>
      <c r="BI271" s="113">
        <v>1206</v>
      </c>
      <c r="BJ271" s="113">
        <v>-935</v>
      </c>
      <c r="BK271" s="113">
        <v>-1056</v>
      </c>
      <c r="BL271" s="113">
        <v>-764</v>
      </c>
      <c r="BM271" s="113">
        <v>3846</v>
      </c>
      <c r="BN271" s="113">
        <v>621</v>
      </c>
      <c r="BO271" s="113">
        <v>1126</v>
      </c>
      <c r="BP271" s="113">
        <v>-471</v>
      </c>
      <c r="BQ271" s="113">
        <v>325</v>
      </c>
      <c r="BR271" s="113">
        <v>-3049</v>
      </c>
      <c r="BS271" s="113">
        <v>2885</v>
      </c>
      <c r="BT271" s="113">
        <v>-900</v>
      </c>
      <c r="BU271" s="113">
        <v>-112</v>
      </c>
      <c r="BV271" s="113">
        <v>-1369</v>
      </c>
      <c r="BW271" s="113">
        <v>79</v>
      </c>
      <c r="BX271" s="113">
        <v>-557</v>
      </c>
      <c r="BY271" s="113">
        <v>618</v>
      </c>
      <c r="BZ271" s="113">
        <v>-1761</v>
      </c>
      <c r="CA271" s="113">
        <v>1506</v>
      </c>
      <c r="CB271" s="113">
        <v>-2817</v>
      </c>
      <c r="CC271" s="113">
        <v>2126</v>
      </c>
      <c r="CD271" s="113">
        <v>-2335</v>
      </c>
      <c r="CE271" s="113">
        <v>2180</v>
      </c>
      <c r="CF271" s="113">
        <v>-1990</v>
      </c>
      <c r="CG271" s="113">
        <v>1249</v>
      </c>
      <c r="CH271" s="113">
        <v>-1356</v>
      </c>
      <c r="CI271" s="113">
        <v>2493</v>
      </c>
      <c r="CJ271" s="113">
        <v>-490</v>
      </c>
      <c r="CK271" s="113">
        <v>716</v>
      </c>
      <c r="CL271" s="113">
        <v>-338</v>
      </c>
      <c r="CM271" s="113">
        <v>1431</v>
      </c>
      <c r="CN271" s="113">
        <v>-887</v>
      </c>
      <c r="CO271" s="113">
        <v>2422</v>
      </c>
      <c r="CP271" s="113">
        <v>-3869</v>
      </c>
      <c r="CQ271" s="113">
        <v>2394</v>
      </c>
      <c r="CR271" s="113">
        <v>-6187</v>
      </c>
      <c r="CS271" s="113">
        <v>4361</v>
      </c>
      <c r="CT271" s="113">
        <v>1354</v>
      </c>
      <c r="CU271" s="113">
        <v>-431</v>
      </c>
      <c r="CV271" s="113">
        <v>993</v>
      </c>
      <c r="CW271" s="113">
        <v>-550</v>
      </c>
      <c r="CX271" s="113">
        <v>-242</v>
      </c>
      <c r="CY271" s="113">
        <v>2815</v>
      </c>
      <c r="CZ271" s="113">
        <v>-2621</v>
      </c>
      <c r="DA271" s="113">
        <v>-1932</v>
      </c>
      <c r="DB271" s="113">
        <v>-1805</v>
      </c>
      <c r="DC271" s="113">
        <v>4377</v>
      </c>
      <c r="DD271" s="113">
        <v>-2003</v>
      </c>
      <c r="DE271" s="113">
        <v>1236</v>
      </c>
      <c r="DF271" s="113">
        <v>-1031</v>
      </c>
      <c r="DG271" s="113">
        <v>2361</v>
      </c>
      <c r="DH271" s="113">
        <v>-3768</v>
      </c>
      <c r="DI271" s="113">
        <v>-1138</v>
      </c>
      <c r="DJ271" s="113">
        <v>-3177</v>
      </c>
      <c r="DK271" s="113">
        <v>2600</v>
      </c>
      <c r="DL271" s="113">
        <v>-1214</v>
      </c>
      <c r="DM271" s="113">
        <v>705</v>
      </c>
      <c r="DN271" s="113">
        <v>-2542</v>
      </c>
      <c r="DO271" s="113">
        <v>4255</v>
      </c>
      <c r="DP271" s="113">
        <v>-2818</v>
      </c>
      <c r="DQ271" s="113">
        <v>-4190</v>
      </c>
      <c r="DR271" s="113">
        <v>-1570</v>
      </c>
      <c r="DS271" s="113">
        <v>5393</v>
      </c>
      <c r="DT271" s="113">
        <v>-3174</v>
      </c>
      <c r="DU271" s="113">
        <v>-2347</v>
      </c>
      <c r="DV271" s="113">
        <v>-453</v>
      </c>
      <c r="DW271" s="113">
        <v>3162</v>
      </c>
      <c r="DX271" s="113">
        <v>-2444</v>
      </c>
      <c r="DY271" s="113">
        <v>-4115</v>
      </c>
      <c r="DZ271" s="113">
        <v>-3397</v>
      </c>
      <c r="EA271" s="113">
        <v>2869</v>
      </c>
      <c r="EB271" s="113">
        <v>848</v>
      </c>
      <c r="EC271" s="113">
        <v>4902</v>
      </c>
      <c r="ED271" s="113">
        <v>919</v>
      </c>
      <c r="EE271" s="113">
        <v>1810</v>
      </c>
      <c r="EF271" s="113">
        <v>-4943</v>
      </c>
      <c r="EG271" s="113">
        <v>-410</v>
      </c>
      <c r="EH271" s="113">
        <v>-2864</v>
      </c>
      <c r="EI271" s="113">
        <v>3846</v>
      </c>
      <c r="EJ271" s="113">
        <v>-1317</v>
      </c>
      <c r="EK271" s="113">
        <v>-3100</v>
      </c>
      <c r="EL271" s="113">
        <v>-3507</v>
      </c>
      <c r="EM271" s="113">
        <v>5389</v>
      </c>
      <c r="EN271" s="113">
        <v>-1599</v>
      </c>
    </row>
    <row r="272" spans="1:144">
      <c r="A272" s="103" t="s">
        <v>2431</v>
      </c>
      <c r="B272" s="113" t="s">
        <v>271</v>
      </c>
      <c r="C272" s="113" t="s">
        <v>271</v>
      </c>
      <c r="D272" s="113" t="s">
        <v>271</v>
      </c>
      <c r="E272" s="113" t="s">
        <v>271</v>
      </c>
      <c r="F272" s="113" t="s">
        <v>271</v>
      </c>
      <c r="G272" s="113" t="s">
        <v>271</v>
      </c>
      <c r="H272" s="113" t="s">
        <v>271</v>
      </c>
      <c r="I272" s="113" t="s">
        <v>271</v>
      </c>
      <c r="J272" s="113" t="s">
        <v>271</v>
      </c>
      <c r="K272" s="113" t="s">
        <v>271</v>
      </c>
      <c r="L272" s="113" t="s">
        <v>271</v>
      </c>
      <c r="M272" s="113" t="s">
        <v>271</v>
      </c>
      <c r="N272" s="113" t="s">
        <v>271</v>
      </c>
      <c r="O272" s="113" t="s">
        <v>271</v>
      </c>
      <c r="P272" s="113" t="s">
        <v>271</v>
      </c>
      <c r="Q272" s="113" t="s">
        <v>271</v>
      </c>
      <c r="R272" s="113" t="s">
        <v>271</v>
      </c>
      <c r="S272" s="113" t="s">
        <v>271</v>
      </c>
      <c r="T272" s="113">
        <v>5746</v>
      </c>
      <c r="U272" s="113">
        <v>190</v>
      </c>
      <c r="V272" s="113">
        <v>5960</v>
      </c>
      <c r="W272" s="113" t="s">
        <v>271</v>
      </c>
      <c r="X272" s="113">
        <v>3537</v>
      </c>
      <c r="Y272" s="113">
        <v>6962</v>
      </c>
      <c r="Z272" s="113">
        <v>13661</v>
      </c>
      <c r="AA272" s="113">
        <v>18283</v>
      </c>
      <c r="AB272" s="113">
        <v>31459</v>
      </c>
      <c r="AC272" s="113">
        <v>-10201</v>
      </c>
      <c r="AD272" s="113">
        <v>-4000</v>
      </c>
      <c r="AE272" s="113">
        <v>-6518</v>
      </c>
      <c r="AG272" s="103" t="s">
        <v>2431</v>
      </c>
      <c r="AH272" s="113" t="s">
        <v>271</v>
      </c>
      <c r="AI272" s="113" t="s">
        <v>271</v>
      </c>
      <c r="AJ272" s="113" t="s">
        <v>271</v>
      </c>
      <c r="AK272" s="113" t="s">
        <v>271</v>
      </c>
      <c r="AL272" s="113" t="s">
        <v>271</v>
      </c>
      <c r="AM272" s="113" t="s">
        <v>271</v>
      </c>
      <c r="AN272" s="113" t="s">
        <v>271</v>
      </c>
      <c r="AO272" s="113" t="s">
        <v>271</v>
      </c>
      <c r="AP272" s="113" t="s">
        <v>271</v>
      </c>
      <c r="AQ272" s="113" t="s">
        <v>271</v>
      </c>
      <c r="AR272" s="113" t="s">
        <v>271</v>
      </c>
      <c r="AS272" s="113" t="s">
        <v>271</v>
      </c>
      <c r="AT272" s="113" t="s">
        <v>271</v>
      </c>
      <c r="AU272" s="113" t="s">
        <v>271</v>
      </c>
      <c r="AV272" s="113" t="s">
        <v>271</v>
      </c>
      <c r="AW272" s="113" t="s">
        <v>271</v>
      </c>
      <c r="AX272" s="113" t="s">
        <v>271</v>
      </c>
      <c r="AY272" s="113" t="s">
        <v>271</v>
      </c>
      <c r="AZ272" s="113" t="s">
        <v>271</v>
      </c>
      <c r="BA272" s="113" t="s">
        <v>271</v>
      </c>
      <c r="BB272" s="113" t="s">
        <v>271</v>
      </c>
      <c r="BC272" s="113" t="s">
        <v>271</v>
      </c>
      <c r="BD272" s="113" t="s">
        <v>271</v>
      </c>
      <c r="BE272" s="113" t="s">
        <v>271</v>
      </c>
      <c r="BF272" s="113" t="s">
        <v>271</v>
      </c>
      <c r="BG272" s="113" t="s">
        <v>271</v>
      </c>
      <c r="BH272" s="113" t="s">
        <v>271</v>
      </c>
      <c r="BI272" s="113" t="s">
        <v>271</v>
      </c>
      <c r="BJ272" s="113" t="s">
        <v>271</v>
      </c>
      <c r="BK272" s="113" t="s">
        <v>271</v>
      </c>
      <c r="BL272" s="113" t="s">
        <v>271</v>
      </c>
      <c r="BM272" s="113" t="s">
        <v>271</v>
      </c>
      <c r="BN272" s="113" t="s">
        <v>271</v>
      </c>
      <c r="BO272" s="113" t="s">
        <v>271</v>
      </c>
      <c r="BP272" s="113" t="s">
        <v>271</v>
      </c>
      <c r="BQ272" s="113" t="s">
        <v>271</v>
      </c>
      <c r="BR272" s="113" t="s">
        <v>271</v>
      </c>
      <c r="BS272" s="113" t="s">
        <v>271</v>
      </c>
      <c r="BT272" s="113" t="s">
        <v>271</v>
      </c>
      <c r="BU272" s="113" t="s">
        <v>271</v>
      </c>
      <c r="BV272" s="113" t="s">
        <v>271</v>
      </c>
      <c r="BW272" s="113" t="s">
        <v>271</v>
      </c>
      <c r="BX272" s="113" t="s">
        <v>271</v>
      </c>
      <c r="BY272" s="113" t="s">
        <v>271</v>
      </c>
      <c r="BZ272" s="113" t="s">
        <v>271</v>
      </c>
      <c r="CA272" s="113" t="s">
        <v>271</v>
      </c>
      <c r="CB272" s="113" t="s">
        <v>271</v>
      </c>
      <c r="CC272" s="113" t="s">
        <v>271</v>
      </c>
      <c r="CD272" s="113" t="s">
        <v>271</v>
      </c>
      <c r="CE272" s="113" t="s">
        <v>271</v>
      </c>
      <c r="CF272" s="113" t="s">
        <v>271</v>
      </c>
      <c r="CG272" s="113" t="s">
        <v>271</v>
      </c>
      <c r="CH272" s="113" t="s">
        <v>271</v>
      </c>
      <c r="CI272" s="113" t="s">
        <v>271</v>
      </c>
      <c r="CJ272" s="113" t="s">
        <v>271</v>
      </c>
      <c r="CK272" s="113" t="s">
        <v>271</v>
      </c>
      <c r="CL272" s="113" t="s">
        <v>271</v>
      </c>
      <c r="CM272" s="113" t="s">
        <v>271</v>
      </c>
      <c r="CN272" s="113" t="s">
        <v>271</v>
      </c>
      <c r="CO272" s="113" t="s">
        <v>271</v>
      </c>
      <c r="CP272" s="113" t="s">
        <v>271</v>
      </c>
      <c r="CQ272" s="113" t="s">
        <v>271</v>
      </c>
      <c r="CR272" s="113" t="s">
        <v>271</v>
      </c>
      <c r="CS272" s="113" t="s">
        <v>271</v>
      </c>
      <c r="CT272" s="113">
        <v>1975</v>
      </c>
      <c r="CU272" s="113">
        <v>21</v>
      </c>
      <c r="CV272" s="113">
        <v>-1</v>
      </c>
      <c r="CW272" s="113">
        <v>3751</v>
      </c>
      <c r="CX272" s="113">
        <v>250</v>
      </c>
      <c r="CY272" s="113">
        <v>-2</v>
      </c>
      <c r="CZ272" s="113">
        <v>0</v>
      </c>
      <c r="DA272" s="113">
        <v>-58</v>
      </c>
      <c r="DB272" s="113">
        <v>4721</v>
      </c>
      <c r="DC272" s="113">
        <v>-1000</v>
      </c>
      <c r="DD272" s="113">
        <v>2239</v>
      </c>
      <c r="DE272" s="113">
        <v>0</v>
      </c>
      <c r="DF272" s="113" t="s">
        <v>271</v>
      </c>
      <c r="DG272" s="113" t="s">
        <v>271</v>
      </c>
      <c r="DH272" s="113" t="s">
        <v>271</v>
      </c>
      <c r="DI272" s="113" t="s">
        <v>271</v>
      </c>
      <c r="DJ272" s="113" t="s">
        <v>271</v>
      </c>
      <c r="DK272" s="113">
        <v>2232</v>
      </c>
      <c r="DL272" s="113" t="s">
        <v>271</v>
      </c>
      <c r="DM272" s="113">
        <v>1305</v>
      </c>
      <c r="DN272" s="113">
        <v>300</v>
      </c>
      <c r="DO272" s="113">
        <v>6962</v>
      </c>
      <c r="DP272" s="113">
        <v>-300</v>
      </c>
      <c r="DQ272" s="113">
        <v>0</v>
      </c>
      <c r="DR272" s="113">
        <v>1499</v>
      </c>
      <c r="DS272" s="113">
        <v>4798</v>
      </c>
      <c r="DT272" s="113">
        <v>4105</v>
      </c>
      <c r="DU272" s="113">
        <v>3259</v>
      </c>
      <c r="DV272" s="113">
        <v>3261</v>
      </c>
      <c r="DW272" s="113">
        <v>5976</v>
      </c>
      <c r="DX272" s="113">
        <v>1747</v>
      </c>
      <c r="DY272" s="113">
        <v>7299</v>
      </c>
      <c r="DZ272" s="113">
        <v>21362</v>
      </c>
      <c r="EA272" s="113">
        <v>9196</v>
      </c>
      <c r="EB272" s="113">
        <v>-966</v>
      </c>
      <c r="EC272" s="113">
        <v>1867</v>
      </c>
      <c r="ED272" s="113">
        <v>-925</v>
      </c>
      <c r="EE272" s="113">
        <v>3661</v>
      </c>
      <c r="EF272" s="113">
        <v>-12256</v>
      </c>
      <c r="EG272" s="113">
        <v>-681</v>
      </c>
      <c r="EH272" s="113" t="s">
        <v>271</v>
      </c>
      <c r="EI272" s="113">
        <v>-3000</v>
      </c>
      <c r="EJ272" s="113" t="s">
        <v>271</v>
      </c>
      <c r="EK272" s="113">
        <v>-1000</v>
      </c>
      <c r="EL272" s="113">
        <v>-2500</v>
      </c>
      <c r="EM272" s="113">
        <v>-18</v>
      </c>
      <c r="EN272" s="113">
        <v>-3000</v>
      </c>
    </row>
    <row r="273" spans="1:256">
      <c r="A273" s="103" t="s">
        <v>2126</v>
      </c>
      <c r="B273" s="122">
        <v>34243</v>
      </c>
      <c r="C273" s="122">
        <v>34604</v>
      </c>
      <c r="D273" s="122">
        <v>34967</v>
      </c>
      <c r="E273" s="122">
        <v>35335</v>
      </c>
      <c r="F273" s="122">
        <v>35702</v>
      </c>
      <c r="G273" s="122">
        <v>36063</v>
      </c>
      <c r="H273" s="122">
        <v>36431</v>
      </c>
      <c r="I273" s="122">
        <v>36797</v>
      </c>
      <c r="J273" s="122">
        <v>37152</v>
      </c>
      <c r="K273" s="122">
        <v>37505</v>
      </c>
      <c r="L273" s="122">
        <v>37869</v>
      </c>
      <c r="M273" s="122">
        <v>38231</v>
      </c>
      <c r="N273" s="122">
        <v>38590</v>
      </c>
      <c r="O273" s="122">
        <v>38954</v>
      </c>
      <c r="P273" s="122">
        <v>39297</v>
      </c>
      <c r="Q273" s="122">
        <v>39660</v>
      </c>
      <c r="R273" s="122">
        <v>40024</v>
      </c>
      <c r="S273" s="122">
        <v>40389</v>
      </c>
      <c r="T273" s="122">
        <v>40752</v>
      </c>
      <c r="U273" s="122">
        <v>41116</v>
      </c>
      <c r="V273" s="122">
        <v>41485</v>
      </c>
      <c r="W273" s="122">
        <v>41851</v>
      </c>
      <c r="X273" s="122">
        <v>42216</v>
      </c>
      <c r="Y273" s="122">
        <v>42579</v>
      </c>
      <c r="Z273" s="122">
        <v>42949</v>
      </c>
      <c r="AA273" s="122">
        <v>43315</v>
      </c>
      <c r="AB273" s="122">
        <v>43678</v>
      </c>
      <c r="AC273" s="122">
        <v>43678</v>
      </c>
      <c r="AD273" s="122">
        <v>43678</v>
      </c>
      <c r="AE273" s="122">
        <v>43950</v>
      </c>
      <c r="AG273" s="103" t="s">
        <v>2126</v>
      </c>
      <c r="AH273" s="122">
        <v>34379</v>
      </c>
      <c r="AI273" s="122">
        <v>34379</v>
      </c>
      <c r="AJ273" s="122">
        <v>34457</v>
      </c>
      <c r="AK273" s="122">
        <v>34604</v>
      </c>
      <c r="AL273" s="122">
        <v>34654</v>
      </c>
      <c r="AM273" s="122">
        <v>34744</v>
      </c>
      <c r="AN273" s="122">
        <v>34831</v>
      </c>
      <c r="AO273" s="122">
        <v>34967</v>
      </c>
      <c r="AP273" s="122">
        <v>35017</v>
      </c>
      <c r="AQ273" s="122">
        <v>35108</v>
      </c>
      <c r="AR273" s="122">
        <v>35200</v>
      </c>
      <c r="AS273" s="122">
        <v>35335</v>
      </c>
      <c r="AT273" s="122">
        <v>35383</v>
      </c>
      <c r="AU273" s="122">
        <v>35475</v>
      </c>
      <c r="AV273" s="122">
        <v>35565</v>
      </c>
      <c r="AW273" s="122">
        <v>35702</v>
      </c>
      <c r="AX273" s="122">
        <v>35732</v>
      </c>
      <c r="AY273" s="122">
        <v>35949</v>
      </c>
      <c r="AZ273" s="122">
        <v>35930</v>
      </c>
      <c r="BA273" s="122">
        <v>36063</v>
      </c>
      <c r="BB273" s="122">
        <v>36111</v>
      </c>
      <c r="BC273" s="122">
        <v>36203</v>
      </c>
      <c r="BD273" s="122">
        <v>36294</v>
      </c>
      <c r="BE273" s="122">
        <v>36431</v>
      </c>
      <c r="BF273" s="122">
        <v>36469</v>
      </c>
      <c r="BG273" s="122">
        <v>36567</v>
      </c>
      <c r="BH273" s="122">
        <v>36658</v>
      </c>
      <c r="BI273" s="122">
        <v>36797</v>
      </c>
      <c r="BJ273" s="122">
        <v>36844</v>
      </c>
      <c r="BK273" s="122">
        <v>36936</v>
      </c>
      <c r="BL273" s="122">
        <v>37026</v>
      </c>
      <c r="BM273" s="122">
        <v>37152</v>
      </c>
      <c r="BN273" s="122">
        <v>37340</v>
      </c>
      <c r="BO273" s="122">
        <v>37340</v>
      </c>
      <c r="BP273" s="122">
        <v>37376</v>
      </c>
      <c r="BQ273" s="122">
        <v>37505</v>
      </c>
      <c r="BR273" s="122">
        <v>37574</v>
      </c>
      <c r="BS273" s="122">
        <v>37652</v>
      </c>
      <c r="BT273" s="122">
        <v>37753</v>
      </c>
      <c r="BU273" s="122">
        <v>37869</v>
      </c>
      <c r="BV273" s="122">
        <v>37938</v>
      </c>
      <c r="BW273" s="122">
        <v>38023</v>
      </c>
      <c r="BX273" s="122">
        <v>38110</v>
      </c>
      <c r="BY273" s="122">
        <v>38231</v>
      </c>
      <c r="BZ273" s="122">
        <v>38300</v>
      </c>
      <c r="CA273" s="122">
        <v>38379</v>
      </c>
      <c r="CB273" s="122">
        <v>38470</v>
      </c>
      <c r="CC273" s="122">
        <v>38590</v>
      </c>
      <c r="CD273" s="122">
        <v>38652</v>
      </c>
      <c r="CE273" s="122">
        <v>38743</v>
      </c>
      <c r="CF273" s="122">
        <v>38834</v>
      </c>
      <c r="CG273" s="122">
        <v>38954</v>
      </c>
      <c r="CH273" s="122">
        <v>39016</v>
      </c>
      <c r="CI273" s="122">
        <v>39107</v>
      </c>
      <c r="CJ273" s="122">
        <v>39198</v>
      </c>
      <c r="CK273" s="122">
        <v>39297</v>
      </c>
      <c r="CL273" s="122">
        <v>39380</v>
      </c>
      <c r="CM273" s="122">
        <v>39471</v>
      </c>
      <c r="CN273" s="122">
        <v>39562</v>
      </c>
      <c r="CO273" s="122">
        <v>39660</v>
      </c>
      <c r="CP273" s="122">
        <v>39744</v>
      </c>
      <c r="CQ273" s="122">
        <v>39835</v>
      </c>
      <c r="CR273" s="122">
        <v>39926</v>
      </c>
      <c r="CS273" s="122">
        <v>40024</v>
      </c>
      <c r="CT273" s="122">
        <v>40109</v>
      </c>
      <c r="CU273" s="122">
        <v>40206</v>
      </c>
      <c r="CV273" s="122">
        <v>40290</v>
      </c>
      <c r="CW273" s="122">
        <v>40389</v>
      </c>
      <c r="CX273" s="122">
        <v>40479</v>
      </c>
      <c r="CY273" s="122">
        <v>40570</v>
      </c>
      <c r="CZ273" s="122">
        <v>40661</v>
      </c>
      <c r="DA273" s="122">
        <v>40752</v>
      </c>
      <c r="DB273" s="122">
        <v>40836</v>
      </c>
      <c r="DC273" s="122">
        <v>40927</v>
      </c>
      <c r="DD273" s="122">
        <v>41089</v>
      </c>
      <c r="DE273" s="122">
        <v>41116</v>
      </c>
      <c r="DF273" s="122">
        <v>41200</v>
      </c>
      <c r="DG273" s="122">
        <v>41298</v>
      </c>
      <c r="DH273" s="122">
        <v>41382</v>
      </c>
      <c r="DI273" s="122">
        <v>41485</v>
      </c>
      <c r="DJ273" s="122">
        <v>41571</v>
      </c>
      <c r="DK273" s="122">
        <v>41662</v>
      </c>
      <c r="DL273" s="122">
        <v>41753</v>
      </c>
      <c r="DM273" s="122">
        <v>41851</v>
      </c>
      <c r="DN273" s="122">
        <v>41935</v>
      </c>
      <c r="DO273" s="122">
        <v>42030</v>
      </c>
      <c r="DP273" s="122">
        <v>42117</v>
      </c>
      <c r="DQ273" s="122">
        <v>42216</v>
      </c>
      <c r="DR273" s="122">
        <v>42299</v>
      </c>
      <c r="DS273" s="122">
        <v>42397</v>
      </c>
      <c r="DT273" s="122">
        <v>42481</v>
      </c>
      <c r="DU273" s="122">
        <v>42579</v>
      </c>
      <c r="DV273" s="122">
        <v>42663</v>
      </c>
      <c r="DW273" s="122">
        <v>42761</v>
      </c>
      <c r="DX273" s="122">
        <v>42852</v>
      </c>
      <c r="DY273" s="122">
        <v>42949</v>
      </c>
      <c r="DZ273" s="122">
        <v>43034</v>
      </c>
      <c r="EA273" s="122">
        <v>43131</v>
      </c>
      <c r="EB273" s="122">
        <v>43216</v>
      </c>
      <c r="EC273" s="122">
        <v>43315</v>
      </c>
      <c r="ED273" s="122">
        <v>43397</v>
      </c>
      <c r="EE273" s="122">
        <v>43495</v>
      </c>
      <c r="EF273" s="122">
        <v>43579</v>
      </c>
      <c r="EG273" s="122">
        <v>43678</v>
      </c>
      <c r="EH273" s="122">
        <v>43761</v>
      </c>
      <c r="EI273" s="122">
        <v>43859</v>
      </c>
      <c r="EJ273" s="122">
        <v>43950</v>
      </c>
      <c r="EK273" s="122">
        <v>43678</v>
      </c>
      <c r="EL273" s="122">
        <v>43761</v>
      </c>
      <c r="EM273" s="122">
        <v>43859</v>
      </c>
      <c r="EN273" s="122">
        <v>43950</v>
      </c>
      <c r="EP273" s="107"/>
      <c r="EQ273" s="107"/>
      <c r="ER273" s="107"/>
      <c r="ES273" s="107"/>
      <c r="ET273" s="107"/>
      <c r="EU273" s="107"/>
      <c r="EV273" s="107"/>
      <c r="EW273" s="107"/>
      <c r="EX273" s="107"/>
      <c r="EY273" s="107"/>
      <c r="EZ273" s="107"/>
      <c r="FA273" s="107"/>
      <c r="FB273" s="107"/>
      <c r="FC273" s="107"/>
      <c r="FD273" s="107"/>
      <c r="FE273" s="107"/>
      <c r="FF273" s="107"/>
      <c r="FG273" s="107"/>
      <c r="FH273" s="107"/>
      <c r="FI273" s="107"/>
      <c r="FJ273" s="107"/>
      <c r="FK273" s="107"/>
      <c r="FL273" s="107"/>
      <c r="FM273" s="107"/>
      <c r="FN273" s="107"/>
      <c r="FO273" s="107"/>
      <c r="FP273" s="107"/>
      <c r="FQ273" s="107"/>
      <c r="FR273" s="107"/>
      <c r="FS273" s="107"/>
      <c r="FT273" s="107"/>
      <c r="FU273" s="107"/>
      <c r="FV273" s="107"/>
      <c r="FW273" s="107"/>
      <c r="FX273" s="107"/>
      <c r="FY273" s="107"/>
      <c r="FZ273" s="107"/>
      <c r="GA273" s="107"/>
      <c r="GB273" s="107"/>
      <c r="GC273" s="107"/>
      <c r="GD273" s="107"/>
      <c r="GE273" s="107"/>
      <c r="GF273" s="107"/>
      <c r="GG273" s="107"/>
      <c r="GH273" s="107"/>
      <c r="GI273" s="107"/>
      <c r="GJ273" s="107"/>
      <c r="GK273" s="107"/>
      <c r="GL273" s="107"/>
      <c r="GM273" s="107"/>
      <c r="GN273" s="107"/>
      <c r="GO273" s="107"/>
      <c r="GP273" s="107"/>
      <c r="GQ273" s="107"/>
      <c r="GR273" s="107"/>
      <c r="GS273" s="107"/>
      <c r="GT273" s="107"/>
      <c r="GU273" s="107"/>
      <c r="GV273" s="107"/>
      <c r="GW273" s="107"/>
      <c r="GX273" s="107"/>
      <c r="GY273" s="107"/>
      <c r="GZ273" s="107"/>
      <c r="HA273" s="107"/>
      <c r="HB273" s="107"/>
      <c r="HC273" s="107"/>
      <c r="HD273" s="107"/>
      <c r="HE273" s="107"/>
      <c r="HF273" s="107"/>
      <c r="HG273" s="107"/>
      <c r="HH273" s="107"/>
      <c r="HI273" s="107"/>
      <c r="HJ273" s="107"/>
      <c r="HK273" s="107"/>
      <c r="HL273" s="107"/>
      <c r="HM273" s="107"/>
      <c r="HN273" s="107"/>
      <c r="HO273" s="107"/>
      <c r="HP273" s="107"/>
      <c r="HQ273" s="107"/>
      <c r="HR273" s="107"/>
      <c r="HS273" s="107"/>
      <c r="HT273" s="107"/>
      <c r="HU273" s="107"/>
      <c r="HV273" s="107"/>
      <c r="HW273" s="107"/>
      <c r="HX273" s="107"/>
      <c r="HY273" s="107"/>
      <c r="HZ273" s="107"/>
      <c r="IA273" s="107"/>
      <c r="IB273" s="107"/>
      <c r="IC273" s="107"/>
      <c r="ID273" s="107"/>
      <c r="IE273" s="107"/>
      <c r="IF273" s="107"/>
      <c r="IG273" s="107"/>
      <c r="IH273" s="107"/>
      <c r="II273" s="107"/>
      <c r="IJ273" s="107"/>
      <c r="IK273" s="107"/>
      <c r="IL273" s="107"/>
      <c r="IM273" s="107"/>
      <c r="IN273" s="107"/>
      <c r="IO273" s="107"/>
      <c r="IP273" s="107"/>
      <c r="IQ273" s="107"/>
      <c r="IR273" s="107"/>
      <c r="IS273" s="107"/>
      <c r="IT273" s="107"/>
      <c r="IU273" s="107"/>
      <c r="IV273" s="107"/>
    </row>
    <row r="274" spans="1:256">
      <c r="A274" s="103" t="s">
        <v>2127</v>
      </c>
      <c r="B274" s="119" t="s">
        <v>2128</v>
      </c>
      <c r="C274" s="119" t="s">
        <v>2128</v>
      </c>
      <c r="D274" s="119" t="s">
        <v>2129</v>
      </c>
      <c r="E274" s="119" t="s">
        <v>2129</v>
      </c>
      <c r="F274" s="119" t="s">
        <v>2129</v>
      </c>
      <c r="G274" s="119" t="s">
        <v>2129</v>
      </c>
      <c r="H274" s="119" t="s">
        <v>2129</v>
      </c>
      <c r="I274" s="119" t="s">
        <v>2128</v>
      </c>
      <c r="J274" s="119" t="s">
        <v>2128</v>
      </c>
      <c r="K274" s="119" t="s">
        <v>2128</v>
      </c>
      <c r="L274" s="119" t="s">
        <v>2129</v>
      </c>
      <c r="M274" s="119" t="s">
        <v>2128</v>
      </c>
      <c r="N274" s="119" t="s">
        <v>2128</v>
      </c>
      <c r="O274" s="119" t="s">
        <v>2128</v>
      </c>
      <c r="P274" s="119" t="s">
        <v>2129</v>
      </c>
      <c r="Q274" s="119" t="s">
        <v>2129</v>
      </c>
      <c r="R274" s="119" t="s">
        <v>2129</v>
      </c>
      <c r="S274" s="119" t="s">
        <v>2129</v>
      </c>
      <c r="T274" s="119" t="s">
        <v>2129</v>
      </c>
      <c r="U274" s="119" t="s">
        <v>2129</v>
      </c>
      <c r="V274" s="119" t="s">
        <v>2129</v>
      </c>
      <c r="W274" s="119" t="s">
        <v>2129</v>
      </c>
      <c r="X274" s="119" t="s">
        <v>2129</v>
      </c>
      <c r="Y274" s="119" t="s">
        <v>2128</v>
      </c>
      <c r="Z274" s="119" t="s">
        <v>2128</v>
      </c>
      <c r="AA274" s="119" t="s">
        <v>2128</v>
      </c>
      <c r="AB274" s="119" t="s">
        <v>2128</v>
      </c>
      <c r="AC274" s="119" t="s">
        <v>2129</v>
      </c>
      <c r="AD274" s="119" t="s">
        <v>2131</v>
      </c>
      <c r="AE274" s="119" t="s">
        <v>2131</v>
      </c>
      <c r="AG274" s="103" t="s">
        <v>2127</v>
      </c>
      <c r="AH274" s="119" t="s">
        <v>2131</v>
      </c>
      <c r="AI274" s="119" t="s">
        <v>2131</v>
      </c>
      <c r="AJ274" s="119" t="s">
        <v>2131</v>
      </c>
      <c r="AK274" s="119" t="s">
        <v>2131</v>
      </c>
      <c r="AL274" s="119" t="s">
        <v>2132</v>
      </c>
      <c r="AM274" s="119" t="s">
        <v>2129</v>
      </c>
      <c r="AN274" s="119" t="s">
        <v>2129</v>
      </c>
      <c r="AO274" s="119" t="s">
        <v>2129</v>
      </c>
      <c r="AP274" s="119" t="s">
        <v>2129</v>
      </c>
      <c r="AQ274" s="119" t="s">
        <v>2129</v>
      </c>
      <c r="AR274" s="119" t="s">
        <v>2129</v>
      </c>
      <c r="AS274" s="119" t="s">
        <v>2129</v>
      </c>
      <c r="AT274" s="119" t="s">
        <v>2129</v>
      </c>
      <c r="AU274" s="119" t="s">
        <v>2129</v>
      </c>
      <c r="AV274" s="119" t="s">
        <v>2129</v>
      </c>
      <c r="AW274" s="119" t="s">
        <v>2129</v>
      </c>
      <c r="AX274" s="119" t="s">
        <v>2129</v>
      </c>
      <c r="AY274" s="119" t="s">
        <v>2132</v>
      </c>
      <c r="AZ274" s="119" t="s">
        <v>2129</v>
      </c>
      <c r="BA274" s="119" t="s">
        <v>2129</v>
      </c>
      <c r="BB274" s="119" t="s">
        <v>2129</v>
      </c>
      <c r="BC274" s="119" t="s">
        <v>2129</v>
      </c>
      <c r="BD274" s="119" t="s">
        <v>2129</v>
      </c>
      <c r="BE274" s="119" t="s">
        <v>2129</v>
      </c>
      <c r="BF274" s="119" t="s">
        <v>2129</v>
      </c>
      <c r="BG274" s="119" t="s">
        <v>2129</v>
      </c>
      <c r="BH274" s="119" t="s">
        <v>2129</v>
      </c>
      <c r="BI274" s="119" t="s">
        <v>2128</v>
      </c>
      <c r="BJ274" s="119" t="s">
        <v>2128</v>
      </c>
      <c r="BK274" s="119" t="s">
        <v>2128</v>
      </c>
      <c r="BL274" s="119" t="s">
        <v>2128</v>
      </c>
      <c r="BM274" s="119" t="s">
        <v>2128</v>
      </c>
      <c r="BN274" s="119" t="s">
        <v>2132</v>
      </c>
      <c r="BO274" s="119" t="s">
        <v>2432</v>
      </c>
      <c r="BP274" s="119" t="s">
        <v>2128</v>
      </c>
      <c r="BQ274" s="119" t="s">
        <v>2129</v>
      </c>
      <c r="BR274" s="119" t="s">
        <v>2129</v>
      </c>
      <c r="BS274" s="119" t="s">
        <v>2129</v>
      </c>
      <c r="BT274" s="119" t="s">
        <v>2129</v>
      </c>
      <c r="BU274" s="119" t="s">
        <v>2129</v>
      </c>
      <c r="BV274" s="119" t="s">
        <v>2128</v>
      </c>
      <c r="BW274" s="119" t="s">
        <v>2128</v>
      </c>
      <c r="BX274" s="119" t="s">
        <v>2128</v>
      </c>
      <c r="BY274" s="119" t="s">
        <v>2128</v>
      </c>
      <c r="BZ274" s="119" t="s">
        <v>2129</v>
      </c>
      <c r="CA274" s="119" t="s">
        <v>2129</v>
      </c>
      <c r="CB274" s="119" t="s">
        <v>2128</v>
      </c>
      <c r="CC274" s="119" t="s">
        <v>2128</v>
      </c>
      <c r="CD274" s="119" t="s">
        <v>2128</v>
      </c>
      <c r="CE274" s="119" t="s">
        <v>2128</v>
      </c>
      <c r="CF274" s="119" t="s">
        <v>2129</v>
      </c>
      <c r="CG274" s="119" t="s">
        <v>2129</v>
      </c>
      <c r="CH274" s="119" t="s">
        <v>2129</v>
      </c>
      <c r="CI274" s="119" t="s">
        <v>2129</v>
      </c>
      <c r="CJ274" s="119" t="s">
        <v>2129</v>
      </c>
      <c r="CK274" s="119" t="s">
        <v>2129</v>
      </c>
      <c r="CL274" s="119" t="s">
        <v>2129</v>
      </c>
      <c r="CM274" s="119" t="s">
        <v>2129</v>
      </c>
      <c r="CN274" s="119" t="s">
        <v>2129</v>
      </c>
      <c r="CO274" s="119" t="s">
        <v>2129</v>
      </c>
      <c r="CP274" s="119" t="s">
        <v>2129</v>
      </c>
      <c r="CQ274" s="119" t="s">
        <v>2129</v>
      </c>
      <c r="CR274" s="119" t="s">
        <v>2129</v>
      </c>
      <c r="CS274" s="119" t="s">
        <v>2129</v>
      </c>
      <c r="CT274" s="119" t="s">
        <v>2129</v>
      </c>
      <c r="CU274" s="119" t="s">
        <v>2129</v>
      </c>
      <c r="CV274" s="119" t="s">
        <v>2129</v>
      </c>
      <c r="CW274" s="119" t="s">
        <v>2129</v>
      </c>
      <c r="CX274" s="119" t="s">
        <v>2129</v>
      </c>
      <c r="CY274" s="119" t="s">
        <v>2129</v>
      </c>
      <c r="CZ274" s="119" t="s">
        <v>2129</v>
      </c>
      <c r="DA274" s="119" t="s">
        <v>2129</v>
      </c>
      <c r="DB274" s="119" t="s">
        <v>2129</v>
      </c>
      <c r="DC274" s="119" t="s">
        <v>2129</v>
      </c>
      <c r="DD274" s="119" t="s">
        <v>2132</v>
      </c>
      <c r="DE274" s="119" t="s">
        <v>2129</v>
      </c>
      <c r="DF274" s="119" t="s">
        <v>2129</v>
      </c>
      <c r="DG274" s="119" t="s">
        <v>2129</v>
      </c>
      <c r="DH274" s="119" t="s">
        <v>2129</v>
      </c>
      <c r="DI274" s="119" t="s">
        <v>2129</v>
      </c>
      <c r="DJ274" s="119" t="s">
        <v>2129</v>
      </c>
      <c r="DK274" s="119" t="s">
        <v>2129</v>
      </c>
      <c r="DL274" s="119" t="s">
        <v>2129</v>
      </c>
      <c r="DM274" s="119" t="s">
        <v>2129</v>
      </c>
      <c r="DN274" s="119" t="s">
        <v>2129</v>
      </c>
      <c r="DO274" s="119" t="s">
        <v>2129</v>
      </c>
      <c r="DP274" s="119" t="s">
        <v>2129</v>
      </c>
      <c r="DQ274" s="119" t="s">
        <v>2129</v>
      </c>
      <c r="DR274" s="119" t="s">
        <v>2129</v>
      </c>
      <c r="DS274" s="119" t="s">
        <v>2129</v>
      </c>
      <c r="DT274" s="119" t="s">
        <v>2128</v>
      </c>
      <c r="DU274" s="119" t="s">
        <v>2128</v>
      </c>
      <c r="DV274" s="119" t="s">
        <v>2128</v>
      </c>
      <c r="DW274" s="119" t="s">
        <v>2128</v>
      </c>
      <c r="DX274" s="119" t="s">
        <v>2129</v>
      </c>
      <c r="DY274" s="119" t="s">
        <v>2129</v>
      </c>
      <c r="DZ274" s="119" t="s">
        <v>2128</v>
      </c>
      <c r="EA274" s="119" t="s">
        <v>2128</v>
      </c>
      <c r="EB274" s="119" t="s">
        <v>2128</v>
      </c>
      <c r="EC274" s="119" t="s">
        <v>2128</v>
      </c>
      <c r="ED274" s="119" t="s">
        <v>2129</v>
      </c>
      <c r="EE274" s="119" t="s">
        <v>2129</v>
      </c>
      <c r="EF274" s="119" t="s">
        <v>2129</v>
      </c>
      <c r="EG274" s="119" t="s">
        <v>2129</v>
      </c>
      <c r="EH274" s="119" t="s">
        <v>2129</v>
      </c>
      <c r="EI274" s="119" t="s">
        <v>2129</v>
      </c>
      <c r="EJ274" s="119" t="s">
        <v>2129</v>
      </c>
      <c r="EK274" s="119" t="s">
        <v>2131</v>
      </c>
      <c r="EL274" s="119" t="s">
        <v>2131</v>
      </c>
      <c r="EM274" s="119" t="s">
        <v>2131</v>
      </c>
      <c r="EN274" s="119" t="s">
        <v>2131</v>
      </c>
    </row>
    <row r="275" spans="1:256">
      <c r="A275" s="103" t="s">
        <v>2134</v>
      </c>
      <c r="B275" s="119" t="s">
        <v>2135</v>
      </c>
      <c r="C275" s="119" t="s">
        <v>2135</v>
      </c>
      <c r="D275" s="119" t="s">
        <v>2135</v>
      </c>
      <c r="E275" s="119" t="s">
        <v>2135</v>
      </c>
      <c r="F275" s="119" t="s">
        <v>2135</v>
      </c>
      <c r="G275" s="119" t="s">
        <v>2135</v>
      </c>
      <c r="H275" s="119" t="s">
        <v>2135</v>
      </c>
      <c r="I275" s="119" t="s">
        <v>2135</v>
      </c>
      <c r="J275" s="119" t="s">
        <v>2135</v>
      </c>
      <c r="K275" s="119" t="s">
        <v>2135</v>
      </c>
      <c r="L275" s="119" t="s">
        <v>2135</v>
      </c>
      <c r="M275" s="119" t="s">
        <v>2135</v>
      </c>
      <c r="N275" s="119" t="s">
        <v>2135</v>
      </c>
      <c r="O275" s="119" t="s">
        <v>2135</v>
      </c>
      <c r="P275" s="119" t="s">
        <v>2135</v>
      </c>
      <c r="Q275" s="119" t="s">
        <v>2135</v>
      </c>
      <c r="R275" s="119" t="s">
        <v>2135</v>
      </c>
      <c r="S275" s="119" t="s">
        <v>2135</v>
      </c>
      <c r="T275" s="119" t="s">
        <v>2135</v>
      </c>
      <c r="U275" s="119" t="s">
        <v>2135</v>
      </c>
      <c r="V275" s="119" t="s">
        <v>2135</v>
      </c>
      <c r="W275" s="119" t="s">
        <v>2135</v>
      </c>
      <c r="X275" s="119" t="s">
        <v>2135</v>
      </c>
      <c r="Y275" s="119" t="s">
        <v>2135</v>
      </c>
      <c r="Z275" s="119" t="s">
        <v>2135</v>
      </c>
      <c r="AA275" s="119" t="s">
        <v>2135</v>
      </c>
      <c r="AB275" s="119" t="s">
        <v>2135</v>
      </c>
      <c r="AC275" s="119" t="s">
        <v>2135</v>
      </c>
      <c r="AD275" s="119" t="s">
        <v>2135</v>
      </c>
      <c r="AE275" s="119" t="s">
        <v>805</v>
      </c>
      <c r="AG275" s="103" t="s">
        <v>2134</v>
      </c>
      <c r="AH275" s="119" t="s">
        <v>2136</v>
      </c>
      <c r="AI275" s="119" t="s">
        <v>2136</v>
      </c>
      <c r="AJ275" s="119" t="s">
        <v>2433</v>
      </c>
      <c r="AK275" s="119" t="s">
        <v>2433</v>
      </c>
      <c r="AL275" s="119" t="s">
        <v>2135</v>
      </c>
      <c r="AM275" s="119" t="s">
        <v>2433</v>
      </c>
      <c r="AN275" s="119" t="s">
        <v>2433</v>
      </c>
      <c r="AO275" s="119" t="s">
        <v>2433</v>
      </c>
      <c r="AP275" s="119" t="s">
        <v>2135</v>
      </c>
      <c r="AQ275" s="119" t="s">
        <v>2433</v>
      </c>
      <c r="AR275" s="119" t="s">
        <v>2433</v>
      </c>
      <c r="AS275" s="119" t="s">
        <v>2433</v>
      </c>
      <c r="AT275" s="119" t="s">
        <v>2135</v>
      </c>
      <c r="AU275" s="119" t="s">
        <v>2433</v>
      </c>
      <c r="AV275" s="119" t="s">
        <v>2433</v>
      </c>
      <c r="AW275" s="119" t="s">
        <v>2433</v>
      </c>
      <c r="AX275" s="119" t="s">
        <v>2135</v>
      </c>
      <c r="AY275" s="119" t="s">
        <v>2433</v>
      </c>
      <c r="AZ275" s="119" t="s">
        <v>2433</v>
      </c>
      <c r="BA275" s="119" t="s">
        <v>2433</v>
      </c>
      <c r="BB275" s="119" t="s">
        <v>2135</v>
      </c>
      <c r="BC275" s="119" t="s">
        <v>2433</v>
      </c>
      <c r="BD275" s="119" t="s">
        <v>2433</v>
      </c>
      <c r="BE275" s="119" t="s">
        <v>2433</v>
      </c>
      <c r="BF275" s="119" t="s">
        <v>2135</v>
      </c>
      <c r="BG275" s="119" t="s">
        <v>2433</v>
      </c>
      <c r="BH275" s="119" t="s">
        <v>2433</v>
      </c>
      <c r="BI275" s="119" t="s">
        <v>2433</v>
      </c>
      <c r="BJ275" s="119" t="s">
        <v>2135</v>
      </c>
      <c r="BK275" s="119" t="s">
        <v>2433</v>
      </c>
      <c r="BL275" s="119" t="s">
        <v>2433</v>
      </c>
      <c r="BM275" s="119" t="s">
        <v>2433</v>
      </c>
      <c r="BN275" s="119" t="s">
        <v>2135</v>
      </c>
      <c r="BO275" s="119" t="s">
        <v>2433</v>
      </c>
      <c r="BP275" s="119" t="s">
        <v>2433</v>
      </c>
      <c r="BQ275" s="119" t="s">
        <v>2433</v>
      </c>
      <c r="BR275" s="119" t="s">
        <v>2135</v>
      </c>
      <c r="BS275" s="119" t="s">
        <v>2433</v>
      </c>
      <c r="BT275" s="119" t="s">
        <v>2433</v>
      </c>
      <c r="BU275" s="119" t="s">
        <v>2433</v>
      </c>
      <c r="BV275" s="119" t="s">
        <v>2135</v>
      </c>
      <c r="BW275" s="119" t="s">
        <v>2135</v>
      </c>
      <c r="BX275" s="119" t="s">
        <v>2135</v>
      </c>
      <c r="BY275" s="119" t="s">
        <v>2433</v>
      </c>
      <c r="BZ275" s="119" t="s">
        <v>2135</v>
      </c>
      <c r="CA275" s="119" t="s">
        <v>2135</v>
      </c>
      <c r="CB275" s="119" t="s">
        <v>2135</v>
      </c>
      <c r="CC275" s="119" t="s">
        <v>2433</v>
      </c>
      <c r="CD275" s="119" t="s">
        <v>2135</v>
      </c>
      <c r="CE275" s="119" t="s">
        <v>2135</v>
      </c>
      <c r="CF275" s="119" t="s">
        <v>2135</v>
      </c>
      <c r="CG275" s="119" t="s">
        <v>2433</v>
      </c>
      <c r="CH275" s="119" t="s">
        <v>2135</v>
      </c>
      <c r="CI275" s="119" t="s">
        <v>2135</v>
      </c>
      <c r="CJ275" s="119" t="s">
        <v>2135</v>
      </c>
      <c r="CK275" s="119" t="s">
        <v>2433</v>
      </c>
      <c r="CL275" s="119" t="s">
        <v>2135</v>
      </c>
      <c r="CM275" s="119" t="s">
        <v>2135</v>
      </c>
      <c r="CN275" s="119" t="s">
        <v>2135</v>
      </c>
      <c r="CO275" s="119" t="s">
        <v>2433</v>
      </c>
      <c r="CP275" s="119" t="s">
        <v>2135</v>
      </c>
      <c r="CQ275" s="119" t="s">
        <v>2135</v>
      </c>
      <c r="CR275" s="119" t="s">
        <v>2135</v>
      </c>
      <c r="CS275" s="119" t="s">
        <v>2433</v>
      </c>
      <c r="CT275" s="119" t="s">
        <v>2135</v>
      </c>
      <c r="CU275" s="119" t="s">
        <v>2135</v>
      </c>
      <c r="CV275" s="119" t="s">
        <v>2135</v>
      </c>
      <c r="CW275" s="119" t="s">
        <v>2433</v>
      </c>
      <c r="CX275" s="119" t="s">
        <v>2135</v>
      </c>
      <c r="CY275" s="119" t="s">
        <v>2135</v>
      </c>
      <c r="CZ275" s="119" t="s">
        <v>2135</v>
      </c>
      <c r="DA275" s="119" t="s">
        <v>2433</v>
      </c>
      <c r="DB275" s="119" t="s">
        <v>2135</v>
      </c>
      <c r="DC275" s="119" t="s">
        <v>2135</v>
      </c>
      <c r="DD275" s="119" t="s">
        <v>2135</v>
      </c>
      <c r="DE275" s="119" t="s">
        <v>2433</v>
      </c>
      <c r="DF275" s="119" t="s">
        <v>2135</v>
      </c>
      <c r="DG275" s="119" t="s">
        <v>2135</v>
      </c>
      <c r="DH275" s="119" t="s">
        <v>2135</v>
      </c>
      <c r="DI275" s="119" t="s">
        <v>2433</v>
      </c>
      <c r="DJ275" s="119" t="s">
        <v>2135</v>
      </c>
      <c r="DK275" s="119" t="s">
        <v>2135</v>
      </c>
      <c r="DL275" s="119" t="s">
        <v>2135</v>
      </c>
      <c r="DM275" s="119" t="s">
        <v>2433</v>
      </c>
      <c r="DN275" s="119" t="s">
        <v>2135</v>
      </c>
      <c r="DO275" s="119" t="s">
        <v>2135</v>
      </c>
      <c r="DP275" s="119" t="s">
        <v>2135</v>
      </c>
      <c r="DQ275" s="119" t="s">
        <v>2433</v>
      </c>
      <c r="DR275" s="119" t="s">
        <v>2135</v>
      </c>
      <c r="DS275" s="119" t="s">
        <v>2135</v>
      </c>
      <c r="DT275" s="119" t="s">
        <v>2135</v>
      </c>
      <c r="DU275" s="119" t="s">
        <v>2433</v>
      </c>
      <c r="DV275" s="119" t="s">
        <v>2135</v>
      </c>
      <c r="DW275" s="119" t="s">
        <v>2135</v>
      </c>
      <c r="DX275" s="119" t="s">
        <v>2135</v>
      </c>
      <c r="DY275" s="119" t="s">
        <v>2433</v>
      </c>
      <c r="DZ275" s="119" t="s">
        <v>2135</v>
      </c>
      <c r="EA275" s="119" t="s">
        <v>2135</v>
      </c>
      <c r="EB275" s="119" t="s">
        <v>2135</v>
      </c>
      <c r="EC275" s="119" t="s">
        <v>2433</v>
      </c>
      <c r="ED275" s="119" t="s">
        <v>2135</v>
      </c>
      <c r="EE275" s="119" t="s">
        <v>2135</v>
      </c>
      <c r="EF275" s="119" t="s">
        <v>2135</v>
      </c>
      <c r="EG275" s="119" t="s">
        <v>2433</v>
      </c>
      <c r="EH275" s="119" t="s">
        <v>2135</v>
      </c>
      <c r="EI275" s="119" t="s">
        <v>2135</v>
      </c>
      <c r="EJ275" s="119" t="s">
        <v>2135</v>
      </c>
      <c r="EK275" s="119" t="s">
        <v>2433</v>
      </c>
      <c r="EL275" s="119" t="s">
        <v>2135</v>
      </c>
      <c r="EM275" s="119" t="s">
        <v>2135</v>
      </c>
      <c r="EN275" s="119" t="s">
        <v>2135</v>
      </c>
    </row>
    <row r="276" spans="1:256">
      <c r="A276" s="103"/>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G276" s="103"/>
      <c r="AH276" s="103"/>
      <c r="AI276" s="103"/>
      <c r="AJ276" s="103"/>
      <c r="AK276" s="103"/>
      <c r="AL276" s="103"/>
      <c r="AM276" s="103"/>
      <c r="AN276" s="103"/>
      <c r="AO276" s="103"/>
      <c r="AP276" s="103"/>
      <c r="AQ276" s="103"/>
      <c r="AR276" s="103"/>
      <c r="AS276" s="103"/>
      <c r="AT276" s="103"/>
      <c r="AU276" s="103"/>
      <c r="AV276" s="103"/>
      <c r="AW276" s="103"/>
      <c r="AX276" s="103"/>
      <c r="AY276" s="103"/>
      <c r="AZ276" s="103"/>
      <c r="BA276" s="103"/>
      <c r="BB276" s="103"/>
      <c r="BC276" s="103"/>
      <c r="BD276" s="103"/>
      <c r="BE276" s="103"/>
      <c r="BF276" s="103"/>
      <c r="BG276" s="103"/>
      <c r="BH276" s="103"/>
      <c r="BI276" s="103"/>
      <c r="BJ276" s="103"/>
      <c r="BK276" s="103"/>
      <c r="BL276" s="103"/>
      <c r="BM276" s="103"/>
      <c r="BN276" s="103"/>
      <c r="BO276" s="103"/>
      <c r="BP276" s="103"/>
      <c r="BQ276" s="103"/>
      <c r="BR276" s="103"/>
      <c r="BS276" s="103"/>
      <c r="BT276" s="103"/>
      <c r="BU276" s="103"/>
      <c r="BV276" s="103"/>
      <c r="BW276" s="103"/>
      <c r="BX276" s="103"/>
      <c r="BY276" s="103"/>
      <c r="BZ276" s="103"/>
      <c r="CA276" s="103"/>
      <c r="CB276" s="103"/>
      <c r="CC276" s="103"/>
      <c r="CD276" s="103"/>
      <c r="CE276" s="103"/>
      <c r="CF276" s="103"/>
      <c r="CG276" s="103"/>
      <c r="CH276" s="103"/>
      <c r="CI276" s="103"/>
      <c r="CJ276" s="103"/>
      <c r="CK276" s="103"/>
      <c r="CL276" s="103"/>
      <c r="CM276" s="103"/>
      <c r="CN276" s="103"/>
      <c r="CO276" s="103"/>
      <c r="CP276" s="103"/>
      <c r="CQ276" s="103"/>
      <c r="CR276" s="103"/>
      <c r="CS276" s="103"/>
      <c r="CT276" s="103"/>
      <c r="CU276" s="103"/>
      <c r="CV276" s="103"/>
      <c r="CW276" s="103"/>
      <c r="CX276" s="103"/>
      <c r="CY276" s="103"/>
      <c r="CZ276" s="103"/>
      <c r="DA276" s="103"/>
      <c r="DB276" s="103"/>
      <c r="DC276" s="103"/>
      <c r="DD276" s="103"/>
      <c r="DE276" s="103"/>
      <c r="DF276" s="103"/>
      <c r="DG276" s="103"/>
      <c r="DH276" s="103"/>
      <c r="DI276" s="103"/>
      <c r="DJ276" s="103"/>
      <c r="DK276" s="103"/>
      <c r="DL276" s="103"/>
      <c r="DM276" s="103"/>
      <c r="DN276" s="103"/>
      <c r="DO276" s="103"/>
      <c r="DP276" s="103"/>
      <c r="DQ276" s="103"/>
      <c r="DR276" s="103"/>
      <c r="DS276" s="103"/>
      <c r="DT276" s="103"/>
      <c r="DU276" s="103"/>
      <c r="DV276" s="103"/>
      <c r="DW276" s="103"/>
      <c r="DX276" s="103"/>
      <c r="DY276" s="103"/>
      <c r="DZ276" s="103"/>
      <c r="EA276" s="103"/>
      <c r="EB276" s="103"/>
      <c r="EC276" s="103"/>
      <c r="ED276" s="103"/>
      <c r="EE276" s="103"/>
      <c r="EF276" s="103"/>
      <c r="EG276" s="103"/>
      <c r="EH276" s="103"/>
      <c r="EI276" s="103"/>
      <c r="EJ276" s="103"/>
      <c r="EK276" s="103"/>
      <c r="EL276" s="103"/>
      <c r="EM276" s="103"/>
      <c r="EN276" s="103"/>
    </row>
    <row r="277" spans="1:256" ht="60">
      <c r="A277" s="106" t="s">
        <v>2434</v>
      </c>
      <c r="B277" s="106"/>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06"/>
      <c r="Z277" s="106"/>
      <c r="AA277" s="106"/>
      <c r="AB277" s="106"/>
      <c r="AC277" s="106"/>
      <c r="AD277" s="106"/>
      <c r="AE277" s="107"/>
      <c r="AF277" s="107"/>
      <c r="AG277" s="129" t="s">
        <v>2435</v>
      </c>
      <c r="AH277" s="127"/>
      <c r="AI277" s="127"/>
      <c r="AJ277" s="127"/>
      <c r="AK277" s="127"/>
      <c r="AL277" s="127"/>
      <c r="AM277" s="127"/>
      <c r="AN277" s="127"/>
      <c r="AO277" s="127"/>
      <c r="AP277" s="127"/>
      <c r="AQ277" s="127"/>
      <c r="AR277" s="127"/>
      <c r="AS277" s="127"/>
      <c r="AT277" s="127"/>
      <c r="AU277" s="127"/>
      <c r="AV277" s="127"/>
      <c r="AW277" s="127"/>
      <c r="AX277" s="127"/>
      <c r="AY277" s="127"/>
      <c r="AZ277" s="127"/>
      <c r="BA277" s="127"/>
      <c r="BB277" s="127"/>
      <c r="BC277" s="127"/>
      <c r="BD277" s="127"/>
      <c r="BE277" s="127"/>
      <c r="BF277" s="127"/>
      <c r="BG277" s="127"/>
      <c r="BH277" s="127"/>
      <c r="BI277" s="127"/>
      <c r="BJ277" s="127"/>
      <c r="BK277" s="127"/>
      <c r="BL277" s="127"/>
      <c r="BM277" s="127"/>
      <c r="BN277" s="127"/>
      <c r="BO277" s="127"/>
      <c r="BP277" s="127"/>
      <c r="BQ277" s="127"/>
      <c r="BR277" s="127"/>
      <c r="BS277" s="127"/>
      <c r="BT277" s="127"/>
      <c r="BU277" s="127"/>
      <c r="BV277" s="127"/>
      <c r="BW277" s="127"/>
      <c r="BX277" s="127"/>
      <c r="BY277" s="127"/>
      <c r="BZ277" s="127"/>
      <c r="CA277" s="127"/>
      <c r="CB277" s="127"/>
      <c r="CC277" s="127"/>
      <c r="CD277" s="127"/>
      <c r="CE277" s="127"/>
      <c r="CF277" s="127"/>
      <c r="CG277" s="127"/>
      <c r="CH277" s="127"/>
      <c r="CI277" s="127"/>
      <c r="CJ277" s="127"/>
      <c r="CK277" s="127"/>
      <c r="CL277" s="127"/>
      <c r="CM277" s="127"/>
      <c r="CN277" s="127"/>
      <c r="CO277" s="127"/>
      <c r="CP277" s="127"/>
      <c r="CQ277" s="127"/>
      <c r="CR277" s="127"/>
      <c r="CS277" s="127"/>
      <c r="CT277" s="127"/>
      <c r="CU277" s="127"/>
      <c r="CV277" s="127"/>
      <c r="CW277" s="127"/>
      <c r="CX277" s="127"/>
      <c r="CY277" s="127"/>
      <c r="CZ277" s="127"/>
      <c r="DA277" s="127"/>
      <c r="DB277" s="127"/>
      <c r="DC277" s="127"/>
      <c r="DD277" s="127"/>
      <c r="DE277" s="127"/>
      <c r="DF277" s="127"/>
      <c r="DG277" s="127"/>
      <c r="DH277" s="127"/>
      <c r="DI277" s="127"/>
      <c r="DJ277" s="127"/>
      <c r="DK277" s="127"/>
      <c r="DL277" s="127"/>
      <c r="DM277" s="127"/>
      <c r="DN277" s="127"/>
      <c r="DO277" s="127"/>
      <c r="DP277" s="127"/>
      <c r="DQ277" s="127"/>
      <c r="DR277" s="127"/>
      <c r="DS277" s="127"/>
      <c r="DT277" s="127"/>
      <c r="DU277" s="127"/>
      <c r="DV277" s="127"/>
      <c r="DW277" s="127"/>
      <c r="DX277" s="127"/>
      <c r="DY277" s="127"/>
      <c r="DZ277" s="127"/>
      <c r="EA277" s="127"/>
      <c r="EB277" s="127"/>
      <c r="EC277" s="127"/>
      <c r="ED277" s="127"/>
      <c r="EE277" s="127"/>
      <c r="EF277" s="127"/>
      <c r="EG277" s="127"/>
      <c r="EH277" s="127"/>
      <c r="EI277" s="127"/>
      <c r="EJ277" s="127"/>
      <c r="EK277" s="127"/>
      <c r="EL277" s="127"/>
      <c r="EM277" s="127"/>
      <c r="EN277" s="127"/>
    </row>
    <row r="278" spans="1:256" ht="31.5">
      <c r="A278" s="108" t="s">
        <v>1919</v>
      </c>
      <c r="B278" s="108"/>
      <c r="C278" s="108"/>
      <c r="D278" s="108"/>
      <c r="E278" s="108"/>
      <c r="F278" s="108"/>
      <c r="G278" s="108"/>
      <c r="H278" s="109" t="s">
        <v>1926</v>
      </c>
      <c r="I278" s="109" t="s">
        <v>1927</v>
      </c>
      <c r="J278" s="109" t="s">
        <v>1928</v>
      </c>
      <c r="K278" s="109" t="s">
        <v>1929</v>
      </c>
      <c r="L278" s="109" t="s">
        <v>1930</v>
      </c>
      <c r="M278" s="109" t="s">
        <v>1931</v>
      </c>
      <c r="N278" s="109" t="s">
        <v>1932</v>
      </c>
      <c r="O278" s="109" t="s">
        <v>1933</v>
      </c>
      <c r="P278" s="109" t="s">
        <v>1934</v>
      </c>
      <c r="Q278" s="109" t="s">
        <v>1935</v>
      </c>
      <c r="R278" s="109" t="s">
        <v>1936</v>
      </c>
      <c r="S278" s="109" t="s">
        <v>1937</v>
      </c>
      <c r="T278" s="109" t="s">
        <v>1938</v>
      </c>
      <c r="U278" s="109" t="s">
        <v>1939</v>
      </c>
      <c r="V278" s="109" t="s">
        <v>1940</v>
      </c>
      <c r="W278" s="109" t="s">
        <v>1941</v>
      </c>
      <c r="X278" s="109" t="s">
        <v>1942</v>
      </c>
      <c r="Y278" s="109" t="s">
        <v>1943</v>
      </c>
      <c r="Z278" s="109" t="s">
        <v>1944</v>
      </c>
      <c r="AA278" s="109" t="s">
        <v>1945</v>
      </c>
      <c r="AB278" s="109" t="s">
        <v>1946</v>
      </c>
      <c r="AC278" s="109" t="s">
        <v>1947</v>
      </c>
      <c r="AD278" s="109" t="s">
        <v>1948</v>
      </c>
    </row>
    <row r="279" spans="1:256">
      <c r="A279" s="110" t="s">
        <v>2061</v>
      </c>
      <c r="B279" s="110"/>
      <c r="C279" s="110"/>
      <c r="D279" s="110"/>
      <c r="E279" s="110"/>
      <c r="F279" s="110"/>
      <c r="G279" s="110"/>
      <c r="H279" s="111" t="s">
        <v>621</v>
      </c>
      <c r="I279" s="111" t="s">
        <v>621</v>
      </c>
      <c r="J279" s="111" t="s">
        <v>621</v>
      </c>
      <c r="K279" s="111" t="s">
        <v>621</v>
      </c>
      <c r="L279" s="111" t="s">
        <v>621</v>
      </c>
      <c r="M279" s="111" t="s">
        <v>621</v>
      </c>
      <c r="N279" s="111" t="s">
        <v>621</v>
      </c>
      <c r="O279" s="111" t="s">
        <v>621</v>
      </c>
      <c r="P279" s="111" t="s">
        <v>621</v>
      </c>
      <c r="Q279" s="111" t="s">
        <v>621</v>
      </c>
      <c r="R279" s="111" t="s">
        <v>621</v>
      </c>
      <c r="S279" s="111" t="s">
        <v>621</v>
      </c>
      <c r="T279" s="111" t="s">
        <v>621</v>
      </c>
      <c r="U279" s="111" t="s">
        <v>621</v>
      </c>
      <c r="V279" s="111" t="s">
        <v>621</v>
      </c>
      <c r="W279" s="111" t="s">
        <v>621</v>
      </c>
      <c r="X279" s="111" t="s">
        <v>621</v>
      </c>
      <c r="Y279" s="111" t="s">
        <v>621</v>
      </c>
      <c r="Z279" s="111" t="s">
        <v>621</v>
      </c>
      <c r="AA279" s="111" t="s">
        <v>621</v>
      </c>
      <c r="AB279" s="111" t="s">
        <v>621</v>
      </c>
      <c r="AC279" s="111" t="s">
        <v>621</v>
      </c>
      <c r="AD279" s="111" t="s">
        <v>621</v>
      </c>
    </row>
    <row r="280" spans="1:256" ht="10.5">
      <c r="A280" s="112" t="s">
        <v>2436</v>
      </c>
      <c r="B280" s="112"/>
      <c r="C280" s="112"/>
      <c r="D280" s="112"/>
      <c r="E280" s="112"/>
      <c r="F280" s="112"/>
      <c r="G280" s="112"/>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row>
    <row r="281" spans="1:256">
      <c r="A281" s="103" t="s">
        <v>335</v>
      </c>
      <c r="B281" s="103"/>
      <c r="C281" s="103"/>
      <c r="D281" s="103"/>
      <c r="E281" s="103"/>
      <c r="F281" s="103"/>
      <c r="G281" s="103"/>
      <c r="H281" s="113">
        <v>0</v>
      </c>
      <c r="I281" s="113">
        <v>0</v>
      </c>
      <c r="J281" s="113">
        <v>0</v>
      </c>
      <c r="K281" s="113">
        <v>0</v>
      </c>
      <c r="L281" s="113">
        <v>0</v>
      </c>
      <c r="M281" s="113">
        <v>0</v>
      </c>
      <c r="N281" s="113">
        <v>0</v>
      </c>
      <c r="O281" s="113">
        <v>0</v>
      </c>
      <c r="P281" s="113">
        <v>0</v>
      </c>
      <c r="Q281" s="113">
        <v>0</v>
      </c>
      <c r="R281" s="113">
        <v>0</v>
      </c>
      <c r="S281" s="113">
        <v>0</v>
      </c>
      <c r="T281" s="113">
        <v>0</v>
      </c>
      <c r="U281" s="113">
        <v>0</v>
      </c>
      <c r="V281" s="113">
        <v>0</v>
      </c>
      <c r="W281" s="113">
        <v>0</v>
      </c>
      <c r="X281" s="113">
        <v>0</v>
      </c>
      <c r="Y281" s="113">
        <v>26976</v>
      </c>
      <c r="Z281" s="113">
        <v>26430</v>
      </c>
      <c r="AA281" s="113">
        <v>25792</v>
      </c>
      <c r="AB281" s="113">
        <v>29870</v>
      </c>
      <c r="AC281" s="113">
        <v>35865</v>
      </c>
      <c r="AD281" s="113">
        <v>41160</v>
      </c>
    </row>
    <row r="282" spans="1:256">
      <c r="A282" s="103" t="s">
        <v>337</v>
      </c>
      <c r="B282" s="103"/>
      <c r="C282" s="103"/>
      <c r="D282" s="103"/>
      <c r="E282" s="103"/>
      <c r="F282" s="103"/>
      <c r="G282" s="103"/>
      <c r="H282" s="113">
        <v>0</v>
      </c>
      <c r="I282" s="113">
        <v>0</v>
      </c>
      <c r="J282" s="113">
        <v>0</v>
      </c>
      <c r="K282" s="113">
        <v>0</v>
      </c>
      <c r="L282" s="113">
        <v>0</v>
      </c>
      <c r="M282" s="113">
        <v>0</v>
      </c>
      <c r="N282" s="113">
        <v>0</v>
      </c>
      <c r="O282" s="113">
        <v>0</v>
      </c>
      <c r="P282" s="113">
        <v>0</v>
      </c>
      <c r="Q282" s="113">
        <v>0</v>
      </c>
      <c r="R282" s="113">
        <v>0</v>
      </c>
      <c r="S282" s="113">
        <v>0</v>
      </c>
      <c r="T282" s="113">
        <v>0</v>
      </c>
      <c r="U282" s="113">
        <v>0</v>
      </c>
      <c r="V282" s="113">
        <v>0</v>
      </c>
      <c r="W282" s="113">
        <v>0</v>
      </c>
      <c r="X282" s="113">
        <v>0</v>
      </c>
      <c r="Y282" s="113">
        <v>21735</v>
      </c>
      <c r="Z282" s="113">
        <v>23715</v>
      </c>
      <c r="AA282" s="113">
        <v>24952</v>
      </c>
      <c r="AB282" s="113">
        <v>27407</v>
      </c>
      <c r="AC282" s="113">
        <v>32219</v>
      </c>
      <c r="AD282" s="113">
        <v>38985</v>
      </c>
    </row>
    <row r="283" spans="1:256">
      <c r="A283" s="103" t="s">
        <v>339</v>
      </c>
      <c r="B283" s="103"/>
      <c r="C283" s="103"/>
      <c r="D283" s="103"/>
      <c r="E283" s="103"/>
      <c r="F283" s="103"/>
      <c r="G283" s="103"/>
      <c r="H283" s="113">
        <v>0</v>
      </c>
      <c r="I283" s="113">
        <v>0</v>
      </c>
      <c r="J283" s="113">
        <v>0</v>
      </c>
      <c r="K283" s="113">
        <v>0</v>
      </c>
      <c r="L283" s="113">
        <v>0</v>
      </c>
      <c r="M283" s="113">
        <v>0</v>
      </c>
      <c r="N283" s="113">
        <v>0</v>
      </c>
      <c r="O283" s="113">
        <v>0</v>
      </c>
      <c r="P283" s="113">
        <v>0</v>
      </c>
      <c r="Q283" s="113">
        <v>0</v>
      </c>
      <c r="R283" s="113">
        <v>0</v>
      </c>
      <c r="S283" s="113">
        <v>0</v>
      </c>
      <c r="T283" s="113">
        <v>0</v>
      </c>
      <c r="U283" s="113">
        <v>0</v>
      </c>
      <c r="V283" s="113">
        <v>0</v>
      </c>
      <c r="W283" s="113">
        <v>0</v>
      </c>
      <c r="X283" s="113">
        <v>0</v>
      </c>
      <c r="Y283" s="113">
        <v>38460</v>
      </c>
      <c r="Z283" s="113">
        <v>43435</v>
      </c>
      <c r="AA283" s="113">
        <v>40410</v>
      </c>
      <c r="AB283" s="113">
        <v>39294</v>
      </c>
      <c r="AC283" s="113">
        <v>42276</v>
      </c>
      <c r="AD283" s="113">
        <v>45698</v>
      </c>
    </row>
    <row r="284" spans="1:256">
      <c r="A284" s="103" t="s">
        <v>340</v>
      </c>
      <c r="B284" s="103"/>
      <c r="C284" s="103"/>
      <c r="D284" s="103"/>
      <c r="E284" s="103"/>
      <c r="F284" s="103"/>
      <c r="G284" s="103"/>
      <c r="H284" s="113">
        <v>0</v>
      </c>
      <c r="I284" s="113">
        <v>0</v>
      </c>
      <c r="J284" s="113">
        <v>0</v>
      </c>
      <c r="K284" s="113">
        <v>0</v>
      </c>
      <c r="L284" s="113">
        <v>0</v>
      </c>
      <c r="M284" s="113">
        <v>0</v>
      </c>
      <c r="N284" s="113">
        <v>0</v>
      </c>
      <c r="O284" s="113">
        <v>0</v>
      </c>
      <c r="P284" s="113">
        <v>437</v>
      </c>
      <c r="Q284" s="113">
        <v>10</v>
      </c>
      <c r="R284" s="113">
        <v>178</v>
      </c>
      <c r="S284" s="113">
        <v>818</v>
      </c>
      <c r="T284" s="113">
        <v>451</v>
      </c>
      <c r="U284" s="113">
        <v>569</v>
      </c>
      <c r="V284" s="113">
        <v>574</v>
      </c>
      <c r="W284" s="113">
        <v>-485</v>
      </c>
      <c r="X284" s="113">
        <v>403</v>
      </c>
      <c r="Y284" s="113">
        <v>-338</v>
      </c>
      <c r="Z284" s="113">
        <v>0</v>
      </c>
      <c r="AA284" s="113">
        <v>0</v>
      </c>
      <c r="AB284" s="113">
        <v>0</v>
      </c>
      <c r="AC284" s="113">
        <v>0</v>
      </c>
      <c r="AD284" s="113">
        <v>0</v>
      </c>
    </row>
    <row r="285" spans="1:256">
      <c r="A285" s="103" t="s">
        <v>1198</v>
      </c>
      <c r="B285" s="103"/>
      <c r="C285" s="103"/>
      <c r="D285" s="103"/>
      <c r="E285" s="103"/>
      <c r="F285" s="103"/>
      <c r="G285" s="103"/>
      <c r="H285" s="113">
        <v>0</v>
      </c>
      <c r="I285" s="113">
        <v>0</v>
      </c>
      <c r="J285" s="113">
        <v>0</v>
      </c>
      <c r="K285" s="113">
        <v>0</v>
      </c>
      <c r="L285" s="113">
        <v>0</v>
      </c>
      <c r="M285" s="113">
        <v>0</v>
      </c>
      <c r="N285" s="113">
        <v>0</v>
      </c>
      <c r="O285" s="113">
        <v>0</v>
      </c>
      <c r="P285" s="113">
        <v>0</v>
      </c>
      <c r="Q285" s="113">
        <v>0</v>
      </c>
      <c r="R285" s="113">
        <v>0</v>
      </c>
      <c r="S285" s="113">
        <v>0</v>
      </c>
      <c r="T285" s="113">
        <v>0</v>
      </c>
      <c r="U285" s="113">
        <v>0</v>
      </c>
      <c r="V285" s="113">
        <v>0</v>
      </c>
      <c r="W285" s="113">
        <v>19495</v>
      </c>
      <c r="X285" s="113">
        <v>19427</v>
      </c>
      <c r="Y285" s="113">
        <v>0</v>
      </c>
      <c r="Z285" s="113">
        <v>0</v>
      </c>
      <c r="AA285" s="113">
        <v>0</v>
      </c>
      <c r="AB285" s="113">
        <v>0</v>
      </c>
      <c r="AC285" s="113">
        <v>0</v>
      </c>
      <c r="AD285" s="113">
        <v>0</v>
      </c>
    </row>
    <row r="286" spans="1:256">
      <c r="A286" s="103" t="s">
        <v>1199</v>
      </c>
      <c r="B286" s="103"/>
      <c r="C286" s="103"/>
      <c r="D286" s="103"/>
      <c r="E286" s="103"/>
      <c r="F286" s="103"/>
      <c r="G286" s="103"/>
      <c r="H286" s="113">
        <v>0</v>
      </c>
      <c r="I286" s="113">
        <v>0</v>
      </c>
      <c r="J286" s="113">
        <v>0</v>
      </c>
      <c r="K286" s="113">
        <v>0</v>
      </c>
      <c r="L286" s="113">
        <v>0</v>
      </c>
      <c r="M286" s="113">
        <v>0</v>
      </c>
      <c r="N286" s="113">
        <v>0</v>
      </c>
      <c r="O286" s="113">
        <v>0</v>
      </c>
      <c r="P286" s="113">
        <v>0</v>
      </c>
      <c r="Q286" s="113">
        <v>0</v>
      </c>
      <c r="R286" s="113">
        <v>0</v>
      </c>
      <c r="S286" s="113">
        <v>0</v>
      </c>
      <c r="T286" s="113">
        <v>0</v>
      </c>
      <c r="U286" s="113">
        <v>0</v>
      </c>
      <c r="V286" s="113">
        <v>0</v>
      </c>
      <c r="W286" s="113">
        <v>6740</v>
      </c>
      <c r="X286" s="113">
        <v>6149</v>
      </c>
      <c r="Y286" s="113">
        <v>0</v>
      </c>
      <c r="Z286" s="113">
        <v>0</v>
      </c>
      <c r="AA286" s="113">
        <v>0</v>
      </c>
      <c r="AB286" s="113">
        <v>0</v>
      </c>
      <c r="AC286" s="113">
        <v>0</v>
      </c>
      <c r="AD286" s="113">
        <v>0</v>
      </c>
    </row>
    <row r="287" spans="1:256">
      <c r="A287" s="103" t="s">
        <v>1202</v>
      </c>
      <c r="B287" s="103"/>
      <c r="C287" s="103"/>
      <c r="D287" s="103"/>
      <c r="E287" s="103"/>
      <c r="F287" s="103"/>
      <c r="G287" s="103"/>
      <c r="H287" s="113">
        <v>0</v>
      </c>
      <c r="I287" s="113">
        <v>0</v>
      </c>
      <c r="J287" s="113">
        <v>0</v>
      </c>
      <c r="K287" s="113">
        <v>0</v>
      </c>
      <c r="L287" s="113">
        <v>0</v>
      </c>
      <c r="M287" s="113">
        <v>0</v>
      </c>
      <c r="N287" s="113">
        <v>0</v>
      </c>
      <c r="O287" s="113">
        <v>0</v>
      </c>
      <c r="P287" s="113">
        <v>0</v>
      </c>
      <c r="Q287" s="113">
        <v>0</v>
      </c>
      <c r="R287" s="113">
        <v>0</v>
      </c>
      <c r="S287" s="113">
        <v>0</v>
      </c>
      <c r="T287" s="113">
        <v>0</v>
      </c>
      <c r="U287" s="113">
        <v>0</v>
      </c>
      <c r="V287" s="113">
        <v>0</v>
      </c>
      <c r="W287" s="113">
        <v>6203</v>
      </c>
      <c r="X287" s="113">
        <v>6431</v>
      </c>
      <c r="Y287" s="113">
        <v>0</v>
      </c>
      <c r="Z287" s="113">
        <v>0</v>
      </c>
      <c r="AA287" s="113">
        <v>0</v>
      </c>
      <c r="AB287" s="113">
        <v>0</v>
      </c>
      <c r="AC287" s="113">
        <v>0</v>
      </c>
      <c r="AD287" s="113">
        <v>0</v>
      </c>
    </row>
    <row r="288" spans="1:256">
      <c r="A288" s="103" t="s">
        <v>1204</v>
      </c>
      <c r="B288" s="103"/>
      <c r="C288" s="103"/>
      <c r="D288" s="103"/>
      <c r="E288" s="103"/>
      <c r="F288" s="103"/>
      <c r="G288" s="103"/>
      <c r="H288" s="113">
        <v>0</v>
      </c>
      <c r="I288" s="113">
        <v>0</v>
      </c>
      <c r="J288" s="113">
        <v>0</v>
      </c>
      <c r="K288" s="113">
        <v>0</v>
      </c>
      <c r="L288" s="113">
        <v>0</v>
      </c>
      <c r="M288" s="113">
        <v>0</v>
      </c>
      <c r="N288" s="113">
        <v>0</v>
      </c>
      <c r="O288" s="113">
        <v>0</v>
      </c>
      <c r="P288" s="113">
        <v>0</v>
      </c>
      <c r="Q288" s="113">
        <v>0</v>
      </c>
      <c r="R288" s="113">
        <v>0</v>
      </c>
      <c r="S288" s="113">
        <v>0</v>
      </c>
      <c r="T288" s="113">
        <v>0</v>
      </c>
      <c r="U288" s="113">
        <v>0</v>
      </c>
      <c r="V288" s="113">
        <v>0</v>
      </c>
      <c r="W288" s="113">
        <v>37126</v>
      </c>
      <c r="X288" s="113">
        <v>39778</v>
      </c>
      <c r="Y288" s="113">
        <v>0</v>
      </c>
      <c r="Z288" s="113">
        <v>0</v>
      </c>
      <c r="AA288" s="113">
        <v>0</v>
      </c>
      <c r="AB288" s="113">
        <v>0</v>
      </c>
      <c r="AC288" s="113">
        <v>0</v>
      </c>
      <c r="AD288" s="113">
        <v>0</v>
      </c>
    </row>
    <row r="289" spans="1:30">
      <c r="A289" s="103" t="s">
        <v>1205</v>
      </c>
      <c r="B289" s="103"/>
      <c r="C289" s="103"/>
      <c r="D289" s="103"/>
      <c r="E289" s="103"/>
      <c r="F289" s="103"/>
      <c r="G289" s="103"/>
      <c r="H289" s="113">
        <v>0</v>
      </c>
      <c r="I289" s="113">
        <v>0</v>
      </c>
      <c r="J289" s="113">
        <v>0</v>
      </c>
      <c r="K289" s="113">
        <v>0</v>
      </c>
      <c r="L289" s="113">
        <v>0</v>
      </c>
      <c r="M289" s="113">
        <v>0</v>
      </c>
      <c r="N289" s="113">
        <v>0</v>
      </c>
      <c r="O289" s="113">
        <v>0</v>
      </c>
      <c r="P289" s="113">
        <v>0</v>
      </c>
      <c r="Q289" s="113">
        <v>0</v>
      </c>
      <c r="R289" s="113">
        <v>0</v>
      </c>
      <c r="S289" s="113">
        <v>0</v>
      </c>
      <c r="T289" s="113">
        <v>0</v>
      </c>
      <c r="U289" s="113">
        <v>0</v>
      </c>
      <c r="V289" s="113">
        <v>0</v>
      </c>
      <c r="W289" s="113">
        <v>4644</v>
      </c>
      <c r="X289" s="113">
        <v>5661</v>
      </c>
      <c r="Y289" s="113">
        <v>0</v>
      </c>
      <c r="Z289" s="113">
        <v>0</v>
      </c>
      <c r="AA289" s="113">
        <v>0</v>
      </c>
      <c r="AB289" s="113">
        <v>0</v>
      </c>
      <c r="AC289" s="113">
        <v>0</v>
      </c>
      <c r="AD289" s="113">
        <v>0</v>
      </c>
    </row>
    <row r="290" spans="1:30">
      <c r="A290" s="103" t="s">
        <v>2437</v>
      </c>
      <c r="B290" s="103"/>
      <c r="C290" s="103"/>
      <c r="D290" s="103"/>
      <c r="E290" s="103"/>
      <c r="F290" s="103"/>
      <c r="G290" s="103"/>
      <c r="H290" s="113">
        <v>5213</v>
      </c>
      <c r="I290" s="113">
        <v>6236</v>
      </c>
      <c r="J290" s="113">
        <v>0</v>
      </c>
      <c r="K290" s="113">
        <v>0</v>
      </c>
      <c r="L290" s="113">
        <v>0</v>
      </c>
      <c r="M290" s="113">
        <v>9350</v>
      </c>
      <c r="N290" s="113">
        <v>10304</v>
      </c>
      <c r="O290" s="113">
        <v>11293</v>
      </c>
      <c r="P290" s="113">
        <v>11901</v>
      </c>
      <c r="Q290" s="113">
        <v>13077</v>
      </c>
      <c r="R290" s="113">
        <v>14779</v>
      </c>
      <c r="S290" s="113">
        <v>16815</v>
      </c>
      <c r="T290" s="113">
        <v>15563</v>
      </c>
      <c r="U290" s="113">
        <v>18789</v>
      </c>
      <c r="V290" s="113">
        <v>18815</v>
      </c>
      <c r="W290" s="113">
        <v>0</v>
      </c>
      <c r="X290" s="113">
        <v>0</v>
      </c>
      <c r="Y290" s="113">
        <v>0</v>
      </c>
      <c r="Z290" s="113">
        <v>0</v>
      </c>
      <c r="AA290" s="113">
        <v>0</v>
      </c>
      <c r="AB290" s="113">
        <v>0</v>
      </c>
      <c r="AC290" s="113">
        <v>0</v>
      </c>
      <c r="AD290" s="113">
        <v>0</v>
      </c>
    </row>
    <row r="291" spans="1:30">
      <c r="A291" s="103" t="s">
        <v>2438</v>
      </c>
      <c r="B291" s="103"/>
      <c r="C291" s="103"/>
      <c r="D291" s="103"/>
      <c r="E291" s="103"/>
      <c r="F291" s="103"/>
      <c r="G291" s="103"/>
      <c r="H291" s="113">
        <v>0</v>
      </c>
      <c r="I291" s="113">
        <v>0</v>
      </c>
      <c r="J291" s="113">
        <v>0</v>
      </c>
      <c r="K291" s="113">
        <v>0</v>
      </c>
      <c r="L291" s="113">
        <v>0</v>
      </c>
      <c r="M291" s="113">
        <v>5632</v>
      </c>
      <c r="N291" s="113">
        <v>6786</v>
      </c>
      <c r="O291" s="113">
        <v>8031</v>
      </c>
      <c r="P291" s="113">
        <v>8314</v>
      </c>
      <c r="Q291" s="113">
        <v>9670</v>
      </c>
      <c r="R291" s="113">
        <v>11117</v>
      </c>
      <c r="S291" s="113">
        <v>13217</v>
      </c>
      <c r="T291" s="113">
        <v>14686</v>
      </c>
      <c r="U291" s="113">
        <v>15121</v>
      </c>
      <c r="V291" s="113">
        <v>16571</v>
      </c>
      <c r="W291" s="113">
        <v>0</v>
      </c>
      <c r="X291" s="113">
        <v>0</v>
      </c>
      <c r="Y291" s="113">
        <v>0</v>
      </c>
      <c r="Z291" s="113">
        <v>0</v>
      </c>
      <c r="AA291" s="113">
        <v>0</v>
      </c>
      <c r="AB291" s="113">
        <v>0</v>
      </c>
      <c r="AC291" s="113">
        <v>0</v>
      </c>
      <c r="AD291" s="113">
        <v>0</v>
      </c>
    </row>
    <row r="292" spans="1:30">
      <c r="A292" s="103" t="s">
        <v>2439</v>
      </c>
      <c r="B292" s="103"/>
      <c r="C292" s="103"/>
      <c r="D292" s="103"/>
      <c r="E292" s="103"/>
      <c r="F292" s="103"/>
      <c r="G292" s="103"/>
      <c r="H292" s="113">
        <v>0</v>
      </c>
      <c r="I292" s="113">
        <v>0</v>
      </c>
      <c r="J292" s="113">
        <v>0</v>
      </c>
      <c r="K292" s="113">
        <v>0</v>
      </c>
      <c r="L292" s="113">
        <v>0</v>
      </c>
      <c r="M292" s="113">
        <v>0</v>
      </c>
      <c r="N292" s="113">
        <v>0</v>
      </c>
      <c r="O292" s="113">
        <v>0</v>
      </c>
      <c r="P292" s="113">
        <v>2353</v>
      </c>
      <c r="Q292" s="113">
        <v>2303</v>
      </c>
      <c r="R292" s="113">
        <v>2434</v>
      </c>
      <c r="S292" s="113">
        <v>2164</v>
      </c>
      <c r="T292" s="113">
        <v>2110</v>
      </c>
      <c r="U292" s="113">
        <v>2345</v>
      </c>
      <c r="V292" s="113">
        <v>2680</v>
      </c>
      <c r="W292" s="113">
        <v>0</v>
      </c>
      <c r="X292" s="113">
        <v>0</v>
      </c>
      <c r="Y292" s="113">
        <v>0</v>
      </c>
      <c r="Z292" s="113">
        <v>0</v>
      </c>
      <c r="AA292" s="113">
        <v>0</v>
      </c>
      <c r="AB292" s="113">
        <v>0</v>
      </c>
      <c r="AC292" s="113">
        <v>0</v>
      </c>
      <c r="AD292" s="113">
        <v>0</v>
      </c>
    </row>
    <row r="293" spans="1:30">
      <c r="A293" s="103" t="s">
        <v>2440</v>
      </c>
      <c r="B293" s="103"/>
      <c r="C293" s="103"/>
      <c r="D293" s="103"/>
      <c r="E293" s="103"/>
      <c r="F293" s="103"/>
      <c r="G293" s="103"/>
      <c r="H293" s="113">
        <v>0</v>
      </c>
      <c r="I293" s="113">
        <v>0</v>
      </c>
      <c r="J293" s="113">
        <v>0</v>
      </c>
      <c r="K293" s="113">
        <v>0</v>
      </c>
      <c r="L293" s="113">
        <v>0</v>
      </c>
      <c r="M293" s="113">
        <v>308</v>
      </c>
      <c r="N293" s="113">
        <v>641</v>
      </c>
      <c r="O293" s="113">
        <v>735</v>
      </c>
      <c r="P293" s="113">
        <v>13298</v>
      </c>
      <c r="Q293" s="113">
        <v>14461</v>
      </c>
      <c r="R293" s="113">
        <v>16478</v>
      </c>
      <c r="S293" s="113">
        <v>18904</v>
      </c>
      <c r="T293" s="113">
        <v>19211</v>
      </c>
      <c r="U293" s="113">
        <v>19525</v>
      </c>
      <c r="V293" s="113">
        <v>22407</v>
      </c>
      <c r="W293" s="113">
        <v>0</v>
      </c>
      <c r="X293" s="113">
        <v>0</v>
      </c>
      <c r="Y293" s="113">
        <v>0</v>
      </c>
      <c r="Z293" s="113">
        <v>0</v>
      </c>
      <c r="AA293" s="113">
        <v>0</v>
      </c>
      <c r="AB293" s="113">
        <v>0</v>
      </c>
      <c r="AC293" s="113">
        <v>0</v>
      </c>
      <c r="AD293" s="113">
        <v>0</v>
      </c>
    </row>
    <row r="294" spans="1:30">
      <c r="A294" s="103" t="s">
        <v>2441</v>
      </c>
      <c r="B294" s="103"/>
      <c r="C294" s="103"/>
      <c r="D294" s="103"/>
      <c r="E294" s="103"/>
      <c r="F294" s="103"/>
      <c r="G294" s="103"/>
      <c r="H294" s="113">
        <v>0</v>
      </c>
      <c r="I294" s="113">
        <v>0</v>
      </c>
      <c r="J294" s="113">
        <v>0</v>
      </c>
      <c r="K294" s="113">
        <v>0</v>
      </c>
      <c r="L294" s="113">
        <v>0</v>
      </c>
      <c r="M294" s="113">
        <v>0</v>
      </c>
      <c r="N294" s="113">
        <v>0</v>
      </c>
      <c r="O294" s="113">
        <v>0</v>
      </c>
      <c r="P294" s="113">
        <v>3485</v>
      </c>
      <c r="Q294" s="113">
        <v>4761</v>
      </c>
      <c r="R294" s="113">
        <v>6136</v>
      </c>
      <c r="S294" s="113">
        <v>8502</v>
      </c>
      <c r="T294" s="113">
        <v>6416</v>
      </c>
      <c r="U294" s="113">
        <v>6135</v>
      </c>
      <c r="V294" s="113">
        <v>8896</v>
      </c>
      <c r="W294" s="113">
        <v>0</v>
      </c>
      <c r="X294" s="113">
        <v>0</v>
      </c>
      <c r="Y294" s="113">
        <v>0</v>
      </c>
      <c r="Z294" s="113">
        <v>0</v>
      </c>
      <c r="AA294" s="113">
        <v>0</v>
      </c>
      <c r="AB294" s="113">
        <v>0</v>
      </c>
      <c r="AC294" s="113">
        <v>0</v>
      </c>
      <c r="AD294" s="113">
        <v>0</v>
      </c>
    </row>
    <row r="295" spans="1:30">
      <c r="A295" s="103" t="s">
        <v>2442</v>
      </c>
      <c r="B295" s="103"/>
      <c r="C295" s="103"/>
      <c r="D295" s="103"/>
      <c r="E295" s="103"/>
      <c r="F295" s="103"/>
      <c r="G295" s="103"/>
      <c r="H295" s="113">
        <v>-398</v>
      </c>
      <c r="I295" s="113">
        <v>-197</v>
      </c>
      <c r="J295" s="113">
        <v>134</v>
      </c>
      <c r="K295" s="113">
        <v>19</v>
      </c>
      <c r="L295" s="113">
        <v>0</v>
      </c>
      <c r="M295" s="113">
        <v>288</v>
      </c>
      <c r="N295" s="113">
        <v>-508</v>
      </c>
      <c r="O295" s="113">
        <v>372</v>
      </c>
      <c r="P295" s="113">
        <v>0</v>
      </c>
      <c r="Q295" s="113">
        <v>0</v>
      </c>
      <c r="R295" s="113">
        <v>0</v>
      </c>
      <c r="S295" s="113">
        <v>0</v>
      </c>
      <c r="T295" s="113">
        <v>0</v>
      </c>
      <c r="U295" s="113">
        <v>0</v>
      </c>
      <c r="V295" s="113">
        <v>0</v>
      </c>
      <c r="W295" s="113">
        <v>0</v>
      </c>
      <c r="X295" s="113">
        <v>0</v>
      </c>
      <c r="Y295" s="113">
        <v>0</v>
      </c>
      <c r="Z295" s="113">
        <v>0</v>
      </c>
      <c r="AA295" s="113">
        <v>0</v>
      </c>
      <c r="AB295" s="113">
        <v>0</v>
      </c>
      <c r="AC295" s="113">
        <v>0</v>
      </c>
      <c r="AD295" s="113">
        <v>0</v>
      </c>
    </row>
    <row r="296" spans="1:30">
      <c r="A296" s="103" t="s">
        <v>2443</v>
      </c>
      <c r="B296" s="103"/>
      <c r="C296" s="103"/>
      <c r="D296" s="103"/>
      <c r="E296" s="103"/>
      <c r="F296" s="103"/>
      <c r="G296" s="103"/>
      <c r="H296" s="113">
        <v>0</v>
      </c>
      <c r="I296" s="113">
        <v>0</v>
      </c>
      <c r="J296" s="113">
        <v>0</v>
      </c>
      <c r="K296" s="113">
        <v>0</v>
      </c>
      <c r="L296" s="113">
        <v>0</v>
      </c>
      <c r="M296" s="113">
        <v>8328</v>
      </c>
      <c r="N296" s="113">
        <v>9636</v>
      </c>
      <c r="O296" s="113">
        <v>10990</v>
      </c>
      <c r="P296" s="113">
        <v>0</v>
      </c>
      <c r="Q296" s="113">
        <v>0</v>
      </c>
      <c r="R296" s="113">
        <v>0</v>
      </c>
      <c r="S296" s="113">
        <v>0</v>
      </c>
      <c r="T296" s="113">
        <v>0</v>
      </c>
      <c r="U296" s="113">
        <v>0</v>
      </c>
      <c r="V296" s="113">
        <v>0</v>
      </c>
      <c r="W296" s="113">
        <v>0</v>
      </c>
      <c r="X296" s="113">
        <v>0</v>
      </c>
      <c r="Y296" s="113">
        <v>0</v>
      </c>
      <c r="Z296" s="113">
        <v>0</v>
      </c>
      <c r="AA296" s="113">
        <v>0</v>
      </c>
      <c r="AB296" s="113">
        <v>0</v>
      </c>
      <c r="AC296" s="113">
        <v>0</v>
      </c>
      <c r="AD296" s="113">
        <v>0</v>
      </c>
    </row>
    <row r="297" spans="1:30">
      <c r="A297" s="103" t="s">
        <v>2444</v>
      </c>
      <c r="B297" s="103"/>
      <c r="C297" s="103"/>
      <c r="D297" s="103"/>
      <c r="E297" s="103"/>
      <c r="F297" s="103"/>
      <c r="G297" s="103"/>
      <c r="H297" s="113">
        <v>0</v>
      </c>
      <c r="I297" s="113">
        <v>0</v>
      </c>
      <c r="J297" s="113">
        <v>0</v>
      </c>
      <c r="K297" s="113">
        <v>0</v>
      </c>
      <c r="L297" s="113">
        <v>0</v>
      </c>
      <c r="M297" s="113">
        <v>1924</v>
      </c>
      <c r="N297" s="113">
        <v>2396</v>
      </c>
      <c r="O297" s="113">
        <v>2498</v>
      </c>
      <c r="P297" s="113">
        <v>0</v>
      </c>
      <c r="Q297" s="113">
        <v>0</v>
      </c>
      <c r="R297" s="113">
        <v>0</v>
      </c>
      <c r="S297" s="113">
        <v>0</v>
      </c>
      <c r="T297" s="113">
        <v>0</v>
      </c>
      <c r="U297" s="113">
        <v>0</v>
      </c>
      <c r="V297" s="113">
        <v>0</v>
      </c>
      <c r="W297" s="113">
        <v>0</v>
      </c>
      <c r="X297" s="113">
        <v>0</v>
      </c>
      <c r="Y297" s="113">
        <v>0</v>
      </c>
      <c r="Z297" s="113">
        <v>0</v>
      </c>
      <c r="AA297" s="113">
        <v>0</v>
      </c>
      <c r="AB297" s="113">
        <v>0</v>
      </c>
      <c r="AC297" s="113">
        <v>0</v>
      </c>
      <c r="AD297" s="113">
        <v>0</v>
      </c>
    </row>
    <row r="298" spans="1:30">
      <c r="A298" s="103" t="s">
        <v>2445</v>
      </c>
      <c r="B298" s="103"/>
      <c r="C298" s="103"/>
      <c r="D298" s="103"/>
      <c r="E298" s="103"/>
      <c r="F298" s="103"/>
      <c r="G298" s="103"/>
      <c r="H298" s="113">
        <v>0</v>
      </c>
      <c r="I298" s="113">
        <v>0</v>
      </c>
      <c r="J298" s="113">
        <v>0</v>
      </c>
      <c r="K298" s="113">
        <v>0</v>
      </c>
      <c r="L298" s="113">
        <v>0</v>
      </c>
      <c r="M298" s="113">
        <v>124</v>
      </c>
      <c r="N298" s="113">
        <v>153</v>
      </c>
      <c r="O298" s="113">
        <v>185</v>
      </c>
      <c r="P298" s="113">
        <v>0</v>
      </c>
      <c r="Q298" s="113">
        <v>0</v>
      </c>
      <c r="R298" s="113">
        <v>0</v>
      </c>
      <c r="S298" s="113">
        <v>0</v>
      </c>
      <c r="T298" s="113">
        <v>0</v>
      </c>
      <c r="U298" s="113">
        <v>0</v>
      </c>
      <c r="V298" s="113">
        <v>0</v>
      </c>
      <c r="W298" s="113">
        <v>0</v>
      </c>
      <c r="X298" s="113">
        <v>0</v>
      </c>
      <c r="Y298" s="113">
        <v>0</v>
      </c>
      <c r="Z298" s="113">
        <v>0</v>
      </c>
      <c r="AA298" s="113">
        <v>0</v>
      </c>
      <c r="AB298" s="113">
        <v>0</v>
      </c>
      <c r="AC298" s="113">
        <v>0</v>
      </c>
      <c r="AD298" s="113">
        <v>0</v>
      </c>
    </row>
    <row r="299" spans="1:30">
      <c r="A299" s="103" t="s">
        <v>2446</v>
      </c>
      <c r="B299" s="103"/>
      <c r="C299" s="103"/>
      <c r="D299" s="103"/>
      <c r="E299" s="103"/>
      <c r="F299" s="103"/>
      <c r="G299" s="103"/>
      <c r="H299" s="113">
        <v>0</v>
      </c>
      <c r="I299" s="113">
        <v>0</v>
      </c>
      <c r="J299" s="113">
        <v>0</v>
      </c>
      <c r="K299" s="113">
        <v>0</v>
      </c>
      <c r="L299" s="113">
        <v>0</v>
      </c>
      <c r="M299" s="113">
        <v>2411</v>
      </c>
      <c r="N299" s="113">
        <v>2779</v>
      </c>
      <c r="O299" s="113">
        <v>2731</v>
      </c>
      <c r="P299" s="113">
        <v>0</v>
      </c>
      <c r="Q299" s="113">
        <v>0</v>
      </c>
      <c r="R299" s="113">
        <v>0</v>
      </c>
      <c r="S299" s="113">
        <v>0</v>
      </c>
      <c r="T299" s="113">
        <v>0</v>
      </c>
      <c r="U299" s="113">
        <v>0</v>
      </c>
      <c r="V299" s="113">
        <v>0</v>
      </c>
      <c r="W299" s="113">
        <v>0</v>
      </c>
      <c r="X299" s="113">
        <v>0</v>
      </c>
      <c r="Y299" s="113">
        <v>0</v>
      </c>
      <c r="Z299" s="113">
        <v>0</v>
      </c>
      <c r="AA299" s="113">
        <v>0</v>
      </c>
      <c r="AB299" s="113">
        <v>0</v>
      </c>
      <c r="AC299" s="113">
        <v>0</v>
      </c>
      <c r="AD299" s="113">
        <v>0</v>
      </c>
    </row>
    <row r="300" spans="1:30">
      <c r="A300" s="103" t="s">
        <v>2447</v>
      </c>
      <c r="B300" s="103"/>
      <c r="C300" s="103"/>
      <c r="D300" s="103"/>
      <c r="E300" s="103"/>
      <c r="F300" s="103"/>
      <c r="G300" s="103"/>
      <c r="H300" s="113">
        <v>0</v>
      </c>
      <c r="I300" s="113">
        <v>0</v>
      </c>
      <c r="J300" s="113">
        <v>17810</v>
      </c>
      <c r="K300" s="113">
        <v>20410</v>
      </c>
      <c r="L300" s="113">
        <v>0</v>
      </c>
      <c r="M300" s="113">
        <v>0</v>
      </c>
      <c r="N300" s="113">
        <v>0</v>
      </c>
      <c r="O300" s="113">
        <v>0</v>
      </c>
      <c r="P300" s="113">
        <v>0</v>
      </c>
      <c r="Q300" s="113">
        <v>0</v>
      </c>
      <c r="R300" s="113">
        <v>0</v>
      </c>
      <c r="S300" s="113">
        <v>0</v>
      </c>
      <c r="T300" s="113">
        <v>0</v>
      </c>
      <c r="U300" s="113">
        <v>0</v>
      </c>
      <c r="V300" s="113">
        <v>0</v>
      </c>
      <c r="W300" s="113">
        <v>0</v>
      </c>
      <c r="X300" s="113">
        <v>0</v>
      </c>
      <c r="Y300" s="113">
        <v>0</v>
      </c>
      <c r="Z300" s="113">
        <v>0</v>
      </c>
      <c r="AA300" s="113">
        <v>0</v>
      </c>
      <c r="AB300" s="113">
        <v>0</v>
      </c>
      <c r="AC300" s="113">
        <v>0</v>
      </c>
      <c r="AD300" s="113">
        <v>0</v>
      </c>
    </row>
    <row r="301" spans="1:30">
      <c r="A301" s="103" t="s">
        <v>2448</v>
      </c>
      <c r="B301" s="103"/>
      <c r="C301" s="103"/>
      <c r="D301" s="103"/>
      <c r="E301" s="103"/>
      <c r="F301" s="103"/>
      <c r="G301" s="103"/>
      <c r="H301" s="113">
        <v>0</v>
      </c>
      <c r="I301" s="113">
        <v>0</v>
      </c>
      <c r="J301" s="113">
        <v>1148</v>
      </c>
      <c r="K301" s="113">
        <v>1654</v>
      </c>
      <c r="L301" s="113">
        <v>0</v>
      </c>
      <c r="M301" s="113">
        <v>0</v>
      </c>
      <c r="N301" s="113">
        <v>0</v>
      </c>
      <c r="O301" s="113">
        <v>0</v>
      </c>
      <c r="P301" s="113">
        <v>0</v>
      </c>
      <c r="Q301" s="113">
        <v>0</v>
      </c>
      <c r="R301" s="113">
        <v>0</v>
      </c>
      <c r="S301" s="113">
        <v>0</v>
      </c>
      <c r="T301" s="113">
        <v>0</v>
      </c>
      <c r="U301" s="113">
        <v>0</v>
      </c>
      <c r="V301" s="113">
        <v>0</v>
      </c>
      <c r="W301" s="113">
        <v>0</v>
      </c>
      <c r="X301" s="113">
        <v>0</v>
      </c>
      <c r="Y301" s="113">
        <v>0</v>
      </c>
      <c r="Z301" s="113">
        <v>0</v>
      </c>
      <c r="AA301" s="113">
        <v>0</v>
      </c>
      <c r="AB301" s="113">
        <v>0</v>
      </c>
      <c r="AC301" s="113">
        <v>0</v>
      </c>
      <c r="AD301" s="113">
        <v>0</v>
      </c>
    </row>
    <row r="302" spans="1:30">
      <c r="A302" s="103" t="s">
        <v>2449</v>
      </c>
      <c r="B302" s="103"/>
      <c r="C302" s="103"/>
      <c r="D302" s="103"/>
      <c r="E302" s="103"/>
      <c r="F302" s="103"/>
      <c r="G302" s="103"/>
      <c r="H302" s="113">
        <v>0</v>
      </c>
      <c r="I302" s="113">
        <v>0</v>
      </c>
      <c r="J302" s="113">
        <v>62</v>
      </c>
      <c r="K302" s="113">
        <v>182</v>
      </c>
      <c r="L302" s="113">
        <v>0</v>
      </c>
      <c r="M302" s="113">
        <v>0</v>
      </c>
      <c r="N302" s="113">
        <v>0</v>
      </c>
      <c r="O302" s="113">
        <v>0</v>
      </c>
      <c r="P302" s="113">
        <v>0</v>
      </c>
      <c r="Q302" s="113">
        <v>0</v>
      </c>
      <c r="R302" s="113">
        <v>0</v>
      </c>
      <c r="S302" s="113">
        <v>0</v>
      </c>
      <c r="T302" s="113">
        <v>0</v>
      </c>
      <c r="U302" s="113">
        <v>0</v>
      </c>
      <c r="V302" s="113">
        <v>0</v>
      </c>
      <c r="W302" s="113">
        <v>0</v>
      </c>
      <c r="X302" s="113">
        <v>0</v>
      </c>
      <c r="Y302" s="113">
        <v>0</v>
      </c>
      <c r="Z302" s="113">
        <v>0</v>
      </c>
      <c r="AA302" s="113">
        <v>0</v>
      </c>
      <c r="AB302" s="113">
        <v>0</v>
      </c>
      <c r="AC302" s="113">
        <v>0</v>
      </c>
      <c r="AD302" s="113">
        <v>0</v>
      </c>
    </row>
    <row r="303" spans="1:30">
      <c r="A303" s="103" t="s">
        <v>198</v>
      </c>
      <c r="B303" s="103"/>
      <c r="C303" s="103"/>
      <c r="D303" s="103"/>
      <c r="E303" s="103"/>
      <c r="F303" s="103"/>
      <c r="G303" s="103"/>
      <c r="H303" s="113">
        <v>0</v>
      </c>
      <c r="I303" s="113">
        <v>0</v>
      </c>
      <c r="J303" s="113">
        <v>593</v>
      </c>
      <c r="K303" s="113">
        <v>691</v>
      </c>
      <c r="L303" s="113">
        <v>0</v>
      </c>
      <c r="M303" s="113">
        <v>0</v>
      </c>
      <c r="N303" s="113">
        <v>0</v>
      </c>
      <c r="O303" s="113">
        <v>0</v>
      </c>
      <c r="P303" s="113">
        <v>0</v>
      </c>
      <c r="Q303" s="113">
        <v>0</v>
      </c>
      <c r="R303" s="113">
        <v>0</v>
      </c>
      <c r="S303" s="113">
        <v>0</v>
      </c>
      <c r="T303" s="113">
        <v>0</v>
      </c>
      <c r="U303" s="113">
        <v>0</v>
      </c>
      <c r="V303" s="113">
        <v>0</v>
      </c>
      <c r="W303" s="113">
        <v>0</v>
      </c>
      <c r="X303" s="113">
        <v>0</v>
      </c>
      <c r="Y303" s="113">
        <v>0</v>
      </c>
      <c r="Z303" s="113">
        <v>0</v>
      </c>
      <c r="AA303" s="113">
        <v>0</v>
      </c>
      <c r="AB303" s="113">
        <v>0</v>
      </c>
      <c r="AC303" s="113">
        <v>0</v>
      </c>
      <c r="AD303" s="113">
        <v>0</v>
      </c>
    </row>
    <row r="304" spans="1:30">
      <c r="A304" s="103" t="s">
        <v>2450</v>
      </c>
      <c r="B304" s="103"/>
      <c r="C304" s="103"/>
      <c r="D304" s="103"/>
      <c r="E304" s="103"/>
      <c r="F304" s="103"/>
      <c r="G304" s="103"/>
      <c r="H304" s="113">
        <v>5992</v>
      </c>
      <c r="I304" s="113">
        <v>7458</v>
      </c>
      <c r="J304" s="113">
        <v>0</v>
      </c>
      <c r="K304" s="113">
        <v>0</v>
      </c>
      <c r="L304" s="113">
        <v>0</v>
      </c>
      <c r="M304" s="113">
        <v>0</v>
      </c>
      <c r="N304" s="113">
        <v>0</v>
      </c>
      <c r="O304" s="113">
        <v>0</v>
      </c>
      <c r="P304" s="113">
        <v>0</v>
      </c>
      <c r="Q304" s="113">
        <v>0</v>
      </c>
      <c r="R304" s="113">
        <v>0</v>
      </c>
      <c r="S304" s="113">
        <v>0</v>
      </c>
      <c r="T304" s="113">
        <v>0</v>
      </c>
      <c r="U304" s="113">
        <v>0</v>
      </c>
      <c r="V304" s="113">
        <v>0</v>
      </c>
      <c r="W304" s="113">
        <v>0</v>
      </c>
      <c r="X304" s="113">
        <v>0</v>
      </c>
      <c r="Y304" s="113">
        <v>0</v>
      </c>
      <c r="Z304" s="113">
        <v>0</v>
      </c>
      <c r="AA304" s="113">
        <v>0</v>
      </c>
      <c r="AB304" s="113">
        <v>0</v>
      </c>
      <c r="AC304" s="113">
        <v>0</v>
      </c>
      <c r="AD304" s="113">
        <v>0</v>
      </c>
    </row>
    <row r="305" spans="1:30">
      <c r="A305" s="103" t="s">
        <v>2451</v>
      </c>
      <c r="B305" s="103"/>
      <c r="C305" s="103"/>
      <c r="D305" s="103"/>
      <c r="E305" s="103"/>
      <c r="F305" s="103"/>
      <c r="G305" s="103"/>
      <c r="H305" s="113">
        <v>1129</v>
      </c>
      <c r="I305" s="113">
        <v>1765</v>
      </c>
      <c r="J305" s="113">
        <v>0</v>
      </c>
      <c r="K305" s="113">
        <v>0</v>
      </c>
      <c r="L305" s="113">
        <v>0</v>
      </c>
      <c r="M305" s="113">
        <v>0</v>
      </c>
      <c r="N305" s="113">
        <v>0</v>
      </c>
      <c r="O305" s="113">
        <v>0</v>
      </c>
      <c r="P305" s="113">
        <v>0</v>
      </c>
      <c r="Q305" s="113">
        <v>0</v>
      </c>
      <c r="R305" s="113">
        <v>0</v>
      </c>
      <c r="S305" s="113">
        <v>0</v>
      </c>
      <c r="T305" s="113">
        <v>0</v>
      </c>
      <c r="U305" s="113">
        <v>0</v>
      </c>
      <c r="V305" s="113">
        <v>0</v>
      </c>
      <c r="W305" s="113">
        <v>0</v>
      </c>
      <c r="X305" s="113">
        <v>0</v>
      </c>
      <c r="Y305" s="113">
        <v>0</v>
      </c>
      <c r="Z305" s="113">
        <v>0</v>
      </c>
      <c r="AA305" s="113">
        <v>0</v>
      </c>
      <c r="AB305" s="113">
        <v>0</v>
      </c>
      <c r="AC305" s="113">
        <v>0</v>
      </c>
      <c r="AD305" s="113">
        <v>0</v>
      </c>
    </row>
    <row r="306" spans="1:30" ht="10.5">
      <c r="A306" s="112" t="s">
        <v>2452</v>
      </c>
      <c r="B306" s="112"/>
      <c r="C306" s="112"/>
      <c r="D306" s="112"/>
      <c r="E306" s="112"/>
      <c r="F306" s="112"/>
      <c r="G306" s="112"/>
      <c r="H306" s="115">
        <v>11936</v>
      </c>
      <c r="I306" s="115">
        <v>15262</v>
      </c>
      <c r="J306" s="115">
        <v>19747</v>
      </c>
      <c r="K306" s="115">
        <v>22956</v>
      </c>
      <c r="L306" s="115">
        <v>0</v>
      </c>
      <c r="M306" s="115">
        <v>28365</v>
      </c>
      <c r="N306" s="115">
        <v>32187</v>
      </c>
      <c r="O306" s="115">
        <v>36835</v>
      </c>
      <c r="P306" s="115">
        <v>39788</v>
      </c>
      <c r="Q306" s="115">
        <v>44282</v>
      </c>
      <c r="R306" s="115">
        <v>51122</v>
      </c>
      <c r="S306" s="115">
        <v>60420</v>
      </c>
      <c r="T306" s="115">
        <v>58437</v>
      </c>
      <c r="U306" s="115">
        <v>62484</v>
      </c>
      <c r="V306" s="115">
        <v>69943</v>
      </c>
      <c r="W306" s="115">
        <v>73723</v>
      </c>
      <c r="X306" s="115">
        <v>77849</v>
      </c>
      <c r="Y306" s="115">
        <v>86833</v>
      </c>
      <c r="Z306" s="115">
        <v>93580</v>
      </c>
      <c r="AA306" s="115">
        <v>91154</v>
      </c>
      <c r="AB306" s="115">
        <v>96571</v>
      </c>
      <c r="AC306" s="115">
        <v>110360</v>
      </c>
      <c r="AD306" s="115">
        <v>125843</v>
      </c>
    </row>
    <row r="307" spans="1:30">
      <c r="A307" s="103"/>
      <c r="B307" s="103"/>
      <c r="C307" s="103"/>
      <c r="D307" s="103"/>
      <c r="E307" s="103"/>
      <c r="F307" s="10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row>
    <row r="308" spans="1:30" ht="10.5">
      <c r="A308" s="112" t="s">
        <v>2453</v>
      </c>
      <c r="B308" s="112"/>
      <c r="C308" s="112"/>
      <c r="D308" s="112"/>
      <c r="E308" s="112"/>
      <c r="F308" s="112"/>
      <c r="G308" s="112"/>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row>
    <row r="309" spans="1:30">
      <c r="A309" s="103" t="s">
        <v>340</v>
      </c>
      <c r="B309" s="103"/>
      <c r="C309" s="103"/>
      <c r="D309" s="103"/>
      <c r="E309" s="103"/>
      <c r="F309" s="103"/>
      <c r="G309" s="103"/>
      <c r="H309" s="113">
        <v>0</v>
      </c>
      <c r="I309" s="113">
        <v>0</v>
      </c>
      <c r="J309" s="113">
        <v>0</v>
      </c>
      <c r="K309" s="113">
        <v>0</v>
      </c>
      <c r="L309" s="113">
        <v>0</v>
      </c>
      <c r="M309" s="113">
        <v>0</v>
      </c>
      <c r="N309" s="113">
        <v>0</v>
      </c>
      <c r="O309" s="113">
        <v>0</v>
      </c>
      <c r="P309" s="113">
        <v>0</v>
      </c>
      <c r="Q309" s="113">
        <v>0</v>
      </c>
      <c r="R309" s="113">
        <v>0</v>
      </c>
      <c r="S309" s="113">
        <v>0</v>
      </c>
      <c r="T309" s="113">
        <v>0</v>
      </c>
      <c r="U309" s="113">
        <v>0</v>
      </c>
      <c r="V309" s="113">
        <v>0</v>
      </c>
      <c r="W309" s="113">
        <v>-582</v>
      </c>
      <c r="X309" s="113">
        <v>370</v>
      </c>
      <c r="Y309" s="113">
        <v>0</v>
      </c>
      <c r="Z309" s="113">
        <v>0</v>
      </c>
      <c r="AA309" s="113">
        <v>0</v>
      </c>
      <c r="AB309" s="113">
        <v>0</v>
      </c>
      <c r="AC309" s="113">
        <v>0</v>
      </c>
      <c r="AD309" s="113">
        <v>0</v>
      </c>
    </row>
    <row r="310" spans="1:30">
      <c r="A310" s="103" t="s">
        <v>1198</v>
      </c>
      <c r="B310" s="103"/>
      <c r="C310" s="103"/>
      <c r="D310" s="103"/>
      <c r="E310" s="103"/>
      <c r="F310" s="103"/>
      <c r="G310" s="103"/>
      <c r="H310" s="113">
        <v>0</v>
      </c>
      <c r="I310" s="113">
        <v>0</v>
      </c>
      <c r="J310" s="113">
        <v>0</v>
      </c>
      <c r="K310" s="113">
        <v>0</v>
      </c>
      <c r="L310" s="113">
        <v>0</v>
      </c>
      <c r="M310" s="113">
        <v>0</v>
      </c>
      <c r="N310" s="113">
        <v>0</v>
      </c>
      <c r="O310" s="113">
        <v>0</v>
      </c>
      <c r="P310" s="113">
        <v>0</v>
      </c>
      <c r="Q310" s="113">
        <v>0</v>
      </c>
      <c r="R310" s="113">
        <v>0</v>
      </c>
      <c r="S310" s="113">
        <v>0</v>
      </c>
      <c r="T310" s="113">
        <v>0</v>
      </c>
      <c r="U310" s="113">
        <v>0</v>
      </c>
      <c r="V310" s="113">
        <v>0</v>
      </c>
      <c r="W310" s="113">
        <v>17240</v>
      </c>
      <c r="X310" s="113">
        <v>16985</v>
      </c>
      <c r="Y310" s="113">
        <v>0</v>
      </c>
      <c r="Z310" s="113">
        <v>0</v>
      </c>
      <c r="AA310" s="113">
        <v>0</v>
      </c>
      <c r="AB310" s="113">
        <v>0</v>
      </c>
      <c r="AC310" s="113">
        <v>0</v>
      </c>
      <c r="AD310" s="113">
        <v>0</v>
      </c>
    </row>
    <row r="311" spans="1:30">
      <c r="A311" s="103" t="s">
        <v>1199</v>
      </c>
      <c r="B311" s="103"/>
      <c r="C311" s="103"/>
      <c r="D311" s="103"/>
      <c r="E311" s="103"/>
      <c r="F311" s="103"/>
      <c r="G311" s="103"/>
      <c r="H311" s="113">
        <v>0</v>
      </c>
      <c r="I311" s="113">
        <v>0</v>
      </c>
      <c r="J311" s="113">
        <v>0</v>
      </c>
      <c r="K311" s="113">
        <v>0</v>
      </c>
      <c r="L311" s="113">
        <v>0</v>
      </c>
      <c r="M311" s="113">
        <v>0</v>
      </c>
      <c r="N311" s="113">
        <v>0</v>
      </c>
      <c r="O311" s="113">
        <v>0</v>
      </c>
      <c r="P311" s="113">
        <v>0</v>
      </c>
      <c r="Q311" s="113">
        <v>0</v>
      </c>
      <c r="R311" s="113">
        <v>0</v>
      </c>
      <c r="S311" s="113">
        <v>0</v>
      </c>
      <c r="T311" s="113">
        <v>0</v>
      </c>
      <c r="U311" s="113">
        <v>0</v>
      </c>
      <c r="V311" s="113">
        <v>0</v>
      </c>
      <c r="W311" s="113">
        <v>2495</v>
      </c>
      <c r="X311" s="113">
        <v>956</v>
      </c>
      <c r="Y311" s="113">
        <v>0</v>
      </c>
      <c r="Z311" s="113">
        <v>0</v>
      </c>
      <c r="AA311" s="113">
        <v>0</v>
      </c>
      <c r="AB311" s="113">
        <v>0</v>
      </c>
      <c r="AC311" s="113">
        <v>0</v>
      </c>
      <c r="AD311" s="113">
        <v>0</v>
      </c>
    </row>
    <row r="312" spans="1:30">
      <c r="A312" s="103" t="s">
        <v>1202</v>
      </c>
      <c r="B312" s="103"/>
      <c r="C312" s="103"/>
      <c r="D312" s="103"/>
      <c r="E312" s="103"/>
      <c r="F312" s="103"/>
      <c r="G312" s="103"/>
      <c r="H312" s="113">
        <v>0</v>
      </c>
      <c r="I312" s="113">
        <v>0</v>
      </c>
      <c r="J312" s="113">
        <v>0</v>
      </c>
      <c r="K312" s="113">
        <v>0</v>
      </c>
      <c r="L312" s="113">
        <v>0</v>
      </c>
      <c r="M312" s="113">
        <v>0</v>
      </c>
      <c r="N312" s="113">
        <v>0</v>
      </c>
      <c r="O312" s="113">
        <v>0</v>
      </c>
      <c r="P312" s="113">
        <v>0</v>
      </c>
      <c r="Q312" s="113">
        <v>0</v>
      </c>
      <c r="R312" s="113">
        <v>0</v>
      </c>
      <c r="S312" s="113">
        <v>0</v>
      </c>
      <c r="T312" s="113">
        <v>0</v>
      </c>
      <c r="U312" s="113">
        <v>0</v>
      </c>
      <c r="V312" s="113">
        <v>0</v>
      </c>
      <c r="W312" s="113">
        <v>1998</v>
      </c>
      <c r="X312" s="113">
        <v>1951</v>
      </c>
      <c r="Y312" s="113">
        <v>0</v>
      </c>
      <c r="Z312" s="113">
        <v>0</v>
      </c>
      <c r="AA312" s="113">
        <v>0</v>
      </c>
      <c r="AB312" s="113">
        <v>0</v>
      </c>
      <c r="AC312" s="113">
        <v>0</v>
      </c>
      <c r="AD312" s="113">
        <v>0</v>
      </c>
    </row>
    <row r="313" spans="1:30">
      <c r="A313" s="103" t="s">
        <v>1204</v>
      </c>
      <c r="B313" s="103"/>
      <c r="C313" s="103"/>
      <c r="D313" s="103"/>
      <c r="E313" s="103"/>
      <c r="F313" s="103"/>
      <c r="G313" s="103"/>
      <c r="H313" s="113">
        <v>0</v>
      </c>
      <c r="I313" s="113">
        <v>0</v>
      </c>
      <c r="J313" s="113">
        <v>0</v>
      </c>
      <c r="K313" s="113">
        <v>0</v>
      </c>
      <c r="L313" s="113">
        <v>0</v>
      </c>
      <c r="M313" s="113">
        <v>0</v>
      </c>
      <c r="N313" s="113">
        <v>0</v>
      </c>
      <c r="O313" s="113">
        <v>0</v>
      </c>
      <c r="P313" s="113">
        <v>0</v>
      </c>
      <c r="Q313" s="113">
        <v>0</v>
      </c>
      <c r="R313" s="113">
        <v>0</v>
      </c>
      <c r="S313" s="113">
        <v>0</v>
      </c>
      <c r="T313" s="113">
        <v>0</v>
      </c>
      <c r="U313" s="113">
        <v>0</v>
      </c>
      <c r="V313" s="113">
        <v>0</v>
      </c>
      <c r="W313" s="113">
        <v>34463</v>
      </c>
      <c r="X313" s="113">
        <v>36280</v>
      </c>
      <c r="Y313" s="113">
        <v>0</v>
      </c>
      <c r="Z313" s="113">
        <v>0</v>
      </c>
      <c r="AA313" s="113">
        <v>0</v>
      </c>
      <c r="AB313" s="113">
        <v>0</v>
      </c>
      <c r="AC313" s="113">
        <v>0</v>
      </c>
      <c r="AD313" s="113">
        <v>0</v>
      </c>
    </row>
    <row r="314" spans="1:30">
      <c r="A314" s="103" t="s">
        <v>1205</v>
      </c>
      <c r="B314" s="103"/>
      <c r="C314" s="103"/>
      <c r="D314" s="103"/>
      <c r="E314" s="103"/>
      <c r="F314" s="103"/>
      <c r="G314" s="103"/>
      <c r="H314" s="113">
        <v>0</v>
      </c>
      <c r="I314" s="113">
        <v>0</v>
      </c>
      <c r="J314" s="113">
        <v>0</v>
      </c>
      <c r="K314" s="113">
        <v>0</v>
      </c>
      <c r="L314" s="113">
        <v>0</v>
      </c>
      <c r="M314" s="113">
        <v>0</v>
      </c>
      <c r="N314" s="113">
        <v>0</v>
      </c>
      <c r="O314" s="113">
        <v>0</v>
      </c>
      <c r="P314" s="113">
        <v>0</v>
      </c>
      <c r="Q314" s="113">
        <v>0</v>
      </c>
      <c r="R314" s="113">
        <v>0</v>
      </c>
      <c r="S314" s="113">
        <v>0</v>
      </c>
      <c r="T314" s="113">
        <v>0</v>
      </c>
      <c r="U314" s="113">
        <v>0</v>
      </c>
      <c r="V314" s="113">
        <v>0</v>
      </c>
      <c r="W314" s="113">
        <v>579</v>
      </c>
      <c r="X314" s="113">
        <v>922</v>
      </c>
      <c r="Y314" s="113">
        <v>0</v>
      </c>
      <c r="Z314" s="113">
        <v>0</v>
      </c>
      <c r="AA314" s="113">
        <v>0</v>
      </c>
      <c r="AB314" s="113">
        <v>0</v>
      </c>
      <c r="AC314" s="113">
        <v>0</v>
      </c>
      <c r="AD314" s="113">
        <v>0</v>
      </c>
    </row>
    <row r="315" spans="1:30" ht="10.5">
      <c r="A315" s="112" t="s">
        <v>2454</v>
      </c>
      <c r="B315" s="112"/>
      <c r="C315" s="112"/>
      <c r="D315" s="112"/>
      <c r="E315" s="112"/>
      <c r="F315" s="112"/>
      <c r="G315" s="112"/>
      <c r="H315" s="115">
        <v>0</v>
      </c>
      <c r="I315" s="115">
        <v>0</v>
      </c>
      <c r="J315" s="115">
        <v>0</v>
      </c>
      <c r="K315" s="115">
        <v>0</v>
      </c>
      <c r="L315" s="115">
        <v>0</v>
      </c>
      <c r="M315" s="115">
        <v>0</v>
      </c>
      <c r="N315" s="115">
        <v>0</v>
      </c>
      <c r="O315" s="115">
        <v>0</v>
      </c>
      <c r="P315" s="115">
        <v>0</v>
      </c>
      <c r="Q315" s="115">
        <v>0</v>
      </c>
      <c r="R315" s="115">
        <v>0</v>
      </c>
      <c r="S315" s="115">
        <v>0</v>
      </c>
      <c r="T315" s="115">
        <v>0</v>
      </c>
      <c r="U315" s="115">
        <v>0</v>
      </c>
      <c r="V315" s="115">
        <v>0</v>
      </c>
      <c r="W315" s="115">
        <v>56193</v>
      </c>
      <c r="X315" s="115">
        <v>57464</v>
      </c>
      <c r="Y315" s="115">
        <v>0</v>
      </c>
      <c r="Z315" s="115">
        <v>0</v>
      </c>
      <c r="AA315" s="115">
        <v>0</v>
      </c>
      <c r="AB315" s="115">
        <v>0</v>
      </c>
      <c r="AC315" s="115">
        <v>0</v>
      </c>
      <c r="AD315" s="115">
        <v>0</v>
      </c>
    </row>
    <row r="316" spans="1:30">
      <c r="A316" s="103"/>
      <c r="B316" s="103"/>
      <c r="C316" s="103"/>
      <c r="D316" s="103"/>
      <c r="E316" s="103"/>
      <c r="F316" s="10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row>
    <row r="317" spans="1:30" ht="10.5">
      <c r="A317" s="112" t="s">
        <v>2455</v>
      </c>
      <c r="B317" s="112"/>
      <c r="C317" s="112"/>
      <c r="D317" s="112"/>
      <c r="E317" s="112"/>
      <c r="F317" s="112"/>
      <c r="G317" s="112"/>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row>
    <row r="318" spans="1:30">
      <c r="A318" s="103" t="s">
        <v>335</v>
      </c>
      <c r="B318" s="103"/>
      <c r="C318" s="103"/>
      <c r="D318" s="103"/>
      <c r="E318" s="103"/>
      <c r="F318" s="103"/>
      <c r="G318" s="103"/>
      <c r="H318" s="113">
        <v>0</v>
      </c>
      <c r="I318" s="113">
        <v>0</v>
      </c>
      <c r="J318" s="113">
        <v>0</v>
      </c>
      <c r="K318" s="113">
        <v>0</v>
      </c>
      <c r="L318" s="113">
        <v>0</v>
      </c>
      <c r="M318" s="113">
        <v>0</v>
      </c>
      <c r="N318" s="113">
        <v>0</v>
      </c>
      <c r="O318" s="113">
        <v>0</v>
      </c>
      <c r="P318" s="113">
        <v>0</v>
      </c>
      <c r="Q318" s="113">
        <v>0</v>
      </c>
      <c r="R318" s="113">
        <v>0</v>
      </c>
      <c r="S318" s="113">
        <v>0</v>
      </c>
      <c r="T318" s="113">
        <v>0</v>
      </c>
      <c r="U318" s="113">
        <v>0</v>
      </c>
      <c r="V318" s="113">
        <v>0</v>
      </c>
      <c r="W318" s="113">
        <v>0</v>
      </c>
      <c r="X318" s="113">
        <v>0</v>
      </c>
      <c r="Y318" s="113">
        <v>14173</v>
      </c>
      <c r="Z318" s="113">
        <v>13274</v>
      </c>
      <c r="AA318" s="113">
        <v>11756</v>
      </c>
      <c r="AB318" s="113">
        <v>11389</v>
      </c>
      <c r="AC318" s="113">
        <v>12924</v>
      </c>
      <c r="AD318" s="113">
        <v>16219</v>
      </c>
    </row>
    <row r="319" spans="1:30">
      <c r="A319" s="103" t="s">
        <v>337</v>
      </c>
      <c r="B319" s="103"/>
      <c r="C319" s="103"/>
      <c r="D319" s="103"/>
      <c r="E319" s="103"/>
      <c r="F319" s="103"/>
      <c r="G319" s="103"/>
      <c r="H319" s="113">
        <v>0</v>
      </c>
      <c r="I319" s="113">
        <v>0</v>
      </c>
      <c r="J319" s="113">
        <v>0</v>
      </c>
      <c r="K319" s="113">
        <v>0</v>
      </c>
      <c r="L319" s="113">
        <v>0</v>
      </c>
      <c r="M319" s="113">
        <v>0</v>
      </c>
      <c r="N319" s="113">
        <v>0</v>
      </c>
      <c r="O319" s="113">
        <v>0</v>
      </c>
      <c r="P319" s="113">
        <v>0</v>
      </c>
      <c r="Q319" s="113">
        <v>0</v>
      </c>
      <c r="R319" s="113">
        <v>0</v>
      </c>
      <c r="S319" s="113">
        <v>0</v>
      </c>
      <c r="T319" s="113">
        <v>0</v>
      </c>
      <c r="U319" s="113">
        <v>0</v>
      </c>
      <c r="V319" s="113">
        <v>0</v>
      </c>
      <c r="W319" s="113">
        <v>0</v>
      </c>
      <c r="X319" s="113">
        <v>0</v>
      </c>
      <c r="Y319" s="113">
        <v>8446</v>
      </c>
      <c r="Z319" s="113">
        <v>9803</v>
      </c>
      <c r="AA319" s="113">
        <v>9249</v>
      </c>
      <c r="AB319" s="113">
        <v>9127</v>
      </c>
      <c r="AC319" s="113">
        <v>11524</v>
      </c>
      <c r="AD319" s="113">
        <v>13920</v>
      </c>
    </row>
    <row r="320" spans="1:30">
      <c r="A320" s="103" t="s">
        <v>339</v>
      </c>
      <c r="B320" s="103"/>
      <c r="C320" s="103"/>
      <c r="D320" s="103"/>
      <c r="E320" s="103"/>
      <c r="F320" s="103"/>
      <c r="G320" s="103"/>
      <c r="H320" s="113">
        <v>0</v>
      </c>
      <c r="I320" s="113">
        <v>0</v>
      </c>
      <c r="J320" s="113">
        <v>0</v>
      </c>
      <c r="K320" s="113">
        <v>0</v>
      </c>
      <c r="L320" s="113">
        <v>0</v>
      </c>
      <c r="M320" s="113">
        <v>0</v>
      </c>
      <c r="N320" s="113">
        <v>0</v>
      </c>
      <c r="O320" s="113">
        <v>0</v>
      </c>
      <c r="P320" s="113">
        <v>0</v>
      </c>
      <c r="Q320" s="113">
        <v>0</v>
      </c>
      <c r="R320" s="113">
        <v>0</v>
      </c>
      <c r="S320" s="113">
        <v>0</v>
      </c>
      <c r="T320" s="113">
        <v>0</v>
      </c>
      <c r="U320" s="113">
        <v>0</v>
      </c>
      <c r="V320" s="113">
        <v>0</v>
      </c>
      <c r="W320" s="113">
        <v>0</v>
      </c>
      <c r="X320" s="113">
        <v>0</v>
      </c>
      <c r="Y320" s="113">
        <v>5605</v>
      </c>
      <c r="Z320" s="113">
        <v>5095</v>
      </c>
      <c r="AA320" s="113">
        <v>6183</v>
      </c>
      <c r="AB320" s="113">
        <v>8815</v>
      </c>
      <c r="AC320" s="113">
        <v>10610</v>
      </c>
      <c r="AD320" s="113">
        <v>12820</v>
      </c>
    </row>
    <row r="321" spans="1:30">
      <c r="A321" s="103" t="s">
        <v>340</v>
      </c>
      <c r="B321" s="103"/>
      <c r="C321" s="103"/>
      <c r="D321" s="103"/>
      <c r="E321" s="103"/>
      <c r="F321" s="103"/>
      <c r="G321" s="103"/>
      <c r="H321" s="113">
        <v>0</v>
      </c>
      <c r="I321" s="113">
        <v>0</v>
      </c>
      <c r="J321" s="113">
        <v>0</v>
      </c>
      <c r="K321" s="113">
        <v>0</v>
      </c>
      <c r="L321" s="113">
        <v>0</v>
      </c>
      <c r="M321" s="113">
        <v>0</v>
      </c>
      <c r="N321" s="113">
        <v>0</v>
      </c>
      <c r="O321" s="113">
        <v>0</v>
      </c>
      <c r="P321" s="113">
        <v>0</v>
      </c>
      <c r="Q321" s="113">
        <v>0</v>
      </c>
      <c r="R321" s="113">
        <v>0</v>
      </c>
      <c r="S321" s="113">
        <v>0</v>
      </c>
      <c r="T321" s="113">
        <v>0</v>
      </c>
      <c r="U321" s="113">
        <v>0</v>
      </c>
      <c r="V321" s="113">
        <v>0</v>
      </c>
      <c r="W321" s="113">
        <v>-3671</v>
      </c>
      <c r="X321" s="113">
        <v>-4102</v>
      </c>
      <c r="Y321" s="113">
        <v>0</v>
      </c>
      <c r="Z321" s="113">
        <v>0</v>
      </c>
      <c r="AA321" s="113">
        <v>0</v>
      </c>
      <c r="AB321" s="113">
        <v>0</v>
      </c>
      <c r="AC321" s="113">
        <v>0</v>
      </c>
      <c r="AD321" s="113">
        <v>0</v>
      </c>
    </row>
    <row r="322" spans="1:30">
      <c r="A322" s="103" t="s">
        <v>2456</v>
      </c>
      <c r="B322" s="103"/>
      <c r="C322" s="103"/>
      <c r="D322" s="103"/>
      <c r="E322" s="103"/>
      <c r="F322" s="103"/>
      <c r="G322" s="103"/>
      <c r="H322" s="113">
        <v>0</v>
      </c>
      <c r="I322" s="113">
        <v>0</v>
      </c>
      <c r="J322" s="113">
        <v>0</v>
      </c>
      <c r="K322" s="113">
        <v>0</v>
      </c>
      <c r="L322" s="113">
        <v>0</v>
      </c>
      <c r="M322" s="113">
        <v>288</v>
      </c>
      <c r="N322" s="113">
        <v>-508</v>
      </c>
      <c r="O322" s="113">
        <v>372</v>
      </c>
      <c r="P322" s="113">
        <v>437</v>
      </c>
      <c r="Q322" s="113">
        <v>-7</v>
      </c>
      <c r="R322" s="113">
        <v>120</v>
      </c>
      <c r="S322" s="113">
        <v>396</v>
      </c>
      <c r="T322" s="113">
        <v>256</v>
      </c>
      <c r="U322" s="113">
        <v>314</v>
      </c>
      <c r="V322" s="113">
        <v>380</v>
      </c>
      <c r="W322" s="113">
        <v>-485</v>
      </c>
      <c r="X322" s="113">
        <v>403</v>
      </c>
      <c r="Y322" s="113">
        <v>-338</v>
      </c>
      <c r="Z322" s="113">
        <v>0</v>
      </c>
      <c r="AA322" s="113">
        <v>0</v>
      </c>
      <c r="AB322" s="113">
        <v>0</v>
      </c>
      <c r="AC322" s="113">
        <v>0</v>
      </c>
      <c r="AD322" s="113">
        <v>0</v>
      </c>
    </row>
    <row r="323" spans="1:30">
      <c r="A323" s="103" t="s">
        <v>2457</v>
      </c>
      <c r="B323" s="103"/>
      <c r="C323" s="103"/>
      <c r="D323" s="103"/>
      <c r="E323" s="103"/>
      <c r="F323" s="103"/>
      <c r="G323" s="103"/>
      <c r="H323" s="113">
        <v>0</v>
      </c>
      <c r="I323" s="113">
        <v>0</v>
      </c>
      <c r="J323" s="113">
        <v>0</v>
      </c>
      <c r="K323" s="113">
        <v>0</v>
      </c>
      <c r="L323" s="113">
        <v>0</v>
      </c>
      <c r="M323" s="113">
        <v>-889</v>
      </c>
      <c r="N323" s="113">
        <v>803</v>
      </c>
      <c r="O323" s="113">
        <v>385</v>
      </c>
      <c r="P323" s="113">
        <v>130</v>
      </c>
      <c r="Q323" s="113">
        <v>-132</v>
      </c>
      <c r="R323" s="113">
        <v>78</v>
      </c>
      <c r="S323" s="113">
        <v>14</v>
      </c>
      <c r="T323" s="113">
        <v>-19</v>
      </c>
      <c r="U323" s="113">
        <v>110</v>
      </c>
      <c r="V323" s="113">
        <v>-2</v>
      </c>
      <c r="W323" s="113">
        <v>0</v>
      </c>
      <c r="X323" s="113">
        <v>0</v>
      </c>
      <c r="Y323" s="113">
        <v>0</v>
      </c>
      <c r="Z323" s="113">
        <v>0</v>
      </c>
      <c r="AA323" s="113">
        <v>0</v>
      </c>
      <c r="AB323" s="113">
        <v>0</v>
      </c>
      <c r="AC323" s="113">
        <v>0</v>
      </c>
      <c r="AD323" s="113">
        <v>0</v>
      </c>
    </row>
    <row r="324" spans="1:30">
      <c r="A324" s="103" t="s">
        <v>1203</v>
      </c>
      <c r="B324" s="103"/>
      <c r="C324" s="103"/>
      <c r="D324" s="103"/>
      <c r="E324" s="103"/>
      <c r="F324" s="103"/>
      <c r="G324" s="103"/>
      <c r="H324" s="113">
        <v>0</v>
      </c>
      <c r="I324" s="113">
        <v>0</v>
      </c>
      <c r="J324" s="113">
        <v>0</v>
      </c>
      <c r="K324" s="113">
        <v>0</v>
      </c>
      <c r="L324" s="113">
        <v>0</v>
      </c>
      <c r="M324" s="113">
        <v>0</v>
      </c>
      <c r="N324" s="113">
        <v>0</v>
      </c>
      <c r="O324" s="113">
        <v>0</v>
      </c>
      <c r="P324" s="113">
        <v>0</v>
      </c>
      <c r="Q324" s="113">
        <v>0</v>
      </c>
      <c r="R324" s="113">
        <v>0</v>
      </c>
      <c r="S324" s="113">
        <v>0</v>
      </c>
      <c r="T324" s="113">
        <v>0</v>
      </c>
      <c r="U324" s="113">
        <v>0</v>
      </c>
      <c r="V324" s="113">
        <v>0</v>
      </c>
      <c r="W324" s="113">
        <v>6051</v>
      </c>
      <c r="X324" s="113">
        <v>9267</v>
      </c>
      <c r="Y324" s="113">
        <v>0</v>
      </c>
      <c r="Z324" s="113">
        <v>0</v>
      </c>
      <c r="AA324" s="113">
        <v>0</v>
      </c>
      <c r="AB324" s="113">
        <v>0</v>
      </c>
      <c r="AC324" s="113">
        <v>0</v>
      </c>
      <c r="AD324" s="113">
        <v>0</v>
      </c>
    </row>
    <row r="325" spans="1:30">
      <c r="A325" s="103" t="s">
        <v>1206</v>
      </c>
      <c r="B325" s="103"/>
      <c r="C325" s="103"/>
      <c r="D325" s="103"/>
      <c r="E325" s="103"/>
      <c r="F325" s="103"/>
      <c r="G325" s="103"/>
      <c r="H325" s="113">
        <v>0</v>
      </c>
      <c r="I325" s="113">
        <v>0</v>
      </c>
      <c r="J325" s="113">
        <v>0</v>
      </c>
      <c r="K325" s="113">
        <v>0</v>
      </c>
      <c r="L325" s="113">
        <v>0</v>
      </c>
      <c r="M325" s="113">
        <v>0</v>
      </c>
      <c r="N325" s="113">
        <v>0</v>
      </c>
      <c r="O325" s="113">
        <v>0</v>
      </c>
      <c r="P325" s="113">
        <v>0</v>
      </c>
      <c r="Q325" s="113">
        <v>0</v>
      </c>
      <c r="R325" s="113">
        <v>0</v>
      </c>
      <c r="S325" s="113">
        <v>0</v>
      </c>
      <c r="T325" s="113">
        <v>0</v>
      </c>
      <c r="U325" s="113">
        <v>0</v>
      </c>
      <c r="V325" s="113">
        <v>0</v>
      </c>
      <c r="W325" s="113">
        <v>19978</v>
      </c>
      <c r="X325" s="113">
        <v>21152</v>
      </c>
      <c r="Y325" s="113">
        <v>0</v>
      </c>
      <c r="Z325" s="113">
        <v>0</v>
      </c>
      <c r="AA325" s="113">
        <v>0</v>
      </c>
      <c r="AB325" s="113">
        <v>0</v>
      </c>
      <c r="AC325" s="113">
        <v>0</v>
      </c>
      <c r="AD325" s="113">
        <v>0</v>
      </c>
    </row>
    <row r="326" spans="1:30">
      <c r="A326" s="103" t="s">
        <v>2458</v>
      </c>
      <c r="B326" s="103"/>
      <c r="C326" s="103"/>
      <c r="D326" s="103"/>
      <c r="E326" s="103"/>
      <c r="F326" s="103"/>
      <c r="G326" s="103"/>
      <c r="H326" s="113">
        <v>0</v>
      </c>
      <c r="I326" s="113">
        <v>0</v>
      </c>
      <c r="J326" s="113">
        <v>0</v>
      </c>
      <c r="K326" s="113">
        <v>0</v>
      </c>
      <c r="L326" s="113">
        <v>0</v>
      </c>
      <c r="M326" s="113">
        <v>0</v>
      </c>
      <c r="N326" s="113">
        <v>0</v>
      </c>
      <c r="O326" s="113">
        <v>0</v>
      </c>
      <c r="P326" s="113">
        <v>0</v>
      </c>
      <c r="Q326" s="113">
        <v>0</v>
      </c>
      <c r="R326" s="113">
        <v>0</v>
      </c>
      <c r="S326" s="113">
        <v>0</v>
      </c>
      <c r="T326" s="113">
        <v>0</v>
      </c>
      <c r="U326" s="113">
        <v>0</v>
      </c>
      <c r="V326" s="113">
        <v>0</v>
      </c>
      <c r="W326" s="113">
        <v>-97</v>
      </c>
      <c r="X326" s="113">
        <v>-31</v>
      </c>
      <c r="Y326" s="113">
        <v>0</v>
      </c>
      <c r="Z326" s="113">
        <v>0</v>
      </c>
      <c r="AA326" s="113">
        <v>0</v>
      </c>
      <c r="AB326" s="113">
        <v>0</v>
      </c>
      <c r="AC326" s="113">
        <v>0</v>
      </c>
      <c r="AD326" s="113">
        <v>0</v>
      </c>
    </row>
    <row r="327" spans="1:30">
      <c r="A327" s="103" t="s">
        <v>2459</v>
      </c>
      <c r="B327" s="103"/>
      <c r="C327" s="103"/>
      <c r="D327" s="103"/>
      <c r="E327" s="103"/>
      <c r="F327" s="103"/>
      <c r="G327" s="103"/>
      <c r="H327" s="113">
        <v>0</v>
      </c>
      <c r="I327" s="113">
        <v>0</v>
      </c>
      <c r="J327" s="113">
        <v>0</v>
      </c>
      <c r="K327" s="113">
        <v>0</v>
      </c>
      <c r="L327" s="113">
        <v>0</v>
      </c>
      <c r="M327" s="113">
        <v>0</v>
      </c>
      <c r="N327" s="113">
        <v>0</v>
      </c>
      <c r="O327" s="113">
        <v>0</v>
      </c>
      <c r="P327" s="113">
        <v>0</v>
      </c>
      <c r="Q327" s="113">
        <v>0</v>
      </c>
      <c r="R327" s="113">
        <v>0</v>
      </c>
      <c r="S327" s="113">
        <v>0</v>
      </c>
      <c r="T327" s="113">
        <v>0</v>
      </c>
      <c r="U327" s="113">
        <v>0</v>
      </c>
      <c r="V327" s="113">
        <v>0</v>
      </c>
      <c r="W327" s="113">
        <v>-13</v>
      </c>
      <c r="X327" s="113">
        <v>75</v>
      </c>
      <c r="Y327" s="113">
        <v>0</v>
      </c>
      <c r="Z327" s="113">
        <v>0</v>
      </c>
      <c r="AA327" s="113">
        <v>0</v>
      </c>
      <c r="AB327" s="113">
        <v>0</v>
      </c>
      <c r="AC327" s="113">
        <v>0</v>
      </c>
      <c r="AD327" s="113">
        <v>0</v>
      </c>
    </row>
    <row r="328" spans="1:30">
      <c r="A328" s="103" t="s">
        <v>2437</v>
      </c>
      <c r="B328" s="103"/>
      <c r="C328" s="103"/>
      <c r="D328" s="103"/>
      <c r="E328" s="103"/>
      <c r="F328" s="103"/>
      <c r="G328" s="103"/>
      <c r="H328" s="113">
        <v>0</v>
      </c>
      <c r="I328" s="113">
        <v>3661</v>
      </c>
      <c r="J328" s="113">
        <v>0</v>
      </c>
      <c r="K328" s="113">
        <v>0</v>
      </c>
      <c r="L328" s="113">
        <v>0</v>
      </c>
      <c r="M328" s="113">
        <v>7529</v>
      </c>
      <c r="N328" s="113">
        <v>8306</v>
      </c>
      <c r="O328" s="113">
        <v>9061</v>
      </c>
      <c r="P328" s="113">
        <v>9435</v>
      </c>
      <c r="Q328" s="113">
        <v>10176</v>
      </c>
      <c r="R328" s="113">
        <v>11295</v>
      </c>
      <c r="S328" s="113">
        <v>11876</v>
      </c>
      <c r="T328" s="113">
        <v>9372</v>
      </c>
      <c r="U328" s="113">
        <v>12193</v>
      </c>
      <c r="V328" s="113">
        <v>12040</v>
      </c>
      <c r="W328" s="113">
        <v>0</v>
      </c>
      <c r="X328" s="113">
        <v>0</v>
      </c>
      <c r="Y328" s="113">
        <v>0</v>
      </c>
      <c r="Z328" s="113">
        <v>0</v>
      </c>
      <c r="AA328" s="113">
        <v>0</v>
      </c>
      <c r="AB328" s="113">
        <v>0</v>
      </c>
      <c r="AC328" s="113">
        <v>0</v>
      </c>
      <c r="AD328" s="113">
        <v>0</v>
      </c>
    </row>
    <row r="329" spans="1:30">
      <c r="A329" s="103" t="s">
        <v>2438</v>
      </c>
      <c r="B329" s="103"/>
      <c r="C329" s="103"/>
      <c r="D329" s="103"/>
      <c r="E329" s="103"/>
      <c r="F329" s="103"/>
      <c r="G329" s="103"/>
      <c r="H329" s="113">
        <v>0</v>
      </c>
      <c r="I329" s="113">
        <v>0</v>
      </c>
      <c r="J329" s="113">
        <v>0</v>
      </c>
      <c r="K329" s="113">
        <v>0</v>
      </c>
      <c r="L329" s="113">
        <v>0</v>
      </c>
      <c r="M329" s="113">
        <v>1409</v>
      </c>
      <c r="N329" s="113">
        <v>1879</v>
      </c>
      <c r="O329" s="113">
        <v>2357</v>
      </c>
      <c r="P329" s="113">
        <v>2381</v>
      </c>
      <c r="Q329" s="113">
        <v>2980</v>
      </c>
      <c r="R329" s="113">
        <v>3520</v>
      </c>
      <c r="S329" s="113">
        <v>3845</v>
      </c>
      <c r="T329" s="113">
        <v>4627</v>
      </c>
      <c r="U329" s="113">
        <v>5378</v>
      </c>
      <c r="V329" s="113">
        <v>6132</v>
      </c>
      <c r="W329" s="113">
        <v>0</v>
      </c>
      <c r="X329" s="113">
        <v>0</v>
      </c>
      <c r="Y329" s="113">
        <v>0</v>
      </c>
      <c r="Z329" s="113">
        <v>0</v>
      </c>
      <c r="AA329" s="113">
        <v>0</v>
      </c>
      <c r="AB329" s="113">
        <v>0</v>
      </c>
      <c r="AC329" s="113">
        <v>0</v>
      </c>
      <c r="AD329" s="113">
        <v>0</v>
      </c>
    </row>
    <row r="330" spans="1:30">
      <c r="A330" s="103" t="s">
        <v>2439</v>
      </c>
      <c r="B330" s="103"/>
      <c r="C330" s="103"/>
      <c r="D330" s="103"/>
      <c r="E330" s="103"/>
      <c r="F330" s="103"/>
      <c r="G330" s="103"/>
      <c r="H330" s="113">
        <v>0</v>
      </c>
      <c r="I330" s="113">
        <v>0</v>
      </c>
      <c r="J330" s="113">
        <v>0</v>
      </c>
      <c r="K330" s="113">
        <v>0</v>
      </c>
      <c r="L330" s="113">
        <v>0</v>
      </c>
      <c r="M330" s="113">
        <v>0</v>
      </c>
      <c r="N330" s="113">
        <v>0</v>
      </c>
      <c r="O330" s="113">
        <v>0</v>
      </c>
      <c r="P330" s="113">
        <v>470</v>
      </c>
      <c r="Q330" s="113">
        <v>194</v>
      </c>
      <c r="R330" s="113">
        <v>-617</v>
      </c>
      <c r="S330" s="113">
        <v>-619</v>
      </c>
      <c r="T330" s="113">
        <v>-1749</v>
      </c>
      <c r="U330" s="113">
        <v>-2395</v>
      </c>
      <c r="V330" s="113">
        <v>-2649</v>
      </c>
      <c r="W330" s="113">
        <v>0</v>
      </c>
      <c r="X330" s="113">
        <v>0</v>
      </c>
      <c r="Y330" s="113">
        <v>0</v>
      </c>
      <c r="Z330" s="113">
        <v>0</v>
      </c>
      <c r="AA330" s="113">
        <v>0</v>
      </c>
      <c r="AB330" s="113">
        <v>0</v>
      </c>
      <c r="AC330" s="113">
        <v>0</v>
      </c>
      <c r="AD330" s="113">
        <v>0</v>
      </c>
    </row>
    <row r="331" spans="1:30">
      <c r="A331" s="103" t="s">
        <v>2440</v>
      </c>
      <c r="B331" s="103"/>
      <c r="C331" s="103"/>
      <c r="D331" s="103"/>
      <c r="E331" s="103"/>
      <c r="F331" s="103"/>
      <c r="G331" s="103"/>
      <c r="H331" s="113">
        <v>0</v>
      </c>
      <c r="I331" s="113">
        <v>0</v>
      </c>
      <c r="J331" s="113">
        <v>0</v>
      </c>
      <c r="K331" s="113">
        <v>0</v>
      </c>
      <c r="L331" s="113">
        <v>0</v>
      </c>
      <c r="M331" s="113">
        <v>-196</v>
      </c>
      <c r="N331" s="113">
        <v>-143</v>
      </c>
      <c r="O331" s="113">
        <v>-91</v>
      </c>
      <c r="P331" s="113">
        <v>9146</v>
      </c>
      <c r="Q331" s="113">
        <v>9567</v>
      </c>
      <c r="R331" s="113">
        <v>10757</v>
      </c>
      <c r="S331" s="113">
        <v>11681</v>
      </c>
      <c r="T331" s="113">
        <v>11153</v>
      </c>
      <c r="U331" s="113">
        <v>12109</v>
      </c>
      <c r="V331" s="113">
        <v>14467</v>
      </c>
      <c r="W331" s="113">
        <v>0</v>
      </c>
      <c r="X331" s="113">
        <v>0</v>
      </c>
      <c r="Y331" s="113">
        <v>0</v>
      </c>
      <c r="Z331" s="113">
        <v>0</v>
      </c>
      <c r="AA331" s="113">
        <v>0</v>
      </c>
      <c r="AB331" s="113">
        <v>0</v>
      </c>
      <c r="AC331" s="113">
        <v>0</v>
      </c>
      <c r="AD331" s="113">
        <v>0</v>
      </c>
    </row>
    <row r="332" spans="1:30">
      <c r="A332" s="103" t="s">
        <v>2441</v>
      </c>
      <c r="B332" s="103"/>
      <c r="C332" s="103"/>
      <c r="D332" s="103"/>
      <c r="E332" s="103"/>
      <c r="F332" s="103"/>
      <c r="G332" s="103"/>
      <c r="H332" s="113">
        <v>0</v>
      </c>
      <c r="I332" s="113">
        <v>0</v>
      </c>
      <c r="J332" s="113">
        <v>0</v>
      </c>
      <c r="K332" s="113">
        <v>0</v>
      </c>
      <c r="L332" s="113">
        <v>0</v>
      </c>
      <c r="M332" s="113">
        <v>0</v>
      </c>
      <c r="N332" s="113">
        <v>0</v>
      </c>
      <c r="O332" s="113">
        <v>0</v>
      </c>
      <c r="P332" s="113">
        <v>-464</v>
      </c>
      <c r="Q332" s="113">
        <v>-1329</v>
      </c>
      <c r="R332" s="113">
        <v>-1945</v>
      </c>
      <c r="S332" s="113">
        <v>314</v>
      </c>
      <c r="T332" s="113">
        <v>288</v>
      </c>
      <c r="U332" s="113">
        <v>525</v>
      </c>
      <c r="V332" s="113">
        <v>1299</v>
      </c>
      <c r="W332" s="113">
        <v>0</v>
      </c>
      <c r="X332" s="113">
        <v>0</v>
      </c>
      <c r="Y332" s="113">
        <v>0</v>
      </c>
      <c r="Z332" s="113">
        <v>0</v>
      </c>
      <c r="AA332" s="113">
        <v>0</v>
      </c>
      <c r="AB332" s="113">
        <v>0</v>
      </c>
      <c r="AC332" s="113">
        <v>0</v>
      </c>
      <c r="AD332" s="113">
        <v>0</v>
      </c>
    </row>
    <row r="333" spans="1:30">
      <c r="A333" s="103" t="s">
        <v>2460</v>
      </c>
      <c r="B333" s="103"/>
      <c r="C333" s="103"/>
      <c r="D333" s="103"/>
      <c r="E333" s="103"/>
      <c r="F333" s="103"/>
      <c r="G333" s="103"/>
      <c r="H333" s="113">
        <v>0</v>
      </c>
      <c r="I333" s="113">
        <v>0</v>
      </c>
      <c r="J333" s="113">
        <v>0</v>
      </c>
      <c r="K333" s="113">
        <v>0</v>
      </c>
      <c r="L333" s="113">
        <v>0</v>
      </c>
      <c r="M333" s="113">
        <v>0</v>
      </c>
      <c r="N333" s="113">
        <v>-1980</v>
      </c>
      <c r="O333" s="113">
        <v>-3128</v>
      </c>
      <c r="P333" s="113">
        <v>-5932</v>
      </c>
      <c r="Q333" s="113">
        <v>-4804</v>
      </c>
      <c r="R333" s="113">
        <v>-4893</v>
      </c>
      <c r="S333" s="113">
        <v>-6026</v>
      </c>
      <c r="T333" s="113">
        <v>-4318</v>
      </c>
      <c r="U333" s="113">
        <v>-4136</v>
      </c>
      <c r="V333" s="113">
        <v>-4506</v>
      </c>
      <c r="W333" s="113">
        <v>0</v>
      </c>
      <c r="X333" s="113">
        <v>0</v>
      </c>
      <c r="Y333" s="113">
        <v>0</v>
      </c>
      <c r="Z333" s="113">
        <v>0</v>
      </c>
      <c r="AA333" s="113">
        <v>0</v>
      </c>
      <c r="AB333" s="113">
        <v>0</v>
      </c>
      <c r="AC333" s="113">
        <v>0</v>
      </c>
      <c r="AD333" s="113">
        <v>0</v>
      </c>
    </row>
    <row r="334" spans="1:30">
      <c r="A334" s="103" t="s">
        <v>2461</v>
      </c>
      <c r="B334" s="103"/>
      <c r="C334" s="103"/>
      <c r="D334" s="103"/>
      <c r="E334" s="103"/>
      <c r="F334" s="103"/>
      <c r="G334" s="103"/>
      <c r="H334" s="113">
        <v>0</v>
      </c>
      <c r="I334" s="113">
        <v>0</v>
      </c>
      <c r="J334" s="113">
        <v>0</v>
      </c>
      <c r="K334" s="113">
        <v>0</v>
      </c>
      <c r="L334" s="113">
        <v>0</v>
      </c>
      <c r="M334" s="113">
        <v>-3784</v>
      </c>
      <c r="N334" s="113">
        <v>-3749</v>
      </c>
      <c r="O334" s="113">
        <v>-4516</v>
      </c>
      <c r="P334" s="113">
        <v>-1042</v>
      </c>
      <c r="Q334" s="113">
        <v>-173</v>
      </c>
      <c r="R334" s="113">
        <v>123</v>
      </c>
      <c r="S334" s="113">
        <v>790</v>
      </c>
      <c r="T334" s="113">
        <v>753</v>
      </c>
      <c r="U334" s="113">
        <v>0</v>
      </c>
      <c r="V334" s="113">
        <v>0</v>
      </c>
      <c r="W334" s="113">
        <v>0</v>
      </c>
      <c r="X334" s="113">
        <v>0</v>
      </c>
      <c r="Y334" s="113">
        <v>0</v>
      </c>
      <c r="Z334" s="113">
        <v>0</v>
      </c>
      <c r="AA334" s="113">
        <v>0</v>
      </c>
      <c r="AB334" s="113">
        <v>0</v>
      </c>
      <c r="AC334" s="113">
        <v>0</v>
      </c>
      <c r="AD334" s="113">
        <v>0</v>
      </c>
    </row>
    <row r="335" spans="1:30">
      <c r="A335" s="103" t="s">
        <v>2442</v>
      </c>
      <c r="B335" s="103"/>
      <c r="C335" s="103"/>
      <c r="D335" s="103"/>
      <c r="E335" s="103"/>
      <c r="F335" s="103"/>
      <c r="G335" s="103"/>
      <c r="H335" s="113">
        <v>0</v>
      </c>
      <c r="I335" s="113">
        <v>-1021</v>
      </c>
      <c r="J335" s="113">
        <v>0</v>
      </c>
      <c r="K335" s="113">
        <v>-1140</v>
      </c>
      <c r="L335" s="113">
        <v>0</v>
      </c>
      <c r="M335" s="113">
        <v>0</v>
      </c>
      <c r="N335" s="113">
        <v>0</v>
      </c>
      <c r="O335" s="113">
        <v>0</v>
      </c>
      <c r="P335" s="113">
        <v>0</v>
      </c>
      <c r="Q335" s="113">
        <v>0</v>
      </c>
      <c r="R335" s="113">
        <v>0</v>
      </c>
      <c r="S335" s="113">
        <v>0</v>
      </c>
      <c r="T335" s="113">
        <v>0</v>
      </c>
      <c r="U335" s="113">
        <v>0</v>
      </c>
      <c r="V335" s="113">
        <v>0</v>
      </c>
      <c r="W335" s="113">
        <v>0</v>
      </c>
      <c r="X335" s="113">
        <v>0</v>
      </c>
      <c r="Y335" s="113">
        <v>0</v>
      </c>
      <c r="Z335" s="113">
        <v>0</v>
      </c>
      <c r="AA335" s="113">
        <v>0</v>
      </c>
      <c r="AB335" s="113">
        <v>0</v>
      </c>
      <c r="AC335" s="113">
        <v>0</v>
      </c>
      <c r="AD335" s="113">
        <v>0</v>
      </c>
    </row>
    <row r="336" spans="1:30">
      <c r="A336" s="103" t="s">
        <v>2443</v>
      </c>
      <c r="B336" s="103"/>
      <c r="C336" s="103"/>
      <c r="D336" s="103"/>
      <c r="E336" s="103"/>
      <c r="F336" s="103"/>
      <c r="G336" s="103"/>
      <c r="H336" s="113">
        <v>0</v>
      </c>
      <c r="I336" s="113">
        <v>0</v>
      </c>
      <c r="J336" s="113">
        <v>0</v>
      </c>
      <c r="K336" s="113">
        <v>0</v>
      </c>
      <c r="L336" s="113">
        <v>0</v>
      </c>
      <c r="M336" s="113">
        <v>6440</v>
      </c>
      <c r="N336" s="113">
        <v>7500</v>
      </c>
      <c r="O336" s="113">
        <v>8160</v>
      </c>
      <c r="P336" s="113">
        <v>0</v>
      </c>
      <c r="Q336" s="113">
        <v>0</v>
      </c>
      <c r="R336" s="113">
        <v>0</v>
      </c>
      <c r="S336" s="113">
        <v>0</v>
      </c>
      <c r="T336" s="113">
        <v>0</v>
      </c>
      <c r="U336" s="113">
        <v>0</v>
      </c>
      <c r="V336" s="113">
        <v>0</v>
      </c>
      <c r="W336" s="113">
        <v>0</v>
      </c>
      <c r="X336" s="113">
        <v>0</v>
      </c>
      <c r="Y336" s="113">
        <v>0</v>
      </c>
      <c r="Z336" s="113">
        <v>0</v>
      </c>
      <c r="AA336" s="113">
        <v>0</v>
      </c>
      <c r="AB336" s="113">
        <v>0</v>
      </c>
      <c r="AC336" s="113">
        <v>0</v>
      </c>
      <c r="AD336" s="113">
        <v>0</v>
      </c>
    </row>
    <row r="337" spans="1:256">
      <c r="A337" s="103" t="s">
        <v>2444</v>
      </c>
      <c r="B337" s="103"/>
      <c r="C337" s="103"/>
      <c r="D337" s="103"/>
      <c r="E337" s="103"/>
      <c r="F337" s="103"/>
      <c r="G337" s="103"/>
      <c r="H337" s="113">
        <v>0</v>
      </c>
      <c r="I337" s="113">
        <v>0</v>
      </c>
      <c r="J337" s="113">
        <v>0</v>
      </c>
      <c r="K337" s="113">
        <v>0</v>
      </c>
      <c r="L337" s="113">
        <v>0</v>
      </c>
      <c r="M337" s="113">
        <v>-746</v>
      </c>
      <c r="N337" s="113">
        <v>-384</v>
      </c>
      <c r="O337" s="113">
        <v>393</v>
      </c>
      <c r="P337" s="113">
        <v>0</v>
      </c>
      <c r="Q337" s="113">
        <v>0</v>
      </c>
      <c r="R337" s="113">
        <v>0</v>
      </c>
      <c r="S337" s="113">
        <v>0</v>
      </c>
      <c r="T337" s="113">
        <v>0</v>
      </c>
      <c r="U337" s="113">
        <v>0</v>
      </c>
      <c r="V337" s="113">
        <v>0</v>
      </c>
      <c r="W337" s="113">
        <v>0</v>
      </c>
      <c r="X337" s="113">
        <v>0</v>
      </c>
      <c r="Y337" s="113">
        <v>0</v>
      </c>
      <c r="Z337" s="113">
        <v>0</v>
      </c>
      <c r="AA337" s="113">
        <v>0</v>
      </c>
      <c r="AB337" s="113">
        <v>0</v>
      </c>
      <c r="AC337" s="113">
        <v>0</v>
      </c>
      <c r="AD337" s="113">
        <v>0</v>
      </c>
    </row>
    <row r="338" spans="1:256">
      <c r="A338" s="103" t="s">
        <v>2445</v>
      </c>
      <c r="B338" s="103"/>
      <c r="C338" s="103"/>
      <c r="D338" s="103"/>
      <c r="E338" s="103"/>
      <c r="F338" s="103"/>
      <c r="G338" s="103"/>
      <c r="H338" s="113">
        <v>0</v>
      </c>
      <c r="I338" s="113">
        <v>0</v>
      </c>
      <c r="J338" s="113">
        <v>0</v>
      </c>
      <c r="K338" s="113">
        <v>0</v>
      </c>
      <c r="L338" s="113">
        <v>0</v>
      </c>
      <c r="M338" s="113">
        <v>-240</v>
      </c>
      <c r="N338" s="113">
        <v>-162</v>
      </c>
      <c r="O338" s="113">
        <v>-116</v>
      </c>
      <c r="P338" s="113">
        <v>0</v>
      </c>
      <c r="Q338" s="113">
        <v>0</v>
      </c>
      <c r="R338" s="113">
        <v>0</v>
      </c>
      <c r="S338" s="113">
        <v>0</v>
      </c>
      <c r="T338" s="113">
        <v>0</v>
      </c>
      <c r="U338" s="113">
        <v>0</v>
      </c>
      <c r="V338" s="113">
        <v>0</v>
      </c>
      <c r="W338" s="113">
        <v>0</v>
      </c>
      <c r="X338" s="113">
        <v>0</v>
      </c>
      <c r="Y338" s="113">
        <v>0</v>
      </c>
      <c r="Z338" s="113">
        <v>0</v>
      </c>
      <c r="AA338" s="113">
        <v>0</v>
      </c>
      <c r="AB338" s="113">
        <v>0</v>
      </c>
      <c r="AC338" s="113">
        <v>0</v>
      </c>
      <c r="AD338" s="113">
        <v>0</v>
      </c>
    </row>
    <row r="339" spans="1:256">
      <c r="A339" s="103" t="s">
        <v>2446</v>
      </c>
      <c r="B339" s="103"/>
      <c r="C339" s="103"/>
      <c r="D339" s="103"/>
      <c r="E339" s="103"/>
      <c r="F339" s="103"/>
      <c r="G339" s="103"/>
      <c r="H339" s="113">
        <v>0</v>
      </c>
      <c r="I339" s="113">
        <v>0</v>
      </c>
      <c r="J339" s="113">
        <v>0</v>
      </c>
      <c r="K339" s="113">
        <v>0</v>
      </c>
      <c r="L339" s="113">
        <v>0</v>
      </c>
      <c r="M339" s="113">
        <v>-866</v>
      </c>
      <c r="N339" s="113">
        <v>-938</v>
      </c>
      <c r="O339" s="113">
        <v>-1011</v>
      </c>
      <c r="P339" s="113">
        <v>0</v>
      </c>
      <c r="Q339" s="113">
        <v>0</v>
      </c>
      <c r="R339" s="113">
        <v>0</v>
      </c>
      <c r="S339" s="113">
        <v>0</v>
      </c>
      <c r="T339" s="113">
        <v>0</v>
      </c>
      <c r="U339" s="113">
        <v>0</v>
      </c>
      <c r="V339" s="113">
        <v>0</v>
      </c>
      <c r="W339" s="113">
        <v>0</v>
      </c>
      <c r="X339" s="113">
        <v>0</v>
      </c>
      <c r="Y339" s="113">
        <v>0</v>
      </c>
      <c r="Z339" s="113">
        <v>0</v>
      </c>
      <c r="AA339" s="113">
        <v>0</v>
      </c>
      <c r="AB339" s="113">
        <v>0</v>
      </c>
      <c r="AC339" s="113">
        <v>0</v>
      </c>
      <c r="AD339" s="113">
        <v>0</v>
      </c>
    </row>
    <row r="340" spans="1:256">
      <c r="A340" s="103" t="s">
        <v>2447</v>
      </c>
      <c r="B340" s="103"/>
      <c r="C340" s="103"/>
      <c r="D340" s="103"/>
      <c r="E340" s="103"/>
      <c r="F340" s="103"/>
      <c r="G340" s="103"/>
      <c r="H340" s="113">
        <v>0</v>
      </c>
      <c r="I340" s="113">
        <v>0</v>
      </c>
      <c r="J340" s="113">
        <v>0</v>
      </c>
      <c r="K340" s="113">
        <v>13210</v>
      </c>
      <c r="L340" s="113">
        <v>0</v>
      </c>
      <c r="M340" s="113">
        <v>0</v>
      </c>
      <c r="N340" s="113">
        <v>0</v>
      </c>
      <c r="O340" s="113">
        <v>0</v>
      </c>
      <c r="P340" s="113">
        <v>0</v>
      </c>
      <c r="Q340" s="113">
        <v>0</v>
      </c>
      <c r="R340" s="113">
        <v>0</v>
      </c>
      <c r="S340" s="113">
        <v>0</v>
      </c>
      <c r="T340" s="113">
        <v>0</v>
      </c>
      <c r="U340" s="113">
        <v>0</v>
      </c>
      <c r="V340" s="113">
        <v>0</v>
      </c>
      <c r="W340" s="113">
        <v>0</v>
      </c>
      <c r="X340" s="113">
        <v>0</v>
      </c>
      <c r="Y340" s="113">
        <v>0</v>
      </c>
      <c r="Z340" s="113">
        <v>0</v>
      </c>
      <c r="AA340" s="113">
        <v>0</v>
      </c>
      <c r="AB340" s="113">
        <v>0</v>
      </c>
      <c r="AC340" s="113">
        <v>0</v>
      </c>
      <c r="AD340" s="113">
        <v>0</v>
      </c>
    </row>
    <row r="341" spans="1:256">
      <c r="A341" s="103" t="s">
        <v>2448</v>
      </c>
      <c r="B341" s="103"/>
      <c r="C341" s="103"/>
      <c r="D341" s="103"/>
      <c r="E341" s="103"/>
      <c r="F341" s="103"/>
      <c r="G341" s="103"/>
      <c r="H341" s="113">
        <v>0</v>
      </c>
      <c r="I341" s="113">
        <v>0</v>
      </c>
      <c r="J341" s="113">
        <v>0</v>
      </c>
      <c r="K341" s="113">
        <v>-1090</v>
      </c>
      <c r="L341" s="113">
        <v>0</v>
      </c>
      <c r="M341" s="113">
        <v>0</v>
      </c>
      <c r="N341" s="113">
        <v>0</v>
      </c>
      <c r="O341" s="113">
        <v>0</v>
      </c>
      <c r="P341" s="113">
        <v>0</v>
      </c>
      <c r="Q341" s="113">
        <v>0</v>
      </c>
      <c r="R341" s="113">
        <v>0</v>
      </c>
      <c r="S341" s="113">
        <v>0</v>
      </c>
      <c r="T341" s="113">
        <v>0</v>
      </c>
      <c r="U341" s="113">
        <v>0</v>
      </c>
      <c r="V341" s="113">
        <v>0</v>
      </c>
      <c r="W341" s="113">
        <v>0</v>
      </c>
      <c r="X341" s="113">
        <v>0</v>
      </c>
      <c r="Y341" s="113">
        <v>0</v>
      </c>
      <c r="Z341" s="113">
        <v>0</v>
      </c>
      <c r="AA341" s="113">
        <v>0</v>
      </c>
      <c r="AB341" s="113">
        <v>0</v>
      </c>
      <c r="AC341" s="113">
        <v>0</v>
      </c>
      <c r="AD341" s="113">
        <v>0</v>
      </c>
    </row>
    <row r="342" spans="1:256">
      <c r="A342" s="103" t="s">
        <v>2449</v>
      </c>
      <c r="B342" s="103"/>
      <c r="C342" s="103"/>
      <c r="D342" s="103"/>
      <c r="E342" s="103"/>
      <c r="F342" s="103"/>
      <c r="G342" s="103"/>
      <c r="H342" s="113">
        <v>0</v>
      </c>
      <c r="I342" s="113">
        <v>0</v>
      </c>
      <c r="J342" s="113">
        <v>0</v>
      </c>
      <c r="K342" s="113">
        <v>-60</v>
      </c>
      <c r="L342" s="113">
        <v>0</v>
      </c>
      <c r="M342" s="113">
        <v>0</v>
      </c>
      <c r="N342" s="113">
        <v>0</v>
      </c>
      <c r="O342" s="113">
        <v>0</v>
      </c>
      <c r="P342" s="113">
        <v>0</v>
      </c>
      <c r="Q342" s="113">
        <v>0</v>
      </c>
      <c r="R342" s="113">
        <v>0</v>
      </c>
      <c r="S342" s="113">
        <v>0</v>
      </c>
      <c r="T342" s="113">
        <v>0</v>
      </c>
      <c r="U342" s="113">
        <v>0</v>
      </c>
      <c r="V342" s="113">
        <v>0</v>
      </c>
      <c r="W342" s="113">
        <v>0</v>
      </c>
      <c r="X342" s="113">
        <v>0</v>
      </c>
      <c r="Y342" s="113">
        <v>0</v>
      </c>
      <c r="Z342" s="113">
        <v>0</v>
      </c>
      <c r="AA342" s="113">
        <v>0</v>
      </c>
      <c r="AB342" s="113">
        <v>0</v>
      </c>
      <c r="AC342" s="113">
        <v>0</v>
      </c>
      <c r="AD342" s="113">
        <v>0</v>
      </c>
    </row>
    <row r="343" spans="1:256">
      <c r="A343" s="103" t="s">
        <v>198</v>
      </c>
      <c r="B343" s="103"/>
      <c r="C343" s="103"/>
      <c r="D343" s="103"/>
      <c r="E343" s="103"/>
      <c r="F343" s="103"/>
      <c r="G343" s="103"/>
      <c r="H343" s="113">
        <v>0</v>
      </c>
      <c r="I343" s="113">
        <v>0</v>
      </c>
      <c r="J343" s="113">
        <v>0</v>
      </c>
      <c r="K343" s="113">
        <v>86</v>
      </c>
      <c r="L343" s="113">
        <v>0</v>
      </c>
      <c r="M343" s="113">
        <v>0</v>
      </c>
      <c r="N343" s="113">
        <v>0</v>
      </c>
      <c r="O343" s="113">
        <v>0</v>
      </c>
      <c r="P343" s="113">
        <v>0</v>
      </c>
      <c r="Q343" s="113">
        <v>0</v>
      </c>
      <c r="R343" s="113">
        <v>0</v>
      </c>
      <c r="S343" s="113">
        <v>0</v>
      </c>
      <c r="T343" s="113">
        <v>0</v>
      </c>
      <c r="U343" s="113">
        <v>0</v>
      </c>
      <c r="V343" s="113">
        <v>0</v>
      </c>
      <c r="W343" s="113">
        <v>0</v>
      </c>
      <c r="X343" s="113">
        <v>0</v>
      </c>
      <c r="Y343" s="113">
        <v>0</v>
      </c>
      <c r="Z343" s="113">
        <v>0</v>
      </c>
      <c r="AA343" s="113">
        <v>0</v>
      </c>
      <c r="AB343" s="113">
        <v>0</v>
      </c>
      <c r="AC343" s="113">
        <v>0</v>
      </c>
      <c r="AD343" s="113">
        <v>0</v>
      </c>
    </row>
    <row r="344" spans="1:256">
      <c r="A344" s="103" t="s">
        <v>2450</v>
      </c>
      <c r="B344" s="103"/>
      <c r="C344" s="103"/>
      <c r="D344" s="103"/>
      <c r="E344" s="103"/>
      <c r="F344" s="103"/>
      <c r="G344" s="103"/>
      <c r="H344" s="113">
        <v>0</v>
      </c>
      <c r="I344" s="113">
        <v>4824</v>
      </c>
      <c r="J344" s="113">
        <v>0</v>
      </c>
      <c r="K344" s="113">
        <v>0</v>
      </c>
      <c r="L344" s="113">
        <v>0</v>
      </c>
      <c r="M344" s="113">
        <v>0</v>
      </c>
      <c r="N344" s="113">
        <v>0</v>
      </c>
      <c r="O344" s="113">
        <v>0</v>
      </c>
      <c r="P344" s="113">
        <v>0</v>
      </c>
      <c r="Q344" s="113">
        <v>0</v>
      </c>
      <c r="R344" s="113">
        <v>0</v>
      </c>
      <c r="S344" s="113">
        <v>0</v>
      </c>
      <c r="T344" s="113">
        <v>0</v>
      </c>
      <c r="U344" s="113">
        <v>0</v>
      </c>
      <c r="V344" s="113">
        <v>0</v>
      </c>
      <c r="W344" s="113">
        <v>0</v>
      </c>
      <c r="X344" s="113">
        <v>0</v>
      </c>
      <c r="Y344" s="113">
        <v>0</v>
      </c>
      <c r="Z344" s="113">
        <v>0</v>
      </c>
      <c r="AA344" s="113">
        <v>0</v>
      </c>
      <c r="AB344" s="113">
        <v>0</v>
      </c>
      <c r="AC344" s="113">
        <v>0</v>
      </c>
      <c r="AD344" s="113">
        <v>0</v>
      </c>
    </row>
    <row r="345" spans="1:256">
      <c r="A345" s="103" t="s">
        <v>2451</v>
      </c>
      <c r="B345" s="103"/>
      <c r="C345" s="103"/>
      <c r="D345" s="103"/>
      <c r="E345" s="103"/>
      <c r="F345" s="103"/>
      <c r="G345" s="103"/>
      <c r="H345" s="113">
        <v>0</v>
      </c>
      <c r="I345" s="113">
        <v>-1050</v>
      </c>
      <c r="J345" s="113">
        <v>0</v>
      </c>
      <c r="K345" s="113">
        <v>0</v>
      </c>
      <c r="L345" s="113">
        <v>0</v>
      </c>
      <c r="M345" s="113">
        <v>0</v>
      </c>
      <c r="N345" s="113">
        <v>0</v>
      </c>
      <c r="O345" s="113">
        <v>0</v>
      </c>
      <c r="P345" s="113">
        <v>0</v>
      </c>
      <c r="Q345" s="113">
        <v>0</v>
      </c>
      <c r="R345" s="113">
        <v>0</v>
      </c>
      <c r="S345" s="113">
        <v>0</v>
      </c>
      <c r="T345" s="113">
        <v>0</v>
      </c>
      <c r="U345" s="113">
        <v>0</v>
      </c>
      <c r="V345" s="113">
        <v>0</v>
      </c>
      <c r="W345" s="113">
        <v>0</v>
      </c>
      <c r="X345" s="113">
        <v>0</v>
      </c>
      <c r="Y345" s="113">
        <v>0</v>
      </c>
      <c r="Z345" s="113">
        <v>0</v>
      </c>
      <c r="AA345" s="113">
        <v>0</v>
      </c>
      <c r="AB345" s="113">
        <v>0</v>
      </c>
      <c r="AC345" s="113">
        <v>0</v>
      </c>
      <c r="AD345" s="113">
        <v>0</v>
      </c>
    </row>
    <row r="346" spans="1:256" ht="10.5">
      <c r="A346" s="112" t="s">
        <v>2462</v>
      </c>
      <c r="B346" s="112"/>
      <c r="C346" s="112"/>
      <c r="D346" s="112"/>
      <c r="E346" s="112"/>
      <c r="F346" s="112"/>
      <c r="G346" s="112"/>
      <c r="H346" s="115">
        <v>0</v>
      </c>
      <c r="I346" s="115">
        <v>6414</v>
      </c>
      <c r="J346" s="115">
        <v>0</v>
      </c>
      <c r="K346" s="115">
        <v>11006</v>
      </c>
      <c r="L346" s="115">
        <v>0</v>
      </c>
      <c r="M346" s="115">
        <v>8945</v>
      </c>
      <c r="N346" s="115">
        <v>10624</v>
      </c>
      <c r="O346" s="115">
        <v>11866</v>
      </c>
      <c r="P346" s="115">
        <v>14561</v>
      </c>
      <c r="Q346" s="115">
        <v>16472</v>
      </c>
      <c r="R346" s="115">
        <v>18438</v>
      </c>
      <c r="S346" s="115">
        <v>22271</v>
      </c>
      <c r="T346" s="115">
        <v>20363</v>
      </c>
      <c r="U346" s="115">
        <v>24098</v>
      </c>
      <c r="V346" s="115">
        <v>27161</v>
      </c>
      <c r="W346" s="115">
        <v>21763</v>
      </c>
      <c r="X346" s="115">
        <v>26764</v>
      </c>
      <c r="Y346" s="115">
        <v>27886</v>
      </c>
      <c r="Z346" s="115">
        <v>28172</v>
      </c>
      <c r="AA346" s="115">
        <v>27188</v>
      </c>
      <c r="AB346" s="115">
        <v>29331</v>
      </c>
      <c r="AC346" s="115">
        <v>35058</v>
      </c>
      <c r="AD346" s="115">
        <v>42959</v>
      </c>
    </row>
    <row r="347" spans="1:256">
      <c r="A347" s="103"/>
      <c r="B347" s="103"/>
      <c r="C347" s="103"/>
      <c r="D347" s="103"/>
      <c r="E347" s="103"/>
      <c r="F347" s="10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row>
    <row r="348" spans="1:256">
      <c r="A348" s="103"/>
      <c r="B348" s="103"/>
      <c r="C348" s="103"/>
      <c r="D348" s="103"/>
      <c r="E348" s="103"/>
      <c r="F348" s="103"/>
      <c r="G348" s="103"/>
      <c r="H348" s="103" t="s">
        <v>366</v>
      </c>
      <c r="I348" s="103" t="s">
        <v>366</v>
      </c>
      <c r="J348" s="103" t="s">
        <v>366</v>
      </c>
      <c r="K348" s="103" t="s">
        <v>366</v>
      </c>
      <c r="L348" s="103" t="s">
        <v>366</v>
      </c>
      <c r="M348" s="103" t="s">
        <v>366</v>
      </c>
      <c r="N348" s="103" t="s">
        <v>366</v>
      </c>
      <c r="O348" s="103" t="s">
        <v>366</v>
      </c>
      <c r="P348" s="103" t="s">
        <v>366</v>
      </c>
      <c r="Q348" s="103" t="s">
        <v>366</v>
      </c>
      <c r="R348" s="103" t="s">
        <v>366</v>
      </c>
      <c r="S348" s="103" t="s">
        <v>366</v>
      </c>
      <c r="T348" s="103" t="s">
        <v>366</v>
      </c>
      <c r="U348" s="103" t="s">
        <v>366</v>
      </c>
      <c r="V348" s="103" t="s">
        <v>366</v>
      </c>
      <c r="W348" s="103" t="s">
        <v>366</v>
      </c>
      <c r="X348" s="103" t="s">
        <v>366</v>
      </c>
      <c r="Y348" s="103" t="s">
        <v>366</v>
      </c>
      <c r="Z348" s="103" t="s">
        <v>366</v>
      </c>
      <c r="AA348" s="103" t="s">
        <v>366</v>
      </c>
      <c r="AB348" s="103" t="s">
        <v>366</v>
      </c>
      <c r="AC348" s="103" t="s">
        <v>366</v>
      </c>
      <c r="AD348" s="103" t="s">
        <v>366</v>
      </c>
      <c r="EP348" s="107"/>
      <c r="EQ348" s="107"/>
      <c r="ER348" s="107"/>
      <c r="ES348" s="107"/>
      <c r="ET348" s="107"/>
      <c r="EU348" s="107"/>
      <c r="EV348" s="107"/>
      <c r="EW348" s="107"/>
      <c r="EX348" s="107"/>
      <c r="EY348" s="107"/>
      <c r="EZ348" s="107"/>
      <c r="FA348" s="107"/>
      <c r="FB348" s="107"/>
      <c r="FC348" s="107"/>
      <c r="FD348" s="107"/>
      <c r="FE348" s="107"/>
      <c r="FF348" s="107"/>
      <c r="FG348" s="107"/>
      <c r="FH348" s="107"/>
      <c r="FI348" s="107"/>
      <c r="FJ348" s="107"/>
      <c r="FK348" s="107"/>
      <c r="FL348" s="107"/>
      <c r="FM348" s="107"/>
      <c r="FN348" s="107"/>
      <c r="FO348" s="107"/>
      <c r="FP348" s="107"/>
      <c r="FQ348" s="107"/>
      <c r="FR348" s="107"/>
      <c r="FS348" s="107"/>
      <c r="FT348" s="107"/>
      <c r="FU348" s="107"/>
      <c r="FV348" s="107"/>
      <c r="FW348" s="107"/>
      <c r="FX348" s="107"/>
      <c r="FY348" s="107"/>
      <c r="FZ348" s="107"/>
      <c r="GA348" s="107"/>
      <c r="GB348" s="107"/>
      <c r="GC348" s="107"/>
      <c r="GD348" s="107"/>
      <c r="GE348" s="107"/>
      <c r="GF348" s="107"/>
      <c r="GG348" s="107"/>
      <c r="GH348" s="107"/>
      <c r="GI348" s="107"/>
      <c r="GJ348" s="107"/>
      <c r="GK348" s="107"/>
      <c r="GL348" s="107"/>
      <c r="GM348" s="107"/>
      <c r="GN348" s="107"/>
      <c r="GO348" s="107"/>
      <c r="GP348" s="107"/>
      <c r="GQ348" s="107"/>
      <c r="GR348" s="107"/>
      <c r="GS348" s="107"/>
      <c r="GT348" s="107"/>
      <c r="GU348" s="107"/>
      <c r="GV348" s="107"/>
      <c r="GW348" s="107"/>
      <c r="GX348" s="107"/>
      <c r="GY348" s="107"/>
      <c r="GZ348" s="107"/>
      <c r="HA348" s="107"/>
      <c r="HB348" s="107"/>
      <c r="HC348" s="107"/>
      <c r="HD348" s="107"/>
      <c r="HE348" s="107"/>
      <c r="HF348" s="107"/>
      <c r="HG348" s="107"/>
      <c r="HH348" s="107"/>
      <c r="HI348" s="107"/>
      <c r="HJ348" s="107"/>
      <c r="HK348" s="107"/>
      <c r="HL348" s="107"/>
      <c r="HM348" s="107"/>
      <c r="HN348" s="107"/>
      <c r="HO348" s="107"/>
      <c r="HP348" s="107"/>
      <c r="HQ348" s="107"/>
      <c r="HR348" s="107"/>
      <c r="HS348" s="107"/>
      <c r="HT348" s="107"/>
      <c r="HU348" s="107"/>
      <c r="HV348" s="107"/>
      <c r="HW348" s="107"/>
      <c r="HX348" s="107"/>
      <c r="HY348" s="107"/>
      <c r="HZ348" s="107"/>
      <c r="IA348" s="107"/>
      <c r="IB348" s="107"/>
      <c r="IC348" s="107"/>
      <c r="ID348" s="107"/>
      <c r="IE348" s="107"/>
      <c r="IF348" s="107"/>
      <c r="IG348" s="107"/>
      <c r="IH348" s="107"/>
      <c r="II348" s="107"/>
      <c r="IJ348" s="107"/>
      <c r="IK348" s="107"/>
      <c r="IL348" s="107"/>
      <c r="IM348" s="107"/>
      <c r="IN348" s="107"/>
      <c r="IO348" s="107"/>
      <c r="IP348" s="107"/>
      <c r="IQ348" s="107"/>
      <c r="IR348" s="107"/>
      <c r="IS348" s="107"/>
      <c r="IT348" s="107"/>
      <c r="IU348" s="107"/>
      <c r="IV348" s="107"/>
    </row>
    <row r="349" spans="1:256">
      <c r="A349" s="103" t="s">
        <v>2126</v>
      </c>
      <c r="B349" s="103"/>
      <c r="C349" s="103"/>
      <c r="D349" s="103"/>
      <c r="E349" s="103"/>
      <c r="F349" s="103"/>
      <c r="G349" s="103"/>
      <c r="H349" s="122">
        <v>36431</v>
      </c>
      <c r="I349" s="122">
        <v>36797</v>
      </c>
      <c r="J349" s="122">
        <v>37152</v>
      </c>
      <c r="K349" s="122">
        <v>37505</v>
      </c>
      <c r="L349" s="122">
        <v>37869</v>
      </c>
      <c r="M349" s="122">
        <v>38231</v>
      </c>
      <c r="N349" s="122">
        <v>38590</v>
      </c>
      <c r="O349" s="122">
        <v>38954</v>
      </c>
      <c r="P349" s="122">
        <v>39297</v>
      </c>
      <c r="Q349" s="122">
        <v>39660</v>
      </c>
      <c r="R349" s="122">
        <v>40024</v>
      </c>
      <c r="S349" s="122">
        <v>40389</v>
      </c>
      <c r="T349" s="122">
        <v>40752</v>
      </c>
      <c r="U349" s="122">
        <v>41116</v>
      </c>
      <c r="V349" s="122">
        <v>41485</v>
      </c>
      <c r="W349" s="122">
        <v>41851</v>
      </c>
      <c r="X349" s="122">
        <v>42216</v>
      </c>
      <c r="Y349" s="122">
        <v>42579</v>
      </c>
      <c r="Z349" s="122">
        <v>42949</v>
      </c>
      <c r="AA349" s="122">
        <v>43315</v>
      </c>
      <c r="AB349" s="122">
        <v>43678</v>
      </c>
      <c r="AC349" s="122">
        <v>43678</v>
      </c>
      <c r="AD349" s="122">
        <v>43678</v>
      </c>
    </row>
    <row r="350" spans="1:256">
      <c r="A350" s="127"/>
      <c r="B350" s="127"/>
      <c r="C350" s="127"/>
      <c r="D350" s="127"/>
      <c r="E350" s="127"/>
      <c r="F350" s="127"/>
      <c r="G350" s="127"/>
      <c r="H350" s="127"/>
      <c r="I350" s="127"/>
      <c r="J350" s="127"/>
      <c r="K350" s="127"/>
      <c r="L350" s="127"/>
      <c r="M350" s="127"/>
      <c r="N350" s="127"/>
      <c r="O350" s="127"/>
      <c r="P350" s="127"/>
      <c r="Q350" s="127"/>
      <c r="R350" s="127"/>
      <c r="S350" s="127"/>
      <c r="T350" s="127"/>
      <c r="U350" s="127"/>
      <c r="V350" s="127"/>
      <c r="W350" s="127"/>
      <c r="X350" s="127"/>
      <c r="Y350" s="127"/>
      <c r="Z350" s="127"/>
      <c r="AA350" s="127"/>
      <c r="AB350" s="127"/>
      <c r="AC350" s="127"/>
      <c r="AD350" s="127"/>
    </row>
    <row r="352" spans="1:256">
      <c r="A352" s="106" t="s">
        <v>2463</v>
      </c>
      <c r="B352" s="106"/>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c r="Z352" s="106"/>
      <c r="AA352" s="106"/>
      <c r="AB352" s="106"/>
      <c r="AC352" s="106"/>
      <c r="AD352" s="106"/>
      <c r="AE352" s="107"/>
      <c r="AF352" s="107"/>
    </row>
    <row r="353" spans="1:30" ht="31.5">
      <c r="A353" s="108" t="s">
        <v>1919</v>
      </c>
      <c r="B353" s="108"/>
      <c r="C353" s="108"/>
      <c r="D353" s="108"/>
      <c r="E353" s="108"/>
      <c r="F353" s="108"/>
      <c r="G353" s="108"/>
      <c r="H353" s="109" t="s">
        <v>1926</v>
      </c>
      <c r="I353" s="109" t="s">
        <v>1927</v>
      </c>
      <c r="J353" s="109" t="s">
        <v>1928</v>
      </c>
      <c r="K353" s="109" t="s">
        <v>1929</v>
      </c>
      <c r="L353" s="109" t="s">
        <v>1930</v>
      </c>
      <c r="M353" s="109" t="s">
        <v>1931</v>
      </c>
      <c r="N353" s="109" t="s">
        <v>1932</v>
      </c>
      <c r="O353" s="109" t="s">
        <v>1933</v>
      </c>
      <c r="P353" s="109" t="s">
        <v>1934</v>
      </c>
      <c r="Q353" s="109" t="s">
        <v>1935</v>
      </c>
      <c r="R353" s="109" t="s">
        <v>1936</v>
      </c>
      <c r="S353" s="109" t="s">
        <v>1937</v>
      </c>
      <c r="T353" s="109" t="s">
        <v>1938</v>
      </c>
      <c r="U353" s="109" t="s">
        <v>1939</v>
      </c>
      <c r="V353" s="109" t="s">
        <v>1940</v>
      </c>
      <c r="W353" s="109" t="s">
        <v>1941</v>
      </c>
      <c r="X353" s="109" t="s">
        <v>1942</v>
      </c>
      <c r="Y353" s="109" t="s">
        <v>1943</v>
      </c>
      <c r="Z353" s="109" t="s">
        <v>1944</v>
      </c>
      <c r="AA353" s="109" t="s">
        <v>1945</v>
      </c>
      <c r="AB353" s="109" t="s">
        <v>1946</v>
      </c>
      <c r="AC353" s="109" t="s">
        <v>1947</v>
      </c>
      <c r="AD353" s="109" t="s">
        <v>1948</v>
      </c>
    </row>
    <row r="354" spans="1:30">
      <c r="A354" s="110" t="s">
        <v>2061</v>
      </c>
      <c r="B354" s="110"/>
      <c r="C354" s="110"/>
      <c r="D354" s="110"/>
      <c r="E354" s="110"/>
      <c r="F354" s="110"/>
      <c r="G354" s="110"/>
      <c r="H354" s="111" t="s">
        <v>621</v>
      </c>
      <c r="I354" s="111" t="s">
        <v>621</v>
      </c>
      <c r="J354" s="111" t="s">
        <v>621</v>
      </c>
      <c r="K354" s="111" t="s">
        <v>621</v>
      </c>
      <c r="L354" s="111" t="s">
        <v>621</v>
      </c>
      <c r="M354" s="111" t="s">
        <v>621</v>
      </c>
      <c r="N354" s="111" t="s">
        <v>621</v>
      </c>
      <c r="O354" s="111" t="s">
        <v>621</v>
      </c>
      <c r="P354" s="111" t="s">
        <v>621</v>
      </c>
      <c r="Q354" s="111" t="s">
        <v>621</v>
      </c>
      <c r="R354" s="111" t="s">
        <v>621</v>
      </c>
      <c r="S354" s="111" t="s">
        <v>621</v>
      </c>
      <c r="T354" s="111" t="s">
        <v>621</v>
      </c>
      <c r="U354" s="111" t="s">
        <v>621</v>
      </c>
      <c r="V354" s="111" t="s">
        <v>621</v>
      </c>
      <c r="W354" s="111" t="s">
        <v>621</v>
      </c>
      <c r="X354" s="111" t="s">
        <v>621</v>
      </c>
      <c r="Y354" s="111" t="s">
        <v>621</v>
      </c>
      <c r="Z354" s="111" t="s">
        <v>621</v>
      </c>
      <c r="AA354" s="111" t="s">
        <v>621</v>
      </c>
      <c r="AB354" s="111" t="s">
        <v>621</v>
      </c>
      <c r="AC354" s="111" t="s">
        <v>621</v>
      </c>
      <c r="AD354" s="111" t="s">
        <v>621</v>
      </c>
    </row>
    <row r="355" spans="1:30" ht="10.5">
      <c r="A355" s="112" t="s">
        <v>2436</v>
      </c>
      <c r="B355" s="112"/>
      <c r="C355" s="112"/>
      <c r="D355" s="112"/>
      <c r="E355" s="112"/>
      <c r="F355" s="112"/>
      <c r="G355" s="112"/>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row>
    <row r="356" spans="1:30">
      <c r="A356" s="103" t="s">
        <v>2464</v>
      </c>
      <c r="B356" s="103"/>
      <c r="C356" s="103"/>
      <c r="D356" s="103"/>
      <c r="E356" s="103"/>
      <c r="F356" s="103"/>
      <c r="G356" s="103"/>
      <c r="H356" s="113">
        <v>7800</v>
      </c>
      <c r="I356" s="113">
        <v>10100</v>
      </c>
      <c r="J356" s="113">
        <v>13700</v>
      </c>
      <c r="K356" s="113">
        <v>15700</v>
      </c>
      <c r="L356" s="113">
        <v>17800</v>
      </c>
      <c r="M356" s="113">
        <v>20066</v>
      </c>
      <c r="N356" s="113">
        <v>22077</v>
      </c>
      <c r="O356" s="113">
        <v>25046</v>
      </c>
      <c r="P356" s="113">
        <v>25427</v>
      </c>
      <c r="Q356" s="113">
        <v>27957</v>
      </c>
      <c r="R356" s="113">
        <v>31346</v>
      </c>
      <c r="S356" s="113">
        <v>35928</v>
      </c>
      <c r="T356" s="113">
        <v>33052</v>
      </c>
      <c r="U356" s="113">
        <v>36173</v>
      </c>
      <c r="V356" s="113">
        <v>38008</v>
      </c>
      <c r="W356" s="113">
        <v>38846</v>
      </c>
      <c r="X356" s="113">
        <v>41344</v>
      </c>
      <c r="Y356" s="113">
        <v>43474</v>
      </c>
      <c r="Z356" s="113">
        <v>42941</v>
      </c>
      <c r="AA356" s="113">
        <v>46416</v>
      </c>
      <c r="AB356" s="113">
        <v>51078</v>
      </c>
      <c r="AC356" s="113">
        <v>55926</v>
      </c>
      <c r="AD356" s="113">
        <v>64199</v>
      </c>
    </row>
    <row r="357" spans="1:30">
      <c r="A357" s="103" t="s">
        <v>2465</v>
      </c>
      <c r="B357" s="103"/>
      <c r="C357" s="103"/>
      <c r="D357" s="103"/>
      <c r="E357" s="103"/>
      <c r="F357" s="103"/>
      <c r="G357" s="103"/>
      <c r="H357" s="113">
        <v>4100</v>
      </c>
      <c r="I357" s="113">
        <v>5200</v>
      </c>
      <c r="J357" s="113">
        <v>6000</v>
      </c>
      <c r="K357" s="113">
        <v>7300</v>
      </c>
      <c r="L357" s="113">
        <v>7500</v>
      </c>
      <c r="M357" s="113">
        <v>8299</v>
      </c>
      <c r="N357" s="113">
        <v>10110</v>
      </c>
      <c r="O357" s="113">
        <v>11789</v>
      </c>
      <c r="P357" s="113">
        <v>14361</v>
      </c>
      <c r="Q357" s="113">
        <v>16325</v>
      </c>
      <c r="R357" s="113">
        <v>19776</v>
      </c>
      <c r="S357" s="113">
        <v>24492</v>
      </c>
      <c r="T357" s="113">
        <v>25385</v>
      </c>
      <c r="U357" s="113">
        <v>26311</v>
      </c>
      <c r="V357" s="113">
        <v>31935</v>
      </c>
      <c r="W357" s="113">
        <v>34877</v>
      </c>
      <c r="X357" s="113">
        <v>36505</v>
      </c>
      <c r="Y357" s="113">
        <v>43359</v>
      </c>
      <c r="Z357" s="113">
        <v>50639</v>
      </c>
      <c r="AA357" s="113">
        <v>44738</v>
      </c>
      <c r="AB357" s="113">
        <v>45493</v>
      </c>
      <c r="AC357" s="113">
        <v>54434</v>
      </c>
      <c r="AD357" s="113">
        <v>61644</v>
      </c>
    </row>
    <row r="358" spans="1:30" ht="10.5">
      <c r="A358" s="112" t="s">
        <v>2452</v>
      </c>
      <c r="B358" s="112"/>
      <c r="C358" s="112"/>
      <c r="D358" s="112"/>
      <c r="E358" s="112"/>
      <c r="F358" s="112"/>
      <c r="G358" s="112"/>
      <c r="H358" s="115">
        <v>11900</v>
      </c>
      <c r="I358" s="115">
        <v>15300</v>
      </c>
      <c r="J358" s="115">
        <v>19700</v>
      </c>
      <c r="K358" s="115">
        <v>23000</v>
      </c>
      <c r="L358" s="115">
        <v>25300</v>
      </c>
      <c r="M358" s="115">
        <v>28365</v>
      </c>
      <c r="N358" s="115">
        <v>32187</v>
      </c>
      <c r="O358" s="115">
        <v>36835</v>
      </c>
      <c r="P358" s="115">
        <v>39788</v>
      </c>
      <c r="Q358" s="115">
        <v>44282</v>
      </c>
      <c r="R358" s="115">
        <v>51122</v>
      </c>
      <c r="S358" s="115">
        <v>60420</v>
      </c>
      <c r="T358" s="115">
        <v>58437</v>
      </c>
      <c r="U358" s="115">
        <v>62484</v>
      </c>
      <c r="V358" s="115">
        <v>69943</v>
      </c>
      <c r="W358" s="115">
        <v>73723</v>
      </c>
      <c r="X358" s="115">
        <v>77849</v>
      </c>
      <c r="Y358" s="115">
        <v>86833</v>
      </c>
      <c r="Z358" s="115">
        <v>93580</v>
      </c>
      <c r="AA358" s="115">
        <v>91154</v>
      </c>
      <c r="AB358" s="115">
        <v>96571</v>
      </c>
      <c r="AC358" s="115">
        <v>110360</v>
      </c>
      <c r="AD358" s="115">
        <v>125843</v>
      </c>
    </row>
    <row r="359" spans="1:30">
      <c r="A359" s="103"/>
      <c r="B359" s="103"/>
      <c r="C359" s="103"/>
      <c r="D359" s="103"/>
      <c r="E359" s="103"/>
      <c r="F359" s="10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row>
    <row r="360" spans="1:30" ht="10.5">
      <c r="A360" s="112" t="s">
        <v>2466</v>
      </c>
      <c r="B360" s="112"/>
      <c r="C360" s="112"/>
      <c r="D360" s="112"/>
      <c r="E360" s="112"/>
      <c r="F360" s="112"/>
      <c r="G360" s="112"/>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row>
    <row r="361" spans="1:30">
      <c r="A361" s="103" t="s">
        <v>2464</v>
      </c>
      <c r="B361" s="103"/>
      <c r="C361" s="103"/>
      <c r="D361" s="103"/>
      <c r="E361" s="103"/>
      <c r="F361" s="103"/>
      <c r="G361" s="103"/>
      <c r="H361" s="113">
        <v>3775</v>
      </c>
      <c r="I361" s="113">
        <v>5072</v>
      </c>
      <c r="J361" s="113">
        <v>10649</v>
      </c>
      <c r="K361" s="113">
        <v>0</v>
      </c>
      <c r="L361" s="113">
        <v>0</v>
      </c>
      <c r="M361" s="113">
        <v>0</v>
      </c>
      <c r="N361" s="113">
        <v>0</v>
      </c>
      <c r="O361" s="113">
        <v>0</v>
      </c>
      <c r="P361" s="113">
        <v>0</v>
      </c>
      <c r="Q361" s="113">
        <v>0</v>
      </c>
      <c r="R361" s="113">
        <v>0</v>
      </c>
      <c r="S361" s="113">
        <v>0</v>
      </c>
      <c r="T361" s="113">
        <v>0</v>
      </c>
      <c r="U361" s="113">
        <v>0</v>
      </c>
      <c r="V361" s="113">
        <v>0</v>
      </c>
      <c r="W361" s="113">
        <v>0</v>
      </c>
      <c r="X361" s="113">
        <v>0</v>
      </c>
      <c r="Y361" s="113">
        <v>0</v>
      </c>
      <c r="Z361" s="113">
        <v>0</v>
      </c>
      <c r="AA361" s="113">
        <v>0</v>
      </c>
      <c r="AB361" s="113">
        <v>0</v>
      </c>
      <c r="AC361" s="113">
        <v>0</v>
      </c>
      <c r="AD361" s="113">
        <v>0</v>
      </c>
    </row>
    <row r="362" spans="1:30">
      <c r="A362" s="103" t="s">
        <v>2465</v>
      </c>
      <c r="B362" s="103"/>
      <c r="C362" s="103"/>
      <c r="D362" s="103"/>
      <c r="E362" s="103"/>
      <c r="F362" s="103"/>
      <c r="G362" s="103"/>
      <c r="H362" s="113">
        <v>1539</v>
      </c>
      <c r="I362" s="113">
        <v>2045</v>
      </c>
      <c r="J362" s="113">
        <v>1242</v>
      </c>
      <c r="K362" s="113">
        <v>0</v>
      </c>
      <c r="L362" s="113">
        <v>0</v>
      </c>
      <c r="M362" s="113">
        <v>0</v>
      </c>
      <c r="N362" s="113">
        <v>0</v>
      </c>
      <c r="O362" s="113">
        <v>0</v>
      </c>
      <c r="P362" s="113">
        <v>0</v>
      </c>
      <c r="Q362" s="113">
        <v>0</v>
      </c>
      <c r="R362" s="113">
        <v>0</v>
      </c>
      <c r="S362" s="113">
        <v>0</v>
      </c>
      <c r="T362" s="113">
        <v>0</v>
      </c>
      <c r="U362" s="113">
        <v>0</v>
      </c>
      <c r="V362" s="113">
        <v>0</v>
      </c>
      <c r="W362" s="113">
        <v>0</v>
      </c>
      <c r="X362" s="113">
        <v>0</v>
      </c>
      <c r="Y362" s="113">
        <v>0</v>
      </c>
      <c r="Z362" s="113">
        <v>0</v>
      </c>
      <c r="AA362" s="113">
        <v>0</v>
      </c>
      <c r="AB362" s="113">
        <v>0</v>
      </c>
      <c r="AC362" s="113">
        <v>0</v>
      </c>
      <c r="AD362" s="113">
        <v>0</v>
      </c>
    </row>
    <row r="363" spans="1:30" ht="10.5">
      <c r="A363" s="112" t="s">
        <v>2467</v>
      </c>
      <c r="B363" s="112"/>
      <c r="C363" s="112"/>
      <c r="D363" s="112"/>
      <c r="E363" s="112"/>
      <c r="F363" s="112"/>
      <c r="G363" s="112"/>
      <c r="H363" s="115">
        <v>5314</v>
      </c>
      <c r="I363" s="115">
        <v>7117</v>
      </c>
      <c r="J363" s="115">
        <v>11891</v>
      </c>
      <c r="K363" s="115">
        <v>0</v>
      </c>
      <c r="L363" s="115">
        <v>0</v>
      </c>
      <c r="M363" s="115">
        <v>0</v>
      </c>
      <c r="N363" s="115">
        <v>0</v>
      </c>
      <c r="O363" s="115">
        <v>0</v>
      </c>
      <c r="P363" s="115">
        <v>0</v>
      </c>
      <c r="Q363" s="115">
        <v>0</v>
      </c>
      <c r="R363" s="115">
        <v>0</v>
      </c>
      <c r="S363" s="115">
        <v>0</v>
      </c>
      <c r="T363" s="115">
        <v>0</v>
      </c>
      <c r="U363" s="115">
        <v>0</v>
      </c>
      <c r="V363" s="115">
        <v>0</v>
      </c>
      <c r="W363" s="115">
        <v>0</v>
      </c>
      <c r="X363" s="115">
        <v>0</v>
      </c>
      <c r="Y363" s="115">
        <v>0</v>
      </c>
      <c r="Z363" s="115">
        <v>0</v>
      </c>
      <c r="AA363" s="115">
        <v>0</v>
      </c>
      <c r="AB363" s="115">
        <v>0</v>
      </c>
      <c r="AC363" s="115">
        <v>0</v>
      </c>
      <c r="AD363" s="115">
        <v>0</v>
      </c>
    </row>
    <row r="364" spans="1:30">
      <c r="A364" s="103"/>
      <c r="B364" s="103"/>
      <c r="C364" s="103"/>
      <c r="D364" s="103"/>
      <c r="E364" s="103"/>
      <c r="F364" s="10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row>
    <row r="365" spans="1:30" ht="10.5">
      <c r="A365" s="112" t="s">
        <v>573</v>
      </c>
      <c r="B365" s="112"/>
      <c r="C365" s="112"/>
      <c r="D365" s="112"/>
      <c r="E365" s="112"/>
      <c r="F365" s="112"/>
      <c r="G365" s="112"/>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row>
    <row r="366" spans="1:30">
      <c r="A366" s="103" t="s">
        <v>2464</v>
      </c>
      <c r="B366" s="103"/>
      <c r="C366" s="103"/>
      <c r="D366" s="103"/>
      <c r="E366" s="103"/>
      <c r="F366" s="103"/>
      <c r="G366" s="103"/>
      <c r="H366" s="113">
        <v>0</v>
      </c>
      <c r="I366" s="113">
        <v>1200</v>
      </c>
      <c r="J366" s="113">
        <v>1500</v>
      </c>
      <c r="K366" s="113">
        <v>1800</v>
      </c>
      <c r="L366" s="113">
        <v>2200</v>
      </c>
      <c r="M366" s="113">
        <v>2000</v>
      </c>
      <c r="N366" s="113">
        <v>3773</v>
      </c>
      <c r="O366" s="113">
        <v>5365</v>
      </c>
      <c r="P366" s="113">
        <v>5506</v>
      </c>
      <c r="Q366" s="113">
        <v>6661</v>
      </c>
      <c r="R366" s="113">
        <v>9132</v>
      </c>
      <c r="S366" s="113">
        <v>19129</v>
      </c>
      <c r="T366" s="113">
        <v>19362</v>
      </c>
      <c r="U366" s="113">
        <v>18716</v>
      </c>
      <c r="V366" s="113">
        <v>18498</v>
      </c>
      <c r="W366" s="113">
        <v>14081</v>
      </c>
      <c r="X366" s="113">
        <v>16615</v>
      </c>
      <c r="Y366" s="113">
        <v>17653</v>
      </c>
      <c r="Z366" s="113">
        <v>19562</v>
      </c>
      <c r="AA366" s="113">
        <v>25145</v>
      </c>
      <c r="AB366" s="113">
        <v>42730</v>
      </c>
      <c r="AC366" s="113">
        <v>44501</v>
      </c>
      <c r="AD366" s="113">
        <v>55252</v>
      </c>
    </row>
    <row r="367" spans="1:30">
      <c r="A367" s="103" t="s">
        <v>2465</v>
      </c>
      <c r="B367" s="103"/>
      <c r="C367" s="103"/>
      <c r="D367" s="103"/>
      <c r="E367" s="103"/>
      <c r="F367" s="103"/>
      <c r="G367" s="103"/>
      <c r="H367" s="113">
        <v>0</v>
      </c>
      <c r="I367" s="113">
        <v>287</v>
      </c>
      <c r="J367" s="113">
        <v>154</v>
      </c>
      <c r="K367" s="113">
        <v>126</v>
      </c>
      <c r="L367" s="113">
        <v>154</v>
      </c>
      <c r="M367" s="113">
        <v>220</v>
      </c>
      <c r="N367" s="113">
        <v>1962</v>
      </c>
      <c r="O367" s="113">
        <v>645</v>
      </c>
      <c r="P367" s="113">
        <v>648</v>
      </c>
      <c r="Q367" s="113">
        <v>788</v>
      </c>
      <c r="R367" s="113">
        <v>856</v>
      </c>
      <c r="S367" s="113">
        <v>1194</v>
      </c>
      <c r="T367" s="113">
        <v>2435</v>
      </c>
      <c r="U367" s="113">
        <v>2466</v>
      </c>
      <c r="V367" s="113">
        <v>2989</v>
      </c>
      <c r="W367" s="113">
        <v>3827</v>
      </c>
      <c r="X367" s="113">
        <v>4159</v>
      </c>
      <c r="Y367" s="113">
        <v>5713</v>
      </c>
      <c r="Z367" s="113">
        <v>8469</v>
      </c>
      <c r="AA367" s="113">
        <v>11047</v>
      </c>
      <c r="AB367" s="113">
        <v>19898</v>
      </c>
      <c r="AC367" s="113">
        <v>22538</v>
      </c>
      <c r="AD367" s="113">
        <v>25422</v>
      </c>
    </row>
    <row r="368" spans="1:30">
      <c r="A368" s="103" t="s">
        <v>2468</v>
      </c>
      <c r="B368" s="103"/>
      <c r="C368" s="103"/>
      <c r="D368" s="103"/>
      <c r="E368" s="103"/>
      <c r="F368" s="103"/>
      <c r="G368" s="103"/>
      <c r="H368" s="113">
        <v>0</v>
      </c>
      <c r="I368" s="113">
        <v>0</v>
      </c>
      <c r="J368" s="113">
        <v>0</v>
      </c>
      <c r="K368" s="113">
        <v>0</v>
      </c>
      <c r="L368" s="113">
        <v>0</v>
      </c>
      <c r="M368" s="113">
        <v>0</v>
      </c>
      <c r="N368" s="113">
        <v>0</v>
      </c>
      <c r="O368" s="113">
        <v>0</v>
      </c>
      <c r="P368" s="113">
        <v>0</v>
      </c>
      <c r="Q368" s="113">
        <v>0</v>
      </c>
      <c r="R368" s="113">
        <v>0</v>
      </c>
      <c r="S368" s="113">
        <v>0</v>
      </c>
      <c r="T368" s="113">
        <v>0</v>
      </c>
      <c r="U368" s="113">
        <v>0</v>
      </c>
      <c r="V368" s="113">
        <v>0</v>
      </c>
      <c r="W368" s="113">
        <v>0</v>
      </c>
      <c r="X368" s="113">
        <v>0</v>
      </c>
      <c r="Y368" s="113">
        <v>0</v>
      </c>
      <c r="Z368" s="113">
        <v>1595</v>
      </c>
      <c r="AA368" s="113">
        <v>2099</v>
      </c>
      <c r="AB368" s="113">
        <v>12889</v>
      </c>
      <c r="AC368" s="113">
        <v>12843</v>
      </c>
      <c r="AD368" s="113">
        <v>12958</v>
      </c>
    </row>
    <row r="369" spans="1:30">
      <c r="A369" s="103" t="s">
        <v>2469</v>
      </c>
      <c r="B369" s="103"/>
      <c r="C369" s="103"/>
      <c r="D369" s="103"/>
      <c r="E369" s="103"/>
      <c r="F369" s="103"/>
      <c r="G369" s="103"/>
      <c r="H369" s="113">
        <v>0</v>
      </c>
      <c r="I369" s="113">
        <v>0</v>
      </c>
      <c r="J369" s="113">
        <v>0</v>
      </c>
      <c r="K369" s="113">
        <v>0</v>
      </c>
      <c r="L369" s="113">
        <v>0</v>
      </c>
      <c r="M369" s="113">
        <v>0</v>
      </c>
      <c r="N369" s="113">
        <v>0</v>
      </c>
      <c r="O369" s="113">
        <v>0</v>
      </c>
      <c r="P369" s="113">
        <v>0</v>
      </c>
      <c r="Q369" s="113">
        <v>0</v>
      </c>
      <c r="R369" s="113">
        <v>0</v>
      </c>
      <c r="S369" s="113">
        <v>0</v>
      </c>
      <c r="T369" s="113">
        <v>0</v>
      </c>
      <c r="U369" s="113">
        <v>0</v>
      </c>
      <c r="V369" s="113">
        <v>0</v>
      </c>
      <c r="W369" s="113">
        <v>6975</v>
      </c>
      <c r="X369" s="113">
        <v>6943</v>
      </c>
      <c r="Y369" s="113">
        <v>6913</v>
      </c>
      <c r="Z369" s="113">
        <v>6879</v>
      </c>
      <c r="AA369" s="113">
        <v>6868</v>
      </c>
      <c r="AB369" s="113">
        <v>0</v>
      </c>
      <c r="AC369" s="113">
        <v>0</v>
      </c>
      <c r="AD369" s="113">
        <v>0</v>
      </c>
    </row>
    <row r="370" spans="1:30">
      <c r="A370" s="103" t="s">
        <v>2470</v>
      </c>
      <c r="B370" s="103"/>
      <c r="C370" s="103"/>
      <c r="D370" s="103"/>
      <c r="E370" s="103"/>
      <c r="F370" s="103"/>
      <c r="G370" s="103"/>
      <c r="H370" s="113">
        <v>0</v>
      </c>
      <c r="I370" s="113">
        <v>0</v>
      </c>
      <c r="J370" s="113">
        <v>0</v>
      </c>
      <c r="K370" s="113">
        <v>0</v>
      </c>
      <c r="L370" s="113">
        <v>0</v>
      </c>
      <c r="M370" s="113">
        <v>0</v>
      </c>
      <c r="N370" s="113">
        <v>0</v>
      </c>
      <c r="O370" s="113">
        <v>0</v>
      </c>
      <c r="P370" s="113">
        <v>0</v>
      </c>
      <c r="Q370" s="113">
        <v>0</v>
      </c>
      <c r="R370" s="113">
        <v>0</v>
      </c>
      <c r="S370" s="113">
        <v>0</v>
      </c>
      <c r="T370" s="113">
        <v>0</v>
      </c>
      <c r="U370" s="113">
        <v>0</v>
      </c>
      <c r="V370" s="113">
        <v>0</v>
      </c>
      <c r="W370" s="113">
        <v>8</v>
      </c>
      <c r="X370" s="113">
        <v>12</v>
      </c>
      <c r="Y370" s="113">
        <v>9840</v>
      </c>
      <c r="Z370" s="113">
        <v>0</v>
      </c>
      <c r="AA370" s="113">
        <v>0</v>
      </c>
      <c r="AB370" s="113">
        <v>0</v>
      </c>
      <c r="AC370" s="113">
        <v>0</v>
      </c>
      <c r="AD370" s="113">
        <v>0</v>
      </c>
    </row>
    <row r="371" spans="1:30" ht="10.5">
      <c r="A371" s="112" t="s">
        <v>2471</v>
      </c>
      <c r="B371" s="112"/>
      <c r="C371" s="112"/>
      <c r="D371" s="112"/>
      <c r="E371" s="112"/>
      <c r="F371" s="112"/>
      <c r="G371" s="112"/>
      <c r="H371" s="115">
        <v>0</v>
      </c>
      <c r="I371" s="115">
        <v>1487</v>
      </c>
      <c r="J371" s="115">
        <v>1654</v>
      </c>
      <c r="K371" s="115">
        <v>1926</v>
      </c>
      <c r="L371" s="115">
        <v>2354</v>
      </c>
      <c r="M371" s="115">
        <v>2220</v>
      </c>
      <c r="N371" s="115">
        <v>5735</v>
      </c>
      <c r="O371" s="115">
        <v>6010</v>
      </c>
      <c r="P371" s="115">
        <v>6154</v>
      </c>
      <c r="Q371" s="115">
        <v>7449</v>
      </c>
      <c r="R371" s="115">
        <v>9988</v>
      </c>
      <c r="S371" s="115">
        <v>20323</v>
      </c>
      <c r="T371" s="115">
        <v>21797</v>
      </c>
      <c r="U371" s="115">
        <v>21182</v>
      </c>
      <c r="V371" s="115">
        <v>21487</v>
      </c>
      <c r="W371" s="115">
        <v>24891</v>
      </c>
      <c r="X371" s="115">
        <v>27729</v>
      </c>
      <c r="Y371" s="115">
        <v>40119</v>
      </c>
      <c r="Z371" s="115">
        <v>36505</v>
      </c>
      <c r="AA371" s="115">
        <v>45159</v>
      </c>
      <c r="AB371" s="115">
        <v>75517</v>
      </c>
      <c r="AC371" s="115">
        <v>79882</v>
      </c>
      <c r="AD371" s="115">
        <v>93632</v>
      </c>
    </row>
    <row r="372" spans="1:30">
      <c r="A372" s="103"/>
      <c r="B372" s="103"/>
      <c r="C372" s="103"/>
      <c r="D372" s="103"/>
      <c r="E372" s="103"/>
      <c r="F372" s="10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row>
    <row r="373" spans="1:30">
      <c r="A373" s="103"/>
      <c r="B373" s="103"/>
      <c r="C373" s="103"/>
      <c r="D373" s="103"/>
      <c r="E373" s="103"/>
      <c r="F373" s="103"/>
      <c r="G373" s="103"/>
      <c r="H373" s="103" t="s">
        <v>366</v>
      </c>
      <c r="I373" s="103" t="s">
        <v>366</v>
      </c>
      <c r="J373" s="103" t="s">
        <v>366</v>
      </c>
      <c r="K373" s="103" t="s">
        <v>366</v>
      </c>
      <c r="L373" s="103" t="s">
        <v>366</v>
      </c>
      <c r="M373" s="103" t="s">
        <v>366</v>
      </c>
      <c r="N373" s="103" t="s">
        <v>366</v>
      </c>
      <c r="O373" s="103" t="s">
        <v>366</v>
      </c>
      <c r="P373" s="103" t="s">
        <v>366</v>
      </c>
      <c r="Q373" s="103" t="s">
        <v>366</v>
      </c>
      <c r="R373" s="103" t="s">
        <v>366</v>
      </c>
      <c r="S373" s="103" t="s">
        <v>366</v>
      </c>
      <c r="T373" s="103" t="s">
        <v>366</v>
      </c>
      <c r="U373" s="103" t="s">
        <v>366</v>
      </c>
      <c r="V373" s="103" t="s">
        <v>366</v>
      </c>
      <c r="W373" s="103" t="s">
        <v>366</v>
      </c>
      <c r="X373" s="103" t="s">
        <v>366</v>
      </c>
      <c r="Y373" s="103" t="s">
        <v>366</v>
      </c>
      <c r="Z373" s="103" t="s">
        <v>366</v>
      </c>
      <c r="AA373" s="103" t="s">
        <v>366</v>
      </c>
      <c r="AB373" s="103" t="s">
        <v>366</v>
      </c>
      <c r="AC373" s="103" t="s">
        <v>366</v>
      </c>
      <c r="AD373" s="103" t="s">
        <v>366</v>
      </c>
    </row>
    <row r="374" spans="1:30">
      <c r="A374" s="103" t="s">
        <v>2126</v>
      </c>
      <c r="B374" s="103"/>
      <c r="C374" s="103"/>
      <c r="D374" s="103"/>
      <c r="E374" s="103"/>
      <c r="F374" s="103"/>
      <c r="G374" s="103"/>
      <c r="H374" s="122">
        <v>36431</v>
      </c>
      <c r="I374" s="122">
        <v>36797</v>
      </c>
      <c r="J374" s="122">
        <v>37152</v>
      </c>
      <c r="K374" s="122">
        <v>37505</v>
      </c>
      <c r="L374" s="122">
        <v>37869</v>
      </c>
      <c r="M374" s="122">
        <v>38231</v>
      </c>
      <c r="N374" s="122">
        <v>38590</v>
      </c>
      <c r="O374" s="122">
        <v>38954</v>
      </c>
      <c r="P374" s="122">
        <v>39297</v>
      </c>
      <c r="Q374" s="122">
        <v>39660</v>
      </c>
      <c r="R374" s="122">
        <v>40024</v>
      </c>
      <c r="S374" s="122">
        <v>40389</v>
      </c>
      <c r="T374" s="122">
        <v>40752</v>
      </c>
      <c r="U374" s="122">
        <v>41116</v>
      </c>
      <c r="V374" s="122">
        <v>41485</v>
      </c>
      <c r="W374" s="122">
        <v>41851</v>
      </c>
      <c r="X374" s="122">
        <v>42216</v>
      </c>
      <c r="Y374" s="122">
        <v>42579</v>
      </c>
      <c r="Z374" s="122">
        <v>42949</v>
      </c>
      <c r="AA374" s="122">
        <v>43315</v>
      </c>
      <c r="AB374" s="122">
        <v>43678</v>
      </c>
      <c r="AC374" s="122">
        <v>43678</v>
      </c>
      <c r="AD374" s="122">
        <v>43678</v>
      </c>
    </row>
    <row r="375" spans="1:30">
      <c r="A375" s="127"/>
      <c r="B375" s="127"/>
      <c r="C375" s="127"/>
      <c r="D375" s="127"/>
      <c r="E375" s="127"/>
      <c r="F375" s="127"/>
      <c r="G375" s="127"/>
      <c r="H375" s="127"/>
      <c r="I375" s="127"/>
      <c r="J375" s="127"/>
      <c r="K375" s="127"/>
      <c r="L375" s="127"/>
      <c r="M375" s="127"/>
      <c r="N375" s="127"/>
      <c r="O375" s="127"/>
      <c r="P375" s="127"/>
      <c r="Q375" s="127"/>
      <c r="R375" s="127"/>
      <c r="S375" s="127"/>
      <c r="T375" s="127"/>
      <c r="U375" s="127"/>
      <c r="V375" s="127"/>
      <c r="W375" s="127"/>
      <c r="X375" s="127"/>
      <c r="Y375" s="127"/>
      <c r="Z375" s="127"/>
      <c r="AA375" s="127"/>
      <c r="AB375" s="127"/>
      <c r="AC375" s="127"/>
      <c r="AD375" s="127"/>
    </row>
    <row r="376" spans="1:30">
      <c r="A376" s="128" t="s">
        <v>2435</v>
      </c>
      <c r="B376" s="128"/>
      <c r="C376" s="128"/>
      <c r="D376" s="128"/>
      <c r="E376" s="128"/>
      <c r="F376" s="128"/>
      <c r="G376" s="128"/>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61EBD-5AE2-4638-B890-7D19A38CE262}">
  <dimension ref="A7:M24"/>
  <sheetViews>
    <sheetView topLeftCell="A5" workbookViewId="0">
      <selection activeCell="K23" sqref="K23"/>
    </sheetView>
  </sheetViews>
  <sheetFormatPr defaultRowHeight="9.9499999999999993"/>
  <cols>
    <col min="1" max="1" width="28.1640625" bestFit="1" customWidth="1"/>
    <col min="2" max="2" width="3.6640625" customWidth="1"/>
    <col min="3" max="4" width="10" bestFit="1" customWidth="1"/>
    <col min="5" max="5" width="4.1640625" customWidth="1"/>
    <col min="6" max="8" width="11" customWidth="1"/>
    <col min="11" max="11" width="10" bestFit="1" customWidth="1"/>
    <col min="12" max="12" width="4.1640625" customWidth="1"/>
    <col min="13" max="13" width="9.83203125" bestFit="1" customWidth="1"/>
  </cols>
  <sheetData>
    <row r="7" spans="1:13" ht="10.5">
      <c r="A7" s="1" t="s">
        <v>2472</v>
      </c>
      <c r="M7" s="240">
        <f ca="1">TODAY()</f>
        <v>45797</v>
      </c>
    </row>
    <row r="8" spans="1:13">
      <c r="K8" s="7" t="s">
        <v>2473</v>
      </c>
    </row>
    <row r="9" spans="1:13" ht="10.5">
      <c r="C9" s="46" t="s">
        <v>2474</v>
      </c>
      <c r="D9" s="47"/>
      <c r="E9" s="229"/>
      <c r="F9" s="230" t="s">
        <v>2475</v>
      </c>
      <c r="G9" s="230" t="s">
        <v>2476</v>
      </c>
      <c r="H9" s="231" t="s">
        <v>2477</v>
      </c>
      <c r="J9" s="46" t="s">
        <v>2478</v>
      </c>
      <c r="K9" s="47"/>
      <c r="L9" s="229"/>
      <c r="M9" s="231" t="s">
        <v>2479</v>
      </c>
    </row>
    <row r="10" spans="1:13">
      <c r="A10" t="s">
        <v>2480</v>
      </c>
      <c r="C10" s="232">
        <v>12750</v>
      </c>
      <c r="D10" s="233">
        <v>13000</v>
      </c>
      <c r="E10" s="233"/>
      <c r="F10" s="233">
        <v>13009</v>
      </c>
      <c r="G10" s="233">
        <f>+'Historical Financials'!Y148</f>
        <v>13353</v>
      </c>
      <c r="H10" s="234">
        <v>12628</v>
      </c>
      <c r="I10" s="227"/>
      <c r="J10" s="232">
        <v>11650</v>
      </c>
      <c r="K10" s="233">
        <v>11900</v>
      </c>
      <c r="L10" s="233"/>
      <c r="M10" s="234">
        <f>+'Historical Financials'!X148</f>
        <v>12319</v>
      </c>
    </row>
    <row r="11" spans="1:13" s="3" customFormat="1">
      <c r="A11" s="13" t="s">
        <v>113</v>
      </c>
      <c r="C11" s="235">
        <f>+C10/'Historical Financials'!U148-1</f>
        <v>7.8132927447996048E-2</v>
      </c>
      <c r="D11" s="228">
        <f>+D10/'Historical Financials'!U148-1</f>
        <v>9.9272788770505604E-2</v>
      </c>
      <c r="E11" s="228"/>
      <c r="F11" s="228">
        <f>+F10/'Historical Financials'!U148-1</f>
        <v>0.10003382377811598</v>
      </c>
      <c r="G11" s="228">
        <f>+G10/'Historical Financials'!U148-1</f>
        <v>0.12912227295788936</v>
      </c>
      <c r="H11" s="236">
        <f>+H10/'Historical Financials'!U148-1</f>
        <v>6.7816675122611247E-2</v>
      </c>
      <c r="I11" s="228"/>
      <c r="J11" s="235">
        <f>+J10/'Historical Financials'!$T$148-1</f>
        <v>5.1728807438837121E-2</v>
      </c>
      <c r="K11" s="228">
        <f>+K10/'Historical Financials'!$T$148-1</f>
        <v>7.429809515211705E-2</v>
      </c>
      <c r="L11" s="228"/>
      <c r="M11" s="236">
        <f>+M10/'Historical Financials'!$T$148-1</f>
        <v>0.11212422135957389</v>
      </c>
    </row>
    <row r="12" spans="1:13">
      <c r="C12" s="232"/>
      <c r="D12" s="233"/>
      <c r="E12" s="233"/>
      <c r="F12" s="233"/>
      <c r="G12" s="233"/>
      <c r="H12" s="234"/>
      <c r="I12" s="227"/>
      <c r="J12" s="232"/>
      <c r="K12" s="233"/>
      <c r="L12" s="233"/>
      <c r="M12" s="234"/>
    </row>
    <row r="13" spans="1:13">
      <c r="A13" t="s">
        <v>337</v>
      </c>
      <c r="C13" s="232">
        <v>13550</v>
      </c>
      <c r="D13" s="233">
        <v>13800</v>
      </c>
      <c r="E13" s="233"/>
      <c r="F13" s="233">
        <v>14243</v>
      </c>
      <c r="G13" s="233">
        <f>+'Historical Financials'!Y149</f>
        <v>14601</v>
      </c>
      <c r="H13" s="234">
        <v>13747</v>
      </c>
      <c r="I13" s="227"/>
      <c r="J13" s="232">
        <v>12550</v>
      </c>
      <c r="K13" s="233">
        <v>12800</v>
      </c>
      <c r="L13" s="233"/>
      <c r="M13" s="234">
        <f>+'Historical Financials'!X149</f>
        <v>12986</v>
      </c>
    </row>
    <row r="14" spans="1:13" s="3" customFormat="1">
      <c r="A14" s="13" t="s">
        <v>113</v>
      </c>
      <c r="C14" s="235">
        <f>+C13/'Historical Financials'!$U$149-1</f>
        <v>0.14162945488246703</v>
      </c>
      <c r="D14" s="228">
        <f>+D13/'Historical Financials'!$U$149-1</f>
        <v>0.1626927289577893</v>
      </c>
      <c r="E14" s="228"/>
      <c r="F14" s="228">
        <f>+F13/'Historical Financials'!$U$149-1</f>
        <v>0.20001685061926033</v>
      </c>
      <c r="G14" s="228">
        <f>+G13/'Historical Financials'!$U$149-1</f>
        <v>0.23017945909512183</v>
      </c>
      <c r="H14" s="236">
        <f>+H13/'Historical Financials'!$U$149-1</f>
        <v>0.15822731485382091</v>
      </c>
      <c r="I14" s="228"/>
      <c r="J14" s="235">
        <f>+J13/'Historical Financials'!$T$149-1</f>
        <v>0.15721530659290006</v>
      </c>
      <c r="K14" s="228">
        <f>+K13/'Historical Financials'!$T$149-1</f>
        <v>0.1802674043337944</v>
      </c>
      <c r="L14" s="228"/>
      <c r="M14" s="236">
        <f>+M13/'Historical Financials'!$T$149-1</f>
        <v>0.19741816505301979</v>
      </c>
    </row>
    <row r="15" spans="1:13">
      <c r="C15" s="232"/>
      <c r="D15" s="233"/>
      <c r="E15" s="233"/>
      <c r="F15" s="233"/>
      <c r="G15" s="233"/>
      <c r="H15" s="234"/>
      <c r="I15" s="227"/>
      <c r="J15" s="232"/>
      <c r="K15" s="233"/>
      <c r="L15" s="233"/>
      <c r="M15" s="234"/>
    </row>
    <row r="16" spans="1:13">
      <c r="A16" t="s">
        <v>339</v>
      </c>
      <c r="C16" s="232">
        <v>13200</v>
      </c>
      <c r="D16" s="233">
        <v>13600</v>
      </c>
      <c r="E16" s="233"/>
      <c r="F16" s="233">
        <v>13211</v>
      </c>
      <c r="G16" s="233">
        <f>+'Historical Financials'!Y150</f>
        <v>15122</v>
      </c>
      <c r="H16" s="234">
        <v>14002</v>
      </c>
      <c r="I16" s="227"/>
      <c r="J16" s="232">
        <v>10950</v>
      </c>
      <c r="K16" s="233">
        <v>11350</v>
      </c>
      <c r="L16" s="233"/>
      <c r="M16" s="234">
        <f>+'Historical Financials'!X150</f>
        <v>11849</v>
      </c>
    </row>
    <row r="17" spans="1:13" s="3" customFormat="1">
      <c r="A17" s="13" t="s">
        <v>113</v>
      </c>
      <c r="C17" s="235">
        <f>+C16/'Historical Financials'!$U$150-1</f>
        <v>-8.3263946711076287E-4</v>
      </c>
      <c r="D17" s="228">
        <f>+D16/'Historical Financials'!$U$150-1</f>
        <v>2.9445159336916271E-2</v>
      </c>
      <c r="E17" s="228"/>
      <c r="F17" s="228">
        <f>+F16/'Historical Financials'!$U$150-1</f>
        <v>0</v>
      </c>
      <c r="G17" s="228">
        <f>+G16/'Historical Financials'!$U$150-1</f>
        <v>0.14465218378623868</v>
      </c>
      <c r="H17" s="236">
        <f>+H16/'Historical Financials'!$U$150-1</f>
        <v>5.9874347134963202E-2</v>
      </c>
      <c r="I17" s="228"/>
      <c r="J17" s="235">
        <f>+J16/'Historical Financials'!$T$150-1</f>
        <v>-1.6437617892751333E-2</v>
      </c>
      <c r="K17" s="228">
        <f>+K16/'Historical Financials'!$T$150-1</f>
        <v>1.9491601544956438E-2</v>
      </c>
      <c r="L17" s="228"/>
      <c r="M17" s="236">
        <f>+M16/'Historical Financials'!$T$150-1</f>
        <v>6.4313302793496785E-2</v>
      </c>
    </row>
    <row r="18" spans="1:13">
      <c r="C18" s="232"/>
      <c r="D18" s="233"/>
      <c r="E18" s="233"/>
      <c r="F18" s="233"/>
      <c r="G18" s="233"/>
      <c r="H18" s="234"/>
      <c r="I18" s="227"/>
      <c r="J18" s="232"/>
      <c r="K18" s="233"/>
      <c r="L18" s="233"/>
      <c r="M18" s="234"/>
    </row>
    <row r="19" spans="1:13">
      <c r="A19" t="s">
        <v>341</v>
      </c>
      <c r="C19" s="232">
        <f>+C16+C13+C10</f>
        <v>39500</v>
      </c>
      <c r="D19" s="233">
        <f>+D16+D13+D10</f>
        <v>40400</v>
      </c>
      <c r="E19" s="233"/>
      <c r="F19" s="233">
        <f>+F16+F13+F10-0.8</f>
        <v>40462.199999999997</v>
      </c>
      <c r="G19" s="233">
        <f>+G16+G13+G10</f>
        <v>43076</v>
      </c>
      <c r="H19" s="234">
        <f>+H16+H13+H10</f>
        <v>40377</v>
      </c>
      <c r="I19" s="227"/>
      <c r="J19" s="232">
        <f t="shared" ref="J19:K19" si="0">+J16+J13+J10</f>
        <v>35150</v>
      </c>
      <c r="K19" s="233">
        <f t="shared" si="0"/>
        <v>36050</v>
      </c>
      <c r="L19" s="233"/>
      <c r="M19" s="234">
        <f t="shared" ref="M19" si="1">+M16+M13+M10</f>
        <v>37154</v>
      </c>
    </row>
    <row r="20" spans="1:13" s="3" customFormat="1">
      <c r="A20" s="13" t="s">
        <v>113</v>
      </c>
      <c r="C20" s="235">
        <f>+C19/'Historical Financials'!$U$152-1</f>
        <v>7.0286674253508874E-2</v>
      </c>
      <c r="D20" s="228">
        <f>+D19/'Historical Financials'!$U$152-1</f>
        <v>9.4672952907386421E-2</v>
      </c>
      <c r="E20" s="228"/>
      <c r="F20" s="228">
        <f>+F19/'Historical Financials'!$U$152-1</f>
        <v>9.6358315721020826E-2</v>
      </c>
      <c r="G20" s="228">
        <f>+G19/'Historical Financials'!$U$152-1</f>
        <v>0.16718148810491518</v>
      </c>
      <c r="H20" s="236">
        <f>+H19/'Historical Financials'!$U$152-1</f>
        <v>9.4049748008453893E-2</v>
      </c>
      <c r="I20" s="228"/>
      <c r="J20" s="235">
        <f>+J19/'Historical Financials'!$T$152-1</f>
        <v>6.3379216457419396E-2</v>
      </c>
      <c r="K20" s="228">
        <f>+K19/'Historical Financials'!$T$152-1</f>
        <v>9.0606564816215318E-2</v>
      </c>
      <c r="L20" s="228"/>
      <c r="M20" s="236">
        <f>+M19/'Historical Financials'!$T$152-1</f>
        <v>0.12400544546967174</v>
      </c>
    </row>
    <row r="21" spans="1:13">
      <c r="C21" s="232"/>
      <c r="D21" s="233"/>
      <c r="E21" s="233"/>
      <c r="F21" s="233"/>
      <c r="G21" s="233"/>
      <c r="H21" s="234"/>
      <c r="I21" s="227"/>
      <c r="J21" s="232"/>
      <c r="K21" s="233"/>
      <c r="L21" s="233"/>
      <c r="M21" s="234"/>
    </row>
    <row r="22" spans="1:13">
      <c r="A22" t="s">
        <v>351</v>
      </c>
      <c r="C22" s="232">
        <v>14350</v>
      </c>
      <c r="D22" s="233">
        <v>14950</v>
      </c>
      <c r="E22" s="233"/>
      <c r="F22" s="233">
        <v>15630</v>
      </c>
      <c r="G22" s="233">
        <f>+'Historical Financials'!Y184</f>
        <v>17897</v>
      </c>
      <c r="H22" s="234">
        <v>14758</v>
      </c>
      <c r="I22" s="227"/>
      <c r="J22" s="232">
        <v>13700</v>
      </c>
      <c r="K22" s="233">
        <v>14300</v>
      </c>
      <c r="L22" s="233"/>
      <c r="M22" s="234">
        <f>+'Historical Financials'!X184</f>
        <v>15876</v>
      </c>
    </row>
    <row r="23" spans="1:13" s="3" customFormat="1">
      <c r="A23" s="13" t="s">
        <v>113</v>
      </c>
      <c r="C23" s="235">
        <f>+C22/'Historical Financials'!$U$184-1</f>
        <v>3.3042977467425017E-2</v>
      </c>
      <c r="D23" s="228">
        <f>+D22/'Historical Financials'!$U$184-1</f>
        <v>7.6236412065366022E-2</v>
      </c>
      <c r="E23" s="228"/>
      <c r="F23" s="228">
        <f>+F22/'Historical Financials'!$U$184-1</f>
        <v>0.12518897127636608</v>
      </c>
      <c r="G23" s="228">
        <f>+G22/'Historical Financials'!$U$184-1</f>
        <v>0.28838816499892017</v>
      </c>
      <c r="H23" s="236">
        <f>+H22/'Historical Financials'!$U$184-1</f>
        <v>6.2414512994025007E-2</v>
      </c>
      <c r="I23" s="228"/>
      <c r="J23" s="235">
        <f>+J22/'Historical Financials'!$T$184-1</f>
        <v>7.9930632192968698E-2</v>
      </c>
      <c r="K23" s="228">
        <f>+K22/'Historical Financials'!$T$184-1</f>
        <v>0.127226864259814</v>
      </c>
      <c r="L23" s="228"/>
      <c r="M23" s="236">
        <f>+M22/'Historical Financials'!$T$184-1</f>
        <v>0.25145830048872764</v>
      </c>
    </row>
    <row r="24" spans="1:13" s="3" customFormat="1">
      <c r="A24" s="13" t="s">
        <v>115</v>
      </c>
      <c r="C24" s="237">
        <f>+C22/C19</f>
        <v>0.36329113924050632</v>
      </c>
      <c r="D24" s="238">
        <f t="shared" ref="D24:H24" si="2">+D22/D19</f>
        <v>0.37004950495049505</v>
      </c>
      <c r="E24" s="238"/>
      <c r="F24" s="238">
        <f t="shared" si="2"/>
        <v>0.38628645995521749</v>
      </c>
      <c r="G24" s="238">
        <f t="shared" si="2"/>
        <v>0.41547497446373849</v>
      </c>
      <c r="H24" s="239">
        <f t="shared" si="2"/>
        <v>0.36550511429774374</v>
      </c>
      <c r="I24" s="228"/>
      <c r="J24" s="237">
        <f>+J22/J19</f>
        <v>0.38975817923186346</v>
      </c>
      <c r="K24" s="238">
        <f t="shared" ref="K24:M24" si="3">+K22/K19</f>
        <v>0.39667128987517336</v>
      </c>
      <c r="L24" s="238"/>
      <c r="M24" s="239">
        <f t="shared" si="3"/>
        <v>0.42730257845723207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684023ab-f3fa-4f75-8c85-aad38775666c" xsi:nil="true"/>
    <lcf76f155ced4ddcb4097134ff3c332f xmlns="700f816a-2d70-48f7-98b4-aa062cbdb163">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7B54F80F9326D4AB5846AC1C3383526" ma:contentTypeVersion="18" ma:contentTypeDescription="Create a new document." ma:contentTypeScope="" ma:versionID="a429a91d62400243b3cba045310d747f">
  <xsd:schema xmlns:xsd="http://www.w3.org/2001/XMLSchema" xmlns:xs="http://www.w3.org/2001/XMLSchema" xmlns:p="http://schemas.microsoft.com/office/2006/metadata/properties" xmlns:ns2="700f816a-2d70-48f7-98b4-aa062cbdb163" xmlns:ns3="684023ab-f3fa-4f75-8c85-aad38775666c" targetNamespace="http://schemas.microsoft.com/office/2006/metadata/properties" ma:root="true" ma:fieldsID="9fd41046c3a9fbdd1121c909508001eb" ns2:_="" ns3:_="">
    <xsd:import namespace="700f816a-2d70-48f7-98b4-aa062cbdb163"/>
    <xsd:import namespace="684023ab-f3fa-4f75-8c85-aad38775666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0f816a-2d70-48f7-98b4-aa062cbdb1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dceb9303-a7f0-4f8a-8c8a-ed661295ba06"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84023ab-f3fa-4f75-8c85-aad38775666c"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493c1c2-3348-4bb2-9cf0-bfee56a9355e}" ma:internalName="TaxCatchAll" ma:showField="CatchAllData" ma:web="684023ab-f3fa-4f75-8c85-aad38775666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492906-29F4-48F0-AF2F-8BD604EFF753}"/>
</file>

<file path=customXml/itemProps2.xml><?xml version="1.0" encoding="utf-8"?>
<ds:datastoreItem xmlns:ds="http://schemas.openxmlformats.org/officeDocument/2006/customXml" ds:itemID="{E9208385-A71E-4875-9A05-1786D644B887}"/>
</file>

<file path=customXml/itemProps3.xml><?xml version="1.0" encoding="utf-8"?>
<ds:datastoreItem xmlns:ds="http://schemas.openxmlformats.org/officeDocument/2006/customXml" ds:itemID="{1B290970-CE04-496D-928C-2475DB6067C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 Nicolau</dc:creator>
  <cp:keywords/>
  <dc:description/>
  <cp:lastModifiedBy>Ben Hoban</cp:lastModifiedBy>
  <cp:revision/>
  <dcterms:created xsi:type="dcterms:W3CDTF">2018-08-03T12:45:14Z</dcterms:created>
  <dcterms:modified xsi:type="dcterms:W3CDTF">2025-05-20T22:23:58Z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0x01010097B54F80F9326D4AB5846AC1C3383526</vt:lpwstr>
  </property>
  <property fmtid="{D5CDD505-2E9C-101B-9397-08002B2CF9AE}" pid="3" name="Order">
    <vt:r8>4401600</vt:r8>
  </property>
  <property fmtid="{D5CDD505-2E9C-101B-9397-08002B2CF9AE}" pid="4" name="MediaServiceImageTags">
    <vt:lpwstr/>
  </property>
  <property fmtid="{D5CDD505-2E9C-101B-9397-08002B2CF9AE}" pid="5" name="{A44787D4-0540-4523-9961-78E4036D8C6D}">
    <vt:lpwstr>{EBB7CD18-2501-4E0A-9221-442C7E875A46}</vt:lpwstr>
  </property>
</Properties>
</file>